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xWindow="4490" yWindow="1550" windowWidth="14400" windowHeight="7270"/>
  </bookViews>
  <sheets>
    <sheet name="Planet Overview" sheetId="1" r:id="rId1"/>
    <sheet name="Navigation Calculator" sheetId="2" r:id="rId2"/>
    <sheet name="Space Station Locator" sheetId="3" r:id="rId3"/>
    <sheet name="Instructions" sheetId="4" r:id="rId4"/>
    <sheet name="Charts" sheetId="5" r:id="rId5"/>
    <sheet name="Stanton System Chart" sheetId="6" r:id="rId6"/>
    <sheet name="Database Control" sheetId="7" r:id="rId7"/>
    <sheet name="Nav Database" sheetId="8" r:id="rId8"/>
    <sheet name="Primary" sheetId="9" r:id="rId9"/>
    <sheet name="Secondary" sheetId="10" r:id="rId10"/>
    <sheet name="Adjustment Log" sheetId="11" r:id="rId11"/>
    <sheet name="Great Circle" sheetId="12" r:id="rId12"/>
  </sheets>
  <definedNames>
    <definedName name="Active">'Planet Overview'!$AE$299</definedName>
    <definedName name="ActiveDatabase">'Planet Overview'!$Z$1</definedName>
    <definedName name="BodyName">'Planet Overview'!$B$1</definedName>
    <definedName name="BodySelection">'Nav Database'!$AA$2:$AA$17</definedName>
    <definedName name="box">'Planet Overview'!$AR$4</definedName>
    <definedName name="boy">'Planet Overview'!$AS$4</definedName>
    <definedName name="boz">'Planet Overview'!$AT$4</definedName>
    <definedName name="br">'Planet Overview'!$AN$2</definedName>
    <definedName name="bsx">'Planet Overview'!$AR$3</definedName>
    <definedName name="bsy">'Planet Overview'!$AS$3</definedName>
    <definedName name="bsz">'Planet Overview'!$AT$3</definedName>
    <definedName name="btx">'Planet Overview'!$AR$5</definedName>
    <definedName name="bty">'Planet Overview'!$AS$5</definedName>
    <definedName name="btz">'Planet Overview'!$AT$5</definedName>
    <definedName name="bx">'Planet Overview'!$AK$2</definedName>
    <definedName name="by">'Planet Overview'!$AL$2</definedName>
    <definedName name="bz">'Planet Overview'!$AM$2</definedName>
    <definedName name="CycleHourAngle">'Planet Overview'!$AD$6</definedName>
    <definedName name="Database">'Nav Database'!$A$2:$AB$1300</definedName>
    <definedName name="DatabaseBody">'Planet Overview'!$AG$304:$AN$510</definedName>
    <definedName name="DatabaseOutpost">'Nav Database'!$B$2:$AB$1300</definedName>
    <definedName name="DatabaseSelection">'Planet Overview'!$AE$299:$AE$300</definedName>
    <definedName name="DatabaseTime">'Nav Database'!$C$2:$AB$1300</definedName>
    <definedName name="DateJulian">'Planet Overview'!$D$1</definedName>
    <definedName name="DestBody">#REF!</definedName>
    <definedName name="DestECEFData">#REF!</definedName>
    <definedName name="DestLoc">#REF!</definedName>
    <definedName name="JulianDate">'Planet Overview'!$D$1</definedName>
    <definedName name="LengthOfDay">'Planet Overview'!$AD$3</definedName>
    <definedName name="ListMethod">'Planet Overview'!$D$5</definedName>
    <definedName name="ListMethodCode">'Planet Overview'!$AW$1</definedName>
    <definedName name="NavTargetName">'Planet Overview'!$Z$5</definedName>
    <definedName name="NavTargetSelected">'Planet Overview'!$AW$5</definedName>
    <definedName name="NavTargetSelection">'Planet Overview'!$AG$304:$AG$510</definedName>
    <definedName name="oar">'Planet Overview'!$AP$4</definedName>
    <definedName name="oDeclination">'Planet Overview'!$AH$3</definedName>
    <definedName name="OffWorldName">'Planet Overview'!$V$5</definedName>
    <definedName name="OffWorldSelected">'Planet Overview'!$AW$4</definedName>
    <definedName name="OffWorldSelection">'Nav Database'!$AA$2:$AA$45</definedName>
    <definedName name="oLongitude">'Planet Overview'!$AH$4</definedName>
    <definedName name="OMAberdeen" localSheetId="9">Secondary!$N$2</definedName>
    <definedName name="OMAberdeen">'Nav Database'!$N$2</definedName>
    <definedName name="OMArcCorp" localSheetId="9">Secondary!$N$3</definedName>
    <definedName name="OMArcCorp">'Nav Database'!$N$3</definedName>
    <definedName name="OMArial" localSheetId="9">Secondary!$N$4</definedName>
    <definedName name="OMArial">'Nav Database'!$N$4</definedName>
    <definedName name="OMCalliope" localSheetId="9">Secondary!$N$5</definedName>
    <definedName name="OMCalliope">'Nav Database'!$N$5</definedName>
    <definedName name="OMCellin" localSheetId="9">Secondary!$N$6</definedName>
    <definedName name="OMCellin">'Nav Database'!$N$6</definedName>
    <definedName name="OMClio" localSheetId="9">Secondary!$N$7</definedName>
    <definedName name="OMClio">'Nav Database'!$N$7</definedName>
    <definedName name="OMCrusader" localSheetId="9">Secondary!$N$8</definedName>
    <definedName name="OMCrusader">'Nav Database'!$N$8</definedName>
    <definedName name="OMDaymar" localSheetId="9">Secondary!$N$9</definedName>
    <definedName name="OMDaymar">'Nav Database'!$N$9</definedName>
    <definedName name="OMDelamar" localSheetId="9">Secondary!$N$10</definedName>
    <definedName name="OMDelamar">'Nav Database'!$N$10</definedName>
    <definedName name="oMeridian">'Planet Overview'!$AH$2</definedName>
    <definedName name="OMEuterpe" localSheetId="9">Secondary!$N$11</definedName>
    <definedName name="OMEuterpe">'Nav Database'!$N$11</definedName>
    <definedName name="OMHurston" localSheetId="9">Secondary!$N$12</definedName>
    <definedName name="OMHurston">'Nav Database'!$N$12</definedName>
    <definedName name="OMIta" localSheetId="9">Secondary!$N$13</definedName>
    <definedName name="OMIta">'Nav Database'!$N$13</definedName>
    <definedName name="OMLyria" localSheetId="9">Secondary!$N$14</definedName>
    <definedName name="OMLyria">'Nav Database'!$N$14</definedName>
    <definedName name="OMMagda" localSheetId="9">Secondary!$N$15</definedName>
    <definedName name="OMMagda">'Nav Database'!$N$15</definedName>
    <definedName name="OMmicroTech" localSheetId="9">Secondary!$N$16</definedName>
    <definedName name="OMmicroTech">'Nav Database'!$N$16</definedName>
    <definedName name="OMRadius">'Planet Overview'!$AO$2</definedName>
    <definedName name="OMWala" localSheetId="9">Secondary!$N$18</definedName>
    <definedName name="OMWala">'Nav Database'!$N$18</definedName>
    <definedName name="OMYela" localSheetId="9">Secondary!$N$19</definedName>
    <definedName name="OMYela">'Nav Database'!$N$19</definedName>
    <definedName name="or">'Planet Overview'!$AN$4</definedName>
    <definedName name="OrigBody">#REF!</definedName>
    <definedName name="OrigECEFData">#REF!</definedName>
    <definedName name="OrigLoc">#REF!</definedName>
    <definedName name="ox">'Planet Overview'!$AK$4</definedName>
    <definedName name="oy">'Planet Overview'!$AL$4</definedName>
    <definedName name="oz">'Planet Overview'!$AM$4</definedName>
    <definedName name="p1r">'Planet Overview'!$AQ$304</definedName>
    <definedName name="p1x">'Planet Overview'!$AR$304</definedName>
    <definedName name="p1y">'Planet Overview'!$AS$304</definedName>
    <definedName name="p1z">'Planet Overview'!$AT$304</definedName>
    <definedName name="p2r">'Planet Overview'!$AQ$305</definedName>
    <definedName name="p2x">'Planet Overview'!$AR$305</definedName>
    <definedName name="p2y">'Planet Overview'!$AS$305</definedName>
    <definedName name="p2z">'Planet Overview'!$AT$305</definedName>
    <definedName name="p3r">'Planet Overview'!$AQ$306</definedName>
    <definedName name="p3x">'Planet Overview'!$AR$306</definedName>
    <definedName name="p3y">'Planet Overview'!$AS$306</definedName>
    <definedName name="p3z">'Planet Overview'!$AT$306</definedName>
    <definedName name="p4r">'Planet Overview'!$AQ$307</definedName>
    <definedName name="p4x">'Planet Overview'!$AR$307</definedName>
    <definedName name="p4y">'Planet Overview'!$AS$307</definedName>
    <definedName name="p4z">'Planet Overview'!$AT$307</definedName>
    <definedName name="PrimaryStar">'Planet Overview'!$AJ$3</definedName>
    <definedName name="QTMarkerSelection">'Planet Overview'!$AF$304:$AF$510</definedName>
    <definedName name="qw">'Planet Overview'!$AQ$2</definedName>
    <definedName name="qx">'Planet Overview'!$AR$2</definedName>
    <definedName name="qy">'Planet Overview'!$AS$2</definedName>
    <definedName name="qz">'Planet Overview'!$AT$2</definedName>
    <definedName name="Rotation">'Planet Overview'!$AE$3</definedName>
    <definedName name="RotationRate">'Planet Overview'!$AD$2</definedName>
    <definedName name="RotationRateAngular">'Planet Overview'!$AE$2</definedName>
    <definedName name="sar">'Planet Overview'!$AP$3</definedName>
    <definedName name="sDeclination">'Planet Overview'!$AG$3</definedName>
    <definedName name="sLongitude">'Planet Overview'!$AG$4</definedName>
    <definedName name="sMeridian">'Planet Overview'!$AG$2</definedName>
    <definedName name="sr">'Planet Overview'!$AN$3</definedName>
    <definedName name="Standby">'Planet Overview'!$AE$300</definedName>
    <definedName name="sTimeLines">'Planet Overview'!$AW$2</definedName>
    <definedName name="sx">'Planet Overview'!$AK$3</definedName>
    <definedName name="sy">'Planet Overview'!$AL$3</definedName>
    <definedName name="sz">'Planet Overview'!$AM$3</definedName>
    <definedName name="TimeLocal">'Planet Overview'!$D$2</definedName>
    <definedName name="TimeUniverse">'Planet Overview'!$D$4</definedName>
    <definedName name="TimeUTC">'Planet Overview'!$D$3</definedName>
    <definedName name="tLatitude">'Planet Overview'!$AU$5</definedName>
    <definedName name="tLongitude">'Planet Overview'!$AV$5</definedName>
    <definedName name="UDLx">'Planet Overview'!$AR$312</definedName>
    <definedName name="UDLy">'Planet Overview'!$AS$312</definedName>
    <definedName name="UDLz">'Planet Overview'!$AT$312</definedName>
    <definedName name="UTCOffset">'Planet Overview'!$B$2</definedName>
    <definedName name="Z_2A59C315_A457_46C0_B92B_FA005B422632_.wvu.FilterData" localSheetId="7" hidden="1">'Nav Database'!$A$1:$W$1400</definedName>
    <definedName name="Z_2A59C315_A457_46C0_B92B_FA005B422632_.wvu.FilterData" localSheetId="9" hidden="1">Secondary!$A$1:$W$1084</definedName>
  </definedNames>
  <calcPr calcId="191029"/>
  <customWorkbookViews>
    <customWorkbookView name="Filter 2" guid="{2A59C315-A457-46C0-B92B-FA005B422632}"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M1" authorId="0">
      <text>
        <r>
          <rPr>
            <sz val="10"/>
            <rFont val="宋体"/>
            <charset val="134"/>
          </rPr>
          <t>Check to use 4 QT markers and distances
User Defined Location now uses Starmap Latitude and Longitude by Default</t>
        </r>
      </text>
    </comment>
    <comment ref="N1" authorId="0">
      <text>
        <r>
          <rPr>
            <sz val="10"/>
            <rFont val="宋体"/>
            <charset val="134"/>
          </rPr>
          <t>When using OMs, use at least 1 OM from each OM pair: OM1/2, OM3/4, OM5/6.
The following OM sets will not work: (division by zero error)
OM1, OM2, OM3, OM4 or
OM1, OM2, OM5, OM6 or
OM3, OM4, OM5, OM6</t>
        </r>
      </text>
    </comment>
    <comment ref="V1" authorId="0">
      <text>
        <r>
          <rPr>
            <sz val="10"/>
            <rFont val="宋体"/>
            <charset val="134"/>
          </rPr>
          <t xml:space="preserve">Save a copy to your Google Drive.
Use Database Control tab to select the desired Primary and Secondary databases. 
Then "Allow Access" to download the navigation database in the Primary and Secondary tabs
</t>
        </r>
      </text>
    </comment>
    <comment ref="AC1" authorId="0">
      <text>
        <r>
          <rPr>
            <sz val="10"/>
            <rFont val="宋体"/>
            <charset val="134"/>
          </rPr>
          <t>Messy Scary Bits from here to the right....</t>
        </r>
      </text>
    </comment>
    <comment ref="AD2" authorId="0">
      <text>
        <r>
          <rPr>
            <sz val="10"/>
            <rFont val="宋体"/>
            <charset val="134"/>
          </rPr>
          <t>Datamined from game files
body.xml
planetRotationSpeed = value in hours</t>
        </r>
      </text>
    </comment>
    <comment ref="AE2" authorId="0">
      <text>
        <r>
          <rPr>
            <sz val="10"/>
            <rFont val="宋体"/>
            <charset val="134"/>
          </rPr>
          <t xml:space="preserve">&lt;- planetRotationSpeed converted to 
degrees / min
</t>
        </r>
      </text>
    </comment>
    <comment ref="Y3" authorId="0">
      <text>
        <r>
          <rPr>
            <sz val="10"/>
            <rFont val="宋体"/>
            <charset val="134"/>
          </rPr>
          <t>Check this box to have the Overview sheet calculate bearings based on OM-3 as the north pointer.</t>
        </r>
      </text>
    </comment>
    <comment ref="AD3" authorId="0">
      <text>
        <r>
          <rPr>
            <sz val="10"/>
            <rFont val="宋体"/>
            <charset val="134"/>
          </rPr>
          <t>planetRotationSpeed converted to a spreadsheet day (for spreadsheet processing)
86400 seconds in a day
3600 seconds in an hour</t>
        </r>
      </text>
    </comment>
    <comment ref="AE3" authorId="0">
      <text>
        <r>
          <rPr>
            <sz val="10"/>
            <rFont val="宋体"/>
            <charset val="134"/>
          </rPr>
          <t xml:space="preserve">Flag for body rotation
TRUE - body rotates
FALSE - body does not rotate
</t>
        </r>
      </text>
    </comment>
    <comment ref="AD4" authorId="0">
      <text>
        <r>
          <rPr>
            <sz val="10"/>
            <rFont val="宋体"/>
            <charset val="134"/>
          </rPr>
          <t xml:space="preserve">number of days that have occurred on the body since the start of the Julian epoch
Jan 1 2950 / Jan 1 2020 where UTC time and Universe time start.
</t>
        </r>
      </text>
    </comment>
    <comment ref="AE5" authorId="0">
      <text>
        <r>
          <rPr>
            <sz val="10"/>
            <rFont val="宋体"/>
            <charset val="134"/>
          </rPr>
          <t xml:space="preserve">Rotation Correction Adjustment Date
</t>
        </r>
      </text>
    </comment>
    <comment ref="E6" authorId="0">
      <text>
        <r>
          <rPr>
            <sz val="10"/>
            <rFont val="宋体"/>
            <charset val="134"/>
          </rPr>
          <t>OM Distances are distances from the location to the Orbital Marker.
The distances to the nearest 100 meters can be observed in your ship's HUD with the QT drive spooled.</t>
        </r>
      </text>
    </comment>
    <comment ref="K6" authorId="0">
      <text>
        <r>
          <rPr>
            <sz val="10"/>
            <rFont val="宋体"/>
            <charset val="134"/>
          </rPr>
          <t>X Y Z coordinates can be used for verseguide routing.
!navigate yela -205.659 -73.988 224.325
will cause the Marvin discord routing bot to calculate a routing solution to Jumptown on Yela</t>
        </r>
      </text>
    </comment>
    <comment ref="N7" authorId="0">
      <text>
        <r>
          <rPr>
            <sz val="10"/>
            <rFont val="宋体"/>
            <charset val="134"/>
          </rPr>
          <t>Total length of daylight from sunrise to sunset.</t>
        </r>
      </text>
    </comment>
    <comment ref="P7" authorId="0">
      <text>
        <r>
          <rPr>
            <sz val="10"/>
            <rFont val="宋体"/>
            <charset val="134"/>
          </rPr>
          <t>Azimuth
 - compass bearing to Stanton
Altitude
 - the angle on your ship's HUD to point to Stanton</t>
        </r>
      </text>
    </comment>
    <comment ref="Q7" authorId="0">
      <text>
        <r>
          <rPr>
            <sz val="10"/>
            <rFont val="宋体"/>
            <charset val="134"/>
          </rPr>
          <t xml:space="preserve">Beginning of Morning Nautical Twilight
Astronomical Twilight - sufficient illumination to detect the presence of an unlit object
Nautical Twilight - sufficient illumination to identify outlines of an unlit object
Civil Twilight - sufficient illumination to classify an unlit object
</t>
        </r>
      </text>
    </comment>
    <comment ref="S7" authorId="0">
      <text>
        <r>
          <rPr>
            <sz val="10"/>
            <rFont val="宋体"/>
            <charset val="134"/>
          </rPr>
          <t>Time when Stanton crosses overhead on the location's meridian</t>
        </r>
      </text>
    </comment>
    <comment ref="U7" authorId="0">
      <text>
        <r>
          <rPr>
            <sz val="10"/>
            <rFont val="宋体"/>
            <charset val="134"/>
          </rPr>
          <t>End of Evening Nautical Twilight</t>
        </r>
      </text>
    </comment>
    <comment ref="W7" authorId="0">
      <text>
        <r>
          <rPr>
            <sz val="10"/>
            <rFont val="宋体"/>
            <charset val="134"/>
          </rPr>
          <t>Azimuth
 - compass bearing to object
Altitude
 - the angle on your ship's HUD to point to object</t>
        </r>
      </text>
    </comment>
    <comment ref="X7" authorId="0">
      <text>
        <r>
          <rPr>
            <sz val="10"/>
            <rFont val="宋体"/>
            <charset val="134"/>
          </rPr>
          <t>Time selected body will rise above the horizon</t>
        </r>
      </text>
    </comment>
    <comment ref="Y7" authorId="0">
      <text>
        <r>
          <rPr>
            <sz val="10"/>
            <rFont val="宋体"/>
            <charset val="134"/>
          </rPr>
          <t>Time selected body will go below the horizon</t>
        </r>
      </text>
    </comment>
    <comment ref="Z7" authorId="0">
      <text>
        <r>
          <rPr>
            <sz val="10"/>
            <rFont val="宋体"/>
            <charset val="134"/>
          </rPr>
          <t>Azimuth
 - compass bearing to object
Altitude
 - the angle on your ship's HUD to point to object</t>
        </r>
      </text>
    </comment>
    <comment ref="AA7" authorId="0">
      <text>
        <r>
          <rPr>
            <sz val="10"/>
            <rFont val="宋体"/>
            <charset val="134"/>
          </rPr>
          <t>Distance
- direct distance you can observe using the ship's HUD and QT markers
Terrain may prevent you from going directly there.</t>
        </r>
      </text>
    </comment>
    <comment ref="AB7" authorId="0">
      <text>
        <r>
          <rPr>
            <sz val="10"/>
            <rFont val="宋体"/>
            <charset val="134"/>
          </rPr>
          <t xml:space="preserve">Great Circle distance
- distance travelled following the curvature of the body surface to the object
</t>
        </r>
      </text>
    </comment>
    <comment ref="AE7" authorId="0">
      <text>
        <r>
          <rPr>
            <sz val="10"/>
            <rFont val="宋体"/>
            <charset val="134"/>
          </rPr>
          <t xml:space="preserve">Latitude of location
</t>
        </r>
      </text>
    </comment>
    <comment ref="AF7" authorId="0">
      <text>
        <r>
          <rPr>
            <sz val="10"/>
            <rFont val="宋体"/>
            <charset val="134"/>
          </rPr>
          <t xml:space="preserve">Longitude of Location
+ = East Longitude
- = West Longitude
</t>
        </r>
      </text>
    </comment>
  </commentList>
</comments>
</file>

<file path=xl/comments2.xml><?xml version="1.0" encoding="utf-8"?>
<comments xmlns="http://schemas.openxmlformats.org/spreadsheetml/2006/main">
  <authors>
    <author/>
  </authors>
  <commentList>
    <comment ref="C3" authorId="0">
      <text>
        <r>
          <rPr>
            <sz val="10"/>
            <rFont val="宋体"/>
            <charset val="134"/>
          </rPr>
          <t>Check this box to have the navigation calculator calculate courses based on OM-3 being the north pointer.</t>
        </r>
      </text>
    </comment>
    <comment ref="B20" authorId="0">
      <text>
        <r>
          <rPr>
            <sz val="10"/>
            <rFont val="宋体"/>
            <charset val="134"/>
          </rPr>
          <t>To enter Starmap Latitude - swap the sign.
Starmap Longitude can be entered directly.
Otherwise all navigation references on the spreadsheet are positive latitude for Northern hemisphere and negative latitude for Southern hemisphere</t>
        </r>
      </text>
    </comment>
  </commentList>
</comments>
</file>

<file path=xl/sharedStrings.xml><?xml version="1.0" encoding="utf-8"?>
<sst xmlns="http://schemas.openxmlformats.org/spreadsheetml/2006/main" count="1943" uniqueCount="1020">
  <si>
    <t>Body</t>
  </si>
  <si>
    <t>microTech</t>
  </si>
  <si>
    <t>Julian Date (UEE)</t>
  </si>
  <si>
    <r>
      <rPr>
        <b/>
        <sz val="10"/>
        <color theme="1"/>
        <rFont val="Arial"/>
        <charset val="134"/>
      </rPr>
      <t xml:space="preserve">User Defined Location
</t>
    </r>
    <r>
      <rPr>
        <sz val="8"/>
        <color theme="1"/>
        <rFont val="Arial"/>
        <charset val="134"/>
      </rPr>
      <t>(Use Starmap Coordinates or Enter 4 QT/OM markers and distance to them)</t>
    </r>
  </si>
  <si>
    <t>Starmap Coordinates</t>
  </si>
  <si>
    <t>Point</t>
  </si>
  <si>
    <t>Distance (km)</t>
  </si>
  <si>
    <t>Please Read note</t>
  </si>
  <si>
    <t xml:space="preserve">Active Database </t>
  </si>
  <si>
    <t>3.23.0-LIVE 9171682</t>
  </si>
  <si>
    <t>Stanton</t>
  </si>
  <si>
    <t>HCHF</t>
  </si>
  <si>
    <t>X</t>
  </si>
  <si>
    <t>Y</t>
  </si>
  <si>
    <t>Z</t>
  </si>
  <si>
    <t>Radius</t>
  </si>
  <si>
    <t>OM Radius</t>
  </si>
  <si>
    <t>W</t>
  </si>
  <si>
    <t>Latitude</t>
  </si>
  <si>
    <t>Longitude</t>
  </si>
  <si>
    <t>Latitude / Longitude</t>
  </si>
  <si>
    <t>UTM GZD</t>
  </si>
  <si>
    <t>CDEFGHJKLMNPQRSTUVWX</t>
  </si>
  <si>
    <t>UTM Scale (k₀)</t>
  </si>
  <si>
    <t>UPS Scale (k₀)</t>
  </si>
  <si>
    <t>ABCDEFGHJKLMNPQRSTUVWXYZ</t>
  </si>
  <si>
    <t>UTC Offset</t>
  </si>
  <si>
    <t>Local Time</t>
  </si>
  <si>
    <t>NovaNav parameters</t>
  </si>
  <si>
    <t xml:space="preserve">Rotation Alignment </t>
  </si>
  <si>
    <t>Rotation Rate</t>
  </si>
  <si>
    <t>Meridian</t>
  </si>
  <si>
    <t>Rotation</t>
  </si>
  <si>
    <t>Sector</t>
  </si>
  <si>
    <t>ABCDEFGH</t>
  </si>
  <si>
    <t>JKLMNPQR</t>
  </si>
  <si>
    <t>STUVWXYZ</t>
  </si>
  <si>
    <t>ABCFGHJKLPQRSTUXYZ</t>
  </si>
  <si>
    <t>UTM Easting</t>
  </si>
  <si>
    <r>
      <rPr>
        <sz val="10"/>
        <color theme="1"/>
        <rFont val="Arial"/>
        <charset val="134"/>
      </rPr>
      <t xml:space="preserve">UTC Date and Time or "Now"
</t>
    </r>
    <r>
      <rPr>
        <sz val="8"/>
        <color theme="1"/>
        <rFont val="Arial"/>
        <charset val="134"/>
      </rPr>
      <t>( mm/dd/yyyy hh:mm )</t>
    </r>
  </si>
  <si>
    <t>OM3 "Magnetic North"</t>
  </si>
  <si>
    <t>Length of Day</t>
  </si>
  <si>
    <t>Declination</t>
  </si>
  <si>
    <t>Apparent Radius</t>
  </si>
  <si>
    <t>ECEF</t>
  </si>
  <si>
    <t>UTM</t>
  </si>
  <si>
    <t>ABCDEFGHJKLMNPQRSTUV</t>
  </si>
  <si>
    <t>FGHJKLMNPQRSTUVABCDE</t>
  </si>
  <si>
    <t>NPQRSTUVWXYZABCDEFGHJKLM</t>
  </si>
  <si>
    <t>HJKLMNPQRSTUVWXYZABCDEFG</t>
  </si>
  <si>
    <t>UPS Easting / Northing</t>
  </si>
  <si>
    <t>Universe Time</t>
  </si>
  <si>
    <t>Core Distance</t>
  </si>
  <si>
    <t>Current Cycle</t>
  </si>
  <si>
    <t>MGRS</t>
  </si>
  <si>
    <t>Grid Size</t>
  </si>
  <si>
    <t>Equator Northing</t>
  </si>
  <si>
    <t>Off World</t>
  </si>
  <si>
    <t>Now</t>
  </si>
  <si>
    <t>Sort Locations by</t>
  </si>
  <si>
    <t>Outpost Type</t>
  </si>
  <si>
    <t>Google Drive Charts Directory</t>
  </si>
  <si>
    <t>Crusader</t>
  </si>
  <si>
    <t>Ghost Hollow</t>
  </si>
  <si>
    <t>Rotation Correction</t>
  </si>
  <si>
    <t>GARS</t>
  </si>
  <si>
    <t>ECEF (Day Night Rotation)</t>
  </si>
  <si>
    <t>ECEF (Quaternion Rotation)</t>
  </si>
  <si>
    <t>UTM Grid</t>
  </si>
  <si>
    <t>Reference</t>
  </si>
  <si>
    <t>Easting Calculation</t>
  </si>
  <si>
    <t>Easting</t>
  </si>
  <si>
    <t>Northing Calculation</t>
  </si>
  <si>
    <t>Northing</t>
  </si>
  <si>
    <t>GARS Area Coordinate Construction</t>
  </si>
  <si>
    <t>Selected Target</t>
  </si>
  <si>
    <t>OM3 North Azimuth</t>
  </si>
  <si>
    <t>Reported Azimuth</t>
  </si>
  <si>
    <t>OM Distances (km)</t>
  </si>
  <si>
    <t>ECEF Cartesian Coordinate (km)</t>
  </si>
  <si>
    <t>Length of</t>
  </si>
  <si>
    <t>Azimuth /</t>
  </si>
  <si>
    <t>Direct</t>
  </si>
  <si>
    <t>Great</t>
  </si>
  <si>
    <t>Hour Angle</t>
  </si>
  <si>
    <t>Corrections</t>
  </si>
  <si>
    <t>Distance</t>
  </si>
  <si>
    <t>Stanton Altitude</t>
  </si>
  <si>
    <t>OffWorld Altitude</t>
  </si>
  <si>
    <t>UPS</t>
  </si>
  <si>
    <t>Zone Designator</t>
  </si>
  <si>
    <t>MGRS Zone</t>
  </si>
  <si>
    <t>Distance from Reference (meters)</t>
  </si>
  <si>
    <t>Grid Designator</t>
  </si>
  <si>
    <t>Longitude Zone</t>
  </si>
  <si>
    <t>Latitude Band</t>
  </si>
  <si>
    <t>Quadrant</t>
  </si>
  <si>
    <t>Keypad</t>
  </si>
  <si>
    <t>Long</t>
  </si>
  <si>
    <t>Lat</t>
  </si>
  <si>
    <t>Coordinate</t>
  </si>
  <si>
    <t>Sector Description</t>
  </si>
  <si>
    <t>Closest OM</t>
  </si>
  <si>
    <t>2nd OM</t>
  </si>
  <si>
    <t>3rd OM</t>
  </si>
  <si>
    <t>Sorted OM distances</t>
  </si>
  <si>
    <t>OM3 X</t>
  </si>
  <si>
    <t>OM3 Y</t>
  </si>
  <si>
    <t>OM3 Z</t>
  </si>
  <si>
    <t>OM3 Lat</t>
  </si>
  <si>
    <t>OM3 Long</t>
  </si>
  <si>
    <t>Other World</t>
  </si>
  <si>
    <t>Nav Target</t>
  </si>
  <si>
    <t>Location</t>
  </si>
  <si>
    <t>Height</t>
  </si>
  <si>
    <t>OM-1</t>
  </si>
  <si>
    <t>OM-2</t>
  </si>
  <si>
    <t>OM-3</t>
  </si>
  <si>
    <t>OM-4</t>
  </si>
  <si>
    <t>OM-5</t>
  </si>
  <si>
    <t>OM-6</t>
  </si>
  <si>
    <t>Daylight</t>
  </si>
  <si>
    <t>Condition</t>
  </si>
  <si>
    <t>Altitude</t>
  </si>
  <si>
    <t>BMNT</t>
  </si>
  <si>
    <t>Rise</t>
  </si>
  <si>
    <t>Noon</t>
  </si>
  <si>
    <t>Set</t>
  </si>
  <si>
    <t>EENT</t>
  </si>
  <si>
    <t>Circle</t>
  </si>
  <si>
    <t>Calculate</t>
  </si>
  <si>
    <t>Longitude360</t>
  </si>
  <si>
    <t>Elevation (km)</t>
  </si>
  <si>
    <t>Elevation</t>
  </si>
  <si>
    <t>Terrain (Rise)</t>
  </si>
  <si>
    <t>Terrain (Set)</t>
  </si>
  <si>
    <t>Rise/Set Hr ∠</t>
  </si>
  <si>
    <t>Max Altitude</t>
  </si>
  <si>
    <t>Azimuth</t>
  </si>
  <si>
    <t>User Defined Location</t>
  </si>
  <si>
    <t>Body Rotation Adjustment</t>
  </si>
  <si>
    <t>Step 1. Choose the correct body (cell B1)</t>
  </si>
  <si>
    <t>R</t>
  </si>
  <si>
    <t>Original Noon</t>
  </si>
  <si>
    <t>Step 2. Triangulate current location</t>
  </si>
  <si>
    <t>Point 1</t>
  </si>
  <si>
    <t>Yela</t>
  </si>
  <si>
    <t xml:space="preserve">    or select current OM</t>
  </si>
  <si>
    <t>Point 2</t>
  </si>
  <si>
    <t>Kosso</t>
  </si>
  <si>
    <t>Point 3</t>
  </si>
  <si>
    <t>Benson</t>
  </si>
  <si>
    <t>Point 4</t>
  </si>
  <si>
    <t>Aston</t>
  </si>
  <si>
    <t>negative moves noon later</t>
  </si>
  <si>
    <t>positive moves noon earlier</t>
  </si>
  <si>
    <t>Step 3. Paste showlocation ----&gt;</t>
  </si>
  <si>
    <t>Coordinates: x:-19022442227.026016 y:-2613934940.477596 z:234.150088</t>
  </si>
  <si>
    <t>Rotation Adjustment</t>
  </si>
  <si>
    <t>Step 5. Adjust green box numbers to make one of the three noon times in the Magenta boxes match the noon time in Purple Box.  (The current rotation correction value is in the grey cell and may be used as a starting value for adjustment)</t>
  </si>
  <si>
    <t>Step 4. Copy (Ctrl-C) beige box --&gt;</t>
  </si>
  <si>
    <t>to purple box (Shift-Ctrl-V) (value only)</t>
  </si>
  <si>
    <t>-------------------------------------------------------------------------------------------------------------------------------------------&gt;</t>
  </si>
  <si>
    <t>Triangulated position</t>
  </si>
  <si>
    <t>Previous Noon</t>
  </si>
  <si>
    <t>Current Noon</t>
  </si>
  <si>
    <t>Next Noon</t>
  </si>
  <si>
    <t>Showlocation position</t>
  </si>
  <si>
    <t>Predicted Noon</t>
  </si>
  <si>
    <t>Step 6. Copy Log Entry to Adjustment Log and Enter Rotation Adjustment value to column S of the Nav Database tab in the appropriate planet/moon row.</t>
  </si>
  <si>
    <t>Copy this value to Nav Database worksheet</t>
  </si>
  <si>
    <t>Date/Time Stamp</t>
  </si>
  <si>
    <t>Entry</t>
  </si>
  <si>
    <t>Corrected Noon</t>
  </si>
  <si>
    <t>Triangulation</t>
  </si>
  <si>
    <t>Adjustment Log Entry</t>
  </si>
  <si>
    <t>Database Selection</t>
  </si>
  <si>
    <t>Primary</t>
  </si>
  <si>
    <t>Secondary</t>
  </si>
  <si>
    <t>On World Navigation Points</t>
  </si>
  <si>
    <t>User Defined Location Triangulation Calculation</t>
  </si>
  <si>
    <t>QT References</t>
  </si>
  <si>
    <t>Nav Targets</t>
  </si>
  <si>
    <t>QW</t>
  </si>
  <si>
    <t>QX</t>
  </si>
  <si>
    <t>QY</t>
  </si>
  <si>
    <t>QZ</t>
  </si>
  <si>
    <t>4 QTTriangulated Position</t>
  </si>
  <si>
    <t>UDL X Y Z</t>
  </si>
  <si>
    <t>Starmap Lat/Long</t>
  </si>
  <si>
    <t>Starmap Lat/Long XYZ</t>
  </si>
  <si>
    <t>Body Radius</t>
  </si>
  <si>
    <t xml:space="preserve">Local Time </t>
  </si>
  <si>
    <t>Step 1 Inputed Multilateration Values</t>
  </si>
  <si>
    <t>Atmosphere</t>
  </si>
  <si>
    <t xml:space="preserve">Navigating  </t>
  </si>
  <si>
    <t xml:space="preserve">From: </t>
  </si>
  <si>
    <t xml:space="preserve">To: </t>
  </si>
  <si>
    <t xml:space="preserve">Bullseye: </t>
  </si>
  <si>
    <t>Calculated Values</t>
  </si>
  <si>
    <t>Astronomical Condition (Rise and Set times in Local Time)</t>
  </si>
  <si>
    <t xml:space="preserve">At Speed: </t>
  </si>
  <si>
    <t>m/s</t>
  </si>
  <si>
    <t xml:space="preserve">HUD Ladder Pitch Correction: </t>
  </si>
  <si>
    <t>Step 1</t>
  </si>
  <si>
    <t>Where are you?</t>
  </si>
  <si>
    <t>Step 2</t>
  </si>
  <si>
    <t>Where do you want to go?</t>
  </si>
  <si>
    <t>Step 3</t>
  </si>
  <si>
    <t>Set reference marker (Bullseye)</t>
  </si>
  <si>
    <t>(Optional)</t>
  </si>
  <si>
    <t>Database Location</t>
  </si>
  <si>
    <t>PBD (Place / Bearing / Distance) Location</t>
  </si>
  <si>
    <t>New Babbage</t>
  </si>
  <si>
    <t>River 35R</t>
  </si>
  <si>
    <t>degrees</t>
  </si>
  <si>
    <t>km</t>
  </si>
  <si>
    <t>Latitude / Longitude   -   Starmap Latitude - North (negative) / South (positive)</t>
  </si>
  <si>
    <t>ECEF XYZ coordinate</t>
  </si>
  <si>
    <t>-90 to 90</t>
  </si>
  <si>
    <t>Reference Point</t>
  </si>
  <si>
    <t>-180 to 359</t>
  </si>
  <si>
    <t>X (km)</t>
  </si>
  <si>
    <t>Y (km)</t>
  </si>
  <si>
    <t>Z (km)</t>
  </si>
  <si>
    <t>Recommended Bullseye</t>
  </si>
  <si>
    <t>meters</t>
  </si>
  <si>
    <t>Multilaterated Position</t>
  </si>
  <si>
    <t>Precision</t>
  </si>
  <si>
    <t>Marker Name</t>
  </si>
  <si>
    <t>Check</t>
  </si>
  <si>
    <t>Latitude / Longitude / Height</t>
  </si>
  <si>
    <t>Port Tressler</t>
  </si>
  <si>
    <t>MT DataCenter E2Q-NSG-Y</t>
  </si>
  <si>
    <t>Calhoun Pass Emergency Shelter</t>
  </si>
  <si>
    <t>35R</t>
  </si>
  <si>
    <t>Grid Zone</t>
  </si>
  <si>
    <t>Easting (meters)</t>
  </si>
  <si>
    <t>Northing (meters)</t>
  </si>
  <si>
    <t>Height (meters)</t>
  </si>
  <si>
    <t>36S</t>
  </si>
  <si>
    <t>Location defined by 4 QT / OM markers</t>
  </si>
  <si>
    <t>OM1</t>
  </si>
  <si>
    <t>OM2</t>
  </si>
  <si>
    <t>Reference QT Marker</t>
  </si>
  <si>
    <t>OM3</t>
  </si>
  <si>
    <t>Shubin Mining Facility SM0-18 (PB)</t>
  </si>
  <si>
    <t>OM5</t>
  </si>
  <si>
    <r>
      <rPr>
        <sz val="10"/>
        <color theme="1"/>
        <rFont val="Arial"/>
        <charset val="134"/>
      </rPr>
      <t xml:space="preserve">Bearing </t>
    </r>
    <r>
      <rPr>
        <b/>
        <sz val="10"/>
        <color rgb="FFFF0000"/>
        <rFont val="Arial"/>
        <charset val="134"/>
      </rPr>
      <t>TO</t>
    </r>
    <r>
      <rPr>
        <sz val="10"/>
        <color theme="1"/>
        <rFont val="Arial"/>
        <charset val="134"/>
      </rPr>
      <t xml:space="preserve"> QT Marker</t>
    </r>
  </si>
  <si>
    <t>Distance to QT Marker</t>
  </si>
  <si>
    <t>PB/PB Intersection (Triangulation)</t>
  </si>
  <si>
    <t>Shubin Mining Facility SM0-13 (PB)</t>
  </si>
  <si>
    <t>Shubin Mining Facility SM0-22 (PB)</t>
  </si>
  <si>
    <t>37U</t>
  </si>
  <si>
    <t>sDeclination</t>
  </si>
  <si>
    <t>sar</t>
  </si>
  <si>
    <t>br</t>
  </si>
  <si>
    <t>CycleHourAngle</t>
  </si>
  <si>
    <t>sMeridian</t>
  </si>
  <si>
    <t>RotationRateAngular</t>
  </si>
  <si>
    <t>Calculations:</t>
  </si>
  <si>
    <t>Speeds</t>
  </si>
  <si>
    <t>Course from Origin Location to Destination Location</t>
  </si>
  <si>
    <t>Great Circle Distance from Origin Location to Destination Location</t>
  </si>
  <si>
    <t>Pitch Correction</t>
  </si>
  <si>
    <t>Direct Distance from Origin Location to Destination Location</t>
  </si>
  <si>
    <t>Pitch Angle</t>
  </si>
  <si>
    <t>Time to Fly</t>
  </si>
  <si>
    <t>Speed:</t>
  </si>
  <si>
    <t>km/s</t>
  </si>
  <si>
    <t>seconds</t>
  </si>
  <si>
    <t>minutes</t>
  </si>
  <si>
    <t>Reference Marker</t>
  </si>
  <si>
    <t>Origin</t>
  </si>
  <si>
    <t>Destination</t>
  </si>
  <si>
    <t>Radial</t>
  </si>
  <si>
    <t xml:space="preserve">Bearing To </t>
  </si>
  <si>
    <t>Direction To</t>
  </si>
  <si>
    <t>Distance To</t>
  </si>
  <si>
    <t>OM1 "N" Course</t>
  </si>
  <si>
    <t>Set hr angle</t>
  </si>
  <si>
    <t>Longtiude</t>
  </si>
  <si>
    <t>OM3 "N" Course</t>
  </si>
  <si>
    <t>Max Stanton Alt</t>
  </si>
  <si>
    <t>OM3 North Origin</t>
  </si>
  <si>
    <t>Origin Location</t>
  </si>
  <si>
    <t>No Origin</t>
  </si>
  <si>
    <t>Origin Database Location</t>
  </si>
  <si>
    <t>Horizon</t>
  </si>
  <si>
    <t>Origin Multilaterated Location</t>
  </si>
  <si>
    <t>PBD</t>
  </si>
  <si>
    <t>Radial / Reciprocal Bearing</t>
  </si>
  <si>
    <t>ECEF XYZ</t>
  </si>
  <si>
    <t>Specified Latitude Longitude Location</t>
  </si>
  <si>
    <t>PB/PB Triangulation</t>
  </si>
  <si>
    <t>φ1</t>
  </si>
  <si>
    <t>λ1</t>
  </si>
  <si>
    <t>θ13</t>
  </si>
  <si>
    <t>φ2</t>
  </si>
  <si>
    <t>λ2</t>
  </si>
  <si>
    <t>θ23</t>
  </si>
  <si>
    <t>Δφ</t>
  </si>
  <si>
    <t>Δλ</t>
  </si>
  <si>
    <t>δ12</t>
  </si>
  <si>
    <t>cosθa</t>
  </si>
  <si>
    <t>cosθb</t>
  </si>
  <si>
    <t>SIN(λ2 - λ1)</t>
  </si>
  <si>
    <t>θa</t>
  </si>
  <si>
    <t>θ12</t>
  </si>
  <si>
    <t>θb</t>
  </si>
  <si>
    <t>θ21</t>
  </si>
  <si>
    <t>∝1</t>
  </si>
  <si>
    <t>∝2</t>
  </si>
  <si>
    <t>Infinite Intersection</t>
  </si>
  <si>
    <t>Ambiguous Intersection</t>
  </si>
  <si>
    <t>cos∝3</t>
  </si>
  <si>
    <t>δ13</t>
  </si>
  <si>
    <t>φ3</t>
  </si>
  <si>
    <t>Δλ13</t>
  </si>
  <si>
    <t>λ3</t>
  </si>
  <si>
    <t>OM3 North Destination</t>
  </si>
  <si>
    <t>Destination Location</t>
  </si>
  <si>
    <t>No Destination</t>
  </si>
  <si>
    <t>Destination Database Location</t>
  </si>
  <si>
    <t>ECEF Coordinate Location</t>
  </si>
  <si>
    <t>Defined by 4 QT/OM markers Location</t>
  </si>
  <si>
    <t>PBD (Reference)</t>
  </si>
  <si>
    <t>Bearing</t>
  </si>
  <si>
    <t>PBD (Specified ECEF)</t>
  </si>
  <si>
    <t>PBD (Specified Lat/Long)</t>
  </si>
  <si>
    <t>PBD (Specified Multilaterated)</t>
  </si>
  <si>
    <t>PBD (UTM)</t>
  </si>
  <si>
    <t>Bullseye Location</t>
  </si>
  <si>
    <t>No Bullseye</t>
  </si>
  <si>
    <t>Babbage</t>
  </si>
  <si>
    <t>Rotation Rate (hours)</t>
  </si>
  <si>
    <t>Rotation Rate (deg/min)</t>
  </si>
  <si>
    <t>Cycle</t>
  </si>
  <si>
    <t>Provides a status of the space stations from a specific location in Stanton.</t>
  </si>
  <si>
    <t>Condition At Station</t>
  </si>
  <si>
    <t>Daylight Length</t>
  </si>
  <si>
    <t xml:space="preserve">Condition </t>
  </si>
  <si>
    <t>Sunrise</t>
  </si>
  <si>
    <t>Sunset</t>
  </si>
  <si>
    <t>Station Location</t>
  </si>
  <si>
    <t>Station Condition</t>
  </si>
  <si>
    <t>qw</t>
  </si>
  <si>
    <t>qx</t>
  </si>
  <si>
    <t>qy</t>
  </si>
  <si>
    <t>qz</t>
  </si>
  <si>
    <t>Stanton X</t>
  </si>
  <si>
    <t>Stanton Y</t>
  </si>
  <si>
    <t>Stanton Z</t>
  </si>
  <si>
    <t>Stanton Meridian</t>
  </si>
  <si>
    <t>Stanton Latitude</t>
  </si>
  <si>
    <t>Stanton Longitude</t>
  </si>
  <si>
    <t>Stanton Apparent Radius</t>
  </si>
  <si>
    <t>Height (km)</t>
  </si>
  <si>
    <t>Terrain Rise</t>
  </si>
  <si>
    <t>Terrain Set</t>
  </si>
  <si>
    <t>Risen</t>
  </si>
  <si>
    <t>Off Planet</t>
  </si>
  <si>
    <t>Hurston 02</t>
  </si>
  <si>
    <t>Crusader 02</t>
  </si>
  <si>
    <t>ArcCorp 02</t>
  </si>
  <si>
    <t>microTech 02</t>
  </si>
  <si>
    <t>Cellin 10</t>
  </si>
  <si>
    <t>Daymar 13</t>
  </si>
  <si>
    <t>Yela 01</t>
  </si>
  <si>
    <t>HUR-L1 (Refinery)</t>
  </si>
  <si>
    <t>Continuous</t>
  </si>
  <si>
    <t>---</t>
  </si>
  <si>
    <t>HUR-L1 R00</t>
  </si>
  <si>
    <t>HUR-L2 (Refinery)</t>
  </si>
  <si>
    <t>HUR-L2 R00</t>
  </si>
  <si>
    <t>HUR-L3</t>
  </si>
  <si>
    <t>HUR-L3 R00</t>
  </si>
  <si>
    <t>HUR-L4</t>
  </si>
  <si>
    <t>HUR-L4 R00</t>
  </si>
  <si>
    <t>HUR-L5</t>
  </si>
  <si>
    <t>HUR-L5 R00</t>
  </si>
  <si>
    <t>CRU-L1 (Refinery)</t>
  </si>
  <si>
    <t>CRU-L1 R00</t>
  </si>
  <si>
    <t>CRU-L2 (No Station)</t>
  </si>
  <si>
    <t>CRU-L2 R00</t>
  </si>
  <si>
    <t>CRU-L3 (No Station)</t>
  </si>
  <si>
    <t>CRU-L3 R00</t>
  </si>
  <si>
    <t>CRU-L4</t>
  </si>
  <si>
    <t>CRU-L4 R00</t>
  </si>
  <si>
    <t>CRU-L5</t>
  </si>
  <si>
    <t>CRU-L5 R00</t>
  </si>
  <si>
    <t>ARC-L1 (Refinery)</t>
  </si>
  <si>
    <t>ARC-L1 R00</t>
  </si>
  <si>
    <t>ARC-L2 (Refinery)</t>
  </si>
  <si>
    <t>ARC-L2 R00</t>
  </si>
  <si>
    <t>ARC-L3</t>
  </si>
  <si>
    <t>ARC-L3 R00</t>
  </si>
  <si>
    <t>ARC-L4 (Refinery)</t>
  </si>
  <si>
    <t>ARC-L4 R00</t>
  </si>
  <si>
    <t>ARC-L5</t>
  </si>
  <si>
    <t>ARC-L5 R00</t>
  </si>
  <si>
    <t>MIC-L1 (Refinery)</t>
  </si>
  <si>
    <t>MIC-L1 R00</t>
  </si>
  <si>
    <t>MIC-L2 (Refinery)</t>
  </si>
  <si>
    <t>MIC-L2 R00</t>
  </si>
  <si>
    <t>MIC-L3</t>
  </si>
  <si>
    <t>MIC-L3 R00</t>
  </si>
  <si>
    <t>MIC-L4</t>
  </si>
  <si>
    <t>MIC-L4 R00</t>
  </si>
  <si>
    <t>MIC-L5 (Refinery)</t>
  </si>
  <si>
    <t>MIC-L5 R00</t>
  </si>
  <si>
    <t>Stanton Magnus Jump Point</t>
  </si>
  <si>
    <t>MagnusJP R00</t>
  </si>
  <si>
    <t>Stanton Pyro Jump Point</t>
  </si>
  <si>
    <t>PyroJP R00</t>
  </si>
  <si>
    <t>Stanton Terra Jump Point</t>
  </si>
  <si>
    <t>TerraJP R00</t>
  </si>
  <si>
    <t>V2.5 Murphy's Navigation Tool</t>
  </si>
  <si>
    <t>For questions or comments about this tool, contact</t>
  </si>
  <si>
    <t>Formula documentation for sunrise/sunset calculations</t>
  </si>
  <si>
    <t>Murphy Exploration Group</t>
  </si>
  <si>
    <t>itsjustmemurphy@gmail.com</t>
  </si>
  <si>
    <t>Formula documentation for course heading and great circle distance</t>
  </si>
  <si>
    <t>Formula documentation for multilateration (triangulation)</t>
  </si>
  <si>
    <t>Credits:</t>
  </si>
  <si>
    <t>Graupunkt of Voltic-Rain</t>
  </si>
  <si>
    <r>
      <rPr>
        <sz val="10"/>
        <rFont val="宋体"/>
        <charset val="134"/>
      </rPr>
      <t xml:space="preserve">from </t>
    </r>
    <r>
      <rPr>
        <u/>
        <sz val="10"/>
        <color rgb="FF1155CC"/>
        <rFont val="宋体"/>
        <charset val="134"/>
      </rPr>
      <t>www.verseguide.com</t>
    </r>
  </si>
  <si>
    <r>
      <rPr>
        <sz val="10"/>
        <rFont val="宋体"/>
        <charset val="134"/>
      </rPr>
      <t xml:space="preserve">Chris Veness of </t>
    </r>
    <r>
      <rPr>
        <u/>
        <sz val="10"/>
        <color rgb="FF1155CC"/>
        <rFont val="宋体"/>
        <charset val="134"/>
      </rPr>
      <t>movable-type.co.uk</t>
    </r>
  </si>
  <si>
    <t>xabdiben of Gallog</t>
  </si>
  <si>
    <t>Lord Skippy</t>
  </si>
  <si>
    <r>
      <rPr>
        <sz val="10"/>
        <rFont val="宋体"/>
        <charset val="134"/>
      </rPr>
      <t xml:space="preserve">Eliyahu Hershfeld of </t>
    </r>
    <r>
      <rPr>
        <u/>
        <sz val="10"/>
        <color rgb="FF1155CC"/>
        <rFont val="宋体"/>
        <charset val="134"/>
      </rPr>
      <t>kosherjava.com</t>
    </r>
  </si>
  <si>
    <t>CaptSheppard</t>
  </si>
  <si>
    <t>Bearded Nugget</t>
  </si>
  <si>
    <r>
      <rPr>
        <sz val="10"/>
        <color rgb="FF000000"/>
        <rFont val="宋体"/>
        <charset val="134"/>
      </rPr>
      <t xml:space="preserve">Martin John Baker of </t>
    </r>
    <r>
      <rPr>
        <u/>
        <sz val="10"/>
        <color rgb="FF1155CC"/>
        <rFont val="宋体"/>
        <charset val="134"/>
      </rPr>
      <t>euclideanspace.com</t>
    </r>
  </si>
  <si>
    <t>Pandabot</t>
  </si>
  <si>
    <t>StoicMako</t>
  </si>
  <si>
    <t>www.geogebra.org</t>
  </si>
  <si>
    <t>Bo-Fone</t>
  </si>
  <si>
    <t>Thanitorial</t>
  </si>
  <si>
    <t>Smarty</t>
  </si>
  <si>
    <t>This worksheet calculates sunrise and sunset times for locations throughout Stanton.  Times can be calculated for the next event or for future events.  To calculate future events, provide the requested date and time.</t>
  </si>
  <si>
    <r>
      <rPr>
        <sz val="10"/>
        <rFont val="宋体"/>
        <charset val="134"/>
      </rPr>
      <t xml:space="preserve">It can triangulate any location from 4 QT/OM distances. - use the User Defined Location boxes to triangulate an unknown position.   The worksheet will return a cartesian X Y Z coordinate that can be used in </t>
    </r>
    <r>
      <rPr>
        <u/>
        <sz val="10"/>
        <color rgb="FF1155CC"/>
        <rFont val="宋体"/>
        <charset val="134"/>
      </rPr>
      <t>verseguide.com</t>
    </r>
  </si>
  <si>
    <t>For best results, use QT markers less than 1000km from your location.</t>
  </si>
  <si>
    <t>Use the Starmap (F2) to measure distances to QT markers (1 meter precision) or use the ship's HUD to measure distances to OMs (100 meter precision)</t>
  </si>
  <si>
    <t>No user input is required for this calculator, other than to choose the user time zone.</t>
  </si>
  <si>
    <t>Instructions</t>
  </si>
  <si>
    <t>Save a copy to your own google drive in order to change the settings. - then go to the Primary and Secondary tabs and "Allow Access"</t>
  </si>
  <si>
    <t>1. Choose the body you are interested.</t>
  </si>
  <si>
    <t>2. Verify the selection of the correction navigation database in the upper right (Cell Z1)</t>
  </si>
  <si>
    <t>3. To view times in local time, choose your UTC offset.  otherwise times displayed by the calculator are in UTC time.</t>
  </si>
  <si>
    <t>4. For the next occurances, leave the Date and Time to NOW.   To see future times calculations of sunrise or sunset, Change the date and time to a future or past date</t>
  </si>
  <si>
    <t>Times of the events are NOT compensated for terrain but are corrected for declination of the primary star, location latitude, and location altitude.</t>
  </si>
  <si>
    <t>Rise time is when the upper limb of the object crosses above the horizon (zero pitch line), Set time is when the upper limb drops below the horizon (zero pitch line).</t>
  </si>
  <si>
    <t>To correct event times for terrain, measure the angular difference between the terrain obstruction and the horizon in degrees and enter the angle (Column N for rise and Column O for set) in the outpost row of the Nav Database sheet</t>
  </si>
  <si>
    <t>Calculations may degrade over time and the tool will need to be recalibrated to match in-game times.  To recalibrate your own sheet, follow the calibration instructions in cells A111-Z140 of the Navigation Sheet</t>
  </si>
  <si>
    <t>Patches changes may require recalibration of the worksheet to match ingame server observations.</t>
  </si>
  <si>
    <t>Experiments have shown that since 3.9.0-LIVE, universe time for servers across different regions (USA/EU/AUS) and between servers within the same region appear to be synchronized.</t>
  </si>
  <si>
    <t>Locations may be sorted by Outpost Type and Longitude (from 180 east to 180 west)</t>
  </si>
  <si>
    <t>The worksheet will auto update every minute, so you can watch the progression of Stanton as the "day" progresses in Longitude mode</t>
  </si>
  <si>
    <t>Off-World Navigation</t>
  </si>
  <si>
    <t>Choosing an off-world point - provides an azimuth and altitude to the off-world point.  If it is obstructed - a time for the point to become unobstructed is provided.</t>
  </si>
  <si>
    <t>On-World Navigation</t>
  </si>
  <si>
    <r>
      <rPr>
        <sz val="10"/>
        <rFont val="宋体"/>
        <charset val="134"/>
      </rPr>
      <t xml:space="preserve">To navigate to a location without a QT marker, either copy the OM distances (OM1/OM3/OM5 and height) or the XYZ cartesian coordinates, and transfer these values to a routing site like </t>
    </r>
    <r>
      <rPr>
        <u/>
        <sz val="10"/>
        <color rgb="FF1155CC"/>
        <rFont val="宋体"/>
        <charset val="134"/>
      </rPr>
      <t>Verseguide.com</t>
    </r>
    <r>
      <rPr>
        <sz val="10"/>
        <rFont val="宋体"/>
        <charset val="134"/>
      </rPr>
      <t xml:space="preserve"> to generate a routing solution.</t>
    </r>
  </si>
  <si>
    <t>Another website that calculates navigation routing is Nova Navigator at:</t>
  </si>
  <si>
    <t>nova-public.gitlab.io/navigator</t>
  </si>
  <si>
    <t>Choosing an on-world point - provides</t>
  </si>
  <si>
    <t>1 - azimuth and altitude (bearing/compass heading and elevation) from the location to the on-world point</t>
  </si>
  <si>
    <t>2 - direct distance - that would appear on your ship's HUD with the QT drive spooled.</t>
  </si>
  <si>
    <t>3 - great circle distance - the distance you would have to fly or drive along the surface of the moon or planet to reach the on-world point.</t>
  </si>
  <si>
    <t>Known Issues</t>
  </si>
  <si>
    <t>When triangulating your position, use QT markers in all 3 dimensions</t>
  </si>
  <si>
    <t>When using OMs for triangulation, use one OM from the following OM pairs (OM1/2) (OM3/4) (OM5/6) and another point - you can use the planet/moon origin. (0,0,0) or any other QT / OM marker</t>
  </si>
  <si>
    <t>You cannot use (OM1, OM2, OM3, OM4) or (OM1, OM2, OM5, OM6) or (OM3, OM4, OM5, OM6)</t>
  </si>
  <si>
    <t xml:space="preserve">Links to Charts (Below) </t>
  </si>
  <si>
    <t>Geogebra Models</t>
  </si>
  <si>
    <t>Directory</t>
  </si>
  <si>
    <t>sized for 8.5x14 US Legal paper (can print to fit for 8.5x11 US Letter paper)</t>
  </si>
  <si>
    <t>Stanton 3.21</t>
  </si>
  <si>
    <t>https://www.geogebra.org/3d/wwe3szqb</t>
  </si>
  <si>
    <t>&lt;----   Link for all charts 3.8 and later</t>
  </si>
  <si>
    <t>Pyro 3.21</t>
  </si>
  <si>
    <t>https://www.geogebra.org/3d/fjsczhxc</t>
  </si>
  <si>
    <t>Example Chart</t>
  </si>
  <si>
    <t>High Resolution Chart (being added from 3.19.0 onwards)</t>
  </si>
  <si>
    <t>Standard Chart</t>
  </si>
  <si>
    <t>Julian Date</t>
  </si>
  <si>
    <t>User Time</t>
  </si>
  <si>
    <t>&lt;- enter custom date and time or "Now"</t>
  </si>
  <si>
    <t>Current Orbital Position</t>
  </si>
  <si>
    <t>1/1/2950 = current ingame time</t>
  </si>
  <si>
    <t>Orbital Radius</t>
  </si>
  <si>
    <t>Orbital Ratio</t>
  </si>
  <si>
    <t>Orbital Period</t>
  </si>
  <si>
    <t>Orbits since start of Epoch</t>
  </si>
  <si>
    <t>Percent of Orbit Complete</t>
  </si>
  <si>
    <t>Percentage to Degrees</t>
  </si>
  <si>
    <t>Choose two bodies</t>
  </si>
  <si>
    <t>Body 1</t>
  </si>
  <si>
    <t>Hurston</t>
  </si>
  <si>
    <t>Body 2</t>
  </si>
  <si>
    <t>Arial</t>
  </si>
  <si>
    <t>3.17.2-PTU GeoGebra orbital model</t>
  </si>
  <si>
    <t>Aberdeen</t>
  </si>
  <si>
    <t>Planets</t>
  </si>
  <si>
    <t>LaGrange</t>
  </si>
  <si>
    <t>Magda</t>
  </si>
  <si>
    <t>HUR-L1</t>
  </si>
  <si>
    <t>Ita</t>
  </si>
  <si>
    <t>HUR-L2</t>
  </si>
  <si>
    <t>ArcCorp</t>
  </si>
  <si>
    <t>Delamar</t>
  </si>
  <si>
    <t>CRU-L1</t>
  </si>
  <si>
    <t>Moons</t>
  </si>
  <si>
    <t>CRU-L2</t>
  </si>
  <si>
    <t>CRU-L3</t>
  </si>
  <si>
    <t>Cellin</t>
  </si>
  <si>
    <t>Daymar</t>
  </si>
  <si>
    <t>ARC-L1</t>
  </si>
  <si>
    <t>ARC-L2</t>
  </si>
  <si>
    <t>ARC-L4</t>
  </si>
  <si>
    <t>Lyria</t>
  </si>
  <si>
    <t>Wala</t>
  </si>
  <si>
    <t>MIC-L1</t>
  </si>
  <si>
    <t>Calliope</t>
  </si>
  <si>
    <t>MIC-L2</t>
  </si>
  <si>
    <t>Clio</t>
  </si>
  <si>
    <t>Euterpe</t>
  </si>
  <si>
    <t>MIC-L5</t>
  </si>
  <si>
    <t>System</t>
  </si>
  <si>
    <t>Select Database from Dropdown</t>
  </si>
  <si>
    <t>Loaded Database</t>
  </si>
  <si>
    <t>Override</t>
  </si>
  <si>
    <t>Manual Database Entry</t>
  </si>
  <si>
    <t>Primary Database</t>
  </si>
  <si>
    <t>Secondary Database</t>
  </si>
  <si>
    <t>3.22.1-LIVE 9097523</t>
  </si>
  <si>
    <t>Available Databases</t>
  </si>
  <si>
    <t>3.20.0-PTU 8686278</t>
  </si>
  <si>
    <t>1Vb_mDmgDAHdXw22bwldaSYb7adZb0Tl2j-qHluXgCUQ</t>
  </si>
  <si>
    <t>AA862</t>
  </si>
  <si>
    <t>3.19.1-LIVE 8526421</t>
  </si>
  <si>
    <t>1eAzBzbOg32gsMgv1oVaK9i5pWBCzGP8rB_U9cJgwk74</t>
  </si>
  <si>
    <t>AA589</t>
  </si>
  <si>
    <t>3.19.0-PTU 8465349</t>
  </si>
  <si>
    <t>1fp_bmQpqsChG2w7LdNdB_RZeZMAslJcSC-hqzY-mqMk</t>
  </si>
  <si>
    <t>AA671</t>
  </si>
  <si>
    <t>3.19.0-LIVE 8478820</t>
  </si>
  <si>
    <t>1kkaVLGRtLRjO4SorTZZX5DVfz8fml45HRDvQGFFPaRM</t>
  </si>
  <si>
    <t>3.18.2-LIVE 8440578</t>
  </si>
  <si>
    <t>1URB1uD7jBWenhYzNXKywZeE2nTsyEZaNrfwr9CiNWe4</t>
  </si>
  <si>
    <t>3.17.2-LIVE 8148301</t>
  </si>
  <si>
    <t>1KODoZ4iEdWJC_7WqEadY26eaKP45n1j8lbq_gFlwqYs</t>
  </si>
  <si>
    <t>AA1054</t>
  </si>
  <si>
    <t>3.5.1-LIVE 1835013</t>
  </si>
  <si>
    <t>14Ym_Rk3eprh1NNNPHKXvjK1fV8_6seoLnnAJ6yvghug</t>
  </si>
  <si>
    <t>AA347</t>
  </si>
  <si>
    <t>3.20.0-LIVE 8717119</t>
  </si>
  <si>
    <t>1Veu3H5LShk9-pCKihAEKX213G1XUewOjCBe4A03l8vQ</t>
  </si>
  <si>
    <t>3.21.0-PTU 8728532</t>
  </si>
  <si>
    <t>1kL0G-3_7gDK4OX5ppuCf9RJtnp4TZ9Y-pkr17IVfdwk</t>
  </si>
  <si>
    <t>3.21.0-LIVE 8779972</t>
  </si>
  <si>
    <t>1PdVk9GsmcAWMsRLt-Hx_XxfTUPZW8OuSnPICUuR7tgM</t>
  </si>
  <si>
    <t>3.21.0-PTU 8816750 PYR</t>
  </si>
  <si>
    <t>10e2bMmHL5ouVtrcguZ_mnk0QvYysxe35uXfKz0JnxmM</t>
  </si>
  <si>
    <t>AA110</t>
  </si>
  <si>
    <t>1JNYoq9h_0ar13HRo8mIXiiUR24gecWwkt3tHJRcu0wU</t>
  </si>
  <si>
    <t>AA865</t>
  </si>
  <si>
    <t>3.23.0-PTU 9138466</t>
  </si>
  <si>
    <t>1a1XupRYuca1IamZ-hwUdl6KXshKgMqONeIIhGYqRIF8</t>
  </si>
  <si>
    <t>AA875</t>
  </si>
  <si>
    <t>1_Un62Byu64VcdrBAQMYyDPOlsySU6bgE1wD_ZfKohdY</t>
  </si>
  <si>
    <t>AA870</t>
  </si>
  <si>
    <t>Outpost Index</t>
  </si>
  <si>
    <t>Time Index</t>
  </si>
  <si>
    <t>Waypoint Name</t>
  </si>
  <si>
    <t>Cartesian Coordinate (x y z) in km</t>
  </si>
  <si>
    <t>Rotation Quaternion (w,x,y,z)</t>
  </si>
  <si>
    <t>QTMarker</t>
  </si>
  <si>
    <t>Arrival Radius</t>
  </si>
  <si>
    <t>Time Lines</t>
  </si>
  <si>
    <t>Rotation Speed</t>
  </si>
  <si>
    <t>Rotation Adjust</t>
  </si>
  <si>
    <t>Orbital Speed</t>
  </si>
  <si>
    <t>Orbital Angle</t>
  </si>
  <si>
    <t>Grid Radius</t>
  </si>
  <si>
    <t>Adjustment Date</t>
  </si>
  <si>
    <t>Body Selection</t>
  </si>
  <si>
    <t>Log Entry</t>
  </si>
  <si>
    <t>Triangulation Points</t>
  </si>
  <si>
    <t>Triangulation X Y Z</t>
  </si>
  <si>
    <t>Showlocation</t>
  </si>
  <si>
    <t>Showlocation X Y Z</t>
  </si>
  <si>
    <t>Adjusted Hurston to 19.07711</t>
  </si>
  <si>
    <t>Hiram</t>
  </si>
  <si>
    <t>Ishmael</t>
  </si>
  <si>
    <t>Hendricks</t>
  </si>
  <si>
    <t>Lorville</t>
  </si>
  <si>
    <t>Coordinates: x:12851489883.926142 y:-6777.842309 z:498567.617486</t>
  </si>
  <si>
    <t>Adjusted Ita to 243.01004</t>
  </si>
  <si>
    <t>Ryder</t>
  </si>
  <si>
    <t>Woodruff</t>
  </si>
  <si>
    <t>ST1-02</t>
  </si>
  <si>
    <t>Coordinates: x:12829727078.833935 y:114981648.917070 z:1266.089376</t>
  </si>
  <si>
    <t>Adjusted Aberdeen to 116.64688</t>
  </si>
  <si>
    <t>Anderson</t>
  </si>
  <si>
    <t>ST1-92</t>
  </si>
  <si>
    <t>Dobbs</t>
  </si>
  <si>
    <t>Coordinates: x:12905410542.206144 y:41222110.605466 z:950.083880</t>
  </si>
  <si>
    <t>Adjusted Arial to 38.36127</t>
  </si>
  <si>
    <t>Bezdek</t>
  </si>
  <si>
    <t>Lathan</t>
  </si>
  <si>
    <t>ST1-13</t>
  </si>
  <si>
    <t>Coordinates: x:12892740001.368408 y:-30969231.230114 z:2417.261997</t>
  </si>
  <si>
    <t>Adjusted ArcCorp to 230.64947</t>
  </si>
  <si>
    <t>Area 06</t>
  </si>
  <si>
    <t>Area 18</t>
  </si>
  <si>
    <t>Baijini</t>
  </si>
  <si>
    <t>Coordinates: x:18587950216.854279 y:-22151131384.532612 z:-364773.868913</t>
  </si>
  <si>
    <t>Adjusted Lyria to 359.28521</t>
  </si>
  <si>
    <t>Humboldt</t>
  </si>
  <si>
    <t>Security</t>
  </si>
  <si>
    <t>ST3-18</t>
  </si>
  <si>
    <t>Coordinates: x:18703239586.496609 y:-22121760972.167175 z:3164.978001</t>
  </si>
  <si>
    <t>Adjusted Wala to 135.42406</t>
  </si>
  <si>
    <t>ArcCorp 045</t>
  </si>
  <si>
    <t>ArcCorp 056</t>
  </si>
  <si>
    <t>ArcCorp 048</t>
  </si>
  <si>
    <t>Coordinates: x:18380072388.232723 y:-22000611413.961811 z:1210.138126</t>
  </si>
  <si>
    <t>Adjusted microTech to 216.99478</t>
  </si>
  <si>
    <t>Shubin 18</t>
  </si>
  <si>
    <t>Nuiqsut</t>
  </si>
  <si>
    <t>DC E2Q</t>
  </si>
  <si>
    <t>DC 5WQ</t>
  </si>
  <si>
    <t>Coordinates: x:22462376072.143360 y:37187006594.079552 z:-1.193765</t>
  </si>
  <si>
    <t>Adjusted Euterpe to 268.94567</t>
  </si>
  <si>
    <t>Growery</t>
  </si>
  <si>
    <t>ST4-64</t>
  </si>
  <si>
    <t>Coordinates: x:22488000617.430626 y:37081480569.289696 z:4407.607274</t>
  </si>
  <si>
    <t>Adjusted Clio to 311.50879</t>
  </si>
  <si>
    <t>Cantwell</t>
  </si>
  <si>
    <t>McGrath</t>
  </si>
  <si>
    <t>ST4-59</t>
  </si>
  <si>
    <t>Coordinates: x:22477125801.518673 y:37090710407.645729 z:880.619034</t>
  </si>
  <si>
    <t>Adjusted Calliope to 212.23878</t>
  </si>
  <si>
    <t>Kaltag</t>
  </si>
  <si>
    <t>SMCa6</t>
  </si>
  <si>
    <t>ST4-31</t>
  </si>
  <si>
    <t>Coordinates: x:22398667486.495987 y:37168570528.652191 z:612.119822</t>
  </si>
  <si>
    <t>Adjusted Cellin to 38.48834</t>
  </si>
  <si>
    <t>Julep</t>
  </si>
  <si>
    <t>Ashburn</t>
  </si>
  <si>
    <t>Flanagan</t>
  </si>
  <si>
    <t>Coordinates: x:-18987464482.846230 y:-2708615724.763605 z:-44538.887519</t>
  </si>
  <si>
    <t>Adjusted Cellin to 275.93538</t>
  </si>
  <si>
    <t>TramMyers</t>
  </si>
  <si>
    <t>ST2-28</t>
  </si>
  <si>
    <t>Coordinates: x:-18987377965.945759 y:-2709089697.676242 z:84998.390302</t>
  </si>
  <si>
    <t>Adjusted Daymar to 29.72531</t>
  </si>
  <si>
    <t>Wolf</t>
  </si>
  <si>
    <t>Bountiful</t>
  </si>
  <si>
    <t>ST2-47</t>
  </si>
  <si>
    <t>Coordinates: x:-18930798929.144783 y:-2610532884.564239 z:-64167.403129</t>
  </si>
  <si>
    <t>Adjusted Yela to 217.53541</t>
  </si>
  <si>
    <t>Adjusted Cellin to 253.40543</t>
  </si>
  <si>
    <t>Hickes</t>
  </si>
  <si>
    <t>Kareah</t>
  </si>
  <si>
    <t>Coordinates: x:-18987475440.077808 y:-2708611312.220554 z:-44869.322386</t>
  </si>
  <si>
    <t>Adjusted Hurston to 18.80864</t>
  </si>
  <si>
    <t>Tamar</t>
  </si>
  <si>
    <t>Everus</t>
  </si>
  <si>
    <t>Coordinates: x:12849257840.900978 y:-36321.767108 z:-653.838897</t>
  </si>
  <si>
    <t>Adjusted Arial to 38.23403</t>
  </si>
  <si>
    <t>Coordinates: x:12892247126.695910 y:-31193263.401451 z:-847.939449</t>
  </si>
  <si>
    <t>Adjusted Aberdeen to 116.37603</t>
  </si>
  <si>
    <t>Norgaard</t>
  </si>
  <si>
    <t>Coordinates: x:12905702308.950443 y:40521577.075712 z:922.726364</t>
  </si>
  <si>
    <t>Adjusted Ita to 242.86163</t>
  </si>
  <si>
    <t>Coordinates: x:12830562352.274359 y:114588092.168143 z:574.839353</t>
  </si>
  <si>
    <t>Adjusted ArcCorp to 230.69778</t>
  </si>
  <si>
    <t>Area 04</t>
  </si>
  <si>
    <t>Coordinates: x:18588460485.584457 y:-22151633922.846302 z:-344702.277734</t>
  </si>
  <si>
    <t>Adjusted Lyria to 359.31572</t>
  </si>
  <si>
    <t>Loveridge</t>
  </si>
  <si>
    <t>Coordinates: x:18703244768.963978 y:-22121751378.351330 z:-1202.371906</t>
  </si>
  <si>
    <t>Adjusted Wala to 135.44732</t>
  </si>
  <si>
    <t>ArcCorp 061</t>
  </si>
  <si>
    <t>Coordinates: x:18380071648.696102 y:-22000613540.063328 z:924.135007</t>
  </si>
  <si>
    <t>Adjusted Cellin to 253.43813</t>
  </si>
  <si>
    <t>TerraMills</t>
  </si>
  <si>
    <t>Coordinates: x:-18988031695.573776 y:-2708995311.826407 z:-44869.322348</t>
  </si>
  <si>
    <t>Adjusted Yela to 217.64273</t>
  </si>
  <si>
    <t>Coordinates: x:-19022723951.421165 y:-2614434227.779068 z:578.168680</t>
  </si>
  <si>
    <t>Adjusted Daymar to 29.81301</t>
  </si>
  <si>
    <t>Shubin SCD1</t>
  </si>
  <si>
    <t>Coordinates: x:-18930995612.147381 y:-2610215932.274837 z:-843.662601</t>
  </si>
  <si>
    <t>Adjusted Calliope to 32.29155</t>
  </si>
  <si>
    <t>Anvik</t>
  </si>
  <si>
    <t>Coordinates: x:22398480222.455921 y:37168507302.282173 z:-647.827745</t>
  </si>
  <si>
    <t>Adjusted microTech to 217.02396</t>
  </si>
  <si>
    <t>Calhoun Pass</t>
  </si>
  <si>
    <t>DC 2UB</t>
  </si>
  <si>
    <t>Coordinates: x:22461559604.128590 y:37186977934.468582 z:922.110191</t>
  </si>
  <si>
    <t>Adjusted Euterpe to 268.97906</t>
  </si>
  <si>
    <t>Coordinates: x:22488003620.244316 y:37081481124.105789 z:4161.117449</t>
  </si>
  <si>
    <t>Adjusted Clio to 311.54047</t>
  </si>
  <si>
    <t>Coordinates: x:22477128357.584385 y:37090713804.702171 z:707.789762</t>
  </si>
  <si>
    <t>Adjusted Calliope to 212.27221</t>
  </si>
  <si>
    <t>Coordinates: x:22398662688.936478 y:37168565887.868851 z:2641.996437</t>
  </si>
  <si>
    <t>Adjusted microTech to 217.06317</t>
  </si>
  <si>
    <t>Coordinates: x:22462852764.254074 y:37186781814.888710 z:452.176903</t>
  </si>
  <si>
    <t>Adjusted Calliope to 212.26547</t>
  </si>
  <si>
    <t>Coordinates: x:22398491986.099319 y:37169223868.859291 z:905.204030</t>
  </si>
  <si>
    <t>Adjusted Euterpe to 268.96807</t>
  </si>
  <si>
    <t>OM6</t>
  </si>
  <si>
    <t>Coordinates: x:22487830727.760555 y:37081371766.239952 z:-941.483364</t>
  </si>
  <si>
    <t>Adjusted Clio to 311.54941</t>
  </si>
  <si>
    <t>Coordinates: x:22477124518.479584 y:37090709133.725082 z:940.981399</t>
  </si>
  <si>
    <t>Adjusted Hurston to 19.13668</t>
  </si>
  <si>
    <t>Coordinates: x:12851075367.791388 y:829595.592266 z:497473.653587</t>
  </si>
  <si>
    <t>Adjusted Arial to 38.35049</t>
  </si>
  <si>
    <t>Coordinates: x:12892255003.670086 y:-31182103.559656 z:13764.691034</t>
  </si>
  <si>
    <t>Adjusted Ita to 243.03834</t>
  </si>
  <si>
    <t>Coordinates: x:12830398094.842905 y:114466581.676321 z:2521.239010</t>
  </si>
  <si>
    <t>Adjusted Aberdeen to 121.69339</t>
  </si>
  <si>
    <t>Barton</t>
  </si>
  <si>
    <t>Coordinates: x:12905426296.458893 y:41241231.489201 z:-859.054139</t>
  </si>
  <si>
    <t>Adjusted Daymar to 29.80308</t>
  </si>
  <si>
    <t>Kudre Cave</t>
  </si>
  <si>
    <t>ArcCorp 141</t>
  </si>
  <si>
    <t>Coordinates: x:-18930786339.388359 y:-2610541056.614236 z:-63515.367135</t>
  </si>
  <si>
    <t>Adjusted Yela to 217.62051</t>
  </si>
  <si>
    <t>Deakins</t>
  </si>
  <si>
    <t>Coordinates: x:-19022441634.782181 y:-2613938556.112607 z:-207.193921</t>
  </si>
  <si>
    <t>Adjusted Cellin to 253.42864</t>
  </si>
  <si>
    <t>Gallete</t>
  </si>
  <si>
    <t>Coordinates: x:-18987770680.527157 y:-2708617603.472810 z:-985.381821</t>
  </si>
  <si>
    <t>Adjusted Wala to 135.44172</t>
  </si>
  <si>
    <t>Coordinates: x:18379895815.997856 y:-22000135727.125664 z:-960.119122</t>
  </si>
  <si>
    <t>Adjusted Lyria to 359.29133</t>
  </si>
  <si>
    <t>SAL-2</t>
  </si>
  <si>
    <t>Coordinates: x:18703244004.924850 y:-22121524993.871540 z:-820.581721</t>
  </si>
  <si>
    <t>Adjusted ArcCorp to 230.67557</t>
  </si>
  <si>
    <t>Coordinates: x:18587694244.635403 y:-22152746260.312561 z:-359092.365156</t>
  </si>
  <si>
    <t>Coordinates: x:-18987491988.998909 y:-2708606156.066628 z:-45678.598950</t>
  </si>
  <si>
    <t>Adjusted Yela to 217.67534</t>
  </si>
  <si>
    <t>GrimHEX</t>
  </si>
  <si>
    <t>ArcCorp 157</t>
  </si>
  <si>
    <t>Coordinates: x:-19022624593.380585 y:-2614375064.004914 z:263.322306</t>
  </si>
  <si>
    <t>Adjusted Daymar to 29.85627</t>
  </si>
  <si>
    <t>Eager</t>
  </si>
  <si>
    <t>Coordinates: x:-18930996548.089951 y:-2610208837.747458 z:-952.456048</t>
  </si>
  <si>
    <t>Adjusted Ita to 243.05551</t>
  </si>
  <si>
    <t>Coordinates: x:12830312326.495043 y:114436744.709284 z:2407.748214</t>
  </si>
  <si>
    <t>Adjusted Arial to 38.40513</t>
  </si>
  <si>
    <t>Coordinates: x:12892459219.209524 y:-31011346.895817 z:-603.413895</t>
  </si>
  <si>
    <t>Adjusted Aberdeen to 116.75908</t>
  </si>
  <si>
    <t>Coordinates: x:12905698593.244268 y:40521922.418181 z:969.110087</t>
  </si>
  <si>
    <t>Adjusted Hurston to 19.18325</t>
  </si>
  <si>
    <t>Breckenridge</t>
  </si>
  <si>
    <t>Hobart</t>
  </si>
  <si>
    <t>Damaris</t>
  </si>
  <si>
    <t>Coordinates: x:12851354897.749998 y:795766.750135 z:-21.066159</t>
  </si>
  <si>
    <t>Adjusted microTech to 217.05704</t>
  </si>
  <si>
    <t>Coordinates: x:22461064777.140804 y:37186689303.737869 z:582.021847</t>
  </si>
  <si>
    <t>Adjusted Calliope to 212.29592</t>
  </si>
  <si>
    <t>SMCa8</t>
  </si>
  <si>
    <t>Coordinates: x:22398753574.951519 y:37168959736.171371 z:5911.075723</t>
  </si>
  <si>
    <t>Adjusted Euterpe to 268.99021</t>
  </si>
  <si>
    <t>Coordinates: x:22487832036.734531 y:37081373329.746895 z:-981.035571</t>
  </si>
  <si>
    <t>Adjusted Clio to 311.57216</t>
  </si>
  <si>
    <t>Coordinates: x:22476631279.161663 y:37091514202.073868 z:3294.053190</t>
  </si>
  <si>
    <t>Adjusted Wala to 135.44644</t>
  </si>
  <si>
    <t>Coordinates: x:18379657996.724281 y:-22000019554.206623 z:-868.858783</t>
  </si>
  <si>
    <t>Adjusted Lyria to 359.32722</t>
  </si>
  <si>
    <t>Coordinates: x:18703244588.836002 y:-22121523346.467339 z:-884.268083</t>
  </si>
  <si>
    <t>Adjusted ArcCorp to 230.10844</t>
  </si>
  <si>
    <t>Coordinates: x:18586910002.544147 y:-22151579352.344536 z:-349870.557737</t>
  </si>
  <si>
    <t>Adjusted Cellin to 253.42787</t>
  </si>
  <si>
    <t>Coordinates: x:-18987461744.533604 y:-2708616193.559946 z:-45596.910759</t>
  </si>
  <si>
    <t>Adjusted Magda to 241.85858</t>
  </si>
  <si>
    <t>Hahn</t>
  </si>
  <si>
    <t>Perlman</t>
  </si>
  <si>
    <t>ST1-48</t>
  </si>
  <si>
    <t>Coordinates: x:12792400440.005661 y:-74060914.038157 z:1248.952196</t>
  </si>
  <si>
    <t>Adjusted Hurston to 19.15183</t>
  </si>
  <si>
    <t>ST1-61</t>
  </si>
  <si>
    <t>R&amp;D Orinth</t>
  </si>
  <si>
    <t>Hadley</t>
  </si>
  <si>
    <t>Coordinates: x:12851321729.087980 y:832098.672579 z:-349.153041</t>
  </si>
  <si>
    <t>Adjusted Aberdeen to 116.77511</t>
  </si>
  <si>
    <t>Coordinates: x:12905449781.146080 y:40644423.043702 z:-916.996238</t>
  </si>
  <si>
    <t>Adjusted Arial to 38.44015</t>
  </si>
  <si>
    <t>Coordinates: x:12892745707.137960 y:-30969562.513028 z:2285.665979</t>
  </si>
  <si>
    <t>Adjusted Magda to 242.48305</t>
  </si>
  <si>
    <t>Coordinates: x:12793122899.878517 y:-74205048.704684 z:2424.679790</t>
  </si>
  <si>
    <t>Adjusted Ita to 243.06881</t>
  </si>
  <si>
    <t>Coordinates: x:12830116491.200598 y:114428634.840220 z:1385.348905</t>
  </si>
  <si>
    <t>Adjusted Wala to 135.47493</t>
  </si>
  <si>
    <t>Coordinates: x:18380076039.697189 y:-22000600855.513435 z:907.884555</t>
  </si>
  <si>
    <t>Adjusted Lyria to 359.34364</t>
  </si>
  <si>
    <t>Coordinates: x:18703241702.981098 y:-22121531815.327232 z:-435.484849</t>
  </si>
  <si>
    <t>Adjusted ArcCorp to 230.28644</t>
  </si>
  <si>
    <t>Coordinates: x:18587548118.652298 y:-22152733860.248341 z:-358375.917614</t>
  </si>
  <si>
    <t>Adjusted microTech to 217.05751</t>
  </si>
  <si>
    <t>Coordinates: x:22460593577.938362 y:37185734042.736244 z:713.022080</t>
  </si>
  <si>
    <t>Adjusted Calliope to 212.31729</t>
  </si>
  <si>
    <t>Coordinates: x:22398747674.157589 y:37168977283.942749 z:9179.742675</t>
  </si>
  <si>
    <t>Adjusted Clio to 311.58139</t>
  </si>
  <si>
    <t>Coordinates: x:22476348922.927624 y:37091352043.046310 z:655.789874</t>
  </si>
  <si>
    <t>Adjusted Euterpe to 269.00742</t>
  </si>
  <si>
    <t>Devlin Scrap</t>
  </si>
  <si>
    <t>Coordinates: x:22487813724.297997 y:37081351079.287094 z:11119.387953</t>
  </si>
  <si>
    <t>Adjusted Cellin to 253.45609</t>
  </si>
  <si>
    <t>Coordinates: x:-18987547632.017670 y:-2708593566.955634 z:-45335.262812</t>
  </si>
  <si>
    <t>Adjusted Yela to 217.60075</t>
  </si>
  <si>
    <t>Coordinates: x:-19022680814.011848 y:-2614412571.637802 z:2408.245596</t>
  </si>
  <si>
    <t>Adjusted Daymar to 29.88665</t>
  </si>
  <si>
    <t>Dunlow</t>
  </si>
  <si>
    <t>Coordinates: x:-18930994270.035957 y:-2610226463.100806 z:1308.814311</t>
  </si>
  <si>
    <t>Adjusted Daymar to 29.86415</t>
  </si>
  <si>
    <t>Coordinates: x:-18930228430.544949 y:-2610491213.338558 z:-63672.096155</t>
  </si>
  <si>
    <t>Adjusted Daymar to 29.77941</t>
  </si>
  <si>
    <t>Coordinates: x:-18930697642.134247 y:-2610590468.399419 z:824.600977</t>
  </si>
  <si>
    <t>Adjusted Aberdeen to 116.69573</t>
  </si>
  <si>
    <t>Coordinates: x:12905420424.472691 y:40676527.726520 z:3225.112659</t>
  </si>
  <si>
    <t>Adjusted Arial to 38.39172</t>
  </si>
  <si>
    <t>Coordinates: x:12892751434.509659 y:-30970412.820226 z:1966.946357</t>
  </si>
  <si>
    <t>Adjusted Magda to 242.31675</t>
  </si>
  <si>
    <t>Coordinates: x:12793131342.655249 y:-74219815.967777 z:3234.385605</t>
  </si>
  <si>
    <t>Adjusted Ita to 243.04919</t>
  </si>
  <si>
    <t>Coordinates: x:12830115146.042269 y:114428853.851677 z:1429.196740</t>
  </si>
  <si>
    <t>Adjusted Hurston to 19.08971</t>
  </si>
  <si>
    <t>Millerand</t>
  </si>
  <si>
    <t>Barnabas</t>
  </si>
  <si>
    <t>Coordinates: x:12850161283.945755 y:1162953.928367 z:4364.796572</t>
  </si>
  <si>
    <t>Adjusted Cellin to 253.43259</t>
  </si>
  <si>
    <t>Coordinates: x:-18987469144.118332 y:-2708613450.219502 z:-45609.639035</t>
  </si>
  <si>
    <t>Adjusted Daymar to 29.86531</t>
  </si>
  <si>
    <t>Coordinates: x:-18930799923.438892 y:-2610532263.128604 z:-63751.462081</t>
  </si>
  <si>
    <t>Adjusted Yela to 217.57101</t>
  </si>
  <si>
    <t>Coordinates: x:-19022442655.456142 y:-2613930742.875154 z:3100.175552</t>
  </si>
  <si>
    <t>Adjusted Lyria to 359.31701</t>
  </si>
  <si>
    <t>Orphanage</t>
  </si>
  <si>
    <t>Coordinates: x:18703239852.340561 y:-22121762572.000191 z:-1002.343151</t>
  </si>
  <si>
    <t>Adjusted Wala to 135.44779</t>
  </si>
  <si>
    <t>Coordinates: x:18380073124.747005 y:-22000609800.256836 z:1163.073496</t>
  </si>
  <si>
    <t>Adjusted ArcCorp to 230.66548</t>
  </si>
  <si>
    <t>Coordinates: x:18587487929.840031 y:-22152724740.745327 z:-359522.946439</t>
  </si>
  <si>
    <t>Adjusted Calliope to 212.27548</t>
  </si>
  <si>
    <t>Coordinates: x:22398752205.116657 y:37168964224.639603 z:5697.988853</t>
  </si>
  <si>
    <t>Adjusted Clio to 311.54775</t>
  </si>
  <si>
    <t>Coordinates: x:22476354419.851383 y:37091358221.267090 z:715.561777</t>
  </si>
  <si>
    <t>Adjusted Euterpe to 268.98801</t>
  </si>
  <si>
    <t>Coordinates: x:22487815581.233219 y:37081353461.138237 z:11412.539241</t>
  </si>
  <si>
    <t>Adjusted microTech to 217.03922</t>
  </si>
  <si>
    <t>Coordinates: x:22460771915.360844 y:37184927358.021286 z:1409.487406</t>
  </si>
  <si>
    <t>Adjusted Hurston to 18.93035</t>
  </si>
  <si>
    <t>Adlai</t>
  </si>
  <si>
    <t>Coordinates: x:12851067109.087324 y:558671.267063 z:564166.498006</t>
  </si>
  <si>
    <t>Adjusted Arial to 38.37781</t>
  </si>
  <si>
    <t>Coordinates: x:12892257240.849852 y:-31178518.495644 z:13102.361363</t>
  </si>
  <si>
    <t>Adjusted Aberdeen to 116.67735</t>
  </si>
  <si>
    <t>Coordinates: x:12905709657.103012 y:40520512.126704 z:3948.736560</t>
  </si>
  <si>
    <t>Adjusted Ita to 243.04561</t>
  </si>
  <si>
    <t>Coordinates: x:12830554959.399693 y:114579635.994514 z:2722.672269</t>
  </si>
  <si>
    <t>Adjusted Magda to 242.38341</t>
  </si>
  <si>
    <t>Coordinates: x:12792600700.396168 y:-74954918.455996 z:33694.112630</t>
  </si>
  <si>
    <t>Adjusted ArcCorp to 230.65793</t>
  </si>
  <si>
    <t>Coordinates: x:18587792203.704880 y:-22152662735.463562 z:-262197.656428</t>
  </si>
  <si>
    <t>Adjusted Lyria to 359.32018</t>
  </si>
  <si>
    <t>Coordinates: x:18703237386.863857 y:-22121754117.500961 z:3664.559681</t>
  </si>
  <si>
    <t>Adjusted Wala to 135.45321</t>
  </si>
  <si>
    <t>Samson &amp; Son's</t>
  </si>
  <si>
    <t>Coordinates: x:18380072827.955116 y:-22000610674.594597 z:1397.369704</t>
  </si>
  <si>
    <t>Adjusted microTech to 217.04881</t>
  </si>
  <si>
    <t>Coordinates: x:22460703672.513027 y:37186184232.443069 z:955.490200</t>
  </si>
  <si>
    <t>Adjusted Calliope to 212.31019</t>
  </si>
  <si>
    <t>Coordinates: x:22398753521.031071 y:37168959934.787308 z:-8037.993516</t>
  </si>
  <si>
    <t>Adjusted Clio to 311.54212</t>
  </si>
  <si>
    <t>Coordinates: x:22476356565.183437 y:37091360577.336945 z:999.246827</t>
  </si>
  <si>
    <t>Adjusted Euterpe to 268.99094</t>
  </si>
  <si>
    <t>Coordinates: x:22487821119.006218 y:37081360385.460510 z:11240.670908</t>
  </si>
  <si>
    <t>Adjusted Cellin to 253.44325</t>
  </si>
  <si>
    <t>Coordinates: x:-18987468519.851135 y:-2708613562.634607 z:-44627.961490</t>
  </si>
  <si>
    <t>Adjusted Yela to 217.58011</t>
  </si>
  <si>
    <t>Coordinates: x:-19022702126.639236 y:-2614423948.109303 z:2508.423674</t>
  </si>
  <si>
    <t>Adjusted Daymar to 29.89851</t>
  </si>
  <si>
    <t>Coordinates: x:-18930996150.633160 y:-2610212324.053871 z:1514.197188</t>
  </si>
  <si>
    <t>Adjusted ArcCorp to 230.73368</t>
  </si>
  <si>
    <t>Coordinates: x:18587670135.731243 y:-22151079731.145397 z:-359789.274374</t>
  </si>
  <si>
    <t>Adjusted Lyria to 359.36575</t>
  </si>
  <si>
    <t>Paradise</t>
  </si>
  <si>
    <t>Playhouse</t>
  </si>
  <si>
    <t>Coordinates: x:18703239048.795834 y:-22121759884.633705 z:-2001.304466</t>
  </si>
  <si>
    <t>Adjusted Wala to 135.45425</t>
  </si>
  <si>
    <t>Coordinates: x:18380072237.887463 y:-22000612393.305588 z:369.003936</t>
  </si>
  <si>
    <t>Adjusted microTech to 217.11688</t>
  </si>
  <si>
    <t>Tressler</t>
  </si>
  <si>
    <t>Necropolis</t>
  </si>
  <si>
    <t>DC TMG</t>
  </si>
  <si>
    <t>Coordinates: x:22461473518.898491 y:37186191775.567207 z:808372.399707</t>
  </si>
  <si>
    <t>Adjusted Calliope to 212.32677</t>
  </si>
  <si>
    <t>Raven Roost</t>
  </si>
  <si>
    <t>SPMC11</t>
  </si>
  <si>
    <t>SPMC1</t>
  </si>
  <si>
    <t>SPMC10</t>
  </si>
  <si>
    <t>Coordinates: x:22398751733.182312 y:37168965690.546844 z:5098.576621</t>
  </si>
  <si>
    <t>Adjusted Euterpe to 269.04452</t>
  </si>
  <si>
    <t>Coordinates: x:22487829135.098454 y:37081370082.165443 z:-422.577487</t>
  </si>
  <si>
    <t>Coordinates: x:22476729429.455814 y:37090529962.269661 z:646.236562</t>
  </si>
  <si>
    <t>Adjusted Hurston to 19.10777</t>
  </si>
  <si>
    <t>Coordinates: x:12851339110.062082 y:-540887.165341 z:497472.157143</t>
  </si>
  <si>
    <t>Adjusted Arial to 38.40291</t>
  </si>
  <si>
    <t>Coordinates: x:12892220867.266438 y:-31690048.890763 z:-737.778591</t>
  </si>
  <si>
    <t>Adjusted Aberdeen to 116.67681</t>
  </si>
  <si>
    <t>Coordinates: x:12905705497.355038 y:40520977.899359 z:767.434500</t>
  </si>
  <si>
    <t>Adjusted Ita to 243.07207</t>
  </si>
  <si>
    <t>Coordinates: x:12830558015.973413 y:114582959.086416 z:658.649531</t>
  </si>
  <si>
    <t>Adjusted Magda to 242.12456</t>
  </si>
  <si>
    <t>Coordinates: x:12792740183.008091 y:-73959577.647047 z:-977.538029</t>
  </si>
  <si>
    <t>Adjusted Cellin to 253.46701</t>
  </si>
  <si>
    <t>Dipur</t>
  </si>
  <si>
    <t>Coordinates: x:-18987400031.380089 y:-2708646462.876791 z:52399.246129</t>
  </si>
  <si>
    <t>Adjusted Yela to 217.58054</t>
  </si>
  <si>
    <t>Nakamura</t>
  </si>
  <si>
    <t>Coordinates: x:-19022704101.539490 y:-2614424934.954957 z:1043.343309</t>
  </si>
  <si>
    <t>Adjusted Daymar to 58.04681</t>
  </si>
  <si>
    <t>Kudre</t>
  </si>
  <si>
    <t>Coordinates: x:-18930995828.957005 y:-2610214980.404960 z:-772.837615</t>
  </si>
  <si>
    <t>Adjusted Crusader to 300.33377</t>
  </si>
  <si>
    <t>Olisar</t>
  </si>
  <si>
    <t>Orison</t>
  </si>
  <si>
    <t>Coordinates: x:-18952783365.761246 y:-2659714669.939053 z:-0.962300</t>
  </si>
  <si>
    <t>Adjusted Daymar to 30.29544</t>
  </si>
  <si>
    <t/>
  </si>
  <si>
    <t>Manual Adjustment</t>
  </si>
  <si>
    <t>Adjusted microTech to 217.29668</t>
  </si>
  <si>
    <t>Coordinates: x:22461132589.403160 y:37184665677.507027 z:-0.357752</t>
  </si>
  <si>
    <t>Adjusted Calliope to 212.45586</t>
  </si>
  <si>
    <t>Much Gratitude to CaptShephard of the Cornerstone org for</t>
  </si>
  <si>
    <t>Coordinates: x:22398017103.326744 y:37168838134.523117 z:-0.252053</t>
  </si>
  <si>
    <t>Adjusted Euterpe to 269.20569</t>
  </si>
  <si>
    <t>realigning the spreadsheet for the first time in over a year</t>
  </si>
  <si>
    <t>Coordinates: x:22487913869.679672 y:37080878102.344193 z:-0.552735</t>
  </si>
  <si>
    <t>Adjusted Clio to 311.81734</t>
  </si>
  <si>
    <t>the largest error between calculated astronomical times</t>
  </si>
  <si>
    <t>Coordinates: x:22476251341.492245 y:37091132127.778351 z:-0.623828</t>
  </si>
  <si>
    <t>Adjusted Hurston to 19.43055</t>
  </si>
  <si>
    <t>and actual ingame times was 16 seconds</t>
  </si>
  <si>
    <t>Coordinates: x:12850458272.149733 y:1436813.993369 z:-0.706898</t>
  </si>
  <si>
    <t>Adjusted Arial to 38.54331</t>
  </si>
  <si>
    <t>Coordinates: x:12892376459.280964 y:-31071871.342775 z:-0.796465</t>
  </si>
  <si>
    <t>Adjusted Aberdeen to 116.94539</t>
  </si>
  <si>
    <t>And at the same time CaptShephard reverified the OM</t>
  </si>
  <si>
    <t>Coordinates: x:12905418616.965071 y:40738203.674082 z:-0.651151</t>
  </si>
  <si>
    <t>Adjusted Magda to 242.94396</t>
  </si>
  <si>
    <t>radius distances - there were a few minor changes</t>
  </si>
  <si>
    <t>Coordinates: x:12792477840.886295 y:-74015819.394430 z:-0.579008</t>
  </si>
  <si>
    <t>Adjusted Ita to 243.28827</t>
  </si>
  <si>
    <t>most notably at Crusader</t>
  </si>
  <si>
    <t>Coordinates: x:12829722264.199497 y:114914868.104287 z:-0.731648</t>
  </si>
  <si>
    <t>Adjusted ArcCorp to 230.97696</t>
  </si>
  <si>
    <t>Coordinates: x:18587226160.588470 y:-22150852264.912857 z:-0.602341</t>
  </si>
  <si>
    <t>Adjusted Lyria to 359.49913</t>
  </si>
  <si>
    <t>Coordinates: x:18703279451.231598 y:-22121632325.455070 z:-0.708539</t>
  </si>
  <si>
    <t>Adjusted Wala to 135.63944</t>
  </si>
  <si>
    <t>Coordinates: x:18379995399.927692 y:-22000241296.948914 z:-0.673963</t>
  </si>
  <si>
    <t>Adjusted Crusader to 300.45742</t>
  </si>
  <si>
    <t>Coordinates: x:-18952114142.971878 y:-2661399720.318566 z:-0.762141</t>
  </si>
  <si>
    <t>Adjusted Yela to 218.19201</t>
  </si>
  <si>
    <t>Coordinates: x:-19022685622.205238 y:-2613603695.880804 z:-0.826987</t>
  </si>
  <si>
    <t>Adjusted Cellin to 253.65125</t>
  </si>
  <si>
    <t>Coordinates: x:-18987377083.002747 y:-2708709611.195312 z:-0.697873</t>
  </si>
  <si>
    <t>Adjusted Daymar to 30.69164</t>
  </si>
  <si>
    <t>Coordinates: x:-18930370516.907185 y:-2610554182.785121 z:-0.624017</t>
  </si>
  <si>
    <t>Adjusted ArcCorp to 178.25719</t>
  </si>
  <si>
    <t>Coordinates: x:18587954794.944000 y:-22150802598.095448 z:0.770586</t>
  </si>
  <si>
    <t>Adjusted Wala to 24.59587</t>
  </si>
  <si>
    <t>Coordinates: x:18379258530.391880 y:-22000332946.093441 z:0.781696</t>
  </si>
  <si>
    <t>Adjusted Lyria to 192.95503</t>
  </si>
  <si>
    <t>Coordinates: x:18703284568.803242 y:-22121589751.481236 z:0.817908</t>
  </si>
  <si>
    <t>Adjusted Hurston to 152.61832</t>
  </si>
  <si>
    <t>Coordinates: x:12850279413.586088 y:-1425787.915165 z:0.030620</t>
  </si>
  <si>
    <t>Adjusted Magda to 206.65208</t>
  </si>
  <si>
    <t>Coordinates: x:12792879333.584707 y:-74008916.706206 z:0.768799</t>
  </si>
  <si>
    <t>Adjusted Ita to 233.51618</t>
  </si>
  <si>
    <t>Coordinates: x:12829869233.171247 y:114571154.544872 z:0.235734</t>
  </si>
  <si>
    <t>Adjusted Arial to 41.37601</t>
  </si>
  <si>
    <t>Coordinates: x:12892707727.136705 y:-30975769.249989 z:0.083788</t>
  </si>
  <si>
    <t>Adjusted Aberdeen to 324.39502</t>
  </si>
  <si>
    <t>Coordinates: x:12905446888.648985 y:40699404.731379 z:0.136256</t>
  </si>
  <si>
    <t>Adjusted microTech to 247.89088</t>
  </si>
  <si>
    <t>Coordinates: x:22461503282.818794 y:37184428248.995331 z:0.441264</t>
  </si>
  <si>
    <t>Adjusted Calliope to 204.10786</t>
  </si>
  <si>
    <t>Coordinates: x:22398570976.163387 y:37168551861.267044 z:0.656009</t>
  </si>
  <si>
    <t>Adjusted Euterpe to 188.98616</t>
  </si>
  <si>
    <t>Coordinates: x:22487874667.931503 y:37080915325.140121 z:-0.218345</t>
  </si>
  <si>
    <t>Adjusted Clio to 50.66965</t>
  </si>
  <si>
    <t>Coordinates: x:22476707200.549690 y:37090530718.616730 z:-0.817885</t>
  </si>
  <si>
    <t>Adjusted Crusader to 259.934</t>
  </si>
  <si>
    <t>Coordinates: x:-18952562090.264385 y:-2660324343.177528 z:-0.736837</t>
  </si>
  <si>
    <t>Adjusted Daymar to 187.79532</t>
  </si>
  <si>
    <t>Coordinates: x:-18930402726.269482 y:-2610566450.191153 z:-0.886284</t>
  </si>
  <si>
    <t>Adjusted Yela to 358.61241</t>
  </si>
  <si>
    <t>Coordinates: x:-19022660619.133411 y:-2614372765.689795 z:-0.959399</t>
  </si>
  <si>
    <t>Adjusted Cellin to 30.18031</t>
  </si>
  <si>
    <t>Coordinates: x:-18987416306.116211 y:-2708682779.386950 z:-0.614822</t>
  </si>
  <si>
    <t>a</t>
  </si>
  <si>
    <t>f</t>
  </si>
  <si>
    <t>Radian</t>
  </si>
  <si>
    <t>h</t>
  </si>
  <si>
    <t>DeltaLat</t>
  </si>
  <si>
    <t>DeltaLong</t>
  </si>
  <si>
    <t>d</t>
  </si>
  <si>
    <t>A</t>
  </si>
  <si>
    <t>B</t>
  </si>
  <si>
    <t>x</t>
  </si>
  <si>
    <t>y</t>
  </si>
  <si>
    <t>z</t>
  </si>
  <si>
    <t>fraction</t>
  </si>
</sst>
</file>

<file path=xl/styles.xml><?xml version="1.0" encoding="utf-8"?>
<styleSheet xmlns="http://schemas.openxmlformats.org/spreadsheetml/2006/main" xmlns:mc="http://schemas.openxmlformats.org/markup-compatibility/2006" xmlns:xr9="http://schemas.microsoft.com/office/spreadsheetml/2016/revision9" mc:Ignorable="xr9">
  <numFmts count="2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0"/>
    <numFmt numFmtId="177" formatCode="0.00000000"/>
    <numFmt numFmtId="178" formatCode="0.0000000"/>
    <numFmt numFmtId="179" formatCode="0.00000"/>
    <numFmt numFmtId="180" formatCode="ddd&quot; &quot;dd&quot;-&quot;mmm&quot; &quot;yyyy&quot; &quot;hh&quot;:&quot;mm&quot;:&quot;ss"/>
    <numFmt numFmtId="181" formatCode="#,##0\ &quot;km&quot;"/>
    <numFmt numFmtId="182" formatCode="h&quot;h &quot;mm&quot;m&quot;"/>
    <numFmt numFmtId="183" formatCode="hh&quot;:&quot;mm"/>
    <numFmt numFmtId="184" formatCode="0.000000000"/>
    <numFmt numFmtId="185" formatCode="\+00;\-00"/>
    <numFmt numFmtId="186" formatCode="\+0.0&quot;°&quot;;\-0.0&quot;°&quot;"/>
    <numFmt numFmtId="187" formatCode="000"/>
    <numFmt numFmtId="188" formatCode="0.0"/>
    <numFmt numFmtId="189" formatCode="h&quot;h &quot;mm&quot;m &quot;ss&quot;s&quot;"/>
    <numFmt numFmtId="190" formatCode="#,##0.0"/>
    <numFmt numFmtId="191" formatCode="0.000000000000"/>
    <numFmt numFmtId="192" formatCode="\+0;\-0"/>
    <numFmt numFmtId="193" formatCode="\+0.000;\-0.000"/>
    <numFmt numFmtId="194" formatCode="00"/>
    <numFmt numFmtId="195" formatCode="d&quot; &quot;mmm&quot; &quot;yyyy&quot; &quot;hh&quot;:&quot;mm&quot;:&quot;ss"/>
    <numFmt numFmtId="196" formatCode="hh&quot;:&quot;mm&quot;:&quot;ss&quot;.&quot;\0\0\0"/>
  </numFmts>
  <fonts count="46">
    <font>
      <sz val="10"/>
      <color rgb="FF000000"/>
      <name val="Arial"/>
      <charset val="134"/>
      <scheme val="minor"/>
    </font>
    <font>
      <sz val="10"/>
      <color theme="1"/>
      <name val="Arial"/>
      <charset val="134"/>
      <scheme val="minor"/>
    </font>
    <font>
      <sz val="10"/>
      <color theme="1"/>
      <name val="Arial"/>
      <charset val="134"/>
    </font>
    <font>
      <sz val="10"/>
      <color rgb="FF000000"/>
      <name val="Arial"/>
      <charset val="134"/>
    </font>
    <font>
      <u/>
      <sz val="10"/>
      <color rgb="FF0000FF"/>
      <name val="Arial"/>
      <charset val="134"/>
      <scheme val="minor"/>
    </font>
    <font>
      <u/>
      <sz val="10"/>
      <color rgb="FF1155CC"/>
      <name val="Arial"/>
      <charset val="134"/>
      <scheme val="minor"/>
    </font>
    <font>
      <b/>
      <sz val="10"/>
      <color theme="1"/>
      <name val="Arial"/>
      <charset val="134"/>
      <scheme val="minor"/>
    </font>
    <font>
      <b/>
      <sz val="10"/>
      <color rgb="FFFF0000"/>
      <name val="Arial"/>
      <charset val="134"/>
      <scheme val="minor"/>
    </font>
    <font>
      <sz val="14"/>
      <color theme="1"/>
      <name val="Arial"/>
      <charset val="134"/>
      <scheme val="minor"/>
    </font>
    <font>
      <sz val="14"/>
      <color theme="1"/>
      <name val="Arial"/>
      <charset val="134"/>
    </font>
    <font>
      <u/>
      <sz val="10"/>
      <color rgb="FF0000FF"/>
      <name val="Arial"/>
      <charset val="134"/>
    </font>
    <font>
      <u/>
      <sz val="10"/>
      <color rgb="FF1155CC"/>
      <name val="Arial"/>
      <charset val="134"/>
    </font>
    <font>
      <sz val="10"/>
      <color rgb="FF000000"/>
      <name val="Roboto"/>
      <charset val="134"/>
    </font>
    <font>
      <sz val="9"/>
      <color theme="1"/>
      <name val="Arial"/>
      <charset val="134"/>
      <scheme val="minor"/>
    </font>
    <font>
      <sz val="8"/>
      <color theme="1"/>
      <name val="Arial"/>
      <charset val="134"/>
      <scheme val="minor"/>
    </font>
    <font>
      <sz val="8"/>
      <color theme="1"/>
      <name val="Arial"/>
      <charset val="134"/>
    </font>
    <font>
      <sz val="10"/>
      <name val="Arial"/>
      <charset val="134"/>
      <scheme val="minor"/>
    </font>
    <font>
      <sz val="9"/>
      <color rgb="FF000000"/>
      <name val="&quot;Google Sans Mono&quot;"/>
      <charset val="134"/>
    </font>
    <font>
      <b/>
      <sz val="10"/>
      <color rgb="FFF3F3F3"/>
      <name val="Arial"/>
      <charset val="134"/>
      <scheme val="minor"/>
    </font>
    <font>
      <sz val="9"/>
      <color theme="1"/>
      <name val="Arial"/>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
      <b/>
      <sz val="10"/>
      <color rgb="FFFF0000"/>
      <name val="Arial"/>
      <charset val="134"/>
    </font>
    <font>
      <sz val="10"/>
      <color rgb="FF000000"/>
      <name val="宋体"/>
      <charset val="134"/>
    </font>
    <font>
      <u/>
      <sz val="10"/>
      <color rgb="FF1155CC"/>
      <name val="宋体"/>
      <charset val="134"/>
    </font>
    <font>
      <sz val="10"/>
      <name val="宋体"/>
      <charset val="134"/>
    </font>
    <font>
      <b/>
      <sz val="10"/>
      <color theme="1"/>
      <name val="Arial"/>
      <charset val="134"/>
    </font>
    <font>
      <sz val="10"/>
      <name val="宋体"/>
      <charset val="134"/>
    </font>
  </fonts>
  <fills count="47">
    <fill>
      <patternFill patternType="none"/>
    </fill>
    <fill>
      <patternFill patternType="gray125"/>
    </fill>
    <fill>
      <patternFill patternType="solid">
        <fgColor rgb="FFF3F3F3"/>
        <bgColor rgb="FFF3F3F3"/>
      </patternFill>
    </fill>
    <fill>
      <patternFill patternType="solid">
        <fgColor rgb="FFFCE5CD"/>
        <bgColor rgb="FFFCE5CD"/>
      </patternFill>
    </fill>
    <fill>
      <patternFill patternType="solid">
        <fgColor rgb="FFFFF2CC"/>
        <bgColor rgb="FFFFF2CC"/>
      </patternFill>
    </fill>
    <fill>
      <patternFill patternType="solid">
        <fgColor rgb="FFC9DAF8"/>
        <bgColor rgb="FFC9DAF8"/>
      </patternFill>
    </fill>
    <fill>
      <patternFill patternType="solid">
        <fgColor rgb="FFD0E0E3"/>
        <bgColor rgb="FFD0E0E3"/>
      </patternFill>
    </fill>
    <fill>
      <patternFill patternType="solid">
        <fgColor rgb="FFFFFFFF"/>
        <bgColor rgb="FFFFFFFF"/>
      </patternFill>
    </fill>
    <fill>
      <patternFill patternType="solid">
        <fgColor rgb="FFEA9999"/>
        <bgColor rgb="FFEA9999"/>
      </patternFill>
    </fill>
    <fill>
      <patternFill patternType="solid">
        <fgColor rgb="FFD9EAD3"/>
        <bgColor rgb="FFD9EAD3"/>
      </patternFill>
    </fill>
    <fill>
      <patternFill patternType="solid">
        <fgColor rgb="FFEAD1DC"/>
        <bgColor rgb="FFEAD1DC"/>
      </patternFill>
    </fill>
    <fill>
      <patternFill patternType="solid">
        <fgColor rgb="FFFF0000"/>
        <bgColor rgb="FFFF0000"/>
      </patternFill>
    </fill>
    <fill>
      <patternFill patternType="solid">
        <fgColor rgb="FFEFEFEF"/>
        <bgColor rgb="FFEFEFEF"/>
      </patternFill>
    </fill>
    <fill>
      <patternFill patternType="solid">
        <fgColor rgb="FFE6B8AF"/>
        <bgColor rgb="FFE6B8AF"/>
      </patternFill>
    </fill>
    <fill>
      <patternFill patternType="solid">
        <fgColor rgb="FFCCCCCC"/>
        <bgColor rgb="FFCCCCCC"/>
      </patternFill>
    </fill>
    <fill>
      <patternFill patternType="solid">
        <fgColor rgb="FFD9D2E9"/>
        <bgColor rgb="FFD9D2E9"/>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ck">
        <color rgb="FFEA4335"/>
      </left>
      <right/>
      <top style="thick">
        <color rgb="FFEA4335"/>
      </top>
      <bottom style="thick">
        <color rgb="FFEA4335"/>
      </bottom>
      <diagonal/>
    </border>
    <border>
      <left/>
      <right/>
      <top style="thick">
        <color rgb="FFEA4335"/>
      </top>
      <bottom style="thick">
        <color rgb="FFEA4335"/>
      </bottom>
      <diagonal/>
    </border>
    <border>
      <left/>
      <right style="thick">
        <color rgb="FFEA4335"/>
      </right>
      <top style="thick">
        <color rgb="FFEA4335"/>
      </top>
      <bottom style="thick">
        <color rgb="FFEA4335"/>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medium">
        <color rgb="FF000000"/>
      </left>
      <right/>
      <top/>
      <bottom/>
      <diagonal/>
    </border>
    <border>
      <left/>
      <right style="medium">
        <color rgb="FF000000"/>
      </right>
      <top/>
      <bottom/>
      <diagonal/>
    </border>
    <border>
      <left/>
      <right/>
      <top/>
      <bottom style="medium">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0" fillId="0" borderId="0" applyFont="0" applyFill="0" applyBorder="0" applyAlignment="0" applyProtection="0">
      <alignment vertical="center"/>
    </xf>
    <xf numFmtId="44" fontId="20" fillId="0" borderId="0" applyFont="0" applyFill="0" applyBorder="0" applyAlignment="0" applyProtection="0">
      <alignment vertical="center"/>
    </xf>
    <xf numFmtId="9" fontId="20" fillId="0" borderId="0" applyFont="0" applyFill="0" applyBorder="0" applyAlignment="0" applyProtection="0">
      <alignment vertical="center"/>
    </xf>
    <xf numFmtId="41" fontId="20" fillId="0" borderId="0" applyFont="0" applyFill="0" applyBorder="0" applyAlignment="0" applyProtection="0">
      <alignment vertical="center"/>
    </xf>
    <xf numFmtId="42" fontId="20" fillId="0" borderId="0" applyFon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0" fillId="16" borderId="22" applyNumberFormat="0" applyFont="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23" applyNumberFormat="0" applyFill="0" applyAlignment="0" applyProtection="0">
      <alignment vertical="center"/>
    </xf>
    <xf numFmtId="0" fontId="27" fillId="0" borderId="23" applyNumberFormat="0" applyFill="0" applyAlignment="0" applyProtection="0">
      <alignment vertical="center"/>
    </xf>
    <xf numFmtId="0" fontId="28" fillId="0" borderId="24" applyNumberFormat="0" applyFill="0" applyAlignment="0" applyProtection="0">
      <alignment vertical="center"/>
    </xf>
    <xf numFmtId="0" fontId="28" fillId="0" borderId="0" applyNumberFormat="0" applyFill="0" applyBorder="0" applyAlignment="0" applyProtection="0">
      <alignment vertical="center"/>
    </xf>
    <xf numFmtId="0" fontId="29" fillId="17" borderId="25" applyNumberFormat="0" applyAlignment="0" applyProtection="0">
      <alignment vertical="center"/>
    </xf>
    <xf numFmtId="0" fontId="30" fillId="18" borderId="26" applyNumberFormat="0" applyAlignment="0" applyProtection="0">
      <alignment vertical="center"/>
    </xf>
    <xf numFmtId="0" fontId="31" fillId="18" borderId="25" applyNumberFormat="0" applyAlignment="0" applyProtection="0">
      <alignment vertical="center"/>
    </xf>
    <xf numFmtId="0" fontId="32" fillId="19" borderId="27" applyNumberFormat="0" applyAlignment="0" applyProtection="0">
      <alignment vertical="center"/>
    </xf>
    <xf numFmtId="0" fontId="33" fillId="0" borderId="28" applyNumberFormat="0" applyFill="0" applyAlignment="0" applyProtection="0">
      <alignment vertical="center"/>
    </xf>
    <xf numFmtId="0" fontId="34" fillId="0" borderId="29" applyNumberFormat="0" applyFill="0" applyAlignment="0" applyProtection="0">
      <alignment vertical="center"/>
    </xf>
    <xf numFmtId="0" fontId="35" fillId="20" borderId="0" applyNumberFormat="0" applyBorder="0" applyAlignment="0" applyProtection="0">
      <alignment vertical="center"/>
    </xf>
    <xf numFmtId="0" fontId="36" fillId="21" borderId="0" applyNumberFormat="0" applyBorder="0" applyAlignment="0" applyProtection="0">
      <alignment vertical="center"/>
    </xf>
    <xf numFmtId="0" fontId="37" fillId="22" borderId="0" applyNumberFormat="0" applyBorder="0" applyAlignment="0" applyProtection="0">
      <alignment vertical="center"/>
    </xf>
    <xf numFmtId="0" fontId="38" fillId="23" borderId="0" applyNumberFormat="0" applyBorder="0" applyAlignment="0" applyProtection="0">
      <alignment vertical="center"/>
    </xf>
    <xf numFmtId="0" fontId="39" fillId="24" borderId="0" applyNumberFormat="0" applyBorder="0" applyAlignment="0" applyProtection="0">
      <alignment vertical="center"/>
    </xf>
    <xf numFmtId="0" fontId="39" fillId="25" borderId="0" applyNumberFormat="0" applyBorder="0" applyAlignment="0" applyProtection="0">
      <alignment vertical="center"/>
    </xf>
    <xf numFmtId="0" fontId="38" fillId="26" borderId="0" applyNumberFormat="0" applyBorder="0" applyAlignment="0" applyProtection="0">
      <alignment vertical="center"/>
    </xf>
    <xf numFmtId="0" fontId="38" fillId="27" borderId="0" applyNumberFormat="0" applyBorder="0" applyAlignment="0" applyProtection="0">
      <alignment vertical="center"/>
    </xf>
    <xf numFmtId="0" fontId="39" fillId="28" borderId="0" applyNumberFormat="0" applyBorder="0" applyAlignment="0" applyProtection="0">
      <alignment vertical="center"/>
    </xf>
    <xf numFmtId="0" fontId="39" fillId="29" borderId="0" applyNumberFormat="0" applyBorder="0" applyAlignment="0" applyProtection="0">
      <alignment vertical="center"/>
    </xf>
    <xf numFmtId="0" fontId="38" fillId="30" borderId="0" applyNumberFormat="0" applyBorder="0" applyAlignment="0" applyProtection="0">
      <alignment vertical="center"/>
    </xf>
    <xf numFmtId="0" fontId="38" fillId="31" borderId="0" applyNumberFormat="0" applyBorder="0" applyAlignment="0" applyProtection="0">
      <alignment vertical="center"/>
    </xf>
    <xf numFmtId="0" fontId="39" fillId="32" borderId="0" applyNumberFormat="0" applyBorder="0" applyAlignment="0" applyProtection="0">
      <alignment vertical="center"/>
    </xf>
    <xf numFmtId="0" fontId="39" fillId="33" borderId="0" applyNumberFormat="0" applyBorder="0" applyAlignment="0" applyProtection="0">
      <alignment vertical="center"/>
    </xf>
    <xf numFmtId="0" fontId="38" fillId="34" borderId="0" applyNumberFormat="0" applyBorder="0" applyAlignment="0" applyProtection="0">
      <alignment vertical="center"/>
    </xf>
    <xf numFmtId="0" fontId="38" fillId="35" borderId="0" applyNumberFormat="0" applyBorder="0" applyAlignment="0" applyProtection="0">
      <alignment vertical="center"/>
    </xf>
    <xf numFmtId="0" fontId="39" fillId="36" borderId="0" applyNumberFormat="0" applyBorder="0" applyAlignment="0" applyProtection="0">
      <alignment vertical="center"/>
    </xf>
    <xf numFmtId="0" fontId="39" fillId="37" borderId="0" applyNumberFormat="0" applyBorder="0" applyAlignment="0" applyProtection="0">
      <alignment vertical="center"/>
    </xf>
    <xf numFmtId="0" fontId="38" fillId="38" borderId="0" applyNumberFormat="0" applyBorder="0" applyAlignment="0" applyProtection="0">
      <alignment vertical="center"/>
    </xf>
    <xf numFmtId="0" fontId="38" fillId="39" borderId="0" applyNumberFormat="0" applyBorder="0" applyAlignment="0" applyProtection="0">
      <alignment vertical="center"/>
    </xf>
    <xf numFmtId="0" fontId="39" fillId="40" borderId="0" applyNumberFormat="0" applyBorder="0" applyAlignment="0" applyProtection="0">
      <alignment vertical="center"/>
    </xf>
    <xf numFmtId="0" fontId="39" fillId="41" borderId="0" applyNumberFormat="0" applyBorder="0" applyAlignment="0" applyProtection="0">
      <alignment vertical="center"/>
    </xf>
    <xf numFmtId="0" fontId="38" fillId="42" borderId="0" applyNumberFormat="0" applyBorder="0" applyAlignment="0" applyProtection="0">
      <alignment vertical="center"/>
    </xf>
    <xf numFmtId="0" fontId="38" fillId="43" borderId="0" applyNumberFormat="0" applyBorder="0" applyAlignment="0" applyProtection="0">
      <alignment vertical="center"/>
    </xf>
    <xf numFmtId="0" fontId="39" fillId="44" borderId="0" applyNumberFormat="0" applyBorder="0" applyAlignment="0" applyProtection="0">
      <alignment vertical="center"/>
    </xf>
    <xf numFmtId="0" fontId="39" fillId="45" borderId="0" applyNumberFormat="0" applyBorder="0" applyAlignment="0" applyProtection="0">
      <alignment vertical="center"/>
    </xf>
    <xf numFmtId="0" fontId="38" fillId="46" borderId="0" applyNumberFormat="0" applyBorder="0" applyAlignment="0" applyProtection="0">
      <alignment vertical="center"/>
    </xf>
  </cellStyleXfs>
  <cellXfs count="226">
    <xf numFmtId="0" fontId="0" fillId="0" borderId="0" xfId="0"/>
    <xf numFmtId="0" fontId="1" fillId="0" borderId="0" xfId="0" applyFont="1"/>
    <xf numFmtId="176" fontId="1" fillId="0" borderId="0" xfId="0" applyNumberFormat="1" applyFont="1"/>
    <xf numFmtId="0" fontId="2" fillId="0" borderId="0" xfId="0" applyFont="1" applyAlignment="1">
      <alignment horizontal="right"/>
    </xf>
    <xf numFmtId="0" fontId="2" fillId="0" borderId="0" xfId="0" applyFont="1"/>
    <xf numFmtId="49" fontId="1" fillId="0" borderId="0" xfId="0" applyNumberFormat="1" applyFont="1" applyAlignment="1">
      <alignment horizontal="left"/>
    </xf>
    <xf numFmtId="49" fontId="1" fillId="0" borderId="0" xfId="0" applyNumberFormat="1" applyFont="1" applyAlignment="1">
      <alignment horizontal="center"/>
    </xf>
    <xf numFmtId="49" fontId="2" fillId="0" borderId="0" xfId="0" applyNumberFormat="1" applyFont="1" applyAlignment="1">
      <alignment horizontal="center"/>
    </xf>
    <xf numFmtId="176" fontId="2" fillId="0" borderId="0" xfId="0" applyNumberFormat="1" applyFont="1" applyAlignment="1">
      <alignment horizontal="center"/>
    </xf>
    <xf numFmtId="49" fontId="1" fillId="0" borderId="0" xfId="0" applyNumberFormat="1" applyFont="1"/>
    <xf numFmtId="176" fontId="1" fillId="0" borderId="0" xfId="0" applyNumberFormat="1" applyFont="1" applyAlignment="1">
      <alignment horizontal="center"/>
    </xf>
    <xf numFmtId="176" fontId="2" fillId="2" borderId="0" xfId="0" applyNumberFormat="1" applyFont="1" applyFill="1" applyAlignment="1">
      <alignment horizontal="center"/>
    </xf>
    <xf numFmtId="49" fontId="2" fillId="0" borderId="0" xfId="0" applyNumberFormat="1" applyFont="1" applyAlignment="1">
      <alignment horizontal="left"/>
    </xf>
    <xf numFmtId="177" fontId="1" fillId="0" borderId="0" xfId="0" applyNumberFormat="1" applyFont="1" applyAlignment="1">
      <alignment horizontal="center"/>
    </xf>
    <xf numFmtId="177" fontId="2" fillId="0" borderId="0" xfId="0" applyNumberFormat="1" applyFont="1" applyAlignment="1">
      <alignment horizontal="center"/>
    </xf>
    <xf numFmtId="177" fontId="2" fillId="2" borderId="0" xfId="0" applyNumberFormat="1" applyFont="1" applyFill="1" applyAlignment="1">
      <alignment horizontal="center"/>
    </xf>
    <xf numFmtId="178" fontId="2" fillId="0" borderId="0" xfId="0" applyNumberFormat="1" applyFont="1" applyAlignment="1">
      <alignment horizontal="center"/>
    </xf>
    <xf numFmtId="179" fontId="2" fillId="0" borderId="0" xfId="0" applyNumberFormat="1" applyFont="1" applyAlignment="1">
      <alignment horizontal="center"/>
    </xf>
    <xf numFmtId="178" fontId="1" fillId="0" borderId="0" xfId="0" applyNumberFormat="1" applyFont="1" applyAlignment="1">
      <alignment horizontal="center"/>
    </xf>
    <xf numFmtId="179" fontId="1" fillId="0" borderId="0" xfId="0" applyNumberFormat="1" applyFont="1" applyAlignment="1">
      <alignment horizontal="center"/>
    </xf>
    <xf numFmtId="179" fontId="1" fillId="0" borderId="0" xfId="0" applyNumberFormat="1" applyFont="1"/>
    <xf numFmtId="178" fontId="0" fillId="0" borderId="0" xfId="0" applyNumberFormat="1" applyAlignment="1">
      <alignment horizontal="center"/>
    </xf>
    <xf numFmtId="176" fontId="2" fillId="0" borderId="0" xfId="0" applyNumberFormat="1" applyFont="1" applyAlignment="1">
      <alignment horizontal="left"/>
    </xf>
    <xf numFmtId="49" fontId="2" fillId="0" borderId="0" xfId="0" applyNumberFormat="1" applyFont="1"/>
    <xf numFmtId="176" fontId="2" fillId="0" borderId="0" xfId="0" applyNumberFormat="1" applyFont="1"/>
    <xf numFmtId="178" fontId="2" fillId="0" borderId="0" xfId="0" applyNumberFormat="1" applyFont="1"/>
    <xf numFmtId="179" fontId="2" fillId="0" borderId="0" xfId="0" applyNumberFormat="1" applyFont="1"/>
    <xf numFmtId="177" fontId="2" fillId="0" borderId="0" xfId="0" applyNumberFormat="1" applyFont="1"/>
    <xf numFmtId="49" fontId="3" fillId="0" borderId="0" xfId="0" applyNumberFormat="1" applyFont="1" applyAlignment="1">
      <alignment horizontal="left"/>
    </xf>
    <xf numFmtId="0" fontId="1" fillId="0" borderId="0" xfId="0" applyFont="1" applyAlignment="1">
      <alignment horizontal="left"/>
    </xf>
    <xf numFmtId="0" fontId="1" fillId="0" borderId="0" xfId="0" applyFont="1" applyAlignment="1">
      <alignment horizontal="center"/>
    </xf>
    <xf numFmtId="176" fontId="1" fillId="0" borderId="0" xfId="0" applyNumberFormat="1" applyFont="1" applyAlignment="1">
      <alignment horizontal="left"/>
    </xf>
    <xf numFmtId="177" fontId="1" fillId="0" borderId="0" xfId="0" applyNumberFormat="1" applyFont="1" applyAlignment="1">
      <alignment horizontal="left"/>
    </xf>
    <xf numFmtId="178" fontId="1" fillId="0" borderId="0" xfId="0" applyNumberFormat="1" applyFont="1" applyAlignment="1">
      <alignment horizontal="left"/>
    </xf>
    <xf numFmtId="179" fontId="1" fillId="0" borderId="0" xfId="0" applyNumberFormat="1" applyFont="1" applyAlignment="1">
      <alignment horizontal="left"/>
    </xf>
    <xf numFmtId="0" fontId="1" fillId="3" borderId="0" xfId="0" applyFont="1" applyFill="1"/>
    <xf numFmtId="0" fontId="1" fillId="3" borderId="1" xfId="0" applyFont="1" applyFill="1" applyBorder="1"/>
    <xf numFmtId="0" fontId="1" fillId="4" borderId="0" xfId="0" applyFont="1" applyFill="1" applyAlignment="1">
      <alignment horizontal="center"/>
    </xf>
    <xf numFmtId="0" fontId="4" fillId="0" borderId="0" xfId="0" applyFont="1"/>
    <xf numFmtId="180" fontId="1" fillId="0" borderId="0" xfId="0" applyNumberFormat="1" applyFont="1"/>
    <xf numFmtId="177" fontId="1" fillId="0" borderId="0" xfId="0" applyNumberFormat="1" applyFont="1"/>
    <xf numFmtId="0" fontId="1" fillId="5" borderId="0" xfId="0" applyFont="1" applyFill="1"/>
    <xf numFmtId="181" fontId="1" fillId="0" borderId="0" xfId="0" applyNumberFormat="1" applyFont="1"/>
    <xf numFmtId="0" fontId="1" fillId="6" borderId="0" xfId="0" applyFont="1" applyFill="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7" borderId="0" xfId="0" applyFont="1" applyFill="1"/>
    <xf numFmtId="0" fontId="1" fillId="0" borderId="0" xfId="0" applyFont="1" applyAlignment="1">
      <alignment horizontal="right" vertical="center"/>
    </xf>
    <xf numFmtId="0" fontId="13" fillId="0" borderId="0" xfId="0" applyFont="1" applyAlignment="1">
      <alignment horizontal="left" vertical="center"/>
    </xf>
    <xf numFmtId="182" fontId="14" fillId="0" borderId="0" xfId="0" applyNumberFormat="1" applyFont="1" applyAlignment="1">
      <alignment horizontal="center" vertical="center"/>
    </xf>
    <xf numFmtId="0" fontId="14" fillId="0" borderId="0" xfId="0" applyFont="1" applyAlignment="1">
      <alignment horizontal="center" vertical="center"/>
    </xf>
    <xf numFmtId="183" fontId="14" fillId="0" borderId="0" xfId="0" applyNumberFormat="1" applyFont="1" applyAlignment="1">
      <alignment horizontal="center" vertical="center"/>
    </xf>
    <xf numFmtId="0" fontId="1" fillId="0" borderId="0" xfId="0" applyFont="1" applyAlignment="1">
      <alignment vertical="center"/>
    </xf>
    <xf numFmtId="184" fontId="1" fillId="0" borderId="0" xfId="0" applyNumberFormat="1" applyFont="1" applyAlignment="1">
      <alignment horizontal="right"/>
    </xf>
    <xf numFmtId="176" fontId="1" fillId="0" borderId="0" xfId="0" applyNumberFormat="1" applyFont="1" applyAlignment="1">
      <alignment horizontal="right"/>
    </xf>
    <xf numFmtId="178" fontId="1" fillId="0" borderId="0" xfId="0" applyNumberFormat="1" applyFont="1"/>
    <xf numFmtId="184" fontId="1" fillId="0" borderId="0" xfId="0" applyNumberFormat="1" applyFont="1"/>
    <xf numFmtId="184" fontId="2" fillId="0" borderId="0" xfId="0" applyNumberFormat="1" applyFont="1" applyAlignment="1">
      <alignment horizontal="right"/>
    </xf>
    <xf numFmtId="183" fontId="15" fillId="0" borderId="0" xfId="0" applyNumberFormat="1" applyFont="1" applyAlignment="1">
      <alignment horizontal="center"/>
    </xf>
    <xf numFmtId="185" fontId="1" fillId="0" borderId="0" xfId="0" applyNumberFormat="1" applyFont="1"/>
    <xf numFmtId="183" fontId="1" fillId="0" borderId="0" xfId="0" applyNumberFormat="1" applyFont="1"/>
    <xf numFmtId="183" fontId="2" fillId="0" borderId="0" xfId="0" applyNumberFormat="1" applyFont="1" applyAlignment="1">
      <alignment horizontal="right"/>
    </xf>
    <xf numFmtId="0" fontId="1" fillId="0" borderId="0" xfId="0" applyFont="1" applyAlignment="1">
      <alignment horizontal="right"/>
    </xf>
    <xf numFmtId="0" fontId="1" fillId="8" borderId="2" xfId="0" applyFont="1" applyFill="1" applyBorder="1"/>
    <xf numFmtId="0" fontId="1" fillId="8" borderId="3" xfId="0" applyFont="1" applyFill="1" applyBorder="1"/>
    <xf numFmtId="0" fontId="16" fillId="0" borderId="4" xfId="0" applyFont="1" applyBorder="1"/>
    <xf numFmtId="0" fontId="1" fillId="9" borderId="0" xfId="0" applyFont="1" applyFill="1"/>
    <xf numFmtId="176" fontId="1" fillId="9" borderId="0" xfId="0" applyNumberFormat="1" applyFont="1" applyFill="1" applyAlignment="1">
      <alignment horizontal="center"/>
    </xf>
    <xf numFmtId="176" fontId="1" fillId="5" borderId="0" xfId="0" applyNumberFormat="1" applyFont="1" applyFill="1" applyAlignment="1">
      <alignment horizontal="center"/>
    </xf>
    <xf numFmtId="0" fontId="1" fillId="10" borderId="0" xfId="0" applyFont="1" applyFill="1"/>
    <xf numFmtId="0" fontId="7" fillId="0" borderId="0" xfId="0" applyFont="1" applyAlignment="1">
      <alignment horizontal="center"/>
    </xf>
    <xf numFmtId="186" fontId="1" fillId="3" borderId="1" xfId="0" applyNumberFormat="1" applyFont="1" applyFill="1" applyBorder="1"/>
    <xf numFmtId="0" fontId="6" fillId="9" borderId="0" xfId="0" applyFont="1" applyFill="1"/>
    <xf numFmtId="0" fontId="6" fillId="5" borderId="0" xfId="0" applyFont="1" applyFill="1"/>
    <xf numFmtId="0" fontId="1" fillId="0" borderId="5" xfId="0" applyFont="1" applyBorder="1" applyAlignment="1">
      <alignment horizontal="left"/>
    </xf>
    <xf numFmtId="0" fontId="16" fillId="0" borderId="6" xfId="0" applyFont="1" applyBorder="1"/>
    <xf numFmtId="0" fontId="16" fillId="0" borderId="7" xfId="0" applyFont="1" applyBorder="1"/>
    <xf numFmtId="0" fontId="1" fillId="0" borderId="1" xfId="0" applyFont="1" applyBorder="1"/>
    <xf numFmtId="176" fontId="1" fillId="0" borderId="1" xfId="0" applyNumberFormat="1" applyFont="1" applyBorder="1"/>
    <xf numFmtId="0" fontId="1" fillId="5" borderId="0" xfId="0" applyFont="1" applyFill="1" applyAlignment="1">
      <alignment horizontal="center"/>
    </xf>
    <xf numFmtId="0" fontId="1" fillId="9" borderId="8" xfId="0" applyFont="1" applyFill="1" applyBorder="1" applyAlignment="1">
      <alignment horizontal="center"/>
    </xf>
    <xf numFmtId="0" fontId="1" fillId="9" borderId="9" xfId="0" applyFont="1" applyFill="1" applyBorder="1" applyAlignment="1">
      <alignment horizontal="center"/>
    </xf>
    <xf numFmtId="0" fontId="1" fillId="0" borderId="5" xfId="0" applyFont="1" applyBorder="1" applyAlignment="1">
      <alignment vertical="center"/>
    </xf>
    <xf numFmtId="176" fontId="1" fillId="0" borderId="1" xfId="0" applyNumberFormat="1" applyFont="1" applyBorder="1" applyAlignment="1">
      <alignment vertical="center"/>
    </xf>
    <xf numFmtId="176" fontId="1" fillId="9" borderId="9" xfId="0" applyNumberFormat="1" applyFont="1" applyFill="1" applyBorder="1" applyAlignment="1">
      <alignment horizontal="center"/>
    </xf>
    <xf numFmtId="176" fontId="1" fillId="9" borderId="10" xfId="0" applyNumberFormat="1" applyFont="1" applyFill="1" applyBorder="1" applyAlignment="1">
      <alignment horizontal="center"/>
    </xf>
    <xf numFmtId="0" fontId="1" fillId="0" borderId="1" xfId="0" applyFont="1" applyBorder="1" applyAlignment="1">
      <alignment horizontal="center"/>
    </xf>
    <xf numFmtId="0" fontId="13" fillId="5" borderId="0" xfId="0" applyFont="1" applyFill="1" applyAlignment="1">
      <alignment horizontal="center" vertical="center"/>
    </xf>
    <xf numFmtId="0" fontId="1" fillId="9" borderId="0" xfId="0" applyFont="1" applyFill="1" applyAlignment="1">
      <alignment horizontal="center"/>
    </xf>
    <xf numFmtId="187" fontId="1" fillId="0" borderId="1" xfId="0" applyNumberFormat="1" applyFont="1" applyBorder="1"/>
    <xf numFmtId="188" fontId="1" fillId="0" borderId="1" xfId="0" applyNumberFormat="1" applyFont="1" applyBorder="1"/>
    <xf numFmtId="0" fontId="13" fillId="9" borderId="0" xfId="0" applyFont="1" applyFill="1" applyAlignment="1">
      <alignment horizontal="center" vertical="center"/>
    </xf>
    <xf numFmtId="180" fontId="1" fillId="0" borderId="0" xfId="0" applyNumberFormat="1" applyFont="1" applyAlignment="1">
      <alignment horizontal="center"/>
    </xf>
    <xf numFmtId="0" fontId="1" fillId="0" borderId="11" xfId="0" applyFont="1" applyBorder="1" applyAlignment="1">
      <alignment horizontal="center"/>
    </xf>
    <xf numFmtId="0" fontId="16" fillId="0" borderId="12" xfId="0" applyFont="1" applyBorder="1"/>
    <xf numFmtId="0" fontId="1" fillId="0" borderId="13" xfId="0" applyFont="1" applyBorder="1" applyAlignment="1">
      <alignment horizontal="center"/>
    </xf>
    <xf numFmtId="176" fontId="1" fillId="0" borderId="14" xfId="0" applyNumberFormat="1" applyFont="1" applyBorder="1" applyAlignment="1">
      <alignment horizontal="center"/>
    </xf>
    <xf numFmtId="176" fontId="1" fillId="0" borderId="15" xfId="0" applyNumberFormat="1" applyFont="1" applyBorder="1" applyAlignment="1">
      <alignment horizontal="center"/>
    </xf>
    <xf numFmtId="176" fontId="1" fillId="9" borderId="13" xfId="0" applyNumberFormat="1" applyFont="1" applyFill="1" applyBorder="1" applyAlignment="1">
      <alignment horizontal="center"/>
    </xf>
    <xf numFmtId="176" fontId="1" fillId="5" borderId="13" xfId="0" applyNumberFormat="1" applyFont="1" applyFill="1" applyBorder="1" applyAlignment="1">
      <alignment horizontal="center"/>
    </xf>
    <xf numFmtId="0" fontId="1" fillId="0" borderId="14" xfId="0" applyFont="1" applyBorder="1" applyAlignment="1">
      <alignment horizontal="center"/>
    </xf>
    <xf numFmtId="0" fontId="16" fillId="0" borderId="15" xfId="0" applyFont="1" applyBorder="1"/>
    <xf numFmtId="189" fontId="1" fillId="0" borderId="0" xfId="0" applyNumberFormat="1" applyFont="1" applyAlignment="1">
      <alignment horizontal="center"/>
    </xf>
    <xf numFmtId="0" fontId="1" fillId="5" borderId="0" xfId="0" applyFont="1" applyFill="1" applyAlignment="1">
      <alignment horizontal="right"/>
    </xf>
    <xf numFmtId="0" fontId="1" fillId="5" borderId="0" xfId="0" applyFont="1" applyFill="1" applyAlignment="1">
      <alignment horizontal="left"/>
    </xf>
    <xf numFmtId="0" fontId="1" fillId="5" borderId="8" xfId="0" applyFont="1" applyFill="1" applyBorder="1" applyAlignment="1">
      <alignment horizontal="center"/>
    </xf>
    <xf numFmtId="0" fontId="1" fillId="5" borderId="9" xfId="0" applyFont="1" applyFill="1" applyBorder="1" applyAlignment="1">
      <alignment horizontal="center"/>
    </xf>
    <xf numFmtId="176" fontId="1" fillId="0" borderId="5" xfId="0" applyNumberFormat="1" applyFont="1" applyBorder="1" applyAlignment="1">
      <alignment vertical="center"/>
    </xf>
    <xf numFmtId="176" fontId="1" fillId="5" borderId="9" xfId="0" applyNumberFormat="1" applyFont="1" applyFill="1" applyBorder="1" applyAlignment="1">
      <alignment horizontal="center"/>
    </xf>
    <xf numFmtId="176" fontId="1" fillId="5" borderId="10" xfId="0" applyNumberFormat="1" applyFont="1" applyFill="1" applyBorder="1" applyAlignment="1">
      <alignment horizontal="center"/>
    </xf>
    <xf numFmtId="0" fontId="16" fillId="0" borderId="16" xfId="0" applyFont="1" applyBorder="1"/>
    <xf numFmtId="0" fontId="1" fillId="0" borderId="17" xfId="0" applyFont="1" applyBorder="1" applyAlignment="1">
      <alignment horizontal="center"/>
    </xf>
    <xf numFmtId="176" fontId="1" fillId="0" borderId="18" xfId="0" applyNumberFormat="1" applyFont="1" applyBorder="1" applyAlignment="1">
      <alignment horizontal="center"/>
    </xf>
    <xf numFmtId="176" fontId="1" fillId="9" borderId="17" xfId="0" applyNumberFormat="1" applyFont="1" applyFill="1" applyBorder="1" applyAlignment="1">
      <alignment horizontal="center"/>
    </xf>
    <xf numFmtId="176" fontId="1" fillId="5" borderId="17" xfId="0" applyNumberFormat="1" applyFont="1" applyFill="1" applyBorder="1" applyAlignment="1">
      <alignment horizontal="center"/>
    </xf>
    <xf numFmtId="0" fontId="16" fillId="0" borderId="18" xfId="0" applyFont="1" applyBorder="1"/>
    <xf numFmtId="0" fontId="6" fillId="10" borderId="0" xfId="0" applyFont="1" applyFill="1"/>
    <xf numFmtId="176" fontId="1" fillId="10" borderId="0" xfId="0" applyNumberFormat="1" applyFont="1" applyFill="1"/>
    <xf numFmtId="0" fontId="1" fillId="10" borderId="0" xfId="0" applyFont="1" applyFill="1" applyAlignment="1">
      <alignment horizontal="center"/>
    </xf>
    <xf numFmtId="0" fontId="13" fillId="10" borderId="0" xfId="0" applyFont="1" applyFill="1" applyAlignment="1">
      <alignment horizontal="center" vertical="center"/>
    </xf>
    <xf numFmtId="0" fontId="1" fillId="10" borderId="8" xfId="0" applyFont="1" applyFill="1" applyBorder="1" applyAlignment="1">
      <alignment horizontal="center"/>
    </xf>
    <xf numFmtId="0" fontId="1" fillId="10" borderId="9" xfId="0" applyFont="1" applyFill="1" applyBorder="1" applyAlignment="1">
      <alignment horizontal="center"/>
    </xf>
    <xf numFmtId="0" fontId="1" fillId="0" borderId="5" xfId="0" applyFont="1" applyBorder="1"/>
    <xf numFmtId="176" fontId="1" fillId="10" borderId="9" xfId="0" applyNumberFormat="1" applyFont="1" applyFill="1" applyBorder="1" applyAlignment="1">
      <alignment horizontal="center"/>
    </xf>
    <xf numFmtId="176" fontId="1" fillId="10" borderId="10" xfId="0" applyNumberFormat="1" applyFont="1" applyFill="1" applyBorder="1" applyAlignment="1">
      <alignment horizontal="center"/>
    </xf>
    <xf numFmtId="190" fontId="1" fillId="0" borderId="0" xfId="0" applyNumberFormat="1" applyFont="1"/>
    <xf numFmtId="188" fontId="1" fillId="0" borderId="0" xfId="0" applyNumberFormat="1" applyFont="1"/>
    <xf numFmtId="176" fontId="2" fillId="0" borderId="0" xfId="0" applyNumberFormat="1" applyFont="1" applyAlignment="1">
      <alignment horizontal="right"/>
    </xf>
    <xf numFmtId="177" fontId="2" fillId="0" borderId="0" xfId="0" applyNumberFormat="1" applyFont="1" applyAlignment="1">
      <alignment horizontal="right"/>
    </xf>
    <xf numFmtId="187" fontId="1" fillId="0" borderId="0" xfId="0" applyNumberFormat="1" applyFont="1"/>
    <xf numFmtId="0" fontId="3" fillId="0" borderId="0" xfId="0" applyFont="1"/>
    <xf numFmtId="182" fontId="1" fillId="0" borderId="0" xfId="0" applyNumberFormat="1" applyFont="1" applyAlignment="1">
      <alignment horizontal="center" vertical="center"/>
    </xf>
    <xf numFmtId="182" fontId="2" fillId="0" borderId="0" xfId="0" applyNumberFormat="1" applyFont="1" applyAlignment="1">
      <alignment horizontal="center"/>
    </xf>
    <xf numFmtId="0" fontId="17" fillId="7" borderId="0" xfId="0" applyFont="1" applyFill="1"/>
    <xf numFmtId="191" fontId="13" fillId="0" borderId="0" xfId="0" applyNumberFormat="1" applyFont="1" applyAlignment="1">
      <alignment horizontal="left" vertical="center"/>
    </xf>
    <xf numFmtId="0" fontId="2" fillId="0" borderId="0" xfId="0" applyFont="1" applyAlignment="1">
      <alignment horizontal="center" vertical="center" wrapText="1"/>
    </xf>
    <xf numFmtId="192" fontId="1" fillId="5" borderId="0" xfId="0" applyNumberFormat="1" applyFont="1" applyFill="1"/>
    <xf numFmtId="180" fontId="13" fillId="0" borderId="0" xfId="0" applyNumberFormat="1" applyFont="1" applyAlignment="1">
      <alignment horizontal="left" vertical="center"/>
    </xf>
    <xf numFmtId="0" fontId="2" fillId="0" borderId="0" xfId="0" applyFont="1" applyAlignment="1">
      <alignment horizontal="center" vertical="center"/>
    </xf>
    <xf numFmtId="0" fontId="1" fillId="0" borderId="19" xfId="0" applyFont="1" applyBorder="1" applyAlignment="1">
      <alignment horizontal="center"/>
    </xf>
    <xf numFmtId="0" fontId="1" fillId="0" borderId="20" xfId="0" applyFont="1" applyBorder="1" applyAlignment="1">
      <alignment horizontal="center"/>
    </xf>
    <xf numFmtId="0" fontId="14" fillId="6" borderId="0" xfId="0" applyFont="1" applyFill="1" applyAlignment="1">
      <alignment horizontal="center" vertical="center"/>
    </xf>
    <xf numFmtId="0" fontId="14" fillId="6" borderId="20" xfId="0" applyFont="1" applyFill="1" applyBorder="1" applyAlignment="1">
      <alignment horizontal="center" vertical="center"/>
    </xf>
    <xf numFmtId="188" fontId="14" fillId="6" borderId="0" xfId="0" applyNumberFormat="1" applyFont="1" applyFill="1" applyAlignment="1">
      <alignment horizontal="center" vertical="center"/>
    </xf>
    <xf numFmtId="49" fontId="14" fillId="0" borderId="0" xfId="0" applyNumberFormat="1" applyFont="1" applyAlignment="1">
      <alignment vertical="center"/>
    </xf>
    <xf numFmtId="0" fontId="14" fillId="0" borderId="20" xfId="0" applyFont="1" applyBorder="1" applyAlignment="1">
      <alignment horizontal="center" vertical="center"/>
    </xf>
    <xf numFmtId="188" fontId="14" fillId="0" borderId="0" xfId="0" applyNumberFormat="1" applyFont="1" applyAlignment="1">
      <alignment horizontal="center" vertical="center"/>
    </xf>
    <xf numFmtId="0" fontId="14" fillId="0" borderId="0" xfId="0" applyFont="1" applyAlignment="1">
      <alignment vertical="center"/>
    </xf>
    <xf numFmtId="0" fontId="2" fillId="0" borderId="0" xfId="0" applyFont="1" applyAlignment="1">
      <alignment horizontal="center"/>
    </xf>
    <xf numFmtId="193" fontId="1" fillId="0" borderId="0" xfId="0" applyNumberFormat="1" applyFont="1"/>
    <xf numFmtId="193" fontId="1" fillId="0" borderId="0" xfId="0" applyNumberFormat="1" applyFont="1" applyAlignment="1">
      <alignment horizontal="center"/>
    </xf>
    <xf numFmtId="2" fontId="1" fillId="6" borderId="0" xfId="0" applyNumberFormat="1" applyFont="1" applyFill="1" applyAlignment="1">
      <alignment horizontal="center"/>
    </xf>
    <xf numFmtId="0" fontId="1" fillId="6" borderId="0" xfId="0" applyFont="1" applyFill="1" applyAlignment="1">
      <alignment horizontal="center"/>
    </xf>
    <xf numFmtId="176" fontId="1" fillId="6" borderId="0" xfId="0" applyNumberFormat="1" applyFont="1" applyFill="1" applyAlignment="1">
      <alignment horizontal="center"/>
    </xf>
    <xf numFmtId="0" fontId="5" fillId="0" borderId="0" xfId="0" applyFont="1" applyAlignment="1">
      <alignment horizontal="center"/>
    </xf>
    <xf numFmtId="0" fontId="4" fillId="0" borderId="0" xfId="0" applyFont="1" applyAlignment="1">
      <alignment horizontal="center"/>
    </xf>
    <xf numFmtId="0" fontId="1" fillId="6" borderId="21" xfId="0" applyFont="1" applyFill="1" applyBorder="1" applyAlignment="1">
      <alignment horizontal="center"/>
    </xf>
    <xf numFmtId="0" fontId="16" fillId="0" borderId="21" xfId="0" applyFont="1" applyBorder="1"/>
    <xf numFmtId="176" fontId="1" fillId="6" borderId="21" xfId="0" applyNumberFormat="1" applyFont="1" applyFill="1" applyBorder="1" applyAlignment="1">
      <alignment horizontal="center"/>
    </xf>
    <xf numFmtId="0" fontId="16" fillId="0" borderId="20" xfId="0" applyFont="1" applyBorder="1"/>
    <xf numFmtId="193" fontId="13" fillId="0" borderId="0" xfId="0" applyNumberFormat="1" applyFont="1" applyAlignment="1">
      <alignment horizontal="center" vertical="center"/>
    </xf>
    <xf numFmtId="193" fontId="1" fillId="0" borderId="20" xfId="0" applyNumberFormat="1" applyFont="1" applyBorder="1" applyAlignment="1">
      <alignment horizontal="center"/>
    </xf>
    <xf numFmtId="188" fontId="14" fillId="6" borderId="20" xfId="0" applyNumberFormat="1" applyFont="1" applyFill="1" applyBorder="1" applyAlignment="1">
      <alignment horizontal="center" vertical="center"/>
    </xf>
    <xf numFmtId="193" fontId="14" fillId="6" borderId="0" xfId="0" applyNumberFormat="1" applyFont="1" applyFill="1" applyAlignment="1">
      <alignment horizontal="center" vertical="center"/>
    </xf>
    <xf numFmtId="193" fontId="14" fillId="6" borderId="20" xfId="0" applyNumberFormat="1" applyFont="1" applyFill="1" applyBorder="1" applyAlignment="1">
      <alignment horizontal="center" vertical="center"/>
    </xf>
    <xf numFmtId="182" fontId="14" fillId="6" borderId="0" xfId="0" applyNumberFormat="1" applyFont="1" applyFill="1" applyAlignment="1">
      <alignment horizontal="center" vertical="center"/>
    </xf>
    <xf numFmtId="188" fontId="14" fillId="0" borderId="20" xfId="0" applyNumberFormat="1" applyFont="1" applyBorder="1" applyAlignment="1">
      <alignment horizontal="center" vertical="center"/>
    </xf>
    <xf numFmtId="193" fontId="14" fillId="0" borderId="0" xfId="0" applyNumberFormat="1" applyFont="1" applyAlignment="1">
      <alignment horizontal="center" vertical="center"/>
    </xf>
    <xf numFmtId="193" fontId="14" fillId="0" borderId="20" xfId="0" applyNumberFormat="1" applyFont="1" applyBorder="1" applyAlignment="1">
      <alignment horizontal="center" vertical="center"/>
    </xf>
    <xf numFmtId="0" fontId="18" fillId="11" borderId="0" xfId="0" applyFont="1" applyFill="1"/>
    <xf numFmtId="0" fontId="5" fillId="12" borderId="0" xfId="0" applyFont="1" applyFill="1" applyAlignment="1">
      <alignment horizontal="center"/>
    </xf>
    <xf numFmtId="0" fontId="1" fillId="12" borderId="0" xfId="0" applyFont="1" applyFill="1" applyAlignment="1">
      <alignment horizontal="center"/>
    </xf>
    <xf numFmtId="0" fontId="1" fillId="3" borderId="19" xfId="0" applyFont="1" applyFill="1" applyBorder="1" applyAlignment="1">
      <alignment horizontal="center"/>
    </xf>
    <xf numFmtId="183" fontId="14" fillId="6" borderId="0" xfId="0" applyNumberFormat="1" applyFont="1" applyFill="1" applyAlignment="1">
      <alignment horizontal="center" vertical="center"/>
    </xf>
    <xf numFmtId="183" fontId="14" fillId="6" borderId="20" xfId="0" applyNumberFormat="1" applyFont="1" applyFill="1" applyBorder="1" applyAlignment="1">
      <alignment horizontal="center" vertical="center"/>
    </xf>
    <xf numFmtId="183" fontId="14" fillId="0" borderId="20" xfId="0" applyNumberFormat="1" applyFont="1" applyBorder="1" applyAlignment="1">
      <alignment horizontal="center" vertical="center"/>
    </xf>
    <xf numFmtId="0" fontId="1" fillId="3" borderId="0" xfId="0" applyFont="1" applyFill="1" applyAlignment="1">
      <alignment horizontal="center"/>
    </xf>
    <xf numFmtId="194" fontId="1" fillId="0" borderId="0" xfId="0" applyNumberFormat="1" applyFont="1" applyAlignment="1">
      <alignment horizontal="center"/>
    </xf>
    <xf numFmtId="195" fontId="1" fillId="0" borderId="0" xfId="0" applyNumberFormat="1" applyFont="1" applyAlignment="1">
      <alignment horizontal="center"/>
    </xf>
    <xf numFmtId="194" fontId="1" fillId="0" borderId="0" xfId="0" applyNumberFormat="1" applyFont="1" applyAlignment="1">
      <alignment horizontal="right"/>
    </xf>
    <xf numFmtId="0" fontId="2" fillId="8" borderId="2" xfId="0" applyFont="1" applyFill="1" applyBorder="1" applyAlignment="1">
      <alignment horizontal="center"/>
    </xf>
    <xf numFmtId="0" fontId="19" fillId="8" borderId="3" xfId="0" applyFont="1" applyFill="1" applyBorder="1" applyAlignment="1">
      <alignment horizontal="center" vertical="center"/>
    </xf>
    <xf numFmtId="0" fontId="1" fillId="0" borderId="20" xfId="0" applyFont="1" applyBorder="1"/>
    <xf numFmtId="194" fontId="1" fillId="0" borderId="0" xfId="0" applyNumberFormat="1" applyFont="1"/>
    <xf numFmtId="194" fontId="1" fillId="6" borderId="0" xfId="0" applyNumberFormat="1" applyFont="1" applyFill="1"/>
    <xf numFmtId="49" fontId="1" fillId="6" borderId="0" xfId="0" applyNumberFormat="1" applyFont="1" applyFill="1" applyAlignment="1">
      <alignment horizontal="right"/>
    </xf>
    <xf numFmtId="49" fontId="1" fillId="0" borderId="0" xfId="0" applyNumberFormat="1" applyFont="1" applyAlignment="1">
      <alignment horizontal="right"/>
    </xf>
    <xf numFmtId="187" fontId="1" fillId="6" borderId="0" xfId="0" applyNumberFormat="1" applyFont="1" applyFill="1"/>
    <xf numFmtId="185" fontId="1" fillId="6" borderId="0" xfId="0" applyNumberFormat="1" applyFont="1" applyFill="1"/>
    <xf numFmtId="183" fontId="1" fillId="6" borderId="0" xfId="0" applyNumberFormat="1" applyFont="1" applyFill="1"/>
    <xf numFmtId="188" fontId="1" fillId="6" borderId="0" xfId="0" applyNumberFormat="1" applyFont="1" applyFill="1"/>
    <xf numFmtId="0" fontId="15" fillId="0" borderId="0" xfId="0" applyFont="1" applyAlignment="1">
      <alignment horizontal="center"/>
    </xf>
    <xf numFmtId="179" fontId="2" fillId="0" borderId="0" xfId="0" applyNumberFormat="1" applyFont="1" applyAlignment="1">
      <alignment horizontal="right"/>
    </xf>
    <xf numFmtId="193" fontId="1" fillId="6" borderId="0" xfId="0" applyNumberFormat="1" applyFont="1" applyFill="1"/>
    <xf numFmtId="193" fontId="2" fillId="0" borderId="0" xfId="0" applyNumberFormat="1" applyFont="1" applyAlignment="1">
      <alignment horizontal="right"/>
    </xf>
    <xf numFmtId="187" fontId="2" fillId="0" borderId="0" xfId="0" applyNumberFormat="1" applyFont="1" applyAlignment="1">
      <alignment horizontal="right"/>
    </xf>
    <xf numFmtId="0" fontId="1" fillId="11" borderId="0" xfId="0" applyFont="1" applyFill="1"/>
    <xf numFmtId="0" fontId="14" fillId="11" borderId="0" xfId="0" applyFont="1" applyFill="1" applyAlignment="1">
      <alignment horizontal="center" vertical="center"/>
    </xf>
    <xf numFmtId="0" fontId="1" fillId="0" borderId="0" xfId="0" applyFont="1" applyAlignment="1">
      <alignment horizontal="left" vertical="center"/>
    </xf>
    <xf numFmtId="196" fontId="1" fillId="3" borderId="0" xfId="0" applyNumberFormat="1" applyFont="1" applyFill="1" applyAlignment="1">
      <alignment horizontal="center"/>
    </xf>
    <xf numFmtId="176" fontId="14" fillId="0" borderId="0" xfId="0" applyNumberFormat="1" applyFont="1" applyAlignment="1">
      <alignment horizontal="center" vertical="center"/>
    </xf>
    <xf numFmtId="49" fontId="1" fillId="0" borderId="0" xfId="0" applyNumberFormat="1" applyFont="1" applyAlignment="1">
      <alignment horizontal="left" vertical="center"/>
    </xf>
    <xf numFmtId="49" fontId="1" fillId="13" borderId="0" xfId="0" applyNumberFormat="1" applyFont="1" applyFill="1" applyAlignment="1">
      <alignment horizontal="left"/>
    </xf>
    <xf numFmtId="49" fontId="1" fillId="13" borderId="0" xfId="0" applyNumberFormat="1" applyFont="1" applyFill="1" applyAlignment="1">
      <alignment horizontal="left" vertical="top"/>
    </xf>
    <xf numFmtId="49" fontId="1" fillId="13" borderId="0" xfId="0" applyNumberFormat="1" applyFont="1" applyFill="1" applyAlignment="1">
      <alignment horizontal="left" vertical="center"/>
    </xf>
    <xf numFmtId="49" fontId="1" fillId="0" borderId="0" xfId="0" applyNumberFormat="1" applyFont="1" applyAlignment="1">
      <alignment horizontal="left" vertical="top" wrapText="1"/>
    </xf>
    <xf numFmtId="193" fontId="14" fillId="11" borderId="0" xfId="0" applyNumberFormat="1" applyFont="1" applyFill="1" applyAlignment="1">
      <alignment horizontal="center" vertical="center"/>
    </xf>
    <xf numFmtId="176" fontId="14" fillId="0" borderId="20" xfId="0" applyNumberFormat="1" applyFont="1" applyBorder="1" applyAlignment="1">
      <alignment horizontal="center" vertical="center"/>
    </xf>
    <xf numFmtId="193" fontId="1" fillId="0" borderId="0" xfId="0" applyNumberFormat="1" applyFont="1" applyAlignment="1">
      <alignment horizontal="left" vertical="center"/>
    </xf>
    <xf numFmtId="196" fontId="1" fillId="0" borderId="0" xfId="0" applyNumberFormat="1" applyFont="1" applyAlignment="1">
      <alignment horizontal="center"/>
    </xf>
    <xf numFmtId="179" fontId="1" fillId="14" borderId="0" xfId="0" applyNumberFormat="1" applyFont="1" applyFill="1" applyAlignment="1">
      <alignment horizontal="right"/>
    </xf>
    <xf numFmtId="0" fontId="15" fillId="0" borderId="0" xfId="0" applyFont="1"/>
    <xf numFmtId="0" fontId="15" fillId="0" borderId="0" xfId="0" applyFont="1" applyAlignment="1">
      <alignment vertical="top"/>
    </xf>
    <xf numFmtId="0" fontId="1" fillId="0" borderId="0" xfId="0" applyFont="1" applyAlignment="1">
      <alignment vertical="top" wrapText="1"/>
    </xf>
    <xf numFmtId="196" fontId="1" fillId="15" borderId="0" xfId="0" applyNumberFormat="1" applyFont="1" applyFill="1" applyAlignment="1">
      <alignment horizontal="center"/>
    </xf>
    <xf numFmtId="196" fontId="1" fillId="10" borderId="0" xfId="0" applyNumberFormat="1" applyFont="1" applyFill="1" applyAlignment="1">
      <alignment horizontal="center"/>
    </xf>
    <xf numFmtId="0" fontId="1" fillId="0" borderId="0" xfId="0" applyFont="1" applyAlignment="1">
      <alignment horizontal="center" vertical="center" wrapText="1"/>
    </xf>
    <xf numFmtId="193" fontId="1" fillId="13" borderId="0" xfId="0" applyNumberFormat="1" applyFont="1" applyFill="1"/>
    <xf numFmtId="194" fontId="1" fillId="11" borderId="0" xfId="0" applyNumberFormat="1" applyFont="1" applyFill="1"/>
    <xf numFmtId="194" fontId="1" fillId="0" borderId="0" xfId="0" applyNumberFormat="1" applyFont="1" applyAlignment="1">
      <alignment horizontal="left"/>
    </xf>
    <xf numFmtId="2" fontId="2" fillId="0" borderId="0" xfId="0" applyNumberFormat="1" applyFont="1" applyAlignment="1">
      <alignment horizontal="right"/>
    </xf>
    <xf numFmtId="0" fontId="1" fillId="0" borderId="0" xfId="0" applyFont="1" quotePrefix="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27">
    <dxf>
      <font>
        <b val="1"/>
        <color rgb="FFFF0000"/>
      </font>
      <fill>
        <patternFill patternType="none"/>
      </fill>
    </dxf>
    <dxf>
      <font>
        <b val="1"/>
        <color rgb="FF0B8043"/>
      </font>
      <fill>
        <patternFill patternType="none"/>
      </fill>
    </dxf>
    <dxf>
      <font>
        <b val="1"/>
        <color rgb="FFC53929"/>
      </font>
      <fill>
        <patternFill patternType="none"/>
      </fill>
    </dxf>
    <dxf>
      <font>
        <color rgb="FFFFFFFF"/>
      </font>
      <fill>
        <patternFill patternType="solid">
          <fgColor rgb="FF000000"/>
          <bgColor rgb="FF000000"/>
        </patternFill>
      </fill>
    </dxf>
    <dxf>
      <fill>
        <patternFill patternType="solid">
          <fgColor rgb="FFF6B26B"/>
          <bgColor rgb="FFF6B26B"/>
        </patternFill>
      </fill>
    </dxf>
    <dxf>
      <fill>
        <patternFill patternType="solid">
          <fgColor rgb="FFFFF2CC"/>
          <bgColor rgb="FFFFF2CC"/>
        </patternFill>
      </fill>
    </dxf>
    <dxf>
      <fill>
        <patternFill patternType="solid">
          <fgColor rgb="FFFFE599"/>
          <bgColor rgb="FFFFE599"/>
        </patternFill>
      </fill>
    </dxf>
    <dxf>
      <font>
        <color rgb="FF999999"/>
      </font>
      <fill>
        <patternFill patternType="solid">
          <fgColor rgb="FFF3F3F3"/>
          <bgColor rgb="FFF3F3F3"/>
        </patternFill>
      </fill>
    </dxf>
    <dxf>
      <fill>
        <patternFill patternType="solid">
          <fgColor rgb="FFD9EAD3"/>
          <bgColor rgb="FFD9EAD3"/>
        </patternFill>
      </fill>
    </dxf>
    <dxf>
      <font>
        <color rgb="FF999999"/>
      </font>
      <fill>
        <patternFill patternType="none"/>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26"/>
      <tableStyleElement type="totalRow" dxfId="25"/>
      <tableStyleElement type="firstRowStripe" dxfId="24"/>
      <tableStyleElement type="firstColumnStripe" dxfId="23"/>
      <tableStyleElement type="firstSubtotalRow" dxfId="22"/>
      <tableStyleElement type="secondSubtotalRow" dxfId="21"/>
      <tableStyleElement type="firstRowSubheading" dxfId="20"/>
      <tableStyleElement type="secondRowSubheading" dxfId="19"/>
      <tableStyleElement type="pageFieldLabels" dxfId="18"/>
      <tableStyleElement type="pageFieldValues" dxfId="1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tyles" Target="styles.xml"/><Relationship Id="rId14" Type="http://schemas.openxmlformats.org/officeDocument/2006/relationships/sharedStrings" Target="sharedString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zh-CN" sz="1800" b="0" i="0" u="none" strike="noStrike" kern="1200" baseline="0">
                <a:solidFill>
                  <a:srgbClr val="757575"/>
                </a:solidFill>
                <a:latin typeface="+mn-lt"/>
                <a:ea typeface="+mn-ea"/>
                <a:cs typeface="+mn-cs"/>
              </a:defRPr>
            </a:pPr>
            <a:r>
              <a:rPr b="0">
                <a:solidFill>
                  <a:srgbClr val="757575"/>
                </a:solidFill>
                <a:latin typeface="+mn-lt"/>
              </a:rPr>
              <a:t>Stanton System</a:t>
            </a:r>
            <a:endParaRPr b="0">
              <a:solidFill>
                <a:srgbClr val="757575"/>
              </a:solidFill>
              <a:latin typeface="+mn-lt"/>
            </a:endParaRPr>
          </a:p>
        </c:rich>
      </c:tx>
      <c:layout/>
      <c:overlay val="0"/>
    </c:title>
    <c:autoTitleDeleted val="0"/>
    <c:plotArea>
      <c:layout/>
      <c:scatterChart>
        <c:scatterStyle val="marker"/>
        <c:varyColors val="0"/>
        <c:ser>
          <c:idx val="0"/>
          <c:order val="0"/>
          <c:spPr>
            <a:ln w="19050" cap="rnd" cmpd="sng" algn="ctr">
              <a:noFill/>
              <a:prstDash val="solid"/>
              <a:round/>
            </a:ln>
          </c:spPr>
          <c:marker>
            <c:symbol val="circle"/>
            <c:size val="7"/>
            <c:spPr>
              <a:solidFill>
                <a:srgbClr val="0000FF"/>
              </a:solidFill>
              <a:ln w="6350" cap="flat" cmpd="sng" algn="ctr">
                <a:solidFill>
                  <a:srgbClr val="0000FF"/>
                </a:solidFill>
                <a:prstDash val="solid"/>
                <a:round/>
              </a:ln>
            </c:spPr>
          </c:marker>
          <c:dLbls>
            <c:delete val="1"/>
          </c:dLbls>
          <c:xVal>
            <c:strRef>
              <c:f>'Stanton System Chart'!$C$54:$C$79</c:f>
              <c:strCache>
                <c:ptCount val="26"/>
                <c:pt idx="0">
                  <c:v>0</c:v>
                </c:pt>
                <c:pt idx="1">
                  <c:v>3.952716615</c:v>
                </c:pt>
                <c:pt idx="2">
                  <c:v>-18.9443268</c:v>
                </c:pt>
                <c:pt idx="3">
                  <c:v>12.72159485</c:v>
                </c:pt>
                <c:pt idx="4">
                  <c:v>-15.7487661</c:v>
                </c:pt>
                <c:pt idx="5">
                  <c:v>0</c:v>
                </c:pt>
                <c:pt idx="6">
                  <c:v>0</c:v>
                </c:pt>
                <c:pt idx="7">
                  <c:v>0</c:v>
                </c:pt>
                <c:pt idx="8">
                  <c:v>-3.9527157</c:v>
                </c:pt>
                <c:pt idx="9">
                  <c:v>-8.61291652</c:v>
                </c:pt>
                <c:pt idx="10">
                  <c:v>12.56563282</c:v>
                </c:pt>
                <c:pt idx="11">
                  <c:v>0</c:v>
                </c:pt>
                <c:pt idx="12">
                  <c:v>0</c:v>
                </c:pt>
                <c:pt idx="13">
                  <c:v>18.94431555</c:v>
                </c:pt>
                <c:pt idx="14">
                  <c:v>-7.0568078</c:v>
                </c:pt>
                <c:pt idx="15">
                  <c:v>-11.8875206</c:v>
                </c:pt>
                <c:pt idx="16">
                  <c:v>0</c:v>
                </c:pt>
                <c:pt idx="17">
                  <c:v>0</c:v>
                </c:pt>
                <c:pt idx="18">
                  <c:v>-3.07263819</c:v>
                </c:pt>
                <c:pt idx="19">
                  <c:v>-16.1289225</c:v>
                </c:pt>
                <c:pt idx="20">
                  <c:v>28.85069494</c:v>
                </c:pt>
                <c:pt idx="21">
                  <c:v>0</c:v>
                </c:pt>
                <c:pt idx="22">
                  <c:v>0</c:v>
                </c:pt>
                <c:pt idx="23">
                  <c:v>15.75324502</c:v>
                </c:pt>
                <c:pt idx="24">
                  <c:v>-42.937681</c:v>
                </c:pt>
                <c:pt idx="25">
                  <c:v>27.1830223</c:v>
                </c:pt>
              </c:strCache>
            </c:strRef>
          </c:xVal>
          <c:yVal>
            <c:numRef>
              <c:f>'Stanton System Chart'!$D$54:$D$79</c:f>
              <c:numCache>
                <c:formatCode>General</c:formatCode>
                <c:ptCount val="26"/>
                <c:pt idx="0">
                  <c:v>0</c:v>
                </c:pt>
                <c:pt idx="1">
                  <c:v>12.2274395874336</c:v>
                </c:pt>
                <c:pt idx="2">
                  <c:v>-2.7890166799601</c:v>
                </c:pt>
                <c:pt idx="3">
                  <c:v>25.9686296947514</c:v>
                </c:pt>
                <c:pt idx="4">
                  <c:v>40.4882855853708</c:v>
                </c:pt>
                <c:pt idx="5">
                  <c:v>0</c:v>
                </c:pt>
                <c:pt idx="6">
                  <c:v>0</c:v>
                </c:pt>
                <c:pt idx="7">
                  <c:v>0</c:v>
                </c:pt>
                <c:pt idx="8">
                  <c:v>-12.2274404154106</c:v>
                </c:pt>
                <c:pt idx="9">
                  <c:v>9.53687301595564</c:v>
                </c:pt>
                <c:pt idx="10">
                  <c:v>2.69056559236606</c:v>
                </c:pt>
                <c:pt idx="11">
                  <c:v>0</c:v>
                </c:pt>
                <c:pt idx="12">
                  <c:v>0</c:v>
                </c:pt>
                <c:pt idx="13">
                  <c:v>2.78902164721692</c:v>
                </c:pt>
                <c:pt idx="14">
                  <c:v>-17.8007746295525</c:v>
                </c:pt>
                <c:pt idx="15">
                  <c:v>15.0117598856569</c:v>
                </c:pt>
                <c:pt idx="16">
                  <c:v>0</c:v>
                </c:pt>
                <c:pt idx="17">
                  <c:v>0</c:v>
                </c:pt>
                <c:pt idx="18">
                  <c:v>-28.7539776766661</c:v>
                </c:pt>
                <c:pt idx="19">
                  <c:v>24.0018758363367</c:v>
                </c:pt>
                <c:pt idx="20">
                  <c:v>1.96712530614509</c:v>
                </c:pt>
                <c:pt idx="21">
                  <c:v>0</c:v>
                </c:pt>
                <c:pt idx="22">
                  <c:v>0</c:v>
                </c:pt>
                <c:pt idx="23">
                  <c:v>-40.4855317791487</c:v>
                </c:pt>
                <c:pt idx="24">
                  <c:v>6.6058999749912</c:v>
                </c:pt>
                <c:pt idx="25">
                  <c:v>33.8884222739823</c:v>
                </c:pt>
              </c:numCache>
            </c:numRef>
          </c:yVal>
          <c:smooth val="1"/>
        </c:ser>
        <c:dLbls>
          <c:showLegendKey val="0"/>
          <c:showVal val="0"/>
          <c:showCatName val="0"/>
          <c:showSerName val="0"/>
          <c:showPercent val="0"/>
          <c:showBubbleSize val="0"/>
        </c:dLbls>
        <c:axId val="600639230"/>
        <c:axId val="1677498800"/>
      </c:scatterChart>
      <c:valAx>
        <c:axId val="600639230"/>
        <c:scaling>
          <c:orientation val="minMax"/>
          <c:max val="45"/>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zh-CN" sz="1000" b="0" i="0" u="none" strike="noStrike" kern="1200" baseline="0">
                    <a:solidFill>
                      <a:srgbClr val="000000"/>
                    </a:solidFill>
                    <a:latin typeface="+mn-lt"/>
                    <a:ea typeface="+mn-ea"/>
                    <a:cs typeface="+mn-cs"/>
                  </a:defRPr>
                </a:pPr>
                <a:r>
                  <a:rPr b="0">
                    <a:solidFill>
                      <a:srgbClr val="000000"/>
                    </a:solidFill>
                    <a:latin typeface="+mn-lt"/>
                  </a:rPr>
                  <a:t>System</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1000" b="0" i="0" u="none" strike="noStrike" kern="1200" baseline="0">
                <a:solidFill>
                  <a:srgbClr val="000000"/>
                </a:solidFill>
                <a:latin typeface="+mn-lt"/>
                <a:ea typeface="+mn-ea"/>
                <a:cs typeface="+mn-cs"/>
              </a:defRPr>
            </a:pPr>
          </a:p>
        </c:txPr>
        <c:crossAx val="1677498800"/>
        <c:crosses val="autoZero"/>
        <c:crossBetween val="midCat"/>
        <c:majorUnit val="5"/>
      </c:valAx>
      <c:valAx>
        <c:axId val="1677498800"/>
        <c:scaling>
          <c:orientation val="minMax"/>
          <c:max val="45"/>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1000" b="0" i="0" u="none" strike="noStrike" kern="1200" baseline="0">
                <a:solidFill>
                  <a:srgbClr val="000000"/>
                </a:solidFill>
                <a:latin typeface="+mn-lt"/>
                <a:ea typeface="+mn-ea"/>
                <a:cs typeface="+mn-cs"/>
              </a:defRPr>
            </a:pPr>
          </a:p>
        </c:txPr>
        <c:crossAx val="600639230"/>
        <c:crosses val="autoZero"/>
        <c:crossBetween val="midCat"/>
        <c:majorUnit val="5"/>
      </c:valAx>
    </c:plotArea>
    <c:plotVisOnly val="1"/>
    <c:dispBlanksAs val="gap"/>
    <c:showDLblsOverMax val="0"/>
    <c:extLst>
      <c:ext uri="{0b15fc19-7d7d-44ad-8c2d-2c3a37ce22c3}">
        <chartProps xmlns="https://web.wps.cn/et/2018/main" chartId="{d04c5666-7d98-467b-8906-4d9c633c5277}"/>
      </c:ext>
    </c:extLst>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zh-CN" sz="1800" b="0" i="0" u="none" strike="noStrike" kern="1200" baseline="0">
                <a:solidFill>
                  <a:srgbClr val="757575"/>
                </a:solidFill>
                <a:latin typeface="+mn-lt"/>
                <a:ea typeface="+mn-ea"/>
                <a:cs typeface="+mn-cs"/>
              </a:defRPr>
            </a:pPr>
            <a:r>
              <a:rPr b="0">
                <a:solidFill>
                  <a:srgbClr val="757575"/>
                </a:solidFill>
                <a:latin typeface="+mn-lt"/>
              </a:rPr>
              <a:t>Hurston</a:t>
            </a:r>
            <a:endParaRPr b="0">
              <a:solidFill>
                <a:srgbClr val="757575"/>
              </a:solidFill>
              <a:latin typeface="+mn-lt"/>
            </a:endParaRPr>
          </a:p>
        </c:rich>
      </c:tx>
      <c:layout/>
      <c:overlay val="0"/>
    </c:title>
    <c:autoTitleDeleted val="0"/>
    <c:plotArea>
      <c:layout/>
      <c:scatterChart>
        <c:scatterStyle val="marker"/>
        <c:varyColors val="0"/>
        <c:ser>
          <c:idx val="0"/>
          <c:order val="0"/>
          <c:spPr>
            <a:ln w="19050" cap="rnd" cmpd="sng" algn="ctr">
              <a:noFill/>
              <a:prstDash val="solid"/>
              <a:round/>
            </a:ln>
          </c:spPr>
          <c:marker>
            <c:symbol val="circle"/>
            <c:size val="7"/>
            <c:spPr>
              <a:solidFill>
                <a:schemeClr val="accent1"/>
              </a:solidFill>
              <a:ln w="6350" cap="flat" cmpd="sng" algn="ctr">
                <a:solidFill>
                  <a:schemeClr val="accent1"/>
                </a:solidFill>
                <a:prstDash val="solid"/>
                <a:round/>
              </a:ln>
            </c:spPr>
          </c:marker>
          <c:dLbls>
            <c:delete val="1"/>
          </c:dLbls>
          <c:xVal>
            <c:numRef>
              <c:f>'Stanton System Chart'!$H$54:$H$58</c:f>
              <c:numCache>
                <c:formatCode>General</c:formatCode>
                <c:ptCount val="5"/>
                <c:pt idx="0">
                  <c:v>0</c:v>
                </c:pt>
                <c:pt idx="1">
                  <c:v>0.050531142936385</c:v>
                </c:pt>
                <c:pt idx="2">
                  <c:v>-0.0669268473501523</c:v>
                </c:pt>
                <c:pt idx="3">
                  <c:v>-0.0763324560247459</c:v>
                </c:pt>
                <c:pt idx="4">
                  <c:v>0.0883408784539127</c:v>
                </c:pt>
              </c:numCache>
            </c:numRef>
          </c:xVal>
          <c:yVal>
            <c:numRef>
              <c:f>'Stanton System Chart'!$I$54:$I$58</c:f>
              <c:numCache>
                <c:formatCode>General</c:formatCode>
                <c:ptCount val="5"/>
                <c:pt idx="0">
                  <c:v>0</c:v>
                </c:pt>
                <c:pt idx="1">
                  <c:v>0.0148175288731741</c:v>
                </c:pt>
                <c:pt idx="2">
                  <c:v>-0.0160095074639016</c:v>
                </c:pt>
                <c:pt idx="3">
                  <c:v>0.0552791790518038</c:v>
                </c:pt>
                <c:pt idx="4">
                  <c:v>-0.0762337888652886</c:v>
                </c:pt>
              </c:numCache>
            </c:numRef>
          </c:yVal>
          <c:smooth val="1"/>
        </c:ser>
        <c:dLbls>
          <c:showLegendKey val="0"/>
          <c:showVal val="0"/>
          <c:showCatName val="0"/>
          <c:showSerName val="0"/>
          <c:showPercent val="0"/>
          <c:showBubbleSize val="0"/>
        </c:dLbls>
        <c:axId val="647759739"/>
        <c:axId val="1660120432"/>
      </c:scatterChart>
      <c:valAx>
        <c:axId val="647759739"/>
        <c:scaling>
          <c:orientation val="minMax"/>
          <c:max val="0.15"/>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1660120432"/>
        <c:crosses val="autoZero"/>
        <c:crossBetween val="midCat"/>
      </c:valAx>
      <c:valAx>
        <c:axId val="1660120432"/>
        <c:scaling>
          <c:orientation val="minMax"/>
          <c:max val="0.15"/>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647759739"/>
        <c:crosses val="autoZero"/>
        <c:crossBetween val="midCat"/>
      </c:valAx>
    </c:plotArea>
    <c:legend>
      <c:legendPos val="r"/>
      <c:layout/>
      <c:overlay val="0"/>
      <c:txPr>
        <a:bodyPr rot="0" spcFirstLastPara="0" vertOverflow="ellipsis" vert="horz" wrap="square" anchor="ctr" anchorCtr="1"/>
        <a:lstStyle/>
        <a:p>
          <a:pPr>
            <a:defRPr lang="zh-CN" sz="1000" b="0" i="0" u="none" strike="noStrike" kern="1200" baseline="0">
              <a:solidFill>
                <a:srgbClr val="1A1A1A"/>
              </a:solidFill>
              <a:latin typeface="+mn-lt"/>
              <a:ea typeface="+mn-ea"/>
              <a:cs typeface="+mn-cs"/>
            </a:defRPr>
          </a:pPr>
        </a:p>
      </c:txPr>
    </c:legend>
    <c:plotVisOnly val="1"/>
    <c:dispBlanksAs val="gap"/>
    <c:showDLblsOverMax val="0"/>
    <c:extLst>
      <c:ext uri="{0b15fc19-7d7d-44ad-8c2d-2c3a37ce22c3}">
        <chartProps xmlns="https://web.wps.cn/et/2018/main" chartId="{5eb6489b-3bf6-42da-a23c-a4e5d5f63ffa}"/>
      </c:ext>
    </c:extLst>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zh-CN" sz="1800" b="0" i="0" u="none" strike="noStrike" kern="1200" baseline="0">
                <a:solidFill>
                  <a:srgbClr val="757575"/>
                </a:solidFill>
                <a:latin typeface="+mn-lt"/>
                <a:ea typeface="+mn-ea"/>
                <a:cs typeface="+mn-cs"/>
              </a:defRPr>
            </a:pPr>
            <a:r>
              <a:rPr b="0">
                <a:solidFill>
                  <a:srgbClr val="757575"/>
                </a:solidFill>
                <a:latin typeface="+mn-lt"/>
              </a:rPr>
              <a:t>Crusader</a:t>
            </a:r>
            <a:endParaRPr b="0">
              <a:solidFill>
                <a:srgbClr val="757575"/>
              </a:solidFill>
              <a:latin typeface="+mn-lt"/>
            </a:endParaRPr>
          </a:p>
        </c:rich>
      </c:tx>
      <c:layout/>
      <c:overlay val="0"/>
    </c:title>
    <c:autoTitleDeleted val="0"/>
    <c:plotArea>
      <c:layout/>
      <c:scatterChart>
        <c:scatterStyle val="marker"/>
        <c:varyColors val="0"/>
        <c:ser>
          <c:idx val="0"/>
          <c:order val="0"/>
          <c:spPr>
            <a:ln w="19050" cap="rnd" cmpd="sng" algn="ctr">
              <a:noFill/>
              <a:prstDash val="solid"/>
              <a:round/>
            </a:ln>
          </c:spPr>
          <c:marker>
            <c:symbol val="circle"/>
            <c:size val="7"/>
            <c:spPr>
              <a:solidFill>
                <a:schemeClr val="accent1"/>
              </a:solidFill>
              <a:ln w="6350" cap="flat" cmpd="sng" algn="ctr">
                <a:solidFill>
                  <a:schemeClr val="accent1"/>
                </a:solidFill>
                <a:prstDash val="solid"/>
                <a:round/>
              </a:ln>
            </c:spPr>
          </c:marker>
          <c:dLbls>
            <c:delete val="1"/>
          </c:dLbls>
          <c:xVal>
            <c:numRef>
              <c:f>'Stanton System Chart'!$H$61:$H$64</c:f>
              <c:numCache>
                <c:formatCode>General</c:formatCode>
                <c:ptCount val="4"/>
                <c:pt idx="0">
                  <c:v>0</c:v>
                </c:pt>
                <c:pt idx="1">
                  <c:v>-0.0127790031110974</c:v>
                </c:pt>
                <c:pt idx="2">
                  <c:v>0.0630429101301573</c:v>
                </c:pt>
                <c:pt idx="3">
                  <c:v>-0.00123425450516454</c:v>
                </c:pt>
              </c:numCache>
            </c:numRef>
          </c:xVal>
          <c:yVal>
            <c:numRef>
              <c:f>'Stanton System Chart'!$I$61:$I$64</c:f>
              <c:numCache>
                <c:formatCode>General</c:formatCode>
                <c:ptCount val="4"/>
                <c:pt idx="0">
                  <c:v>0</c:v>
                </c:pt>
                <c:pt idx="1">
                  <c:v>0.04923428661145</c:v>
                </c:pt>
                <c:pt idx="2">
                  <c:v>-0.00544356647500339</c:v>
                </c:pt>
                <c:pt idx="3">
                  <c:v>-0.0792794744764695</c:v>
                </c:pt>
              </c:numCache>
            </c:numRef>
          </c:yVal>
          <c:smooth val="1"/>
        </c:ser>
        <c:dLbls>
          <c:showLegendKey val="0"/>
          <c:showVal val="0"/>
          <c:showCatName val="0"/>
          <c:showSerName val="0"/>
          <c:showPercent val="0"/>
          <c:showBubbleSize val="0"/>
        </c:dLbls>
        <c:axId val="274875543"/>
        <c:axId val="1212623139"/>
      </c:scatterChart>
      <c:valAx>
        <c:axId val="274875543"/>
        <c:scaling>
          <c:orientation val="minMax"/>
          <c:max val="0.1"/>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1212623139"/>
        <c:crosses val="autoZero"/>
        <c:crossBetween val="midCat"/>
      </c:valAx>
      <c:valAx>
        <c:axId val="1212623139"/>
        <c:scaling>
          <c:orientation val="minMax"/>
          <c:max val="0.1"/>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274875543"/>
        <c:crosses val="autoZero"/>
        <c:crossBetween val="midCat"/>
      </c:valAx>
    </c:plotArea>
    <c:legend>
      <c:legendPos val="r"/>
      <c:layout/>
      <c:overlay val="0"/>
      <c:txPr>
        <a:bodyPr rot="0" spcFirstLastPara="0" vertOverflow="ellipsis" vert="horz" wrap="square" anchor="ctr" anchorCtr="1"/>
        <a:lstStyle/>
        <a:p>
          <a:pPr>
            <a:defRPr lang="zh-CN" sz="1000" b="0" i="0" u="none" strike="noStrike" kern="1200" baseline="0">
              <a:solidFill>
                <a:srgbClr val="1A1A1A"/>
              </a:solidFill>
              <a:latin typeface="+mn-lt"/>
              <a:ea typeface="+mn-ea"/>
              <a:cs typeface="+mn-cs"/>
            </a:defRPr>
          </a:pPr>
        </a:p>
      </c:txPr>
    </c:legend>
    <c:plotVisOnly val="1"/>
    <c:dispBlanksAs val="gap"/>
    <c:showDLblsOverMax val="0"/>
    <c:extLst>
      <c:ext uri="{0b15fc19-7d7d-44ad-8c2d-2c3a37ce22c3}">
        <chartProps xmlns="https://web.wps.cn/et/2018/main" chartId="{15836b6d-6523-4605-8588-3d025597f14f}"/>
      </c:ext>
    </c:extLst>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zh-CN" sz="1800" b="0" i="0" u="none" strike="noStrike" kern="1200" baseline="0">
                <a:solidFill>
                  <a:srgbClr val="757575"/>
                </a:solidFill>
                <a:latin typeface="+mn-lt"/>
                <a:ea typeface="+mn-ea"/>
                <a:cs typeface="+mn-cs"/>
              </a:defRPr>
            </a:pPr>
            <a:r>
              <a:rPr b="0">
                <a:solidFill>
                  <a:srgbClr val="757575"/>
                </a:solidFill>
                <a:latin typeface="+mn-lt"/>
              </a:rPr>
              <a:t>ArcCorp</a:t>
            </a:r>
            <a:endParaRPr b="0">
              <a:solidFill>
                <a:srgbClr val="757575"/>
              </a:solidFill>
              <a:latin typeface="+mn-lt"/>
            </a:endParaRPr>
          </a:p>
        </c:rich>
      </c:tx>
      <c:layout/>
      <c:overlay val="0"/>
    </c:title>
    <c:autoTitleDeleted val="0"/>
    <c:plotArea>
      <c:layout/>
      <c:scatterChart>
        <c:scatterStyle val="marker"/>
        <c:varyColors val="0"/>
        <c:ser>
          <c:idx val="0"/>
          <c:order val="0"/>
          <c:spPr>
            <a:ln w="19050" cap="rnd" cmpd="sng" algn="ctr">
              <a:noFill/>
              <a:prstDash val="solid"/>
              <a:round/>
            </a:ln>
          </c:spPr>
          <c:marker>
            <c:symbol val="circle"/>
            <c:size val="7"/>
            <c:spPr>
              <a:solidFill>
                <a:schemeClr val="accent1"/>
              </a:solidFill>
              <a:ln w="6350" cap="flat" cmpd="sng" algn="ctr">
                <a:solidFill>
                  <a:schemeClr val="accent1"/>
                </a:solidFill>
                <a:prstDash val="solid"/>
                <a:round/>
              </a:ln>
            </c:spPr>
          </c:marker>
          <c:dLbls>
            <c:delete val="1"/>
          </c:dLbls>
          <c:xVal>
            <c:numRef>
              <c:f>'Stanton System Chart'!$H$67:$H$69</c:f>
              <c:numCache>
                <c:formatCode>General</c:formatCode>
                <c:ptCount val="3"/>
                <c:pt idx="0">
                  <c:v>0</c:v>
                </c:pt>
                <c:pt idx="1">
                  <c:v>-0.0117013140444449</c:v>
                </c:pt>
                <c:pt idx="2">
                  <c:v>0.220132741958828</c:v>
                </c:pt>
              </c:numCache>
            </c:numRef>
          </c:xVal>
          <c:yVal>
            <c:numRef>
              <c:f>'Stanton System Chart'!$I$67:$I$69</c:f>
              <c:numCache>
                <c:formatCode>General</c:formatCode>
                <c:ptCount val="3"/>
                <c:pt idx="0">
                  <c:v>0</c:v>
                </c:pt>
                <c:pt idx="1">
                  <c:v>0.119255209865462</c:v>
                </c:pt>
                <c:pt idx="2">
                  <c:v>0.133225912100079</c:v>
                </c:pt>
              </c:numCache>
            </c:numRef>
          </c:yVal>
          <c:smooth val="1"/>
        </c:ser>
        <c:dLbls>
          <c:showLegendKey val="0"/>
          <c:showVal val="0"/>
          <c:showCatName val="0"/>
          <c:showSerName val="0"/>
          <c:showPercent val="0"/>
          <c:showBubbleSize val="0"/>
        </c:dLbls>
        <c:axId val="1745511820"/>
        <c:axId val="56918806"/>
      </c:scatterChart>
      <c:valAx>
        <c:axId val="1745511820"/>
        <c:scaling>
          <c:orientation val="minMax"/>
          <c:max val="0.27"/>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56918806"/>
        <c:crosses val="autoZero"/>
        <c:crossBetween val="midCat"/>
      </c:valAx>
      <c:valAx>
        <c:axId val="56918806"/>
        <c:scaling>
          <c:orientation val="minMax"/>
          <c:max val="0.27"/>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1745511820"/>
        <c:crosses val="autoZero"/>
        <c:crossBetween val="midCat"/>
      </c:valAx>
    </c:plotArea>
    <c:legend>
      <c:legendPos val="r"/>
      <c:layout/>
      <c:overlay val="0"/>
      <c:txPr>
        <a:bodyPr rot="0" spcFirstLastPara="0" vertOverflow="ellipsis" vert="horz" wrap="square" anchor="ctr" anchorCtr="1"/>
        <a:lstStyle/>
        <a:p>
          <a:pPr>
            <a:defRPr lang="zh-CN" sz="1000" b="0" i="0" u="none" strike="noStrike" kern="1200" baseline="0">
              <a:solidFill>
                <a:srgbClr val="1A1A1A"/>
              </a:solidFill>
              <a:latin typeface="+mn-lt"/>
              <a:ea typeface="+mn-ea"/>
              <a:cs typeface="+mn-cs"/>
            </a:defRPr>
          </a:pPr>
        </a:p>
      </c:txPr>
    </c:legend>
    <c:plotVisOnly val="1"/>
    <c:dispBlanksAs val="gap"/>
    <c:showDLblsOverMax val="0"/>
    <c:extLst>
      <c:ext uri="{0b15fc19-7d7d-44ad-8c2d-2c3a37ce22c3}">
        <chartProps xmlns="https://web.wps.cn/et/2018/main" chartId="{692d0117-484e-4fa9-aaee-3ecba976d0ac}"/>
      </c:ext>
    </c:extLst>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zh-CN" sz="1800" b="0" i="0" u="none" strike="noStrike" kern="1200" baseline="0">
                <a:solidFill>
                  <a:srgbClr val="757575"/>
                </a:solidFill>
                <a:latin typeface="+mn-lt"/>
                <a:ea typeface="+mn-ea"/>
                <a:cs typeface="+mn-cs"/>
              </a:defRPr>
            </a:pPr>
            <a:r>
              <a:rPr b="0">
                <a:solidFill>
                  <a:srgbClr val="757575"/>
                </a:solidFill>
                <a:latin typeface="+mn-lt"/>
              </a:rPr>
              <a:t>microTech</a:t>
            </a:r>
            <a:endParaRPr b="0">
              <a:solidFill>
                <a:srgbClr val="757575"/>
              </a:solidFill>
              <a:latin typeface="+mn-lt"/>
            </a:endParaRPr>
          </a:p>
        </c:rich>
      </c:tx>
      <c:layout/>
      <c:overlay val="0"/>
    </c:title>
    <c:autoTitleDeleted val="0"/>
    <c:plotArea>
      <c:layout/>
      <c:scatterChart>
        <c:scatterStyle val="marker"/>
        <c:varyColors val="0"/>
        <c:ser>
          <c:idx val="0"/>
          <c:order val="0"/>
          <c:spPr>
            <a:ln w="19050" cap="rnd" cmpd="sng" algn="ctr">
              <a:noFill/>
              <a:prstDash val="solid"/>
              <a:round/>
            </a:ln>
          </c:spPr>
          <c:marker>
            <c:symbol val="circle"/>
            <c:size val="7"/>
            <c:spPr>
              <a:solidFill>
                <a:schemeClr val="accent1"/>
              </a:solidFill>
              <a:ln w="6350" cap="flat" cmpd="sng" algn="ctr">
                <a:solidFill>
                  <a:schemeClr val="accent1"/>
                </a:solidFill>
                <a:prstDash val="solid"/>
                <a:round/>
              </a:ln>
            </c:spPr>
          </c:marker>
          <c:dLbls>
            <c:delete val="1"/>
          </c:dLbls>
          <c:xVal>
            <c:numRef>
              <c:f>'Stanton System Chart'!$H$72:$H$75</c:f>
              <c:numCache>
                <c:formatCode>General</c:formatCode>
                <c:ptCount val="4"/>
                <c:pt idx="0">
                  <c:v>0</c:v>
                </c:pt>
                <c:pt idx="1">
                  <c:v>0.0449420540237034</c:v>
                </c:pt>
                <c:pt idx="2">
                  <c:v>-0.0268068364308744</c:v>
                </c:pt>
                <c:pt idx="3">
                  <c:v>0.00711527239460944</c:v>
                </c:pt>
              </c:numCache>
            </c:numRef>
          </c:xVal>
          <c:yVal>
            <c:numRef>
              <c:f>'Stanton System Chart'!$I$72:$I$75</c:f>
              <c:numCache>
                <c:formatCode>General</c:formatCode>
                <c:ptCount val="4"/>
                <c:pt idx="0">
                  <c:v>0</c:v>
                </c:pt>
                <c:pt idx="1">
                  <c:v>0.0482253896743296</c:v>
                </c:pt>
                <c:pt idx="2">
                  <c:v>0.0920250775864748</c:v>
                </c:pt>
                <c:pt idx="3">
                  <c:v>0.107574550870485</c:v>
                </c:pt>
              </c:numCache>
            </c:numRef>
          </c:yVal>
          <c:smooth val="1"/>
        </c:ser>
        <c:dLbls>
          <c:showLegendKey val="0"/>
          <c:showVal val="0"/>
          <c:showCatName val="0"/>
          <c:showSerName val="0"/>
          <c:showPercent val="0"/>
          <c:showBubbleSize val="0"/>
        </c:dLbls>
        <c:axId val="1988997005"/>
        <c:axId val="882263960"/>
      </c:scatterChart>
      <c:valAx>
        <c:axId val="1988997005"/>
        <c:scaling>
          <c:orientation val="minMax"/>
          <c:max val="0.12"/>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882263960"/>
        <c:crosses val="autoZero"/>
        <c:crossBetween val="midCat"/>
      </c:valAx>
      <c:valAx>
        <c:axId val="882263960"/>
        <c:scaling>
          <c:orientation val="minMax"/>
          <c:max val="0.12"/>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1988997005"/>
        <c:crosses val="autoZero"/>
        <c:crossBetween val="midCat"/>
      </c:valAx>
    </c:plotArea>
    <c:legend>
      <c:legendPos val="r"/>
      <c:layout/>
      <c:overlay val="0"/>
      <c:txPr>
        <a:bodyPr rot="0" spcFirstLastPara="0" vertOverflow="ellipsis" vert="horz" wrap="square" anchor="ctr" anchorCtr="1"/>
        <a:lstStyle/>
        <a:p>
          <a:pPr>
            <a:defRPr lang="zh-CN" sz="1000" b="0" i="0" u="none" strike="noStrike" kern="1200" baseline="0">
              <a:solidFill>
                <a:srgbClr val="1A1A1A"/>
              </a:solidFill>
              <a:latin typeface="+mn-lt"/>
              <a:ea typeface="+mn-ea"/>
              <a:cs typeface="+mn-cs"/>
            </a:defRPr>
          </a:pPr>
        </a:p>
      </c:txPr>
    </c:legend>
    <c:plotVisOnly val="1"/>
    <c:dispBlanksAs val="gap"/>
    <c:showDLblsOverMax val="0"/>
    <c:extLst>
      <c:ext uri="{0b15fc19-7d7d-44ad-8c2d-2c3a37ce22c3}">
        <chartProps xmlns="https://web.wps.cn/et/2018/main" chartId="{596509f8-7b1c-4a83-9968-3e83f842b8f9}"/>
      </c:ext>
    </c:extLst>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zh-CN" sz="1800" b="0" i="0" u="none" strike="noStrike" kern="1200" baseline="0">
                <a:solidFill>
                  <a:srgbClr val="757575"/>
                </a:solidFill>
                <a:latin typeface="+mn-lt"/>
                <a:ea typeface="+mn-ea"/>
                <a:cs typeface="+mn-cs"/>
              </a:defRPr>
            </a:pPr>
            <a:r>
              <a:rPr b="0">
                <a:solidFill>
                  <a:srgbClr val="757575"/>
                </a:solidFill>
                <a:latin typeface="+mn-lt"/>
              </a:rPr>
              <a:t>Great Circle Route between points</a:t>
            </a:r>
            <a:endParaRPr b="0">
              <a:solidFill>
                <a:srgbClr val="757575"/>
              </a:solidFill>
              <a:latin typeface="+mn-lt"/>
            </a:endParaRPr>
          </a:p>
        </c:rich>
      </c:tx>
      <c:layout/>
      <c:overlay val="0"/>
    </c:title>
    <c:autoTitleDeleted val="0"/>
    <c:plotArea>
      <c:layout/>
      <c:scatterChart>
        <c:scatterStyle val="marker"/>
        <c:varyColors val="0"/>
        <c:ser>
          <c:idx val="0"/>
          <c:order val="0"/>
          <c:spPr>
            <a:ln w="19050" cap="rnd" cmpd="sng" algn="ctr">
              <a:noFill/>
              <a:prstDash val="solid"/>
              <a:round/>
            </a:ln>
          </c:spPr>
          <c:marker>
            <c:symbol val="circle"/>
            <c:size val="7"/>
            <c:spPr>
              <a:solidFill>
                <a:schemeClr val="accent1"/>
              </a:solidFill>
              <a:ln w="6350" cap="flat" cmpd="sng" algn="ctr">
                <a:solidFill>
                  <a:schemeClr val="accent1"/>
                </a:solidFill>
                <a:prstDash val="solid"/>
                <a:round/>
              </a:ln>
            </c:spPr>
          </c:marker>
          <c:dLbls>
            <c:delete val="1"/>
          </c:dLbls>
          <c:xVal>
            <c:numRef>
              <c:f>'Great Circle'!$E$18:$E$119</c:f>
              <c:numCache>
                <c:formatCode>General</c:formatCode>
                <c:ptCount val="102"/>
                <c:pt idx="0">
                  <c:v>-117.616791660721</c:v>
                </c:pt>
                <c:pt idx="1">
                  <c:v>-115.45538988278</c:v>
                </c:pt>
                <c:pt idx="2">
                  <c:v>-113.22616362184</c:v>
                </c:pt>
                <c:pt idx="3">
                  <c:v>-110.927575443627</c:v>
                </c:pt>
                <c:pt idx="4">
                  <c:v>-108.558555286413</c:v>
                </c:pt>
                <c:pt idx="5">
                  <c:v>-106.118596015161</c:v>
                </c:pt>
                <c:pt idx="6">
                  <c:v>-103.607852504176</c:v>
                </c:pt>
                <c:pt idx="7">
                  <c:v>-101.027240316818</c:v>
                </c:pt>
                <c:pt idx="8">
                  <c:v>-98.3785288854295</c:v>
                </c:pt>
                <c:pt idx="9">
                  <c:v>-95.6644230214602</c:v>
                </c:pt>
                <c:pt idx="10">
                  <c:v>-92.8886257772918</c:v>
                </c:pt>
                <c:pt idx="11">
                  <c:v>-90.0558753388765</c:v>
                </c:pt>
                <c:pt idx="12">
                  <c:v>-87.1719489531622</c:v>
                </c:pt>
                <c:pt idx="13">
                  <c:v>-84.2436280460578</c:v>
                </c:pt>
                <c:pt idx="14">
                  <c:v>-81.2786207334225</c:v>
                </c:pt>
                <c:pt idx="15">
                  <c:v>-78.2854408002135</c:v>
                </c:pt>
                <c:pt idx="16">
                  <c:v>-75.2732456890613</c:v>
                </c:pt>
                <c:pt idx="17">
                  <c:v>-72.251639711618</c:v>
                </c:pt>
                <c:pt idx="18">
                  <c:v>-69.2304520820476</c:v>
                </c:pt>
                <c:pt idx="19">
                  <c:v>-66.219501963911</c:v>
                </c:pt>
                <c:pt idx="20">
                  <c:v>-63.2283641018709</c:v>
                </c:pt>
                <c:pt idx="21">
                  <c:v>-60.2661485468738</c:v>
                </c:pt>
                <c:pt idx="22">
                  <c:v>-57.3413064883997</c:v>
                </c:pt>
                <c:pt idx="23">
                  <c:v>-54.4614715299355</c:v>
                </c:pt>
                <c:pt idx="24">
                  <c:v>-51.6333423133333</c:v>
                </c:pt>
                <c:pt idx="25">
                  <c:v>-48.8626087249789</c:v>
                </c:pt>
                <c:pt idx="26">
                  <c:v>-46.1539204878154</c:v>
                </c:pt>
                <c:pt idx="27">
                  <c:v>-43.5108941340035</c:v>
                </c:pt>
                <c:pt idx="28">
                  <c:v>-40.936152381678</c:v>
                </c:pt>
                <c:pt idx="29">
                  <c:v>-38.4313888619004</c:v>
                </c:pt>
                <c:pt idx="30">
                  <c:v>-35.9974508807205</c:v>
                </c:pt>
                <c:pt idx="31">
                  <c:v>-33.6344332912919</c:v>
                </c:pt>
                <c:pt idx="32">
                  <c:v>-31.3417773894267</c:v>
                </c:pt>
                <c:pt idx="33">
                  <c:v>-29.1183698331658</c:v>
                </c:pt>
                <c:pt idx="34">
                  <c:v>-26.9626377535114</c:v>
                </c:pt>
                <c:pt idx="35">
                  <c:v>-24.8726373433701</c:v>
                </c:pt>
                <c:pt idx="36">
                  <c:v>-22.8461342039986</c:v>
                </c:pt>
                <c:pt idx="37">
                  <c:v>-20.8806745512477</c:v>
                </c:pt>
                <c:pt idx="38">
                  <c:v>-18.9736470264012</c:v>
                </c:pt>
                <c:pt idx="39">
                  <c:v>-17.1223353277303</c:v>
                </c:pt>
                <c:pt idx="40">
                  <c:v>-15.3239622003149</c:v>
                </c:pt>
                <c:pt idx="41">
                  <c:v>-13.5757255197933</c:v>
                </c:pt>
                <c:pt idx="42">
                  <c:v>-11.8748273077237</c:v>
                </c:pt>
                <c:pt idx="43">
                  <c:v>-10.2184965472037</c:v>
                </c:pt>
                <c:pt idx="44">
                  <c:v>-8.6040066487347</c:v>
                </c:pt>
                <c:pt idx="45">
                  <c:v>-7.02868836533429</c:v>
                </c:pt>
                <c:pt idx="46">
                  <c:v>-5.48993888596206</c:v>
                </c:pt>
                <c:pt idx="47">
                  <c:v>-3.9852277572512</c:v>
                </c:pt>
                <c:pt idx="48">
                  <c:v>-2.51210020225945</c:v>
                </c:pt>
                <c:pt idx="49">
                  <c:v>-1.06817832606416</c:v>
                </c:pt>
                <c:pt idx="50">
                  <c:v>0.348839375623076</c:v>
                </c:pt>
                <c:pt idx="51">
                  <c:v>0.907359401440334</c:v>
                </c:pt>
                <c:pt idx="52">
                  <c:v>0.907359401440334</c:v>
                </c:pt>
                <c:pt idx="53">
                  <c:v>0.907359401440334</c:v>
                </c:pt>
                <c:pt idx="54">
                  <c:v>0.907359401440334</c:v>
                </c:pt>
                <c:pt idx="55">
                  <c:v>0.907359401440334</c:v>
                </c:pt>
                <c:pt idx="56">
                  <c:v>0.907359401440334</c:v>
                </c:pt>
                <c:pt idx="57">
                  <c:v>0.907359401440334</c:v>
                </c:pt>
                <c:pt idx="58">
                  <c:v>0.907359401440334</c:v>
                </c:pt>
                <c:pt idx="59">
                  <c:v>0.907359401440334</c:v>
                </c:pt>
                <c:pt idx="60">
                  <c:v>0.907359401440334</c:v>
                </c:pt>
                <c:pt idx="61">
                  <c:v>0.907359401440334</c:v>
                </c:pt>
                <c:pt idx="62">
                  <c:v>0.907359401440334</c:v>
                </c:pt>
                <c:pt idx="63">
                  <c:v>0.907359401440334</c:v>
                </c:pt>
                <c:pt idx="64">
                  <c:v>0.907359401440334</c:v>
                </c:pt>
                <c:pt idx="65">
                  <c:v>0.907359401440334</c:v>
                </c:pt>
                <c:pt idx="66">
                  <c:v>0.907359401440334</c:v>
                </c:pt>
                <c:pt idx="67">
                  <c:v>0.907359401440334</c:v>
                </c:pt>
                <c:pt idx="68">
                  <c:v>0.907359401440334</c:v>
                </c:pt>
                <c:pt idx="69">
                  <c:v>0.907359401440334</c:v>
                </c:pt>
                <c:pt idx="70">
                  <c:v>0.907359401440334</c:v>
                </c:pt>
                <c:pt idx="71">
                  <c:v>0.907359401440334</c:v>
                </c:pt>
                <c:pt idx="72">
                  <c:v>0.907359401440334</c:v>
                </c:pt>
                <c:pt idx="73">
                  <c:v>0.907359401440334</c:v>
                </c:pt>
                <c:pt idx="74">
                  <c:v>0.907359401440334</c:v>
                </c:pt>
                <c:pt idx="75">
                  <c:v>0.907359401440334</c:v>
                </c:pt>
                <c:pt idx="76">
                  <c:v>0.907359401440334</c:v>
                </c:pt>
                <c:pt idx="77">
                  <c:v>0.907359401440334</c:v>
                </c:pt>
                <c:pt idx="78">
                  <c:v>0.907359401440334</c:v>
                </c:pt>
                <c:pt idx="79">
                  <c:v>0.907359401440334</c:v>
                </c:pt>
                <c:pt idx="80">
                  <c:v>0.907359401440334</c:v>
                </c:pt>
                <c:pt idx="81">
                  <c:v>0.907359401440334</c:v>
                </c:pt>
                <c:pt idx="82">
                  <c:v>0.907359401440334</c:v>
                </c:pt>
                <c:pt idx="83">
                  <c:v>0.907359401440334</c:v>
                </c:pt>
                <c:pt idx="84">
                  <c:v>0.907359401440334</c:v>
                </c:pt>
                <c:pt idx="85">
                  <c:v>0.907359401440334</c:v>
                </c:pt>
                <c:pt idx="86">
                  <c:v>0.907359401440334</c:v>
                </c:pt>
                <c:pt idx="87">
                  <c:v>0.907359401440334</c:v>
                </c:pt>
                <c:pt idx="88">
                  <c:v>0.907359401440334</c:v>
                </c:pt>
                <c:pt idx="89">
                  <c:v>0.907359401440334</c:v>
                </c:pt>
                <c:pt idx="90">
                  <c:v>0.907359401440334</c:v>
                </c:pt>
                <c:pt idx="91">
                  <c:v>0.907359401440334</c:v>
                </c:pt>
                <c:pt idx="92">
                  <c:v>0.907359401440334</c:v>
                </c:pt>
                <c:pt idx="93">
                  <c:v>0.907359401440334</c:v>
                </c:pt>
                <c:pt idx="94">
                  <c:v>0.907359401440334</c:v>
                </c:pt>
                <c:pt idx="95">
                  <c:v>0.907359401440334</c:v>
                </c:pt>
                <c:pt idx="96">
                  <c:v>0.907359401440334</c:v>
                </c:pt>
                <c:pt idx="97">
                  <c:v>0.907359401440334</c:v>
                </c:pt>
                <c:pt idx="98">
                  <c:v>0.907359401440334</c:v>
                </c:pt>
                <c:pt idx="99">
                  <c:v>0.907359401440334</c:v>
                </c:pt>
                <c:pt idx="100">
                  <c:v>0.907359401440334</c:v>
                </c:pt>
                <c:pt idx="101">
                  <c:v>-117.616791660721</c:v>
                </c:pt>
              </c:numCache>
            </c:numRef>
          </c:xVal>
          <c:yVal>
            <c:numRef>
              <c:f>'Great Circle'!$D$18:$D$119</c:f>
              <c:numCache>
                <c:formatCode>General</c:formatCode>
                <c:ptCount val="102"/>
                <c:pt idx="0">
                  <c:v>40.027011336907</c:v>
                </c:pt>
                <c:pt idx="1">
                  <c:v>41.0638617770672</c:v>
                </c:pt>
                <c:pt idx="2">
                  <c:v>42.0590531817465</c:v>
                </c:pt>
                <c:pt idx="3">
                  <c:v>43.0097542335155</c:v>
                </c:pt>
                <c:pt idx="4">
                  <c:v>43.9130380745779</c:v>
                </c:pt>
                <c:pt idx="5">
                  <c:v>44.7659015187381</c:v>
                </c:pt>
                <c:pt idx="6">
                  <c:v>45.5652899061238</c:v>
                </c:pt>
                <c:pt idx="7">
                  <c:v>46.3081279776336</c:v>
                </c:pt>
                <c:pt idx="8">
                  <c:v>46.9913569021617</c:v>
                </c:pt>
                <c:pt idx="9">
                  <c:v>47.6119772565986</c:v>
                </c:pt>
                <c:pt idx="10">
                  <c:v>48.1670973415208</c:v>
                </c:pt>
                <c:pt idx="11">
                  <c:v>48.6539857336326</c:v>
                </c:pt>
                <c:pt idx="12">
                  <c:v>49.0701264653532</c:v>
                </c:pt>
                <c:pt idx="13">
                  <c:v>49.4132747348986</c:v>
                </c:pt>
                <c:pt idx="14">
                  <c:v>49.6815106517577</c:v>
                </c:pt>
                <c:pt idx="15">
                  <c:v>49.8732882816306</c:v>
                </c:pt>
                <c:pt idx="16">
                  <c:v>49.9874772325874</c:v>
                </c:pt>
                <c:pt idx="17">
                  <c:v>50.0233942593423</c:v>
                </c:pt>
                <c:pt idx="18">
                  <c:v>49.9808228600021</c:v>
                </c:pt>
                <c:pt idx="19">
                  <c:v>49.8600195638024</c:v>
                </c:pt>
                <c:pt idx="20">
                  <c:v>49.6617064850022</c:v>
                </c:pt>
                <c:pt idx="21">
                  <c:v>49.3870506456491</c:v>
                </c:pt>
                <c:pt idx="22">
                  <c:v>49.037631437316</c:v>
                </c:pt>
                <c:pt idx="23">
                  <c:v>48.6153982992229</c:v>
                </c:pt>
                <c:pt idx="24">
                  <c:v>48.1226211661725</c:v>
                </c:pt>
                <c:pt idx="25">
                  <c:v>47.5618364522952</c:v>
                </c:pt>
                <c:pt idx="26">
                  <c:v>46.9357912938439</c:v>
                </c:pt>
                <c:pt idx="27">
                  <c:v>46.2473885175064</c:v>
                </c:pt>
                <c:pt idx="28">
                  <c:v>45.4996343920417</c:v>
                </c:pt>
                <c:pt idx="29">
                  <c:v>44.6955907296117</c:v>
                </c:pt>
                <c:pt idx="30">
                  <c:v>43.8383323931314</c:v>
                </c:pt>
                <c:pt idx="31">
                  <c:v>42.9309107884559</c:v>
                </c:pt>
                <c:pt idx="32">
                  <c:v>41.9763235097334</c:v>
                </c:pt>
                <c:pt idx="33">
                  <c:v>40.9774899807387</c:v>
                </c:pt>
                <c:pt idx="34">
                  <c:v>39.9372326985192</c:v>
                </c:pt>
                <c:pt idx="35">
                  <c:v>38.8582635322617</c:v>
                </c:pt>
                <c:pt idx="36">
                  <c:v>37.7431744478859</c:v>
                </c:pt>
                <c:pt idx="37">
                  <c:v>36.5944320027567</c:v>
                </c:pt>
                <c:pt idx="38">
                  <c:v>35.4143749701829</c:v>
                </c:pt>
                <c:pt idx="39">
                  <c:v>34.2052144965636</c:v>
                </c:pt>
                <c:pt idx="40">
                  <c:v>32.9690362539149</c:v>
                </c:pt>
                <c:pt idx="41">
                  <c:v>31.7078041183417</c:v>
                </c:pt>
                <c:pt idx="42">
                  <c:v>30.4233649744356</c:v>
                </c:pt>
                <c:pt idx="43">
                  <c:v>29.1174543122937</c:v>
                </c:pt>
                <c:pt idx="44">
                  <c:v>27.7917023452008</c:v>
                </c:pt>
                <c:pt idx="45">
                  <c:v>26.4476404306074</c:v>
                </c:pt>
                <c:pt idx="46">
                  <c:v>25.0867076243548</c:v>
                </c:pt>
                <c:pt idx="47">
                  <c:v>23.7102572382503</c:v>
                </c:pt>
                <c:pt idx="48">
                  <c:v>22.3195633045394</c:v>
                </c:pt>
                <c:pt idx="49">
                  <c:v>20.9158268782372</c:v>
                </c:pt>
                <c:pt idx="50">
                  <c:v>19.5001821304174</c:v>
                </c:pt>
                <c:pt idx="51">
                  <c:v>18.9321151390098</c:v>
                </c:pt>
                <c:pt idx="52">
                  <c:v>18.9321151390098</c:v>
                </c:pt>
                <c:pt idx="53">
                  <c:v>18.9321151390098</c:v>
                </c:pt>
                <c:pt idx="54">
                  <c:v>18.9321151390098</c:v>
                </c:pt>
                <c:pt idx="55">
                  <c:v>18.9321151390098</c:v>
                </c:pt>
                <c:pt idx="56">
                  <c:v>18.9321151390098</c:v>
                </c:pt>
                <c:pt idx="57">
                  <c:v>18.9321151390098</c:v>
                </c:pt>
                <c:pt idx="58">
                  <c:v>18.9321151390098</c:v>
                </c:pt>
                <c:pt idx="59">
                  <c:v>18.9321151390098</c:v>
                </c:pt>
                <c:pt idx="60">
                  <c:v>18.9321151390098</c:v>
                </c:pt>
                <c:pt idx="61">
                  <c:v>18.9321151390098</c:v>
                </c:pt>
                <c:pt idx="62">
                  <c:v>18.9321151390098</c:v>
                </c:pt>
                <c:pt idx="63">
                  <c:v>18.9321151390098</c:v>
                </c:pt>
                <c:pt idx="64">
                  <c:v>18.9321151390098</c:v>
                </c:pt>
                <c:pt idx="65">
                  <c:v>18.9321151390098</c:v>
                </c:pt>
                <c:pt idx="66">
                  <c:v>18.9321151390098</c:v>
                </c:pt>
                <c:pt idx="67">
                  <c:v>18.9321151390098</c:v>
                </c:pt>
                <c:pt idx="68">
                  <c:v>18.9321151390098</c:v>
                </c:pt>
                <c:pt idx="69">
                  <c:v>18.9321151390098</c:v>
                </c:pt>
                <c:pt idx="70">
                  <c:v>18.9321151390098</c:v>
                </c:pt>
                <c:pt idx="71">
                  <c:v>18.9321151390098</c:v>
                </c:pt>
                <c:pt idx="72">
                  <c:v>18.9321151390098</c:v>
                </c:pt>
                <c:pt idx="73">
                  <c:v>18.9321151390098</c:v>
                </c:pt>
                <c:pt idx="74">
                  <c:v>18.9321151390098</c:v>
                </c:pt>
                <c:pt idx="75">
                  <c:v>18.9321151390098</c:v>
                </c:pt>
                <c:pt idx="76">
                  <c:v>18.9321151390098</c:v>
                </c:pt>
                <c:pt idx="77">
                  <c:v>18.9321151390098</c:v>
                </c:pt>
                <c:pt idx="78">
                  <c:v>18.9321151390098</c:v>
                </c:pt>
                <c:pt idx="79">
                  <c:v>18.9321151390098</c:v>
                </c:pt>
                <c:pt idx="80">
                  <c:v>18.9321151390098</c:v>
                </c:pt>
                <c:pt idx="81">
                  <c:v>18.9321151390098</c:v>
                </c:pt>
                <c:pt idx="82">
                  <c:v>18.9321151390098</c:v>
                </c:pt>
                <c:pt idx="83">
                  <c:v>18.9321151390098</c:v>
                </c:pt>
                <c:pt idx="84">
                  <c:v>18.9321151390098</c:v>
                </c:pt>
                <c:pt idx="85">
                  <c:v>18.9321151390098</c:v>
                </c:pt>
                <c:pt idx="86">
                  <c:v>18.9321151390098</c:v>
                </c:pt>
                <c:pt idx="87">
                  <c:v>18.9321151390098</c:v>
                </c:pt>
                <c:pt idx="88">
                  <c:v>18.9321151390098</c:v>
                </c:pt>
                <c:pt idx="89">
                  <c:v>18.9321151390098</c:v>
                </c:pt>
                <c:pt idx="90">
                  <c:v>18.9321151390098</c:v>
                </c:pt>
                <c:pt idx="91">
                  <c:v>18.9321151390098</c:v>
                </c:pt>
                <c:pt idx="92">
                  <c:v>18.9321151390098</c:v>
                </c:pt>
                <c:pt idx="93">
                  <c:v>18.9321151390098</c:v>
                </c:pt>
                <c:pt idx="94">
                  <c:v>18.9321151390098</c:v>
                </c:pt>
                <c:pt idx="95">
                  <c:v>18.9321151390098</c:v>
                </c:pt>
                <c:pt idx="96">
                  <c:v>18.9321151390098</c:v>
                </c:pt>
                <c:pt idx="97">
                  <c:v>18.9321151390098</c:v>
                </c:pt>
                <c:pt idx="98">
                  <c:v>18.9321151390098</c:v>
                </c:pt>
                <c:pt idx="99">
                  <c:v>18.9321151390098</c:v>
                </c:pt>
                <c:pt idx="100">
                  <c:v>18.9321151390098</c:v>
                </c:pt>
                <c:pt idx="101">
                  <c:v>40.027011336907</c:v>
                </c:pt>
              </c:numCache>
            </c:numRef>
          </c:yVal>
          <c:smooth val="1"/>
        </c:ser>
        <c:dLbls>
          <c:showLegendKey val="0"/>
          <c:showVal val="0"/>
          <c:showCatName val="0"/>
          <c:showSerName val="0"/>
          <c:showPercent val="0"/>
          <c:showBubbleSize val="0"/>
        </c:dLbls>
        <c:axId val="729768286"/>
        <c:axId val="1318264544"/>
      </c:scatterChart>
      <c:valAx>
        <c:axId val="729768286"/>
        <c:scaling>
          <c:orientation val="minMax"/>
          <c:max val="180"/>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zh-CN" sz="1000" b="0" i="0" u="none" strike="noStrike" kern="1200" baseline="0">
                    <a:solidFill>
                      <a:srgbClr val="000000"/>
                    </a:solidFill>
                    <a:latin typeface="+mn-lt"/>
                    <a:ea typeface="+mn-ea"/>
                    <a:cs typeface="+mn-cs"/>
                  </a:defRPr>
                </a:pPr>
                <a:r>
                  <a:rPr b="0">
                    <a:solidFill>
                      <a:srgbClr val="000000"/>
                    </a:solidFill>
                    <a:latin typeface="+mn-lt"/>
                  </a:rPr>
                  <a:t>Longitude</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1000" b="0" i="0" u="none" strike="noStrike" kern="1200" baseline="0">
                <a:solidFill>
                  <a:srgbClr val="000000"/>
                </a:solidFill>
                <a:latin typeface="+mn-lt"/>
                <a:ea typeface="+mn-ea"/>
                <a:cs typeface="+mn-cs"/>
              </a:defRPr>
            </a:pPr>
          </a:p>
        </c:txPr>
        <c:crossAx val="1318264544"/>
        <c:crosses val="autoZero"/>
        <c:crossBetween val="midCat"/>
        <c:majorUnit val="30"/>
      </c:valAx>
      <c:valAx>
        <c:axId val="1318264544"/>
        <c:scaling>
          <c:orientation val="minMax"/>
          <c:max val="90"/>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zh-CN" sz="1000" b="0" i="0" u="none" strike="noStrike" kern="1200" baseline="0">
                    <a:solidFill>
                      <a:srgbClr val="000000"/>
                    </a:solidFill>
                    <a:latin typeface="+mn-lt"/>
                    <a:ea typeface="+mn-ea"/>
                    <a:cs typeface="+mn-cs"/>
                  </a:defRPr>
                </a:pPr>
                <a:r>
                  <a:rPr b="0">
                    <a:solidFill>
                      <a:srgbClr val="000000"/>
                    </a:solidFill>
                    <a:latin typeface="+mn-lt"/>
                  </a:rPr>
                  <a:t>Latitude</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1000" b="0" i="0" u="none" strike="noStrike" kern="1200" baseline="0">
                <a:solidFill>
                  <a:srgbClr val="000000"/>
                </a:solidFill>
                <a:latin typeface="+mn-lt"/>
                <a:ea typeface="+mn-ea"/>
                <a:cs typeface="+mn-cs"/>
              </a:defRPr>
            </a:pPr>
          </a:p>
        </c:txPr>
        <c:crossAx val="729768286"/>
        <c:crosses val="autoZero"/>
        <c:crossBetween val="midCat"/>
        <c:majorUnit val="30"/>
      </c:valAx>
    </c:plotArea>
    <c:legend>
      <c:legendPos val="r"/>
      <c:layout/>
      <c:overlay val="0"/>
      <c:txPr>
        <a:bodyPr rot="0" spcFirstLastPara="0" vertOverflow="ellipsis" vert="horz" wrap="square" anchor="ctr" anchorCtr="1"/>
        <a:lstStyle/>
        <a:p>
          <a:pPr>
            <a:defRPr lang="zh-CN" sz="1000" b="0" i="0" u="none" strike="noStrike" kern="1200" baseline="0">
              <a:solidFill>
                <a:srgbClr val="1A1A1A"/>
              </a:solidFill>
              <a:latin typeface="+mn-lt"/>
              <a:ea typeface="+mn-ea"/>
              <a:cs typeface="+mn-cs"/>
            </a:defRPr>
          </a:pPr>
        </a:p>
      </c:txPr>
    </c:legend>
    <c:plotVisOnly val="1"/>
    <c:dispBlanksAs val="gap"/>
    <c:showDLblsOverMax val="0"/>
    <c:extLst>
      <c:ext uri="{0b15fc19-7d7d-44ad-8c2d-2c3a37ce22c3}">
        <chartProps xmlns="https://web.wps.cn/et/2018/main" chartId="{9e54b450-d2fa-4fc9-a128-9341d1c03ae6}"/>
      </c:ext>
    </c:extLst>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9525</xdr:rowOff>
    </xdr:from>
    <xdr:ext cx="933450" cy="933450"/>
    <xdr:pic>
      <xdr:nvPicPr>
        <xdr:cNvPr id="2" name="image1.png" title="Image"/>
        <xdr:cNvPicPr preferRelativeResize="0"/>
      </xdr:nvPicPr>
      <xdr:blipFill>
        <a:blip r:embed="rId1" cstate="print"/>
        <a:stretch>
          <a:fillRect/>
        </a:stretch>
      </xdr:blipFill>
      <xdr:spPr>
        <a:xfrm>
          <a:off x="0" y="9525"/>
          <a:ext cx="933450" cy="933450"/>
        </a:xfrm>
        <a:prstGeom prst="rect">
          <a:avLst/>
        </a:prstGeom>
        <a:noFill/>
      </xdr:spPr>
    </xdr:pic>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123825</xdr:colOff>
      <xdr:row>7</xdr:row>
      <xdr:rowOff>114300</xdr:rowOff>
    </xdr:from>
    <xdr:ext cx="5743575" cy="3152775"/>
    <xdr:pic>
      <xdr:nvPicPr>
        <xdr:cNvPr id="2" name="image3.png" title="Image"/>
        <xdr:cNvPicPr preferRelativeResize="0"/>
      </xdr:nvPicPr>
      <xdr:blipFill>
        <a:blip r:embed="rId1" cstate="print"/>
        <a:stretch>
          <a:fillRect/>
        </a:stretch>
      </xdr:blipFill>
      <xdr:spPr>
        <a:xfrm>
          <a:off x="123825" y="1514475"/>
          <a:ext cx="5743575" cy="3152775"/>
        </a:xfrm>
        <a:prstGeom prst="rect">
          <a:avLst/>
        </a:prstGeom>
        <a:noFill/>
      </xdr:spPr>
    </xdr:pic>
    <xdr:clientData fLocksWithSheet="0"/>
  </xdr:oneCellAnchor>
  <xdr:oneCellAnchor>
    <xdr:from>
      <xdr:col>6</xdr:col>
      <xdr:colOff>381000</xdr:colOff>
      <xdr:row>7</xdr:row>
      <xdr:rowOff>114300</xdr:rowOff>
    </xdr:from>
    <xdr:ext cx="5019675" cy="3038475"/>
    <xdr:pic>
      <xdr:nvPicPr>
        <xdr:cNvPr id="3" name="image2.jpg" title="Image"/>
        <xdr:cNvPicPr preferRelativeResize="0"/>
      </xdr:nvPicPr>
      <xdr:blipFill>
        <a:blip r:embed="rId2" cstate="print"/>
        <a:stretch>
          <a:fillRect/>
        </a:stretch>
      </xdr:blipFill>
      <xdr:spPr>
        <a:xfrm>
          <a:off x="5433060" y="1514475"/>
          <a:ext cx="5019675" cy="3038475"/>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5</xdr:col>
      <xdr:colOff>9525</xdr:colOff>
      <xdr:row>0</xdr:row>
      <xdr:rowOff>0</xdr:rowOff>
    </xdr:from>
    <xdr:ext cx="6915150" cy="7181850"/>
    <xdr:graphicFrame>
      <xdr:nvGraphicFramePr>
        <xdr:cNvPr id="2" name="Chart 1" title="Chart"/>
        <xdr:cNvGraphicFramePr/>
      </xdr:nvGraphicFramePr>
      <xdr:xfrm>
        <a:off x="4219575" y="0"/>
        <a:ext cx="6915150" cy="718185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12</xdr:col>
      <xdr:colOff>190500</xdr:colOff>
      <xdr:row>0</xdr:row>
      <xdr:rowOff>0</xdr:rowOff>
    </xdr:from>
    <xdr:ext cx="3267075" cy="3086100"/>
    <xdr:graphicFrame>
      <xdr:nvGraphicFramePr>
        <xdr:cNvPr id="3" name="Chart 2" title="Chart"/>
        <xdr:cNvGraphicFramePr/>
      </xdr:nvGraphicFramePr>
      <xdr:xfrm>
        <a:off x="10294620" y="0"/>
        <a:ext cx="3267075" cy="308610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15</xdr:col>
      <xdr:colOff>571500</xdr:colOff>
      <xdr:row>0</xdr:row>
      <xdr:rowOff>0</xdr:rowOff>
    </xdr:from>
    <xdr:ext cx="3267075" cy="3086100"/>
    <xdr:graphicFrame>
      <xdr:nvGraphicFramePr>
        <xdr:cNvPr id="4" name="Chart 3" title="Chart"/>
        <xdr:cNvGraphicFramePr/>
      </xdr:nvGraphicFramePr>
      <xdr:xfrm>
        <a:off x="13201650" y="0"/>
        <a:ext cx="3267075" cy="308610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12</xdr:col>
      <xdr:colOff>190500</xdr:colOff>
      <xdr:row>15</xdr:row>
      <xdr:rowOff>85725</xdr:rowOff>
    </xdr:from>
    <xdr:ext cx="3267075" cy="3086100"/>
    <xdr:graphicFrame>
      <xdr:nvGraphicFramePr>
        <xdr:cNvPr id="5" name="Chart 4" title="Chart"/>
        <xdr:cNvGraphicFramePr/>
      </xdr:nvGraphicFramePr>
      <xdr:xfrm>
        <a:off x="10294620" y="3086100"/>
        <a:ext cx="3267075" cy="308610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15</xdr:col>
      <xdr:colOff>571500</xdr:colOff>
      <xdr:row>15</xdr:row>
      <xdr:rowOff>85725</xdr:rowOff>
    </xdr:from>
    <xdr:ext cx="3267075" cy="3086100"/>
    <xdr:graphicFrame>
      <xdr:nvGraphicFramePr>
        <xdr:cNvPr id="6" name="Chart 5" title="Chart"/>
        <xdr:cNvGraphicFramePr/>
      </xdr:nvGraphicFramePr>
      <xdr:xfrm>
        <a:off x="13201650" y="3086100"/>
        <a:ext cx="3267075" cy="308610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9</xdr:col>
      <xdr:colOff>866775</xdr:colOff>
      <xdr:row>13</xdr:row>
      <xdr:rowOff>133350</xdr:rowOff>
    </xdr:from>
    <xdr:ext cx="5715000" cy="3533775"/>
    <xdr:graphicFrame>
      <xdr:nvGraphicFramePr>
        <xdr:cNvPr id="6" name="Chart 6" title="Chart"/>
        <xdr:cNvGraphicFramePr/>
      </xdr:nvGraphicFramePr>
      <xdr:xfrm>
        <a:off x="8420100" y="2733675"/>
        <a:ext cx="5715000" cy="35337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s://drive.google.com/drive/folders/1rqtZ_AvckOs3REK4wOD5DjDLCuOblAN9?usp=sharingW5JyRBfmRsLszqQvSzdtAkuY?usp=sharingBaaKNy4bSQP8Q?usp=sharing3qUfFKtXYvrg6c7L7ChOt" TargetMode="External"/><Relationship Id="rId3" Type="http://schemas.openxmlformats.org/officeDocument/2006/relationships/hyperlink" Target="https://nova-public.gitlab.io/navigator/"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9" Type="http://schemas.openxmlformats.org/officeDocument/2006/relationships/hyperlink" Target="http://euclideanspace.com/" TargetMode="External"/><Relationship Id="rId8" Type="http://schemas.openxmlformats.org/officeDocument/2006/relationships/hyperlink" Target="http://kosherjava.com/" TargetMode="External"/><Relationship Id="rId7" Type="http://schemas.openxmlformats.org/officeDocument/2006/relationships/hyperlink" Target="http://movable-type.co.uk/" TargetMode="External"/><Relationship Id="rId6" Type="http://schemas.openxmlformats.org/officeDocument/2006/relationships/hyperlink" Target="http://www.verseguide.com/" TargetMode="External"/><Relationship Id="rId5" Type="http://schemas.openxmlformats.org/officeDocument/2006/relationships/hyperlink" Target="https://docs.google.com/document/d/13Zl0KUHPdwpmYbBWlFA1E1dic_eavoYcrG0SZDR652E" TargetMode="External"/><Relationship Id="rId4" Type="http://schemas.openxmlformats.org/officeDocument/2006/relationships/hyperlink" Target="http://movable-type.co.uk/scripts/latlong.html" TargetMode="External"/><Relationship Id="rId3" Type="http://schemas.openxmlformats.org/officeDocument/2006/relationships/hyperlink" Target="mailto:itsjustmemurphy@gmail.com" TargetMode="External"/><Relationship Id="rId2" Type="http://schemas.openxmlformats.org/officeDocument/2006/relationships/hyperlink" Target="https://docs.google.com/document/d/1hq8i6gcf2BmMTr7yTCOg8S_ngjhb6095HKPCds0_exs" TargetMode="External"/><Relationship Id="rId12" Type="http://schemas.openxmlformats.org/officeDocument/2006/relationships/hyperlink" Target="http://nova-public.gitlab.io/navigator" TargetMode="External"/><Relationship Id="rId11" Type="http://schemas.openxmlformats.org/officeDocument/2006/relationships/hyperlink" Target="http://verseguide.com/" TargetMode="External"/><Relationship Id="rId10" Type="http://schemas.openxmlformats.org/officeDocument/2006/relationships/hyperlink" Target="http://www.geogebra.org/" TargetMode="Externa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4" Type="http://schemas.openxmlformats.org/officeDocument/2006/relationships/hyperlink" Target="https://www.geogebra.org/3d/fjsczhxc" TargetMode="External"/><Relationship Id="rId3" Type="http://schemas.openxmlformats.org/officeDocument/2006/relationships/hyperlink" Target="https://drive.google.com/drive/folders/1rqtZ_AvckOs3REK4wOD5DjDLCuOblAN9?usp=sharingW5JyRBfmRsLszqQvSzdtAkuY?usp=sharingBaaKNy4bSQP8Q?usp=sharing3qUfFKtXYvrg6c7L7ChOt" TargetMode="External"/><Relationship Id="rId2" Type="http://schemas.openxmlformats.org/officeDocument/2006/relationships/hyperlink" Target="https://www.geogebra.org/3d/wwe3szqb"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www.geogebra.org/m/ujee5k59" TargetMode="External"/><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O1203"/>
  <sheetViews>
    <sheetView tabSelected="1" workbookViewId="0">
      <pane ySplit="8" topLeftCell="A9" activePane="bottomLeft" state="frozen"/>
      <selection/>
      <selection pane="bottomLeft" activeCell="G13" sqref="G13"/>
    </sheetView>
  </sheetViews>
  <sheetFormatPr defaultColWidth="12.6285714285714" defaultRowHeight="15.75" customHeight="1"/>
  <cols>
    <col min="1" max="1" width="10.7238095238095" customWidth="1"/>
    <col min="2" max="2" width="12.6285714285714" customWidth="1"/>
    <col min="3" max="3" width="18.9047619047619" customWidth="1"/>
    <col min="4" max="4" width="7.62857142857143" customWidth="1"/>
    <col min="5" max="5" width="5.72380952380952" customWidth="1"/>
    <col min="6" max="6" width="9.26666666666667" customWidth="1"/>
    <col min="7" max="10" width="5.72380952380952" customWidth="1"/>
    <col min="11" max="14" width="7.62857142857143" customWidth="1"/>
    <col min="15" max="15" width="20.7238095238095" customWidth="1"/>
    <col min="16" max="16" width="9.45714285714286" customWidth="1"/>
    <col min="17" max="21" width="5.08571428571429" customWidth="1"/>
    <col min="22" max="22" width="17.6285714285714" customWidth="1"/>
    <col min="23" max="23" width="9.45714285714286" customWidth="1"/>
    <col min="24" max="25" width="5.08571428571429" customWidth="1"/>
    <col min="26" max="26" width="9.45714285714286" customWidth="1"/>
    <col min="27" max="28" width="7" customWidth="1"/>
    <col min="29" max="29" width="15.7238095238095" customWidth="1"/>
  </cols>
  <sheetData>
    <row r="1" customHeight="1" spans="1:98">
      <c r="A1" s="1" t="s">
        <v>0</v>
      </c>
      <c r="B1" s="41" t="s">
        <v>1</v>
      </c>
      <c r="C1" s="1" t="s">
        <v>2</v>
      </c>
      <c r="D1" s="139">
        <f>D3-43831</f>
        <v>1852.71155092592</v>
      </c>
      <c r="G1" s="140" t="s">
        <v>3</v>
      </c>
      <c r="I1" s="153" t="s">
        <v>4</v>
      </c>
      <c r="M1" s="154" t="b">
        <v>1</v>
      </c>
      <c r="N1" s="30" t="s">
        <v>5</v>
      </c>
      <c r="O1" s="155" t="s">
        <v>6</v>
      </c>
      <c r="P1" s="30" t="str">
        <f>IF(Rotation,CONCATENATE($B$1," Length of Day"),CONCATENATE(BodyName," does not rotate"))</f>
        <v>microTech Length of Day</v>
      </c>
      <c r="S1" s="107">
        <f>IF(Rotation,LengthOfDay,"")</f>
        <v>0.1716666625</v>
      </c>
      <c r="V1" s="174" t="s">
        <v>7</v>
      </c>
      <c r="W1" s="67" t="s">
        <v>8</v>
      </c>
      <c r="Z1" s="181" t="s">
        <v>9</v>
      </c>
      <c r="AB1" s="164"/>
      <c r="AC1" s="1"/>
      <c r="AD1" s="182" t="str">
        <f>CONCATENATE(BodyName," Data")</f>
        <v>microTech Data</v>
      </c>
      <c r="AF1" s="30"/>
      <c r="AG1" s="30" t="s">
        <v>10</v>
      </c>
      <c r="AH1" s="30" t="str">
        <f>CONCATENATE(OffWorldName)</f>
        <v>Crusader</v>
      </c>
      <c r="AJ1" s="4" t="s">
        <v>11</v>
      </c>
      <c r="AK1" s="4" t="s">
        <v>12</v>
      </c>
      <c r="AL1" s="4" t="s">
        <v>13</v>
      </c>
      <c r="AM1" s="4" t="s">
        <v>14</v>
      </c>
      <c r="AN1" s="4" t="s">
        <v>15</v>
      </c>
      <c r="AO1" s="1" t="s">
        <v>16</v>
      </c>
      <c r="AQ1" s="1" t="s">
        <v>17</v>
      </c>
      <c r="AR1" s="1" t="s">
        <v>12</v>
      </c>
      <c r="AS1" s="1" t="s">
        <v>13</v>
      </c>
      <c r="AT1" s="1" t="s">
        <v>14</v>
      </c>
      <c r="AU1" s="1" t="s">
        <v>18</v>
      </c>
      <c r="AV1" s="1" t="s">
        <v>19</v>
      </c>
      <c r="AW1" s="1" t="b">
        <f>IF(ListMethod="Outpost Type",TRUE,FALSE)</f>
        <v>1</v>
      </c>
      <c r="BB1" s="4" t="s">
        <v>20</v>
      </c>
      <c r="BP1" s="4"/>
      <c r="BQ1" s="4"/>
      <c r="BR1" s="4" t="s">
        <v>21</v>
      </c>
      <c r="BS1" s="4" t="s">
        <v>22</v>
      </c>
      <c r="BT1" s="4"/>
      <c r="BU1" s="4"/>
      <c r="BV1" s="4" t="s">
        <v>23</v>
      </c>
      <c r="BW1" s="3">
        <v>0.9996</v>
      </c>
      <c r="BX1" s="4" t="s">
        <v>24</v>
      </c>
      <c r="BY1" s="3">
        <v>0.994</v>
      </c>
      <c r="BZ1" s="4"/>
      <c r="CA1" s="4"/>
      <c r="CB1" s="4"/>
      <c r="CC1" s="4"/>
      <c r="CD1" s="4"/>
      <c r="CE1" s="4"/>
      <c r="CF1" s="4"/>
      <c r="CG1" s="4"/>
      <c r="CH1" s="4"/>
      <c r="CI1" s="4"/>
      <c r="CJ1" s="4"/>
      <c r="CK1" s="4" t="s">
        <v>25</v>
      </c>
      <c r="CL1" s="4"/>
      <c r="CM1" s="4"/>
      <c r="CN1" s="4"/>
      <c r="CO1" s="4"/>
      <c r="CP1" s="4"/>
      <c r="CQ1" s="4"/>
      <c r="CR1" s="4"/>
      <c r="CS1" s="4"/>
      <c r="CT1" s="4"/>
    </row>
    <row r="2" customHeight="1" spans="1:111">
      <c r="A2" s="1" t="s">
        <v>26</v>
      </c>
      <c r="B2" s="141">
        <f>0</f>
        <v>0</v>
      </c>
      <c r="C2" s="1" t="s">
        <v>27</v>
      </c>
      <c r="D2" s="142">
        <f>D3+(B2/24)</f>
        <v>45683.7115509259</v>
      </c>
      <c r="I2" s="3" t="s">
        <v>18</v>
      </c>
      <c r="K2" s="156">
        <v>-55.57</v>
      </c>
      <c r="M2" s="157"/>
      <c r="O2" s="158"/>
      <c r="P2" s="159"/>
      <c r="Q2" s="175" t="s">
        <v>28</v>
      </c>
      <c r="W2" s="67" t="s">
        <v>29</v>
      </c>
      <c r="Z2" s="183">
        <f>AE5</f>
        <v>45476.5594</v>
      </c>
      <c r="AB2" s="164"/>
      <c r="AC2" s="184" t="s">
        <v>30</v>
      </c>
      <c r="AD2" s="1">
        <f>VALUE(VLOOKUP(CONCATENATE(BodyName," R00"),Database,18,FALSE))</f>
        <v>4.1199999</v>
      </c>
      <c r="AE2" s="1">
        <f>IF(RotationRate=0,0,6/RotationRate)</f>
        <v>1.456310714959</v>
      </c>
      <c r="AF2" s="67" t="s">
        <v>31</v>
      </c>
      <c r="AG2" s="1">
        <f>DEGREES(MOD((ATAN2(bsx,bsy)-(PI()/2)),2*PI()))</f>
        <v>148.116504949765</v>
      </c>
      <c r="AH2" s="1">
        <f>IF(OffWorldSelected,DEGREES(MOD((ATAN2(box,boy)-(PI()/2)),2*PI())),"")</f>
        <v>133.890840860989</v>
      </c>
      <c r="AJ2" s="4" t="str">
        <f>CONCATENATE(BodyName)</f>
        <v>microTech</v>
      </c>
      <c r="AK2" s="58">
        <f>VLOOKUP(CONCATENATE(BodyName," R00"),Database,6,FALSE)</f>
        <v>22462085.2524846</v>
      </c>
      <c r="AL2" s="58">
        <f>VLOOKUP(CONCATENATE(BodyName," R00"),Database,7,FALSE)</f>
        <v>37185744.9648301</v>
      </c>
      <c r="AM2" s="58">
        <f>VLOOKUP(CONCATENATE(BodyName," R00"),Database,8,FALSE)</f>
        <v>0</v>
      </c>
      <c r="AN2" s="59">
        <f>VLOOKUP(CONCATENATE(BodyName," R00"),Database,15,FALSE)</f>
        <v>1000</v>
      </c>
      <c r="AO2" s="2">
        <f>VLOOKUP(CONCATENATE(BodyName," R00"),Database,14,FALSE)</f>
        <v>1439.593</v>
      </c>
      <c r="AP2" s="1" t="s">
        <v>32</v>
      </c>
      <c r="AQ2" s="40">
        <f>VLOOKUP(CONCATENATE(BodyName," R00"),Database,9,FALSE)</f>
        <v>1</v>
      </c>
      <c r="AR2" s="40">
        <f>VLOOKUP(CONCATENATE(BodyName," R00"),Database,10,FALSE)</f>
        <v>0</v>
      </c>
      <c r="AS2" s="40">
        <f>VLOOKUP(CONCATENATE(BodyName," R00"),Database,11,FALSE)</f>
        <v>0</v>
      </c>
      <c r="AT2" s="40">
        <f>VLOOKUP(CONCATENATE(BodyName," R00"),Database,12,FALSE)</f>
        <v>0</v>
      </c>
      <c r="AW2" s="9">
        <f>VLOOKUP(CONCATENATE(BodyName," R00"),Database,17,FALSE)</f>
        <v>101</v>
      </c>
      <c r="AX2" s="1" t="s">
        <v>12</v>
      </c>
      <c r="AY2" s="1" t="s">
        <v>13</v>
      </c>
      <c r="AZ2" s="1" t="s">
        <v>14</v>
      </c>
      <c r="BB2" s="1" t="s">
        <v>33</v>
      </c>
      <c r="BJ2" s="1"/>
      <c r="BK2" s="1"/>
      <c r="BL2" s="1"/>
      <c r="BP2" s="4"/>
      <c r="BQ2" s="4"/>
      <c r="BR2" s="4" t="str">
        <f>CONCATENATE("MGRS ",BW4/1000,"km Easting")</f>
        <v>MGRS 100km Easting</v>
      </c>
      <c r="BS2" s="4" t="s">
        <v>34</v>
      </c>
      <c r="BT2" s="4" t="s">
        <v>35</v>
      </c>
      <c r="BU2" s="4" t="s">
        <v>36</v>
      </c>
      <c r="BV2" s="4" t="str">
        <f>CONCATENATE("UPS ",BW4/1000,"km Easting")</f>
        <v>UPS 100km Easting</v>
      </c>
      <c r="BW2" s="4" t="s">
        <v>37</v>
      </c>
      <c r="BX2" s="4"/>
      <c r="BY2" s="4"/>
      <c r="BZ2" s="4"/>
      <c r="CA2" s="4" t="s">
        <v>38</v>
      </c>
      <c r="CB2" s="3">
        <f>_xlfn.IFS(br&lt;=750,50000,br&lt;=7500,500000,br&gt;7500,5000000)</f>
        <v>500000</v>
      </c>
      <c r="CC2" s="4"/>
      <c r="CD2" s="4"/>
      <c r="CE2" s="4"/>
      <c r="CF2" s="4"/>
      <c r="CG2" s="4"/>
      <c r="CH2" s="4"/>
      <c r="CI2" s="4"/>
      <c r="CJ2" s="4"/>
      <c r="CK2" s="4"/>
      <c r="CL2" s="4"/>
      <c r="CM2" s="4"/>
      <c r="CN2" s="4"/>
      <c r="CO2" s="4"/>
      <c r="CP2" s="4"/>
      <c r="CQ2" s="4"/>
      <c r="CR2" s="4"/>
      <c r="CS2" s="4"/>
      <c r="CT2" s="4"/>
      <c r="CV2" s="4"/>
      <c r="CW2" s="4"/>
      <c r="CX2" s="4" t="s">
        <v>12</v>
      </c>
      <c r="CY2" s="4" t="s">
        <v>13</v>
      </c>
      <c r="CZ2" s="4" t="s">
        <v>14</v>
      </c>
      <c r="DA2" s="4"/>
      <c r="DB2" s="4"/>
      <c r="DC2" s="4" t="s">
        <v>12</v>
      </c>
      <c r="DD2" s="4" t="s">
        <v>13</v>
      </c>
      <c r="DE2" s="4" t="s">
        <v>14</v>
      </c>
      <c r="DF2" s="4"/>
      <c r="DG2" s="4"/>
    </row>
    <row r="3" customHeight="1" spans="1:111">
      <c r="A3" s="143" t="s">
        <v>39</v>
      </c>
      <c r="C3" s="1" t="str">
        <f>IF(OR(A5="",A5="NOW"),"UTC Time","User Specified UTC Time")</f>
        <v>UTC Time</v>
      </c>
      <c r="D3" s="142">
        <v>45683.7115509259</v>
      </c>
      <c r="I3" s="3" t="s">
        <v>19</v>
      </c>
      <c r="K3" s="156">
        <v>-115.55</v>
      </c>
      <c r="M3" s="157"/>
      <c r="O3" s="158"/>
      <c r="Q3" s="176" t="str">
        <f>CONCATENATE("OM to core: ",AO2,"km     Surface to core: ",AN2,IF(AN2=INT(AN2),".0",""),"km")</f>
        <v>OM to core: 1439.593km     Surface to core: 1000.0km</v>
      </c>
      <c r="Y3" s="185" t="b">
        <v>1</v>
      </c>
      <c r="Z3" s="186" t="s">
        <v>40</v>
      </c>
      <c r="AA3" s="70"/>
      <c r="AB3" s="187"/>
      <c r="AC3" s="184" t="s">
        <v>41</v>
      </c>
      <c r="AD3" s="1">
        <f>3600*RotationRate/86400</f>
        <v>0.1716666625</v>
      </c>
      <c r="AE3" s="1" t="b">
        <f>IF(RotationRate=0,FALSE,TRUE)</f>
        <v>1</v>
      </c>
      <c r="AF3" s="67" t="s">
        <v>42</v>
      </c>
      <c r="AG3" s="1">
        <f>DEGREES(ACOS((((SQRT(bsx^2+bsy^2+bsz^2))^2)+((SQRT(bsx^2+bsy^2))^2)-(bsz^2))/(2*(SQRT(bsx^2+bsy^2+bsz^2))*(SQRT(bsx^2+bsy^2)))))*IF(bsz&lt;0,-1,1)</f>
        <v>3.95633806723453</v>
      </c>
      <c r="AH3" s="1">
        <f>IF(OffWorldSelected,DEGREES(ACOS((((SQRT(box^2+boy^2+boz^2))^2)+((SQRT(box^2+boy^2))^2)-(boz^2))/(2*(SQRT(box^2+boy^2+boz^2))*(SQRT(box^2+boy^2)))))*IF(boz&lt;0,-1,1),"")</f>
        <v>0</v>
      </c>
      <c r="AJ3" s="23" t="str">
        <f>IF('Nav Database'!Z1="","Stanton",'Nav Database'!Z1)</f>
        <v>Stanton</v>
      </c>
      <c r="AK3" s="58">
        <f>VLOOKUP(CONCATENATE(PrimaryStar," R00"),Database,6,FALSE)</f>
        <v>136049.869550902</v>
      </c>
      <c r="AL3" s="58">
        <f>VLOOKUP(CONCATENATE(PrimaryStar," R00"),Database,7,FALSE)</f>
        <v>1294427.3997762</v>
      </c>
      <c r="AM3" s="58">
        <f>VLOOKUP(CONCATENATE(PrimaryStar," R00"),Database,8,FALSE)</f>
        <v>2923345.3678455</v>
      </c>
      <c r="AN3" s="59">
        <f>VLOOKUP(CONCATENATE(PrimaryStar," R00"),Database,15,FALSE)</f>
        <v>696000</v>
      </c>
      <c r="AO3" s="1" t="s">
        <v>43</v>
      </c>
      <c r="AP3" s="1">
        <f>DEGREES(ASIN(sr/(SQRT((bsx)^2+(bsy)^2+(bsz)^2))))</f>
        <v>0.9412323886089</v>
      </c>
      <c r="AQ3" s="67" t="s">
        <v>44</v>
      </c>
      <c r="AR3" s="61">
        <f>((1-(2*qy^2)-(2*qz^2))*(sx-bx))+(((2*qx*qy)-(2*qz*qw))*(sy-by))+(((2*qx*qz)+(2*qy*qw))*(sz-bz))</f>
        <v>-22326035.3829337</v>
      </c>
      <c r="AS3" s="61">
        <f>(((2*qx*qy)+(2*qz*qw))*(sx-bx))+((1-(2*qx^2)-(2*qz^2))*(sy-by))+(((2*qy*qz)-(2*qx*qw))*(sz-bz))</f>
        <v>-35891317.5650539</v>
      </c>
      <c r="AT3" s="61">
        <f>(((2*qx*qz)-(2*qy*qw))*(sx-bx))+(((2*qy*qz)+(2*qx*qw))*(sy-by))+((1-(2*qx^2)-(2*qy^2))*(sz-bz))</f>
        <v>2923345.3678455</v>
      </c>
      <c r="AU3" s="1">
        <f>sDeclination</f>
        <v>3.95633806723453</v>
      </c>
      <c r="AV3" s="20">
        <f>sLongitude</f>
        <v>171.999608214903</v>
      </c>
      <c r="AX3" s="2">
        <f>(SQRT(bsx^2+bsy^2+bsz^2))*COS(RADIANS(sDeclination))*COS(RADIANS(sLongitude))</f>
        <v>-41857251.3621492</v>
      </c>
      <c r="AY3" s="2">
        <f>(SQRT(bsx^2+bsy^2+bsz^2))*COS(RADIANS(sDeclination))*SIN(RADIANS(sLongitude))</f>
        <v>5882944.91572154</v>
      </c>
      <c r="AZ3" s="2">
        <f>(SQRT(bsx^2+bsy^2+bsz^2))*SIN(RADIANS(sDeclination))</f>
        <v>2923345.36784532</v>
      </c>
      <c r="BB3" s="4" t="s">
        <v>45</v>
      </c>
      <c r="BJ3" s="1"/>
      <c r="BK3" s="1"/>
      <c r="BL3" s="1"/>
      <c r="BP3" s="4"/>
      <c r="BQ3" s="4"/>
      <c r="BR3" s="4" t="str">
        <f>CONCATENATE("MGRS ",BW4/1000,"km Northing")</f>
        <v>MGRS 100km Northing</v>
      </c>
      <c r="BS3" s="4" t="s">
        <v>46</v>
      </c>
      <c r="BT3" s="4" t="s">
        <v>47</v>
      </c>
      <c r="BU3" s="4"/>
      <c r="BV3" s="4" t="str">
        <f>CONCATENATE("UPS ",BW4/1000,"km Northing")</f>
        <v>UPS 100km Northing</v>
      </c>
      <c r="BW3" s="4" t="s">
        <v>48</v>
      </c>
      <c r="BX3" s="4" t="s">
        <v>49</v>
      </c>
      <c r="BY3" s="4"/>
      <c r="BZ3" s="4"/>
      <c r="CA3" s="4" t="s">
        <v>50</v>
      </c>
      <c r="CB3" s="3">
        <f>IF(br&lt;=600,200000,IF(br&lt;=1200,200000,IF(br&gt;=7000,2000000,2000000)))</f>
        <v>200000</v>
      </c>
      <c r="CC3" s="4"/>
      <c r="CD3" s="4"/>
      <c r="CE3" s="4"/>
      <c r="CF3" s="4"/>
      <c r="CG3" s="4"/>
      <c r="CH3" s="4"/>
      <c r="CI3" s="4"/>
      <c r="CJ3" s="4"/>
      <c r="CK3" s="4"/>
      <c r="CL3" s="4"/>
      <c r="CM3" s="4"/>
      <c r="CN3" s="4"/>
      <c r="CO3" s="4"/>
      <c r="CP3" s="4"/>
      <c r="CQ3" s="4"/>
      <c r="CR3" s="4"/>
      <c r="CS3" s="4"/>
      <c r="CT3" s="4"/>
      <c r="CV3" s="3">
        <f>sDeclination</f>
        <v>3.95633806723453</v>
      </c>
      <c r="CW3" s="197">
        <f>sLongitude</f>
        <v>171.999608214903</v>
      </c>
      <c r="CX3" s="3">
        <f>(br)*COS(RADIANS(CV3))*COS(RADIANS(CW3))</f>
        <v>-987.907229460039</v>
      </c>
      <c r="CY3" s="3">
        <f>(br)*COS(RADIANS(CV3))*SIN(RADIANS(CW3))</f>
        <v>138.848195321588</v>
      </c>
      <c r="CZ3" s="3">
        <f>(br)*SIN(RADIANS(CV3))</f>
        <v>68.9962653810201</v>
      </c>
      <c r="DA3" s="4"/>
      <c r="DB3" s="4" t="s">
        <v>10</v>
      </c>
      <c r="DC3" s="3">
        <f t="shared" ref="DC3:DC4" si="0">-CX3</f>
        <v>987.907229460039</v>
      </c>
      <c r="DD3" s="3">
        <f t="shared" ref="DD3:DD4" si="1">CZ3</f>
        <v>68.9962653810201</v>
      </c>
      <c r="DE3" s="3">
        <f t="shared" ref="DE3:DE4" si="2">CY3</f>
        <v>138.848195321588</v>
      </c>
      <c r="DF3" s="3">
        <f t="shared" ref="DF3:DF4" si="3">DEGREES(ATAN2(SQRT(DC3^2+DD3^2),DE3))</f>
        <v>7.98120176387695</v>
      </c>
      <c r="DG3" s="3">
        <f t="shared" ref="DG3:DG4" si="4">IF(ABS(DF3)=90,0,IF(DEGREES(MOD((ATAN2(DC3,DD3)),2*PI()))&gt;180,-(360-DEGREES(MOD((ATAN2(DC3,DD3)),2*PI()))),DEGREES(MOD((ATAN2(DC3,DD3)),2*PI()))))</f>
        <v>3.9950978003507</v>
      </c>
    </row>
    <row r="4" customHeight="1" spans="3:111">
      <c r="C4" s="1" t="s">
        <v>51</v>
      </c>
      <c r="D4" s="142">
        <f>383507+((D3-43831)*6)</f>
        <v>394623.269305556</v>
      </c>
      <c r="I4" s="3" t="s">
        <v>52</v>
      </c>
      <c r="K4" s="156">
        <v>1001.67</v>
      </c>
      <c r="M4" s="157"/>
      <c r="O4" s="158"/>
      <c r="P4" s="144" t="str">
        <f>CONCATENATE(PrimaryStar," Astronomical Events")</f>
        <v>Stanton Astronomical Events</v>
      </c>
      <c r="V4" s="144" t="str">
        <f>CONCATENATE("Locations off ",BodyName," within ",PrimaryStar)</f>
        <v>Locations off microTech within Stanton</v>
      </c>
      <c r="Y4" s="164"/>
      <c r="Z4" s="30" t="str">
        <f>CONCATENATE("Locations on ",BodyName)</f>
        <v>Locations on microTech</v>
      </c>
      <c r="AB4" s="164"/>
      <c r="AC4" s="184" t="s">
        <v>53</v>
      </c>
      <c r="AD4" s="1">
        <f>IFERROR((JulianDate/LengthOfDay),1)</f>
        <v>10792.4947333669</v>
      </c>
      <c r="AF4" s="67" t="s">
        <v>19</v>
      </c>
      <c r="AG4" s="20">
        <f>IF(CycleHourAngle-MOD(0-sMeridian,360)&gt;180,CycleHourAngle-MOD(0-sMeridian,360)-360,IF(CycleHourAngle-MOD(0-sMeridian,360)&lt;-180,CycleHourAngle-MOD(0-sMeridian,360)+360,CycleHourAngle-MOD(0-sMeridian,360)))</f>
        <v>171.999608214903</v>
      </c>
      <c r="AH4" s="20">
        <f>IF(OffWorldSelected,IF(CycleHourAngle-MOD(0-oMeridian,360)&gt;180,CycleHourAngle-MOD(0-oMeridian,360)-360,IF(CycleHourAngle-MOD(0-oMeridian,360)&lt;-180,CycleHourAngle-MOD(0-oMeridian,360)+360,CycleHourAngle-MOD(0-oMeridian,360))),"")</f>
        <v>157.773944126127</v>
      </c>
      <c r="AJ4" s="4" t="str">
        <f>CONCATENATE(OffWorldName)</f>
        <v>Crusader</v>
      </c>
      <c r="AK4" s="58">
        <f>IF(OffWorldSelected,VLOOKUP(CONCATENATE(OffWorldName," R00"),Database,6,FALSE),"")</f>
        <v>-18962176</v>
      </c>
      <c r="AL4" s="58">
        <f>IF(OffWorldSelected,VLOOKUP(CONCATENATE(OffWorldName," R00"),Database,7,FALSE),"")</f>
        <v>-2664959.99999998</v>
      </c>
      <c r="AM4" s="58">
        <f>IF(OffWorldSelected,VLOOKUP(CONCATENATE(OffWorldName," R00"),Database,8,FALSE),"")</f>
        <v>0</v>
      </c>
      <c r="AN4" s="59">
        <f>IF(OffWorldSelected,VLOOKUP(CONCATENATE(OffWorldName," R00"),Database,15,FALSE),"")</f>
        <v>7450.01</v>
      </c>
      <c r="AO4" s="1" t="str">
        <f>IF(OffWorldSelected,"Apparent Radius","")</f>
        <v>Apparent Radius</v>
      </c>
      <c r="AP4" s="1">
        <f>IF(OffWorldSelected,DEGREES(ASIN(or/(SQRT(box^2+boy^2+boz^2)))),"")</f>
        <v>0.00742602331359304</v>
      </c>
      <c r="AQ4" s="67" t="str">
        <f>IF(OffWorldSelected,"ECEF","")</f>
        <v>ECEF</v>
      </c>
      <c r="AR4" s="61">
        <f>IF(OffWorldSelected,((1-(2*qy^2)-(2*qz^2))*(ox-bx))+(((2*qx*qy)-(2*qz*qw))*(oy-by))+(((2*qx*qz)+(2*qy*qw))*(oz-bz)),"")</f>
        <v>-41424261.2524846</v>
      </c>
      <c r="AS4" s="61">
        <f>IF(OffWorldSelected,(((2*qx*qy)+(2*qz*qw))*(ox-bx))+((1-(2*qx^2)-(2*qz^2))*(oy-by))+(((2*qy*qz)-(2*qx*qw))*(oz-bz)),"")</f>
        <v>-39850704.9648301</v>
      </c>
      <c r="AT4" s="61">
        <f>IF(OffWorldSelected,(((2*qx*qz)-(2*qy*qw))*(ox-bx))+(((2*qy*qz)+(2*qx*qw))*(oy-by))+((1-(2*qx^2)-(2*qy^2))*(oz-bz)),"")</f>
        <v>0</v>
      </c>
      <c r="AU4" s="1">
        <f>oDeclination</f>
        <v>0</v>
      </c>
      <c r="AV4" s="20">
        <f>oLongitude</f>
        <v>157.773944126127</v>
      </c>
      <c r="AW4" s="1" t="b">
        <f>IF(OffWorldName="",FALSE,TRUE)</f>
        <v>1</v>
      </c>
      <c r="AX4" s="2">
        <f>(SQRT(box^2+boy^2+boz^2))*COS(RADIANS(oDeclination))*COS(RADIANS(oLongitude))</f>
        <v>-53209945.8478161</v>
      </c>
      <c r="AY4" s="2">
        <f>(SQRT(box^2+boy^2+boz^2))*COS(RADIANS(oDeclination))*SIN(RADIANS(oLongitude))</f>
        <v>21742809.6018088</v>
      </c>
      <c r="AZ4" s="2">
        <f>(SQRT(box^2+boy^2+boz^2))*SIN(RADIANS(oDeclination))</f>
        <v>0</v>
      </c>
      <c r="BB4" s="4" t="s">
        <v>54</v>
      </c>
      <c r="BP4" s="4"/>
      <c r="BQ4" s="4"/>
      <c r="BR4" s="4"/>
      <c r="BS4" s="4"/>
      <c r="BT4" s="4"/>
      <c r="BU4" s="4"/>
      <c r="BV4" s="4" t="s">
        <v>55</v>
      </c>
      <c r="BW4" s="3">
        <f>_xlfn.IFS(br&lt;750,10000,br&lt;7500,100000,br&gt;7500,1000000)</f>
        <v>100000</v>
      </c>
      <c r="BX4" s="4"/>
      <c r="BY4" s="4"/>
      <c r="BZ4" s="4"/>
      <c r="CA4" s="4" t="s">
        <v>56</v>
      </c>
      <c r="CB4" s="3">
        <f>IF(br&lt;=600,1000000,IF(br&lt;=1200,2000000,IF(br&gt;=7000,12000000,10000000)))</f>
        <v>2000000</v>
      </c>
      <c r="CC4" s="4"/>
      <c r="CD4" s="4"/>
      <c r="CE4" s="4"/>
      <c r="CF4" s="4"/>
      <c r="CG4" s="4"/>
      <c r="CH4" s="4"/>
      <c r="CI4" s="4"/>
      <c r="CJ4" s="4"/>
      <c r="CK4" s="4"/>
      <c r="CL4" s="4"/>
      <c r="CM4" s="4"/>
      <c r="CN4" s="4"/>
      <c r="CO4" s="4"/>
      <c r="CP4" s="4"/>
      <c r="CQ4" s="4"/>
      <c r="CR4" s="4"/>
      <c r="CS4" s="4"/>
      <c r="CT4" s="4"/>
      <c r="CV4" s="3">
        <f>oDeclination</f>
        <v>0</v>
      </c>
      <c r="CW4" s="197">
        <f>oLongitude</f>
        <v>157.773944126127</v>
      </c>
      <c r="CX4" s="3">
        <f>(br)*COS(RADIANS(CV4))*COS(RADIANS(CW4))</f>
        <v>-925.698661903319</v>
      </c>
      <c r="CY4" s="3">
        <f>(br)*COS(RADIANS(CV4))*SIN(RADIANS(CW4))</f>
        <v>378.261797371086</v>
      </c>
      <c r="CZ4" s="3">
        <f>(br)*SIN(RADIANS(CV4))</f>
        <v>0</v>
      </c>
      <c r="DA4" s="4"/>
      <c r="DB4" s="4" t="s">
        <v>57</v>
      </c>
      <c r="DC4" s="3">
        <f t="shared" si="0"/>
        <v>925.698661903319</v>
      </c>
      <c r="DD4" s="3">
        <f t="shared" si="1"/>
        <v>0</v>
      </c>
      <c r="DE4" s="3">
        <f t="shared" si="2"/>
        <v>378.261797371086</v>
      </c>
      <c r="DF4" s="3">
        <f t="shared" si="3"/>
        <v>22.2260558738731</v>
      </c>
      <c r="DG4" s="3">
        <f t="shared" si="4"/>
        <v>0</v>
      </c>
    </row>
    <row r="5" customHeight="1" spans="1:115">
      <c r="A5" s="84" t="s">
        <v>58</v>
      </c>
      <c r="C5" s="29" t="s">
        <v>59</v>
      </c>
      <c r="D5" s="41" t="s">
        <v>60</v>
      </c>
      <c r="F5" s="30"/>
      <c r="I5" s="160" t="s">
        <v>61</v>
      </c>
      <c r="M5" s="161"/>
      <c r="N5" s="162"/>
      <c r="O5" s="163"/>
      <c r="P5" s="144" t="str">
        <f>CONCATENATE(PrimaryStar," meridian: ",IF(sLongitude&lt;0,CONCATENATE(ABS(ROUND(sLongitude,1)),"°W"),CONCATENATE(ROUND(sLongitude,1),"°E")))</f>
        <v>Stanton meridian: 172°E</v>
      </c>
      <c r="V5" s="177" t="s">
        <v>62</v>
      </c>
      <c r="Y5" s="164"/>
      <c r="Z5" s="181" t="s">
        <v>63</v>
      </c>
      <c r="AB5" s="164"/>
      <c r="AC5" s="184" t="s">
        <v>64</v>
      </c>
      <c r="AD5" s="20">
        <f>VLOOKUP(CONCATENATE(BodyName," R00"),Database,19,FALSE)</f>
        <v>158.012884649985</v>
      </c>
      <c r="AE5" s="1">
        <f>VALUE(VLOOKUP(CONCATENATE(BodyName," R00"),Database,24,FALSE))</f>
        <v>45476.5594</v>
      </c>
      <c r="AJ5" s="1" t="str">
        <f>IF(NavTargetSelected,"Nav Target","")</f>
        <v>Nav Target</v>
      </c>
      <c r="AQ5" s="67" t="str">
        <f>IF(NavTargetSelected,"ECEF","")</f>
        <v>ECEF</v>
      </c>
      <c r="AR5" s="1">
        <f>IF(NavTargetSelected,VLOOKUP(NavTargetName,DatabaseBody,2,FALSE),"")</f>
        <v>-127.193553939</v>
      </c>
      <c r="AS5" s="1">
        <f>IF(NavTargetSelected,VLOOKUP(NavTargetName,DatabaseBody,3,FALSE),"")</f>
        <v>982.003985381999</v>
      </c>
      <c r="AT5" s="1">
        <f>IF(NavTargetSelected,VLOOKUP(NavTargetName,DatabaseBody,4,FALSE),"")</f>
        <v>149.145067474999</v>
      </c>
      <c r="AU5" s="1">
        <f>IF(NavTargetSelected,DEGREES(ATAN2(SQRT(AR5^2+AS5^2),AT5)),"")</f>
        <v>8.56550864815675</v>
      </c>
      <c r="AV5" s="1">
        <f>IF(NavTargetSelected,IF(ABS(AU5)=90,0,IF(DEGREES(MOD((ATAN2(AR5,AS5)),2*PI()))&gt;180,-(360-DEGREES(MOD((ATAN2(AR5,AS5)),2*PI()))),DEGREES(MOD((ATAN2(AR5,AS5)),2*PI())))),"")</f>
        <v>97.3801179124556</v>
      </c>
      <c r="AW5" s="1" t="b">
        <f>IF(NavTargetName="",FALSE,TRUE)</f>
        <v>1</v>
      </c>
      <c r="BB5" s="1" t="s">
        <v>65</v>
      </c>
      <c r="BG5" s="1" t="s">
        <v>66</v>
      </c>
      <c r="BJ5" s="1" t="s">
        <v>67</v>
      </c>
      <c r="BK5" s="1"/>
      <c r="BL5" s="1"/>
      <c r="BM5" s="1" t="s">
        <v>11</v>
      </c>
      <c r="BP5" s="4"/>
      <c r="BQ5" s="4"/>
      <c r="BR5" s="4"/>
      <c r="BS5" s="4"/>
      <c r="BT5" s="4"/>
      <c r="BU5" s="4" t="s">
        <v>68</v>
      </c>
      <c r="BW5" s="153" t="s">
        <v>69</v>
      </c>
      <c r="BY5" s="4" t="s">
        <v>70</v>
      </c>
      <c r="CA5" s="4" t="str">
        <f>CONCATENATE(BW4/1000,"km MGRS Easting")</f>
        <v>100km MGRS Easting</v>
      </c>
      <c r="CB5" s="4" t="s">
        <v>71</v>
      </c>
      <c r="CD5" s="4" t="s">
        <v>72</v>
      </c>
      <c r="CF5" s="4" t="str">
        <f>CONCATENATE(BW4/1000,"km MGRS Northing")</f>
        <v>100km MGRS Northing</v>
      </c>
      <c r="CG5" s="4" t="s">
        <v>73</v>
      </c>
      <c r="CI5" s="4"/>
      <c r="CJ5" s="4" t="s">
        <v>74</v>
      </c>
      <c r="CK5" s="4"/>
      <c r="CL5" s="4"/>
      <c r="CM5" s="4"/>
      <c r="CN5" s="4"/>
      <c r="CO5" s="4"/>
      <c r="CP5" s="4" t="s">
        <v>65</v>
      </c>
      <c r="CQ5" s="4"/>
      <c r="CR5" s="4"/>
      <c r="CS5" s="4"/>
      <c r="CT5" s="4"/>
      <c r="CV5" s="4"/>
      <c r="CW5" s="4"/>
      <c r="CX5" s="4"/>
      <c r="CY5" s="4"/>
      <c r="CZ5" s="4"/>
      <c r="DA5" s="4"/>
      <c r="DB5" s="4" t="s">
        <v>75</v>
      </c>
      <c r="DC5" s="3">
        <f>-btx</f>
        <v>127.193553939</v>
      </c>
      <c r="DD5" s="132">
        <f>btz</f>
        <v>149.145067474999</v>
      </c>
      <c r="DE5" s="3">
        <f>bty</f>
        <v>982.003985381999</v>
      </c>
      <c r="DF5" s="3">
        <f>IF(NavTargetSelected,DEGREES(ATAN2(SQRT(DC5^2+DD5^2),DE5)),"")</f>
        <v>78.7116312948813</v>
      </c>
      <c r="DG5" s="3">
        <f>IF(NavTargetSelected,IF(ABS(DF5)=90,0,IF(DEGREES(MOD((ATAN2(DC5,DD5)),2*PI()))&gt;180,-(360-DEGREES(MOD((ATAN2(DC5,DD5)),2*PI()))),DEGREES(MOD((ATAN2(DC5,DD5)),2*PI())))),"")</f>
        <v>49.541867948386</v>
      </c>
      <c r="DH5" s="153" t="s">
        <v>76</v>
      </c>
      <c r="DK5" s="153" t="s">
        <v>77</v>
      </c>
    </row>
    <row r="6" customHeight="1" spans="5:117">
      <c r="E6" s="144" t="s">
        <v>78</v>
      </c>
      <c r="J6" s="164"/>
      <c r="K6" s="165" t="s">
        <v>79</v>
      </c>
      <c r="M6" s="164"/>
      <c r="N6" s="30" t="s">
        <v>80</v>
      </c>
      <c r="P6" s="30" t="s">
        <v>81</v>
      </c>
      <c r="V6" s="144" t="str">
        <f>IF(OffWorldSelected,CONCATENATE("Meridian: ",IF(oLongitude&lt;0,CONCATENATE(ABS(ROUND(oLongitude,1)),"°W"),CONCATENATE(ROUND(oLongitude,1),"°E")),""))</f>
        <v>Meridian: 157.8°E</v>
      </c>
      <c r="W6" s="30" t="s">
        <v>81</v>
      </c>
      <c r="X6" s="30"/>
      <c r="Y6" s="145"/>
      <c r="Z6" s="30" t="s">
        <v>81</v>
      </c>
      <c r="AA6" s="30" t="s">
        <v>82</v>
      </c>
      <c r="AB6" s="145" t="s">
        <v>83</v>
      </c>
      <c r="AC6" s="67" t="s">
        <v>84</v>
      </c>
      <c r="AD6" s="20">
        <f>MOD(360-MOD(AD4,1)*360-AD5,360)</f>
        <v>23.8831032651375</v>
      </c>
      <c r="AE6" s="20">
        <f>MOD(MOD(AD4,1)*360-AD5,360)</f>
        <v>20.0911274348925</v>
      </c>
      <c r="AI6" s="30" t="s">
        <v>85</v>
      </c>
      <c r="AL6" s="30" t="s">
        <v>10</v>
      </c>
      <c r="AQ6" s="30" t="str">
        <f>IF(OffWorldSelected,OffWorldName,"")</f>
        <v>Crusader</v>
      </c>
      <c r="AX6" s="30" t="str">
        <f>IF(NavTargetSelected,NavTargetName,"")</f>
        <v>Ghost Hollow</v>
      </c>
      <c r="BB6" s="1" t="s">
        <v>86</v>
      </c>
      <c r="BC6" s="1" t="s">
        <v>87</v>
      </c>
      <c r="BD6" s="1" t="s">
        <v>86</v>
      </c>
      <c r="BE6" s="1" t="s">
        <v>88</v>
      </c>
      <c r="BF6" s="1" t="s">
        <v>19</v>
      </c>
      <c r="BG6" s="1" t="s">
        <v>12</v>
      </c>
      <c r="BH6" s="1" t="s">
        <v>13</v>
      </c>
      <c r="BI6" s="1" t="s">
        <v>14</v>
      </c>
      <c r="BJ6" s="1" t="s">
        <v>12</v>
      </c>
      <c r="BK6" s="1" t="s">
        <v>13</v>
      </c>
      <c r="BL6" s="1" t="s">
        <v>14</v>
      </c>
      <c r="BM6" s="1" t="s">
        <v>12</v>
      </c>
      <c r="BN6" s="1" t="s">
        <v>13</v>
      </c>
      <c r="BO6" s="1" t="s">
        <v>14</v>
      </c>
      <c r="BP6" s="4"/>
      <c r="BQ6" s="4" t="s">
        <v>20</v>
      </c>
      <c r="BR6" s="4" t="s">
        <v>45</v>
      </c>
      <c r="BS6" s="4" t="s">
        <v>54</v>
      </c>
      <c r="BT6" s="4" t="s">
        <v>89</v>
      </c>
      <c r="BU6" s="4" t="s">
        <v>90</v>
      </c>
      <c r="BV6" s="4" t="s">
        <v>91</v>
      </c>
      <c r="BW6" s="4" t="s">
        <v>18</v>
      </c>
      <c r="BX6" s="4" t="s">
        <v>31</v>
      </c>
      <c r="BY6" s="4" t="s">
        <v>92</v>
      </c>
      <c r="BZ6" s="4" t="s">
        <v>71</v>
      </c>
      <c r="CA6" s="4" t="s">
        <v>93</v>
      </c>
      <c r="CB6" s="4" t="s">
        <v>45</v>
      </c>
      <c r="CC6" s="4" t="s">
        <v>54</v>
      </c>
      <c r="CD6" s="4" t="s">
        <v>92</v>
      </c>
      <c r="CE6" s="4" t="s">
        <v>73</v>
      </c>
      <c r="CF6" s="4" t="s">
        <v>93</v>
      </c>
      <c r="CG6" s="4" t="s">
        <v>45</v>
      </c>
      <c r="CH6" s="4" t="s">
        <v>54</v>
      </c>
      <c r="CI6" s="4"/>
      <c r="CJ6" s="4" t="s">
        <v>94</v>
      </c>
      <c r="CK6" s="4" t="s">
        <v>95</v>
      </c>
      <c r="CL6" s="4" t="s">
        <v>96</v>
      </c>
      <c r="CM6" s="4" t="s">
        <v>97</v>
      </c>
      <c r="CN6" s="4" t="s">
        <v>98</v>
      </c>
      <c r="CO6" s="4" t="s">
        <v>99</v>
      </c>
      <c r="CP6" s="4" t="s">
        <v>100</v>
      </c>
      <c r="CQ6" s="4"/>
      <c r="CR6" s="4" t="s">
        <v>101</v>
      </c>
      <c r="CS6" s="4" t="s">
        <v>102</v>
      </c>
      <c r="CT6" s="4" t="s">
        <v>103</v>
      </c>
      <c r="CU6" s="4" t="s">
        <v>104</v>
      </c>
      <c r="CV6" s="4" t="s">
        <v>105</v>
      </c>
      <c r="DB6" s="4"/>
      <c r="DC6" s="4" t="s">
        <v>106</v>
      </c>
      <c r="DD6" s="4" t="s">
        <v>107</v>
      </c>
      <c r="DE6" s="4" t="s">
        <v>108</v>
      </c>
      <c r="DF6" s="4" t="s">
        <v>109</v>
      </c>
      <c r="DG6" s="4" t="s">
        <v>110</v>
      </c>
      <c r="DH6" s="4" t="s">
        <v>10</v>
      </c>
      <c r="DI6" s="4" t="s">
        <v>111</v>
      </c>
      <c r="DJ6" s="4" t="s">
        <v>112</v>
      </c>
      <c r="DK6" s="4" t="s">
        <v>10</v>
      </c>
      <c r="DL6" s="4" t="s">
        <v>111</v>
      </c>
      <c r="DM6" s="4" t="s">
        <v>112</v>
      </c>
    </row>
    <row r="7" customHeight="1" spans="1:98">
      <c r="A7" s="30" t="s">
        <v>113</v>
      </c>
      <c r="C7" s="30" t="s">
        <v>20</v>
      </c>
      <c r="D7" s="145" t="s">
        <v>114</v>
      </c>
      <c r="E7" s="30" t="s">
        <v>115</v>
      </c>
      <c r="F7" s="30" t="s">
        <v>116</v>
      </c>
      <c r="G7" s="30" t="s">
        <v>117</v>
      </c>
      <c r="H7" s="30" t="s">
        <v>118</v>
      </c>
      <c r="I7" s="30" t="s">
        <v>119</v>
      </c>
      <c r="J7" s="145" t="s">
        <v>120</v>
      </c>
      <c r="K7" s="155" t="s">
        <v>12</v>
      </c>
      <c r="L7" s="155" t="s">
        <v>13</v>
      </c>
      <c r="M7" s="166" t="s">
        <v>14</v>
      </c>
      <c r="N7" s="30" t="s">
        <v>121</v>
      </c>
      <c r="O7" s="30" t="s">
        <v>122</v>
      </c>
      <c r="P7" s="30" t="s">
        <v>123</v>
      </c>
      <c r="Q7" s="30" t="s">
        <v>124</v>
      </c>
      <c r="R7" s="30" t="s">
        <v>125</v>
      </c>
      <c r="S7" s="30" t="s">
        <v>126</v>
      </c>
      <c r="T7" s="30" t="s">
        <v>127</v>
      </c>
      <c r="U7" s="145" t="s">
        <v>128</v>
      </c>
      <c r="V7" s="30" t="s">
        <v>122</v>
      </c>
      <c r="W7" s="30" t="s">
        <v>123</v>
      </c>
      <c r="X7" s="30" t="s">
        <v>125</v>
      </c>
      <c r="Y7" s="145" t="s">
        <v>127</v>
      </c>
      <c r="Z7" s="30" t="s">
        <v>123</v>
      </c>
      <c r="AA7" s="30" t="s">
        <v>86</v>
      </c>
      <c r="AB7" s="145" t="s">
        <v>129</v>
      </c>
      <c r="AC7" s="188"/>
      <c r="AD7" s="1" t="s">
        <v>130</v>
      </c>
      <c r="AE7" s="1" t="s">
        <v>18</v>
      </c>
      <c r="AF7" s="1" t="s">
        <v>19</v>
      </c>
      <c r="AG7" s="1" t="s">
        <v>131</v>
      </c>
      <c r="AH7" s="1" t="s">
        <v>132</v>
      </c>
      <c r="AI7" s="1" t="s">
        <v>133</v>
      </c>
      <c r="AJ7" s="9" t="s">
        <v>134</v>
      </c>
      <c r="AK7" s="9" t="s">
        <v>135</v>
      </c>
      <c r="AL7" s="9" t="s">
        <v>136</v>
      </c>
      <c r="AM7" s="1" t="s">
        <v>84</v>
      </c>
      <c r="AN7" s="1" t="s">
        <v>137</v>
      </c>
      <c r="AO7" s="1" t="s">
        <v>138</v>
      </c>
      <c r="AP7" s="1" t="s">
        <v>123</v>
      </c>
      <c r="AQ7" s="9" t="str">
        <f>IF(OffWorldSelected,"Rise/Set Hr ∠","")</f>
        <v>Rise/Set Hr ∠</v>
      </c>
      <c r="AR7" s="1" t="str">
        <f>IF(OffWorldSelected,"Hour Angle","")</f>
        <v>Hour Angle</v>
      </c>
      <c r="AS7" s="1" t="str">
        <f>IF(OffWorldSelected,"Max Altitude","")</f>
        <v>Max Altitude</v>
      </c>
      <c r="AT7" s="1" t="str">
        <f>IF(OffWorldSelected,"Azimuth","")</f>
        <v>Azimuth</v>
      </c>
      <c r="AU7" s="1" t="str">
        <f>IF(OffWorldSelected,"Altitude","")</f>
        <v>Altitude</v>
      </c>
      <c r="AV7" s="1" t="str">
        <f>IF(OffWorldSelected,"Rise","")</f>
        <v>Rise</v>
      </c>
      <c r="AW7" s="1" t="str">
        <f>IF(OffWorldSelected,"Set","")</f>
        <v>Set</v>
      </c>
      <c r="AX7" s="1" t="str">
        <f>IF(NavTargetSelected,"Azimuth","")</f>
        <v>Azimuth</v>
      </c>
      <c r="AY7" s="1" t="str">
        <f>IF(NavTargetSelected,"Altitude","")</f>
        <v>Altitude</v>
      </c>
      <c r="AZ7" s="1" t="str">
        <f>IF(NavTargetSelected,"Direct","")</f>
        <v>Direct</v>
      </c>
      <c r="BA7" s="1" t="str">
        <f>IF(NavTargetSelected,"Great Circle","")</f>
        <v>Great Circle</v>
      </c>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row>
    <row r="8" customHeight="1" spans="1:119">
      <c r="A8" s="43" t="s">
        <v>139</v>
      </c>
      <c r="C8" s="146" t="str">
        <f t="shared" ref="C8:C209" si="5">IF(AD8,_xlfn.IFS($C$7="Latitude / Longitude",CONCATENATE(IF(AE8&lt;0,CONCATENATE("S ",IF(ABS(AE8)&lt;10,"0",""),INT(ABS(AE8)),"° ",IF(INT(60*(ABS(AE8)-INT(ABS(AE8))))&lt;10,"0",""),ROUND(60*(ABS(AE8)-INT(ABS(AE8))),1),IF(LEN(ROUND(60*(ABS(AE8)-INT(ABS(AE8))),1))&lt;3,".0",""),"' "),CONCATENATE("N ",IF(ABS(AE8)&lt;10,"0",""),INT(ABS(AE8)),"° ",IF(INT(60*(ABS(AE8)-INT(ABS(AE8))))&lt;10,"0",""),ROUND(60*(ABS(AE8)-INT(ABS(AE8))),1),IF(LEN(ROUND(60*(ABS(AE8)-INT(ABS(AE8))),1))&lt;3,".0",""),"' ")),"/ ",IF(AF8&lt;0,CONCATENATE("W ",IF(ABS(AF8)&lt;10,"00",IF(ABS(AF8)&lt;100,"0","")),INT(ABS(AF8)),"° ",IF(INT(60*(ABS(AF8)-INT(ABS(AF8))))&lt;10,"0",""),ROUND(60*(ABS(AF8)-INT(ABS(AF8))),1),IF(LEN(ROUND(60*(ABS(AF8)-INT(ABS(AF8))),1))&lt;3,".0",""),"'"),CONCATENATE("E ",IF(ABS(AF8)&lt;10,"00",IF(ABS(AF8)&lt;100,"0","")),INT(ABS(AF8)),"° ",IF(INT(60*(ABS(AF8)-INT(ABS(AF8))))&lt;10,"0",""),ROUND(60*(ABS(AF8)-INT(ABS(AF8))),1),IF(LEN(ROUND(60*(ABS(AF8)-INT(ABS(AF8))),1))&lt;3,".0",""),"'"))),$C$7="Sector",CR8,$C$7="UTM",BR8,$C$7="MGRS",BS8,$C$7="GARS",CP8),"")</f>
        <v/>
      </c>
      <c r="D8" s="147" t="str">
        <f t="shared" ref="D8:D209" si="6">IF(AD8,IF(AH8&lt;10,CONCATENATE(ROUND(AH8*1000,0)," m"),CONCATENATE(ROUND(AH8,1)," km")),"")</f>
        <v/>
      </c>
      <c r="E8" s="148" t="str">
        <f t="shared" ref="E8:E71" si="7">IF(AD8,ROUND(SQRT(K8^2+L8^2+(M8-OMRadius)^2),1),"")</f>
        <v/>
      </c>
      <c r="F8" s="148" t="str">
        <f t="shared" ref="F8:F71" si="8">IF(AD8,ROUND(SQRT(K8^2+L8^2+(M8+OMRadius)^2),1),"")</f>
        <v/>
      </c>
      <c r="G8" s="148" t="str">
        <f t="shared" ref="G8:G71" si="9">IF(AD8,ROUND(SQRT(K8^2+(L8-OMRadius)^2+M8^2),1),"")</f>
        <v/>
      </c>
      <c r="H8" s="148" t="str">
        <f t="shared" ref="H8:H71" si="10">IF(AD8,ROUND(SQRT(K8^2+(L8+OMRadius)^2+M8^2),1),"")</f>
        <v/>
      </c>
      <c r="I8" s="148" t="str">
        <f t="shared" ref="I8:I71" si="11">IF(AD8,ROUND(SQRT((K8-OMRadius)^2+L8^2+M8^2),1),"")</f>
        <v/>
      </c>
      <c r="J8" s="167" t="str">
        <f t="shared" ref="J8:J71" si="12">IF(AD8,ROUND(SQRT((K8+OMRadius)^2+L8^2+M8^2),1),"")</f>
        <v/>
      </c>
      <c r="K8" s="168" t="str">
        <f>UDLx</f>
        <v/>
      </c>
      <c r="L8" s="168" t="str">
        <f>UDLy</f>
        <v/>
      </c>
      <c r="M8" s="169" t="str">
        <f>UDLz</f>
        <v/>
      </c>
      <c r="N8" s="170" t="str">
        <f t="shared" ref="N8:N71" si="13">IF(AD8,IF(NOT(Rotation),IF(ABS(AE8)&gt;ABS(90-ABS(sDeclination)),IF(AN8&lt;0,"None","Continuous"),IF(ABS(AM8)&gt;ABS(AL8+18),"None","Continuous")),IFERROR(((2*AL8-AJ8-AK8)/RotationRateAngular)/1440,IF(AN8&gt;0,"Continuous","None"))),"")</f>
        <v/>
      </c>
      <c r="O8" s="146" t="str">
        <f t="shared" ref="O8:O71" si="14">IF(AD8,IF(ABS(AE8)&gt;ABS(90-ABS(sDeclination)),IF(AN8&lt;0,"Night","Daylight"),IF(AM8=0,"Noon",IF(AM8=-(AL8-AK8),"Sunset",IF(AM8=(AL8-AJ8),"Sunrise",IF(AM8=180,"Midnight",IF(AND(AM8&gt;-(AL8-AK8),AM8&lt;0),CONCATENATE("Afternoon",IF(Rotation,CONCATENATE(" / Sets in ",ROUND((T8-TimeLocal)*1440,0),"m"),"")),IF(AND(AM8&gt;0,AM8&lt;(AL8-AJ8)),CONCATENATE("Morning",IF(Rotation,CONCATENATE(" / Sets in ",ROUND((T8-TimeLocal)*1440,0),"m"),"")),IF(AND(AM8&gt;(AL8-AJ8),AM8&lt;(AL8+18)),CONCATENATE("Morning Twilight",IF(Rotation,CONCATENATE(" / Rises in ",ROUND((R8-TimeLocal)*1440,0),"m"),"")),IF(AND(AM8&gt;-(AL8+18),AM8&lt;-(AL8-AK8)),CONCATENATE("Evening Twilight",IF(Rotation,CONCATENATE(" / Rises in ",ROUND((R8-TimeLocal)*1440,0),"m"),"")),IF(AND(AM8&gt;-180,AM8&lt;-(AL8+18)),CONCATENATE("Night",IF(Rotation,CONCATENATE(" / Rises in ",ROUND((R8-TimeLocal)*1440,0),"m"),"")),CONCATENATE("After midnight",IF(Rotation,CONCATENATE(" / Rises in ",ROUND((R8-TimeLocal)*1440,0),"m"),"")))))))))))),"")</f>
        <v/>
      </c>
      <c r="P8" s="146" t="str">
        <f t="shared" ref="P8:P209" si="15">IF(AD8,CONCATENATE(IF(ABS(DK8)&lt;10,"0",""),IF(ABS(DK8)&lt;100,"0",""),DK8,"°",IF(Y$3,"M","T")," / ",IF(BC8&gt;0,"+","-"),IF(ABS(BC8)&lt;10,"0",""),ABS(BC8),"°"),"")</f>
        <v/>
      </c>
      <c r="Q8" s="178" t="str">
        <f t="shared" ref="Q8:Q71" si="16">IF(AD8,IFERROR(IF(AM8&gt;(AL8-AJ8+12),S8-((AL8-AJ8+12)/RotationRateAngular/1440),IF(AM8&gt;0,S8-((AL8-AJ8+12)/RotationRateAngular/1440)+LengthOfDay,S8-((AL8-AJ8+12)/RotationRateAngular/1440))),""),"")</f>
        <v/>
      </c>
      <c r="R8" s="178" t="str">
        <f t="shared" ref="R8:R71" si="17">IF(AD8,IFERROR(IF(AM8&gt;(AL8-AJ8),S8-((AL8-AJ8)/RotationRateAngular/1440),IF(AM8&gt;0,S8-((AL8-AJ8)/RotationRateAngular/1440)+LengthOfDay,S8-((AL8-AJ8)/RotationRateAngular/1440))),""),"")</f>
        <v/>
      </c>
      <c r="S8" s="178" t="str">
        <f t="shared" ref="S8:S71" si="18">IF(AD8,IFERROR(IF(AM8&gt;0,AM8/RotationRateAngular/1440,(360+AM8)/RotationRateAngular/1440)+TimeLocal,""),"")</f>
        <v/>
      </c>
      <c r="T8" s="178" t="str">
        <f t="shared" ref="T8:T71" si="19">IF(AD8,IFERROR(IF(AM8&gt;-(AL8-AK8),IF(AM8&gt;0,S8+((AL8-AK8)/RotationRateAngular/1440),S8+((AL8-AK8)/RotationRateAngular/1440)-LengthOfDay),S8+((AL8-AK8)/RotationRateAngular/1440)),""),"")</f>
        <v/>
      </c>
      <c r="U8" s="179" t="str">
        <f t="shared" ref="U8:U71" si="20">IF(AD8,IFERROR(IF(AM8&gt;-(AL8-AK8+12),IF(AM8&lt;0,S8+((AL8-AK8+12)/RotationRateAngular/1440)-LengthOfDay,S8+((AL8-AK8+12)/RotationRateAngular/1440)),S8+((AL8-AK8+12)/RotationRateAngular/1440)),""),"")</f>
        <v/>
      </c>
      <c r="V8" s="146" t="str">
        <f t="shared" ref="V8:V71" si="21">IF(AND(OffWorldSelected,AD8),IF(AND(AR8&lt;(AQ8-AJ8),AR8&gt;-(AQ8-AK8)),IF(Rotation,CONCATENATE("Sets in ",ROUND((Y8-TimeLocal)*1440,0),"m"),"Clear"),CONCATENATE("Obstructed",IF(Rotation,CONCATENATE(" / Rises in ",ROUND((X8-TimeLocal)*1440,0),"m"),""))),"")</f>
        <v/>
      </c>
      <c r="W8" s="146" t="str">
        <f t="shared" ref="W8:W71" si="22">IF(AND(OffWorldSelected,AD8),CONCATENATE(IF(ABS(DL8)&lt;10,"0",""),IF(ABS(DL8)&lt;100,"0",""),DL8,"°",IF(Y$3,"M","T")," / ",IF(BE8&gt;0,"+","-"),IF(ABS(BE8)&lt;10,"0",""),ABS(BE8),"°"),"")</f>
        <v/>
      </c>
      <c r="X8" s="178" t="str">
        <f t="shared" ref="X8:X71" si="23">IF(AND(OffWorldSelected,AD8),IFERROR(AV8,""),"")</f>
        <v/>
      </c>
      <c r="Y8" s="179" t="str">
        <f t="shared" ref="Y8:Y71" si="24">IF(AND(OffWorldSelected,AD8),IFERROR(AW8,""),"")</f>
        <v/>
      </c>
      <c r="Z8" s="146" t="str">
        <f t="shared" ref="Z8:Z71" si="25">IF(AND(NavTargetSelected,AD8),CONCATENATE(IF(ABS(DM8)&lt;10,"0",""),IF(ABS(DM8)&lt;100,"0",""),DM8,"°",IF(Y$3,"M","T")," / ",IF(AY8&gt;0,"+","-"),IF(ABS(AY8)&lt;10,"0",""),ABS(AY8),"°"),"")</f>
        <v/>
      </c>
      <c r="AA8" s="146" t="str">
        <f t="shared" ref="AA8:AA71" si="26">IF(AND(NavTargetSelected,AD8),AZ8,"")</f>
        <v/>
      </c>
      <c r="AB8" s="147" t="str">
        <f t="shared" ref="AB8:AB71" si="27">IF(AND(NavTargetSelected,AD8),BA8,"")</f>
        <v/>
      </c>
      <c r="AC8" s="189"/>
      <c r="AD8" s="43" t="b">
        <f t="shared" ref="AD8:AD209" si="28">IF(OR(K8="",L8="",M8=""),FALSE,TRUE)</f>
        <v>0</v>
      </c>
      <c r="AE8" s="43" t="str">
        <f t="shared" ref="AE8:AE209" si="29">IF(AD8,DEGREES(ATAN2(SQRT(K8^2+L8^2),M8)),"")</f>
        <v/>
      </c>
      <c r="AF8" s="43" t="str">
        <f t="shared" ref="AF8:AF209" si="30">IF(AD8,IF(ABS(AE8)=90,0,IF(DEGREES(MOD((ATAN2(K8,L8)),2*PI()))&gt;180,-(360-DEGREES(MOD((ATAN2(K8,L8)),2*PI()))),DEGREES(MOD((ATAN2(K8,L8)),2*PI())))),"")</f>
        <v/>
      </c>
      <c r="AG8" s="43" t="str">
        <f t="shared" ref="AG8:AG209" si="31">IF(AD8,IF(ABS(AE8)=90,0,DEGREES(MOD((ATAN2(K8,L8)),2*PI()))),"")</f>
        <v/>
      </c>
      <c r="AH8" s="43" t="str">
        <f t="shared" ref="AH8:AH71" si="32">IF(AD8,SQRT(K8^2+L8^2+M8^2)-br,"")</f>
        <v/>
      </c>
      <c r="AI8" s="43" t="str">
        <f t="shared" ref="AI8:AI209" si="33">IF(AD8,DEGREES(ACOS(AN$2/(AN$2+IF(AH8&lt;0,0,AH8)))),"")</f>
        <v/>
      </c>
      <c r="AJ8" s="190" t="str">
        <f>IF(AD8,0,"")</f>
        <v/>
      </c>
      <c r="AK8" s="190" t="str">
        <f>IF(AD8,0,"")</f>
        <v/>
      </c>
      <c r="AL8" s="190" t="str">
        <f t="shared" ref="AL8:AL71" si="34">IF(AD8,DEGREES(ACOS(-TAN(RADIANS(AE8))*TAN(RADIANS(sDeclination))))+sar+AI8,"")</f>
        <v/>
      </c>
      <c r="AM8" s="43" t="str">
        <f t="shared" ref="AM8:AM71" si="35">IF(AD8,IF(MOD(CycleHourAngle-MOD(AG8-sMeridian,360),360)&gt;180,MOD(CycleHourAngle-MOD(AG8-sMeridian,360),360)-360,MOD(CycleHourAngle-MOD(AG8-sMeridian,360),360)),"")</f>
        <v/>
      </c>
      <c r="AN8" s="190" t="str">
        <f t="shared" ref="AN8:AN71" si="36">IF(AD8,IFERROR(DEGREES(ACOS((SQRT(K8^2+L8^2+M8^2)^2+(SQRT(SQRT(K8^2+L8^2+M8^2)^2+SQRT(bsx^2+bsy^2+bsz^2)^2-(2*SQRT(K8^2+L8^2+M8^2)*SQRT(bsx^2+bsy^2+bsz^2)*COS(RADIANS(ABS(sDeclination-AE8))))))^2-SQRT(bsx^2+bsy^2+bsz^2)^2)/(2*SQRT(K8^2+L8^2+M8^2)*(SQRT(SQRT(K8^2+L8^2+M8^2)^2+SQRT(bsx^2+bsy^2+bsz^2)^2-(2*SQRT(K8^2+L8^2+M8^2)*SQRT(bsx^2+bsy^2+bsz^2)*COS(RADIANS(ABS(sDeclination-AE8)))))))))-90,90),"")</f>
        <v/>
      </c>
      <c r="AO8" s="192" t="str">
        <f t="shared" ref="AO8:AO71" si="37">IF(AD8,MOD((ROUND(DEGREES(ATAN2((COS(RADIANS(AE8))*SIN(RADIANS(sDeclination))-SIN(RADIANS(AE8))*COS(RADIANS(sDeclination))*COS(RADIANS(sLongitude-AF8))),(SIN(RADIANS(sLongitude-AF8))*COS(RADIANS(sDeclination))))),0))+360,360),"")</f>
        <v/>
      </c>
      <c r="AP8" s="193" t="str">
        <f t="shared" ref="AP8:AP209" si="38">IF(AD8,ROUND(AN8*COS(RADIANS(ABS(AM8))),0),"")</f>
        <v/>
      </c>
      <c r="AQ8" s="43" t="str">
        <f>IF(AD8,DEGREES(ACOS(-TAN(RADIANS(AE8))*TAN(RADIANS(oDeclination))))+oar+AI8,"")</f>
        <v/>
      </c>
      <c r="AR8" s="43" t="str">
        <f t="shared" ref="AR8:AR71" si="39">IF(AND(OffWorldSelected,AD8),IF(MOD(CycleHourAngle-MOD(AG8-oMeridian,360),360)&gt;180,MOD(CycleHourAngle-MOD(AG8-oMeridian,360),360)-360,MOD(CycleHourAngle-MOD(AG8-oMeridian,360),360)),"")</f>
        <v/>
      </c>
      <c r="AS8" s="43" t="str">
        <f t="shared" ref="AS8:AS71" si="40">IF(AND(OffWorldSelected,AD8),IFERROR(DEGREES(ACOS((SQRT(K8^2+L8^2+M8^2)^2+(SQRT(SQRT(K8^2+L8^2+M8^2)^2+SQRT(box^2+boy^2+boz^2)^2-(2*SQRT(K8^2+L8^2+M8^2)*SQRT(box^2+boy^2+boz^2)*COS(RADIANS(ABS(oDeclination-AE8))))))^2-SQRT(box^2+boy^2+boz^2)^2)/(2*SQRT(K8^2+L8^2+M8^2)*(SQRT(SQRT(K8^2+L8^2+M8^2)^2+SQRT(box^2+boy^2+boz^2)^2-(2*SQRT(K8^2+L8^2+M8^2)*SQRT(box^2+boy^2+boz^2)*COS(RADIANS(ABS(oDeclination-AE8)))))))))-90,90),"")</f>
        <v/>
      </c>
      <c r="AT8" s="192" t="str">
        <f t="shared" ref="AT8:AT71" si="41">IF(AND(OffWorldSelected,AD8),MOD((ROUND(DEGREES(ATAN2((COS(RADIANS(AE8))*SIN(RADIANS(oDeclination))-SIN(RADIANS(AE8))*COS(RADIANS(oDeclination))*COS(RADIANS(oLongitude-AF8))),(SIN(RADIANS(oLongitude-AF8))*COS(RADIANS(oDeclination))))),0))+360,360),"")</f>
        <v/>
      </c>
      <c r="AU8" s="193" t="str">
        <f t="shared" ref="AU8:AU71" si="42">IF(AND(OffWorldSelected,AD8),ROUND(AS8*COS(RADIANS(ABS(AR8))),0),"")</f>
        <v/>
      </c>
      <c r="AV8" s="194" t="str">
        <f t="shared" ref="AV8:AV71" si="43">IF(AND(OffWorldSelected,AD8),IF(AR8&gt;AQ8-AJ8,(AR8-AQ8-AJ8)/RotationRateAngular/1440,(AR8-AQ8-AJ8+360)/RotationRateAngular/1440)+TimeLocal,"")</f>
        <v/>
      </c>
      <c r="AW8" s="194" t="str">
        <f t="shared" ref="AW8:AW71" si="44">IF(AND(OffWorldSelected,AD8),IF(AR8&gt;-(AQ8-AK8),(AR8+AQ8+AK8)/RotationRateAngular/1440,(AR8+AQ8+AK8+360)/RotationRateAngular/1440)+TimeLocal,"")</f>
        <v/>
      </c>
      <c r="AX8" s="43" t="str">
        <f t="shared" ref="AX8:AX71" si="45">IF(AND(NavTargetSelected,AD8),MOD((ROUND(DEGREES(ATAN2((COS(RADIANS(AE8))*SIN(RADIANS(tLatitude))-SIN(RADIANS(AE8))*COS(RADIANS(tLatitude))*COS(RADIANS(tLongitude-AF8))),(SIN(RADIANS(tLongitude-AF8))*COS(RADIANS(tLatitude))))),0))+360,360),"")</f>
        <v/>
      </c>
      <c r="AY8" s="43" t="str">
        <f t="shared" ref="AY8:AY71" si="46">IF(AND(NavTargetSelected,AD8),ROUND(DEGREES(ACOS(((SQRT(K8^2+L8^2+M8^2))^2+AZ8^2-(SQRT(btx^2+bty^2+btz^2))^2)/(2*SQRT(K8^2+L8^2+M8^2)*AZ8)))-90,0),"")</f>
        <v/>
      </c>
      <c r="AZ8" s="195" t="str">
        <f t="shared" ref="AZ8:AZ71" si="47">IF(AND(NavTargetSelected,AD8),ROUND(SQRT((K8-btx)^2+(L8-bty)^2+(M8-btz)^2),1),"")</f>
        <v/>
      </c>
      <c r="BA8" s="43" t="str">
        <f t="shared" ref="BA8:BA71" si="48">IF(AND(NavTargetSelected,AD8),ROUND((ACOS(SIN(RADIANS(AE8))*SIN(RADIANS(tLatitude))+COS(RADIANS(AE8))*COS(RADIANS(tLatitude))*COS(RADIANS(tLongitude-AF8)))*br),1),"")</f>
        <v/>
      </c>
      <c r="BB8" s="43" t="str">
        <f t="shared" ref="BB8:BB209" si="49">IF(AD8,SQRT((K8-$AX$3)^2+(L8-$AY$3)^2+(M8-$AZ$3)^2),"")</f>
        <v/>
      </c>
      <c r="BC8" s="43" t="str">
        <f t="shared" ref="BC8:BC209" si="50">IF(AD8,ROUND(DEGREES(ACOS(((SQRT(K8^2+L8^2+M8^2))^2+BB8^2-(SQRT($AX$3^2+$AY$3^2+$AZ$3^2))^2)/(2*SQRT(K8^2+L8^2+M8^2)*BB8)))-90,0),"")</f>
        <v/>
      </c>
      <c r="BD8" s="43" t="str">
        <f t="shared" ref="BD8:BD71" si="51">IF(AND(OffWorldSelected,AD8),SQRT((K8-$AX$4)^2+(L8-$AY$4)^2+(M8-$AZ$4)^2),"")</f>
        <v/>
      </c>
      <c r="BE8" s="43" t="str">
        <f t="shared" ref="BE8:BE71" si="52">IF(AND(OffWorldSelected,AD8),ROUND(DEGREES(ACOS(((SQRT(K8^2+L8^2+M8^2))^2+BD8^2-(SQRT($AX$4^2+$AY$4^2+$AZ$4^2))^2)/(2*SQRT(K8^2+L8^2+M8^2)*BD8)))-90,0),"")</f>
        <v/>
      </c>
      <c r="BF8" s="43" t="str">
        <f t="shared" ref="BF8:BF209" si="53">IF(AD8,IF(AF8-$AE$6&lt;-180,360+AF8-$AE$6,AF8-$AE$6),"")</f>
        <v/>
      </c>
      <c r="BG8" s="43" t="str">
        <f t="shared" ref="BG8:BG71" si="54">IF(AD8,-(AH8+br)*COS(RADIANS(AE8))*SIN(RADIANS(BF8)),"")</f>
        <v/>
      </c>
      <c r="BH8" s="43" t="str">
        <f t="shared" ref="BH8:BH71" si="55">IF(AD8,(AH8+br)*COS(RADIANS(AE8))*COS(RADIANS(BF8)),"")</f>
        <v/>
      </c>
      <c r="BI8" s="43" t="str">
        <f t="shared" ref="BI8:BI71" si="56">IF(AD8,(AH8+br)*SIN(RADIANS(AE8)),"")</f>
        <v/>
      </c>
      <c r="BJ8" s="43" t="str">
        <f t="shared" ref="BJ8:BJ71" si="57">IF(AD8,((1-(2*qy^2)-(2*qz^2))*(BG8))+(((2*qx*qy)-(2*qz*qw))*(BH8))+(((2*qx*qz)+(2*qy*qw))*(BI8)),"")</f>
        <v/>
      </c>
      <c r="BK8" s="43" t="str">
        <f t="shared" ref="BK8:BK71" si="58">IF(AD8,(((2*qx*qy)+(2*qz*qw))*(BG8))+((1-(2*qx^2)-(2*qz^2))*(BH8))+(((2*qy*qz)-(2*qx*qw))*(BI8)),"")</f>
        <v/>
      </c>
      <c r="BL8" s="43" t="str">
        <f t="shared" ref="BL8:BL71" si="59">IF(AD8,(((2*qx*qz)-(2*qy*qw))*(BG8))+(((2*qy*qz)+(2*qx*qw))*(BH8))+((1-(2*qx^2)-(2*qy^2))*(BI8)),"")</f>
        <v/>
      </c>
      <c r="BM8" s="43" t="str">
        <f t="shared" ref="BM8:BM71" si="60">IF(AD8,BJ8+bx,"")</f>
        <v/>
      </c>
      <c r="BN8" s="43" t="str">
        <f t="shared" ref="BN8:BN71" si="61">IF(AD8,BK8+by,"")</f>
        <v/>
      </c>
      <c r="BO8" s="43" t="str">
        <f t="shared" ref="BO8:BO71" si="62">IF(AD8,BL8+bz,"")</f>
        <v/>
      </c>
      <c r="BP8" s="43"/>
      <c r="BQ8" s="43" t="str">
        <f t="shared" ref="BQ8:BQ209" si="63">IF(AD8,CONCATENATE(IF(AE8&lt;0,CONCATENATE("S ",IF(ABS(AE8)&lt;10,"0",""),INT(ABS(AE8)),"° ",IF(INT(60*(ABS(AE8)-INT(ABS(AE8))))&lt;10,"0",""),ROUND(60*(ABS(AE8)-INT(ABS(AE8))),1),IF(LEN(ROUND(60*(ABS(AE8)-INT(ABS(AE8))),1))&lt;3,".0",""),"' "),CONCATENATE("N ",IF(ABS(AE8)&lt;10,"0",""),INT(ABS(AE8)),"° ",IF(INT(60*(ABS(AE8)-INT(ABS(AE8))))&lt;10,"0",""),ROUND(60*(ABS(AE8)-INT(ABS(AE8))),1),IF(LEN(ROUND(60*(ABS(AE8)-INT(ABS(AE8))),1))&lt;3,".0",""),"' ")),"/ ",IF(AF8&lt;0,CONCATENATE("W ",IF(ABS(AF8)&lt;10,"00",IF(ABS(AF8)&lt;100,"0","")),INT(ABS(AF8)),"° ",IF(INT(60*(ABS(AF8)-INT(ABS(AF8))))&lt;10,"0",""),ROUND(60*(ABS(AF8)-INT(ABS(AF8))),1),IF(LEN(ROUND(60*(ABS(AF8)-INT(ABS(AF8))),1))&lt;3,".0",""),"'"),CONCATENATE("E ",IF(ABS(AF8)&lt;10,"00",IF(ABS(AF8)&lt;100,"0","")),INT(ABS(AF8)),"° ",IF(INT(60*(ABS(AF8)-INT(ABS(AF8))))&lt;10,"0",""),ROUND(60*(ABS(AF8)-INT(ABS(AF8))),1),IF(LEN(ROUND(60*(ABS(AF8)-INT(ABS(AF8))),1))&lt;3,".0",""),"'"))),"")</f>
        <v/>
      </c>
      <c r="BR8" s="43" t="str">
        <f t="shared" ref="BR8:BR209" si="64">IF(AD8,CONCATENATE(BU8," ",CB8," ",CG8),"")</f>
        <v/>
      </c>
      <c r="BS8" s="43" t="str">
        <f t="shared" ref="BS8:BS209" si="65">IF(AD8,CONCATENATE(BU8," ",CA8,CF8," ",LEFT(CC8,3),LEFT(CH8,3)),"")</f>
        <v/>
      </c>
      <c r="BT8" s="43" t="str">
        <f t="shared" ref="BT8:BT209" si="66">IF(AD8,IF(ABS(AE8)&gt;80,TRUE,FALSE),"")</f>
        <v/>
      </c>
      <c r="BU8" s="43" t="str">
        <f t="shared" ref="BU8:BU209" si="67">IF(AD8,IF(AND(AE8&lt;=80,AE8&gt;=-80),IF(AND(AF8&gt;=-180,AF8&lt;=180),CONCATENATE(IF(INT((IF(AF8&gt;=180,-180,AF8)+180)/6)+1&lt;10,"0",""),INT((IF(AF8&gt;=180,-180,AF8)+180)/6)+1,MID($BS$1,INT((AE8+80)/8)+1,1))),IF(AE8&gt;0,IF(AF8&lt;0,"Y","Z"),IF(AF8&lt;0,"A","B"))),"")</f>
        <v/>
      </c>
      <c r="BV8" s="43" t="str">
        <f t="shared" ref="BV8:BV209" si="68">IF(AD8,INT((IF(AF8&gt;=180,-180,AF8)+180)/6)+1,"")</f>
        <v/>
      </c>
      <c r="BW8" s="43" t="str">
        <f t="shared" ref="BW8:BW209" si="69">IF(AD8,IF(NOT(BT8),0,IF(AE8&gt;0,90,-90)),"")</f>
        <v/>
      </c>
      <c r="BX8" s="43" t="str">
        <f t="shared" ref="BX8:BX209" si="70">IF(AD8,IF(NOT(BT8),(BV8*6)-183,0),"")</f>
        <v/>
      </c>
      <c r="BY8" s="43" t="str">
        <f t="shared" ref="BY8:BY71" si="71">IF(AD8,IF(NOT(BT8),br*$BW$1*ATANH(COS(RADIANS(AE8))*SIN(RADIANS(AF8)-RADIANS(BX8)))*1000,br*(2*$BY$1/(1+SIN(RADIANS(BW8))*SIN(RADIANS(AE8))+COS(RADIANS(BW8))*COS(RADIANS(AE8))*COS(RADIANS(AF8)-RADIANS(BX8))))*COS(RADIANS(AE8))*SIN(RADIANS(AF8)-RADIANS(BX8))*1000),"")</f>
        <v/>
      </c>
      <c r="BZ8" s="43" t="str">
        <f t="shared" ref="BZ8:BZ209" si="72">IF(AD8,IF(NOT(BT8),$CB$2+ROUND(BY8,4),$CB$3+ROUND(BY8,4)),"")</f>
        <v/>
      </c>
      <c r="CA8" s="43" t="str">
        <f t="shared" ref="CA8:CA209" si="73">IF(AD8,IF(NOT(BT8),_xlfn.IFS(MOD(BV8,3)=0,MID($BU$2,INT(BZ8/$BW$4),1),MOD(BV8,3)=1,MID($BS$2,INT(BZ8/$BW$4),1),MOD(BV8,3)=2,MID($BT$2,INT(BZ8/$BW$4),1)),IF(BZ8&gt;=$CB$3,MID($BW$2,(MOD(INT(ABS(BY8)/$BW$4),18)+1),1),MID($BW$2,19-(MOD(INT(ABS(BY8)/$BW$4),18)+1),1))),"")</f>
        <v/>
      </c>
      <c r="CB8" s="43" t="str">
        <f t="shared" ref="CB8:CB209" si="74">IF(AD8,CONCATENATE(INT(BZ8/$BW$4),CC8),"")</f>
        <v/>
      </c>
      <c r="CC8" s="43" t="str">
        <f t="shared" ref="CC8:CC209" si="75">IF(AD8,CONCATENATE(IF($BW$4&gt;100000,IF(ROUND(BZ8-(INT(BZ8/$BW$4)*$BW$4),3)&lt;100000,"0",""),""),IF($BW$4&gt;10000,IF(ROUND(BZ8-(INT(BZ8/$BW$4)*$BW$4),3)&lt;10000,"0",""),""),IF(ROUND(BZ8-(INT(BZ8/$BW$4)*$BW$4),3)&lt;1000,"0",""),IF(ROUND(BZ8-(INT(BZ8/$BW$4)*$BW$4),3)&lt;100,"0",""),IF(ROUND(BZ8-(INT(BZ8/$BW$4)*$BW$4),3)&lt;10,"0",""),INT(BZ8-(INT(BZ8/$BW$4)*$BW$4))),"")</f>
        <v/>
      </c>
      <c r="CD8" s="43" t="str">
        <f t="shared" ref="CD8:CD71" si="76">IF(AD8,IF(NOT(BT8),br*$BW$1*ATAN(TAN(RADIANS(AE8))/COS(RADIANS(AF8)-RADIANS(BX8)))*1000,br*(2*$BY$1/(1+SIN(RADIANS(BW8))*SIN(RADIANS(AE8))+COS(RADIANS(BW8))*COS(RADIANS(AE8))*COS(RADIANS(AF8)-RADIANS(BX8))))*(COS(RADIANS(BW8))*SIN(RADIANS(AE8))-SIN(RADIANS(BW8))*COS(RADIANS(AE8))*COS(RADIANS(AF8)-RADIANS(BX8)))*1000),"")</f>
        <v/>
      </c>
      <c r="CE8" s="43" t="str">
        <f t="shared" ref="CE8:CE209" si="77">IF(AD8,IF(NOT(BT8),IF(CD8&gt;=0,ROUND(CD8,4),$CB$4+ROUND(CD8,4)),$CB$3+ROUND(CD8,4)),"")</f>
        <v/>
      </c>
      <c r="CF8" s="43" t="str">
        <f t="shared" ref="CF8:CF209" si="78">IF(AD8,IF(NOT(BT8),_xlfn.IFS(MOD(BV8,2)=0,MID($BT$3,IF(AE8&gt;=0,(MOD(INT(ABS(CD8)/$BW$4),20)+1),21-(MOD(INT(ABS(CD8)/$BW$4),20)+1)),1),MOD(BV8,2)=1,MID($BS$3,IF(AE8&gt;=0,(MOD(INT(ABS(CD8)/$BW$4),20)+1),21-(MOD(INT(ABS(CD8)/$BW$4),20)+1)),1)),IF(CE8&gt;=$CB$3,IF(AE8&lt;0,MID($BW$3,(MOD(INT(ABS(CD8)/$BW$4),24)+1),1),MID($BX$3,(MOD(INT(ABS(CD8)/$BW$4),24)+1),1)),IF(AE8&lt;0,MID($BW$3,25-(MOD(INT(ABS(CD8)/$BW$4),24)+1),1),MID($BX$3,25-(MOD(INT(ABS(CD8)/$BW$4),24)+1),1)))),"")</f>
        <v/>
      </c>
      <c r="CG8" s="43" t="str">
        <f t="shared" ref="CG8:CG209" si="79">IF(AD8,CONCATENATE(INT(CE8/$BW$4),CH8),"")</f>
        <v/>
      </c>
      <c r="CH8" s="43" t="str">
        <f t="shared" ref="CH8:CH209" si="80">IF(AD8,CONCATENATE(IF($BW$4&gt;100000,IF(ROUND(CE8-(INT(CE8/$BW$4)*$BW$4),3)&lt;100000,"0",""),""),IF($BW$4&gt;10000,IF(ROUND(CE8-(INT(CE8/$BW$4)*$BW$4),3)&lt;10000,"0",""),""),IF(ROUND(CE8-(INT(CE8/$BW$4)*$BW$4),3)&lt;1000,"0",""),IF(ROUND(CE8-(INT(CE8/$BW$4)*$BW$4),3)&lt;100,"0",""),IF(ROUND(CE8-(INT(CE8/$BW$4)*$BW$4),3)&lt;10,"0",""),INT(CE8-(INT(CE8/$BW$4)*$BW$4))),"")</f>
        <v/>
      </c>
      <c r="CI8" s="43"/>
      <c r="CJ8" s="43" t="str">
        <f t="shared" ref="CJ8:CJ209" si="81">IF(AD8,IF(ABS(AE8)=90,1,INT(MOD(AF8+180,360)/0.5)+1),"")</f>
        <v/>
      </c>
      <c r="CK8" s="43" t="str">
        <f t="shared" ref="CK8:CK209" si="82">IF(AD8,CONCATENATE(MID($CK$1,INT(INT((AE8+90)/0.5)/24)+1,1),MID($CK$1,MOD(INT((AE8+90)/0.5),24)+1,1)),"")</f>
        <v/>
      </c>
      <c r="CL8" s="43" t="str">
        <f t="shared" ref="CL8:CL209" si="83">IF(AD8,_xlfn.IFS(AND(IF(MOD((AE8+90)/0.5,1)&gt;=0.5,TRUE,FALSE),NOT(IF(MOD(MOD(AF8+180,360)/0.5,1)&gt;=0.5,TRUE,FALSE))),1,AND(IF(MOD((AE8+90)/0.5,1)&gt;=0.5,TRUE,FALSE),IF(MOD(MOD(AF8+180,360)/0.5,1)&gt;=0.5,TRUE,FALSE)),2,AND(NOT(IF(MOD((AE8+90)/0.5,1)&gt;=0.5,TRUE,FALSE)),NOT(IF(MOD(MOD(AF8+180,360)/0.5,1)&gt;=0.5,TRUE,FALSE))),3,AND(NOT(IF(MOD((AE8+90)/0.5,1)&gt;=0.5,TRUE,FALSE)),IF(MOD(MOD(AF8+180,360)/0.5,1)&gt;=0.5,TRUE,FALSE)),4),"")</f>
        <v/>
      </c>
      <c r="CM8" s="43" t="str">
        <f t="shared" ref="CM8:CM209" si="84">IF(AD8,_xlfn.IFS(AND(CN8=0,CO8=2),1,AND(CN8=1,CO8=2),2,AND(CN8=2,CO8=2),3,AND(CN8=0,CO8=1),4,AND(CN8=1,CO8=1),5,AND(CN8=2,CO8=1),6,AND(CN8=0,CO8=0),7,AND(CN8=1,CO8=0),8,AND(CN8=2,CO8=0),9),"")</f>
        <v/>
      </c>
      <c r="CN8" s="43" t="str">
        <f t="shared" ref="CN8:CN209" si="85">IF(AD8,INT(6*IF(IF(MOD(MOD(AF8+180,360)/0.5,1)&gt;=0.5,TRUE,FALSE),MOD(MOD(AF8+180,360)/0.5,1)-0.5,MOD(MOD(AF8+180,360)/0.5,1))),"")</f>
        <v/>
      </c>
      <c r="CO8" s="43" t="str">
        <f t="shared" ref="CO8:CO209" si="86">IF(AD8,INT(6*IF(IF(MOD((AE8+90)/0.5,1)&gt;=0.5,TRUE,FALSE),MOD((AE8+90)/0.5,1)-0.5,MOD((AE8+90)/0.5,1))),"")</f>
        <v/>
      </c>
      <c r="CP8" s="43" t="str">
        <f t="shared" ref="CP8:CP209" si="87">IF(AD8,CONCATENATE(IF(CJ8&lt;100,"0",""),IF(CJ8&lt;10,"0",""),CJ8,CK8,CL8,CM8),"")</f>
        <v/>
      </c>
      <c r="CQ8" s="43"/>
      <c r="CR8" s="43" t="str">
        <f t="shared" ref="CR8:CR209" si="88">IF(AD8,CONCATENATE(CS8,CT8,CU8,"-",ROUND(CV8,0),".",ROUND(CW8,0),".",ROUND(CX8,0)),"")</f>
        <v/>
      </c>
      <c r="CS8" s="43" t="str">
        <f t="shared" ref="CS8:CS209" si="89">IF(AD8,_xlfn.IFS(CV8=0,"",CV8=$E8,1,CV8=$F8,2,CV8=$G8,3,CV8=$H8,4,CV8=$I8,5,CV8=$J8,6),"")</f>
        <v/>
      </c>
      <c r="CT8" s="43" t="str">
        <f t="shared" ref="CT8:CT209" si="90">IF(AD8,_xlfn.IFS(CW8=0,"",CW8=$E8,1,CW8=$F8,2,CW8=$G8,3,CW8=$H8,4,CW8=$I8,5,CW8=$J8,6),"")</f>
        <v/>
      </c>
      <c r="CU8" s="43" t="str">
        <f t="shared" ref="CU8:CU209" si="91">IF(AD8,_xlfn.IFS(CX8=0,"",CX8=$E8,1,CX8=$F8,2,CX8=$G8,3,CX8=$H8,4,CX8=$I8,5,CX8=$J8,6),"")</f>
        <v/>
      </c>
      <c r="CV8" s="43" t="str">
        <f t="shared" ref="CV8:CV209" si="92">IF(AD8,TRANSPOSE(_xlfn._xlws.SORT(TRANSPOSE(E8:J8),1,TRUE)),"")</f>
        <v/>
      </c>
      <c r="CW8" s="43"/>
      <c r="CX8" s="43"/>
      <c r="CY8" s="43"/>
      <c r="CZ8" s="43"/>
      <c r="DA8" s="43"/>
      <c r="DB8" s="43"/>
      <c r="DC8" s="198" t="e">
        <f t="shared" ref="DC8:DC209" si="93">-K8</f>
        <v>#VALUE!</v>
      </c>
      <c r="DD8" s="198" t="str">
        <f t="shared" ref="DD8:DD209" si="94">M8</f>
        <v/>
      </c>
      <c r="DE8" s="198" t="str">
        <f t="shared" ref="DE8:DE209" si="95">L8</f>
        <v/>
      </c>
      <c r="DF8" s="43" t="str">
        <f t="shared" ref="DF8:DF209" si="96">IF(AD8,DEGREES(ATAN2(SQRT(DC8^2+DD8^2),DE8)),"")</f>
        <v/>
      </c>
      <c r="DG8" s="43" t="str">
        <f t="shared" ref="DG8:DG209" si="97">IF(AD8,IF(ABS(DF8)=90,0,IF(DEGREES(MOD((ATAN2(DC8,DD8)),2*PI()))&gt;180,-(360-DEGREES(MOD((ATAN2(DC8,DD8)),2*PI()))),DEGREES(MOD((ATAN2(DC8,DD8)),2*PI())))),"")</f>
        <v/>
      </c>
      <c r="DH8" s="43" t="str">
        <f t="shared" ref="DH8:DH209" si="98">IF(AD8,MOD((ROUND(DEGREES(ATAN2((COS(RADIANS(DF8))*SIN(RADIANS($DF$3))-SIN(RADIANS(DF8))*COS(RADIANS($DF$3))*COS(RADIANS($DG$3-DG8))),(SIN(RADIANS($DG$3-DG8))*COS(RADIANS($DF$3))))),0))+360,360),"")</f>
        <v/>
      </c>
      <c r="DI8" s="43" t="str">
        <f t="shared" ref="DI8:DI71" si="99">IF(AND(OffWorldSelected,AD8),MOD((ROUND(DEGREES(ATAN2((COS(RADIANS(DF8))*SIN(RADIANS($DF$4))-SIN(RADIANS(DF8))*COS(RADIANS($DF$4))*COS(RADIANS($DG$4-DG8))),(SIN(RADIANS($DG$4-DG8))*COS(RADIANS($DF$4))))),0))+360,360),"")</f>
        <v/>
      </c>
      <c r="DJ8" s="43" t="str">
        <f t="shared" ref="DJ8:DJ71" si="100">IF(AND(NavTargetSelected,AD8),MOD((ROUND(DEGREES(ATAN2((COS(RADIANS(DF8))*SIN(RADIANS($DF$5))-SIN(RADIANS(DF8))*COS(RADIANS($DF$5))*COS(RADIANS($DG$5-DG8))),(SIN(RADIANS($DG$5-DG8))*COS(RADIANS($DF$5))))),0))+360,360),"")</f>
        <v/>
      </c>
      <c r="DK8" s="43" t="str">
        <f t="shared" ref="DK8:DK209" si="101">IF($Y$3,DH8,AO8)</f>
        <v/>
      </c>
      <c r="DL8" s="43" t="str">
        <f t="shared" ref="DL8:DL209" si="102">IF($Y$3,DI8,AT8)</f>
        <v/>
      </c>
      <c r="DM8" s="43" t="str">
        <f t="shared" ref="DM8:DM209" si="103">IF($Y$3,DJ8,AX8)</f>
        <v/>
      </c>
      <c r="DN8" s="43"/>
      <c r="DO8" s="43"/>
    </row>
    <row r="9" customHeight="1" spans="1:117">
      <c r="A9" s="149" t="str">
        <f>IF(ListMethodCode,VLOOKUP(CONCATENATE(BodyName," ",IF(AC9&lt;10,"0",""),AC9),DatabaseOutpost,3,FALSE),VLOOKUP(CONCATENATE(BodyName," ",IF(sTimeLines&lt;10,"0",""),sTimeLines),DatabaseTime,2,FALSE))</f>
        <v>Landing Zone</v>
      </c>
      <c r="C9" s="55" t="e">
        <f t="shared" si="5"/>
        <v>#DIV/0!</v>
      </c>
      <c r="D9" s="150" t="str">
        <f t="shared" si="6"/>
        <v>-1000000 m</v>
      </c>
      <c r="E9" s="151">
        <f t="shared" si="7"/>
        <v>1439.6</v>
      </c>
      <c r="F9" s="151">
        <f t="shared" si="8"/>
        <v>1439.6</v>
      </c>
      <c r="G9" s="151">
        <f t="shared" si="9"/>
        <v>1439.6</v>
      </c>
      <c r="H9" s="151">
        <f t="shared" si="10"/>
        <v>1439.6</v>
      </c>
      <c r="I9" s="151">
        <f t="shared" si="11"/>
        <v>1439.6</v>
      </c>
      <c r="J9" s="171">
        <f t="shared" si="12"/>
        <v>1439.6</v>
      </c>
      <c r="K9" s="172">
        <f>IF(ListMethodCode,VLOOKUP(CONCATENATE(BodyName," ",IF(AC9&lt;10,"0",""),AC9),DatabaseOutpost,5,FALSE),VLOOKUP(CONCATENATE(BodyName," ",IF(sTimeLines&lt;10,"0",""),sTimeLines),DatabaseTime,4,FALSE))</f>
        <v>0</v>
      </c>
      <c r="L9" s="172">
        <f>IF(ListMethodCode,VLOOKUP(CONCATENATE(BodyName," ",IF(AC9&lt;10,"0",""),AC9),DatabaseOutpost,6,FALSE),VLOOKUP(CONCATENATE(BodyName," ",IF(sTimeLines&lt;10,"0",""),sTimeLines),DatabaseTime,5,FALSE))</f>
        <v>0</v>
      </c>
      <c r="M9" s="173">
        <f>IF(ListMethodCode,VLOOKUP(CONCATENATE(BodyName," ",IF(AC9&lt;10,"0",""),AC9),DatabaseOutpost,7,FALSE),VLOOKUP(CONCATENATE(BodyName," ",IF(sTimeLines&lt;10,"0",""),sTimeLines),DatabaseTime,6,FALSE))</f>
        <v>0</v>
      </c>
      <c r="N9" s="54" t="str">
        <f t="shared" si="13"/>
        <v>Continuous</v>
      </c>
      <c r="O9" s="55" t="e">
        <f t="shared" si="14"/>
        <v>#DIV/0!</v>
      </c>
      <c r="P9" s="55" t="e">
        <f t="shared" si="15"/>
        <v>#DIV/0!</v>
      </c>
      <c r="Q9" s="56" t="str">
        <f t="shared" si="16"/>
        <v/>
      </c>
      <c r="R9" s="56" t="str">
        <f t="shared" si="17"/>
        <v/>
      </c>
      <c r="S9" s="56" t="str">
        <f t="shared" si="18"/>
        <v/>
      </c>
      <c r="T9" s="56" t="str">
        <f t="shared" si="19"/>
        <v/>
      </c>
      <c r="U9" s="180" t="str">
        <f t="shared" si="20"/>
        <v/>
      </c>
      <c r="V9" s="55" t="e">
        <f t="shared" si="21"/>
        <v>#DIV/0!</v>
      </c>
      <c r="W9" s="55" t="e">
        <f t="shared" si="22"/>
        <v>#DIV/0!</v>
      </c>
      <c r="X9" s="56" t="str">
        <f t="shared" si="23"/>
        <v/>
      </c>
      <c r="Y9" s="180" t="str">
        <f t="shared" si="24"/>
        <v/>
      </c>
      <c r="Z9" s="55" t="e">
        <f t="shared" si="25"/>
        <v>#DIV/0!</v>
      </c>
      <c r="AA9" s="55">
        <f t="shared" si="26"/>
        <v>1001.4</v>
      </c>
      <c r="AB9" s="150" t="e">
        <f t="shared" si="27"/>
        <v>#DIV/0!</v>
      </c>
      <c r="AC9" s="188">
        <v>0</v>
      </c>
      <c r="AD9" s="1" t="b">
        <f t="shared" si="28"/>
        <v>1</v>
      </c>
      <c r="AE9" s="1" t="e">
        <f t="shared" si="29"/>
        <v>#DIV/0!</v>
      </c>
      <c r="AF9" s="1" t="e">
        <f t="shared" si="30"/>
        <v>#DIV/0!</v>
      </c>
      <c r="AG9" s="1" t="e">
        <f t="shared" si="31"/>
        <v>#DIV/0!</v>
      </c>
      <c r="AH9" s="1">
        <f t="shared" si="32"/>
        <v>-1000</v>
      </c>
      <c r="AI9" s="1">
        <f t="shared" si="33"/>
        <v>0</v>
      </c>
      <c r="AJ9" s="191">
        <f>IF(AD9,IF(ListMethodCode,VLOOKUP(CONCATENATE(BodyName," ",IF(AC9&lt;10,"0",""),AC9),DatabaseOutpost,13,FALSE),VLOOKUP(CONCATENATE(BodyName," ",IF(sTimeLines&lt;10,"0",""),sTimeLines),DatabaseTime,12,FALSE)),"")</f>
        <v>0</v>
      </c>
      <c r="AK9" s="191">
        <f>IF(AD9,IF(ListMethodCode,VLOOKUP(CONCATENATE(BodyName," ",IF(AC9&lt;10,"0",""),AC9),DatabaseOutpost,14,FALSE),VLOOKUP(CONCATENATE(BodyName," ",IF(sTimeLines&lt;10,"0",""),sTimeLines),DatabaseTime,13,FALSE)),"")</f>
        <v>0</v>
      </c>
      <c r="AL9" s="191" t="e">
        <f t="shared" si="34"/>
        <v>#DIV/0!</v>
      </c>
      <c r="AM9" s="1" t="e">
        <f t="shared" si="35"/>
        <v>#DIV/0!</v>
      </c>
      <c r="AN9" s="191">
        <f t="shared" si="36"/>
        <v>90</v>
      </c>
      <c r="AO9" s="134" t="e">
        <f t="shared" si="37"/>
        <v>#DIV/0!</v>
      </c>
      <c r="AP9" s="64" t="e">
        <f t="shared" si="38"/>
        <v>#DIV/0!</v>
      </c>
      <c r="AQ9" s="1" t="e">
        <f t="shared" ref="AQ9:AQ72" si="104">IF(AND(OffWorldSelected,AD9),DEGREES(ACOS(-TAN(RADIANS(AE9))*TAN(RADIANS(oDeclination))))+oar+AI9,"")</f>
        <v>#DIV/0!</v>
      </c>
      <c r="AR9" s="1" t="e">
        <f t="shared" si="39"/>
        <v>#DIV/0!</v>
      </c>
      <c r="AS9" s="1">
        <f t="shared" si="40"/>
        <v>90</v>
      </c>
      <c r="AT9" s="134" t="e">
        <f t="shared" si="41"/>
        <v>#DIV/0!</v>
      </c>
      <c r="AU9" s="64" t="e">
        <f t="shared" si="42"/>
        <v>#DIV/0!</v>
      </c>
      <c r="AV9" s="65" t="e">
        <f t="shared" si="43"/>
        <v>#DIV/0!</v>
      </c>
      <c r="AW9" s="65" t="e">
        <f t="shared" si="44"/>
        <v>#DIV/0!</v>
      </c>
      <c r="AX9" s="1" t="e">
        <f t="shared" si="45"/>
        <v>#DIV/0!</v>
      </c>
      <c r="AY9" s="1" t="e">
        <f t="shared" si="46"/>
        <v>#DIV/0!</v>
      </c>
      <c r="AZ9" s="131">
        <f t="shared" si="47"/>
        <v>1001.4</v>
      </c>
      <c r="BA9" s="1" t="e">
        <f t="shared" si="48"/>
        <v>#DIV/0!</v>
      </c>
      <c r="BB9" s="1">
        <f t="shared" si="49"/>
        <v>42369617.4235177</v>
      </c>
      <c r="BC9" s="1" t="e">
        <f t="shared" si="50"/>
        <v>#DIV/0!</v>
      </c>
      <c r="BD9" s="1">
        <f t="shared" si="51"/>
        <v>57480849.9111489</v>
      </c>
      <c r="BE9" s="1" t="e">
        <f t="shared" si="52"/>
        <v>#DIV/0!</v>
      </c>
      <c r="BF9" s="1" t="e">
        <f t="shared" si="53"/>
        <v>#DIV/0!</v>
      </c>
      <c r="BG9" s="1" t="e">
        <f t="shared" si="54"/>
        <v>#DIV/0!</v>
      </c>
      <c r="BH9" s="1" t="e">
        <f t="shared" si="55"/>
        <v>#DIV/0!</v>
      </c>
      <c r="BI9" s="1" t="e">
        <f t="shared" si="56"/>
        <v>#DIV/0!</v>
      </c>
      <c r="BJ9" s="1" t="e">
        <f t="shared" si="57"/>
        <v>#DIV/0!</v>
      </c>
      <c r="BK9" s="1" t="e">
        <f t="shared" si="58"/>
        <v>#DIV/0!</v>
      </c>
      <c r="BL9" s="1" t="e">
        <f t="shared" si="59"/>
        <v>#DIV/0!</v>
      </c>
      <c r="BM9" s="1" t="e">
        <f t="shared" si="60"/>
        <v>#DIV/0!</v>
      </c>
      <c r="BN9" s="1" t="e">
        <f t="shared" si="61"/>
        <v>#DIV/0!</v>
      </c>
      <c r="BO9" s="1" t="e">
        <f t="shared" si="62"/>
        <v>#DIV/0!</v>
      </c>
      <c r="BQ9" s="1" t="e">
        <f t="shared" si="63"/>
        <v>#DIV/0!</v>
      </c>
      <c r="BR9" s="1" t="e">
        <f t="shared" si="64"/>
        <v>#DIV/0!</v>
      </c>
      <c r="BS9" s="1" t="e">
        <f t="shared" si="65"/>
        <v>#DIV/0!</v>
      </c>
      <c r="BT9" s="1" t="e">
        <f t="shared" si="66"/>
        <v>#DIV/0!</v>
      </c>
      <c r="BU9" s="1" t="e">
        <f t="shared" si="67"/>
        <v>#DIV/0!</v>
      </c>
      <c r="BV9" s="1" t="e">
        <f t="shared" si="68"/>
        <v>#DIV/0!</v>
      </c>
      <c r="BW9" s="1" t="e">
        <f t="shared" si="69"/>
        <v>#DIV/0!</v>
      </c>
      <c r="BX9" s="1" t="e">
        <f t="shared" si="70"/>
        <v>#DIV/0!</v>
      </c>
      <c r="BY9" s="1" t="e">
        <f t="shared" si="71"/>
        <v>#DIV/0!</v>
      </c>
      <c r="BZ9" s="1" t="e">
        <f t="shared" si="72"/>
        <v>#DIV/0!</v>
      </c>
      <c r="CA9" s="1" t="e">
        <f t="shared" si="73"/>
        <v>#DIV/0!</v>
      </c>
      <c r="CB9" s="1" t="e">
        <f t="shared" si="74"/>
        <v>#DIV/0!</v>
      </c>
      <c r="CC9" s="1" t="e">
        <f t="shared" si="75"/>
        <v>#DIV/0!</v>
      </c>
      <c r="CD9" s="1" t="e">
        <f t="shared" si="76"/>
        <v>#DIV/0!</v>
      </c>
      <c r="CE9" s="1" t="e">
        <f t="shared" si="77"/>
        <v>#DIV/0!</v>
      </c>
      <c r="CF9" s="1" t="e">
        <f t="shared" si="78"/>
        <v>#DIV/0!</v>
      </c>
      <c r="CG9" s="1" t="e">
        <f t="shared" si="79"/>
        <v>#DIV/0!</v>
      </c>
      <c r="CH9" s="1" t="e">
        <f t="shared" si="80"/>
        <v>#DIV/0!</v>
      </c>
      <c r="CJ9" s="1" t="e">
        <f t="shared" si="81"/>
        <v>#DIV/0!</v>
      </c>
      <c r="CK9" s="1" t="e">
        <f t="shared" si="82"/>
        <v>#DIV/0!</v>
      </c>
      <c r="CL9" s="1" t="e">
        <f t="shared" si="83"/>
        <v>#DIV/0!</v>
      </c>
      <c r="CM9" s="1" t="e">
        <f t="shared" si="84"/>
        <v>#DIV/0!</v>
      </c>
      <c r="CN9" s="1" t="e">
        <f t="shared" si="85"/>
        <v>#DIV/0!</v>
      </c>
      <c r="CO9" s="1" t="e">
        <f t="shared" si="86"/>
        <v>#DIV/0!</v>
      </c>
      <c r="CP9" s="1" t="e">
        <f t="shared" si="87"/>
        <v>#DIV/0!</v>
      </c>
      <c r="CR9" s="1" t="e">
        <f t="shared" si="88"/>
        <v>#VALUE!</v>
      </c>
      <c r="CS9" s="1" t="e">
        <f t="shared" si="89"/>
        <v>#VALUE!</v>
      </c>
      <c r="CT9" s="1" t="str">
        <f t="shared" si="90"/>
        <v/>
      </c>
      <c r="CU9" s="1" t="str">
        <f t="shared" si="91"/>
        <v/>
      </c>
      <c r="CV9" s="1" t="e">
        <f t="shared" si="92"/>
        <v>#VALUE!</v>
      </c>
      <c r="DC9" s="154">
        <f t="shared" si="93"/>
        <v>0</v>
      </c>
      <c r="DD9" s="154">
        <f t="shared" si="94"/>
        <v>0</v>
      </c>
      <c r="DE9" s="154">
        <f t="shared" si="95"/>
        <v>0</v>
      </c>
      <c r="DF9" s="1" t="e">
        <f t="shared" si="96"/>
        <v>#DIV/0!</v>
      </c>
      <c r="DG9" s="1" t="e">
        <f t="shared" si="97"/>
        <v>#DIV/0!</v>
      </c>
      <c r="DH9" s="1" t="e">
        <f t="shared" si="98"/>
        <v>#DIV/0!</v>
      </c>
      <c r="DI9" s="1" t="e">
        <f t="shared" si="99"/>
        <v>#DIV/0!</v>
      </c>
      <c r="DJ9" s="1" t="e">
        <f t="shared" si="100"/>
        <v>#DIV/0!</v>
      </c>
      <c r="DK9" s="1" t="e">
        <f t="shared" si="101"/>
        <v>#DIV/0!</v>
      </c>
      <c r="DL9" s="1" t="e">
        <f t="shared" si="102"/>
        <v>#DIV/0!</v>
      </c>
      <c r="DM9" s="1" t="e">
        <f t="shared" si="103"/>
        <v>#DIV/0!</v>
      </c>
    </row>
    <row r="10" customHeight="1" spans="1:117">
      <c r="A10" s="152" t="str">
        <f>IF(ListMethodCode,_xlfn.IFNA(VLOOKUP(CONCATENATE(BodyName," ",IF(AC10&lt;10,"0",""),AC10),DatabaseOutpost,3,FALSE),""),VLOOKUP(CONCATENATE(BodyName," ",IF(AC10&lt;10,"0",""),AC10),DatabaseTime,2,FALSE))</f>
        <v>New Babbage</v>
      </c>
      <c r="C10" s="55" t="str">
        <f t="shared" si="5"/>
        <v>N 48° 02.5' / E 038° 50.8'</v>
      </c>
      <c r="D10" s="150" t="str">
        <f t="shared" si="6"/>
        <v>21 m</v>
      </c>
      <c r="E10" s="151">
        <f t="shared" si="7"/>
        <v>965.1</v>
      </c>
      <c r="F10" s="151">
        <f t="shared" si="8"/>
        <v>2283.3</v>
      </c>
      <c r="G10" s="151">
        <f t="shared" si="9"/>
        <v>1365.7</v>
      </c>
      <c r="H10" s="151">
        <f t="shared" si="10"/>
        <v>2068.8</v>
      </c>
      <c r="I10" s="151">
        <f t="shared" si="11"/>
        <v>1254.3</v>
      </c>
      <c r="J10" s="171">
        <f t="shared" si="12"/>
        <v>2138.2</v>
      </c>
      <c r="K10" s="172">
        <f>IF(ListMethodCode,_xlfn.IFNA(VLOOKUP(CONCATENATE(BodyName," ",IF(AC10&lt;10,"0",""),AC10),DatabaseOutpost,5,FALSE),""),VLOOKUP(CONCATENATE(BodyName," ",IF(AC10&lt;10,"0",""),AC10),DatabaseTime,4,FALSE))</f>
        <v>520.722992113</v>
      </c>
      <c r="L10" s="172">
        <f>IF(ListMethodCode,_xlfn.IFNA(VLOOKUP(CONCATENATE(BodyName," ",IF(AC10&lt;10,"0",""),AC10),DatabaseOutpost,6,FALSE),""),VLOOKUP(CONCATENATE(BodyName," ",IF(AC10&lt;10,"0",""),AC10),DatabaseTime,5,FALSE))</f>
        <v>419.364313161999</v>
      </c>
      <c r="M10" s="173">
        <f>IF(ListMethodCode,_xlfn.IFNA(VLOOKUP(CONCATENATE(BodyName," ",IF(AC10&lt;10,"0",""),AC10),DatabaseOutpost,7,FALSE),""),VLOOKUP(CONCATENATE(BodyName," ",IF(AC10&lt;10,"0",""),AC10),DatabaseTime,6,FALSE))</f>
        <v>743.654685314</v>
      </c>
      <c r="N10" s="54">
        <f t="shared" si="13"/>
        <v>0.0912891315950143</v>
      </c>
      <c r="O10" s="55" t="str">
        <f t="shared" si="14"/>
        <v>After midnight / Rises in 26m</v>
      </c>
      <c r="P10" s="55" t="str">
        <f t="shared" si="15"/>
        <v>292°M / -24°</v>
      </c>
      <c r="Q10" s="56">
        <f t="shared" si="16"/>
        <v>45683.7236785693</v>
      </c>
      <c r="R10" s="56">
        <f t="shared" si="17"/>
        <v>45683.7294007914</v>
      </c>
      <c r="S10" s="56">
        <f t="shared" si="18"/>
        <v>45683.7750453572</v>
      </c>
      <c r="T10" s="56">
        <f t="shared" si="19"/>
        <v>45683.820689923</v>
      </c>
      <c r="U10" s="180">
        <f t="shared" si="20"/>
        <v>45683.8264121451</v>
      </c>
      <c r="V10" s="55" t="str">
        <f t="shared" si="21"/>
        <v>Obstructed / Rises in 20m</v>
      </c>
      <c r="W10" s="55" t="str">
        <f t="shared" si="22"/>
        <v>307°M / -19°</v>
      </c>
      <c r="X10" s="56">
        <f t="shared" si="23"/>
        <v>45683.7251663498</v>
      </c>
      <c r="Y10" s="180">
        <f t="shared" si="24"/>
        <v>45683.8113572964</v>
      </c>
      <c r="Z10" s="55" t="str">
        <f t="shared" si="25"/>
        <v>348°M / -31°</v>
      </c>
      <c r="AA10" s="151">
        <f t="shared" si="26"/>
        <v>1043.9</v>
      </c>
      <c r="AB10" s="150">
        <f t="shared" si="27"/>
        <v>1097.5</v>
      </c>
      <c r="AC10" s="188">
        <v>1</v>
      </c>
      <c r="AD10" s="1" t="b">
        <f t="shared" si="28"/>
        <v>1</v>
      </c>
      <c r="AE10" s="1">
        <f t="shared" si="29"/>
        <v>48.0423650686789</v>
      </c>
      <c r="AF10" s="1">
        <f t="shared" si="30"/>
        <v>38.8462345236517</v>
      </c>
      <c r="AG10" s="1">
        <f t="shared" si="31"/>
        <v>38.8462345236517</v>
      </c>
      <c r="AH10" s="2">
        <f t="shared" si="32"/>
        <v>0.0205761175191128</v>
      </c>
      <c r="AI10" s="1">
        <f t="shared" si="33"/>
        <v>0.367549319279187</v>
      </c>
      <c r="AJ10" s="191">
        <f t="shared" ref="AJ10:AJ41" si="105">IF(ListMethodCode,_xlfn.IFNA(VLOOKUP(CONCATENATE(BodyName," ",IF(AC10&lt;10,"0",""),AC10),DatabaseOutpost,13,FALSE),""),_xlfn.IFNA(VLOOKUP(CONCATENATE(BodyName," ",IF(AC10&lt;10,"0",""),AC10),DatabaseTime,12,FALSE),""))</f>
        <v>0</v>
      </c>
      <c r="AK10" s="191">
        <f t="shared" ref="AK10:AK41" si="106">IF(ListMethodCode,_xlfn.IFNA(VLOOKUP(CONCATENATE(BodyName," ",IF(AC10&lt;10,"0",""),AC10),DatabaseOutpost,14,FALSE),""),_xlfn.IFNA(VLOOKUP(CONCATENATE(BodyName," ",IF(AC10&lt;10,"0",""),AC10),DatabaseTime,13,FALSE),""))</f>
        <v>0</v>
      </c>
      <c r="AL10" s="191">
        <f t="shared" si="34"/>
        <v>95.7206451608074</v>
      </c>
      <c r="AM10" s="20">
        <f t="shared" si="35"/>
        <v>133.153373691251</v>
      </c>
      <c r="AN10" s="191">
        <f t="shared" si="36"/>
        <v>45.9130321275594</v>
      </c>
      <c r="AO10" s="134">
        <f t="shared" si="37"/>
        <v>53</v>
      </c>
      <c r="AP10" s="64">
        <f t="shared" si="38"/>
        <v>-31</v>
      </c>
      <c r="AQ10" s="1">
        <f t="shared" si="104"/>
        <v>90.3749753425928</v>
      </c>
      <c r="AR10" s="20">
        <f t="shared" si="39"/>
        <v>118.927709602475</v>
      </c>
      <c r="AS10" s="1">
        <f t="shared" si="40"/>
        <v>41.9568936629834</v>
      </c>
      <c r="AT10" s="134">
        <f t="shared" si="41"/>
        <v>68</v>
      </c>
      <c r="AU10" s="64">
        <f t="shared" si="42"/>
        <v>-20</v>
      </c>
      <c r="AV10" s="65">
        <f t="shared" si="43"/>
        <v>45683.7251663498</v>
      </c>
      <c r="AW10" s="65">
        <f t="shared" si="44"/>
        <v>45683.8113572964</v>
      </c>
      <c r="AX10" s="1">
        <f t="shared" si="45"/>
        <v>109</v>
      </c>
      <c r="AY10" s="1">
        <f t="shared" si="46"/>
        <v>-31</v>
      </c>
      <c r="AZ10" s="131">
        <f t="shared" si="47"/>
        <v>1043.9</v>
      </c>
      <c r="BA10" s="1">
        <f t="shared" si="48"/>
        <v>1097.5</v>
      </c>
      <c r="BB10" s="1">
        <f t="shared" si="49"/>
        <v>42370022.3220188</v>
      </c>
      <c r="BC10" s="1">
        <f t="shared" si="50"/>
        <v>-24</v>
      </c>
      <c r="BD10" s="1">
        <f t="shared" si="51"/>
        <v>57481173.3220162</v>
      </c>
      <c r="BE10" s="1">
        <f t="shared" si="52"/>
        <v>-19</v>
      </c>
      <c r="BF10" s="20">
        <f t="shared" si="53"/>
        <v>18.7551070887593</v>
      </c>
      <c r="BG10" s="1">
        <f t="shared" si="54"/>
        <v>-214.969152130981</v>
      </c>
      <c r="BH10" s="1">
        <f t="shared" si="55"/>
        <v>633.09329904923</v>
      </c>
      <c r="BI10" s="1">
        <f t="shared" si="56"/>
        <v>743.654685314</v>
      </c>
      <c r="BJ10" s="1">
        <f t="shared" si="57"/>
        <v>-214.969152130981</v>
      </c>
      <c r="BK10" s="1">
        <f t="shared" si="58"/>
        <v>633.09329904923</v>
      </c>
      <c r="BL10" s="1">
        <f t="shared" si="59"/>
        <v>743.654685314</v>
      </c>
      <c r="BM10" s="61">
        <f t="shared" si="60"/>
        <v>22461870.2833325</v>
      </c>
      <c r="BN10" s="61">
        <f t="shared" si="61"/>
        <v>37186378.0581291</v>
      </c>
      <c r="BO10" s="61">
        <f t="shared" si="62"/>
        <v>743.654685314</v>
      </c>
      <c r="BQ10" s="196" t="str">
        <f t="shared" si="63"/>
        <v>N 48° 02.5' / E 038° 50.8'</v>
      </c>
      <c r="BR10" s="153" t="str">
        <f t="shared" si="64"/>
        <v>37U 498206 838163</v>
      </c>
      <c r="BS10" s="153" t="str">
        <f t="shared" si="65"/>
        <v>37U DJ 982381</v>
      </c>
      <c r="BT10" s="153" t="b">
        <f t="shared" si="66"/>
        <v>0</v>
      </c>
      <c r="BU10" s="4" t="str">
        <f t="shared" si="67"/>
        <v>37U</v>
      </c>
      <c r="BV10" s="3">
        <f t="shared" si="68"/>
        <v>37</v>
      </c>
      <c r="BW10" s="3">
        <f t="shared" si="69"/>
        <v>0</v>
      </c>
      <c r="BX10" s="3">
        <f t="shared" si="70"/>
        <v>39</v>
      </c>
      <c r="BY10" s="3">
        <f t="shared" si="71"/>
        <v>-1793.56196655185</v>
      </c>
      <c r="BZ10" s="3">
        <f t="shared" si="72"/>
        <v>498206.438</v>
      </c>
      <c r="CA10" s="4" t="str">
        <f t="shared" si="73"/>
        <v>D</v>
      </c>
      <c r="CB10" s="4" t="str">
        <f t="shared" si="74"/>
        <v>498206</v>
      </c>
      <c r="CC10" s="4" t="str">
        <f t="shared" si="75"/>
        <v>98206</v>
      </c>
      <c r="CD10" s="3">
        <f t="shared" si="76"/>
        <v>838163.84163477</v>
      </c>
      <c r="CE10" s="3">
        <f t="shared" si="77"/>
        <v>838163.8416</v>
      </c>
      <c r="CF10" s="4" t="str">
        <f t="shared" si="78"/>
        <v>J</v>
      </c>
      <c r="CG10" s="4" t="str">
        <f t="shared" si="79"/>
        <v>838163</v>
      </c>
      <c r="CH10" s="4" t="str">
        <f t="shared" si="80"/>
        <v>38163</v>
      </c>
      <c r="CJ10" s="3">
        <f t="shared" si="81"/>
        <v>438</v>
      </c>
      <c r="CK10" s="4" t="str">
        <f t="shared" si="82"/>
        <v>MN</v>
      </c>
      <c r="CL10" s="3">
        <f t="shared" si="83"/>
        <v>4</v>
      </c>
      <c r="CM10" s="3">
        <f t="shared" si="84"/>
        <v>8</v>
      </c>
      <c r="CN10" s="3">
        <f t="shared" si="85"/>
        <v>1</v>
      </c>
      <c r="CO10" s="3">
        <f t="shared" si="86"/>
        <v>0</v>
      </c>
      <c r="CP10" s="4" t="str">
        <f t="shared" si="87"/>
        <v>438MN48</v>
      </c>
      <c r="CR10" s="1" t="e">
        <f t="shared" si="88"/>
        <v>#VALUE!</v>
      </c>
      <c r="CS10" s="1" t="e">
        <f t="shared" si="89"/>
        <v>#VALUE!</v>
      </c>
      <c r="CT10" s="1">
        <f t="shared" si="90"/>
        <v>5</v>
      </c>
      <c r="CU10" s="1">
        <f t="shared" si="91"/>
        <v>3</v>
      </c>
      <c r="CV10" s="131" t="e">
        <f t="shared" si="92"/>
        <v>#VALUE!</v>
      </c>
      <c r="CW10" s="131">
        <v>1254.3</v>
      </c>
      <c r="CX10" s="131">
        <v>1365.7</v>
      </c>
      <c r="CY10" s="131">
        <v>2068.8</v>
      </c>
      <c r="CZ10" s="131">
        <v>2138.2</v>
      </c>
      <c r="DA10" s="131">
        <v>2283.3</v>
      </c>
      <c r="DB10" s="4"/>
      <c r="DC10" s="199">
        <f t="shared" si="93"/>
        <v>-520.722992113</v>
      </c>
      <c r="DD10" s="199">
        <f t="shared" si="94"/>
        <v>743.654685314</v>
      </c>
      <c r="DE10" s="199">
        <f t="shared" si="95"/>
        <v>419.364313161999</v>
      </c>
      <c r="DF10" s="3">
        <f t="shared" si="96"/>
        <v>24.7939158406446</v>
      </c>
      <c r="DG10" s="3">
        <f t="shared" si="97"/>
        <v>125.000536404029</v>
      </c>
      <c r="DH10" s="200">
        <f t="shared" si="98"/>
        <v>292</v>
      </c>
      <c r="DI10" s="200">
        <f t="shared" si="99"/>
        <v>307</v>
      </c>
      <c r="DJ10" s="200">
        <f t="shared" si="100"/>
        <v>348</v>
      </c>
      <c r="DK10" s="200">
        <f t="shared" si="101"/>
        <v>292</v>
      </c>
      <c r="DL10" s="200">
        <f t="shared" si="102"/>
        <v>307</v>
      </c>
      <c r="DM10" s="200">
        <f t="shared" si="103"/>
        <v>348</v>
      </c>
    </row>
    <row r="11" customHeight="1" spans="1:117">
      <c r="A11" s="152" t="str">
        <f t="shared" ref="A11:A42" si="107">IF(ListMethodCode,_xlfn.IFNA(VLOOKUP(CONCATENATE(BodyName," ",IF(AC11&lt;10,"0",""),AC11),DatabaseOutpost,3,FALSE),""),_xlfn.IFNA(VLOOKUP(CONCATENATE(BodyName," ",IF(AC11&lt;10,"0",""),AC11),DatabaseTime,2,FALSE),""))</f>
        <v>New Babbage Interstellar Spaceport</v>
      </c>
      <c r="C11" s="55" t="str">
        <f t="shared" si="5"/>
        <v>N 47° 20.8' / E 039° 54.2'</v>
      </c>
      <c r="D11" s="150" t="str">
        <f t="shared" si="6"/>
        <v>1037 m</v>
      </c>
      <c r="E11" s="151">
        <f t="shared" si="7"/>
        <v>977.1</v>
      </c>
      <c r="F11" s="151">
        <f t="shared" si="8"/>
        <v>2279.1</v>
      </c>
      <c r="G11" s="151">
        <f t="shared" si="9"/>
        <v>1349.7</v>
      </c>
      <c r="H11" s="151">
        <f t="shared" si="10"/>
        <v>2080.2</v>
      </c>
      <c r="I11" s="151">
        <f t="shared" si="11"/>
        <v>1255.5</v>
      </c>
      <c r="J11" s="171">
        <f t="shared" si="12"/>
        <v>2138.4</v>
      </c>
      <c r="K11" s="172">
        <f t="shared" ref="K11:K42" si="108">IF(ListMethodCode,_xlfn.IFNA(VLOOKUP(CONCATENATE(BodyName," ",IF(AC11&lt;10,"0",""),AC11),DatabaseOutpost,5,FALSE),""),_xlfn.IFNA(VLOOKUP(CONCATENATE(BodyName," ",IF(AC11&lt;10,"0",""),AC11),DatabaseTime,4,FALSE),""))</f>
        <v>520.320401830282</v>
      </c>
      <c r="L11" s="172">
        <f t="shared" ref="L11:L42" si="109">IF(ListMethodCode,_xlfn.IFNA(VLOOKUP(CONCATENATE(BodyName," ",IF(AC11&lt;10,"0",""),AC11),DatabaseOutpost,6,FALSE),""),_xlfn.IFNA(VLOOKUP(CONCATENATE(BodyName," ",IF(AC11&lt;10,"0",""),AC11),DatabaseTime,5,FALSE),""))</f>
        <v>435.102213305407</v>
      </c>
      <c r="M11" s="173">
        <f t="shared" ref="M11:M42" si="110">IF(ListMethodCode,_xlfn.IFNA(VLOOKUP(CONCATENATE(BodyName," ",IF(AC11&lt;10,"0",""),AC11),DatabaseOutpost,7,FALSE),""),_xlfn.IFNA(VLOOKUP(CONCATENATE(BodyName," ",IF(AC11&lt;10,"0",""),AC11),DatabaseTime,6,FALSE),""))</f>
        <v>736.226011636578</v>
      </c>
      <c r="N11" s="54">
        <f t="shared" si="13"/>
        <v>0.0933249586867707</v>
      </c>
      <c r="O11" s="55" t="str">
        <f t="shared" si="14"/>
        <v>After midnight / Rises in 24m</v>
      </c>
      <c r="P11" s="55" t="str">
        <f t="shared" si="15"/>
        <v>292°M / -24°</v>
      </c>
      <c r="Q11" s="56">
        <f t="shared" si="16"/>
        <v>45683.7221567186</v>
      </c>
      <c r="R11" s="56">
        <f t="shared" si="17"/>
        <v>45683.7278789407</v>
      </c>
      <c r="S11" s="56">
        <f t="shared" si="18"/>
        <v>45683.7745414201</v>
      </c>
      <c r="T11" s="56">
        <f t="shared" si="19"/>
        <v>45683.8212038994</v>
      </c>
      <c r="U11" s="180">
        <f t="shared" si="20"/>
        <v>45683.8269261215</v>
      </c>
      <c r="V11" s="55" t="str">
        <f t="shared" si="21"/>
        <v>Obstructed / Rises in 17m</v>
      </c>
      <c r="W11" s="55" t="str">
        <f t="shared" si="22"/>
        <v>307°M / -18°</v>
      </c>
      <c r="X11" s="56">
        <f t="shared" si="23"/>
        <v>45683.7235936827</v>
      </c>
      <c r="Y11" s="180">
        <f t="shared" si="24"/>
        <v>45683.8119220893</v>
      </c>
      <c r="Z11" s="55" t="str">
        <f t="shared" si="25"/>
        <v>348°M / -31°</v>
      </c>
      <c r="AA11" s="151">
        <f t="shared" si="26"/>
        <v>1031</v>
      </c>
      <c r="AB11" s="150">
        <f t="shared" si="27"/>
        <v>1081.8</v>
      </c>
      <c r="AC11" s="188">
        <v>2</v>
      </c>
      <c r="AD11" s="1" t="b">
        <f t="shared" si="28"/>
        <v>1</v>
      </c>
      <c r="AE11" s="1">
        <f t="shared" si="29"/>
        <v>47.3463533217005</v>
      </c>
      <c r="AF11" s="1">
        <f t="shared" si="30"/>
        <v>39.9030347569374</v>
      </c>
      <c r="AG11" s="1">
        <f t="shared" si="31"/>
        <v>39.9030347569374</v>
      </c>
      <c r="AH11" s="2">
        <f t="shared" si="32"/>
        <v>1.03746023532642</v>
      </c>
      <c r="AI11" s="1">
        <f t="shared" si="33"/>
        <v>2.60876951228938</v>
      </c>
      <c r="AJ11" s="191">
        <f t="shared" si="105"/>
        <v>0</v>
      </c>
      <c r="AK11" s="191">
        <f t="shared" si="106"/>
        <v>0</v>
      </c>
      <c r="AL11" s="191">
        <f t="shared" si="34"/>
        <v>97.855298862228</v>
      </c>
      <c r="AM11" s="20">
        <f t="shared" si="35"/>
        <v>132.096573457965</v>
      </c>
      <c r="AN11" s="191">
        <f t="shared" si="36"/>
        <v>46.6090547991699</v>
      </c>
      <c r="AO11" s="134">
        <f t="shared" si="37"/>
        <v>54</v>
      </c>
      <c r="AP11" s="64">
        <f t="shared" si="38"/>
        <v>-31</v>
      </c>
      <c r="AQ11" s="1">
        <f t="shared" si="104"/>
        <v>92.616195535603</v>
      </c>
      <c r="AR11" s="20">
        <f t="shared" si="39"/>
        <v>117.87090936919</v>
      </c>
      <c r="AS11" s="1">
        <f t="shared" si="40"/>
        <v>42.6529128142022</v>
      </c>
      <c r="AT11" s="134">
        <f t="shared" si="41"/>
        <v>69</v>
      </c>
      <c r="AU11" s="64">
        <f t="shared" si="42"/>
        <v>-20</v>
      </c>
      <c r="AV11" s="65">
        <f t="shared" si="43"/>
        <v>45683.7235936827</v>
      </c>
      <c r="AW11" s="65">
        <f t="shared" si="44"/>
        <v>45683.8119220893</v>
      </c>
      <c r="AX11" s="1">
        <f t="shared" si="45"/>
        <v>109</v>
      </c>
      <c r="AY11" s="1">
        <f t="shared" si="46"/>
        <v>-31</v>
      </c>
      <c r="AZ11" s="131">
        <f t="shared" si="47"/>
        <v>1031</v>
      </c>
      <c r="BA11" s="1">
        <f t="shared" si="48"/>
        <v>1081.8</v>
      </c>
      <c r="BB11" s="1">
        <f t="shared" si="49"/>
        <v>42370020.2517124</v>
      </c>
      <c r="BC11" s="1">
        <f t="shared" si="50"/>
        <v>-24</v>
      </c>
      <c r="BD11" s="1">
        <f t="shared" si="51"/>
        <v>57481166.9963455</v>
      </c>
      <c r="BE11" s="1">
        <f t="shared" si="52"/>
        <v>-18</v>
      </c>
      <c r="BF11" s="20">
        <f t="shared" si="53"/>
        <v>19.8119073220449</v>
      </c>
      <c r="BG11" s="1">
        <f t="shared" si="54"/>
        <v>-229.887656557225</v>
      </c>
      <c r="BH11" s="1">
        <f t="shared" si="55"/>
        <v>638.121400633702</v>
      </c>
      <c r="BI11" s="1">
        <f t="shared" si="56"/>
        <v>736.226011636578</v>
      </c>
      <c r="BJ11" s="1">
        <f t="shared" si="57"/>
        <v>-229.887656557225</v>
      </c>
      <c r="BK11" s="1">
        <f t="shared" si="58"/>
        <v>638.121400633702</v>
      </c>
      <c r="BL11" s="1">
        <f t="shared" si="59"/>
        <v>736.226011636578</v>
      </c>
      <c r="BM11" s="61">
        <f t="shared" si="60"/>
        <v>22461855.364828</v>
      </c>
      <c r="BN11" s="61">
        <f t="shared" si="61"/>
        <v>37186383.0862307</v>
      </c>
      <c r="BO11" s="61">
        <f t="shared" si="62"/>
        <v>736.226011636578</v>
      </c>
      <c r="BQ11" s="1" t="str">
        <f t="shared" si="63"/>
        <v>N 47° 20.8' / E 039° 54.2'</v>
      </c>
      <c r="BR11" s="1" t="str">
        <f t="shared" si="64"/>
        <v>37T 510674 826081</v>
      </c>
      <c r="BS11" s="1" t="str">
        <f t="shared" si="65"/>
        <v>37T EJ 106260</v>
      </c>
      <c r="BT11" s="1" t="b">
        <f t="shared" si="66"/>
        <v>0</v>
      </c>
      <c r="BU11" s="1" t="str">
        <f t="shared" si="67"/>
        <v>37T</v>
      </c>
      <c r="BV11" s="1">
        <f t="shared" si="68"/>
        <v>37</v>
      </c>
      <c r="BW11" s="1">
        <f t="shared" si="69"/>
        <v>0</v>
      </c>
      <c r="BX11" s="1">
        <f t="shared" si="70"/>
        <v>39</v>
      </c>
      <c r="BY11" s="1">
        <f t="shared" si="71"/>
        <v>10674.7448313505</v>
      </c>
      <c r="BZ11" s="1">
        <f t="shared" si="72"/>
        <v>510674.7448</v>
      </c>
      <c r="CA11" s="1" t="str">
        <f t="shared" si="73"/>
        <v>E</v>
      </c>
      <c r="CB11" s="1" t="str">
        <f t="shared" si="74"/>
        <v>510674</v>
      </c>
      <c r="CC11" s="1" t="str">
        <f t="shared" si="75"/>
        <v>10674</v>
      </c>
      <c r="CD11" s="1">
        <f t="shared" si="76"/>
        <v>826081.085414129</v>
      </c>
      <c r="CE11" s="1">
        <f t="shared" si="77"/>
        <v>826081.0854</v>
      </c>
      <c r="CF11" s="1" t="str">
        <f t="shared" si="78"/>
        <v>J</v>
      </c>
      <c r="CG11" s="1" t="str">
        <f t="shared" si="79"/>
        <v>826081</v>
      </c>
      <c r="CH11" s="1" t="str">
        <f t="shared" si="80"/>
        <v>26081</v>
      </c>
      <c r="CJ11" s="1">
        <f t="shared" si="81"/>
        <v>440</v>
      </c>
      <c r="CK11" s="1" t="str">
        <f t="shared" si="82"/>
        <v>ML</v>
      </c>
      <c r="CL11" s="1">
        <f t="shared" si="83"/>
        <v>2</v>
      </c>
      <c r="CM11" s="1">
        <f t="shared" si="84"/>
        <v>5</v>
      </c>
      <c r="CN11" s="1">
        <f t="shared" si="85"/>
        <v>1</v>
      </c>
      <c r="CO11" s="1">
        <f t="shared" si="86"/>
        <v>1</v>
      </c>
      <c r="CP11" s="1" t="str">
        <f t="shared" si="87"/>
        <v>440ML25</v>
      </c>
      <c r="CR11" s="1" t="e">
        <f t="shared" si="88"/>
        <v>#VALUE!</v>
      </c>
      <c r="CS11" s="1" t="e">
        <f t="shared" si="89"/>
        <v>#VALUE!</v>
      </c>
      <c r="CT11" s="1">
        <f t="shared" si="90"/>
        <v>5</v>
      </c>
      <c r="CU11" s="1">
        <f t="shared" si="91"/>
        <v>3</v>
      </c>
      <c r="CV11" s="131" t="e">
        <f t="shared" si="92"/>
        <v>#VALUE!</v>
      </c>
      <c r="CW11" s="131">
        <v>1255.5</v>
      </c>
      <c r="CX11" s="131">
        <v>1349.7</v>
      </c>
      <c r="CY11" s="131">
        <v>2080.2</v>
      </c>
      <c r="CZ11" s="131">
        <v>2138.4</v>
      </c>
      <c r="DA11" s="131">
        <v>2279.1</v>
      </c>
      <c r="DC11" s="154">
        <f t="shared" si="93"/>
        <v>-520.320401830282</v>
      </c>
      <c r="DD11" s="154">
        <f t="shared" si="94"/>
        <v>736.226011636578</v>
      </c>
      <c r="DE11" s="154">
        <f t="shared" si="95"/>
        <v>435.102213305407</v>
      </c>
      <c r="DF11" s="1">
        <f t="shared" si="96"/>
        <v>25.7631063540834</v>
      </c>
      <c r="DG11" s="1">
        <f t="shared" si="97"/>
        <v>125.250378826942</v>
      </c>
      <c r="DH11" s="1">
        <f t="shared" si="98"/>
        <v>292</v>
      </c>
      <c r="DI11" s="1">
        <f t="shared" si="99"/>
        <v>307</v>
      </c>
      <c r="DJ11" s="1">
        <f t="shared" si="100"/>
        <v>348</v>
      </c>
      <c r="DK11" s="1">
        <f t="shared" si="101"/>
        <v>292</v>
      </c>
      <c r="DL11" s="1">
        <f t="shared" si="102"/>
        <v>307</v>
      </c>
      <c r="DM11" s="1">
        <f t="shared" si="103"/>
        <v>348</v>
      </c>
    </row>
    <row r="12" customHeight="1" spans="1:117">
      <c r="A12" s="152" t="str">
        <f t="shared" si="107"/>
        <v>Port Tressler</v>
      </c>
      <c r="C12" s="55" t="str">
        <f t="shared" si="5"/>
        <v>N 45° 55.6' / E 044° 11.5'</v>
      </c>
      <c r="D12" s="150" t="str">
        <f t="shared" si="6"/>
        <v>125.8 km</v>
      </c>
      <c r="E12" s="151">
        <f t="shared" si="7"/>
        <v>1005.5</v>
      </c>
      <c r="F12" s="151">
        <f t="shared" si="8"/>
        <v>2380.9</v>
      </c>
      <c r="G12" s="151">
        <f t="shared" si="9"/>
        <v>1329.7</v>
      </c>
      <c r="H12" s="151">
        <f t="shared" si="10"/>
        <v>2216.2</v>
      </c>
      <c r="I12" s="151">
        <f t="shared" si="11"/>
        <v>1312.7</v>
      </c>
      <c r="J12" s="171">
        <f t="shared" si="12"/>
        <v>2226.3</v>
      </c>
      <c r="K12" s="172">
        <f t="shared" si="108"/>
        <v>561.471046150999</v>
      </c>
      <c r="L12" s="172">
        <f t="shared" si="109"/>
        <v>545.853017028999</v>
      </c>
      <c r="M12" s="173">
        <f t="shared" si="110"/>
        <v>808.831762530999</v>
      </c>
      <c r="N12" s="54">
        <f t="shared" si="13"/>
        <v>0.116716291301836</v>
      </c>
      <c r="O12" s="55" t="str">
        <f t="shared" si="14"/>
        <v>Morning Twilight / Rises in 4m</v>
      </c>
      <c r="P12" s="55" t="str">
        <f t="shared" si="15"/>
        <v>293°M / -22°</v>
      </c>
      <c r="Q12" s="56">
        <f t="shared" si="16"/>
        <v>45683.880082544</v>
      </c>
      <c r="R12" s="56">
        <f t="shared" si="17"/>
        <v>45683.7141381036</v>
      </c>
      <c r="S12" s="56">
        <f t="shared" si="18"/>
        <v>45683.7724962492</v>
      </c>
      <c r="T12" s="56">
        <f t="shared" si="19"/>
        <v>45683.8308543949</v>
      </c>
      <c r="U12" s="180">
        <f t="shared" si="20"/>
        <v>45683.836576617</v>
      </c>
      <c r="V12" s="55" t="str">
        <f t="shared" si="21"/>
        <v>Sets in 159m</v>
      </c>
      <c r="W12" s="55" t="str">
        <f t="shared" si="22"/>
        <v>308°M / -16°</v>
      </c>
      <c r="X12" s="56">
        <f t="shared" si="23"/>
        <v>45683.8814199284</v>
      </c>
      <c r="Y12" s="180">
        <f t="shared" si="24"/>
        <v>45683.8216721644</v>
      </c>
      <c r="Z12" s="55" t="str">
        <f t="shared" si="25"/>
        <v>347°M / -35°</v>
      </c>
      <c r="AA12" s="151">
        <f t="shared" si="26"/>
        <v>1048.7</v>
      </c>
      <c r="AB12" s="150">
        <f t="shared" si="27"/>
        <v>1025</v>
      </c>
      <c r="AC12" s="188">
        <v>3</v>
      </c>
      <c r="AD12" s="1" t="b">
        <f t="shared" si="28"/>
        <v>1</v>
      </c>
      <c r="AE12" s="1">
        <f t="shared" si="29"/>
        <v>45.9269825365524</v>
      </c>
      <c r="AF12" s="1">
        <f t="shared" si="30"/>
        <v>44.1919368031871</v>
      </c>
      <c r="AG12" s="1">
        <f t="shared" si="31"/>
        <v>44.1919368031871</v>
      </c>
      <c r="AH12" s="2">
        <f t="shared" si="32"/>
        <v>125.794862283782</v>
      </c>
      <c r="AI12" s="1">
        <f t="shared" si="33"/>
        <v>27.3444316017125</v>
      </c>
      <c r="AJ12" s="191">
        <f t="shared" si="105"/>
        <v>0</v>
      </c>
      <c r="AK12" s="191">
        <f t="shared" si="106"/>
        <v>0</v>
      </c>
      <c r="AL12" s="191">
        <f t="shared" si="34"/>
        <v>122.38213365586</v>
      </c>
      <c r="AM12" s="20">
        <f t="shared" si="35"/>
        <v>127.807671411715</v>
      </c>
      <c r="AN12" s="191">
        <f t="shared" si="36"/>
        <v>48.0283374094051</v>
      </c>
      <c r="AO12" s="134">
        <f t="shared" si="37"/>
        <v>58</v>
      </c>
      <c r="AP12" s="64">
        <f t="shared" si="38"/>
        <v>-29</v>
      </c>
      <c r="AQ12" s="1">
        <f t="shared" si="104"/>
        <v>117.351857625026</v>
      </c>
      <c r="AR12" s="20">
        <f t="shared" si="39"/>
        <v>113.58200732294</v>
      </c>
      <c r="AS12" s="1">
        <f t="shared" si="40"/>
        <v>44.0722112249606</v>
      </c>
      <c r="AT12" s="134">
        <f t="shared" si="41"/>
        <v>73</v>
      </c>
      <c r="AU12" s="64">
        <f t="shared" si="42"/>
        <v>-18</v>
      </c>
      <c r="AV12" s="65">
        <f t="shared" si="43"/>
        <v>45683.8814199284</v>
      </c>
      <c r="AW12" s="65">
        <f t="shared" si="44"/>
        <v>45683.8216721644</v>
      </c>
      <c r="AX12" s="1">
        <f t="shared" si="45"/>
        <v>112</v>
      </c>
      <c r="AY12" s="1">
        <f t="shared" si="46"/>
        <v>-35</v>
      </c>
      <c r="AZ12" s="131">
        <f t="shared" si="47"/>
        <v>1048.7</v>
      </c>
      <c r="BA12" s="1">
        <f t="shared" si="48"/>
        <v>1025</v>
      </c>
      <c r="BB12" s="1">
        <f t="shared" si="49"/>
        <v>42370040.5205902</v>
      </c>
      <c r="BC12" s="1">
        <f t="shared" si="50"/>
        <v>-22</v>
      </c>
      <c r="BD12" s="1">
        <f t="shared" si="51"/>
        <v>57481163.1989726</v>
      </c>
      <c r="BE12" s="1">
        <f t="shared" si="52"/>
        <v>-16</v>
      </c>
      <c r="BF12" s="20">
        <f t="shared" si="53"/>
        <v>24.1008093682947</v>
      </c>
      <c r="BG12" s="1">
        <f t="shared" si="54"/>
        <v>-319.763158989045</v>
      </c>
      <c r="BH12" s="1">
        <f t="shared" si="55"/>
        <v>714.812404774081</v>
      </c>
      <c r="BI12" s="1">
        <f t="shared" si="56"/>
        <v>808.831762530999</v>
      </c>
      <c r="BJ12" s="1">
        <f t="shared" si="57"/>
        <v>-319.763158989045</v>
      </c>
      <c r="BK12" s="1">
        <f t="shared" si="58"/>
        <v>714.812404774081</v>
      </c>
      <c r="BL12" s="1">
        <f t="shared" si="59"/>
        <v>808.831762530999</v>
      </c>
      <c r="BM12" s="61">
        <f t="shared" si="60"/>
        <v>22461765.4893256</v>
      </c>
      <c r="BN12" s="61">
        <f t="shared" si="61"/>
        <v>37186459.7772349</v>
      </c>
      <c r="BO12" s="61">
        <f t="shared" si="62"/>
        <v>808.831762530999</v>
      </c>
      <c r="BQ12" s="1" t="str">
        <f t="shared" si="63"/>
        <v>N 45° 55.6' / E 044° 11.5'</v>
      </c>
      <c r="BR12" s="1" t="str">
        <f t="shared" si="64"/>
        <v>38T 490193 801306</v>
      </c>
      <c r="BS12" s="1" t="str">
        <f t="shared" si="65"/>
        <v>38T MP 901013</v>
      </c>
      <c r="BT12" s="1" t="b">
        <f t="shared" si="66"/>
        <v>0</v>
      </c>
      <c r="BU12" s="1" t="str">
        <f t="shared" si="67"/>
        <v>38T</v>
      </c>
      <c r="BV12" s="1">
        <f t="shared" si="68"/>
        <v>38</v>
      </c>
      <c r="BW12" s="1">
        <f t="shared" si="69"/>
        <v>0</v>
      </c>
      <c r="BX12" s="1">
        <f t="shared" si="70"/>
        <v>45</v>
      </c>
      <c r="BY12" s="1">
        <f t="shared" si="71"/>
        <v>-9806.00581935806</v>
      </c>
      <c r="BZ12" s="1">
        <f t="shared" si="72"/>
        <v>490193.9942</v>
      </c>
      <c r="CA12" s="1" t="str">
        <f t="shared" si="73"/>
        <v>M</v>
      </c>
      <c r="CB12" s="1" t="str">
        <f t="shared" si="74"/>
        <v>490193</v>
      </c>
      <c r="CC12" s="1" t="str">
        <f t="shared" si="75"/>
        <v>90193</v>
      </c>
      <c r="CD12" s="1">
        <f t="shared" si="76"/>
        <v>801306.11181578</v>
      </c>
      <c r="CE12" s="1">
        <f t="shared" si="77"/>
        <v>801306.1118</v>
      </c>
      <c r="CF12" s="1" t="str">
        <f t="shared" si="78"/>
        <v>P</v>
      </c>
      <c r="CG12" s="1" t="str">
        <f t="shared" si="79"/>
        <v>801306</v>
      </c>
      <c r="CH12" s="1" t="str">
        <f t="shared" si="80"/>
        <v>01306</v>
      </c>
      <c r="CJ12" s="1">
        <f t="shared" si="81"/>
        <v>449</v>
      </c>
      <c r="CK12" s="1" t="str">
        <f t="shared" si="82"/>
        <v>MH</v>
      </c>
      <c r="CL12" s="1">
        <f t="shared" si="83"/>
        <v>1</v>
      </c>
      <c r="CM12" s="1">
        <f t="shared" si="84"/>
        <v>3</v>
      </c>
      <c r="CN12" s="1">
        <f t="shared" si="85"/>
        <v>2</v>
      </c>
      <c r="CO12" s="1">
        <f t="shared" si="86"/>
        <v>2</v>
      </c>
      <c r="CP12" s="1" t="str">
        <f t="shared" si="87"/>
        <v>449MH13</v>
      </c>
      <c r="CR12" s="1" t="e">
        <f t="shared" si="88"/>
        <v>#VALUE!</v>
      </c>
      <c r="CS12" s="1" t="e">
        <f t="shared" si="89"/>
        <v>#VALUE!</v>
      </c>
      <c r="CT12" s="1">
        <f t="shared" si="90"/>
        <v>5</v>
      </c>
      <c r="CU12" s="1">
        <f t="shared" si="91"/>
        <v>3</v>
      </c>
      <c r="CV12" s="131" t="e">
        <f t="shared" si="92"/>
        <v>#VALUE!</v>
      </c>
      <c r="CW12" s="131">
        <v>1312.7</v>
      </c>
      <c r="CX12" s="131">
        <v>1329.7</v>
      </c>
      <c r="CY12" s="131">
        <v>2216.2</v>
      </c>
      <c r="CZ12" s="131">
        <v>2226.3</v>
      </c>
      <c r="DA12" s="131">
        <v>2380.9</v>
      </c>
      <c r="DC12" s="154">
        <f t="shared" si="93"/>
        <v>-561.471046150999</v>
      </c>
      <c r="DD12" s="154">
        <f t="shared" si="94"/>
        <v>808.831762530999</v>
      </c>
      <c r="DE12" s="154">
        <f t="shared" si="95"/>
        <v>545.853017028999</v>
      </c>
      <c r="DF12" s="1">
        <f t="shared" si="96"/>
        <v>29.003307387137</v>
      </c>
      <c r="DG12" s="1">
        <f t="shared" si="97"/>
        <v>124.767427110442</v>
      </c>
      <c r="DH12" s="1">
        <f t="shared" si="98"/>
        <v>293</v>
      </c>
      <c r="DI12" s="1">
        <f t="shared" si="99"/>
        <v>308</v>
      </c>
      <c r="DJ12" s="1">
        <f t="shared" si="100"/>
        <v>347</v>
      </c>
      <c r="DK12" s="1">
        <f t="shared" si="101"/>
        <v>293</v>
      </c>
      <c r="DL12" s="1">
        <f t="shared" si="102"/>
        <v>308</v>
      </c>
      <c r="DM12" s="1">
        <f t="shared" si="103"/>
        <v>347</v>
      </c>
    </row>
    <row r="13" customHeight="1" spans="1:117">
      <c r="A13" s="152" t="str">
        <f t="shared" si="107"/>
        <v/>
      </c>
      <c r="C13" s="55" t="str">
        <f t="shared" si="5"/>
        <v/>
      </c>
      <c r="D13" s="150" t="str">
        <f t="shared" si="6"/>
        <v/>
      </c>
      <c r="E13" s="151" t="str">
        <f t="shared" si="7"/>
        <v/>
      </c>
      <c r="F13" s="151" t="str">
        <f t="shared" si="8"/>
        <v/>
      </c>
      <c r="G13" s="151" t="str">
        <f t="shared" si="9"/>
        <v/>
      </c>
      <c r="H13" s="151" t="str">
        <f t="shared" si="10"/>
        <v/>
      </c>
      <c r="I13" s="151" t="str">
        <f t="shared" si="11"/>
        <v/>
      </c>
      <c r="J13" s="171" t="str">
        <f t="shared" si="12"/>
        <v/>
      </c>
      <c r="K13" s="172" t="str">
        <f t="shared" si="108"/>
        <v/>
      </c>
      <c r="L13" s="172" t="str">
        <f t="shared" si="109"/>
        <v/>
      </c>
      <c r="M13" s="173" t="str">
        <f t="shared" si="110"/>
        <v/>
      </c>
      <c r="N13" s="54" t="str">
        <f t="shared" si="13"/>
        <v/>
      </c>
      <c r="O13" s="55" t="str">
        <f t="shared" si="14"/>
        <v/>
      </c>
      <c r="P13" s="55" t="str">
        <f t="shared" si="15"/>
        <v/>
      </c>
      <c r="Q13" s="56" t="str">
        <f t="shared" si="16"/>
        <v/>
      </c>
      <c r="R13" s="56" t="str">
        <f t="shared" si="17"/>
        <v/>
      </c>
      <c r="S13" s="56" t="str">
        <f t="shared" si="18"/>
        <v/>
      </c>
      <c r="T13" s="56" t="str">
        <f t="shared" si="19"/>
        <v/>
      </c>
      <c r="U13" s="180" t="str">
        <f t="shared" si="20"/>
        <v/>
      </c>
      <c r="V13" s="55" t="str">
        <f t="shared" si="21"/>
        <v/>
      </c>
      <c r="W13" s="55" t="str">
        <f t="shared" si="22"/>
        <v/>
      </c>
      <c r="X13" s="56" t="str">
        <f t="shared" si="23"/>
        <v/>
      </c>
      <c r="Y13" s="180" t="str">
        <f t="shared" si="24"/>
        <v/>
      </c>
      <c r="Z13" s="55" t="str">
        <f t="shared" si="25"/>
        <v/>
      </c>
      <c r="AA13" s="55" t="str">
        <f t="shared" si="26"/>
        <v/>
      </c>
      <c r="AB13" s="150" t="str">
        <f t="shared" si="27"/>
        <v/>
      </c>
      <c r="AC13" s="188">
        <v>4</v>
      </c>
      <c r="AD13" s="1" t="b">
        <f t="shared" si="28"/>
        <v>0</v>
      </c>
      <c r="AE13" s="1" t="str">
        <f t="shared" si="29"/>
        <v/>
      </c>
      <c r="AF13" s="1" t="str">
        <f t="shared" si="30"/>
        <v/>
      </c>
      <c r="AG13" s="1" t="str">
        <f t="shared" si="31"/>
        <v/>
      </c>
      <c r="AH13" s="1" t="str">
        <f t="shared" si="32"/>
        <v/>
      </c>
      <c r="AI13" s="1" t="str">
        <f t="shared" si="33"/>
        <v/>
      </c>
      <c r="AJ13" s="191" t="str">
        <f t="shared" si="105"/>
        <v/>
      </c>
      <c r="AK13" s="191" t="str">
        <f t="shared" si="106"/>
        <v/>
      </c>
      <c r="AL13" s="191" t="str">
        <f t="shared" si="34"/>
        <v/>
      </c>
      <c r="AM13" s="1" t="str">
        <f t="shared" si="35"/>
        <v/>
      </c>
      <c r="AN13" s="191" t="str">
        <f t="shared" si="36"/>
        <v/>
      </c>
      <c r="AO13" s="134" t="str">
        <f t="shared" si="37"/>
        <v/>
      </c>
      <c r="AP13" s="64" t="str">
        <f t="shared" si="38"/>
        <v/>
      </c>
      <c r="AQ13" s="1" t="str">
        <f t="shared" si="104"/>
        <v/>
      </c>
      <c r="AR13" s="1" t="str">
        <f t="shared" si="39"/>
        <v/>
      </c>
      <c r="AS13" s="1" t="str">
        <f t="shared" si="40"/>
        <v/>
      </c>
      <c r="AT13" s="134" t="str">
        <f t="shared" si="41"/>
        <v/>
      </c>
      <c r="AU13" s="64" t="str">
        <f t="shared" si="42"/>
        <v/>
      </c>
      <c r="AV13" s="65" t="str">
        <f t="shared" si="43"/>
        <v/>
      </c>
      <c r="AW13" s="65" t="str">
        <f t="shared" si="44"/>
        <v/>
      </c>
      <c r="AX13" s="1" t="str">
        <f t="shared" si="45"/>
        <v/>
      </c>
      <c r="AY13" s="1" t="str">
        <f t="shared" si="46"/>
        <v/>
      </c>
      <c r="AZ13" s="131" t="str">
        <f t="shared" si="47"/>
        <v/>
      </c>
      <c r="BA13" s="1" t="str">
        <f t="shared" si="48"/>
        <v/>
      </c>
      <c r="BB13" s="1" t="str">
        <f t="shared" si="49"/>
        <v/>
      </c>
      <c r="BC13" s="1" t="str">
        <f t="shared" si="50"/>
        <v/>
      </c>
      <c r="BD13" s="1" t="str">
        <f t="shared" si="51"/>
        <v/>
      </c>
      <c r="BE13" s="1" t="str">
        <f t="shared" si="52"/>
        <v/>
      </c>
      <c r="BF13" s="1" t="str">
        <f t="shared" si="53"/>
        <v/>
      </c>
      <c r="BG13" s="1" t="str">
        <f t="shared" si="54"/>
        <v/>
      </c>
      <c r="BH13" s="1" t="str">
        <f t="shared" si="55"/>
        <v/>
      </c>
      <c r="BI13" s="1" t="str">
        <f t="shared" si="56"/>
        <v/>
      </c>
      <c r="BJ13" s="1" t="str">
        <f t="shared" si="57"/>
        <v/>
      </c>
      <c r="BK13" s="1" t="str">
        <f t="shared" si="58"/>
        <v/>
      </c>
      <c r="BL13" s="1" t="str">
        <f t="shared" si="59"/>
        <v/>
      </c>
      <c r="BM13" s="1" t="str">
        <f t="shared" si="60"/>
        <v/>
      </c>
      <c r="BN13" s="1" t="str">
        <f t="shared" si="61"/>
        <v/>
      </c>
      <c r="BO13" s="1" t="str">
        <f t="shared" si="62"/>
        <v/>
      </c>
      <c r="BQ13" s="1" t="str">
        <f t="shared" si="63"/>
        <v/>
      </c>
      <c r="BR13" s="1" t="str">
        <f t="shared" si="64"/>
        <v/>
      </c>
      <c r="BS13" s="1" t="str">
        <f t="shared" si="65"/>
        <v/>
      </c>
      <c r="BT13" s="1" t="str">
        <f t="shared" si="66"/>
        <v/>
      </c>
      <c r="BU13" s="1" t="str">
        <f t="shared" si="67"/>
        <v/>
      </c>
      <c r="BV13" s="1" t="str">
        <f t="shared" si="68"/>
        <v/>
      </c>
      <c r="BW13" s="1" t="str">
        <f t="shared" si="69"/>
        <v/>
      </c>
      <c r="BX13" s="1" t="str">
        <f t="shared" si="70"/>
        <v/>
      </c>
      <c r="BY13" s="1" t="str">
        <f t="shared" si="71"/>
        <v/>
      </c>
      <c r="BZ13" s="1" t="str">
        <f t="shared" si="72"/>
        <v/>
      </c>
      <c r="CA13" s="1" t="str">
        <f t="shared" si="73"/>
        <v/>
      </c>
      <c r="CB13" s="1" t="str">
        <f t="shared" si="74"/>
        <v/>
      </c>
      <c r="CC13" s="1" t="str">
        <f t="shared" si="75"/>
        <v/>
      </c>
      <c r="CD13" s="1" t="str">
        <f t="shared" si="76"/>
        <v/>
      </c>
      <c r="CE13" s="1" t="str">
        <f t="shared" si="77"/>
        <v/>
      </c>
      <c r="CF13" s="1" t="str">
        <f t="shared" si="78"/>
        <v/>
      </c>
      <c r="CG13" s="1" t="str">
        <f t="shared" si="79"/>
        <v/>
      </c>
      <c r="CH13" s="1" t="str">
        <f t="shared" si="80"/>
        <v/>
      </c>
      <c r="CJ13" s="1" t="str">
        <f t="shared" si="81"/>
        <v/>
      </c>
      <c r="CK13" s="1" t="str">
        <f t="shared" si="82"/>
        <v/>
      </c>
      <c r="CL13" s="1" t="str">
        <f t="shared" si="83"/>
        <v/>
      </c>
      <c r="CM13" s="1" t="str">
        <f t="shared" si="84"/>
        <v/>
      </c>
      <c r="CN13" s="1" t="str">
        <f t="shared" si="85"/>
        <v/>
      </c>
      <c r="CO13" s="1" t="str">
        <f t="shared" si="86"/>
        <v/>
      </c>
      <c r="CP13" s="1" t="str">
        <f t="shared" si="87"/>
        <v/>
      </c>
      <c r="CR13" s="1" t="str">
        <f t="shared" si="88"/>
        <v/>
      </c>
      <c r="CS13" s="1" t="str">
        <f t="shared" si="89"/>
        <v/>
      </c>
      <c r="CT13" s="1" t="str">
        <f t="shared" si="90"/>
        <v/>
      </c>
      <c r="CU13" s="1" t="str">
        <f t="shared" si="91"/>
        <v/>
      </c>
      <c r="CV13" s="1" t="str">
        <f t="shared" si="92"/>
        <v/>
      </c>
      <c r="DC13" s="154" t="e">
        <f t="shared" si="93"/>
        <v>#VALUE!</v>
      </c>
      <c r="DD13" s="154" t="str">
        <f t="shared" si="94"/>
        <v/>
      </c>
      <c r="DE13" s="154" t="str">
        <f t="shared" si="95"/>
        <v/>
      </c>
      <c r="DF13" s="1" t="str">
        <f t="shared" si="96"/>
        <v/>
      </c>
      <c r="DG13" s="1" t="str">
        <f t="shared" si="97"/>
        <v/>
      </c>
      <c r="DH13" s="1" t="str">
        <f t="shared" si="98"/>
        <v/>
      </c>
      <c r="DI13" s="1" t="str">
        <f t="shared" si="99"/>
        <v/>
      </c>
      <c r="DJ13" s="1" t="str">
        <f t="shared" si="100"/>
        <v/>
      </c>
      <c r="DK13" s="1" t="str">
        <f t="shared" si="101"/>
        <v/>
      </c>
      <c r="DL13" s="1" t="str">
        <f t="shared" si="102"/>
        <v/>
      </c>
      <c r="DM13" s="1" t="str">
        <f t="shared" si="103"/>
        <v/>
      </c>
    </row>
    <row r="14" customHeight="1" spans="1:117">
      <c r="A14" s="152" t="str">
        <f t="shared" si="107"/>
        <v>Trading Terminals</v>
      </c>
      <c r="C14" s="55" t="e">
        <f t="shared" si="5"/>
        <v>#DIV/0!</v>
      </c>
      <c r="D14" s="150" t="str">
        <f t="shared" si="6"/>
        <v>-1000000 m</v>
      </c>
      <c r="E14" s="151">
        <f t="shared" si="7"/>
        <v>1439.6</v>
      </c>
      <c r="F14" s="151">
        <f t="shared" si="8"/>
        <v>1439.6</v>
      </c>
      <c r="G14" s="151">
        <f t="shared" si="9"/>
        <v>1439.6</v>
      </c>
      <c r="H14" s="151">
        <f t="shared" si="10"/>
        <v>1439.6</v>
      </c>
      <c r="I14" s="151">
        <f t="shared" si="11"/>
        <v>1439.6</v>
      </c>
      <c r="J14" s="171">
        <f t="shared" si="12"/>
        <v>1439.6</v>
      </c>
      <c r="K14" s="172">
        <f t="shared" si="108"/>
        <v>0</v>
      </c>
      <c r="L14" s="172">
        <f t="shared" si="109"/>
        <v>0</v>
      </c>
      <c r="M14" s="173">
        <f t="shared" si="110"/>
        <v>0</v>
      </c>
      <c r="N14" s="54" t="str">
        <f t="shared" si="13"/>
        <v>Continuous</v>
      </c>
      <c r="O14" s="55" t="e">
        <f t="shared" si="14"/>
        <v>#DIV/0!</v>
      </c>
      <c r="P14" s="55" t="e">
        <f t="shared" si="15"/>
        <v>#DIV/0!</v>
      </c>
      <c r="Q14" s="56" t="str">
        <f t="shared" si="16"/>
        <v/>
      </c>
      <c r="R14" s="56" t="str">
        <f t="shared" si="17"/>
        <v/>
      </c>
      <c r="S14" s="56" t="str">
        <f t="shared" si="18"/>
        <v/>
      </c>
      <c r="T14" s="56" t="str">
        <f t="shared" si="19"/>
        <v/>
      </c>
      <c r="U14" s="180" t="str">
        <f t="shared" si="20"/>
        <v/>
      </c>
      <c r="V14" s="55" t="e">
        <f t="shared" si="21"/>
        <v>#DIV/0!</v>
      </c>
      <c r="W14" s="55" t="e">
        <f t="shared" si="22"/>
        <v>#DIV/0!</v>
      </c>
      <c r="X14" s="56" t="str">
        <f t="shared" si="23"/>
        <v/>
      </c>
      <c r="Y14" s="180" t="str">
        <f t="shared" si="24"/>
        <v/>
      </c>
      <c r="Z14" s="55" t="e">
        <f t="shared" si="25"/>
        <v>#DIV/0!</v>
      </c>
      <c r="AA14" s="55">
        <f t="shared" si="26"/>
        <v>1001.4</v>
      </c>
      <c r="AB14" s="150" t="e">
        <f t="shared" si="27"/>
        <v>#DIV/0!</v>
      </c>
      <c r="AC14" s="188">
        <v>5</v>
      </c>
      <c r="AD14" s="1" t="b">
        <f t="shared" si="28"/>
        <v>1</v>
      </c>
      <c r="AE14" s="1" t="e">
        <f t="shared" si="29"/>
        <v>#DIV/0!</v>
      </c>
      <c r="AF14" s="1" t="e">
        <f t="shared" si="30"/>
        <v>#DIV/0!</v>
      </c>
      <c r="AG14" s="1" t="e">
        <f t="shared" si="31"/>
        <v>#DIV/0!</v>
      </c>
      <c r="AH14" s="1">
        <f t="shared" si="32"/>
        <v>-1000</v>
      </c>
      <c r="AI14" s="1">
        <f t="shared" si="33"/>
        <v>0</v>
      </c>
      <c r="AJ14" s="191">
        <f t="shared" si="105"/>
        <v>0</v>
      </c>
      <c r="AK14" s="191">
        <f t="shared" si="106"/>
        <v>0</v>
      </c>
      <c r="AL14" s="191" t="e">
        <f t="shared" si="34"/>
        <v>#DIV/0!</v>
      </c>
      <c r="AM14" s="1" t="e">
        <f t="shared" si="35"/>
        <v>#DIV/0!</v>
      </c>
      <c r="AN14" s="191">
        <f t="shared" si="36"/>
        <v>90</v>
      </c>
      <c r="AO14" s="134" t="e">
        <f t="shared" si="37"/>
        <v>#DIV/0!</v>
      </c>
      <c r="AP14" s="64" t="e">
        <f t="shared" si="38"/>
        <v>#DIV/0!</v>
      </c>
      <c r="AQ14" s="1" t="e">
        <f t="shared" si="104"/>
        <v>#DIV/0!</v>
      </c>
      <c r="AR14" s="1" t="e">
        <f t="shared" si="39"/>
        <v>#DIV/0!</v>
      </c>
      <c r="AS14" s="1">
        <f t="shared" si="40"/>
        <v>90</v>
      </c>
      <c r="AT14" s="134" t="e">
        <f t="shared" si="41"/>
        <v>#DIV/0!</v>
      </c>
      <c r="AU14" s="64" t="e">
        <f t="shared" si="42"/>
        <v>#DIV/0!</v>
      </c>
      <c r="AV14" s="65" t="e">
        <f t="shared" si="43"/>
        <v>#DIV/0!</v>
      </c>
      <c r="AW14" s="65" t="e">
        <f t="shared" si="44"/>
        <v>#DIV/0!</v>
      </c>
      <c r="AX14" s="1" t="e">
        <f t="shared" si="45"/>
        <v>#DIV/0!</v>
      </c>
      <c r="AY14" s="1" t="e">
        <f t="shared" si="46"/>
        <v>#DIV/0!</v>
      </c>
      <c r="AZ14" s="131">
        <f t="shared" si="47"/>
        <v>1001.4</v>
      </c>
      <c r="BA14" s="1" t="e">
        <f t="shared" si="48"/>
        <v>#DIV/0!</v>
      </c>
      <c r="BB14" s="1">
        <f t="shared" si="49"/>
        <v>42369617.4235177</v>
      </c>
      <c r="BC14" s="1" t="e">
        <f t="shared" si="50"/>
        <v>#DIV/0!</v>
      </c>
      <c r="BD14" s="1">
        <f t="shared" si="51"/>
        <v>57480849.9111489</v>
      </c>
      <c r="BE14" s="1" t="e">
        <f t="shared" si="52"/>
        <v>#DIV/0!</v>
      </c>
      <c r="BF14" s="1" t="e">
        <f t="shared" si="53"/>
        <v>#DIV/0!</v>
      </c>
      <c r="BG14" s="1" t="e">
        <f t="shared" si="54"/>
        <v>#DIV/0!</v>
      </c>
      <c r="BH14" s="1" t="e">
        <f t="shared" si="55"/>
        <v>#DIV/0!</v>
      </c>
      <c r="BI14" s="1" t="e">
        <f t="shared" si="56"/>
        <v>#DIV/0!</v>
      </c>
      <c r="BJ14" s="1" t="e">
        <f t="shared" si="57"/>
        <v>#DIV/0!</v>
      </c>
      <c r="BK14" s="1" t="e">
        <f t="shared" si="58"/>
        <v>#DIV/0!</v>
      </c>
      <c r="BL14" s="1" t="e">
        <f t="shared" si="59"/>
        <v>#DIV/0!</v>
      </c>
      <c r="BM14" s="1" t="e">
        <f t="shared" si="60"/>
        <v>#DIV/0!</v>
      </c>
      <c r="BN14" s="1" t="e">
        <f t="shared" si="61"/>
        <v>#DIV/0!</v>
      </c>
      <c r="BO14" s="1" t="e">
        <f t="shared" si="62"/>
        <v>#DIV/0!</v>
      </c>
      <c r="BQ14" s="1" t="e">
        <f t="shared" si="63"/>
        <v>#DIV/0!</v>
      </c>
      <c r="BR14" s="1" t="e">
        <f t="shared" si="64"/>
        <v>#DIV/0!</v>
      </c>
      <c r="BS14" s="1" t="e">
        <f t="shared" si="65"/>
        <v>#DIV/0!</v>
      </c>
      <c r="BT14" s="1" t="e">
        <f t="shared" si="66"/>
        <v>#DIV/0!</v>
      </c>
      <c r="BU14" s="1" t="e">
        <f t="shared" si="67"/>
        <v>#DIV/0!</v>
      </c>
      <c r="BV14" s="1" t="e">
        <f t="shared" si="68"/>
        <v>#DIV/0!</v>
      </c>
      <c r="BW14" s="1" t="e">
        <f t="shared" si="69"/>
        <v>#DIV/0!</v>
      </c>
      <c r="BX14" s="1" t="e">
        <f t="shared" si="70"/>
        <v>#DIV/0!</v>
      </c>
      <c r="BY14" s="1" t="e">
        <f t="shared" si="71"/>
        <v>#DIV/0!</v>
      </c>
      <c r="BZ14" s="1" t="e">
        <f t="shared" si="72"/>
        <v>#DIV/0!</v>
      </c>
      <c r="CA14" s="1" t="e">
        <f t="shared" si="73"/>
        <v>#DIV/0!</v>
      </c>
      <c r="CB14" s="1" t="e">
        <f t="shared" si="74"/>
        <v>#DIV/0!</v>
      </c>
      <c r="CC14" s="1" t="e">
        <f t="shared" si="75"/>
        <v>#DIV/0!</v>
      </c>
      <c r="CD14" s="1" t="e">
        <f t="shared" si="76"/>
        <v>#DIV/0!</v>
      </c>
      <c r="CE14" s="1" t="e">
        <f t="shared" si="77"/>
        <v>#DIV/0!</v>
      </c>
      <c r="CF14" s="1" t="e">
        <f t="shared" si="78"/>
        <v>#DIV/0!</v>
      </c>
      <c r="CG14" s="1" t="e">
        <f t="shared" si="79"/>
        <v>#DIV/0!</v>
      </c>
      <c r="CH14" s="1" t="e">
        <f t="shared" si="80"/>
        <v>#DIV/0!</v>
      </c>
      <c r="CJ14" s="1" t="e">
        <f t="shared" si="81"/>
        <v>#DIV/0!</v>
      </c>
      <c r="CK14" s="1" t="e">
        <f t="shared" si="82"/>
        <v>#DIV/0!</v>
      </c>
      <c r="CL14" s="1" t="e">
        <f t="shared" si="83"/>
        <v>#DIV/0!</v>
      </c>
      <c r="CM14" s="1" t="e">
        <f t="shared" si="84"/>
        <v>#DIV/0!</v>
      </c>
      <c r="CN14" s="1" t="e">
        <f t="shared" si="85"/>
        <v>#DIV/0!</v>
      </c>
      <c r="CO14" s="1" t="e">
        <f t="shared" si="86"/>
        <v>#DIV/0!</v>
      </c>
      <c r="CP14" s="1" t="e">
        <f t="shared" si="87"/>
        <v>#DIV/0!</v>
      </c>
      <c r="CR14" s="1" t="e">
        <f t="shared" si="88"/>
        <v>#VALUE!</v>
      </c>
      <c r="CS14" s="1" t="e">
        <f t="shared" si="89"/>
        <v>#VALUE!</v>
      </c>
      <c r="CT14" s="1" t="str">
        <f t="shared" si="90"/>
        <v/>
      </c>
      <c r="CU14" s="1" t="str">
        <f t="shared" si="91"/>
        <v/>
      </c>
      <c r="CV14" s="1" t="e">
        <f t="shared" si="92"/>
        <v>#VALUE!</v>
      </c>
      <c r="DC14" s="154">
        <f t="shared" si="93"/>
        <v>0</v>
      </c>
      <c r="DD14" s="154">
        <f t="shared" si="94"/>
        <v>0</v>
      </c>
      <c r="DE14" s="154">
        <f t="shared" si="95"/>
        <v>0</v>
      </c>
      <c r="DF14" s="1" t="e">
        <f t="shared" si="96"/>
        <v>#DIV/0!</v>
      </c>
      <c r="DG14" s="1" t="e">
        <f t="shared" si="97"/>
        <v>#DIV/0!</v>
      </c>
      <c r="DH14" s="1" t="e">
        <f t="shared" si="98"/>
        <v>#DIV/0!</v>
      </c>
      <c r="DI14" s="1" t="e">
        <f t="shared" si="99"/>
        <v>#DIV/0!</v>
      </c>
      <c r="DJ14" s="1" t="e">
        <f t="shared" si="100"/>
        <v>#DIV/0!</v>
      </c>
      <c r="DK14" s="1" t="e">
        <f t="shared" si="101"/>
        <v>#DIV/0!</v>
      </c>
      <c r="DL14" s="1" t="e">
        <f t="shared" si="102"/>
        <v>#DIV/0!</v>
      </c>
      <c r="DM14" s="1" t="e">
        <f t="shared" si="103"/>
        <v>#DIV/0!</v>
      </c>
    </row>
    <row r="15" customHeight="1" spans="1:117">
      <c r="A15" s="152" t="str">
        <f t="shared" si="107"/>
        <v>Rayari Deltana Research Outpost (PB)</v>
      </c>
      <c r="C15" s="55" t="str">
        <f t="shared" si="5"/>
        <v>N 18° 26.5' / W 136° 56.8'</v>
      </c>
      <c r="D15" s="150" t="str">
        <f t="shared" si="6"/>
        <v>1044 m</v>
      </c>
      <c r="E15" s="151">
        <f t="shared" si="7"/>
        <v>1470.6</v>
      </c>
      <c r="F15" s="151">
        <f t="shared" si="8"/>
        <v>1996.6</v>
      </c>
      <c r="G15" s="151">
        <f t="shared" si="9"/>
        <v>2222.9</v>
      </c>
      <c r="H15" s="151">
        <f t="shared" si="10"/>
        <v>1099.1</v>
      </c>
      <c r="I15" s="151">
        <f t="shared" si="11"/>
        <v>2252.2</v>
      </c>
      <c r="J15" s="171">
        <f t="shared" si="12"/>
        <v>1037.6</v>
      </c>
      <c r="K15" s="172">
        <f t="shared" si="108"/>
        <v>-693.909981009999</v>
      </c>
      <c r="L15" s="172">
        <f t="shared" si="109"/>
        <v>-648.298794758999</v>
      </c>
      <c r="M15" s="173">
        <f t="shared" si="110"/>
        <v>316.681366334</v>
      </c>
      <c r="N15" s="54">
        <f t="shared" si="13"/>
        <v>0.0904874193977611</v>
      </c>
      <c r="O15" s="55" t="str">
        <f t="shared" si="14"/>
        <v>Afternoon / Sets in 30m</v>
      </c>
      <c r="P15" s="55" t="str">
        <f t="shared" si="15"/>
        <v>334°M / +38°</v>
      </c>
      <c r="Q15" s="56">
        <f t="shared" si="16"/>
        <v>45683.8079064127</v>
      </c>
      <c r="R15" s="56">
        <f t="shared" si="17"/>
        <v>45683.8136286348</v>
      </c>
      <c r="S15" s="56">
        <f t="shared" si="18"/>
        <v>45683.8588723445</v>
      </c>
      <c r="T15" s="56">
        <f t="shared" si="19"/>
        <v>45683.7324493917</v>
      </c>
      <c r="U15" s="180">
        <f t="shared" si="20"/>
        <v>45683.7381716138</v>
      </c>
      <c r="V15" s="55" t="str">
        <f t="shared" si="21"/>
        <v>Sets in 19m</v>
      </c>
      <c r="W15" s="55" t="str">
        <f t="shared" si="22"/>
        <v>335°M / +23°</v>
      </c>
      <c r="X15" s="56">
        <f t="shared" si="23"/>
        <v>45683.8079205805</v>
      </c>
      <c r="Y15" s="180">
        <f t="shared" si="24"/>
        <v>45683.7245903779</v>
      </c>
      <c r="Z15" s="55" t="str">
        <f t="shared" si="25"/>
        <v>005°M / -60°</v>
      </c>
      <c r="AA15" s="151">
        <f t="shared" si="26"/>
        <v>1734.1</v>
      </c>
      <c r="AB15" s="150">
        <f t="shared" si="27"/>
        <v>2094.3</v>
      </c>
      <c r="AC15" s="188">
        <v>6</v>
      </c>
      <c r="AD15" s="1" t="b">
        <f t="shared" si="28"/>
        <v>1</v>
      </c>
      <c r="AE15" s="1">
        <f t="shared" si="29"/>
        <v>18.4423938043984</v>
      </c>
      <c r="AF15" s="1">
        <f t="shared" si="30"/>
        <v>-136.946286797412</v>
      </c>
      <c r="AG15" s="1">
        <f t="shared" si="31"/>
        <v>223.053713202588</v>
      </c>
      <c r="AH15" s="2">
        <f t="shared" si="32"/>
        <v>1.04419323745981</v>
      </c>
      <c r="AI15" s="1">
        <f t="shared" si="33"/>
        <v>2.6172137989607</v>
      </c>
      <c r="AJ15" s="191">
        <f t="shared" si="105"/>
        <v>0</v>
      </c>
      <c r="AK15" s="191">
        <f t="shared" si="106"/>
        <v>0</v>
      </c>
      <c r="AL15" s="191">
        <f t="shared" si="34"/>
        <v>94.8800148753227</v>
      </c>
      <c r="AM15" s="20">
        <f t="shared" si="35"/>
        <v>-51.0541049876858</v>
      </c>
      <c r="AN15" s="191">
        <f t="shared" si="36"/>
        <v>75.5136056350302</v>
      </c>
      <c r="AO15" s="134">
        <f t="shared" si="37"/>
        <v>260</v>
      </c>
      <c r="AP15" s="64">
        <f t="shared" si="38"/>
        <v>47</v>
      </c>
      <c r="AQ15" s="1">
        <f t="shared" si="104"/>
        <v>92.6246398222743</v>
      </c>
      <c r="AR15" s="20">
        <f t="shared" si="39"/>
        <v>-65.2797690764614</v>
      </c>
      <c r="AS15" s="1">
        <f t="shared" si="40"/>
        <v>71.5572905279538</v>
      </c>
      <c r="AT15" s="134">
        <f t="shared" si="41"/>
        <v>262</v>
      </c>
      <c r="AU15" s="64">
        <f t="shared" si="42"/>
        <v>30</v>
      </c>
      <c r="AV15" s="65">
        <f t="shared" si="43"/>
        <v>45683.8079205805</v>
      </c>
      <c r="AW15" s="65">
        <f t="shared" si="44"/>
        <v>45683.7245903779</v>
      </c>
      <c r="AX15" s="1">
        <f t="shared" si="45"/>
        <v>292</v>
      </c>
      <c r="AY15" s="1">
        <f t="shared" si="46"/>
        <v>-60</v>
      </c>
      <c r="AZ15" s="131">
        <f t="shared" si="47"/>
        <v>1734.1</v>
      </c>
      <c r="BA15" s="1">
        <f t="shared" si="48"/>
        <v>2094.3</v>
      </c>
      <c r="BB15" s="1">
        <f t="shared" si="49"/>
        <v>42369000.077445</v>
      </c>
      <c r="BC15" s="1">
        <f t="shared" si="50"/>
        <v>38</v>
      </c>
      <c r="BD15" s="1">
        <f t="shared" si="51"/>
        <v>57480452.7936203</v>
      </c>
      <c r="BE15" s="1">
        <f t="shared" si="52"/>
        <v>23</v>
      </c>
      <c r="BF15" s="20">
        <f t="shared" si="53"/>
        <v>-157.037414232304</v>
      </c>
      <c r="BG15" s="1">
        <f t="shared" si="54"/>
        <v>370.48018719528</v>
      </c>
      <c r="BH15" s="1">
        <f t="shared" si="55"/>
        <v>-874.383680043846</v>
      </c>
      <c r="BI15" s="1">
        <f t="shared" si="56"/>
        <v>316.681366334</v>
      </c>
      <c r="BJ15" s="1">
        <f t="shared" si="57"/>
        <v>370.48018719528</v>
      </c>
      <c r="BK15" s="1">
        <f t="shared" si="58"/>
        <v>-874.383680043846</v>
      </c>
      <c r="BL15" s="1">
        <f t="shared" si="59"/>
        <v>316.681366334</v>
      </c>
      <c r="BM15" s="61">
        <f t="shared" si="60"/>
        <v>22462455.7326718</v>
      </c>
      <c r="BN15" s="61">
        <f t="shared" si="61"/>
        <v>37184870.5811501</v>
      </c>
      <c r="BO15" s="61">
        <f t="shared" si="62"/>
        <v>316.681366334</v>
      </c>
      <c r="BQ15" s="1" t="str">
        <f t="shared" si="63"/>
        <v>N 18° 26.5' / W 136° 56.8'</v>
      </c>
      <c r="BR15" s="1" t="str">
        <f t="shared" si="64"/>
        <v>08Q 467783 321924</v>
      </c>
      <c r="BS15" s="1" t="str">
        <f t="shared" si="65"/>
        <v>08Q MJ 677219</v>
      </c>
      <c r="BT15" s="1" t="b">
        <f t="shared" si="66"/>
        <v>0</v>
      </c>
      <c r="BU15" s="1" t="str">
        <f t="shared" si="67"/>
        <v>08Q</v>
      </c>
      <c r="BV15" s="1">
        <f t="shared" si="68"/>
        <v>8</v>
      </c>
      <c r="BW15" s="1">
        <f t="shared" si="69"/>
        <v>0</v>
      </c>
      <c r="BX15" s="1">
        <f t="shared" si="70"/>
        <v>-135</v>
      </c>
      <c r="BY15" s="1">
        <f t="shared" si="71"/>
        <v>-32216.5998505933</v>
      </c>
      <c r="BZ15" s="1">
        <f t="shared" si="72"/>
        <v>467783.4001</v>
      </c>
      <c r="CA15" s="1" t="str">
        <f t="shared" si="73"/>
        <v>M</v>
      </c>
      <c r="CB15" s="1" t="str">
        <f t="shared" si="74"/>
        <v>467783</v>
      </c>
      <c r="CC15" s="1" t="str">
        <f t="shared" si="75"/>
        <v>67783</v>
      </c>
      <c r="CD15" s="1">
        <f t="shared" si="76"/>
        <v>321924.890691668</v>
      </c>
      <c r="CE15" s="1">
        <f t="shared" si="77"/>
        <v>321924.8907</v>
      </c>
      <c r="CF15" s="1" t="str">
        <f t="shared" si="78"/>
        <v>J</v>
      </c>
      <c r="CG15" s="1" t="str">
        <f t="shared" si="79"/>
        <v>321924</v>
      </c>
      <c r="CH15" s="1" t="str">
        <f t="shared" si="80"/>
        <v>21924</v>
      </c>
      <c r="CJ15" s="1">
        <f t="shared" si="81"/>
        <v>87</v>
      </c>
      <c r="CK15" s="1" t="str">
        <f t="shared" si="82"/>
        <v>KA</v>
      </c>
      <c r="CL15" s="1">
        <f t="shared" si="83"/>
        <v>1</v>
      </c>
      <c r="CM15" s="1">
        <f t="shared" si="84"/>
        <v>1</v>
      </c>
      <c r="CN15" s="1">
        <f t="shared" si="85"/>
        <v>0</v>
      </c>
      <c r="CO15" s="1">
        <f t="shared" si="86"/>
        <v>2</v>
      </c>
      <c r="CP15" s="1" t="str">
        <f t="shared" si="87"/>
        <v>087KA11</v>
      </c>
      <c r="CR15" s="1" t="e">
        <f t="shared" si="88"/>
        <v>#VALUE!</v>
      </c>
      <c r="CS15" s="1" t="e">
        <f t="shared" si="89"/>
        <v>#VALUE!</v>
      </c>
      <c r="CT15" s="1">
        <f t="shared" si="90"/>
        <v>4</v>
      </c>
      <c r="CU15" s="1">
        <f t="shared" si="91"/>
        <v>1</v>
      </c>
      <c r="CV15" s="131" t="e">
        <f t="shared" si="92"/>
        <v>#VALUE!</v>
      </c>
      <c r="CW15" s="131">
        <v>1099.1</v>
      </c>
      <c r="CX15" s="131">
        <v>1470.6</v>
      </c>
      <c r="CY15" s="131">
        <v>1996.6</v>
      </c>
      <c r="CZ15" s="131">
        <v>2222.9</v>
      </c>
      <c r="DA15" s="131">
        <v>2252.2</v>
      </c>
      <c r="DC15" s="154">
        <f t="shared" si="93"/>
        <v>693.909981009999</v>
      </c>
      <c r="DD15" s="154">
        <f t="shared" si="94"/>
        <v>316.681366334</v>
      </c>
      <c r="DE15" s="154">
        <f t="shared" si="95"/>
        <v>-648.298794758999</v>
      </c>
      <c r="DF15" s="1">
        <f t="shared" si="96"/>
        <v>-40.3625913654153</v>
      </c>
      <c r="DG15" s="1">
        <f t="shared" si="97"/>
        <v>24.530647495026</v>
      </c>
      <c r="DH15" s="1">
        <f t="shared" si="98"/>
        <v>334</v>
      </c>
      <c r="DI15" s="1">
        <f t="shared" si="99"/>
        <v>335</v>
      </c>
      <c r="DJ15" s="1">
        <f t="shared" si="100"/>
        <v>5</v>
      </c>
      <c r="DK15" s="1">
        <f t="shared" si="101"/>
        <v>334</v>
      </c>
      <c r="DL15" s="1">
        <f t="shared" si="102"/>
        <v>335</v>
      </c>
      <c r="DM15" s="1">
        <f t="shared" si="103"/>
        <v>5</v>
      </c>
    </row>
    <row r="16" customHeight="1" spans="1:117">
      <c r="A16" s="152" t="str">
        <f t="shared" si="107"/>
        <v>Shubin Mining Facility SM0-10 (PB)</v>
      </c>
      <c r="C16" s="55" t="str">
        <f t="shared" si="5"/>
        <v>N 17° 22.7' / W 084° 51.8'</v>
      </c>
      <c r="D16" s="150" t="str">
        <f t="shared" si="6"/>
        <v>357 m</v>
      </c>
      <c r="E16" s="151">
        <f t="shared" si="7"/>
        <v>1487.6</v>
      </c>
      <c r="F16" s="151">
        <f t="shared" si="8"/>
        <v>1983.3</v>
      </c>
      <c r="G16" s="151">
        <f t="shared" si="9"/>
        <v>2410.6</v>
      </c>
      <c r="H16" s="151">
        <f t="shared" si="10"/>
        <v>579.2</v>
      </c>
      <c r="I16" s="151">
        <f t="shared" si="11"/>
        <v>1681.4</v>
      </c>
      <c r="J16" s="171">
        <f t="shared" si="12"/>
        <v>1821.9</v>
      </c>
      <c r="K16" s="172">
        <f t="shared" si="108"/>
        <v>85.476133747</v>
      </c>
      <c r="L16" s="172">
        <f t="shared" si="109"/>
        <v>-950.855885394999</v>
      </c>
      <c r="M16" s="173">
        <f t="shared" si="110"/>
        <v>298.799440766</v>
      </c>
      <c r="N16" s="54">
        <f t="shared" si="13"/>
        <v>0.0893738466848155</v>
      </c>
      <c r="O16" s="55" t="str">
        <f t="shared" si="14"/>
        <v>Evening Twilight / Rises in 112m</v>
      </c>
      <c r="P16" s="55" t="str">
        <f t="shared" si="15"/>
        <v>261°M / -11°</v>
      </c>
      <c r="Q16" s="56">
        <f t="shared" si="16"/>
        <v>45683.7836273149</v>
      </c>
      <c r="R16" s="56">
        <f t="shared" si="17"/>
        <v>45683.789349537</v>
      </c>
      <c r="S16" s="56">
        <f t="shared" si="18"/>
        <v>45683.8340364604</v>
      </c>
      <c r="T16" s="56">
        <f t="shared" si="19"/>
        <v>45683.8787233837</v>
      </c>
      <c r="U16" s="180">
        <f t="shared" si="20"/>
        <v>45683.7127789433</v>
      </c>
      <c r="V16" s="55" t="str">
        <f t="shared" si="21"/>
        <v>Obstructed / Rises in 104m</v>
      </c>
      <c r="W16" s="55" t="str">
        <f t="shared" si="22"/>
        <v>262°M / -26°</v>
      </c>
      <c r="X16" s="56">
        <f t="shared" si="23"/>
        <v>45683.7836027418</v>
      </c>
      <c r="Y16" s="180">
        <f t="shared" si="24"/>
        <v>45683.8709031108</v>
      </c>
      <c r="Z16" s="55" t="str">
        <f t="shared" si="25"/>
        <v>338°M / -77°</v>
      </c>
      <c r="AA16" s="151">
        <f t="shared" si="26"/>
        <v>1950.3</v>
      </c>
      <c r="AB16" s="150">
        <f t="shared" si="27"/>
        <v>2687.1</v>
      </c>
      <c r="AC16" s="188">
        <v>7</v>
      </c>
      <c r="AD16" s="1" t="b">
        <f t="shared" si="28"/>
        <v>1</v>
      </c>
      <c r="AE16" s="1">
        <f t="shared" si="29"/>
        <v>17.3791064604613</v>
      </c>
      <c r="AF16" s="1">
        <f t="shared" si="30"/>
        <v>-84.8632663419561</v>
      </c>
      <c r="AG16" s="1">
        <f t="shared" si="31"/>
        <v>275.136733658044</v>
      </c>
      <c r="AH16" s="2">
        <f t="shared" si="32"/>
        <v>0.357031280690649</v>
      </c>
      <c r="AI16" s="1">
        <f t="shared" si="33"/>
        <v>1.53082718936974</v>
      </c>
      <c r="AJ16" s="191">
        <f t="shared" si="105"/>
        <v>0</v>
      </c>
      <c r="AK16" s="191">
        <f t="shared" si="106"/>
        <v>0</v>
      </c>
      <c r="AL16" s="191">
        <f t="shared" si="34"/>
        <v>93.7123852062236</v>
      </c>
      <c r="AM16" s="20">
        <f t="shared" si="35"/>
        <v>-103.137125443141</v>
      </c>
      <c r="AN16" s="191">
        <f t="shared" si="36"/>
        <v>76.5769175750633</v>
      </c>
      <c r="AO16" s="134">
        <f t="shared" si="37"/>
        <v>278</v>
      </c>
      <c r="AP16" s="64">
        <f t="shared" si="38"/>
        <v>-17</v>
      </c>
      <c r="AQ16" s="1">
        <f t="shared" si="104"/>
        <v>91.5382532126833</v>
      </c>
      <c r="AR16" s="20">
        <f t="shared" si="39"/>
        <v>-117.362789531917</v>
      </c>
      <c r="AS16" s="1">
        <f t="shared" si="40"/>
        <v>72.6205956968255</v>
      </c>
      <c r="AT16" s="134">
        <f t="shared" si="41"/>
        <v>279</v>
      </c>
      <c r="AU16" s="64">
        <f t="shared" si="42"/>
        <v>-33</v>
      </c>
      <c r="AV16" s="65">
        <f t="shared" si="43"/>
        <v>45683.7836027418</v>
      </c>
      <c r="AW16" s="65">
        <f t="shared" si="44"/>
        <v>45683.8709031108</v>
      </c>
      <c r="AX16" s="1">
        <f t="shared" si="45"/>
        <v>355</v>
      </c>
      <c r="AY16" s="1">
        <f t="shared" si="46"/>
        <v>-77</v>
      </c>
      <c r="AZ16" s="131">
        <f t="shared" si="47"/>
        <v>1950.3</v>
      </c>
      <c r="BA16" s="1">
        <f t="shared" si="48"/>
        <v>2687.1</v>
      </c>
      <c r="BB16" s="1">
        <f t="shared" si="49"/>
        <v>42369813.285943</v>
      </c>
      <c r="BC16" s="1">
        <f t="shared" si="50"/>
        <v>-11</v>
      </c>
      <c r="BD16" s="1">
        <f t="shared" si="51"/>
        <v>57481288.7157777</v>
      </c>
      <c r="BE16" s="1">
        <f t="shared" si="52"/>
        <v>-26</v>
      </c>
      <c r="BF16" s="20">
        <f t="shared" si="53"/>
        <v>-104.954393776849</v>
      </c>
      <c r="BG16" s="1">
        <f t="shared" si="54"/>
        <v>922.35615948625</v>
      </c>
      <c r="BH16" s="1">
        <f t="shared" si="55"/>
        <v>-246.357868330642</v>
      </c>
      <c r="BI16" s="1">
        <f t="shared" si="56"/>
        <v>298.799440766</v>
      </c>
      <c r="BJ16" s="1">
        <f t="shared" si="57"/>
        <v>922.35615948625</v>
      </c>
      <c r="BK16" s="1">
        <f t="shared" si="58"/>
        <v>-246.357868330642</v>
      </c>
      <c r="BL16" s="1">
        <f t="shared" si="59"/>
        <v>298.799440766</v>
      </c>
      <c r="BM16" s="61">
        <f t="shared" si="60"/>
        <v>22463007.6086441</v>
      </c>
      <c r="BN16" s="61">
        <f t="shared" si="61"/>
        <v>37185498.6069618</v>
      </c>
      <c r="BO16" s="61">
        <f t="shared" si="62"/>
        <v>298.799440766</v>
      </c>
      <c r="BQ16" s="1" t="str">
        <f t="shared" si="63"/>
        <v>N 17° 22.7' / W 084° 51.8'</v>
      </c>
      <c r="BR16" s="1" t="str">
        <f t="shared" si="64"/>
        <v>16Q 535583 303399</v>
      </c>
      <c r="BS16" s="1" t="str">
        <f t="shared" si="65"/>
        <v>16Q EJ 355033</v>
      </c>
      <c r="BT16" s="1" t="b">
        <f t="shared" si="66"/>
        <v>0</v>
      </c>
      <c r="BU16" s="1" t="str">
        <f t="shared" si="67"/>
        <v>16Q</v>
      </c>
      <c r="BV16" s="1">
        <f t="shared" si="68"/>
        <v>16</v>
      </c>
      <c r="BW16" s="1">
        <f t="shared" si="69"/>
        <v>0</v>
      </c>
      <c r="BX16" s="1">
        <f t="shared" si="70"/>
        <v>-87</v>
      </c>
      <c r="BY16" s="1">
        <f t="shared" si="71"/>
        <v>35583.1250933511</v>
      </c>
      <c r="BZ16" s="1">
        <f t="shared" si="72"/>
        <v>535583.1251</v>
      </c>
      <c r="CA16" s="1" t="str">
        <f t="shared" si="73"/>
        <v>E</v>
      </c>
      <c r="CB16" s="1" t="str">
        <f t="shared" si="74"/>
        <v>535583</v>
      </c>
      <c r="CC16" s="1" t="str">
        <f t="shared" si="75"/>
        <v>35583</v>
      </c>
      <c r="CD16" s="1">
        <f t="shared" si="76"/>
        <v>303399.547667282</v>
      </c>
      <c r="CE16" s="1">
        <f t="shared" si="77"/>
        <v>303399.5477</v>
      </c>
      <c r="CF16" s="1" t="str">
        <f t="shared" si="78"/>
        <v>J</v>
      </c>
      <c r="CG16" s="1" t="str">
        <f t="shared" si="79"/>
        <v>303399</v>
      </c>
      <c r="CH16" s="1" t="str">
        <f t="shared" si="80"/>
        <v>03399</v>
      </c>
      <c r="CJ16" s="1">
        <f t="shared" si="81"/>
        <v>191</v>
      </c>
      <c r="CK16" s="1" t="str">
        <f t="shared" si="82"/>
        <v>JY</v>
      </c>
      <c r="CL16" s="1">
        <f t="shared" si="83"/>
        <v>1</v>
      </c>
      <c r="CM16" s="1">
        <f t="shared" si="84"/>
        <v>5</v>
      </c>
      <c r="CN16" s="1">
        <f t="shared" si="85"/>
        <v>1</v>
      </c>
      <c r="CO16" s="1">
        <f t="shared" si="86"/>
        <v>1</v>
      </c>
      <c r="CP16" s="1" t="str">
        <f t="shared" si="87"/>
        <v>191JY15</v>
      </c>
      <c r="CR16" s="1" t="e">
        <f t="shared" si="88"/>
        <v>#VALUE!</v>
      </c>
      <c r="CS16" s="1" t="e">
        <f t="shared" si="89"/>
        <v>#VALUE!</v>
      </c>
      <c r="CT16" s="1">
        <f t="shared" si="90"/>
        <v>1</v>
      </c>
      <c r="CU16" s="1">
        <f t="shared" si="91"/>
        <v>5</v>
      </c>
      <c r="CV16" s="131" t="e">
        <f t="shared" si="92"/>
        <v>#VALUE!</v>
      </c>
      <c r="CW16" s="131">
        <v>1487.6</v>
      </c>
      <c r="CX16" s="131">
        <v>1681.4</v>
      </c>
      <c r="CY16" s="131">
        <v>1821.9</v>
      </c>
      <c r="CZ16" s="131">
        <v>1983.3</v>
      </c>
      <c r="DA16" s="131">
        <v>2410.6</v>
      </c>
      <c r="DC16" s="154">
        <f t="shared" si="93"/>
        <v>-85.476133747</v>
      </c>
      <c r="DD16" s="154">
        <f t="shared" si="94"/>
        <v>298.799440766</v>
      </c>
      <c r="DE16" s="154">
        <f t="shared" si="95"/>
        <v>-950.855885394999</v>
      </c>
      <c r="DF16" s="1">
        <f t="shared" si="96"/>
        <v>-71.9001456274102</v>
      </c>
      <c r="DG16" s="1">
        <f t="shared" si="97"/>
        <v>105.963984778611</v>
      </c>
      <c r="DH16" s="1">
        <f t="shared" si="98"/>
        <v>261</v>
      </c>
      <c r="DI16" s="1">
        <f t="shared" si="99"/>
        <v>262</v>
      </c>
      <c r="DJ16" s="1">
        <f t="shared" si="100"/>
        <v>338</v>
      </c>
      <c r="DK16" s="1">
        <f t="shared" si="101"/>
        <v>261</v>
      </c>
      <c r="DL16" s="1">
        <f t="shared" si="102"/>
        <v>262</v>
      </c>
      <c r="DM16" s="1">
        <f t="shared" si="103"/>
        <v>338</v>
      </c>
    </row>
    <row r="17" customHeight="1" spans="1:117">
      <c r="A17" s="152" t="str">
        <f t="shared" si="107"/>
        <v>Shubin Mining Facility SM0-13 (PB)</v>
      </c>
      <c r="C17" s="55" t="str">
        <f t="shared" si="5"/>
        <v>N 05° 36.2' / W 099° 59.3'</v>
      </c>
      <c r="D17" s="150" t="str">
        <f t="shared" si="6"/>
        <v>1195 m</v>
      </c>
      <c r="E17" s="151">
        <f t="shared" si="7"/>
        <v>1671.3</v>
      </c>
      <c r="F17" s="151">
        <f t="shared" si="8"/>
        <v>1832</v>
      </c>
      <c r="G17" s="151">
        <f t="shared" si="9"/>
        <v>2429</v>
      </c>
      <c r="H17" s="151">
        <f t="shared" si="10"/>
        <v>499.4</v>
      </c>
      <c r="I17" s="151">
        <f t="shared" si="11"/>
        <v>1890.1</v>
      </c>
      <c r="J17" s="171">
        <f t="shared" si="12"/>
        <v>1605.4</v>
      </c>
      <c r="K17" s="172">
        <f t="shared" si="108"/>
        <v>-172.818644799</v>
      </c>
      <c r="L17" s="172">
        <f t="shared" si="109"/>
        <v>-981.308336199</v>
      </c>
      <c r="M17" s="173">
        <f t="shared" si="110"/>
        <v>97.7671820489999</v>
      </c>
      <c r="N17" s="54">
        <f t="shared" si="13"/>
        <v>0.0897714749948569</v>
      </c>
      <c r="O17" s="55" t="str">
        <f t="shared" si="14"/>
        <v>Afternoon / Sets in 4m</v>
      </c>
      <c r="P17" s="55" t="str">
        <f t="shared" si="15"/>
        <v>335°M / +02°</v>
      </c>
      <c r="Q17" s="56">
        <f t="shared" si="16"/>
        <v>45683.7906407421</v>
      </c>
      <c r="R17" s="56">
        <f t="shared" si="17"/>
        <v>45683.7963629642</v>
      </c>
      <c r="S17" s="56">
        <f t="shared" si="18"/>
        <v>45683.8412487017</v>
      </c>
      <c r="T17" s="56">
        <f t="shared" si="19"/>
        <v>45683.7144677766</v>
      </c>
      <c r="U17" s="180">
        <f t="shared" si="20"/>
        <v>45683.7201899987</v>
      </c>
      <c r="V17" s="55" t="str">
        <f t="shared" si="21"/>
        <v>Obstructed / Rises in 113m</v>
      </c>
      <c r="W17" s="55" t="str">
        <f t="shared" si="22"/>
        <v>332°M / -12°</v>
      </c>
      <c r="X17" s="56">
        <f t="shared" si="23"/>
        <v>45683.7902101244</v>
      </c>
      <c r="Y17" s="180">
        <f t="shared" si="24"/>
        <v>45683.8787202107</v>
      </c>
      <c r="Z17" s="55" t="str">
        <f t="shared" si="25"/>
        <v>010°M / -79°</v>
      </c>
      <c r="AA17" s="151">
        <f t="shared" si="26"/>
        <v>1964.5</v>
      </c>
      <c r="AB17" s="150">
        <f t="shared" si="27"/>
        <v>2751.1</v>
      </c>
      <c r="AC17" s="188">
        <v>8</v>
      </c>
      <c r="AD17" s="1" t="b">
        <f t="shared" si="28"/>
        <v>1</v>
      </c>
      <c r="AE17" s="1">
        <f t="shared" si="29"/>
        <v>5.60389308609372</v>
      </c>
      <c r="AF17" s="1">
        <f t="shared" si="30"/>
        <v>-99.9879669083583</v>
      </c>
      <c r="AG17" s="1">
        <f t="shared" si="31"/>
        <v>260.012033091642</v>
      </c>
      <c r="AH17" s="2">
        <f t="shared" si="32"/>
        <v>1.19466467296695</v>
      </c>
      <c r="AI17" s="1">
        <f t="shared" si="33"/>
        <v>2.79926859552962</v>
      </c>
      <c r="AJ17" s="191">
        <f t="shared" si="105"/>
        <v>0</v>
      </c>
      <c r="AK17" s="191">
        <f t="shared" si="106"/>
        <v>0</v>
      </c>
      <c r="AL17" s="191">
        <f t="shared" si="34"/>
        <v>94.1293158715324</v>
      </c>
      <c r="AM17" s="20">
        <f t="shared" si="35"/>
        <v>-88.0124248767392</v>
      </c>
      <c r="AN17" s="191">
        <f t="shared" si="36"/>
        <v>88.3524060461285</v>
      </c>
      <c r="AO17" s="134">
        <f t="shared" si="37"/>
        <v>274</v>
      </c>
      <c r="AP17" s="64">
        <f t="shared" si="38"/>
        <v>3</v>
      </c>
      <c r="AQ17" s="1">
        <f t="shared" si="104"/>
        <v>92.8066946188432</v>
      </c>
      <c r="AR17" s="20">
        <f t="shared" si="39"/>
        <v>-102.238088965515</v>
      </c>
      <c r="AS17" s="1">
        <f t="shared" si="40"/>
        <v>84.3960094574033</v>
      </c>
      <c r="AT17" s="134">
        <f t="shared" si="41"/>
        <v>271</v>
      </c>
      <c r="AU17" s="64">
        <f t="shared" si="42"/>
        <v>-18</v>
      </c>
      <c r="AV17" s="65">
        <f t="shared" si="43"/>
        <v>45683.7902101244</v>
      </c>
      <c r="AW17" s="65">
        <f t="shared" si="44"/>
        <v>45683.8787202107</v>
      </c>
      <c r="AX17" s="1">
        <f t="shared" si="45"/>
        <v>309</v>
      </c>
      <c r="AY17" s="1">
        <f t="shared" si="46"/>
        <v>-79</v>
      </c>
      <c r="AZ17" s="131">
        <f t="shared" si="47"/>
        <v>1964.5</v>
      </c>
      <c r="BA17" s="1">
        <f t="shared" si="48"/>
        <v>2751.1</v>
      </c>
      <c r="BB17" s="1">
        <f t="shared" si="49"/>
        <v>42369576.2138593</v>
      </c>
      <c r="BC17" s="1">
        <f t="shared" si="50"/>
        <v>2</v>
      </c>
      <c r="BD17" s="1">
        <f t="shared" si="51"/>
        <v>57481061.132947</v>
      </c>
      <c r="BE17" s="1">
        <f t="shared" si="52"/>
        <v>-12</v>
      </c>
      <c r="BF17" s="20">
        <f t="shared" si="53"/>
        <v>-120.079094343251</v>
      </c>
      <c r="BG17" s="1">
        <f t="shared" si="54"/>
        <v>862.227559847822</v>
      </c>
      <c r="BH17" s="1">
        <f t="shared" si="55"/>
        <v>-499.395604428677</v>
      </c>
      <c r="BI17" s="1">
        <f t="shared" si="56"/>
        <v>97.7671820489999</v>
      </c>
      <c r="BJ17" s="1">
        <f t="shared" si="57"/>
        <v>862.227559847822</v>
      </c>
      <c r="BK17" s="1">
        <f t="shared" si="58"/>
        <v>-499.395604428677</v>
      </c>
      <c r="BL17" s="1">
        <f t="shared" si="59"/>
        <v>97.7671820489999</v>
      </c>
      <c r="BM17" s="61">
        <f t="shared" si="60"/>
        <v>22462947.4800445</v>
      </c>
      <c r="BN17" s="61">
        <f t="shared" si="61"/>
        <v>37185245.5692257</v>
      </c>
      <c r="BO17" s="61">
        <f t="shared" si="62"/>
        <v>97.7671820489999</v>
      </c>
      <c r="BQ17" s="1" t="str">
        <f t="shared" si="63"/>
        <v>N 05° 36.2' / W 099° 59.3'</v>
      </c>
      <c r="BR17" s="1" t="str">
        <f t="shared" si="64"/>
        <v>14N 482845 097781</v>
      </c>
      <c r="BS17" s="1" t="str">
        <f t="shared" si="65"/>
        <v>14N MF 828977</v>
      </c>
      <c r="BT17" s="1" t="b">
        <f t="shared" si="66"/>
        <v>0</v>
      </c>
      <c r="BU17" s="1" t="str">
        <f t="shared" si="67"/>
        <v>14N</v>
      </c>
      <c r="BV17" s="1">
        <f t="shared" si="68"/>
        <v>14</v>
      </c>
      <c r="BW17" s="1">
        <f t="shared" si="69"/>
        <v>0</v>
      </c>
      <c r="BX17" s="1">
        <f t="shared" si="70"/>
        <v>-99</v>
      </c>
      <c r="BY17" s="1">
        <f t="shared" si="71"/>
        <v>-17154.8353937932</v>
      </c>
      <c r="BZ17" s="1">
        <f t="shared" si="72"/>
        <v>482845.1646</v>
      </c>
      <c r="CA17" s="1" t="str">
        <f t="shared" si="73"/>
        <v>M</v>
      </c>
      <c r="CB17" s="1" t="str">
        <f t="shared" si="74"/>
        <v>482845</v>
      </c>
      <c r="CC17" s="1" t="str">
        <f t="shared" si="75"/>
        <v>82845</v>
      </c>
      <c r="CD17" s="1">
        <f t="shared" si="76"/>
        <v>97781.7065781668</v>
      </c>
      <c r="CE17" s="1">
        <f t="shared" si="77"/>
        <v>97781.7066</v>
      </c>
      <c r="CF17" s="1" t="str">
        <f t="shared" si="78"/>
        <v>F</v>
      </c>
      <c r="CG17" s="1" t="str">
        <f t="shared" si="79"/>
        <v>097781</v>
      </c>
      <c r="CH17" s="1" t="str">
        <f t="shared" si="80"/>
        <v>97781</v>
      </c>
      <c r="CJ17" s="1">
        <f t="shared" si="81"/>
        <v>161</v>
      </c>
      <c r="CK17" s="1" t="str">
        <f t="shared" si="82"/>
        <v>HZ</v>
      </c>
      <c r="CL17" s="1">
        <f t="shared" si="83"/>
        <v>3</v>
      </c>
      <c r="CM17" s="1">
        <f t="shared" si="84"/>
        <v>4</v>
      </c>
      <c r="CN17" s="1">
        <f t="shared" si="85"/>
        <v>0</v>
      </c>
      <c r="CO17" s="1">
        <f t="shared" si="86"/>
        <v>1</v>
      </c>
      <c r="CP17" s="1" t="str">
        <f t="shared" si="87"/>
        <v>161HZ34</v>
      </c>
      <c r="CR17" s="1" t="e">
        <f t="shared" si="88"/>
        <v>#VALUE!</v>
      </c>
      <c r="CS17" s="1" t="e">
        <f t="shared" si="89"/>
        <v>#VALUE!</v>
      </c>
      <c r="CT17" s="1">
        <f t="shared" si="90"/>
        <v>6</v>
      </c>
      <c r="CU17" s="1">
        <f t="shared" si="91"/>
        <v>1</v>
      </c>
      <c r="CV17" s="131" t="e">
        <f t="shared" si="92"/>
        <v>#VALUE!</v>
      </c>
      <c r="CW17" s="131">
        <v>1605.4</v>
      </c>
      <c r="CX17" s="131">
        <v>1671.3</v>
      </c>
      <c r="CY17" s="131">
        <v>1832</v>
      </c>
      <c r="CZ17" s="131">
        <v>1890.1</v>
      </c>
      <c r="DA17" s="131">
        <v>2429</v>
      </c>
      <c r="DC17" s="154">
        <f t="shared" si="93"/>
        <v>172.818644799</v>
      </c>
      <c r="DD17" s="154">
        <f t="shared" si="94"/>
        <v>97.7671820489999</v>
      </c>
      <c r="DE17" s="154">
        <f t="shared" si="95"/>
        <v>-981.308336199</v>
      </c>
      <c r="DF17" s="1">
        <f t="shared" si="96"/>
        <v>-78.5612872312518</v>
      </c>
      <c r="DG17" s="1">
        <f t="shared" si="97"/>
        <v>29.4977640661828</v>
      </c>
      <c r="DH17" s="1">
        <f t="shared" si="98"/>
        <v>335</v>
      </c>
      <c r="DI17" s="1">
        <f t="shared" si="99"/>
        <v>332</v>
      </c>
      <c r="DJ17" s="1">
        <f t="shared" si="100"/>
        <v>10</v>
      </c>
      <c r="DK17" s="1">
        <f t="shared" si="101"/>
        <v>335</v>
      </c>
      <c r="DL17" s="1">
        <f t="shared" si="102"/>
        <v>332</v>
      </c>
      <c r="DM17" s="1">
        <f t="shared" si="103"/>
        <v>10</v>
      </c>
    </row>
    <row r="18" customHeight="1" spans="1:117">
      <c r="A18" s="152" t="str">
        <f t="shared" si="107"/>
        <v>Shubin Mining Facility SM0-18 (PB)</v>
      </c>
      <c r="C18" s="55" t="str">
        <f t="shared" si="5"/>
        <v>N 02° 30.7' / W 022° 56.6'</v>
      </c>
      <c r="D18" s="150" t="str">
        <f t="shared" si="6"/>
        <v>225 m</v>
      </c>
      <c r="E18" s="151">
        <f t="shared" si="7"/>
        <v>1716.6</v>
      </c>
      <c r="F18" s="151">
        <f t="shared" si="8"/>
        <v>1788.6</v>
      </c>
      <c r="G18" s="151">
        <f t="shared" si="9"/>
        <v>2048</v>
      </c>
      <c r="H18" s="151">
        <f t="shared" si="10"/>
        <v>1396.9</v>
      </c>
      <c r="I18" s="151">
        <f t="shared" si="11"/>
        <v>650.7</v>
      </c>
      <c r="J18" s="171">
        <f t="shared" si="12"/>
        <v>2392.1</v>
      </c>
      <c r="K18" s="172">
        <f t="shared" si="108"/>
        <v>920.210111885</v>
      </c>
      <c r="L18" s="172">
        <f t="shared" si="109"/>
        <v>-389.541681947999</v>
      </c>
      <c r="M18" s="173">
        <f t="shared" si="110"/>
        <v>43.8368626559999</v>
      </c>
      <c r="N18" s="54">
        <f t="shared" si="13"/>
        <v>0.0880571024903437</v>
      </c>
      <c r="O18" s="55" t="str">
        <f t="shared" si="14"/>
        <v>Night / Rises in 70m</v>
      </c>
      <c r="P18" s="55" t="str">
        <f t="shared" si="15"/>
        <v>204°M / -74°</v>
      </c>
      <c r="Q18" s="56">
        <f t="shared" si="16"/>
        <v>45683.7547592872</v>
      </c>
      <c r="R18" s="56">
        <f t="shared" si="17"/>
        <v>45683.7604815093</v>
      </c>
      <c r="S18" s="56">
        <f t="shared" si="18"/>
        <v>45683.8045100606</v>
      </c>
      <c r="T18" s="56">
        <f t="shared" si="19"/>
        <v>45683.8485386118</v>
      </c>
      <c r="U18" s="180">
        <f t="shared" si="20"/>
        <v>45683.8542608339</v>
      </c>
      <c r="V18" s="55" t="str">
        <f t="shared" si="21"/>
        <v>Obstructed / Rises in 61m</v>
      </c>
      <c r="W18" s="55" t="str">
        <f t="shared" si="22"/>
        <v>255°M / -87°</v>
      </c>
      <c r="X18" s="56">
        <f t="shared" si="23"/>
        <v>45683.7542261573</v>
      </c>
      <c r="Y18" s="180">
        <f t="shared" si="24"/>
        <v>45683.8412268956</v>
      </c>
      <c r="Z18" s="55" t="str">
        <f t="shared" si="25"/>
        <v>350°M / -60°</v>
      </c>
      <c r="AA18" s="151">
        <f t="shared" si="26"/>
        <v>1729</v>
      </c>
      <c r="AB18" s="150">
        <f t="shared" si="27"/>
        <v>2085.5</v>
      </c>
      <c r="AC18" s="188">
        <v>9</v>
      </c>
      <c r="AD18" s="1" t="b">
        <f t="shared" si="28"/>
        <v>1</v>
      </c>
      <c r="AE18" s="1">
        <f t="shared" si="29"/>
        <v>2.51190555898718</v>
      </c>
      <c r="AF18" s="1">
        <f t="shared" si="30"/>
        <v>-22.9438244693873</v>
      </c>
      <c r="AG18" s="1">
        <f t="shared" si="31"/>
        <v>337.056175530613</v>
      </c>
      <c r="AH18" s="2">
        <f t="shared" si="32"/>
        <v>0.22549583471482</v>
      </c>
      <c r="AI18" s="1">
        <f t="shared" si="33"/>
        <v>1.21665120753706</v>
      </c>
      <c r="AJ18" s="191">
        <f t="shared" si="105"/>
        <v>0</v>
      </c>
      <c r="AK18" s="191">
        <f t="shared" si="106"/>
        <v>0</v>
      </c>
      <c r="AL18" s="191">
        <f t="shared" si="34"/>
        <v>92.3317213571497</v>
      </c>
      <c r="AM18" s="20">
        <f t="shared" si="35"/>
        <v>-165.05656731571</v>
      </c>
      <c r="AN18" s="191">
        <f t="shared" si="36"/>
        <v>88.5555333981814</v>
      </c>
      <c r="AO18" s="134">
        <f t="shared" si="37"/>
        <v>293</v>
      </c>
      <c r="AP18" s="64">
        <f t="shared" si="38"/>
        <v>-86</v>
      </c>
      <c r="AQ18" s="1">
        <f t="shared" si="104"/>
        <v>91.2240772308507</v>
      </c>
      <c r="AR18" s="20">
        <f t="shared" si="39"/>
        <v>-179.282231404486</v>
      </c>
      <c r="AS18" s="1">
        <f t="shared" si="40"/>
        <v>87.488050746728</v>
      </c>
      <c r="AT18" s="134">
        <f t="shared" si="41"/>
        <v>344</v>
      </c>
      <c r="AU18" s="64">
        <f t="shared" si="42"/>
        <v>-87</v>
      </c>
      <c r="AV18" s="65">
        <f t="shared" si="43"/>
        <v>45683.7542261573</v>
      </c>
      <c r="AW18" s="65">
        <f t="shared" si="44"/>
        <v>45683.8412268956</v>
      </c>
      <c r="AX18" s="1">
        <f t="shared" si="45"/>
        <v>79</v>
      </c>
      <c r="AY18" s="1">
        <f t="shared" si="46"/>
        <v>-60</v>
      </c>
      <c r="AZ18" s="131">
        <f t="shared" si="47"/>
        <v>1729</v>
      </c>
      <c r="BA18" s="1">
        <f t="shared" si="48"/>
        <v>2085.5</v>
      </c>
      <c r="BB18" s="1">
        <f t="shared" si="49"/>
        <v>42370577.5692468</v>
      </c>
      <c r="BC18" s="1">
        <f t="shared" si="50"/>
        <v>-74</v>
      </c>
      <c r="BD18" s="1">
        <f t="shared" si="51"/>
        <v>57481849.097173</v>
      </c>
      <c r="BE18" s="1">
        <f t="shared" si="52"/>
        <v>-87</v>
      </c>
      <c r="BF18" s="20">
        <f t="shared" si="53"/>
        <v>-43.0349519042797</v>
      </c>
      <c r="BG18" s="1">
        <f t="shared" si="54"/>
        <v>681.942382233583</v>
      </c>
      <c r="BH18" s="1">
        <f t="shared" si="55"/>
        <v>730.399862612163</v>
      </c>
      <c r="BI18" s="1">
        <f t="shared" si="56"/>
        <v>43.8368626559999</v>
      </c>
      <c r="BJ18" s="1">
        <f t="shared" si="57"/>
        <v>681.942382233583</v>
      </c>
      <c r="BK18" s="1">
        <f t="shared" si="58"/>
        <v>730.399862612163</v>
      </c>
      <c r="BL18" s="1">
        <f t="shared" si="59"/>
        <v>43.8368626559999</v>
      </c>
      <c r="BM18" s="61">
        <f t="shared" si="60"/>
        <v>22462767.1948668</v>
      </c>
      <c r="BN18" s="61">
        <f t="shared" si="61"/>
        <v>37186475.3646927</v>
      </c>
      <c r="BO18" s="61">
        <f t="shared" si="62"/>
        <v>43.8368626559999</v>
      </c>
      <c r="BQ18" s="1" t="str">
        <f t="shared" si="63"/>
        <v>N 02° 30.7' / W 022° 56.6'</v>
      </c>
      <c r="BR18" s="1" t="str">
        <f t="shared" si="64"/>
        <v>27N 466113 043848</v>
      </c>
      <c r="BS18" s="1" t="str">
        <f t="shared" si="65"/>
        <v>27N VA 661438</v>
      </c>
      <c r="BT18" s="1" t="b">
        <f t="shared" si="66"/>
        <v>0</v>
      </c>
      <c r="BU18" s="1" t="str">
        <f t="shared" si="67"/>
        <v>27N</v>
      </c>
      <c r="BV18" s="1">
        <f t="shared" si="68"/>
        <v>27</v>
      </c>
      <c r="BW18" s="1">
        <f t="shared" si="69"/>
        <v>0</v>
      </c>
      <c r="BX18" s="1">
        <f t="shared" si="70"/>
        <v>-21</v>
      </c>
      <c r="BY18" s="1">
        <f t="shared" si="71"/>
        <v>-33886.457357903</v>
      </c>
      <c r="BZ18" s="1">
        <f t="shared" si="72"/>
        <v>466113.5426</v>
      </c>
      <c r="CA18" s="1" t="str">
        <f t="shared" si="73"/>
        <v>V</v>
      </c>
      <c r="CB18" s="1" t="str">
        <f t="shared" si="74"/>
        <v>466113</v>
      </c>
      <c r="CC18" s="1" t="str">
        <f t="shared" si="75"/>
        <v>66113</v>
      </c>
      <c r="CD18" s="1">
        <f t="shared" si="76"/>
        <v>43848.6858870965</v>
      </c>
      <c r="CE18" s="1">
        <f t="shared" si="77"/>
        <v>43848.6859</v>
      </c>
      <c r="CF18" s="1" t="str">
        <f t="shared" si="78"/>
        <v>A</v>
      </c>
      <c r="CG18" s="1" t="str">
        <f t="shared" si="79"/>
        <v>043848</v>
      </c>
      <c r="CH18" s="1" t="str">
        <f t="shared" si="80"/>
        <v>43848</v>
      </c>
      <c r="CJ18" s="1">
        <f t="shared" si="81"/>
        <v>315</v>
      </c>
      <c r="CK18" s="1" t="str">
        <f t="shared" si="82"/>
        <v>HT</v>
      </c>
      <c r="CL18" s="1">
        <f t="shared" si="83"/>
        <v>3</v>
      </c>
      <c r="CM18" s="1">
        <f t="shared" si="84"/>
        <v>7</v>
      </c>
      <c r="CN18" s="1">
        <f t="shared" si="85"/>
        <v>0</v>
      </c>
      <c r="CO18" s="1">
        <f t="shared" si="86"/>
        <v>0</v>
      </c>
      <c r="CP18" s="1" t="str">
        <f t="shared" si="87"/>
        <v>315HT37</v>
      </c>
      <c r="CR18" s="1" t="e">
        <f t="shared" si="88"/>
        <v>#VALUE!</v>
      </c>
      <c r="CS18" s="1" t="e">
        <f t="shared" si="89"/>
        <v>#VALUE!</v>
      </c>
      <c r="CT18" s="1">
        <f t="shared" si="90"/>
        <v>4</v>
      </c>
      <c r="CU18" s="1">
        <f t="shared" si="91"/>
        <v>1</v>
      </c>
      <c r="CV18" s="131" t="e">
        <f t="shared" si="92"/>
        <v>#VALUE!</v>
      </c>
      <c r="CW18" s="131">
        <v>1396.9</v>
      </c>
      <c r="CX18" s="131">
        <v>1716.6</v>
      </c>
      <c r="CY18" s="131">
        <v>1788.6</v>
      </c>
      <c r="CZ18" s="131">
        <v>2048</v>
      </c>
      <c r="DA18" s="131">
        <v>2392.1</v>
      </c>
      <c r="DC18" s="154">
        <f t="shared" si="93"/>
        <v>-920.210111885</v>
      </c>
      <c r="DD18" s="154">
        <f t="shared" si="94"/>
        <v>43.8368626559999</v>
      </c>
      <c r="DE18" s="154">
        <f t="shared" si="95"/>
        <v>-389.541681947999</v>
      </c>
      <c r="DF18" s="1">
        <f t="shared" si="96"/>
        <v>-22.9205213540207</v>
      </c>
      <c r="DG18" s="1">
        <f t="shared" si="97"/>
        <v>177.272612198043</v>
      </c>
      <c r="DH18" s="1">
        <f t="shared" si="98"/>
        <v>204</v>
      </c>
      <c r="DI18" s="1">
        <f t="shared" si="99"/>
        <v>255</v>
      </c>
      <c r="DJ18" s="1">
        <f t="shared" si="100"/>
        <v>350</v>
      </c>
      <c r="DK18" s="1">
        <f t="shared" si="101"/>
        <v>204</v>
      </c>
      <c r="DL18" s="1">
        <f t="shared" si="102"/>
        <v>255</v>
      </c>
      <c r="DM18" s="1">
        <f t="shared" si="103"/>
        <v>350</v>
      </c>
    </row>
    <row r="19" customHeight="1" spans="1:117">
      <c r="A19" s="152" t="str">
        <f t="shared" si="107"/>
        <v>Shubin Mining Facility SM0-22 (PB)</v>
      </c>
      <c r="C19" s="55" t="str">
        <f t="shared" si="5"/>
        <v>N 34° 37.3' / W 088° 18.5'</v>
      </c>
      <c r="D19" s="150" t="str">
        <f t="shared" si="6"/>
        <v>34 m</v>
      </c>
      <c r="E19" s="151">
        <f t="shared" si="7"/>
        <v>1198.6</v>
      </c>
      <c r="F19" s="151">
        <f t="shared" si="8"/>
        <v>2169.9</v>
      </c>
      <c r="G19" s="151">
        <f t="shared" si="9"/>
        <v>2332.6</v>
      </c>
      <c r="H19" s="151">
        <f t="shared" si="10"/>
        <v>839.1</v>
      </c>
      <c r="I19" s="151">
        <f t="shared" si="11"/>
        <v>1732.8</v>
      </c>
      <c r="J19" s="171">
        <f t="shared" si="12"/>
        <v>1772.7</v>
      </c>
      <c r="K19" s="172">
        <f t="shared" si="108"/>
        <v>24.29854894</v>
      </c>
      <c r="L19" s="172">
        <f t="shared" si="109"/>
        <v>-822.590691274998</v>
      </c>
      <c r="M19" s="173">
        <f t="shared" si="110"/>
        <v>568.174190107999</v>
      </c>
      <c r="N19" s="54">
        <f t="shared" si="13"/>
        <v>0.0897910170819375</v>
      </c>
      <c r="O19" s="55" t="str">
        <f t="shared" si="14"/>
        <v>Evening Twilight / Rises in 114m</v>
      </c>
      <c r="P19" s="55" t="str">
        <f t="shared" si="15"/>
        <v>276°M / -06°</v>
      </c>
      <c r="Q19" s="56">
        <f t="shared" si="16"/>
        <v>45683.7850613711</v>
      </c>
      <c r="R19" s="56">
        <f t="shared" si="17"/>
        <v>45683.7907835932</v>
      </c>
      <c r="S19" s="56">
        <f t="shared" si="18"/>
        <v>45683.8356791018</v>
      </c>
      <c r="T19" s="56">
        <f t="shared" si="19"/>
        <v>45683.8805746103</v>
      </c>
      <c r="U19" s="180">
        <f t="shared" si="20"/>
        <v>45683.7146301699</v>
      </c>
      <c r="V19" s="55" t="str">
        <f t="shared" si="21"/>
        <v>Obstructed / Rises in 107m</v>
      </c>
      <c r="W19" s="55" t="str">
        <f t="shared" si="22"/>
        <v>281°M / -19°</v>
      </c>
      <c r="X19" s="56">
        <f t="shared" si="23"/>
        <v>45683.7857504391</v>
      </c>
      <c r="Y19" s="180">
        <f t="shared" si="24"/>
        <v>45683.8720406962</v>
      </c>
      <c r="Z19" s="55" t="str">
        <f t="shared" si="25"/>
        <v>349°M / -68°</v>
      </c>
      <c r="AA19" s="151">
        <f t="shared" si="26"/>
        <v>1858.8</v>
      </c>
      <c r="AB19" s="150">
        <f t="shared" si="27"/>
        <v>2382</v>
      </c>
      <c r="AC19" s="188">
        <v>10</v>
      </c>
      <c r="AD19" s="1" t="b">
        <f t="shared" si="28"/>
        <v>1</v>
      </c>
      <c r="AE19" s="1">
        <f t="shared" si="29"/>
        <v>34.6216638629816</v>
      </c>
      <c r="AF19" s="1">
        <f t="shared" si="30"/>
        <v>-88.3080290064449</v>
      </c>
      <c r="AG19" s="1">
        <f t="shared" si="31"/>
        <v>271.691970993555</v>
      </c>
      <c r="AH19" s="2">
        <f t="shared" si="32"/>
        <v>0.0338870047100954</v>
      </c>
      <c r="AI19" s="1">
        <f t="shared" si="33"/>
        <v>0.471680681996667</v>
      </c>
      <c r="AJ19" s="191">
        <f t="shared" si="105"/>
        <v>0</v>
      </c>
      <c r="AK19" s="191">
        <f t="shared" si="106"/>
        <v>0</v>
      </c>
      <c r="AL19" s="191">
        <f t="shared" si="34"/>
        <v>94.1498066041142</v>
      </c>
      <c r="AM19" s="20">
        <f t="shared" si="35"/>
        <v>-99.6923627786526</v>
      </c>
      <c r="AN19" s="191">
        <f t="shared" si="36"/>
        <v>59.3339844710019</v>
      </c>
      <c r="AO19" s="134">
        <f t="shared" si="37"/>
        <v>279</v>
      </c>
      <c r="AP19" s="64">
        <f t="shared" si="38"/>
        <v>-10</v>
      </c>
      <c r="AQ19" s="1">
        <f t="shared" si="104"/>
        <v>90.4791067053103</v>
      </c>
      <c r="AR19" s="20">
        <f t="shared" si="39"/>
        <v>-113.918026867428</v>
      </c>
      <c r="AS19" s="1">
        <f t="shared" si="40"/>
        <v>55.3777697842507</v>
      </c>
      <c r="AT19" s="134">
        <f t="shared" si="41"/>
        <v>284</v>
      </c>
      <c r="AU19" s="64">
        <f t="shared" si="42"/>
        <v>-22</v>
      </c>
      <c r="AV19" s="65">
        <f t="shared" si="43"/>
        <v>45683.7857504391</v>
      </c>
      <c r="AW19" s="65">
        <f t="shared" si="44"/>
        <v>45683.8720406962</v>
      </c>
      <c r="AX19" s="1">
        <f t="shared" si="45"/>
        <v>352</v>
      </c>
      <c r="AY19" s="1">
        <f t="shared" si="46"/>
        <v>-68</v>
      </c>
      <c r="AZ19" s="131">
        <f t="shared" si="47"/>
        <v>1858.8</v>
      </c>
      <c r="BA19" s="1">
        <f t="shared" si="48"/>
        <v>2382</v>
      </c>
      <c r="BB19" s="1">
        <f t="shared" si="49"/>
        <v>42369716.4532517</v>
      </c>
      <c r="BC19" s="1">
        <f t="shared" si="50"/>
        <v>-6</v>
      </c>
      <c r="BD19" s="1">
        <f t="shared" si="51"/>
        <v>57481183.5666473</v>
      </c>
      <c r="BE19" s="1">
        <f t="shared" si="52"/>
        <v>-19</v>
      </c>
      <c r="BF19" s="20">
        <f t="shared" si="53"/>
        <v>-108.399156441337</v>
      </c>
      <c r="BG19" s="1">
        <f t="shared" si="54"/>
        <v>780.880855248642</v>
      </c>
      <c r="BH19" s="1">
        <f t="shared" si="55"/>
        <v>-259.751717528523</v>
      </c>
      <c r="BI19" s="1">
        <f t="shared" si="56"/>
        <v>568.174190107999</v>
      </c>
      <c r="BJ19" s="1">
        <f t="shared" si="57"/>
        <v>780.880855248642</v>
      </c>
      <c r="BK19" s="1">
        <f t="shared" si="58"/>
        <v>-259.751717528523</v>
      </c>
      <c r="BL19" s="1">
        <f t="shared" si="59"/>
        <v>568.174190107999</v>
      </c>
      <c r="BM19" s="61">
        <f t="shared" si="60"/>
        <v>22462866.1333398</v>
      </c>
      <c r="BN19" s="61">
        <f t="shared" si="61"/>
        <v>37185485.2131126</v>
      </c>
      <c r="BO19" s="61">
        <f t="shared" si="62"/>
        <v>568.174190107999</v>
      </c>
      <c r="BQ19" s="1" t="str">
        <f t="shared" si="63"/>
        <v>N 34° 37.3' / W 088° 18.5'</v>
      </c>
      <c r="BR19" s="1" t="str">
        <f t="shared" si="64"/>
        <v>16S 481220 604142</v>
      </c>
      <c r="BS19" s="1" t="str">
        <f t="shared" si="65"/>
        <v>16S DM 812041</v>
      </c>
      <c r="BT19" s="1" t="b">
        <f t="shared" si="66"/>
        <v>0</v>
      </c>
      <c r="BU19" s="1" t="str">
        <f t="shared" si="67"/>
        <v>16S</v>
      </c>
      <c r="BV19" s="1">
        <f t="shared" si="68"/>
        <v>16</v>
      </c>
      <c r="BW19" s="1">
        <f t="shared" si="69"/>
        <v>0</v>
      </c>
      <c r="BX19" s="1">
        <f t="shared" si="70"/>
        <v>-87</v>
      </c>
      <c r="BY19" s="1">
        <f t="shared" si="71"/>
        <v>-18779.8803960832</v>
      </c>
      <c r="BZ19" s="1">
        <f t="shared" si="72"/>
        <v>481220.1196</v>
      </c>
      <c r="CA19" s="1" t="str">
        <f t="shared" si="73"/>
        <v>D</v>
      </c>
      <c r="CB19" s="1" t="str">
        <f t="shared" si="74"/>
        <v>481220</v>
      </c>
      <c r="CC19" s="1" t="str">
        <f t="shared" si="75"/>
        <v>81220</v>
      </c>
      <c r="CD19" s="1">
        <f t="shared" si="76"/>
        <v>604142.128140621</v>
      </c>
      <c r="CE19" s="1">
        <f t="shared" si="77"/>
        <v>604142.1281</v>
      </c>
      <c r="CF19" s="1" t="str">
        <f t="shared" si="78"/>
        <v>M</v>
      </c>
      <c r="CG19" s="1" t="str">
        <f t="shared" si="79"/>
        <v>604142</v>
      </c>
      <c r="CH19" s="1" t="str">
        <f t="shared" si="80"/>
        <v>04142</v>
      </c>
      <c r="CJ19" s="1">
        <f t="shared" si="81"/>
        <v>184</v>
      </c>
      <c r="CK19" s="1" t="str">
        <f t="shared" si="82"/>
        <v>LK</v>
      </c>
      <c r="CL19" s="1">
        <f t="shared" si="83"/>
        <v>3</v>
      </c>
      <c r="CM19" s="1">
        <f t="shared" si="84"/>
        <v>6</v>
      </c>
      <c r="CN19" s="1">
        <f t="shared" si="85"/>
        <v>2</v>
      </c>
      <c r="CO19" s="1">
        <f t="shared" si="86"/>
        <v>1</v>
      </c>
      <c r="CP19" s="1" t="str">
        <f t="shared" si="87"/>
        <v>184LK36</v>
      </c>
      <c r="CR19" s="1" t="e">
        <f t="shared" si="88"/>
        <v>#VALUE!</v>
      </c>
      <c r="CS19" s="1" t="e">
        <f t="shared" si="89"/>
        <v>#VALUE!</v>
      </c>
      <c r="CT19" s="1">
        <f t="shared" si="90"/>
        <v>1</v>
      </c>
      <c r="CU19" s="1">
        <f t="shared" si="91"/>
        <v>5</v>
      </c>
      <c r="CV19" s="131" t="e">
        <f t="shared" si="92"/>
        <v>#VALUE!</v>
      </c>
      <c r="CW19" s="131">
        <v>1198.6</v>
      </c>
      <c r="CX19" s="131">
        <v>1732.8</v>
      </c>
      <c r="CY19" s="131">
        <v>1772.7</v>
      </c>
      <c r="CZ19" s="131">
        <v>2169.9</v>
      </c>
      <c r="DA19" s="131">
        <v>2332.6</v>
      </c>
      <c r="DC19" s="154">
        <f t="shared" si="93"/>
        <v>-24.29854894</v>
      </c>
      <c r="DD19" s="154">
        <f t="shared" si="94"/>
        <v>568.174190107999</v>
      </c>
      <c r="DE19" s="154">
        <f t="shared" si="95"/>
        <v>-822.590691274998</v>
      </c>
      <c r="DF19" s="1">
        <f t="shared" si="96"/>
        <v>-55.3421706044146</v>
      </c>
      <c r="DG19" s="1">
        <f t="shared" si="97"/>
        <v>92.4488202873663</v>
      </c>
      <c r="DH19" s="1">
        <f t="shared" si="98"/>
        <v>276</v>
      </c>
      <c r="DI19" s="1">
        <f t="shared" si="99"/>
        <v>281</v>
      </c>
      <c r="DJ19" s="1">
        <f t="shared" si="100"/>
        <v>349</v>
      </c>
      <c r="DK19" s="1">
        <f t="shared" si="101"/>
        <v>276</v>
      </c>
      <c r="DL19" s="1">
        <f t="shared" si="102"/>
        <v>281</v>
      </c>
      <c r="DM19" s="1">
        <f t="shared" si="103"/>
        <v>349</v>
      </c>
    </row>
    <row r="20" customHeight="1" spans="1:117">
      <c r="A20" s="152" t="str">
        <f t="shared" si="107"/>
        <v>Raven's Roost</v>
      </c>
      <c r="C20" s="55" t="str">
        <f t="shared" si="5"/>
        <v>N 68° 41.3' / W 011° 59.5'</v>
      </c>
      <c r="D20" s="150" t="str">
        <f t="shared" si="6"/>
        <v>1104 m</v>
      </c>
      <c r="E20" s="151">
        <f t="shared" si="7"/>
        <v>624</v>
      </c>
      <c r="F20" s="151">
        <f t="shared" si="8"/>
        <v>2400</v>
      </c>
      <c r="G20" s="151">
        <f t="shared" si="9"/>
        <v>1814.5</v>
      </c>
      <c r="H20" s="151">
        <f t="shared" si="10"/>
        <v>1690.3</v>
      </c>
      <c r="I20" s="151">
        <f t="shared" si="11"/>
        <v>1431.8</v>
      </c>
      <c r="J20" s="171">
        <f t="shared" si="12"/>
        <v>2024.7</v>
      </c>
      <c r="K20" s="172">
        <f t="shared" si="108"/>
        <v>355.903594579999</v>
      </c>
      <c r="L20" s="172">
        <f t="shared" si="109"/>
        <v>-75.593839481</v>
      </c>
      <c r="M20" s="173">
        <f t="shared" si="110"/>
        <v>932.64525482</v>
      </c>
      <c r="N20" s="54">
        <f t="shared" si="13"/>
        <v>0.0990360294703402</v>
      </c>
      <c r="O20" s="55" t="str">
        <f t="shared" si="14"/>
        <v>Night / Rises in 55m</v>
      </c>
      <c r="P20" s="55" t="str">
        <f t="shared" si="15"/>
        <v>277°M / -17°</v>
      </c>
      <c r="Q20" s="56">
        <f t="shared" si="16"/>
        <v>45683.744047142</v>
      </c>
      <c r="R20" s="56">
        <f t="shared" si="17"/>
        <v>45683.7497693641</v>
      </c>
      <c r="S20" s="56">
        <f t="shared" si="18"/>
        <v>45683.7992873788</v>
      </c>
      <c r="T20" s="56">
        <f t="shared" si="19"/>
        <v>45683.8488053935</v>
      </c>
      <c r="U20" s="180">
        <f t="shared" si="20"/>
        <v>45683.8545276156</v>
      </c>
      <c r="V20" s="55" t="str">
        <f t="shared" si="21"/>
        <v>Obstructed / Rises in 53m</v>
      </c>
      <c r="W20" s="55" t="str">
        <f t="shared" si="22"/>
        <v>292°M / -21°</v>
      </c>
      <c r="X20" s="56">
        <f t="shared" si="23"/>
        <v>45683.7483004763</v>
      </c>
      <c r="Y20" s="180">
        <f t="shared" si="24"/>
        <v>45683.8367072131</v>
      </c>
      <c r="Z20" s="55" t="str">
        <f t="shared" si="25"/>
        <v>350°M / -44°</v>
      </c>
      <c r="AA20" s="151">
        <f t="shared" si="26"/>
        <v>1402.1</v>
      </c>
      <c r="AB20" s="150">
        <f t="shared" si="27"/>
        <v>1551.2</v>
      </c>
      <c r="AC20" s="188">
        <v>11</v>
      </c>
      <c r="AD20" s="1" t="b">
        <f t="shared" si="28"/>
        <v>1</v>
      </c>
      <c r="AE20" s="1">
        <f t="shared" si="29"/>
        <v>68.6882740309194</v>
      </c>
      <c r="AF20" s="1">
        <f t="shared" si="30"/>
        <v>-11.9914042260876</v>
      </c>
      <c r="AG20" s="1">
        <f t="shared" si="31"/>
        <v>348.008595773912</v>
      </c>
      <c r="AH20" s="2">
        <f t="shared" si="32"/>
        <v>1.10387500034494</v>
      </c>
      <c r="AI20" s="1">
        <f t="shared" si="33"/>
        <v>2.69090225466349</v>
      </c>
      <c r="AJ20" s="191">
        <f t="shared" si="105"/>
        <v>0</v>
      </c>
      <c r="AK20" s="191">
        <f t="shared" si="106"/>
        <v>0</v>
      </c>
      <c r="AL20" s="191">
        <f t="shared" si="34"/>
        <v>103.843606236949</v>
      </c>
      <c r="AM20" s="20">
        <f t="shared" si="35"/>
        <v>-176.00898755901</v>
      </c>
      <c r="AN20" s="191">
        <f t="shared" si="36"/>
        <v>25.2668397751084</v>
      </c>
      <c r="AO20" s="134">
        <f t="shared" si="37"/>
        <v>356</v>
      </c>
      <c r="AP20" s="64">
        <f t="shared" si="38"/>
        <v>-25</v>
      </c>
      <c r="AQ20" s="1">
        <f t="shared" si="104"/>
        <v>92.6983282779771</v>
      </c>
      <c r="AR20" s="20">
        <f t="shared" si="39"/>
        <v>169.765348352215</v>
      </c>
      <c r="AS20" s="1">
        <f t="shared" si="40"/>
        <v>21.310796320632</v>
      </c>
      <c r="AT20" s="134">
        <f t="shared" si="41"/>
        <v>11</v>
      </c>
      <c r="AU20" s="64">
        <f t="shared" si="42"/>
        <v>-21</v>
      </c>
      <c r="AV20" s="65">
        <f t="shared" si="43"/>
        <v>45683.7483004763</v>
      </c>
      <c r="AW20" s="65">
        <f t="shared" si="44"/>
        <v>45683.8367072131</v>
      </c>
      <c r="AX20" s="1">
        <f t="shared" si="45"/>
        <v>69</v>
      </c>
      <c r="AY20" s="1">
        <f t="shared" si="46"/>
        <v>-44</v>
      </c>
      <c r="AZ20" s="131">
        <f t="shared" si="47"/>
        <v>1402.1</v>
      </c>
      <c r="BA20" s="1">
        <f t="shared" si="48"/>
        <v>1551.2</v>
      </c>
      <c r="BB20" s="1">
        <f t="shared" si="49"/>
        <v>42369915.1810612</v>
      </c>
      <c r="BC20" s="1">
        <f t="shared" si="50"/>
        <v>-17</v>
      </c>
      <c r="BD20" s="1">
        <f t="shared" si="51"/>
        <v>57481207.9724943</v>
      </c>
      <c r="BE20" s="1">
        <f t="shared" si="52"/>
        <v>-21</v>
      </c>
      <c r="BF20" s="20">
        <f t="shared" si="53"/>
        <v>-32.0825316609801</v>
      </c>
      <c r="BG20" s="1">
        <f t="shared" si="54"/>
        <v>193.251724486072</v>
      </c>
      <c r="BH20" s="1">
        <f t="shared" si="55"/>
        <v>308.27839396494</v>
      </c>
      <c r="BI20" s="1">
        <f t="shared" si="56"/>
        <v>932.64525482</v>
      </c>
      <c r="BJ20" s="1">
        <f t="shared" si="57"/>
        <v>193.251724486072</v>
      </c>
      <c r="BK20" s="1">
        <f t="shared" si="58"/>
        <v>308.27839396494</v>
      </c>
      <c r="BL20" s="1">
        <f t="shared" si="59"/>
        <v>932.64525482</v>
      </c>
      <c r="BM20" s="61">
        <f t="shared" si="60"/>
        <v>22462278.5042091</v>
      </c>
      <c r="BN20" s="61">
        <f t="shared" si="61"/>
        <v>37186053.2432241</v>
      </c>
      <c r="BO20" s="61">
        <f t="shared" si="62"/>
        <v>932.64525482</v>
      </c>
      <c r="BQ20" s="1" t="str">
        <f t="shared" si="63"/>
        <v>N 68° 41.3' / W 011° 59.5'</v>
      </c>
      <c r="BR20" s="1" t="str">
        <f t="shared" si="64"/>
        <v>29W 481038 1198818</v>
      </c>
      <c r="BS20" s="1" t="str">
        <f t="shared" si="65"/>
        <v>29W MM 810988</v>
      </c>
      <c r="BT20" s="1" t="b">
        <f t="shared" si="66"/>
        <v>0</v>
      </c>
      <c r="BU20" s="1" t="str">
        <f t="shared" si="67"/>
        <v>29W</v>
      </c>
      <c r="BV20" s="1">
        <f t="shared" si="68"/>
        <v>29</v>
      </c>
      <c r="BW20" s="1">
        <f t="shared" si="69"/>
        <v>0</v>
      </c>
      <c r="BX20" s="1">
        <f t="shared" si="70"/>
        <v>-9</v>
      </c>
      <c r="BY20" s="1">
        <f t="shared" si="71"/>
        <v>-18961.3159020177</v>
      </c>
      <c r="BZ20" s="1">
        <f t="shared" si="72"/>
        <v>481038.6841</v>
      </c>
      <c r="CA20" s="1" t="str">
        <f t="shared" si="73"/>
        <v>M</v>
      </c>
      <c r="CB20" s="1" t="str">
        <f t="shared" si="74"/>
        <v>481038</v>
      </c>
      <c r="CC20" s="1" t="str">
        <f t="shared" si="75"/>
        <v>81038</v>
      </c>
      <c r="CD20" s="1">
        <f t="shared" si="76"/>
        <v>1198818.27240883</v>
      </c>
      <c r="CE20" s="1">
        <f t="shared" si="77"/>
        <v>1198818.2724</v>
      </c>
      <c r="CF20" s="1" t="str">
        <f t="shared" si="78"/>
        <v>M</v>
      </c>
      <c r="CG20" s="1" t="str">
        <f t="shared" si="79"/>
        <v>1198818</v>
      </c>
      <c r="CH20" s="1" t="str">
        <f t="shared" si="80"/>
        <v>98818</v>
      </c>
      <c r="CJ20" s="1">
        <f t="shared" si="81"/>
        <v>337</v>
      </c>
      <c r="CK20" s="1" t="str">
        <f t="shared" si="82"/>
        <v>PF</v>
      </c>
      <c r="CL20" s="1">
        <f t="shared" si="83"/>
        <v>3</v>
      </c>
      <c r="CM20" s="1">
        <f t="shared" si="84"/>
        <v>1</v>
      </c>
      <c r="CN20" s="1">
        <f t="shared" si="85"/>
        <v>0</v>
      </c>
      <c r="CO20" s="1">
        <f t="shared" si="86"/>
        <v>2</v>
      </c>
      <c r="CP20" s="1" t="str">
        <f t="shared" si="87"/>
        <v>337PF31</v>
      </c>
      <c r="CR20" s="1" t="e">
        <f t="shared" si="88"/>
        <v>#VALUE!</v>
      </c>
      <c r="CS20" s="1" t="e">
        <f t="shared" si="89"/>
        <v>#VALUE!</v>
      </c>
      <c r="CT20" s="1">
        <f t="shared" si="90"/>
        <v>5</v>
      </c>
      <c r="CU20" s="1">
        <f t="shared" si="91"/>
        <v>4</v>
      </c>
      <c r="CV20" s="131" t="e">
        <f t="shared" si="92"/>
        <v>#VALUE!</v>
      </c>
      <c r="CW20" s="131">
        <v>1431.8</v>
      </c>
      <c r="CX20" s="131">
        <v>1690.3</v>
      </c>
      <c r="CY20" s="131">
        <v>1814.5</v>
      </c>
      <c r="CZ20" s="131">
        <v>2024.7</v>
      </c>
      <c r="DA20" s="131">
        <v>2400</v>
      </c>
      <c r="DC20" s="154">
        <f t="shared" si="93"/>
        <v>-355.903594579999</v>
      </c>
      <c r="DD20" s="154">
        <f t="shared" si="94"/>
        <v>932.64525482</v>
      </c>
      <c r="DE20" s="154">
        <f t="shared" si="95"/>
        <v>-75.593839481</v>
      </c>
      <c r="DF20" s="1">
        <f t="shared" si="96"/>
        <v>-4.33055413687756</v>
      </c>
      <c r="DG20" s="1">
        <f t="shared" si="97"/>
        <v>110.88718498733</v>
      </c>
      <c r="DH20" s="1">
        <f t="shared" si="98"/>
        <v>277</v>
      </c>
      <c r="DI20" s="1">
        <f t="shared" si="99"/>
        <v>292</v>
      </c>
      <c r="DJ20" s="1">
        <f t="shared" si="100"/>
        <v>350</v>
      </c>
      <c r="DK20" s="1">
        <f t="shared" si="101"/>
        <v>277</v>
      </c>
      <c r="DL20" s="1">
        <f t="shared" si="102"/>
        <v>292</v>
      </c>
      <c r="DM20" s="1">
        <f t="shared" si="103"/>
        <v>350</v>
      </c>
    </row>
    <row r="21" customHeight="1" spans="1:117">
      <c r="A21" s="152" t="str">
        <f t="shared" si="107"/>
        <v>Necropolis (Stash House)</v>
      </c>
      <c r="C21" s="55" t="str">
        <f t="shared" si="5"/>
        <v>N 79° 58.9' / W 068° 33.8'</v>
      </c>
      <c r="D21" s="150" t="str">
        <f t="shared" si="6"/>
        <v>915 m</v>
      </c>
      <c r="E21" s="151">
        <f t="shared" si="7"/>
        <v>486.2</v>
      </c>
      <c r="F21" s="151">
        <f t="shared" si="8"/>
        <v>2431.5</v>
      </c>
      <c r="G21" s="151">
        <f t="shared" si="9"/>
        <v>1881.7</v>
      </c>
      <c r="H21" s="151">
        <f t="shared" si="10"/>
        <v>1614.8</v>
      </c>
      <c r="I21" s="151">
        <f t="shared" si="11"/>
        <v>1700.3</v>
      </c>
      <c r="J21" s="171">
        <f t="shared" si="12"/>
        <v>1804.9</v>
      </c>
      <c r="K21" s="172">
        <f t="shared" si="108"/>
        <v>63.642723848</v>
      </c>
      <c r="L21" s="172">
        <f t="shared" si="109"/>
        <v>-162.08523741</v>
      </c>
      <c r="M21" s="173">
        <f t="shared" si="110"/>
        <v>985.651018458</v>
      </c>
      <c r="N21" s="54">
        <f t="shared" si="13"/>
        <v>0.111046535394346</v>
      </c>
      <c r="O21" s="55" t="str">
        <f t="shared" si="14"/>
        <v>Evening Twilight / Rises in 85m</v>
      </c>
      <c r="P21" s="55" t="str">
        <f t="shared" si="15"/>
        <v>278°M / -01°</v>
      </c>
      <c r="Q21" s="56">
        <f t="shared" si="16"/>
        <v>45683.7650179486</v>
      </c>
      <c r="R21" s="56">
        <f t="shared" si="17"/>
        <v>45683.7707401707</v>
      </c>
      <c r="S21" s="56">
        <f t="shared" si="18"/>
        <v>45683.8262634384</v>
      </c>
      <c r="T21" s="56">
        <f t="shared" si="19"/>
        <v>45683.8817867061</v>
      </c>
      <c r="U21" s="180">
        <f t="shared" si="20"/>
        <v>45683.7158422657</v>
      </c>
      <c r="V21" s="55" t="str">
        <f t="shared" si="21"/>
        <v>Obstructed / Rises in 92m</v>
      </c>
      <c r="W21" s="55" t="str">
        <f t="shared" si="22"/>
        <v>291°M / -07°</v>
      </c>
      <c r="X21" s="56">
        <f t="shared" si="23"/>
        <v>45683.7753916485</v>
      </c>
      <c r="Y21" s="180">
        <f t="shared" si="24"/>
        <v>45683.8635681601</v>
      </c>
      <c r="Z21" s="55" t="str">
        <f t="shared" si="25"/>
        <v>352°M / -46°</v>
      </c>
      <c r="AA21" s="151">
        <f t="shared" si="26"/>
        <v>1430.1</v>
      </c>
      <c r="AB21" s="150">
        <f t="shared" si="27"/>
        <v>1591</v>
      </c>
      <c r="AC21" s="188">
        <v>12</v>
      </c>
      <c r="AD21" s="1" t="b">
        <f t="shared" si="28"/>
        <v>1</v>
      </c>
      <c r="AE21" s="1">
        <f t="shared" si="29"/>
        <v>79.9810964964581</v>
      </c>
      <c r="AF21" s="1">
        <f t="shared" si="30"/>
        <v>-68.5625596490379</v>
      </c>
      <c r="AG21" s="1">
        <f t="shared" si="31"/>
        <v>291.437440350962</v>
      </c>
      <c r="AH21" s="2">
        <f t="shared" si="32"/>
        <v>0.914557128799743</v>
      </c>
      <c r="AI21" s="1">
        <f t="shared" si="33"/>
        <v>2.44950100135712</v>
      </c>
      <c r="AJ21" s="191">
        <f t="shared" si="105"/>
        <v>0</v>
      </c>
      <c r="AK21" s="191">
        <f t="shared" si="106"/>
        <v>0</v>
      </c>
      <c r="AL21" s="191">
        <f t="shared" si="34"/>
        <v>116.437146734779</v>
      </c>
      <c r="AM21" s="20">
        <f t="shared" si="35"/>
        <v>-119.43783213606</v>
      </c>
      <c r="AN21" s="191">
        <f t="shared" si="36"/>
        <v>13.9739281060613</v>
      </c>
      <c r="AO21" s="134">
        <f t="shared" si="37"/>
        <v>300</v>
      </c>
      <c r="AP21" s="64">
        <f t="shared" si="38"/>
        <v>-7</v>
      </c>
      <c r="AQ21" s="1">
        <f t="shared" si="104"/>
        <v>92.4569270246707</v>
      </c>
      <c r="AR21" s="20">
        <f t="shared" si="39"/>
        <v>-133.663496224835</v>
      </c>
      <c r="AS21" s="1">
        <f t="shared" si="40"/>
        <v>10.0179210228602</v>
      </c>
      <c r="AT21" s="134">
        <f t="shared" si="41"/>
        <v>313</v>
      </c>
      <c r="AU21" s="64">
        <f t="shared" si="42"/>
        <v>-7</v>
      </c>
      <c r="AV21" s="65">
        <f t="shared" si="43"/>
        <v>45683.7753916485</v>
      </c>
      <c r="AW21" s="65">
        <f t="shared" si="44"/>
        <v>45683.8635681601</v>
      </c>
      <c r="AX21" s="1">
        <f t="shared" si="45"/>
        <v>14</v>
      </c>
      <c r="AY21" s="1">
        <f t="shared" si="46"/>
        <v>-46</v>
      </c>
      <c r="AZ21" s="131">
        <f t="shared" si="47"/>
        <v>1430.1</v>
      </c>
      <c r="BA21" s="1">
        <f t="shared" si="48"/>
        <v>1591</v>
      </c>
      <c r="BB21" s="1">
        <f t="shared" si="49"/>
        <v>42369634.8074471</v>
      </c>
      <c r="BC21" s="1">
        <f t="shared" si="50"/>
        <v>-1</v>
      </c>
      <c r="BD21" s="1">
        <f t="shared" si="51"/>
        <v>57480970.1443752</v>
      </c>
      <c r="BE21" s="1">
        <f t="shared" si="52"/>
        <v>-7</v>
      </c>
      <c r="BF21" s="20">
        <f t="shared" si="53"/>
        <v>-88.6536870839304</v>
      </c>
      <c r="BG21" s="1">
        <f t="shared" si="54"/>
        <v>174.084122366739</v>
      </c>
      <c r="BH21" s="1">
        <f t="shared" si="55"/>
        <v>4.09131089642164</v>
      </c>
      <c r="BI21" s="1">
        <f t="shared" si="56"/>
        <v>985.651018458</v>
      </c>
      <c r="BJ21" s="1">
        <f t="shared" si="57"/>
        <v>174.084122366739</v>
      </c>
      <c r="BK21" s="1">
        <f t="shared" si="58"/>
        <v>4.09131089642164</v>
      </c>
      <c r="BL21" s="1">
        <f t="shared" si="59"/>
        <v>985.651018458</v>
      </c>
      <c r="BM21" s="61">
        <f t="shared" si="60"/>
        <v>22462259.336607</v>
      </c>
      <c r="BN21" s="61">
        <f t="shared" si="61"/>
        <v>37185749.056141</v>
      </c>
      <c r="BO21" s="61">
        <f t="shared" si="62"/>
        <v>985.651018458</v>
      </c>
      <c r="BQ21" s="1" t="str">
        <f t="shared" si="63"/>
        <v>N 79° 58.9' / W 068° 33.8'</v>
      </c>
      <c r="BR21" s="1" t="str">
        <f t="shared" si="64"/>
        <v>19X 501327 1395380</v>
      </c>
      <c r="BS21" s="1" t="str">
        <f t="shared" si="65"/>
        <v>19X EP 013953</v>
      </c>
      <c r="BT21" s="1" t="b">
        <f t="shared" si="66"/>
        <v>0</v>
      </c>
      <c r="BU21" s="1" t="str">
        <f t="shared" si="67"/>
        <v>19X</v>
      </c>
      <c r="BV21" s="1">
        <f t="shared" si="68"/>
        <v>19</v>
      </c>
      <c r="BW21" s="1">
        <f t="shared" si="69"/>
        <v>0</v>
      </c>
      <c r="BX21" s="1">
        <f t="shared" si="70"/>
        <v>-69</v>
      </c>
      <c r="BY21" s="1">
        <f t="shared" si="71"/>
        <v>1327.70183475238</v>
      </c>
      <c r="BZ21" s="1">
        <f t="shared" si="72"/>
        <v>501327.7018</v>
      </c>
      <c r="CA21" s="1" t="str">
        <f t="shared" si="73"/>
        <v>E</v>
      </c>
      <c r="CB21" s="1" t="str">
        <f t="shared" si="74"/>
        <v>501327</v>
      </c>
      <c r="CC21" s="1" t="str">
        <f t="shared" si="75"/>
        <v>01327</v>
      </c>
      <c r="CD21" s="1">
        <f t="shared" si="76"/>
        <v>1395380.09091661</v>
      </c>
      <c r="CE21" s="1">
        <f t="shared" si="77"/>
        <v>1395380.0909</v>
      </c>
      <c r="CF21" s="1" t="str">
        <f t="shared" si="78"/>
        <v>P</v>
      </c>
      <c r="CG21" s="1" t="str">
        <f t="shared" si="79"/>
        <v>1395380</v>
      </c>
      <c r="CH21" s="1" t="str">
        <f t="shared" si="80"/>
        <v>95380</v>
      </c>
      <c r="CJ21" s="1">
        <f t="shared" si="81"/>
        <v>223</v>
      </c>
      <c r="CK21" s="1" t="str">
        <f t="shared" si="82"/>
        <v>QD</v>
      </c>
      <c r="CL21" s="1">
        <f t="shared" si="83"/>
        <v>2</v>
      </c>
      <c r="CM21" s="1">
        <f t="shared" si="84"/>
        <v>3</v>
      </c>
      <c r="CN21" s="1">
        <f t="shared" si="85"/>
        <v>2</v>
      </c>
      <c r="CO21" s="1">
        <f t="shared" si="86"/>
        <v>2</v>
      </c>
      <c r="CP21" s="1" t="str">
        <f t="shared" si="87"/>
        <v>223QD23</v>
      </c>
      <c r="CR21" s="1" t="e">
        <f t="shared" si="88"/>
        <v>#VALUE!</v>
      </c>
      <c r="CS21" s="1" t="e">
        <f t="shared" si="89"/>
        <v>#VALUE!</v>
      </c>
      <c r="CT21" s="1">
        <f t="shared" si="90"/>
        <v>4</v>
      </c>
      <c r="CU21" s="1">
        <f t="shared" si="91"/>
        <v>5</v>
      </c>
      <c r="CV21" s="131" t="e">
        <f t="shared" si="92"/>
        <v>#VALUE!</v>
      </c>
      <c r="CW21" s="131">
        <v>1614.8</v>
      </c>
      <c r="CX21" s="131">
        <v>1700.3</v>
      </c>
      <c r="CY21" s="131">
        <v>1804.9</v>
      </c>
      <c r="CZ21" s="131">
        <v>1881.7</v>
      </c>
      <c r="DA21" s="131">
        <v>2431.5</v>
      </c>
      <c r="DC21" s="154">
        <f t="shared" si="93"/>
        <v>-63.642723848</v>
      </c>
      <c r="DD21" s="154">
        <f t="shared" si="94"/>
        <v>985.651018458</v>
      </c>
      <c r="DE21" s="154">
        <f t="shared" si="95"/>
        <v>-162.08523741</v>
      </c>
      <c r="DF21" s="1">
        <f t="shared" si="96"/>
        <v>-9.31935247688721</v>
      </c>
      <c r="DG21" s="1">
        <f t="shared" si="97"/>
        <v>93.6944156257707</v>
      </c>
      <c r="DH21" s="1">
        <f t="shared" si="98"/>
        <v>278</v>
      </c>
      <c r="DI21" s="1">
        <f t="shared" si="99"/>
        <v>291</v>
      </c>
      <c r="DJ21" s="1">
        <f t="shared" si="100"/>
        <v>352</v>
      </c>
      <c r="DK21" s="1">
        <f t="shared" si="101"/>
        <v>278</v>
      </c>
      <c r="DL21" s="1">
        <f t="shared" si="102"/>
        <v>291</v>
      </c>
      <c r="DM21" s="1">
        <f t="shared" si="103"/>
        <v>352</v>
      </c>
    </row>
    <row r="22" customHeight="1" spans="1:117">
      <c r="A22" s="152" t="str">
        <f t="shared" si="107"/>
        <v>Outpost 54 (Stash House)</v>
      </c>
      <c r="C22" s="55" t="str">
        <f t="shared" si="5"/>
        <v>S 83° 25.9' / E 007° 16.0'</v>
      </c>
      <c r="D22" s="150" t="str">
        <f t="shared" si="6"/>
        <v>932 m</v>
      </c>
      <c r="E22" s="151">
        <f t="shared" si="7"/>
        <v>2436.6</v>
      </c>
      <c r="F22" s="151">
        <f t="shared" si="8"/>
        <v>459.7</v>
      </c>
      <c r="G22" s="151">
        <f t="shared" si="9"/>
        <v>1741.4</v>
      </c>
      <c r="H22" s="151">
        <f t="shared" si="10"/>
        <v>1765.2</v>
      </c>
      <c r="I22" s="151">
        <f t="shared" si="11"/>
        <v>1657.5</v>
      </c>
      <c r="J22" s="171">
        <f t="shared" si="12"/>
        <v>1844.3</v>
      </c>
      <c r="K22" s="172">
        <f t="shared" si="108"/>
        <v>113.566409472</v>
      </c>
      <c r="L22" s="172">
        <f t="shared" si="109"/>
        <v>14.479383223</v>
      </c>
      <c r="M22" s="173">
        <f t="shared" si="110"/>
        <v>-994.362778214</v>
      </c>
      <c r="N22" s="54">
        <f t="shared" si="13"/>
        <v>0.05387832881121</v>
      </c>
      <c r="O22" s="55" t="str">
        <f t="shared" si="14"/>
        <v>After midnight / Rises in 74m</v>
      </c>
      <c r="P22" s="55" t="str">
        <f t="shared" si="15"/>
        <v>082°M / -10°</v>
      </c>
      <c r="Q22" s="56">
        <f t="shared" si="16"/>
        <v>45683.7574431387</v>
      </c>
      <c r="R22" s="56">
        <f t="shared" si="17"/>
        <v>45683.7631653608</v>
      </c>
      <c r="S22" s="56">
        <f t="shared" si="18"/>
        <v>45683.7901045252</v>
      </c>
      <c r="T22" s="56">
        <f t="shared" si="19"/>
        <v>45683.8170436896</v>
      </c>
      <c r="U22" s="180">
        <f t="shared" si="20"/>
        <v>45683.8227659117</v>
      </c>
      <c r="V22" s="55" t="str">
        <f t="shared" si="21"/>
        <v>Obstructed / Rises in 40m</v>
      </c>
      <c r="W22" s="55" t="str">
        <f t="shared" si="22"/>
        <v>068°M / -06°</v>
      </c>
      <c r="X22" s="56">
        <f t="shared" si="23"/>
        <v>45683.739221832</v>
      </c>
      <c r="Y22" s="180">
        <f t="shared" si="24"/>
        <v>45683.8274201502</v>
      </c>
      <c r="Z22" s="55" t="str">
        <f t="shared" si="25"/>
        <v>006°M / -49°</v>
      </c>
      <c r="AA22" s="151">
        <f t="shared" si="26"/>
        <v>1517.1</v>
      </c>
      <c r="AB22" s="150">
        <f t="shared" si="27"/>
        <v>1719.5</v>
      </c>
      <c r="AC22" s="188">
        <v>13</v>
      </c>
      <c r="AD22" s="1" t="b">
        <f t="shared" si="28"/>
        <v>1</v>
      </c>
      <c r="AE22" s="1">
        <f t="shared" si="29"/>
        <v>-83.4321828557151</v>
      </c>
      <c r="AF22" s="1">
        <f t="shared" si="30"/>
        <v>7.26584264253397</v>
      </c>
      <c r="AG22" s="1">
        <f t="shared" si="31"/>
        <v>7.26584264253397</v>
      </c>
      <c r="AH22" s="2">
        <f t="shared" si="32"/>
        <v>0.931724243139797</v>
      </c>
      <c r="AI22" s="1">
        <f t="shared" si="33"/>
        <v>2.47236618814173</v>
      </c>
      <c r="AJ22" s="191">
        <f t="shared" si="105"/>
        <v>0</v>
      </c>
      <c r="AK22" s="191">
        <f t="shared" si="106"/>
        <v>0</v>
      </c>
      <c r="AL22" s="191">
        <f t="shared" si="34"/>
        <v>56.4937830373314</v>
      </c>
      <c r="AM22" s="20">
        <f t="shared" si="35"/>
        <v>164.733765572369</v>
      </c>
      <c r="AN22" s="191">
        <f t="shared" si="36"/>
        <v>2.61012693710384</v>
      </c>
      <c r="AO22" s="134">
        <f t="shared" si="37"/>
        <v>165</v>
      </c>
      <c r="AP22" s="64">
        <f t="shared" si="38"/>
        <v>-3</v>
      </c>
      <c r="AQ22" s="1">
        <f t="shared" si="104"/>
        <v>92.4797922114553</v>
      </c>
      <c r="AR22" s="20">
        <f t="shared" si="39"/>
        <v>150.508101483593</v>
      </c>
      <c r="AS22" s="1">
        <f t="shared" si="40"/>
        <v>6.56682598097012</v>
      </c>
      <c r="AT22" s="134">
        <f t="shared" si="41"/>
        <v>150</v>
      </c>
      <c r="AU22" s="64">
        <f t="shared" si="42"/>
        <v>-6</v>
      </c>
      <c r="AV22" s="65">
        <f t="shared" si="43"/>
        <v>45683.739221832</v>
      </c>
      <c r="AW22" s="65">
        <f t="shared" si="44"/>
        <v>45683.8274201502</v>
      </c>
      <c r="AX22" s="1">
        <f t="shared" si="45"/>
        <v>89</v>
      </c>
      <c r="AY22" s="1">
        <f t="shared" si="46"/>
        <v>-49</v>
      </c>
      <c r="AZ22" s="131">
        <f t="shared" si="47"/>
        <v>1517.1</v>
      </c>
      <c r="BA22" s="1">
        <f t="shared" si="48"/>
        <v>1719.5</v>
      </c>
      <c r="BB22" s="1">
        <f t="shared" si="49"/>
        <v>42369796.2249222</v>
      </c>
      <c r="BC22" s="1">
        <f t="shared" si="50"/>
        <v>-10</v>
      </c>
      <c r="BD22" s="1">
        <f t="shared" si="51"/>
        <v>57480949.5710531</v>
      </c>
      <c r="BE22" s="1">
        <f t="shared" si="52"/>
        <v>-6</v>
      </c>
      <c r="BF22" s="20">
        <f t="shared" si="53"/>
        <v>-12.8252847923585</v>
      </c>
      <c r="BG22" s="1">
        <f t="shared" si="54"/>
        <v>25.4134059045259</v>
      </c>
      <c r="BH22" s="1">
        <f t="shared" si="55"/>
        <v>111.62947952585</v>
      </c>
      <c r="BI22" s="1">
        <f t="shared" si="56"/>
        <v>-994.362778214</v>
      </c>
      <c r="BJ22" s="1">
        <f t="shared" si="57"/>
        <v>25.4134059045259</v>
      </c>
      <c r="BK22" s="1">
        <f t="shared" si="58"/>
        <v>111.62947952585</v>
      </c>
      <c r="BL22" s="1">
        <f t="shared" si="59"/>
        <v>-994.362778214</v>
      </c>
      <c r="BM22" s="61">
        <f t="shared" si="60"/>
        <v>22462110.6658905</v>
      </c>
      <c r="BN22" s="61">
        <f t="shared" si="61"/>
        <v>37185856.5943096</v>
      </c>
      <c r="BO22" s="61">
        <f t="shared" si="62"/>
        <v>-994.362778214</v>
      </c>
      <c r="BQ22" s="1" t="str">
        <f t="shared" si="63"/>
        <v>S 83° 25.9' / E 007° 16.0'</v>
      </c>
      <c r="BR22" s="1" t="str">
        <f t="shared" si="64"/>
        <v>B 214426 313151</v>
      </c>
      <c r="BS22" s="1" t="str">
        <f t="shared" si="65"/>
        <v>B AP 144131</v>
      </c>
      <c r="BT22" s="1" t="b">
        <f t="shared" si="66"/>
        <v>1</v>
      </c>
      <c r="BU22" s="1" t="str">
        <f t="shared" si="67"/>
        <v>B</v>
      </c>
      <c r="BV22" s="1">
        <f t="shared" si="68"/>
        <v>32</v>
      </c>
      <c r="BW22" s="1">
        <f t="shared" si="69"/>
        <v>-90</v>
      </c>
      <c r="BX22" s="1">
        <f t="shared" si="70"/>
        <v>0</v>
      </c>
      <c r="BY22" s="1">
        <f t="shared" si="71"/>
        <v>14426.4487331951</v>
      </c>
      <c r="BZ22" s="1">
        <f t="shared" si="72"/>
        <v>214426.4487</v>
      </c>
      <c r="CA22" s="1" t="str">
        <f t="shared" si="73"/>
        <v>A</v>
      </c>
      <c r="CB22" s="1" t="str">
        <f t="shared" si="74"/>
        <v>214426</v>
      </c>
      <c r="CC22" s="1" t="str">
        <f t="shared" si="75"/>
        <v>14426</v>
      </c>
      <c r="CD22" s="1">
        <f t="shared" si="76"/>
        <v>113151.227426481</v>
      </c>
      <c r="CE22" s="1">
        <f t="shared" si="77"/>
        <v>313151.2274</v>
      </c>
      <c r="CF22" s="1" t="str">
        <f t="shared" si="78"/>
        <v>P</v>
      </c>
      <c r="CG22" s="1" t="str">
        <f t="shared" si="79"/>
        <v>313151</v>
      </c>
      <c r="CH22" s="1" t="str">
        <f t="shared" si="80"/>
        <v>13151</v>
      </c>
      <c r="CJ22" s="1">
        <f t="shared" si="81"/>
        <v>375</v>
      </c>
      <c r="CK22" s="1" t="str">
        <f t="shared" si="82"/>
        <v>AP</v>
      </c>
      <c r="CL22" s="1">
        <f t="shared" si="83"/>
        <v>4</v>
      </c>
      <c r="CM22" s="1">
        <f t="shared" si="84"/>
        <v>7</v>
      </c>
      <c r="CN22" s="1">
        <f t="shared" si="85"/>
        <v>0</v>
      </c>
      <c r="CO22" s="1">
        <f t="shared" si="86"/>
        <v>0</v>
      </c>
      <c r="CP22" s="1" t="str">
        <f t="shared" si="87"/>
        <v>375AP47</v>
      </c>
      <c r="CR22" s="1" t="e">
        <f t="shared" si="88"/>
        <v>#VALUE!</v>
      </c>
      <c r="CS22" s="1" t="e">
        <f t="shared" si="89"/>
        <v>#VALUE!</v>
      </c>
      <c r="CT22" s="1">
        <f t="shared" si="90"/>
        <v>5</v>
      </c>
      <c r="CU22" s="1">
        <f t="shared" si="91"/>
        <v>3</v>
      </c>
      <c r="CV22" s="131" t="e">
        <f t="shared" si="92"/>
        <v>#VALUE!</v>
      </c>
      <c r="CW22" s="131">
        <v>1657.5</v>
      </c>
      <c r="CX22" s="131">
        <v>1741.4</v>
      </c>
      <c r="CY22" s="131">
        <v>1765.2</v>
      </c>
      <c r="CZ22" s="131">
        <v>1844.3</v>
      </c>
      <c r="DA22" s="131">
        <v>2436.6</v>
      </c>
      <c r="DC22" s="154">
        <f t="shared" si="93"/>
        <v>-113.566409472</v>
      </c>
      <c r="DD22" s="154">
        <f t="shared" si="94"/>
        <v>-994.362778214</v>
      </c>
      <c r="DE22" s="154">
        <f t="shared" si="95"/>
        <v>14.479383223</v>
      </c>
      <c r="DF22" s="1">
        <f t="shared" si="96"/>
        <v>0.828864212752931</v>
      </c>
      <c r="DG22" s="1">
        <f t="shared" si="97"/>
        <v>-96.5155329924757</v>
      </c>
      <c r="DH22" s="1">
        <f t="shared" si="98"/>
        <v>82</v>
      </c>
      <c r="DI22" s="1">
        <f t="shared" si="99"/>
        <v>68</v>
      </c>
      <c r="DJ22" s="1">
        <f t="shared" si="100"/>
        <v>6</v>
      </c>
      <c r="DK22" s="1">
        <f t="shared" si="101"/>
        <v>82</v>
      </c>
      <c r="DL22" s="1">
        <f t="shared" si="102"/>
        <v>68</v>
      </c>
      <c r="DM22" s="1">
        <f t="shared" si="103"/>
        <v>6</v>
      </c>
    </row>
    <row r="23" customHeight="1" spans="1:117">
      <c r="A23" s="152" t="str">
        <f t="shared" si="107"/>
        <v/>
      </c>
      <c r="C23" s="55" t="str">
        <f t="shared" si="5"/>
        <v/>
      </c>
      <c r="D23" s="150" t="str">
        <f t="shared" si="6"/>
        <v/>
      </c>
      <c r="E23" s="151" t="str">
        <f t="shared" si="7"/>
        <v/>
      </c>
      <c r="F23" s="151" t="str">
        <f t="shared" si="8"/>
        <v/>
      </c>
      <c r="G23" s="151" t="str">
        <f t="shared" si="9"/>
        <v/>
      </c>
      <c r="H23" s="151" t="str">
        <f t="shared" si="10"/>
        <v/>
      </c>
      <c r="I23" s="151" t="str">
        <f t="shared" si="11"/>
        <v/>
      </c>
      <c r="J23" s="171" t="str">
        <f t="shared" si="12"/>
        <v/>
      </c>
      <c r="K23" s="172" t="str">
        <f t="shared" si="108"/>
        <v/>
      </c>
      <c r="L23" s="172" t="str">
        <f t="shared" si="109"/>
        <v/>
      </c>
      <c r="M23" s="173" t="str">
        <f t="shared" si="110"/>
        <v/>
      </c>
      <c r="N23" s="54" t="str">
        <f t="shared" si="13"/>
        <v/>
      </c>
      <c r="O23" s="55" t="str">
        <f t="shared" si="14"/>
        <v/>
      </c>
      <c r="P23" s="55" t="str">
        <f t="shared" si="15"/>
        <v/>
      </c>
      <c r="Q23" s="56" t="str">
        <f t="shared" si="16"/>
        <v/>
      </c>
      <c r="R23" s="56" t="str">
        <f t="shared" si="17"/>
        <v/>
      </c>
      <c r="S23" s="56" t="str">
        <f t="shared" si="18"/>
        <v/>
      </c>
      <c r="T23" s="56" t="str">
        <f t="shared" si="19"/>
        <v/>
      </c>
      <c r="U23" s="180" t="str">
        <f t="shared" si="20"/>
        <v/>
      </c>
      <c r="V23" s="55" t="str">
        <f t="shared" si="21"/>
        <v/>
      </c>
      <c r="W23" s="55" t="str">
        <f t="shared" si="22"/>
        <v/>
      </c>
      <c r="X23" s="56" t="str">
        <f t="shared" si="23"/>
        <v/>
      </c>
      <c r="Y23" s="180" t="str">
        <f t="shared" si="24"/>
        <v/>
      </c>
      <c r="Z23" s="55" t="str">
        <f t="shared" si="25"/>
        <v/>
      </c>
      <c r="AA23" s="55" t="str">
        <f t="shared" si="26"/>
        <v/>
      </c>
      <c r="AB23" s="150" t="str">
        <f t="shared" si="27"/>
        <v/>
      </c>
      <c r="AC23" s="188">
        <v>14</v>
      </c>
      <c r="AD23" s="1" t="b">
        <f t="shared" si="28"/>
        <v>0</v>
      </c>
      <c r="AE23" s="1" t="str">
        <f t="shared" si="29"/>
        <v/>
      </c>
      <c r="AF23" s="1" t="str">
        <f t="shared" si="30"/>
        <v/>
      </c>
      <c r="AG23" s="1" t="str">
        <f t="shared" si="31"/>
        <v/>
      </c>
      <c r="AH23" s="1" t="str">
        <f t="shared" si="32"/>
        <v/>
      </c>
      <c r="AI23" s="1" t="str">
        <f t="shared" si="33"/>
        <v/>
      </c>
      <c r="AJ23" s="191" t="str">
        <f t="shared" si="105"/>
        <v/>
      </c>
      <c r="AK23" s="191" t="str">
        <f t="shared" si="106"/>
        <v/>
      </c>
      <c r="AL23" s="191" t="str">
        <f t="shared" si="34"/>
        <v/>
      </c>
      <c r="AM23" s="1" t="str">
        <f t="shared" si="35"/>
        <v/>
      </c>
      <c r="AN23" s="191" t="str">
        <f t="shared" si="36"/>
        <v/>
      </c>
      <c r="AO23" s="134" t="str">
        <f t="shared" si="37"/>
        <v/>
      </c>
      <c r="AP23" s="64" t="str">
        <f t="shared" si="38"/>
        <v/>
      </c>
      <c r="AQ23" s="1" t="str">
        <f t="shared" si="104"/>
        <v/>
      </c>
      <c r="AR23" s="1" t="str">
        <f t="shared" si="39"/>
        <v/>
      </c>
      <c r="AS23" s="1" t="str">
        <f t="shared" si="40"/>
        <v/>
      </c>
      <c r="AT23" s="134" t="str">
        <f t="shared" si="41"/>
        <v/>
      </c>
      <c r="AU23" s="64" t="str">
        <f t="shared" si="42"/>
        <v/>
      </c>
      <c r="AV23" s="65" t="str">
        <f t="shared" si="43"/>
        <v/>
      </c>
      <c r="AW23" s="65" t="str">
        <f t="shared" si="44"/>
        <v/>
      </c>
      <c r="AX23" s="1" t="str">
        <f t="shared" si="45"/>
        <v/>
      </c>
      <c r="AY23" s="1" t="str">
        <f t="shared" si="46"/>
        <v/>
      </c>
      <c r="AZ23" s="131" t="str">
        <f t="shared" si="47"/>
        <v/>
      </c>
      <c r="BA23" s="1" t="str">
        <f t="shared" si="48"/>
        <v/>
      </c>
      <c r="BB23" s="1" t="str">
        <f t="shared" si="49"/>
        <v/>
      </c>
      <c r="BC23" s="1" t="str">
        <f t="shared" si="50"/>
        <v/>
      </c>
      <c r="BD23" s="1" t="str">
        <f t="shared" si="51"/>
        <v/>
      </c>
      <c r="BE23" s="1" t="str">
        <f t="shared" si="52"/>
        <v/>
      </c>
      <c r="BF23" s="1" t="str">
        <f t="shared" si="53"/>
        <v/>
      </c>
      <c r="BG23" s="1" t="str">
        <f t="shared" si="54"/>
        <v/>
      </c>
      <c r="BH23" s="1" t="str">
        <f t="shared" si="55"/>
        <v/>
      </c>
      <c r="BI23" s="1" t="str">
        <f t="shared" si="56"/>
        <v/>
      </c>
      <c r="BJ23" s="1" t="str">
        <f t="shared" si="57"/>
        <v/>
      </c>
      <c r="BK23" s="1" t="str">
        <f t="shared" si="58"/>
        <v/>
      </c>
      <c r="BL23" s="1" t="str">
        <f t="shared" si="59"/>
        <v/>
      </c>
      <c r="BM23" s="1" t="str">
        <f t="shared" si="60"/>
        <v/>
      </c>
      <c r="BN23" s="1" t="str">
        <f t="shared" si="61"/>
        <v/>
      </c>
      <c r="BO23" s="1" t="str">
        <f t="shared" si="62"/>
        <v/>
      </c>
      <c r="BQ23" s="1" t="str">
        <f t="shared" si="63"/>
        <v/>
      </c>
      <c r="BR23" s="1" t="str">
        <f t="shared" si="64"/>
        <v/>
      </c>
      <c r="BS23" s="1" t="str">
        <f t="shared" si="65"/>
        <v/>
      </c>
      <c r="BT23" s="1" t="str">
        <f t="shared" si="66"/>
        <v/>
      </c>
      <c r="BU23" s="1" t="str">
        <f t="shared" si="67"/>
        <v/>
      </c>
      <c r="BV23" s="1" t="str">
        <f t="shared" si="68"/>
        <v/>
      </c>
      <c r="BW23" s="1" t="str">
        <f t="shared" si="69"/>
        <v/>
      </c>
      <c r="BX23" s="1" t="str">
        <f t="shared" si="70"/>
        <v/>
      </c>
      <c r="BY23" s="1" t="str">
        <f t="shared" si="71"/>
        <v/>
      </c>
      <c r="BZ23" s="1" t="str">
        <f t="shared" si="72"/>
        <v/>
      </c>
      <c r="CA23" s="1" t="str">
        <f t="shared" si="73"/>
        <v/>
      </c>
      <c r="CB23" s="1" t="str">
        <f t="shared" si="74"/>
        <v/>
      </c>
      <c r="CC23" s="1" t="str">
        <f t="shared" si="75"/>
        <v/>
      </c>
      <c r="CD23" s="1" t="str">
        <f t="shared" si="76"/>
        <v/>
      </c>
      <c r="CE23" s="1" t="str">
        <f t="shared" si="77"/>
        <v/>
      </c>
      <c r="CF23" s="1" t="str">
        <f t="shared" si="78"/>
        <v/>
      </c>
      <c r="CG23" s="1" t="str">
        <f t="shared" si="79"/>
        <v/>
      </c>
      <c r="CH23" s="1" t="str">
        <f t="shared" si="80"/>
        <v/>
      </c>
      <c r="CJ23" s="1" t="str">
        <f t="shared" si="81"/>
        <v/>
      </c>
      <c r="CK23" s="1" t="str">
        <f t="shared" si="82"/>
        <v/>
      </c>
      <c r="CL23" s="1" t="str">
        <f t="shared" si="83"/>
        <v/>
      </c>
      <c r="CM23" s="1" t="str">
        <f t="shared" si="84"/>
        <v/>
      </c>
      <c r="CN23" s="1" t="str">
        <f t="shared" si="85"/>
        <v/>
      </c>
      <c r="CO23" s="1" t="str">
        <f t="shared" si="86"/>
        <v/>
      </c>
      <c r="CP23" s="1" t="str">
        <f t="shared" si="87"/>
        <v/>
      </c>
      <c r="CR23" s="1" t="str">
        <f t="shared" si="88"/>
        <v/>
      </c>
      <c r="CS23" s="1" t="str">
        <f t="shared" si="89"/>
        <v/>
      </c>
      <c r="CT23" s="1" t="str">
        <f t="shared" si="90"/>
        <v/>
      </c>
      <c r="CU23" s="1" t="str">
        <f t="shared" si="91"/>
        <v/>
      </c>
      <c r="CV23" s="1" t="str">
        <f t="shared" si="92"/>
        <v/>
      </c>
      <c r="DC23" s="154" t="e">
        <f t="shared" si="93"/>
        <v>#VALUE!</v>
      </c>
      <c r="DD23" s="154" t="str">
        <f t="shared" si="94"/>
        <v/>
      </c>
      <c r="DE23" s="154" t="str">
        <f t="shared" si="95"/>
        <v/>
      </c>
      <c r="DF23" s="1" t="str">
        <f t="shared" si="96"/>
        <v/>
      </c>
      <c r="DG23" s="1" t="str">
        <f t="shared" si="97"/>
        <v/>
      </c>
      <c r="DH23" s="1" t="str">
        <f t="shared" si="98"/>
        <v/>
      </c>
      <c r="DI23" s="1" t="str">
        <f t="shared" si="99"/>
        <v/>
      </c>
      <c r="DJ23" s="1" t="str">
        <f t="shared" si="100"/>
        <v/>
      </c>
      <c r="DK23" s="1" t="str">
        <f t="shared" si="101"/>
        <v/>
      </c>
      <c r="DL23" s="1" t="str">
        <f t="shared" si="102"/>
        <v/>
      </c>
      <c r="DM23" s="1" t="str">
        <f t="shared" si="103"/>
        <v/>
      </c>
    </row>
    <row r="24" customHeight="1" spans="1:117">
      <c r="A24" s="152" t="str">
        <f t="shared" si="107"/>
        <v>Distribution Centers</v>
      </c>
      <c r="C24" s="55" t="e">
        <f t="shared" si="5"/>
        <v>#DIV/0!</v>
      </c>
      <c r="D24" s="150" t="str">
        <f t="shared" si="6"/>
        <v>-1000000 m</v>
      </c>
      <c r="E24" s="151">
        <f t="shared" si="7"/>
        <v>1439.6</v>
      </c>
      <c r="F24" s="151">
        <f t="shared" si="8"/>
        <v>1439.6</v>
      </c>
      <c r="G24" s="151">
        <f t="shared" si="9"/>
        <v>1439.6</v>
      </c>
      <c r="H24" s="151">
        <f t="shared" si="10"/>
        <v>1439.6</v>
      </c>
      <c r="I24" s="151">
        <f t="shared" si="11"/>
        <v>1439.6</v>
      </c>
      <c r="J24" s="171">
        <f t="shared" si="12"/>
        <v>1439.6</v>
      </c>
      <c r="K24" s="172">
        <f t="shared" si="108"/>
        <v>0</v>
      </c>
      <c r="L24" s="172">
        <f t="shared" si="109"/>
        <v>0</v>
      </c>
      <c r="M24" s="173">
        <f t="shared" si="110"/>
        <v>0</v>
      </c>
      <c r="N24" s="54" t="str">
        <f t="shared" si="13"/>
        <v>Continuous</v>
      </c>
      <c r="O24" s="55" t="e">
        <f t="shared" si="14"/>
        <v>#DIV/0!</v>
      </c>
      <c r="P24" s="55" t="e">
        <f t="shared" si="15"/>
        <v>#DIV/0!</v>
      </c>
      <c r="Q24" s="56" t="str">
        <f t="shared" si="16"/>
        <v/>
      </c>
      <c r="R24" s="56" t="str">
        <f t="shared" si="17"/>
        <v/>
      </c>
      <c r="S24" s="56" t="str">
        <f t="shared" si="18"/>
        <v/>
      </c>
      <c r="T24" s="56" t="str">
        <f t="shared" si="19"/>
        <v/>
      </c>
      <c r="U24" s="180" t="str">
        <f t="shared" si="20"/>
        <v/>
      </c>
      <c r="V24" s="55" t="e">
        <f t="shared" si="21"/>
        <v>#DIV/0!</v>
      </c>
      <c r="W24" s="55" t="e">
        <f t="shared" si="22"/>
        <v>#DIV/0!</v>
      </c>
      <c r="X24" s="56" t="str">
        <f t="shared" si="23"/>
        <v/>
      </c>
      <c r="Y24" s="180" t="str">
        <f t="shared" si="24"/>
        <v/>
      </c>
      <c r="Z24" s="55" t="e">
        <f t="shared" si="25"/>
        <v>#DIV/0!</v>
      </c>
      <c r="AA24" s="55">
        <f t="shared" si="26"/>
        <v>1001.4</v>
      </c>
      <c r="AB24" s="150" t="e">
        <f t="shared" si="27"/>
        <v>#DIV/0!</v>
      </c>
      <c r="AC24" s="188">
        <v>15</v>
      </c>
      <c r="AD24" s="1" t="b">
        <f t="shared" si="28"/>
        <v>1</v>
      </c>
      <c r="AE24" s="1" t="e">
        <f t="shared" si="29"/>
        <v>#DIV/0!</v>
      </c>
      <c r="AF24" s="1" t="e">
        <f t="shared" si="30"/>
        <v>#DIV/0!</v>
      </c>
      <c r="AG24" s="1" t="e">
        <f t="shared" si="31"/>
        <v>#DIV/0!</v>
      </c>
      <c r="AH24" s="1">
        <f t="shared" si="32"/>
        <v>-1000</v>
      </c>
      <c r="AI24" s="1">
        <f t="shared" si="33"/>
        <v>0</v>
      </c>
      <c r="AJ24" s="191">
        <f t="shared" si="105"/>
        <v>0</v>
      </c>
      <c r="AK24" s="191">
        <f t="shared" si="106"/>
        <v>0</v>
      </c>
      <c r="AL24" s="191" t="e">
        <f t="shared" si="34"/>
        <v>#DIV/0!</v>
      </c>
      <c r="AM24" s="1" t="e">
        <f t="shared" si="35"/>
        <v>#DIV/0!</v>
      </c>
      <c r="AN24" s="191">
        <f t="shared" si="36"/>
        <v>90</v>
      </c>
      <c r="AO24" s="134" t="e">
        <f t="shared" si="37"/>
        <v>#DIV/0!</v>
      </c>
      <c r="AP24" s="64" t="e">
        <f t="shared" si="38"/>
        <v>#DIV/0!</v>
      </c>
      <c r="AQ24" s="1" t="e">
        <f t="shared" si="104"/>
        <v>#DIV/0!</v>
      </c>
      <c r="AR24" s="1" t="e">
        <f t="shared" si="39"/>
        <v>#DIV/0!</v>
      </c>
      <c r="AS24" s="1">
        <f t="shared" si="40"/>
        <v>90</v>
      </c>
      <c r="AT24" s="134" t="e">
        <f t="shared" si="41"/>
        <v>#DIV/0!</v>
      </c>
      <c r="AU24" s="64" t="e">
        <f t="shared" si="42"/>
        <v>#DIV/0!</v>
      </c>
      <c r="AV24" s="65" t="e">
        <f t="shared" si="43"/>
        <v>#DIV/0!</v>
      </c>
      <c r="AW24" s="65" t="e">
        <f t="shared" si="44"/>
        <v>#DIV/0!</v>
      </c>
      <c r="AX24" s="1" t="e">
        <f t="shared" si="45"/>
        <v>#DIV/0!</v>
      </c>
      <c r="AY24" s="1" t="e">
        <f t="shared" si="46"/>
        <v>#DIV/0!</v>
      </c>
      <c r="AZ24" s="131">
        <f t="shared" si="47"/>
        <v>1001.4</v>
      </c>
      <c r="BA24" s="1" t="e">
        <f t="shared" si="48"/>
        <v>#DIV/0!</v>
      </c>
      <c r="BB24" s="1">
        <f t="shared" si="49"/>
        <v>42369617.4235177</v>
      </c>
      <c r="BC24" s="1" t="e">
        <f t="shared" si="50"/>
        <v>#DIV/0!</v>
      </c>
      <c r="BD24" s="1">
        <f t="shared" si="51"/>
        <v>57480849.9111489</v>
      </c>
      <c r="BE24" s="1" t="e">
        <f t="shared" si="52"/>
        <v>#DIV/0!</v>
      </c>
      <c r="BF24" s="1" t="e">
        <f t="shared" si="53"/>
        <v>#DIV/0!</v>
      </c>
      <c r="BG24" s="1" t="e">
        <f t="shared" si="54"/>
        <v>#DIV/0!</v>
      </c>
      <c r="BH24" s="1" t="e">
        <f t="shared" si="55"/>
        <v>#DIV/0!</v>
      </c>
      <c r="BI24" s="1" t="e">
        <f t="shared" si="56"/>
        <v>#DIV/0!</v>
      </c>
      <c r="BJ24" s="1" t="e">
        <f t="shared" si="57"/>
        <v>#DIV/0!</v>
      </c>
      <c r="BK24" s="1" t="e">
        <f t="shared" si="58"/>
        <v>#DIV/0!</v>
      </c>
      <c r="BL24" s="1" t="e">
        <f t="shared" si="59"/>
        <v>#DIV/0!</v>
      </c>
      <c r="BM24" s="1" t="e">
        <f t="shared" si="60"/>
        <v>#DIV/0!</v>
      </c>
      <c r="BN24" s="1" t="e">
        <f t="shared" si="61"/>
        <v>#DIV/0!</v>
      </c>
      <c r="BO24" s="1" t="e">
        <f t="shared" si="62"/>
        <v>#DIV/0!</v>
      </c>
      <c r="BQ24" s="1" t="e">
        <f t="shared" si="63"/>
        <v>#DIV/0!</v>
      </c>
      <c r="BR24" s="1" t="e">
        <f t="shared" si="64"/>
        <v>#DIV/0!</v>
      </c>
      <c r="BS24" s="1" t="e">
        <f t="shared" si="65"/>
        <v>#DIV/0!</v>
      </c>
      <c r="BT24" s="1" t="e">
        <f t="shared" si="66"/>
        <v>#DIV/0!</v>
      </c>
      <c r="BU24" s="1" t="e">
        <f t="shared" si="67"/>
        <v>#DIV/0!</v>
      </c>
      <c r="BV24" s="1" t="e">
        <f t="shared" si="68"/>
        <v>#DIV/0!</v>
      </c>
      <c r="BW24" s="1" t="e">
        <f t="shared" si="69"/>
        <v>#DIV/0!</v>
      </c>
      <c r="BX24" s="1" t="e">
        <f t="shared" si="70"/>
        <v>#DIV/0!</v>
      </c>
      <c r="BY24" s="1" t="e">
        <f t="shared" si="71"/>
        <v>#DIV/0!</v>
      </c>
      <c r="BZ24" s="1" t="e">
        <f t="shared" si="72"/>
        <v>#DIV/0!</v>
      </c>
      <c r="CA24" s="1" t="e">
        <f t="shared" si="73"/>
        <v>#DIV/0!</v>
      </c>
      <c r="CB24" s="1" t="e">
        <f t="shared" si="74"/>
        <v>#DIV/0!</v>
      </c>
      <c r="CC24" s="1" t="e">
        <f t="shared" si="75"/>
        <v>#DIV/0!</v>
      </c>
      <c r="CD24" s="1" t="e">
        <f t="shared" si="76"/>
        <v>#DIV/0!</v>
      </c>
      <c r="CE24" s="1" t="e">
        <f t="shared" si="77"/>
        <v>#DIV/0!</v>
      </c>
      <c r="CF24" s="1" t="e">
        <f t="shared" si="78"/>
        <v>#DIV/0!</v>
      </c>
      <c r="CG24" s="1" t="e">
        <f t="shared" si="79"/>
        <v>#DIV/0!</v>
      </c>
      <c r="CH24" s="1" t="e">
        <f t="shared" si="80"/>
        <v>#DIV/0!</v>
      </c>
      <c r="CJ24" s="1" t="e">
        <f t="shared" si="81"/>
        <v>#DIV/0!</v>
      </c>
      <c r="CK24" s="1" t="e">
        <f t="shared" si="82"/>
        <v>#DIV/0!</v>
      </c>
      <c r="CL24" s="1" t="e">
        <f t="shared" si="83"/>
        <v>#DIV/0!</v>
      </c>
      <c r="CM24" s="1" t="e">
        <f t="shared" si="84"/>
        <v>#DIV/0!</v>
      </c>
      <c r="CN24" s="1" t="e">
        <f t="shared" si="85"/>
        <v>#DIV/0!</v>
      </c>
      <c r="CO24" s="1" t="e">
        <f t="shared" si="86"/>
        <v>#DIV/0!</v>
      </c>
      <c r="CP24" s="1" t="e">
        <f t="shared" si="87"/>
        <v>#DIV/0!</v>
      </c>
      <c r="CR24" s="1" t="e">
        <f t="shared" si="88"/>
        <v>#VALUE!</v>
      </c>
      <c r="CS24" s="1" t="e">
        <f t="shared" si="89"/>
        <v>#VALUE!</v>
      </c>
      <c r="CT24" s="1" t="str">
        <f t="shared" si="90"/>
        <v/>
      </c>
      <c r="CU24" s="1" t="str">
        <f t="shared" si="91"/>
        <v/>
      </c>
      <c r="CV24" s="1" t="e">
        <f t="shared" si="92"/>
        <v>#VALUE!</v>
      </c>
      <c r="DC24" s="154">
        <f t="shared" si="93"/>
        <v>0</v>
      </c>
      <c r="DD24" s="154">
        <f t="shared" si="94"/>
        <v>0</v>
      </c>
      <c r="DE24" s="154">
        <f t="shared" si="95"/>
        <v>0</v>
      </c>
      <c r="DF24" s="1" t="e">
        <f t="shared" si="96"/>
        <v>#DIV/0!</v>
      </c>
      <c r="DG24" s="1" t="e">
        <f t="shared" si="97"/>
        <v>#DIV/0!</v>
      </c>
      <c r="DH24" s="1" t="e">
        <f t="shared" si="98"/>
        <v>#DIV/0!</v>
      </c>
      <c r="DI24" s="1" t="e">
        <f t="shared" si="99"/>
        <v>#DIV/0!</v>
      </c>
      <c r="DJ24" s="1" t="e">
        <f t="shared" si="100"/>
        <v>#DIV/0!</v>
      </c>
      <c r="DK24" s="1" t="e">
        <f t="shared" si="101"/>
        <v>#DIV/0!</v>
      </c>
      <c r="DL24" s="1" t="e">
        <f t="shared" si="102"/>
        <v>#DIV/0!</v>
      </c>
      <c r="DM24" s="1" t="e">
        <f t="shared" si="103"/>
        <v>#DIV/0!</v>
      </c>
    </row>
    <row r="25" customHeight="1" spans="1:117">
      <c r="A25" s="152" t="str">
        <f t="shared" si="107"/>
        <v>Covalex Distribution Centre S4DC05</v>
      </c>
      <c r="C25" s="55" t="str">
        <f t="shared" si="5"/>
        <v>S 16° 51.8' / E 110° 19.3'</v>
      </c>
      <c r="D25" s="150" t="str">
        <f t="shared" si="6"/>
        <v>450 m</v>
      </c>
      <c r="E25" s="151">
        <f t="shared" si="7"/>
        <v>1977.1</v>
      </c>
      <c r="F25" s="151">
        <f t="shared" si="8"/>
        <v>1495.9</v>
      </c>
      <c r="G25" s="151">
        <f t="shared" si="9"/>
        <v>698.8</v>
      </c>
      <c r="H25" s="151">
        <f t="shared" si="10"/>
        <v>2378.7</v>
      </c>
      <c r="I25" s="151">
        <f t="shared" si="11"/>
        <v>2007.7</v>
      </c>
      <c r="J25" s="171">
        <f t="shared" si="12"/>
        <v>1454.6</v>
      </c>
      <c r="K25" s="172">
        <f t="shared" si="108"/>
        <v>-332.505016295999</v>
      </c>
      <c r="L25" s="172">
        <f t="shared" si="109"/>
        <v>897.833806883999</v>
      </c>
      <c r="M25" s="173">
        <f t="shared" si="110"/>
        <v>-290.234081721</v>
      </c>
      <c r="N25" s="54">
        <f t="shared" si="13"/>
        <v>0.0872249543217663</v>
      </c>
      <c r="O25" s="55" t="str">
        <f t="shared" si="14"/>
        <v>Morning / Sets in 105m</v>
      </c>
      <c r="P25" s="55" t="str">
        <f t="shared" si="15"/>
        <v>129°M / +26°</v>
      </c>
      <c r="Q25" s="56">
        <f t="shared" si="16"/>
        <v>45683.8632941244</v>
      </c>
      <c r="R25" s="56">
        <f t="shared" si="17"/>
        <v>45683.8690163465</v>
      </c>
      <c r="S25" s="56">
        <f t="shared" si="18"/>
        <v>45683.7409621612</v>
      </c>
      <c r="T25" s="56">
        <f t="shared" si="19"/>
        <v>45683.7845746383</v>
      </c>
      <c r="U25" s="180">
        <f t="shared" si="20"/>
        <v>45683.7902968604</v>
      </c>
      <c r="V25" s="55" t="str">
        <f t="shared" si="21"/>
        <v>Sets in 96m</v>
      </c>
      <c r="W25" s="55" t="str">
        <f t="shared" si="22"/>
        <v>127°M / +40°</v>
      </c>
      <c r="X25" s="56">
        <f t="shared" si="23"/>
        <v>45683.8621052473</v>
      </c>
      <c r="Y25" s="180">
        <f t="shared" si="24"/>
        <v>45683.7779186694</v>
      </c>
      <c r="Z25" s="55" t="str">
        <f t="shared" si="25"/>
        <v>024°M / -14°</v>
      </c>
      <c r="AA25" s="151">
        <f t="shared" si="26"/>
        <v>492.2</v>
      </c>
      <c r="AB25" s="150">
        <f t="shared" si="27"/>
        <v>496.9</v>
      </c>
      <c r="AC25" s="188">
        <v>16</v>
      </c>
      <c r="AD25" s="1" t="b">
        <f t="shared" si="28"/>
        <v>1</v>
      </c>
      <c r="AE25" s="1">
        <f t="shared" si="29"/>
        <v>-16.8641481099638</v>
      </c>
      <c r="AF25" s="1">
        <f t="shared" si="30"/>
        <v>110.321676449288</v>
      </c>
      <c r="AG25" s="1">
        <f t="shared" si="31"/>
        <v>110.321676449288</v>
      </c>
      <c r="AH25" s="2">
        <f t="shared" si="32"/>
        <v>0.450375000304007</v>
      </c>
      <c r="AI25" s="1">
        <f t="shared" si="33"/>
        <v>1.71926683607456</v>
      </c>
      <c r="AJ25" s="191">
        <f t="shared" si="105"/>
        <v>0</v>
      </c>
      <c r="AK25" s="191">
        <f t="shared" si="106"/>
        <v>0</v>
      </c>
      <c r="AL25" s="191">
        <f t="shared" si="34"/>
        <v>91.4591776252301</v>
      </c>
      <c r="AM25" s="20">
        <f t="shared" si="35"/>
        <v>61.677931765615</v>
      </c>
      <c r="AN25" s="191">
        <f t="shared" si="36"/>
        <v>69.1790329381382</v>
      </c>
      <c r="AO25" s="134">
        <f t="shared" si="37"/>
        <v>77</v>
      </c>
      <c r="AP25" s="64">
        <f t="shared" si="38"/>
        <v>33</v>
      </c>
      <c r="AQ25" s="1">
        <f t="shared" si="104"/>
        <v>91.7266928593882</v>
      </c>
      <c r="AR25" s="20">
        <f t="shared" si="39"/>
        <v>47.4522676768394</v>
      </c>
      <c r="AS25" s="1">
        <f t="shared" si="40"/>
        <v>73.1355625857535</v>
      </c>
      <c r="AT25" s="134">
        <f t="shared" si="41"/>
        <v>75</v>
      </c>
      <c r="AU25" s="64">
        <f t="shared" si="42"/>
        <v>49</v>
      </c>
      <c r="AV25" s="65">
        <f t="shared" si="43"/>
        <v>45683.8621052473</v>
      </c>
      <c r="AW25" s="65">
        <f t="shared" si="44"/>
        <v>45683.7779186694</v>
      </c>
      <c r="AX25" s="1">
        <f t="shared" si="45"/>
        <v>332</v>
      </c>
      <c r="AY25" s="1">
        <f t="shared" si="46"/>
        <v>-14</v>
      </c>
      <c r="AZ25" s="131">
        <f t="shared" si="47"/>
        <v>492.2</v>
      </c>
      <c r="BA25" s="1">
        <f t="shared" si="48"/>
        <v>496.9</v>
      </c>
      <c r="BB25" s="1">
        <f t="shared" si="49"/>
        <v>42369184.3114701</v>
      </c>
      <c r="BC25" s="1">
        <f t="shared" si="50"/>
        <v>26</v>
      </c>
      <c r="BD25" s="1">
        <f t="shared" si="51"/>
        <v>57480202.5005312</v>
      </c>
      <c r="BE25" s="1">
        <f t="shared" si="52"/>
        <v>40</v>
      </c>
      <c r="BF25" s="20">
        <f t="shared" si="53"/>
        <v>90.2305490143951</v>
      </c>
      <c r="BG25" s="1">
        <f t="shared" si="54"/>
        <v>-957.418554625398</v>
      </c>
      <c r="BH25" s="1">
        <f t="shared" si="55"/>
        <v>-3.85251928374129</v>
      </c>
      <c r="BI25" s="1">
        <f t="shared" si="56"/>
        <v>-290.234081721</v>
      </c>
      <c r="BJ25" s="1">
        <f t="shared" si="57"/>
        <v>-957.418554625398</v>
      </c>
      <c r="BK25" s="1">
        <f t="shared" si="58"/>
        <v>-3.85251928374129</v>
      </c>
      <c r="BL25" s="1">
        <f t="shared" si="59"/>
        <v>-290.234081721</v>
      </c>
      <c r="BM25" s="61">
        <f t="shared" si="60"/>
        <v>22461127.83393</v>
      </c>
      <c r="BN25" s="61">
        <f t="shared" si="61"/>
        <v>37185741.1123108</v>
      </c>
      <c r="BO25" s="61">
        <f t="shared" si="62"/>
        <v>-290.234081721</v>
      </c>
      <c r="BQ25" s="1" t="str">
        <f t="shared" si="63"/>
        <v>S 16° 51.8' / E 110° 19.3'</v>
      </c>
      <c r="BR25" s="1" t="str">
        <f t="shared" si="64"/>
        <v>49K 488674 1705763</v>
      </c>
      <c r="BS25" s="1" t="str">
        <f t="shared" si="65"/>
        <v>49K DT 886057</v>
      </c>
      <c r="BT25" s="1" t="b">
        <f t="shared" si="66"/>
        <v>0</v>
      </c>
      <c r="BU25" s="1" t="str">
        <f t="shared" si="67"/>
        <v>49K</v>
      </c>
      <c r="BV25" s="1">
        <f t="shared" si="68"/>
        <v>49</v>
      </c>
      <c r="BW25" s="1">
        <f t="shared" si="69"/>
        <v>0</v>
      </c>
      <c r="BX25" s="1">
        <f t="shared" si="70"/>
        <v>111</v>
      </c>
      <c r="BY25" s="1">
        <f t="shared" si="71"/>
        <v>-11325.5356817425</v>
      </c>
      <c r="BZ25" s="1">
        <f t="shared" si="72"/>
        <v>488674.4643</v>
      </c>
      <c r="CA25" s="1" t="str">
        <f t="shared" si="73"/>
        <v>D</v>
      </c>
      <c r="CB25" s="1" t="str">
        <f t="shared" si="74"/>
        <v>488674</v>
      </c>
      <c r="CC25" s="1" t="str">
        <f t="shared" si="75"/>
        <v>88674</v>
      </c>
      <c r="CD25" s="1">
        <f t="shared" si="76"/>
        <v>-294236.625679511</v>
      </c>
      <c r="CE25" s="1">
        <f t="shared" si="77"/>
        <v>1705763.3743</v>
      </c>
      <c r="CF25" s="1" t="str">
        <f t="shared" si="78"/>
        <v>T</v>
      </c>
      <c r="CG25" s="1" t="str">
        <f t="shared" si="79"/>
        <v>1705763</v>
      </c>
      <c r="CH25" s="1" t="str">
        <f t="shared" si="80"/>
        <v>05763</v>
      </c>
      <c r="CJ25" s="1">
        <f t="shared" si="81"/>
        <v>581</v>
      </c>
      <c r="CK25" s="1" t="str">
        <f t="shared" si="82"/>
        <v>GC</v>
      </c>
      <c r="CL25" s="1">
        <f t="shared" si="83"/>
        <v>4</v>
      </c>
      <c r="CM25" s="1">
        <f t="shared" si="84"/>
        <v>4</v>
      </c>
      <c r="CN25" s="1">
        <f t="shared" si="85"/>
        <v>0</v>
      </c>
      <c r="CO25" s="1">
        <f t="shared" si="86"/>
        <v>1</v>
      </c>
      <c r="CP25" s="1" t="str">
        <f t="shared" si="87"/>
        <v>581GC44</v>
      </c>
      <c r="CR25" s="1" t="e">
        <f t="shared" si="88"/>
        <v>#VALUE!</v>
      </c>
      <c r="CS25" s="1" t="e">
        <f t="shared" si="89"/>
        <v>#VALUE!</v>
      </c>
      <c r="CT25" s="1">
        <f t="shared" si="90"/>
        <v>6</v>
      </c>
      <c r="CU25" s="1">
        <f t="shared" si="91"/>
        <v>2</v>
      </c>
      <c r="CV25" s="131" t="e">
        <f t="shared" si="92"/>
        <v>#VALUE!</v>
      </c>
      <c r="CW25" s="131">
        <v>1454.6</v>
      </c>
      <c r="CX25" s="131">
        <v>1495.9</v>
      </c>
      <c r="CY25" s="131">
        <v>1977.1</v>
      </c>
      <c r="CZ25" s="131">
        <v>2007.7</v>
      </c>
      <c r="DA25" s="131">
        <v>2378.7</v>
      </c>
      <c r="DC25" s="154">
        <f t="shared" si="93"/>
        <v>332.505016295999</v>
      </c>
      <c r="DD25" s="154">
        <f t="shared" si="94"/>
        <v>-290.234081721</v>
      </c>
      <c r="DE25" s="154">
        <f t="shared" si="95"/>
        <v>897.833806883999</v>
      </c>
      <c r="DF25" s="1">
        <f t="shared" si="96"/>
        <v>63.8222334395815</v>
      </c>
      <c r="DG25" s="1">
        <f t="shared" si="97"/>
        <v>-41.1167740281044</v>
      </c>
      <c r="DH25" s="1">
        <f t="shared" si="98"/>
        <v>129</v>
      </c>
      <c r="DI25" s="1">
        <f t="shared" si="99"/>
        <v>127</v>
      </c>
      <c r="DJ25" s="1">
        <f t="shared" si="100"/>
        <v>24</v>
      </c>
      <c r="DK25" s="1">
        <f t="shared" si="101"/>
        <v>129</v>
      </c>
      <c r="DL25" s="1">
        <f t="shared" si="102"/>
        <v>127</v>
      </c>
      <c r="DM25" s="1">
        <f t="shared" si="103"/>
        <v>24</v>
      </c>
    </row>
    <row r="26" customHeight="1" spans="1:117">
      <c r="A26" s="152" t="str">
        <f t="shared" si="107"/>
        <v>Cry-Astro Processing Plant 19-02</v>
      </c>
      <c r="C26" s="55" t="str">
        <f t="shared" si="5"/>
        <v>N 54° 16.5' / W 000° 04.6'</v>
      </c>
      <c r="D26" s="150" t="str">
        <f t="shared" si="6"/>
        <v>419 m</v>
      </c>
      <c r="E26" s="151">
        <f t="shared" si="7"/>
        <v>857.3</v>
      </c>
      <c r="F26" s="151">
        <f t="shared" si="8"/>
        <v>2326.3</v>
      </c>
      <c r="G26" s="151">
        <f t="shared" si="9"/>
        <v>1753.7</v>
      </c>
      <c r="H26" s="151">
        <f t="shared" si="10"/>
        <v>1752.4</v>
      </c>
      <c r="I26" s="151">
        <f t="shared" si="11"/>
        <v>1179.6</v>
      </c>
      <c r="J26" s="171">
        <f t="shared" si="12"/>
        <v>2180.6</v>
      </c>
      <c r="K26" s="172">
        <f t="shared" si="108"/>
        <v>584.139223971999</v>
      </c>
      <c r="L26" s="172">
        <f t="shared" si="109"/>
        <v>-0.789386706</v>
      </c>
      <c r="M26" s="173">
        <f t="shared" si="110"/>
        <v>812.169190745</v>
      </c>
      <c r="N26" s="54">
        <f t="shared" si="13"/>
        <v>0.0935750036001853</v>
      </c>
      <c r="O26" s="55" t="str">
        <f t="shared" si="14"/>
        <v>After midnight / Rises in 51m</v>
      </c>
      <c r="P26" s="55" t="str">
        <f t="shared" si="15"/>
        <v>279°M / -31°</v>
      </c>
      <c r="Q26" s="56">
        <f t="shared" si="16"/>
        <v>45683.7410964532</v>
      </c>
      <c r="R26" s="56">
        <f t="shared" si="17"/>
        <v>45683.7468186753</v>
      </c>
      <c r="S26" s="56">
        <f t="shared" si="18"/>
        <v>45683.7936061771</v>
      </c>
      <c r="T26" s="56">
        <f t="shared" si="19"/>
        <v>45683.8403936789</v>
      </c>
      <c r="U26" s="180">
        <f t="shared" si="20"/>
        <v>45683.846115901</v>
      </c>
      <c r="V26" s="55" t="str">
        <f t="shared" si="21"/>
        <v>Obstructed / Rises in 45m</v>
      </c>
      <c r="W26" s="55" t="str">
        <f t="shared" si="22"/>
        <v>297°M / -33°</v>
      </c>
      <c r="X26" s="56">
        <f t="shared" si="23"/>
        <v>45683.7431117214</v>
      </c>
      <c r="Y26" s="180">
        <f t="shared" si="24"/>
        <v>45683.8305335647</v>
      </c>
      <c r="Z26" s="55" t="str">
        <f t="shared" si="25"/>
        <v>349°M / -44°</v>
      </c>
      <c r="AA26" s="151">
        <f t="shared" si="26"/>
        <v>1382.6</v>
      </c>
      <c r="AB26" s="150">
        <f t="shared" si="27"/>
        <v>1524.8</v>
      </c>
      <c r="AC26" s="188">
        <v>17</v>
      </c>
      <c r="AD26" s="1" t="b">
        <f t="shared" si="28"/>
        <v>1</v>
      </c>
      <c r="AE26" s="1">
        <f t="shared" si="29"/>
        <v>54.2750248642105</v>
      </c>
      <c r="AF26" s="1">
        <f t="shared" si="30"/>
        <v>-0.0774276016221052</v>
      </c>
      <c r="AG26" s="1">
        <f t="shared" si="31"/>
        <v>359.922572398378</v>
      </c>
      <c r="AH26" s="2">
        <f t="shared" si="32"/>
        <v>0.418937500369907</v>
      </c>
      <c r="AI26" s="1">
        <f t="shared" si="33"/>
        <v>1.65819825353855</v>
      </c>
      <c r="AJ26" s="191">
        <f t="shared" si="105"/>
        <v>0</v>
      </c>
      <c r="AK26" s="191">
        <f t="shared" si="106"/>
        <v>0</v>
      </c>
      <c r="AL26" s="191">
        <f t="shared" si="34"/>
        <v>98.1174818845992</v>
      </c>
      <c r="AM26" s="20">
        <f t="shared" si="35"/>
        <v>172.077035816525</v>
      </c>
      <c r="AN26" s="191">
        <f t="shared" si="36"/>
        <v>39.68027202271</v>
      </c>
      <c r="AO26" s="134">
        <f t="shared" si="37"/>
        <v>9</v>
      </c>
      <c r="AP26" s="64">
        <f t="shared" si="38"/>
        <v>-39</v>
      </c>
      <c r="AQ26" s="1">
        <f t="shared" si="104"/>
        <v>91.6656242768522</v>
      </c>
      <c r="AR26" s="20">
        <f t="shared" si="39"/>
        <v>157.851371727749</v>
      </c>
      <c r="AS26" s="1">
        <f t="shared" si="40"/>
        <v>35.7241655737016</v>
      </c>
      <c r="AT26" s="134">
        <f t="shared" si="41"/>
        <v>27</v>
      </c>
      <c r="AU26" s="64">
        <f t="shared" si="42"/>
        <v>-33</v>
      </c>
      <c r="AV26" s="65">
        <f t="shared" si="43"/>
        <v>45683.7431117214</v>
      </c>
      <c r="AW26" s="65">
        <f t="shared" si="44"/>
        <v>45683.8305335647</v>
      </c>
      <c r="AX26" s="1">
        <f t="shared" si="45"/>
        <v>79</v>
      </c>
      <c r="AY26" s="1">
        <f t="shared" si="46"/>
        <v>-44</v>
      </c>
      <c r="AZ26" s="131">
        <f t="shared" si="47"/>
        <v>1382.6</v>
      </c>
      <c r="BA26" s="1">
        <f t="shared" si="48"/>
        <v>1524.8</v>
      </c>
      <c r="BB26" s="1">
        <f t="shared" si="49"/>
        <v>42370138.5804496</v>
      </c>
      <c r="BC26" s="1">
        <f t="shared" si="50"/>
        <v>-31</v>
      </c>
      <c r="BD26" s="1">
        <f t="shared" si="51"/>
        <v>57481390.9528013</v>
      </c>
      <c r="BE26" s="1">
        <f t="shared" si="52"/>
        <v>-33</v>
      </c>
      <c r="BF26" s="20">
        <f t="shared" si="53"/>
        <v>-20.1685550365146</v>
      </c>
      <c r="BG26" s="1">
        <f t="shared" si="54"/>
        <v>201.401507621961</v>
      </c>
      <c r="BH26" s="1">
        <f t="shared" si="55"/>
        <v>548.321701961159</v>
      </c>
      <c r="BI26" s="1">
        <f t="shared" si="56"/>
        <v>812.169190745</v>
      </c>
      <c r="BJ26" s="1">
        <f t="shared" si="57"/>
        <v>201.401507621961</v>
      </c>
      <c r="BK26" s="1">
        <f t="shared" si="58"/>
        <v>548.321701961159</v>
      </c>
      <c r="BL26" s="1">
        <f t="shared" si="59"/>
        <v>812.169190745</v>
      </c>
      <c r="BM26" s="61">
        <f t="shared" si="60"/>
        <v>22462286.6539922</v>
      </c>
      <c r="BN26" s="61">
        <f t="shared" si="61"/>
        <v>37186293.2865321</v>
      </c>
      <c r="BO26" s="61">
        <f t="shared" si="62"/>
        <v>812.169190745</v>
      </c>
      <c r="BQ26" s="1" t="str">
        <f t="shared" si="63"/>
        <v>N 54° 16.5' / W 000° 04.6'</v>
      </c>
      <c r="BR26" s="1" t="str">
        <f t="shared" si="64"/>
        <v>30U 529767 947515</v>
      </c>
      <c r="BS26" s="1" t="str">
        <f t="shared" si="65"/>
        <v>30U WQ 297475</v>
      </c>
      <c r="BT26" s="1" t="b">
        <f t="shared" si="66"/>
        <v>0</v>
      </c>
      <c r="BU26" s="1" t="str">
        <f t="shared" si="67"/>
        <v>30U</v>
      </c>
      <c r="BV26" s="1">
        <f t="shared" si="68"/>
        <v>30</v>
      </c>
      <c r="BW26" s="1">
        <f t="shared" si="69"/>
        <v>0</v>
      </c>
      <c r="BX26" s="1">
        <f t="shared" si="70"/>
        <v>-3</v>
      </c>
      <c r="BY26" s="1">
        <f t="shared" si="71"/>
        <v>29767.5960079562</v>
      </c>
      <c r="BZ26" s="1">
        <f t="shared" si="72"/>
        <v>529767.596</v>
      </c>
      <c r="CA26" s="1" t="str">
        <f t="shared" si="73"/>
        <v>W</v>
      </c>
      <c r="CB26" s="1" t="str">
        <f t="shared" si="74"/>
        <v>529767</v>
      </c>
      <c r="CC26" s="1" t="str">
        <f t="shared" si="75"/>
        <v>29767</v>
      </c>
      <c r="CD26" s="1">
        <f t="shared" si="76"/>
        <v>947515.540104337</v>
      </c>
      <c r="CE26" s="1">
        <f t="shared" si="77"/>
        <v>947515.5401</v>
      </c>
      <c r="CF26" s="1" t="str">
        <f t="shared" si="78"/>
        <v>Q</v>
      </c>
      <c r="CG26" s="1" t="str">
        <f t="shared" si="79"/>
        <v>947515</v>
      </c>
      <c r="CH26" s="1" t="str">
        <f t="shared" si="80"/>
        <v>47515</v>
      </c>
      <c r="CJ26" s="1">
        <f t="shared" si="81"/>
        <v>360</v>
      </c>
      <c r="CK26" s="1" t="str">
        <f t="shared" si="82"/>
        <v>NA</v>
      </c>
      <c r="CL26" s="1">
        <f t="shared" si="83"/>
        <v>2</v>
      </c>
      <c r="CM26" s="1">
        <f t="shared" si="84"/>
        <v>9</v>
      </c>
      <c r="CN26" s="1">
        <f t="shared" si="85"/>
        <v>2</v>
      </c>
      <c r="CO26" s="1">
        <f t="shared" si="86"/>
        <v>0</v>
      </c>
      <c r="CP26" s="1" t="str">
        <f t="shared" si="87"/>
        <v>360NA29</v>
      </c>
      <c r="CR26" s="1" t="e">
        <f t="shared" si="88"/>
        <v>#VALUE!</v>
      </c>
      <c r="CS26" s="1" t="e">
        <f t="shared" si="89"/>
        <v>#VALUE!</v>
      </c>
      <c r="CT26" s="1">
        <f t="shared" si="90"/>
        <v>5</v>
      </c>
      <c r="CU26" s="1">
        <f t="shared" si="91"/>
        <v>4</v>
      </c>
      <c r="CV26" s="131" t="e">
        <f t="shared" si="92"/>
        <v>#VALUE!</v>
      </c>
      <c r="CW26" s="131">
        <v>1179.6</v>
      </c>
      <c r="CX26" s="131">
        <v>1752.4</v>
      </c>
      <c r="CY26" s="131">
        <v>1753.7</v>
      </c>
      <c r="CZ26" s="131">
        <v>2180.6</v>
      </c>
      <c r="DA26" s="131">
        <v>2326.3</v>
      </c>
      <c r="DC26" s="154">
        <f t="shared" si="93"/>
        <v>-584.139223971999</v>
      </c>
      <c r="DD26" s="154">
        <f t="shared" si="94"/>
        <v>812.169190745</v>
      </c>
      <c r="DE26" s="154">
        <f t="shared" si="95"/>
        <v>-0.789386706</v>
      </c>
      <c r="DF26" s="1">
        <f t="shared" si="96"/>
        <v>-0.0452095913576253</v>
      </c>
      <c r="DG26" s="1">
        <f t="shared" si="97"/>
        <v>125.724950336541</v>
      </c>
      <c r="DH26" s="1">
        <f t="shared" si="98"/>
        <v>279</v>
      </c>
      <c r="DI26" s="1">
        <f t="shared" si="99"/>
        <v>297</v>
      </c>
      <c r="DJ26" s="1">
        <f t="shared" si="100"/>
        <v>349</v>
      </c>
      <c r="DK26" s="1">
        <f t="shared" si="101"/>
        <v>279</v>
      </c>
      <c r="DL26" s="1">
        <f t="shared" si="102"/>
        <v>297</v>
      </c>
      <c r="DM26" s="1">
        <f t="shared" si="103"/>
        <v>349</v>
      </c>
    </row>
    <row r="27" customHeight="1" spans="1:117">
      <c r="A27" s="152" t="str">
        <f t="shared" si="107"/>
        <v>Cry-Astro Processing Plant 34-12</v>
      </c>
      <c r="C27" s="55" t="str">
        <f t="shared" si="5"/>
        <v>S 20° 31.0' / W 109° 43.6'</v>
      </c>
      <c r="D27" s="150" t="str">
        <f t="shared" si="6"/>
        <v>490 m</v>
      </c>
      <c r="E27" s="151">
        <f t="shared" si="7"/>
        <v>2020.6</v>
      </c>
      <c r="F27" s="151">
        <f t="shared" si="8"/>
        <v>1436.6</v>
      </c>
      <c r="G27" s="151">
        <f t="shared" si="9"/>
        <v>2369.2</v>
      </c>
      <c r="H27" s="151">
        <f t="shared" si="10"/>
        <v>730.6</v>
      </c>
      <c r="I27" s="151">
        <f t="shared" si="11"/>
        <v>1996</v>
      </c>
      <c r="J27" s="171">
        <f t="shared" si="12"/>
        <v>1470.6</v>
      </c>
      <c r="K27" s="172">
        <f t="shared" si="108"/>
        <v>-316.284851151</v>
      </c>
      <c r="L27" s="172">
        <f t="shared" si="109"/>
        <v>-882.04033701</v>
      </c>
      <c r="M27" s="173">
        <f t="shared" si="110"/>
        <v>-350.639382315</v>
      </c>
      <c r="N27" s="54">
        <f t="shared" si="13"/>
        <v>0.0870260347949714</v>
      </c>
      <c r="O27" s="55" t="str">
        <f t="shared" si="14"/>
        <v>Afternoon / Sets in 9m</v>
      </c>
      <c r="P27" s="55" t="str">
        <f t="shared" si="15"/>
        <v>052°M / +10°</v>
      </c>
      <c r="Q27" s="56">
        <f t="shared" si="16"/>
        <v>45683.796657529</v>
      </c>
      <c r="R27" s="56">
        <f t="shared" si="17"/>
        <v>45683.802379751</v>
      </c>
      <c r="S27" s="56">
        <f t="shared" si="18"/>
        <v>45683.8458927684</v>
      </c>
      <c r="T27" s="56">
        <f t="shared" si="19"/>
        <v>45683.7177391233</v>
      </c>
      <c r="U27" s="180">
        <f t="shared" si="20"/>
        <v>45683.7234613454</v>
      </c>
      <c r="V27" s="55" t="str">
        <f t="shared" si="21"/>
        <v>Obstructed / Rises in 121m</v>
      </c>
      <c r="W27" s="55" t="str">
        <f t="shared" si="22"/>
        <v>043°M / -02°</v>
      </c>
      <c r="X27" s="56">
        <f t="shared" si="23"/>
        <v>45683.7953343371</v>
      </c>
      <c r="Y27" s="180">
        <f t="shared" si="24"/>
        <v>45683.8828841316</v>
      </c>
      <c r="Z27" s="55" t="str">
        <f t="shared" si="25"/>
        <v>024°M / -76°</v>
      </c>
      <c r="AA27" s="151">
        <f t="shared" si="26"/>
        <v>1939.1</v>
      </c>
      <c r="AB27" s="150">
        <f t="shared" si="27"/>
        <v>2639.5</v>
      </c>
      <c r="AC27" s="188">
        <v>18</v>
      </c>
      <c r="AD27" s="1" t="b">
        <f t="shared" si="28"/>
        <v>1</v>
      </c>
      <c r="AE27" s="1">
        <f t="shared" si="29"/>
        <v>-20.5159322472426</v>
      </c>
      <c r="AF27" s="1">
        <f t="shared" si="30"/>
        <v>-109.72698100179</v>
      </c>
      <c r="AG27" s="1">
        <f t="shared" si="31"/>
        <v>250.27301899821</v>
      </c>
      <c r="AH27" s="2">
        <f t="shared" si="32"/>
        <v>0.489500000159637</v>
      </c>
      <c r="AI27" s="1">
        <f t="shared" si="33"/>
        <v>1.79236072680718</v>
      </c>
      <c r="AJ27" s="191">
        <f t="shared" si="105"/>
        <v>0</v>
      </c>
      <c r="AK27" s="191">
        <f t="shared" si="106"/>
        <v>0</v>
      </c>
      <c r="AL27" s="191">
        <f t="shared" si="34"/>
        <v>91.2506018056642</v>
      </c>
      <c r="AM27" s="20">
        <f t="shared" si="35"/>
        <v>-78.2734107833076</v>
      </c>
      <c r="AN27" s="191">
        <f t="shared" si="36"/>
        <v>65.527169211529</v>
      </c>
      <c r="AO27" s="134">
        <f t="shared" si="37"/>
        <v>278</v>
      </c>
      <c r="AP27" s="64">
        <f t="shared" si="38"/>
        <v>13</v>
      </c>
      <c r="AQ27" s="1">
        <f t="shared" si="104"/>
        <v>91.7997867501208</v>
      </c>
      <c r="AR27" s="20">
        <f t="shared" si="39"/>
        <v>-92.4990748720832</v>
      </c>
      <c r="AS27" s="1">
        <f t="shared" si="40"/>
        <v>69.4837182373917</v>
      </c>
      <c r="AT27" s="134">
        <f t="shared" si="41"/>
        <v>269</v>
      </c>
      <c r="AU27" s="64">
        <f t="shared" si="42"/>
        <v>-3</v>
      </c>
      <c r="AV27" s="65">
        <f t="shared" si="43"/>
        <v>45683.7953343371</v>
      </c>
      <c r="AW27" s="65">
        <f t="shared" si="44"/>
        <v>45683.8828841316</v>
      </c>
      <c r="AX27" s="1">
        <f t="shared" si="45"/>
        <v>249</v>
      </c>
      <c r="AY27" s="1">
        <f t="shared" si="46"/>
        <v>-76</v>
      </c>
      <c r="AZ27" s="131">
        <f t="shared" si="47"/>
        <v>1939.1</v>
      </c>
      <c r="BA27" s="1">
        <f t="shared" si="48"/>
        <v>2639.5</v>
      </c>
      <c r="BB27" s="1">
        <f t="shared" si="49"/>
        <v>42369451.6374317</v>
      </c>
      <c r="BC27" s="1">
        <f t="shared" si="50"/>
        <v>10</v>
      </c>
      <c r="BD27" s="1">
        <f t="shared" si="51"/>
        <v>57480890.7775412</v>
      </c>
      <c r="BE27" s="1">
        <f t="shared" si="52"/>
        <v>-2</v>
      </c>
      <c r="BF27" s="20">
        <f t="shared" si="53"/>
        <v>-129.818108436682</v>
      </c>
      <c r="BG27" s="1">
        <f t="shared" si="54"/>
        <v>719.717582053058</v>
      </c>
      <c r="BH27" s="1">
        <f t="shared" si="55"/>
        <v>-600.031553556998</v>
      </c>
      <c r="BI27" s="1">
        <f t="shared" si="56"/>
        <v>-350.639382315</v>
      </c>
      <c r="BJ27" s="1">
        <f t="shared" si="57"/>
        <v>719.717582053058</v>
      </c>
      <c r="BK27" s="1">
        <f t="shared" si="58"/>
        <v>-600.031553556998</v>
      </c>
      <c r="BL27" s="1">
        <f t="shared" si="59"/>
        <v>-350.639382315</v>
      </c>
      <c r="BM27" s="61">
        <f t="shared" si="60"/>
        <v>22462804.9700667</v>
      </c>
      <c r="BN27" s="61">
        <f t="shared" si="61"/>
        <v>37185144.9332765</v>
      </c>
      <c r="BO27" s="61">
        <f t="shared" si="62"/>
        <v>-350.639382315</v>
      </c>
      <c r="BQ27" s="1" t="str">
        <f t="shared" si="63"/>
        <v>S 20° 31.0' / W 109° 43.6'</v>
      </c>
      <c r="BR27" s="1" t="str">
        <f t="shared" si="64"/>
        <v>12K 520802 1641991</v>
      </c>
      <c r="BS27" s="1" t="str">
        <f t="shared" si="65"/>
        <v>12K WB 208419</v>
      </c>
      <c r="BT27" s="1" t="b">
        <f t="shared" si="66"/>
        <v>0</v>
      </c>
      <c r="BU27" s="1" t="str">
        <f t="shared" si="67"/>
        <v>12K</v>
      </c>
      <c r="BV27" s="1">
        <f t="shared" si="68"/>
        <v>12</v>
      </c>
      <c r="BW27" s="1">
        <f t="shared" si="69"/>
        <v>0</v>
      </c>
      <c r="BX27" s="1">
        <f t="shared" si="70"/>
        <v>-111</v>
      </c>
      <c r="BY27" s="1">
        <f t="shared" si="71"/>
        <v>20802.1349695653</v>
      </c>
      <c r="BZ27" s="1">
        <f t="shared" si="72"/>
        <v>520802.135</v>
      </c>
      <c r="CA27" s="1" t="str">
        <f t="shared" si="73"/>
        <v>W</v>
      </c>
      <c r="CB27" s="1" t="str">
        <f t="shared" si="74"/>
        <v>520802</v>
      </c>
      <c r="CC27" s="1" t="str">
        <f t="shared" si="75"/>
        <v>20802</v>
      </c>
      <c r="CD27" s="1">
        <f t="shared" si="76"/>
        <v>-358008.339073539</v>
      </c>
      <c r="CE27" s="1">
        <f t="shared" si="77"/>
        <v>1641991.6609</v>
      </c>
      <c r="CF27" s="1" t="str">
        <f t="shared" si="78"/>
        <v>B</v>
      </c>
      <c r="CG27" s="1" t="str">
        <f t="shared" si="79"/>
        <v>1641991</v>
      </c>
      <c r="CH27" s="1" t="str">
        <f t="shared" si="80"/>
        <v>41991</v>
      </c>
      <c r="CJ27" s="1">
        <f t="shared" si="81"/>
        <v>141</v>
      </c>
      <c r="CK27" s="1" t="str">
        <f t="shared" si="82"/>
        <v>FU</v>
      </c>
      <c r="CL27" s="1">
        <f t="shared" si="83"/>
        <v>2</v>
      </c>
      <c r="CM27" s="1">
        <f t="shared" si="84"/>
        <v>1</v>
      </c>
      <c r="CN27" s="1">
        <f t="shared" si="85"/>
        <v>0</v>
      </c>
      <c r="CO27" s="1">
        <f t="shared" si="86"/>
        <v>2</v>
      </c>
      <c r="CP27" s="1" t="str">
        <f t="shared" si="87"/>
        <v>141FU21</v>
      </c>
      <c r="CR27" s="1" t="e">
        <f t="shared" si="88"/>
        <v>#VALUE!</v>
      </c>
      <c r="CS27" s="1" t="e">
        <f t="shared" si="89"/>
        <v>#VALUE!</v>
      </c>
      <c r="CT27" s="1">
        <f t="shared" si="90"/>
        <v>2</v>
      </c>
      <c r="CU27" s="1">
        <f t="shared" si="91"/>
        <v>6</v>
      </c>
      <c r="CV27" s="131" t="e">
        <f t="shared" si="92"/>
        <v>#VALUE!</v>
      </c>
      <c r="CW27" s="131">
        <v>1436.6</v>
      </c>
      <c r="CX27" s="131">
        <v>1470.6</v>
      </c>
      <c r="CY27" s="131">
        <v>1996</v>
      </c>
      <c r="CZ27" s="131">
        <v>2020.6</v>
      </c>
      <c r="DA27" s="131">
        <v>2369.2</v>
      </c>
      <c r="DC27" s="154">
        <f t="shared" si="93"/>
        <v>316.284851151</v>
      </c>
      <c r="DD27" s="154">
        <f t="shared" si="94"/>
        <v>-350.639382315</v>
      </c>
      <c r="DE27" s="154">
        <f t="shared" si="95"/>
        <v>-882.04033701</v>
      </c>
      <c r="DF27" s="1">
        <f t="shared" si="96"/>
        <v>-61.8370438543499</v>
      </c>
      <c r="DG27" s="1">
        <f t="shared" si="97"/>
        <v>-47.9488078315098</v>
      </c>
      <c r="DH27" s="1">
        <f t="shared" si="98"/>
        <v>52</v>
      </c>
      <c r="DI27" s="1">
        <f t="shared" si="99"/>
        <v>43</v>
      </c>
      <c r="DJ27" s="1">
        <f t="shared" si="100"/>
        <v>24</v>
      </c>
      <c r="DK27" s="1">
        <f t="shared" si="101"/>
        <v>52</v>
      </c>
      <c r="DL27" s="1">
        <f t="shared" si="102"/>
        <v>43</v>
      </c>
      <c r="DM27" s="1">
        <f t="shared" si="103"/>
        <v>24</v>
      </c>
    </row>
    <row r="28" customHeight="1" spans="1:117">
      <c r="A28" s="152" t="str">
        <f t="shared" si="107"/>
        <v>Greycat Stanton IV Production Complex-A</v>
      </c>
      <c r="C28" s="55" t="str">
        <f t="shared" si="5"/>
        <v>S 63° 30.1' / W 161° 33.5'</v>
      </c>
      <c r="D28" s="150" t="str">
        <f t="shared" si="6"/>
        <v>218 m</v>
      </c>
      <c r="E28" s="151">
        <f t="shared" si="7"/>
        <v>2377</v>
      </c>
      <c r="F28" s="151">
        <f t="shared" si="8"/>
        <v>704</v>
      </c>
      <c r="G28" s="151">
        <f t="shared" si="9"/>
        <v>1865.3</v>
      </c>
      <c r="H28" s="151">
        <f t="shared" si="10"/>
        <v>1632.9</v>
      </c>
      <c r="I28" s="151">
        <f t="shared" si="11"/>
        <v>2071.7</v>
      </c>
      <c r="J28" s="171">
        <f t="shared" si="12"/>
        <v>1361.6</v>
      </c>
      <c r="K28" s="172">
        <f t="shared" si="108"/>
        <v>-423.347337066999</v>
      </c>
      <c r="L28" s="172">
        <f t="shared" si="109"/>
        <v>-141.168748082</v>
      </c>
      <c r="M28" s="173">
        <f t="shared" si="110"/>
        <v>-895.144870543</v>
      </c>
      <c r="N28" s="54">
        <f t="shared" si="13"/>
        <v>0.0802666507437242</v>
      </c>
      <c r="O28" s="55" t="str">
        <f t="shared" si="14"/>
        <v>Afternoon / Sets in 40m</v>
      </c>
      <c r="P28" s="55" t="str">
        <f t="shared" si="15"/>
        <v>078°M / +20°</v>
      </c>
      <c r="Q28" s="56">
        <f t="shared" si="16"/>
        <v>45683.8247532236</v>
      </c>
      <c r="R28" s="56">
        <f t="shared" si="17"/>
        <v>45683.8304754457</v>
      </c>
      <c r="S28" s="56">
        <f t="shared" si="18"/>
        <v>45683.8706087711</v>
      </c>
      <c r="T28" s="56">
        <f t="shared" si="19"/>
        <v>45683.739075434</v>
      </c>
      <c r="U28" s="180">
        <f t="shared" si="20"/>
        <v>45683.7447976561</v>
      </c>
      <c r="V28" s="55" t="str">
        <f t="shared" si="21"/>
        <v>Sets in 35m</v>
      </c>
      <c r="W28" s="55" t="str">
        <f t="shared" si="22"/>
        <v>063°M / +20°</v>
      </c>
      <c r="X28" s="56">
        <f t="shared" si="23"/>
        <v>45683.8203346721</v>
      </c>
      <c r="Y28" s="180">
        <f t="shared" si="24"/>
        <v>45683.7356491394</v>
      </c>
      <c r="Z28" s="55" t="str">
        <f t="shared" si="25"/>
        <v>011°M / -51°</v>
      </c>
      <c r="AA28" s="151">
        <f t="shared" si="26"/>
        <v>1562</v>
      </c>
      <c r="AB28" s="150">
        <f t="shared" si="27"/>
        <v>1790.5</v>
      </c>
      <c r="AC28" s="188">
        <v>19</v>
      </c>
      <c r="AD28" s="1" t="b">
        <f t="shared" si="28"/>
        <v>1</v>
      </c>
      <c r="AE28" s="1">
        <f t="shared" si="29"/>
        <v>-63.5019860174156</v>
      </c>
      <c r="AF28" s="1">
        <f t="shared" si="30"/>
        <v>-161.558599475521</v>
      </c>
      <c r="AG28" s="1">
        <f t="shared" si="31"/>
        <v>198.441400524479</v>
      </c>
      <c r="AH28" s="2">
        <f t="shared" si="32"/>
        <v>0.217937499724485</v>
      </c>
      <c r="AI28" s="1">
        <f t="shared" si="33"/>
        <v>1.19609088001174</v>
      </c>
      <c r="AJ28" s="191">
        <f t="shared" si="105"/>
        <v>0</v>
      </c>
      <c r="AK28" s="191">
        <f t="shared" si="106"/>
        <v>0</v>
      </c>
      <c r="AL28" s="191">
        <f t="shared" si="34"/>
        <v>84.1630921430091</v>
      </c>
      <c r="AM28" s="20">
        <f t="shared" si="35"/>
        <v>-26.4417923095763</v>
      </c>
      <c r="AN28" s="191">
        <f t="shared" si="36"/>
        <v>22.5404266605662</v>
      </c>
      <c r="AO28" s="134">
        <f t="shared" si="37"/>
        <v>332</v>
      </c>
      <c r="AP28" s="64">
        <f t="shared" si="38"/>
        <v>20</v>
      </c>
      <c r="AQ28" s="1">
        <f t="shared" si="104"/>
        <v>91.2035169033253</v>
      </c>
      <c r="AR28" s="20">
        <f t="shared" si="39"/>
        <v>-40.6674563983519</v>
      </c>
      <c r="AS28" s="1">
        <f t="shared" si="40"/>
        <v>26.4971217129185</v>
      </c>
      <c r="AT28" s="134">
        <f t="shared" si="41"/>
        <v>316</v>
      </c>
      <c r="AU28" s="64">
        <f t="shared" si="42"/>
        <v>20</v>
      </c>
      <c r="AV28" s="65">
        <f t="shared" si="43"/>
        <v>45683.8203346721</v>
      </c>
      <c r="AW28" s="65">
        <f t="shared" si="44"/>
        <v>45683.7356491394</v>
      </c>
      <c r="AX28" s="1">
        <f t="shared" si="45"/>
        <v>264</v>
      </c>
      <c r="AY28" s="1">
        <f t="shared" si="46"/>
        <v>-51</v>
      </c>
      <c r="AZ28" s="131">
        <f t="shared" si="47"/>
        <v>1562</v>
      </c>
      <c r="BA28" s="1">
        <f t="shared" si="48"/>
        <v>1790.5</v>
      </c>
      <c r="BB28" s="1">
        <f t="shared" si="49"/>
        <v>42369280.5687688</v>
      </c>
      <c r="BC28" s="1">
        <f t="shared" si="50"/>
        <v>20</v>
      </c>
      <c r="BD28" s="1">
        <f t="shared" si="51"/>
        <v>57480511.4255356</v>
      </c>
      <c r="BE28" s="1">
        <f t="shared" si="52"/>
        <v>20</v>
      </c>
      <c r="BF28" s="20">
        <f t="shared" si="53"/>
        <v>178.350273089586</v>
      </c>
      <c r="BG28" s="1">
        <f t="shared" si="54"/>
        <v>-12.8475790316455</v>
      </c>
      <c r="BH28" s="1">
        <f t="shared" si="55"/>
        <v>-446.079054596586</v>
      </c>
      <c r="BI28" s="1">
        <f t="shared" si="56"/>
        <v>-895.144870543</v>
      </c>
      <c r="BJ28" s="1">
        <f t="shared" si="57"/>
        <v>-12.8475790316455</v>
      </c>
      <c r="BK28" s="1">
        <f t="shared" si="58"/>
        <v>-446.079054596586</v>
      </c>
      <c r="BL28" s="1">
        <f t="shared" si="59"/>
        <v>-895.144870543</v>
      </c>
      <c r="BM28" s="61">
        <f t="shared" si="60"/>
        <v>22462072.4049056</v>
      </c>
      <c r="BN28" s="61">
        <f t="shared" si="61"/>
        <v>37185298.8857755</v>
      </c>
      <c r="BO28" s="61">
        <f t="shared" si="62"/>
        <v>-895.144870543</v>
      </c>
      <c r="BQ28" s="1" t="str">
        <f t="shared" si="63"/>
        <v>S 63° 30.1' / W 161° 33.5'</v>
      </c>
      <c r="BR28" s="1" t="str">
        <f t="shared" si="64"/>
        <v>04E 480087 891726</v>
      </c>
      <c r="BS28" s="1" t="str">
        <f t="shared" si="65"/>
        <v>04E DP 800917</v>
      </c>
      <c r="BT28" s="1" t="b">
        <f t="shared" si="66"/>
        <v>0</v>
      </c>
      <c r="BU28" s="1" t="str">
        <f t="shared" si="67"/>
        <v>04E</v>
      </c>
      <c r="BV28" s="1">
        <f t="shared" si="68"/>
        <v>4</v>
      </c>
      <c r="BW28" s="1">
        <f t="shared" si="69"/>
        <v>0</v>
      </c>
      <c r="BX28" s="1">
        <f t="shared" si="70"/>
        <v>-159</v>
      </c>
      <c r="BY28" s="1">
        <f t="shared" si="71"/>
        <v>-19912.0627163951</v>
      </c>
      <c r="BZ28" s="1">
        <f t="shared" si="72"/>
        <v>480087.9373</v>
      </c>
      <c r="CA28" s="1" t="str">
        <f t="shared" si="73"/>
        <v>D</v>
      </c>
      <c r="CB28" s="1" t="str">
        <f t="shared" si="74"/>
        <v>480087</v>
      </c>
      <c r="CC28" s="1" t="str">
        <f t="shared" si="75"/>
        <v>80087</v>
      </c>
      <c r="CD28" s="1">
        <f t="shared" si="76"/>
        <v>-1108273.39398936</v>
      </c>
      <c r="CE28" s="1">
        <f t="shared" si="77"/>
        <v>891726.606</v>
      </c>
      <c r="CF28" s="1" t="str">
        <f t="shared" si="78"/>
        <v>P</v>
      </c>
      <c r="CG28" s="1" t="str">
        <f t="shared" si="79"/>
        <v>891726</v>
      </c>
      <c r="CH28" s="1" t="str">
        <f t="shared" si="80"/>
        <v>91726</v>
      </c>
      <c r="CJ28" s="1">
        <f t="shared" si="81"/>
        <v>37</v>
      </c>
      <c r="CK28" s="1" t="str">
        <f t="shared" si="82"/>
        <v>CE</v>
      </c>
      <c r="CL28" s="1">
        <f t="shared" si="83"/>
        <v>2</v>
      </c>
      <c r="CM28" s="1">
        <f t="shared" si="84"/>
        <v>3</v>
      </c>
      <c r="CN28" s="1">
        <f t="shared" si="85"/>
        <v>2</v>
      </c>
      <c r="CO28" s="1">
        <f t="shared" si="86"/>
        <v>2</v>
      </c>
      <c r="CP28" s="1" t="str">
        <f t="shared" si="87"/>
        <v>037CE23</v>
      </c>
      <c r="CR28" s="1" t="e">
        <f t="shared" si="88"/>
        <v>#VALUE!</v>
      </c>
      <c r="CS28" s="1" t="e">
        <f t="shared" si="89"/>
        <v>#VALUE!</v>
      </c>
      <c r="CT28" s="1">
        <f t="shared" si="90"/>
        <v>6</v>
      </c>
      <c r="CU28" s="1">
        <f t="shared" si="91"/>
        <v>4</v>
      </c>
      <c r="CV28" s="131" t="e">
        <f t="shared" si="92"/>
        <v>#VALUE!</v>
      </c>
      <c r="CW28" s="131">
        <v>1361.6</v>
      </c>
      <c r="CX28" s="131">
        <v>1632.9</v>
      </c>
      <c r="CY28" s="131">
        <v>1865.3</v>
      </c>
      <c r="CZ28" s="131">
        <v>2071.7</v>
      </c>
      <c r="DA28" s="131">
        <v>2377</v>
      </c>
      <c r="DC28" s="154">
        <f t="shared" si="93"/>
        <v>423.347337066999</v>
      </c>
      <c r="DD28" s="154">
        <f t="shared" si="94"/>
        <v>-895.144870543</v>
      </c>
      <c r="DE28" s="154">
        <f t="shared" si="95"/>
        <v>-141.168748082</v>
      </c>
      <c r="DF28" s="1">
        <f t="shared" si="96"/>
        <v>-8.11370209802751</v>
      </c>
      <c r="DG28" s="1">
        <f t="shared" si="97"/>
        <v>-64.6887896844668</v>
      </c>
      <c r="DH28" s="1">
        <f t="shared" si="98"/>
        <v>78</v>
      </c>
      <c r="DI28" s="1">
        <f t="shared" si="99"/>
        <v>63</v>
      </c>
      <c r="DJ28" s="1">
        <f t="shared" si="100"/>
        <v>11</v>
      </c>
      <c r="DK28" s="1">
        <f t="shared" si="101"/>
        <v>78</v>
      </c>
      <c r="DL28" s="1">
        <f t="shared" si="102"/>
        <v>63</v>
      </c>
      <c r="DM28" s="1">
        <f t="shared" si="103"/>
        <v>11</v>
      </c>
    </row>
    <row r="29" customHeight="1" spans="1:117">
      <c r="A29" s="152" t="str">
        <f t="shared" si="107"/>
        <v>microTech Logistics Depot S4LD01</v>
      </c>
      <c r="C29" s="55" t="str">
        <f t="shared" si="5"/>
        <v>S 01° 05.8' / E 027° 52.4'</v>
      </c>
      <c r="D29" s="150" t="str">
        <f t="shared" si="6"/>
        <v>905 m</v>
      </c>
      <c r="E29" s="151">
        <f t="shared" si="7"/>
        <v>1769</v>
      </c>
      <c r="F29" s="151">
        <f t="shared" si="8"/>
        <v>1737.6</v>
      </c>
      <c r="G29" s="151">
        <f t="shared" si="9"/>
        <v>1314.2</v>
      </c>
      <c r="H29" s="151">
        <f t="shared" si="10"/>
        <v>2102.7</v>
      </c>
      <c r="I29" s="151">
        <f t="shared" si="11"/>
        <v>726.1</v>
      </c>
      <c r="J29" s="171">
        <f t="shared" si="12"/>
        <v>2370.9</v>
      </c>
      <c r="K29" s="172">
        <f t="shared" si="108"/>
        <v>884.615003940999</v>
      </c>
      <c r="L29" s="172">
        <f t="shared" si="109"/>
        <v>467.867816999999</v>
      </c>
      <c r="M29" s="173">
        <f t="shared" si="110"/>
        <v>-19.1525361889999</v>
      </c>
      <c r="N29" s="54">
        <f t="shared" si="13"/>
        <v>0.0889825284833734</v>
      </c>
      <c r="O29" s="55" t="str">
        <f t="shared" si="14"/>
        <v>After midnight / Rises in 35m</v>
      </c>
      <c r="P29" s="55" t="str">
        <f t="shared" si="15"/>
        <v>355°M / -54°</v>
      </c>
      <c r="Q29" s="56">
        <f t="shared" si="16"/>
        <v>45683.7300639499</v>
      </c>
      <c r="R29" s="56">
        <f t="shared" si="17"/>
        <v>45683.735786172</v>
      </c>
      <c r="S29" s="56">
        <f t="shared" si="18"/>
        <v>45683.7802774362</v>
      </c>
      <c r="T29" s="56">
        <f t="shared" si="19"/>
        <v>45683.8247687005</v>
      </c>
      <c r="U29" s="180">
        <f t="shared" si="20"/>
        <v>45683.8304909226</v>
      </c>
      <c r="V29" s="55" t="str">
        <f t="shared" si="21"/>
        <v>Obstructed / Rises in 26m</v>
      </c>
      <c r="W29" s="55" t="str">
        <f t="shared" si="22"/>
        <v>001°M / -40°</v>
      </c>
      <c r="X29" s="56">
        <f t="shared" si="23"/>
        <v>45683.7294117608</v>
      </c>
      <c r="Y29" s="180">
        <f t="shared" si="24"/>
        <v>45683.8175760435</v>
      </c>
      <c r="Z29" s="55" t="str">
        <f t="shared" si="25"/>
        <v>351°M / -35°</v>
      </c>
      <c r="AA29" s="151">
        <f t="shared" si="26"/>
        <v>1147.4</v>
      </c>
      <c r="AB29" s="150">
        <f t="shared" si="27"/>
        <v>1220.4</v>
      </c>
      <c r="AC29" s="188">
        <v>20</v>
      </c>
      <c r="AD29" s="1" t="b">
        <f t="shared" si="28"/>
        <v>1</v>
      </c>
      <c r="AE29" s="1">
        <f t="shared" si="29"/>
        <v>-1.09643419626054</v>
      </c>
      <c r="AF29" s="1">
        <f t="shared" si="30"/>
        <v>27.874107335388</v>
      </c>
      <c r="AG29" s="1">
        <f t="shared" si="31"/>
        <v>27.874107335388</v>
      </c>
      <c r="AH29" s="2">
        <f t="shared" si="32"/>
        <v>0.904999999674828</v>
      </c>
      <c r="AI29" s="1">
        <f t="shared" si="33"/>
        <v>2.43667843218395</v>
      </c>
      <c r="AJ29" s="191">
        <f t="shared" si="105"/>
        <v>0</v>
      </c>
      <c r="AK29" s="191">
        <f t="shared" si="106"/>
        <v>0</v>
      </c>
      <c r="AL29" s="191">
        <f t="shared" si="34"/>
        <v>93.3020709656262</v>
      </c>
      <c r="AM29" s="20">
        <f t="shared" si="35"/>
        <v>144.125500879514</v>
      </c>
      <c r="AN29" s="191">
        <f t="shared" si="36"/>
        <v>84.9471085250775</v>
      </c>
      <c r="AO29" s="134">
        <f t="shared" si="37"/>
        <v>85</v>
      </c>
      <c r="AP29" s="64">
        <f t="shared" si="38"/>
        <v>-69</v>
      </c>
      <c r="AQ29" s="1">
        <f t="shared" si="104"/>
        <v>92.4441044554976</v>
      </c>
      <c r="AR29" s="20">
        <f t="shared" si="39"/>
        <v>129.899836790739</v>
      </c>
      <c r="AS29" s="1">
        <f t="shared" si="40"/>
        <v>88.9035467204992</v>
      </c>
      <c r="AT29" s="134">
        <f t="shared" si="41"/>
        <v>91</v>
      </c>
      <c r="AU29" s="64">
        <f t="shared" si="42"/>
        <v>-57</v>
      </c>
      <c r="AV29" s="65">
        <f t="shared" si="43"/>
        <v>45683.7294117608</v>
      </c>
      <c r="AW29" s="65">
        <f t="shared" si="44"/>
        <v>45683.8175760435</v>
      </c>
      <c r="AX29" s="1">
        <f t="shared" si="45"/>
        <v>80</v>
      </c>
      <c r="AY29" s="1">
        <f t="shared" si="46"/>
        <v>-35</v>
      </c>
      <c r="AZ29" s="131">
        <f t="shared" si="47"/>
        <v>1147.4</v>
      </c>
      <c r="BA29" s="1">
        <f t="shared" si="48"/>
        <v>1220.4</v>
      </c>
      <c r="BB29" s="1">
        <f t="shared" si="49"/>
        <v>42370427.7040012</v>
      </c>
      <c r="BC29" s="1">
        <f t="shared" si="50"/>
        <v>-54</v>
      </c>
      <c r="BD29" s="1">
        <f t="shared" si="51"/>
        <v>57481491.826683</v>
      </c>
      <c r="BE29" s="1">
        <f t="shared" si="52"/>
        <v>-40</v>
      </c>
      <c r="BF29" s="20">
        <f t="shared" si="53"/>
        <v>7.78297990049559</v>
      </c>
      <c r="BG29" s="1">
        <f t="shared" si="54"/>
        <v>-135.518996927495</v>
      </c>
      <c r="BH29" s="1">
        <f t="shared" si="55"/>
        <v>991.503202644169</v>
      </c>
      <c r="BI29" s="1">
        <f t="shared" si="56"/>
        <v>-19.1525361889999</v>
      </c>
      <c r="BJ29" s="1">
        <f t="shared" si="57"/>
        <v>-135.518996927495</v>
      </c>
      <c r="BK29" s="1">
        <f t="shared" si="58"/>
        <v>991.503202644169</v>
      </c>
      <c r="BL29" s="1">
        <f t="shared" si="59"/>
        <v>-19.1525361889999</v>
      </c>
      <c r="BM29" s="61">
        <f t="shared" si="60"/>
        <v>22461949.7334877</v>
      </c>
      <c r="BN29" s="61">
        <f t="shared" si="61"/>
        <v>37186736.4680327</v>
      </c>
      <c r="BO29" s="61">
        <f t="shared" si="62"/>
        <v>-19.1525361889999</v>
      </c>
      <c r="BQ29" s="1" t="str">
        <f t="shared" si="63"/>
        <v>S 01° 05.8' / E 027° 52.4'</v>
      </c>
      <c r="BR29" s="1" t="str">
        <f t="shared" si="64"/>
        <v>35M 515247 1980869</v>
      </c>
      <c r="BS29" s="1" t="str">
        <f t="shared" si="65"/>
        <v>35M NV 152808</v>
      </c>
      <c r="BT29" s="1" t="b">
        <f t="shared" si="66"/>
        <v>0</v>
      </c>
      <c r="BU29" s="1" t="str">
        <f t="shared" si="67"/>
        <v>35M</v>
      </c>
      <c r="BV29" s="1">
        <f t="shared" si="68"/>
        <v>35</v>
      </c>
      <c r="BW29" s="1">
        <f t="shared" si="69"/>
        <v>0</v>
      </c>
      <c r="BX29" s="1">
        <f t="shared" si="70"/>
        <v>27</v>
      </c>
      <c r="BY29" s="1">
        <f t="shared" si="71"/>
        <v>15247.7474641095</v>
      </c>
      <c r="BZ29" s="1">
        <f t="shared" si="72"/>
        <v>515247.7475</v>
      </c>
      <c r="CA29" s="1" t="str">
        <f t="shared" si="73"/>
        <v>N</v>
      </c>
      <c r="CB29" s="1" t="str">
        <f t="shared" si="74"/>
        <v>515247</v>
      </c>
      <c r="CC29" s="1" t="str">
        <f t="shared" si="75"/>
        <v>15247</v>
      </c>
      <c r="CD29" s="1">
        <f t="shared" si="76"/>
        <v>-19130.9579522363</v>
      </c>
      <c r="CE29" s="1">
        <f t="shared" si="77"/>
        <v>1980869.042</v>
      </c>
      <c r="CF29" s="1" t="str">
        <f t="shared" si="78"/>
        <v>V</v>
      </c>
      <c r="CG29" s="1" t="str">
        <f t="shared" si="79"/>
        <v>1980869</v>
      </c>
      <c r="CH29" s="1" t="str">
        <f t="shared" si="80"/>
        <v>80869</v>
      </c>
      <c r="CJ29" s="1">
        <f t="shared" si="81"/>
        <v>416</v>
      </c>
      <c r="CK29" s="1" t="str">
        <f t="shared" si="82"/>
        <v>HK</v>
      </c>
      <c r="CL29" s="1">
        <f t="shared" si="83"/>
        <v>2</v>
      </c>
      <c r="CM29" s="1">
        <f t="shared" si="84"/>
        <v>5</v>
      </c>
      <c r="CN29" s="1">
        <f t="shared" si="85"/>
        <v>1</v>
      </c>
      <c r="CO29" s="1">
        <f t="shared" si="86"/>
        <v>1</v>
      </c>
      <c r="CP29" s="1" t="str">
        <f t="shared" si="87"/>
        <v>416HK25</v>
      </c>
      <c r="CR29" s="1" t="e">
        <f t="shared" si="88"/>
        <v>#VALUE!</v>
      </c>
      <c r="CS29" s="1" t="e">
        <f t="shared" si="89"/>
        <v>#VALUE!</v>
      </c>
      <c r="CT29" s="1">
        <f t="shared" si="90"/>
        <v>3</v>
      </c>
      <c r="CU29" s="1">
        <f t="shared" si="91"/>
        <v>2</v>
      </c>
      <c r="CV29" s="131" t="e">
        <f t="shared" si="92"/>
        <v>#VALUE!</v>
      </c>
      <c r="CW29" s="131">
        <v>1314.2</v>
      </c>
      <c r="CX29" s="131">
        <v>1737.6</v>
      </c>
      <c r="CY29" s="131">
        <v>1769</v>
      </c>
      <c r="CZ29" s="131">
        <v>2102.7</v>
      </c>
      <c r="DA29" s="131">
        <v>2370.9</v>
      </c>
      <c r="DC29" s="154">
        <f t="shared" si="93"/>
        <v>-884.615003940999</v>
      </c>
      <c r="DD29" s="154">
        <f t="shared" si="94"/>
        <v>-19.1525361889999</v>
      </c>
      <c r="DE29" s="154">
        <f t="shared" si="95"/>
        <v>467.867816999999</v>
      </c>
      <c r="DF29" s="1">
        <f t="shared" si="96"/>
        <v>27.8685590727155</v>
      </c>
      <c r="DG29" s="1">
        <f t="shared" si="97"/>
        <v>-178.759699902856</v>
      </c>
      <c r="DH29" s="1">
        <f t="shared" si="98"/>
        <v>355</v>
      </c>
      <c r="DI29" s="1">
        <f t="shared" si="99"/>
        <v>1</v>
      </c>
      <c r="DJ29" s="1">
        <f t="shared" si="100"/>
        <v>351</v>
      </c>
      <c r="DK29" s="1">
        <f t="shared" si="101"/>
        <v>355</v>
      </c>
      <c r="DL29" s="1">
        <f t="shared" si="102"/>
        <v>1</v>
      </c>
      <c r="DM29" s="1">
        <f t="shared" si="103"/>
        <v>351</v>
      </c>
    </row>
    <row r="30" customHeight="1" spans="1:117">
      <c r="A30" s="152" t="str">
        <f t="shared" si="107"/>
        <v>microTech Logistics Depot S4LD13</v>
      </c>
      <c r="C30" s="55" t="str">
        <f t="shared" si="5"/>
        <v>N 30° 23.0' / W 012° 00.7'</v>
      </c>
      <c r="D30" s="150" t="str">
        <f t="shared" si="6"/>
        <v>82 m</v>
      </c>
      <c r="E30" s="151">
        <f t="shared" si="7"/>
        <v>1271.3</v>
      </c>
      <c r="F30" s="151">
        <f t="shared" si="8"/>
        <v>2128.1</v>
      </c>
      <c r="G30" s="151">
        <f t="shared" si="9"/>
        <v>1894.6</v>
      </c>
      <c r="H30" s="151">
        <f t="shared" si="10"/>
        <v>1598.6</v>
      </c>
      <c r="I30" s="151">
        <f t="shared" si="11"/>
        <v>801.9</v>
      </c>
      <c r="J30" s="171">
        <f t="shared" si="12"/>
        <v>2345.7</v>
      </c>
      <c r="K30" s="172">
        <f t="shared" si="108"/>
        <v>843.837953494</v>
      </c>
      <c r="L30" s="172">
        <f t="shared" si="109"/>
        <v>-179.534831679</v>
      </c>
      <c r="M30" s="173">
        <f t="shared" si="110"/>
        <v>505.834097438</v>
      </c>
      <c r="N30" s="54">
        <f t="shared" si="13"/>
        <v>0.0896458258779068</v>
      </c>
      <c r="O30" s="55" t="str">
        <f t="shared" si="14"/>
        <v>Night / Rises in 62m</v>
      </c>
      <c r="P30" s="55" t="str">
        <f t="shared" si="15"/>
        <v>269°M / -55°</v>
      </c>
      <c r="Q30" s="56">
        <f t="shared" si="16"/>
        <v>45683.7487516564</v>
      </c>
      <c r="R30" s="56">
        <f t="shared" si="17"/>
        <v>45683.7544738785</v>
      </c>
      <c r="S30" s="56">
        <f t="shared" si="18"/>
        <v>45683.7992967914</v>
      </c>
      <c r="T30" s="56">
        <f t="shared" si="19"/>
        <v>45683.8441197044</v>
      </c>
      <c r="U30" s="180">
        <f t="shared" si="20"/>
        <v>45683.8498419264</v>
      </c>
      <c r="V30" s="55" t="str">
        <f t="shared" si="21"/>
        <v>Obstructed / Rises in 54m</v>
      </c>
      <c r="W30" s="55" t="str">
        <f t="shared" si="22"/>
        <v>296°M / -58°</v>
      </c>
      <c r="X30" s="56">
        <f t="shared" si="23"/>
        <v>45683.7492438426</v>
      </c>
      <c r="Y30" s="180">
        <f t="shared" si="24"/>
        <v>45683.835782672</v>
      </c>
      <c r="Z30" s="55" t="str">
        <f t="shared" si="25"/>
        <v>349°M / -51°</v>
      </c>
      <c r="AA30" s="151">
        <f t="shared" si="26"/>
        <v>1555.4</v>
      </c>
      <c r="AB30" s="150">
        <f t="shared" si="27"/>
        <v>1780.2</v>
      </c>
      <c r="AC30" s="188">
        <v>21</v>
      </c>
      <c r="AD30" s="1" t="b">
        <f t="shared" si="28"/>
        <v>1</v>
      </c>
      <c r="AE30" s="1">
        <f t="shared" si="29"/>
        <v>30.3839930493881</v>
      </c>
      <c r="AF30" s="1">
        <f t="shared" si="30"/>
        <v>-12.0111433028102</v>
      </c>
      <c r="AG30" s="1">
        <f t="shared" si="31"/>
        <v>347.98885669719</v>
      </c>
      <c r="AH30" s="2">
        <f t="shared" si="32"/>
        <v>0.0816875005086786</v>
      </c>
      <c r="AI30" s="1">
        <f t="shared" si="33"/>
        <v>0.732319591348725</v>
      </c>
      <c r="AJ30" s="191">
        <f t="shared" si="105"/>
        <v>0</v>
      </c>
      <c r="AK30" s="191">
        <f t="shared" si="106"/>
        <v>0</v>
      </c>
      <c r="AL30" s="191">
        <f t="shared" si="34"/>
        <v>93.9975672796879</v>
      </c>
      <c r="AM30" s="20">
        <f t="shared" si="35"/>
        <v>-175.989248482287</v>
      </c>
      <c r="AN30" s="191">
        <f t="shared" si="36"/>
        <v>63.5717430977392</v>
      </c>
      <c r="AO30" s="134">
        <f t="shared" si="37"/>
        <v>353</v>
      </c>
      <c r="AP30" s="64">
        <f t="shared" si="38"/>
        <v>-63</v>
      </c>
      <c r="AQ30" s="1">
        <f t="shared" si="104"/>
        <v>90.7397456146623</v>
      </c>
      <c r="AR30" s="20">
        <f t="shared" si="39"/>
        <v>169.785087428937</v>
      </c>
      <c r="AS30" s="1">
        <f t="shared" si="40"/>
        <v>59.6155027371722</v>
      </c>
      <c r="AT30" s="134">
        <f t="shared" si="41"/>
        <v>20</v>
      </c>
      <c r="AU30" s="64">
        <f t="shared" si="42"/>
        <v>-59</v>
      </c>
      <c r="AV30" s="65">
        <f t="shared" si="43"/>
        <v>45683.7492438426</v>
      </c>
      <c r="AW30" s="65">
        <f t="shared" si="44"/>
        <v>45683.835782672</v>
      </c>
      <c r="AX30" s="1">
        <f t="shared" si="45"/>
        <v>72</v>
      </c>
      <c r="AY30" s="1">
        <f t="shared" si="46"/>
        <v>-51</v>
      </c>
      <c r="AZ30" s="131">
        <f t="shared" si="47"/>
        <v>1555.4</v>
      </c>
      <c r="BA30" s="1">
        <f t="shared" si="48"/>
        <v>1780.2</v>
      </c>
      <c r="BB30" s="1">
        <f t="shared" si="49"/>
        <v>42370441.0883531</v>
      </c>
      <c r="BC30" s="1">
        <f t="shared" si="50"/>
        <v>-55</v>
      </c>
      <c r="BD30" s="1">
        <f t="shared" si="51"/>
        <v>57481698.9644107</v>
      </c>
      <c r="BE30" s="1">
        <f t="shared" si="52"/>
        <v>-58</v>
      </c>
      <c r="BF30" s="20">
        <f t="shared" si="53"/>
        <v>-32.1022707377027</v>
      </c>
      <c r="BG30" s="1">
        <f t="shared" si="54"/>
        <v>458.48005657593</v>
      </c>
      <c r="BH30" s="1">
        <f t="shared" si="55"/>
        <v>730.81549331215</v>
      </c>
      <c r="BI30" s="1">
        <f t="shared" si="56"/>
        <v>505.834097438</v>
      </c>
      <c r="BJ30" s="1">
        <f t="shared" si="57"/>
        <v>458.48005657593</v>
      </c>
      <c r="BK30" s="1">
        <f t="shared" si="58"/>
        <v>730.81549331215</v>
      </c>
      <c r="BL30" s="1">
        <f t="shared" si="59"/>
        <v>505.834097438</v>
      </c>
      <c r="BM30" s="61">
        <f t="shared" si="60"/>
        <v>22462543.7325412</v>
      </c>
      <c r="BN30" s="61">
        <f t="shared" si="61"/>
        <v>37186475.7803234</v>
      </c>
      <c r="BO30" s="61">
        <f t="shared" si="62"/>
        <v>505.834097438</v>
      </c>
      <c r="BQ30" s="1" t="str">
        <f t="shared" si="63"/>
        <v>N 30° 23.0' / W 012° 00.7'</v>
      </c>
      <c r="BR30" s="1" t="str">
        <f t="shared" si="64"/>
        <v>28R 544992 530682</v>
      </c>
      <c r="BS30" s="1" t="str">
        <f t="shared" si="65"/>
        <v>28R EL 449306</v>
      </c>
      <c r="BT30" s="1" t="b">
        <f t="shared" si="66"/>
        <v>0</v>
      </c>
      <c r="BU30" s="1" t="str">
        <f t="shared" si="67"/>
        <v>28R</v>
      </c>
      <c r="BV30" s="1">
        <f t="shared" si="68"/>
        <v>28</v>
      </c>
      <c r="BW30" s="1">
        <f t="shared" si="69"/>
        <v>0</v>
      </c>
      <c r="BX30" s="1">
        <f t="shared" si="70"/>
        <v>-15</v>
      </c>
      <c r="BY30" s="1">
        <f t="shared" si="71"/>
        <v>44992.696157309</v>
      </c>
      <c r="BZ30" s="1">
        <f t="shared" si="72"/>
        <v>544992.6962</v>
      </c>
      <c r="CA30" s="1" t="str">
        <f t="shared" si="73"/>
        <v>E</v>
      </c>
      <c r="CB30" s="1" t="str">
        <f t="shared" si="74"/>
        <v>544992</v>
      </c>
      <c r="CC30" s="1" t="str">
        <f t="shared" si="75"/>
        <v>44992</v>
      </c>
      <c r="CD30" s="1">
        <f t="shared" si="76"/>
        <v>530682.496883892</v>
      </c>
      <c r="CE30" s="1">
        <f t="shared" si="77"/>
        <v>530682.4969</v>
      </c>
      <c r="CF30" s="1" t="str">
        <f t="shared" si="78"/>
        <v>L</v>
      </c>
      <c r="CG30" s="1" t="str">
        <f t="shared" si="79"/>
        <v>530682</v>
      </c>
      <c r="CH30" s="1" t="str">
        <f t="shared" si="80"/>
        <v>30682</v>
      </c>
      <c r="CJ30" s="1">
        <f t="shared" si="81"/>
        <v>336</v>
      </c>
      <c r="CK30" s="1" t="str">
        <f t="shared" si="82"/>
        <v>LA</v>
      </c>
      <c r="CL30" s="1">
        <f t="shared" si="83"/>
        <v>2</v>
      </c>
      <c r="CM30" s="1">
        <f t="shared" si="84"/>
        <v>6</v>
      </c>
      <c r="CN30" s="1">
        <f t="shared" si="85"/>
        <v>2</v>
      </c>
      <c r="CO30" s="1">
        <f t="shared" si="86"/>
        <v>1</v>
      </c>
      <c r="CP30" s="1" t="str">
        <f t="shared" si="87"/>
        <v>336LA26</v>
      </c>
      <c r="CR30" s="1" t="e">
        <f t="shared" si="88"/>
        <v>#VALUE!</v>
      </c>
      <c r="CS30" s="1" t="e">
        <f t="shared" si="89"/>
        <v>#VALUE!</v>
      </c>
      <c r="CT30" s="1">
        <f t="shared" si="90"/>
        <v>1</v>
      </c>
      <c r="CU30" s="1">
        <f t="shared" si="91"/>
        <v>4</v>
      </c>
      <c r="CV30" s="131" t="e">
        <f t="shared" si="92"/>
        <v>#VALUE!</v>
      </c>
      <c r="CW30" s="131">
        <v>1271.3</v>
      </c>
      <c r="CX30" s="131">
        <v>1598.6</v>
      </c>
      <c r="CY30" s="131">
        <v>1894.6</v>
      </c>
      <c r="CZ30" s="131">
        <v>2128.1</v>
      </c>
      <c r="DA30" s="131">
        <v>2345.7</v>
      </c>
      <c r="DC30" s="154">
        <f t="shared" si="93"/>
        <v>-843.837953494</v>
      </c>
      <c r="DD30" s="154">
        <f t="shared" si="94"/>
        <v>505.834097438</v>
      </c>
      <c r="DE30" s="154">
        <f t="shared" si="95"/>
        <v>-179.534831679</v>
      </c>
      <c r="DF30" s="1">
        <f t="shared" si="96"/>
        <v>-10.3418121527911</v>
      </c>
      <c r="DG30" s="1">
        <f t="shared" si="97"/>
        <v>149.059648139223</v>
      </c>
      <c r="DH30" s="1">
        <f t="shared" si="98"/>
        <v>269</v>
      </c>
      <c r="DI30" s="1">
        <f t="shared" si="99"/>
        <v>296</v>
      </c>
      <c r="DJ30" s="1">
        <f t="shared" si="100"/>
        <v>349</v>
      </c>
      <c r="DK30" s="1">
        <f t="shared" si="101"/>
        <v>269</v>
      </c>
      <c r="DL30" s="1">
        <f t="shared" si="102"/>
        <v>296</v>
      </c>
      <c r="DM30" s="1">
        <f t="shared" si="103"/>
        <v>349</v>
      </c>
    </row>
    <row r="31" customHeight="1" spans="1:117">
      <c r="A31" s="152" t="str">
        <f t="shared" si="107"/>
        <v>Sakura Sun Goldenrod Workcenter</v>
      </c>
      <c r="C31" s="55" t="str">
        <f t="shared" si="5"/>
        <v>S 20° 03.9' / W 100° 38.0'</v>
      </c>
      <c r="D31" s="150" t="str">
        <f t="shared" si="6"/>
        <v>499 m</v>
      </c>
      <c r="E31" s="151">
        <f t="shared" si="7"/>
        <v>2015.4</v>
      </c>
      <c r="F31" s="151">
        <f t="shared" si="8"/>
        <v>1444</v>
      </c>
      <c r="G31" s="151">
        <f t="shared" si="9"/>
        <v>2394.3</v>
      </c>
      <c r="H31" s="151">
        <f t="shared" si="10"/>
        <v>643.5</v>
      </c>
      <c r="I31" s="151">
        <f t="shared" si="11"/>
        <v>1890.2</v>
      </c>
      <c r="J31" s="171">
        <f t="shared" si="12"/>
        <v>1604.4</v>
      </c>
      <c r="K31" s="172">
        <f t="shared" si="108"/>
        <v>-173.422432138</v>
      </c>
      <c r="L31" s="172">
        <f t="shared" si="109"/>
        <v>-923.630455717999</v>
      </c>
      <c r="M31" s="173">
        <f t="shared" si="110"/>
        <v>-343.264571051999</v>
      </c>
      <c r="N31" s="54">
        <f t="shared" si="13"/>
        <v>0.0870770789061127</v>
      </c>
      <c r="O31" s="55" t="str">
        <f t="shared" si="14"/>
        <v>Afternoon / Sets in 3m</v>
      </c>
      <c r="P31" s="55" t="str">
        <f t="shared" si="15"/>
        <v>066°M / +01°</v>
      </c>
      <c r="Q31" s="56">
        <f t="shared" si="16"/>
        <v>45683.792296069</v>
      </c>
      <c r="R31" s="56">
        <f t="shared" si="17"/>
        <v>45683.7980182911</v>
      </c>
      <c r="S31" s="56">
        <f t="shared" si="18"/>
        <v>45683.8415568305</v>
      </c>
      <c r="T31" s="56">
        <f t="shared" si="19"/>
        <v>45683.7134287075</v>
      </c>
      <c r="U31" s="180">
        <f t="shared" si="20"/>
        <v>45683.7191509296</v>
      </c>
      <c r="V31" s="55" t="str">
        <f t="shared" si="21"/>
        <v>Obstructed / Rises in 114m</v>
      </c>
      <c r="W31" s="55" t="str">
        <f t="shared" si="22"/>
        <v>057°M / -11°</v>
      </c>
      <c r="X31" s="56">
        <f t="shared" si="23"/>
        <v>45683.7909897707</v>
      </c>
      <c r="Y31" s="180">
        <f t="shared" si="24"/>
        <v>45683.8785568222</v>
      </c>
      <c r="Z31" s="55" t="str">
        <f t="shared" si="25"/>
        <v>030°M / -80°</v>
      </c>
      <c r="AA31" s="151">
        <f t="shared" si="26"/>
        <v>1968.8</v>
      </c>
      <c r="AB31" s="150">
        <f t="shared" si="27"/>
        <v>2777.3</v>
      </c>
      <c r="AC31" s="188">
        <v>22</v>
      </c>
      <c r="AD31" s="1" t="b">
        <f t="shared" si="28"/>
        <v>1</v>
      </c>
      <c r="AE31" s="1">
        <f t="shared" si="29"/>
        <v>-20.0654420518885</v>
      </c>
      <c r="AF31" s="1">
        <f t="shared" si="30"/>
        <v>-100.634140109623</v>
      </c>
      <c r="AG31" s="1">
        <f t="shared" si="31"/>
        <v>259.365859890377</v>
      </c>
      <c r="AH31" s="2">
        <f t="shared" si="32"/>
        <v>0.499437500097088</v>
      </c>
      <c r="AI31" s="1">
        <f t="shared" si="33"/>
        <v>1.81045547164656</v>
      </c>
      <c r="AJ31" s="191">
        <f t="shared" si="105"/>
        <v>0</v>
      </c>
      <c r="AK31" s="191">
        <f t="shared" si="106"/>
        <v>0</v>
      </c>
      <c r="AL31" s="191">
        <f t="shared" si="34"/>
        <v>91.3041237875775</v>
      </c>
      <c r="AM31" s="20">
        <f t="shared" si="35"/>
        <v>-87.3662516754742</v>
      </c>
      <c r="AN31" s="191">
        <f t="shared" si="36"/>
        <v>65.9776691007725</v>
      </c>
      <c r="AO31" s="134">
        <f t="shared" si="37"/>
        <v>275</v>
      </c>
      <c r="AP31" s="64">
        <f t="shared" si="38"/>
        <v>3</v>
      </c>
      <c r="AQ31" s="1">
        <f t="shared" si="104"/>
        <v>91.8178814949602</v>
      </c>
      <c r="AR31" s="20">
        <f t="shared" si="39"/>
        <v>-101.59191576425</v>
      </c>
      <c r="AS31" s="1">
        <f t="shared" si="40"/>
        <v>69.934215784273</v>
      </c>
      <c r="AT31" s="134">
        <f t="shared" si="41"/>
        <v>266</v>
      </c>
      <c r="AU31" s="64">
        <f t="shared" si="42"/>
        <v>-14</v>
      </c>
      <c r="AV31" s="65">
        <f t="shared" si="43"/>
        <v>45683.7909897707</v>
      </c>
      <c r="AW31" s="65">
        <f t="shared" si="44"/>
        <v>45683.8785568222</v>
      </c>
      <c r="AX31" s="1">
        <f t="shared" si="45"/>
        <v>239</v>
      </c>
      <c r="AY31" s="1">
        <f t="shared" si="46"/>
        <v>-80</v>
      </c>
      <c r="AZ31" s="131">
        <f t="shared" si="47"/>
        <v>1968.8</v>
      </c>
      <c r="BA31" s="1">
        <f t="shared" si="48"/>
        <v>2777.3</v>
      </c>
      <c r="BB31" s="1">
        <f t="shared" si="49"/>
        <v>42369598.0384469</v>
      </c>
      <c r="BC31" s="1">
        <f t="shared" si="50"/>
        <v>1</v>
      </c>
      <c r="BD31" s="1">
        <f t="shared" si="51"/>
        <v>57481038.7567489</v>
      </c>
      <c r="BE31" s="1">
        <f t="shared" si="52"/>
        <v>-11</v>
      </c>
      <c r="BF31" s="20">
        <f t="shared" si="53"/>
        <v>-120.725267544516</v>
      </c>
      <c r="BG31" s="1">
        <f t="shared" si="54"/>
        <v>807.852115422131</v>
      </c>
      <c r="BH31" s="1">
        <f t="shared" si="55"/>
        <v>-480.14947496221</v>
      </c>
      <c r="BI31" s="1">
        <f t="shared" si="56"/>
        <v>-343.264571051999</v>
      </c>
      <c r="BJ31" s="1">
        <f t="shared" si="57"/>
        <v>807.852115422131</v>
      </c>
      <c r="BK31" s="1">
        <f t="shared" si="58"/>
        <v>-480.14947496221</v>
      </c>
      <c r="BL31" s="1">
        <f t="shared" si="59"/>
        <v>-343.264571051999</v>
      </c>
      <c r="BM31" s="61">
        <f t="shared" si="60"/>
        <v>22462893.1046</v>
      </c>
      <c r="BN31" s="61">
        <f t="shared" si="61"/>
        <v>37185264.8153551</v>
      </c>
      <c r="BO31" s="61">
        <f t="shared" si="62"/>
        <v>-343.264571051999</v>
      </c>
      <c r="BQ31" s="1" t="str">
        <f t="shared" si="63"/>
        <v>S 20° 03.9' / W 100° 38.0'</v>
      </c>
      <c r="BR31" s="1" t="str">
        <f t="shared" si="64"/>
        <v>14K 473218 1649800</v>
      </c>
      <c r="BS31" s="1" t="str">
        <f t="shared" si="65"/>
        <v>14K MB 732498</v>
      </c>
      <c r="BT31" s="1" t="b">
        <f t="shared" si="66"/>
        <v>0</v>
      </c>
      <c r="BU31" s="1" t="str">
        <f t="shared" si="67"/>
        <v>14K</v>
      </c>
      <c r="BV31" s="1">
        <f t="shared" si="68"/>
        <v>14</v>
      </c>
      <c r="BW31" s="1">
        <f t="shared" si="69"/>
        <v>0</v>
      </c>
      <c r="BX31" s="1">
        <f t="shared" si="70"/>
        <v>-99</v>
      </c>
      <c r="BY31" s="1">
        <f t="shared" si="71"/>
        <v>-26781.9920207577</v>
      </c>
      <c r="BZ31" s="1">
        <f t="shared" si="72"/>
        <v>473218.008</v>
      </c>
      <c r="CA31" s="1" t="str">
        <f t="shared" si="73"/>
        <v>M</v>
      </c>
      <c r="CB31" s="1" t="str">
        <f t="shared" si="74"/>
        <v>473218</v>
      </c>
      <c r="CC31" s="1" t="str">
        <f t="shared" si="75"/>
        <v>73218</v>
      </c>
      <c r="CD31" s="1">
        <f t="shared" si="76"/>
        <v>-350199.007339282</v>
      </c>
      <c r="CE31" s="1">
        <f t="shared" si="77"/>
        <v>1649800.9927</v>
      </c>
      <c r="CF31" s="1" t="str">
        <f t="shared" si="78"/>
        <v>B</v>
      </c>
      <c r="CG31" s="1" t="str">
        <f t="shared" si="79"/>
        <v>1649800</v>
      </c>
      <c r="CH31" s="1" t="str">
        <f t="shared" si="80"/>
        <v>49800</v>
      </c>
      <c r="CJ31" s="1">
        <f t="shared" si="81"/>
        <v>159</v>
      </c>
      <c r="CK31" s="1" t="str">
        <f t="shared" si="82"/>
        <v>FV</v>
      </c>
      <c r="CL31" s="1">
        <f t="shared" si="83"/>
        <v>2</v>
      </c>
      <c r="CM31" s="1">
        <f t="shared" si="84"/>
        <v>2</v>
      </c>
      <c r="CN31" s="1">
        <f t="shared" si="85"/>
        <v>1</v>
      </c>
      <c r="CO31" s="1">
        <f t="shared" si="86"/>
        <v>2</v>
      </c>
      <c r="CP31" s="1" t="str">
        <f t="shared" si="87"/>
        <v>159FV22</v>
      </c>
      <c r="CR31" s="1" t="e">
        <f t="shared" si="88"/>
        <v>#VALUE!</v>
      </c>
      <c r="CS31" s="1" t="e">
        <f t="shared" si="89"/>
        <v>#VALUE!</v>
      </c>
      <c r="CT31" s="1">
        <f t="shared" si="90"/>
        <v>2</v>
      </c>
      <c r="CU31" s="1">
        <f t="shared" si="91"/>
        <v>6</v>
      </c>
      <c r="CV31" s="131" t="e">
        <f t="shared" si="92"/>
        <v>#VALUE!</v>
      </c>
      <c r="CW31" s="131">
        <v>1444</v>
      </c>
      <c r="CX31" s="131">
        <v>1604.4</v>
      </c>
      <c r="CY31" s="131">
        <v>1890.2</v>
      </c>
      <c r="CZ31" s="131">
        <v>2015.4</v>
      </c>
      <c r="DA31" s="131">
        <v>2394.3</v>
      </c>
      <c r="DC31" s="154">
        <f t="shared" si="93"/>
        <v>173.422432138</v>
      </c>
      <c r="DD31" s="154">
        <f t="shared" si="94"/>
        <v>-343.264571051999</v>
      </c>
      <c r="DE31" s="154">
        <f t="shared" si="95"/>
        <v>-923.630455717999</v>
      </c>
      <c r="DF31" s="1">
        <f t="shared" si="96"/>
        <v>-67.393913781424</v>
      </c>
      <c r="DG31" s="1">
        <f t="shared" si="97"/>
        <v>-63.1964068956049</v>
      </c>
      <c r="DH31" s="1">
        <f t="shared" si="98"/>
        <v>66</v>
      </c>
      <c r="DI31" s="1">
        <f t="shared" si="99"/>
        <v>57</v>
      </c>
      <c r="DJ31" s="1">
        <f t="shared" si="100"/>
        <v>30</v>
      </c>
      <c r="DK31" s="1">
        <f t="shared" si="101"/>
        <v>66</v>
      </c>
      <c r="DL31" s="1">
        <f t="shared" si="102"/>
        <v>57</v>
      </c>
      <c r="DM31" s="1">
        <f t="shared" si="103"/>
        <v>30</v>
      </c>
    </row>
    <row r="32" customHeight="1" spans="1:117">
      <c r="A32" s="152" t="str">
        <f t="shared" si="107"/>
        <v/>
      </c>
      <c r="C32" s="55" t="str">
        <f t="shared" si="5"/>
        <v/>
      </c>
      <c r="D32" s="150" t="str">
        <f t="shared" si="6"/>
        <v/>
      </c>
      <c r="E32" s="151" t="str">
        <f t="shared" si="7"/>
        <v/>
      </c>
      <c r="F32" s="151" t="str">
        <f t="shared" si="8"/>
        <v/>
      </c>
      <c r="G32" s="151" t="str">
        <f t="shared" si="9"/>
        <v/>
      </c>
      <c r="H32" s="151" t="str">
        <f t="shared" si="10"/>
        <v/>
      </c>
      <c r="I32" s="151" t="str">
        <f t="shared" si="11"/>
        <v/>
      </c>
      <c r="J32" s="171" t="str">
        <f t="shared" si="12"/>
        <v/>
      </c>
      <c r="K32" s="172" t="str">
        <f t="shared" si="108"/>
        <v/>
      </c>
      <c r="L32" s="172" t="str">
        <f t="shared" si="109"/>
        <v/>
      </c>
      <c r="M32" s="173" t="str">
        <f t="shared" si="110"/>
        <v/>
      </c>
      <c r="N32" s="54" t="str">
        <f t="shared" si="13"/>
        <v/>
      </c>
      <c r="O32" s="55" t="str">
        <f t="shared" si="14"/>
        <v/>
      </c>
      <c r="P32" s="55" t="str">
        <f t="shared" si="15"/>
        <v/>
      </c>
      <c r="Q32" s="56" t="str">
        <f t="shared" si="16"/>
        <v/>
      </c>
      <c r="R32" s="56" t="str">
        <f t="shared" si="17"/>
        <v/>
      </c>
      <c r="S32" s="56" t="str">
        <f t="shared" si="18"/>
        <v/>
      </c>
      <c r="T32" s="56" t="str">
        <f t="shared" si="19"/>
        <v/>
      </c>
      <c r="U32" s="180" t="str">
        <f t="shared" si="20"/>
        <v/>
      </c>
      <c r="V32" s="55" t="str">
        <f t="shared" si="21"/>
        <v/>
      </c>
      <c r="W32" s="55" t="str">
        <f t="shared" si="22"/>
        <v/>
      </c>
      <c r="X32" s="56" t="str">
        <f t="shared" si="23"/>
        <v/>
      </c>
      <c r="Y32" s="180" t="str">
        <f t="shared" si="24"/>
        <v/>
      </c>
      <c r="Z32" s="55" t="str">
        <f t="shared" si="25"/>
        <v/>
      </c>
      <c r="AA32" s="55" t="str">
        <f t="shared" si="26"/>
        <v/>
      </c>
      <c r="AB32" s="150" t="str">
        <f t="shared" si="27"/>
        <v/>
      </c>
      <c r="AC32" s="188">
        <v>23</v>
      </c>
      <c r="AD32" s="1" t="b">
        <f t="shared" si="28"/>
        <v>0</v>
      </c>
      <c r="AE32" s="1" t="str">
        <f t="shared" si="29"/>
        <v/>
      </c>
      <c r="AF32" s="1" t="str">
        <f t="shared" si="30"/>
        <v/>
      </c>
      <c r="AG32" s="1" t="str">
        <f t="shared" si="31"/>
        <v/>
      </c>
      <c r="AH32" s="1" t="str">
        <f t="shared" si="32"/>
        <v/>
      </c>
      <c r="AI32" s="1" t="str">
        <f t="shared" si="33"/>
        <v/>
      </c>
      <c r="AJ32" s="191" t="str">
        <f t="shared" si="105"/>
        <v/>
      </c>
      <c r="AK32" s="191" t="str">
        <f t="shared" si="106"/>
        <v/>
      </c>
      <c r="AL32" s="191" t="str">
        <f t="shared" si="34"/>
        <v/>
      </c>
      <c r="AM32" s="1" t="str">
        <f t="shared" si="35"/>
        <v/>
      </c>
      <c r="AN32" s="191" t="str">
        <f t="shared" si="36"/>
        <v/>
      </c>
      <c r="AO32" s="134" t="str">
        <f t="shared" si="37"/>
        <v/>
      </c>
      <c r="AP32" s="64" t="str">
        <f t="shared" si="38"/>
        <v/>
      </c>
      <c r="AQ32" s="1" t="str">
        <f t="shared" si="104"/>
        <v/>
      </c>
      <c r="AR32" s="1" t="str">
        <f t="shared" si="39"/>
        <v/>
      </c>
      <c r="AS32" s="1" t="str">
        <f t="shared" si="40"/>
        <v/>
      </c>
      <c r="AT32" s="134" t="str">
        <f t="shared" si="41"/>
        <v/>
      </c>
      <c r="AU32" s="64" t="str">
        <f t="shared" si="42"/>
        <v/>
      </c>
      <c r="AV32" s="65" t="str">
        <f t="shared" si="43"/>
        <v/>
      </c>
      <c r="AW32" s="65" t="str">
        <f t="shared" si="44"/>
        <v/>
      </c>
      <c r="AX32" s="1" t="str">
        <f t="shared" si="45"/>
        <v/>
      </c>
      <c r="AY32" s="1" t="str">
        <f t="shared" si="46"/>
        <v/>
      </c>
      <c r="AZ32" s="131" t="str">
        <f t="shared" si="47"/>
        <v/>
      </c>
      <c r="BA32" s="1" t="str">
        <f t="shared" si="48"/>
        <v/>
      </c>
      <c r="BB32" s="1" t="str">
        <f t="shared" si="49"/>
        <v/>
      </c>
      <c r="BC32" s="1" t="str">
        <f t="shared" si="50"/>
        <v/>
      </c>
      <c r="BD32" s="1" t="str">
        <f t="shared" si="51"/>
        <v/>
      </c>
      <c r="BE32" s="1" t="str">
        <f t="shared" si="52"/>
        <v/>
      </c>
      <c r="BF32" s="1" t="str">
        <f t="shared" si="53"/>
        <v/>
      </c>
      <c r="BG32" s="1" t="str">
        <f t="shared" si="54"/>
        <v/>
      </c>
      <c r="BH32" s="1" t="str">
        <f t="shared" si="55"/>
        <v/>
      </c>
      <c r="BI32" s="1" t="str">
        <f t="shared" si="56"/>
        <v/>
      </c>
      <c r="BJ32" s="1" t="str">
        <f t="shared" si="57"/>
        <v/>
      </c>
      <c r="BK32" s="1" t="str">
        <f t="shared" si="58"/>
        <v/>
      </c>
      <c r="BL32" s="1" t="str">
        <f t="shared" si="59"/>
        <v/>
      </c>
      <c r="BM32" s="1" t="str">
        <f t="shared" si="60"/>
        <v/>
      </c>
      <c r="BN32" s="1" t="str">
        <f t="shared" si="61"/>
        <v/>
      </c>
      <c r="BO32" s="1" t="str">
        <f t="shared" si="62"/>
        <v/>
      </c>
      <c r="BQ32" s="1" t="str">
        <f t="shared" si="63"/>
        <v/>
      </c>
      <c r="BR32" s="1" t="str">
        <f t="shared" si="64"/>
        <v/>
      </c>
      <c r="BS32" s="1" t="str">
        <f t="shared" si="65"/>
        <v/>
      </c>
      <c r="BT32" s="1" t="str">
        <f t="shared" si="66"/>
        <v/>
      </c>
      <c r="BU32" s="1" t="str">
        <f t="shared" si="67"/>
        <v/>
      </c>
      <c r="BV32" s="1" t="str">
        <f t="shared" si="68"/>
        <v/>
      </c>
      <c r="BW32" s="1" t="str">
        <f t="shared" si="69"/>
        <v/>
      </c>
      <c r="BX32" s="1" t="str">
        <f t="shared" si="70"/>
        <v/>
      </c>
      <c r="BY32" s="1" t="str">
        <f t="shared" si="71"/>
        <v/>
      </c>
      <c r="BZ32" s="1" t="str">
        <f t="shared" si="72"/>
        <v/>
      </c>
      <c r="CA32" s="1" t="str">
        <f t="shared" si="73"/>
        <v/>
      </c>
      <c r="CB32" s="1" t="str">
        <f t="shared" si="74"/>
        <v/>
      </c>
      <c r="CC32" s="1" t="str">
        <f t="shared" si="75"/>
        <v/>
      </c>
      <c r="CD32" s="1" t="str">
        <f t="shared" si="76"/>
        <v/>
      </c>
      <c r="CE32" s="1" t="str">
        <f t="shared" si="77"/>
        <v/>
      </c>
      <c r="CF32" s="1" t="str">
        <f t="shared" si="78"/>
        <v/>
      </c>
      <c r="CG32" s="1" t="str">
        <f t="shared" si="79"/>
        <v/>
      </c>
      <c r="CH32" s="1" t="str">
        <f t="shared" si="80"/>
        <v/>
      </c>
      <c r="CJ32" s="1" t="str">
        <f t="shared" si="81"/>
        <v/>
      </c>
      <c r="CK32" s="1" t="str">
        <f t="shared" si="82"/>
        <v/>
      </c>
      <c r="CL32" s="1" t="str">
        <f t="shared" si="83"/>
        <v/>
      </c>
      <c r="CM32" s="1" t="str">
        <f t="shared" si="84"/>
        <v/>
      </c>
      <c r="CN32" s="1" t="str">
        <f t="shared" si="85"/>
        <v/>
      </c>
      <c r="CO32" s="1" t="str">
        <f t="shared" si="86"/>
        <v/>
      </c>
      <c r="CP32" s="1" t="str">
        <f t="shared" si="87"/>
        <v/>
      </c>
      <c r="CR32" s="1" t="str">
        <f t="shared" si="88"/>
        <v/>
      </c>
      <c r="CS32" s="1" t="str">
        <f t="shared" si="89"/>
        <v/>
      </c>
      <c r="CT32" s="1" t="str">
        <f t="shared" si="90"/>
        <v/>
      </c>
      <c r="CU32" s="1" t="str">
        <f t="shared" si="91"/>
        <v/>
      </c>
      <c r="CV32" s="1" t="str">
        <f t="shared" si="92"/>
        <v/>
      </c>
      <c r="DC32" s="154" t="e">
        <f t="shared" si="93"/>
        <v>#VALUE!</v>
      </c>
      <c r="DD32" s="154" t="str">
        <f t="shared" si="94"/>
        <v/>
      </c>
      <c r="DE32" s="154" t="str">
        <f t="shared" si="95"/>
        <v/>
      </c>
      <c r="DF32" s="1" t="str">
        <f t="shared" si="96"/>
        <v/>
      </c>
      <c r="DG32" s="1" t="str">
        <f t="shared" si="97"/>
        <v/>
      </c>
      <c r="DH32" s="1" t="str">
        <f t="shared" si="98"/>
        <v/>
      </c>
      <c r="DI32" s="1" t="str">
        <f t="shared" si="99"/>
        <v/>
      </c>
      <c r="DJ32" s="1" t="str">
        <f t="shared" si="100"/>
        <v/>
      </c>
      <c r="DK32" s="1" t="str">
        <f t="shared" si="101"/>
        <v/>
      </c>
      <c r="DL32" s="1" t="str">
        <f t="shared" si="102"/>
        <v/>
      </c>
      <c r="DM32" s="1" t="str">
        <f t="shared" si="103"/>
        <v/>
      </c>
    </row>
    <row r="33" customHeight="1" spans="1:117">
      <c r="A33" s="152" t="str">
        <f t="shared" si="107"/>
        <v>Underground Bunker Facilities</v>
      </c>
      <c r="C33" s="55" t="e">
        <f t="shared" si="5"/>
        <v>#DIV/0!</v>
      </c>
      <c r="D33" s="150" t="str">
        <f t="shared" si="6"/>
        <v>-1000000 m</v>
      </c>
      <c r="E33" s="151">
        <f t="shared" si="7"/>
        <v>1439.6</v>
      </c>
      <c r="F33" s="151">
        <f t="shared" si="8"/>
        <v>1439.6</v>
      </c>
      <c r="G33" s="151">
        <f t="shared" si="9"/>
        <v>1439.6</v>
      </c>
      <c r="H33" s="151">
        <f t="shared" si="10"/>
        <v>1439.6</v>
      </c>
      <c r="I33" s="151">
        <f t="shared" si="11"/>
        <v>1439.6</v>
      </c>
      <c r="J33" s="171">
        <f t="shared" si="12"/>
        <v>1439.6</v>
      </c>
      <c r="K33" s="172">
        <f t="shared" si="108"/>
        <v>0</v>
      </c>
      <c r="L33" s="172">
        <f t="shared" si="109"/>
        <v>0</v>
      </c>
      <c r="M33" s="173">
        <f t="shared" si="110"/>
        <v>0</v>
      </c>
      <c r="N33" s="54" t="str">
        <f t="shared" si="13"/>
        <v>Continuous</v>
      </c>
      <c r="O33" s="55" t="e">
        <f t="shared" si="14"/>
        <v>#DIV/0!</v>
      </c>
      <c r="P33" s="55" t="e">
        <f t="shared" si="15"/>
        <v>#DIV/0!</v>
      </c>
      <c r="Q33" s="56" t="str">
        <f t="shared" si="16"/>
        <v/>
      </c>
      <c r="R33" s="56" t="str">
        <f t="shared" si="17"/>
        <v/>
      </c>
      <c r="S33" s="56" t="str">
        <f t="shared" si="18"/>
        <v/>
      </c>
      <c r="T33" s="56" t="str">
        <f t="shared" si="19"/>
        <v/>
      </c>
      <c r="U33" s="180" t="str">
        <f t="shared" si="20"/>
        <v/>
      </c>
      <c r="V33" s="55" t="e">
        <f t="shared" si="21"/>
        <v>#DIV/0!</v>
      </c>
      <c r="W33" s="55" t="e">
        <f t="shared" si="22"/>
        <v>#DIV/0!</v>
      </c>
      <c r="X33" s="56" t="str">
        <f t="shared" si="23"/>
        <v/>
      </c>
      <c r="Y33" s="180" t="str">
        <f t="shared" si="24"/>
        <v/>
      </c>
      <c r="Z33" s="55" t="e">
        <f t="shared" si="25"/>
        <v>#DIV/0!</v>
      </c>
      <c r="AA33" s="55">
        <f t="shared" si="26"/>
        <v>1001.4</v>
      </c>
      <c r="AB33" s="150" t="e">
        <f t="shared" si="27"/>
        <v>#DIV/0!</v>
      </c>
      <c r="AC33" s="188">
        <v>24</v>
      </c>
      <c r="AD33" s="1" t="b">
        <f t="shared" si="28"/>
        <v>1</v>
      </c>
      <c r="AE33" s="1" t="e">
        <f t="shared" si="29"/>
        <v>#DIV/0!</v>
      </c>
      <c r="AF33" s="1" t="e">
        <f t="shared" si="30"/>
        <v>#DIV/0!</v>
      </c>
      <c r="AG33" s="1" t="e">
        <f t="shared" si="31"/>
        <v>#DIV/0!</v>
      </c>
      <c r="AH33" s="1">
        <f t="shared" si="32"/>
        <v>-1000</v>
      </c>
      <c r="AI33" s="1">
        <f t="shared" si="33"/>
        <v>0</v>
      </c>
      <c r="AJ33" s="191">
        <f t="shared" si="105"/>
        <v>0</v>
      </c>
      <c r="AK33" s="191">
        <f t="shared" si="106"/>
        <v>0</v>
      </c>
      <c r="AL33" s="191" t="e">
        <f t="shared" si="34"/>
        <v>#DIV/0!</v>
      </c>
      <c r="AM33" s="1" t="e">
        <f t="shared" si="35"/>
        <v>#DIV/0!</v>
      </c>
      <c r="AN33" s="191">
        <f t="shared" si="36"/>
        <v>90</v>
      </c>
      <c r="AO33" s="134" t="e">
        <f t="shared" si="37"/>
        <v>#DIV/0!</v>
      </c>
      <c r="AP33" s="64" t="e">
        <f t="shared" si="38"/>
        <v>#DIV/0!</v>
      </c>
      <c r="AQ33" s="1" t="e">
        <f t="shared" si="104"/>
        <v>#DIV/0!</v>
      </c>
      <c r="AR33" s="1" t="e">
        <f t="shared" si="39"/>
        <v>#DIV/0!</v>
      </c>
      <c r="AS33" s="1">
        <f t="shared" si="40"/>
        <v>90</v>
      </c>
      <c r="AT33" s="134" t="e">
        <f t="shared" si="41"/>
        <v>#DIV/0!</v>
      </c>
      <c r="AU33" s="64" t="e">
        <f t="shared" si="42"/>
        <v>#DIV/0!</v>
      </c>
      <c r="AV33" s="65" t="e">
        <f t="shared" si="43"/>
        <v>#DIV/0!</v>
      </c>
      <c r="AW33" s="65" t="e">
        <f t="shared" si="44"/>
        <v>#DIV/0!</v>
      </c>
      <c r="AX33" s="1" t="e">
        <f t="shared" si="45"/>
        <v>#DIV/0!</v>
      </c>
      <c r="AY33" s="1" t="e">
        <f t="shared" si="46"/>
        <v>#DIV/0!</v>
      </c>
      <c r="AZ33" s="131">
        <f t="shared" si="47"/>
        <v>1001.4</v>
      </c>
      <c r="BA33" s="1" t="e">
        <f t="shared" si="48"/>
        <v>#DIV/0!</v>
      </c>
      <c r="BB33" s="1">
        <f t="shared" si="49"/>
        <v>42369617.4235177</v>
      </c>
      <c r="BC33" s="1" t="e">
        <f t="shared" si="50"/>
        <v>#DIV/0!</v>
      </c>
      <c r="BD33" s="1">
        <f t="shared" si="51"/>
        <v>57480849.9111489</v>
      </c>
      <c r="BE33" s="1" t="e">
        <f t="shared" si="52"/>
        <v>#DIV/0!</v>
      </c>
      <c r="BF33" s="1" t="e">
        <f t="shared" si="53"/>
        <v>#DIV/0!</v>
      </c>
      <c r="BG33" s="1" t="e">
        <f t="shared" si="54"/>
        <v>#DIV/0!</v>
      </c>
      <c r="BH33" s="1" t="e">
        <f t="shared" si="55"/>
        <v>#DIV/0!</v>
      </c>
      <c r="BI33" s="1" t="e">
        <f t="shared" si="56"/>
        <v>#DIV/0!</v>
      </c>
      <c r="BJ33" s="1" t="e">
        <f t="shared" si="57"/>
        <v>#DIV/0!</v>
      </c>
      <c r="BK33" s="1" t="e">
        <f t="shared" si="58"/>
        <v>#DIV/0!</v>
      </c>
      <c r="BL33" s="1" t="e">
        <f t="shared" si="59"/>
        <v>#DIV/0!</v>
      </c>
      <c r="BM33" s="1" t="e">
        <f t="shared" si="60"/>
        <v>#DIV/0!</v>
      </c>
      <c r="BN33" s="1" t="e">
        <f t="shared" si="61"/>
        <v>#DIV/0!</v>
      </c>
      <c r="BO33" s="1" t="e">
        <f t="shared" si="62"/>
        <v>#DIV/0!</v>
      </c>
      <c r="BQ33" s="1" t="e">
        <f t="shared" si="63"/>
        <v>#DIV/0!</v>
      </c>
      <c r="BR33" s="1" t="e">
        <f t="shared" si="64"/>
        <v>#DIV/0!</v>
      </c>
      <c r="BS33" s="1" t="e">
        <f t="shared" si="65"/>
        <v>#DIV/0!</v>
      </c>
      <c r="BT33" s="1" t="e">
        <f t="shared" si="66"/>
        <v>#DIV/0!</v>
      </c>
      <c r="BU33" s="1" t="e">
        <f t="shared" si="67"/>
        <v>#DIV/0!</v>
      </c>
      <c r="BV33" s="1" t="e">
        <f t="shared" si="68"/>
        <v>#DIV/0!</v>
      </c>
      <c r="BW33" s="1" t="e">
        <f t="shared" si="69"/>
        <v>#DIV/0!</v>
      </c>
      <c r="BX33" s="1" t="e">
        <f t="shared" si="70"/>
        <v>#DIV/0!</v>
      </c>
      <c r="BY33" s="1" t="e">
        <f t="shared" si="71"/>
        <v>#DIV/0!</v>
      </c>
      <c r="BZ33" s="1" t="e">
        <f t="shared" si="72"/>
        <v>#DIV/0!</v>
      </c>
      <c r="CA33" s="1" t="e">
        <f t="shared" si="73"/>
        <v>#DIV/0!</v>
      </c>
      <c r="CB33" s="1" t="e">
        <f t="shared" si="74"/>
        <v>#DIV/0!</v>
      </c>
      <c r="CC33" s="1" t="e">
        <f t="shared" si="75"/>
        <v>#DIV/0!</v>
      </c>
      <c r="CD33" s="1" t="e">
        <f t="shared" si="76"/>
        <v>#DIV/0!</v>
      </c>
      <c r="CE33" s="1" t="e">
        <f t="shared" si="77"/>
        <v>#DIV/0!</v>
      </c>
      <c r="CF33" s="1" t="e">
        <f t="shared" si="78"/>
        <v>#DIV/0!</v>
      </c>
      <c r="CG33" s="1" t="e">
        <f t="shared" si="79"/>
        <v>#DIV/0!</v>
      </c>
      <c r="CH33" s="1" t="e">
        <f t="shared" si="80"/>
        <v>#DIV/0!</v>
      </c>
      <c r="CJ33" s="1" t="e">
        <f t="shared" si="81"/>
        <v>#DIV/0!</v>
      </c>
      <c r="CK33" s="1" t="e">
        <f t="shared" si="82"/>
        <v>#DIV/0!</v>
      </c>
      <c r="CL33" s="1" t="e">
        <f t="shared" si="83"/>
        <v>#DIV/0!</v>
      </c>
      <c r="CM33" s="1" t="e">
        <f t="shared" si="84"/>
        <v>#DIV/0!</v>
      </c>
      <c r="CN33" s="1" t="e">
        <f t="shared" si="85"/>
        <v>#DIV/0!</v>
      </c>
      <c r="CO33" s="1" t="e">
        <f t="shared" si="86"/>
        <v>#DIV/0!</v>
      </c>
      <c r="CP33" s="1" t="e">
        <f t="shared" si="87"/>
        <v>#DIV/0!</v>
      </c>
      <c r="CR33" s="1" t="e">
        <f t="shared" si="88"/>
        <v>#VALUE!</v>
      </c>
      <c r="CS33" s="1" t="e">
        <f t="shared" si="89"/>
        <v>#VALUE!</v>
      </c>
      <c r="CT33" s="1" t="str">
        <f t="shared" si="90"/>
        <v/>
      </c>
      <c r="CU33" s="1" t="str">
        <f t="shared" si="91"/>
        <v/>
      </c>
      <c r="CV33" s="1" t="e">
        <f t="shared" si="92"/>
        <v>#VALUE!</v>
      </c>
      <c r="DC33" s="154">
        <f t="shared" si="93"/>
        <v>0</v>
      </c>
      <c r="DD33" s="154">
        <f t="shared" si="94"/>
        <v>0</v>
      </c>
      <c r="DE33" s="154">
        <f t="shared" si="95"/>
        <v>0</v>
      </c>
      <c r="DF33" s="1" t="e">
        <f t="shared" si="96"/>
        <v>#DIV/0!</v>
      </c>
      <c r="DG33" s="1" t="e">
        <f t="shared" si="97"/>
        <v>#DIV/0!</v>
      </c>
      <c r="DH33" s="1" t="e">
        <f t="shared" si="98"/>
        <v>#DIV/0!</v>
      </c>
      <c r="DI33" s="1" t="e">
        <f t="shared" si="99"/>
        <v>#DIV/0!</v>
      </c>
      <c r="DJ33" s="1" t="e">
        <f t="shared" si="100"/>
        <v>#DIV/0!</v>
      </c>
      <c r="DK33" s="1" t="e">
        <f t="shared" si="101"/>
        <v>#DIV/0!</v>
      </c>
      <c r="DL33" s="1" t="e">
        <f t="shared" si="102"/>
        <v>#DIV/0!</v>
      </c>
      <c r="DM33" s="1" t="e">
        <f t="shared" si="103"/>
        <v>#DIV/0!</v>
      </c>
    </row>
    <row r="34" customHeight="1" spans="1:117">
      <c r="A34" s="152" t="str">
        <f t="shared" si="107"/>
        <v>MT DataCenter 2UB-RB9-5</v>
      </c>
      <c r="C34" s="55" t="str">
        <f t="shared" si="5"/>
        <v>S 23° 25.7' / E 008° 46.1'</v>
      </c>
      <c r="D34" s="150" t="str">
        <f t="shared" si="6"/>
        <v>181 m</v>
      </c>
      <c r="E34" s="151">
        <f t="shared" si="7"/>
        <v>2053.7</v>
      </c>
      <c r="F34" s="151">
        <f t="shared" si="8"/>
        <v>1388.5</v>
      </c>
      <c r="G34" s="151">
        <f t="shared" si="9"/>
        <v>1634</v>
      </c>
      <c r="H34" s="151">
        <f t="shared" si="10"/>
        <v>1864.3</v>
      </c>
      <c r="I34" s="151">
        <f t="shared" si="11"/>
        <v>679.2</v>
      </c>
      <c r="J34" s="171">
        <f t="shared" si="12"/>
        <v>2384.2</v>
      </c>
      <c r="K34" s="172">
        <f t="shared" si="108"/>
        <v>907.001926866</v>
      </c>
      <c r="L34" s="172">
        <f t="shared" si="109"/>
        <v>139.908078669</v>
      </c>
      <c r="M34" s="173">
        <f t="shared" si="110"/>
        <v>-397.662409549999</v>
      </c>
      <c r="N34" s="54">
        <f t="shared" si="13"/>
        <v>0.0861329390599253</v>
      </c>
      <c r="O34" s="55" t="str">
        <f t="shared" si="14"/>
        <v>After midnight / Rises in 50m</v>
      </c>
      <c r="P34" s="55" t="str">
        <f t="shared" si="15"/>
        <v>051°M / -65°</v>
      </c>
      <c r="Q34" s="56">
        <f t="shared" si="16"/>
        <v>45683.7405990733</v>
      </c>
      <c r="R34" s="56">
        <f t="shared" si="17"/>
        <v>45683.7463212954</v>
      </c>
      <c r="S34" s="56">
        <f t="shared" si="18"/>
        <v>45683.7893877649</v>
      </c>
      <c r="T34" s="56">
        <f t="shared" si="19"/>
        <v>45683.8324542344</v>
      </c>
      <c r="U34" s="180">
        <f t="shared" si="20"/>
        <v>45683.8381764565</v>
      </c>
      <c r="V34" s="55" t="str">
        <f t="shared" si="21"/>
        <v>Obstructed / Rises in 40m</v>
      </c>
      <c r="W34" s="55" t="str">
        <f t="shared" si="22"/>
        <v>037°M / -52°</v>
      </c>
      <c r="X34" s="56">
        <f t="shared" si="23"/>
        <v>45683.7391641447</v>
      </c>
      <c r="Y34" s="180">
        <f t="shared" si="24"/>
        <v>45683.8260443169</v>
      </c>
      <c r="Z34" s="55" t="str">
        <f t="shared" si="25"/>
        <v>355°M / -46°</v>
      </c>
      <c r="AA34" s="151">
        <f t="shared" si="26"/>
        <v>1441.4</v>
      </c>
      <c r="AB34" s="150">
        <f t="shared" si="27"/>
        <v>1608</v>
      </c>
      <c r="AC34" s="188">
        <v>25</v>
      </c>
      <c r="AD34" s="1" t="b">
        <f t="shared" si="28"/>
        <v>1</v>
      </c>
      <c r="AE34" s="1">
        <f t="shared" si="29"/>
        <v>-23.4276302171378</v>
      </c>
      <c r="AF34" s="1">
        <f t="shared" si="30"/>
        <v>8.76895161908876</v>
      </c>
      <c r="AG34" s="1">
        <f t="shared" si="31"/>
        <v>8.76895161908876</v>
      </c>
      <c r="AH34" s="2">
        <f t="shared" si="32"/>
        <v>0.181062500485041</v>
      </c>
      <c r="AI34" s="1">
        <f t="shared" si="33"/>
        <v>1.09023250267208</v>
      </c>
      <c r="AJ34" s="191">
        <f t="shared" si="105"/>
        <v>0</v>
      </c>
      <c r="AK34" s="191">
        <f t="shared" si="106"/>
        <v>0</v>
      </c>
      <c r="AL34" s="191">
        <f t="shared" si="34"/>
        <v>90.3141518859933</v>
      </c>
      <c r="AM34" s="20">
        <f t="shared" si="35"/>
        <v>163.230656595814</v>
      </c>
      <c r="AN34" s="191">
        <f t="shared" si="36"/>
        <v>62.6154096048324</v>
      </c>
      <c r="AO34" s="134">
        <f t="shared" si="37"/>
        <v>138</v>
      </c>
      <c r="AP34" s="64">
        <f t="shared" si="38"/>
        <v>-60</v>
      </c>
      <c r="AQ34" s="1">
        <f t="shared" si="104"/>
        <v>91.0976585259857</v>
      </c>
      <c r="AR34" s="20">
        <f t="shared" si="39"/>
        <v>149.004992507038</v>
      </c>
      <c r="AS34" s="1">
        <f t="shared" si="40"/>
        <v>66.5719733950524</v>
      </c>
      <c r="AT34" s="134">
        <f t="shared" si="41"/>
        <v>123</v>
      </c>
      <c r="AU34" s="64">
        <f t="shared" si="42"/>
        <v>-57</v>
      </c>
      <c r="AV34" s="65">
        <f t="shared" si="43"/>
        <v>45683.7391641447</v>
      </c>
      <c r="AW34" s="65">
        <f t="shared" si="44"/>
        <v>45683.8260443169</v>
      </c>
      <c r="AX34" s="1">
        <f t="shared" si="45"/>
        <v>82</v>
      </c>
      <c r="AY34" s="1">
        <f t="shared" si="46"/>
        <v>-46</v>
      </c>
      <c r="AZ34" s="131">
        <f t="shared" si="47"/>
        <v>1441.4</v>
      </c>
      <c r="BA34" s="1">
        <f t="shared" si="48"/>
        <v>1608</v>
      </c>
      <c r="BB34" s="1">
        <f t="shared" si="49"/>
        <v>42370521.4706756</v>
      </c>
      <c r="BC34" s="1">
        <f t="shared" si="50"/>
        <v>-65</v>
      </c>
      <c r="BD34" s="1">
        <f t="shared" si="51"/>
        <v>57481636.603056</v>
      </c>
      <c r="BE34" s="1">
        <f t="shared" si="52"/>
        <v>-52</v>
      </c>
      <c r="BF34" s="20">
        <f t="shared" si="53"/>
        <v>-11.3221758158037</v>
      </c>
      <c r="BG34" s="1">
        <f t="shared" si="54"/>
        <v>180.173785199593</v>
      </c>
      <c r="BH34" s="1">
        <f t="shared" si="55"/>
        <v>899.868975430501</v>
      </c>
      <c r="BI34" s="1">
        <f t="shared" si="56"/>
        <v>-397.662409549999</v>
      </c>
      <c r="BJ34" s="1">
        <f t="shared" si="57"/>
        <v>180.173785199593</v>
      </c>
      <c r="BK34" s="1">
        <f t="shared" si="58"/>
        <v>899.868975430501</v>
      </c>
      <c r="BL34" s="1">
        <f t="shared" si="59"/>
        <v>-397.662409549999</v>
      </c>
      <c r="BM34" s="61">
        <f t="shared" si="60"/>
        <v>22462265.4262698</v>
      </c>
      <c r="BN34" s="61">
        <f t="shared" si="61"/>
        <v>37186644.8338055</v>
      </c>
      <c r="BO34" s="61">
        <f t="shared" si="62"/>
        <v>-397.662409549999</v>
      </c>
      <c r="BQ34" s="1" t="str">
        <f t="shared" si="63"/>
        <v>S 23° 25.7' / E 008° 46.1'</v>
      </c>
      <c r="BR34" s="1" t="str">
        <f t="shared" si="64"/>
        <v>32K 496301 1591271</v>
      </c>
      <c r="BS34" s="1" t="str">
        <f t="shared" si="65"/>
        <v>32K MA 963912</v>
      </c>
      <c r="BT34" s="1" t="b">
        <f t="shared" si="66"/>
        <v>0</v>
      </c>
      <c r="BU34" s="1" t="str">
        <f t="shared" si="67"/>
        <v>32K</v>
      </c>
      <c r="BV34" s="1">
        <f t="shared" si="68"/>
        <v>32</v>
      </c>
      <c r="BW34" s="1">
        <f t="shared" si="69"/>
        <v>0</v>
      </c>
      <c r="BX34" s="1">
        <f t="shared" si="70"/>
        <v>9</v>
      </c>
      <c r="BY34" s="1">
        <f t="shared" si="71"/>
        <v>-3698.65004553553</v>
      </c>
      <c r="BZ34" s="1">
        <f t="shared" si="72"/>
        <v>496301.35</v>
      </c>
      <c r="CA34" s="1" t="str">
        <f t="shared" si="73"/>
        <v>M</v>
      </c>
      <c r="CB34" s="1" t="str">
        <f t="shared" si="74"/>
        <v>496301</v>
      </c>
      <c r="CC34" s="1" t="str">
        <f t="shared" si="75"/>
        <v>96301</v>
      </c>
      <c r="CD34" s="1">
        <f t="shared" si="76"/>
        <v>-408728.692558744</v>
      </c>
      <c r="CE34" s="1">
        <f t="shared" si="77"/>
        <v>1591271.3074</v>
      </c>
      <c r="CF34" s="1" t="str">
        <f t="shared" si="78"/>
        <v>A</v>
      </c>
      <c r="CG34" s="1" t="str">
        <f t="shared" si="79"/>
        <v>1591271</v>
      </c>
      <c r="CH34" s="1" t="str">
        <f t="shared" si="80"/>
        <v>91271</v>
      </c>
      <c r="CJ34" s="1">
        <f t="shared" si="81"/>
        <v>378</v>
      </c>
      <c r="CK34" s="1" t="str">
        <f t="shared" si="82"/>
        <v>FP</v>
      </c>
      <c r="CL34" s="1">
        <f t="shared" si="83"/>
        <v>4</v>
      </c>
      <c r="CM34" s="1">
        <f t="shared" si="84"/>
        <v>7</v>
      </c>
      <c r="CN34" s="1">
        <f t="shared" si="85"/>
        <v>0</v>
      </c>
      <c r="CO34" s="1">
        <f t="shared" si="86"/>
        <v>0</v>
      </c>
      <c r="CP34" s="1" t="str">
        <f t="shared" si="87"/>
        <v>378FP47</v>
      </c>
      <c r="CR34" s="1" t="e">
        <f t="shared" si="88"/>
        <v>#VALUE!</v>
      </c>
      <c r="CS34" s="1" t="e">
        <f t="shared" si="89"/>
        <v>#VALUE!</v>
      </c>
      <c r="CT34" s="1">
        <f t="shared" si="90"/>
        <v>2</v>
      </c>
      <c r="CU34" s="1">
        <f t="shared" si="91"/>
        <v>3</v>
      </c>
      <c r="CV34" s="131" t="e">
        <f t="shared" si="92"/>
        <v>#VALUE!</v>
      </c>
      <c r="CW34" s="131">
        <v>1388.5</v>
      </c>
      <c r="CX34" s="131">
        <v>1634</v>
      </c>
      <c r="CY34" s="131">
        <v>1864.3</v>
      </c>
      <c r="CZ34" s="131">
        <v>2053.7</v>
      </c>
      <c r="DA34" s="131">
        <v>2384.2</v>
      </c>
      <c r="DC34" s="154">
        <f t="shared" si="93"/>
        <v>-907.001926866</v>
      </c>
      <c r="DD34" s="154">
        <f t="shared" si="94"/>
        <v>-397.662409549999</v>
      </c>
      <c r="DE34" s="154">
        <f t="shared" si="95"/>
        <v>139.908078669</v>
      </c>
      <c r="DF34" s="1">
        <f t="shared" si="96"/>
        <v>8.04106162080848</v>
      </c>
      <c r="DG34" s="1">
        <f t="shared" si="97"/>
        <v>-156.325618703856</v>
      </c>
      <c r="DH34" s="1">
        <f t="shared" si="98"/>
        <v>51</v>
      </c>
      <c r="DI34" s="1">
        <f t="shared" si="99"/>
        <v>37</v>
      </c>
      <c r="DJ34" s="1">
        <f t="shared" si="100"/>
        <v>355</v>
      </c>
      <c r="DK34" s="1">
        <f t="shared" si="101"/>
        <v>51</v>
      </c>
      <c r="DL34" s="1">
        <f t="shared" si="102"/>
        <v>37</v>
      </c>
      <c r="DM34" s="1">
        <f t="shared" si="103"/>
        <v>355</v>
      </c>
    </row>
    <row r="35" customHeight="1" spans="1:117">
      <c r="A35" s="152" t="str">
        <f t="shared" si="107"/>
        <v>MT DataCenter 4HJ-LVE-A</v>
      </c>
      <c r="C35" s="55" t="str">
        <f t="shared" si="5"/>
        <v>S 14° 48.2' / E 095° 58.9'</v>
      </c>
      <c r="D35" s="150" t="str">
        <f t="shared" si="6"/>
        <v>894 m</v>
      </c>
      <c r="E35" s="151">
        <f t="shared" si="7"/>
        <v>1952</v>
      </c>
      <c r="F35" s="151">
        <f t="shared" si="8"/>
        <v>1529</v>
      </c>
      <c r="G35" s="151">
        <f t="shared" si="9"/>
        <v>550.7</v>
      </c>
      <c r="H35" s="151">
        <f t="shared" si="10"/>
        <v>2417.7</v>
      </c>
      <c r="I35" s="151">
        <f t="shared" si="11"/>
        <v>1834.3</v>
      </c>
      <c r="J35" s="171">
        <f t="shared" si="12"/>
        <v>1668.5</v>
      </c>
      <c r="K35" s="172">
        <f t="shared" si="108"/>
        <v>-100.841420526999</v>
      </c>
      <c r="L35" s="172">
        <f t="shared" si="109"/>
        <v>962.406628046</v>
      </c>
      <c r="M35" s="173">
        <f t="shared" si="110"/>
        <v>-255.721361148</v>
      </c>
      <c r="N35" s="54">
        <f t="shared" si="13"/>
        <v>0.0880420263556617</v>
      </c>
      <c r="O35" s="55" t="str">
        <f t="shared" si="14"/>
        <v>Morning / Sets in 116m</v>
      </c>
      <c r="P35" s="55" t="str">
        <f t="shared" si="15"/>
        <v>105°M / +12°</v>
      </c>
      <c r="Q35" s="56">
        <f t="shared" si="16"/>
        <v>45683.8697236556</v>
      </c>
      <c r="R35" s="56">
        <f t="shared" si="17"/>
        <v>45683.8754458777</v>
      </c>
      <c r="S35" s="56">
        <f t="shared" si="18"/>
        <v>45683.7478002283</v>
      </c>
      <c r="T35" s="56">
        <f t="shared" si="19"/>
        <v>45683.7918212415</v>
      </c>
      <c r="U35" s="180">
        <f t="shared" si="20"/>
        <v>45683.7975434636</v>
      </c>
      <c r="V35" s="55" t="str">
        <f t="shared" si="21"/>
        <v>Sets in 106m</v>
      </c>
      <c r="W35" s="55" t="str">
        <f t="shared" si="22"/>
        <v>104°M / +27°</v>
      </c>
      <c r="X35" s="56">
        <f t="shared" si="23"/>
        <v>45683.8686082529</v>
      </c>
      <c r="Y35" s="180">
        <f t="shared" si="24"/>
        <v>45683.7850917981</v>
      </c>
      <c r="Z35" s="55" t="str">
        <f t="shared" si="25"/>
        <v>026°M / -12°</v>
      </c>
      <c r="AA35" s="151">
        <f t="shared" si="26"/>
        <v>406.2</v>
      </c>
      <c r="AB35" s="150">
        <f t="shared" si="27"/>
        <v>408.6</v>
      </c>
      <c r="AC35" s="188">
        <v>26</v>
      </c>
      <c r="AD35" s="1" t="b">
        <f t="shared" si="28"/>
        <v>1</v>
      </c>
      <c r="AE35" s="1">
        <f t="shared" si="29"/>
        <v>-14.8027957900695</v>
      </c>
      <c r="AF35" s="1">
        <f t="shared" si="30"/>
        <v>95.981651785639</v>
      </c>
      <c r="AG35" s="1">
        <f t="shared" si="31"/>
        <v>95.981651785639</v>
      </c>
      <c r="AH35" s="2">
        <f t="shared" si="32"/>
        <v>0.89406250020329</v>
      </c>
      <c r="AI35" s="1">
        <f t="shared" si="33"/>
        <v>2.42192029876619</v>
      </c>
      <c r="AJ35" s="191">
        <f t="shared" si="105"/>
        <v>0</v>
      </c>
      <c r="AK35" s="191">
        <f t="shared" si="106"/>
        <v>0</v>
      </c>
      <c r="AL35" s="191">
        <f t="shared" si="34"/>
        <v>92.3159133708859</v>
      </c>
      <c r="AM35" s="20">
        <f t="shared" si="35"/>
        <v>76.0179564292636</v>
      </c>
      <c r="AN35" s="191">
        <f t="shared" si="36"/>
        <v>71.240430862057</v>
      </c>
      <c r="AO35" s="134">
        <f t="shared" si="37"/>
        <v>82</v>
      </c>
      <c r="AP35" s="64">
        <f t="shared" si="38"/>
        <v>17</v>
      </c>
      <c r="AQ35" s="1">
        <f t="shared" si="104"/>
        <v>92.4293463220798</v>
      </c>
      <c r="AR35" s="20">
        <f t="shared" si="39"/>
        <v>61.792292340488</v>
      </c>
      <c r="AS35" s="1">
        <f t="shared" si="40"/>
        <v>75.1969493069881</v>
      </c>
      <c r="AT35" s="134">
        <f t="shared" si="41"/>
        <v>82</v>
      </c>
      <c r="AU35" s="64">
        <f t="shared" si="42"/>
        <v>36</v>
      </c>
      <c r="AV35" s="65">
        <f t="shared" si="43"/>
        <v>45683.8686082529</v>
      </c>
      <c r="AW35" s="65">
        <f t="shared" si="44"/>
        <v>45683.7850917981</v>
      </c>
      <c r="AX35" s="1">
        <f t="shared" si="45"/>
        <v>3</v>
      </c>
      <c r="AY35" s="1">
        <f t="shared" si="46"/>
        <v>-12</v>
      </c>
      <c r="AZ35" s="131">
        <f t="shared" si="47"/>
        <v>406.2</v>
      </c>
      <c r="BA35" s="1">
        <f t="shared" si="48"/>
        <v>408.6</v>
      </c>
      <c r="BB35" s="1">
        <f t="shared" si="49"/>
        <v>42369401.8282183</v>
      </c>
      <c r="BC35" s="1">
        <f t="shared" si="50"/>
        <v>12</v>
      </c>
      <c r="BD35" s="1">
        <f t="shared" si="51"/>
        <v>57480392.5276143</v>
      </c>
      <c r="BE35" s="1">
        <f t="shared" si="52"/>
        <v>27</v>
      </c>
      <c r="BF35" s="20">
        <f t="shared" si="53"/>
        <v>75.8905243507466</v>
      </c>
      <c r="BG35" s="1">
        <f t="shared" si="54"/>
        <v>-938.482205308818</v>
      </c>
      <c r="BH35" s="1">
        <f t="shared" si="55"/>
        <v>235.89544319353</v>
      </c>
      <c r="BI35" s="1">
        <f t="shared" si="56"/>
        <v>-255.721361148</v>
      </c>
      <c r="BJ35" s="1">
        <f t="shared" si="57"/>
        <v>-938.482205308818</v>
      </c>
      <c r="BK35" s="1">
        <f t="shared" si="58"/>
        <v>235.89544319353</v>
      </c>
      <c r="BL35" s="1">
        <f t="shared" si="59"/>
        <v>-255.721361148</v>
      </c>
      <c r="BM35" s="61">
        <f t="shared" si="60"/>
        <v>22461146.7702793</v>
      </c>
      <c r="BN35" s="61">
        <f t="shared" si="61"/>
        <v>37185980.8602733</v>
      </c>
      <c r="BO35" s="61">
        <f t="shared" si="62"/>
        <v>-255.721361148</v>
      </c>
      <c r="BQ35" s="1" t="str">
        <f t="shared" si="63"/>
        <v>S 14° 48.2' / E 095° 58.9'</v>
      </c>
      <c r="BR35" s="1" t="str">
        <f t="shared" si="64"/>
        <v>46L 550312 1741411</v>
      </c>
      <c r="BS35" s="1" t="str">
        <f t="shared" si="65"/>
        <v>46L EC 503414</v>
      </c>
      <c r="BT35" s="1" t="b">
        <f t="shared" si="66"/>
        <v>0</v>
      </c>
      <c r="BU35" s="1" t="str">
        <f t="shared" si="67"/>
        <v>46L</v>
      </c>
      <c r="BV35" s="1">
        <f t="shared" si="68"/>
        <v>46</v>
      </c>
      <c r="BW35" s="1">
        <f t="shared" si="69"/>
        <v>0</v>
      </c>
      <c r="BX35" s="1">
        <f t="shared" si="70"/>
        <v>93</v>
      </c>
      <c r="BY35" s="1">
        <f t="shared" si="71"/>
        <v>50312.1143705426</v>
      </c>
      <c r="BZ35" s="1">
        <f t="shared" si="72"/>
        <v>550312.1144</v>
      </c>
      <c r="CA35" s="1" t="str">
        <f t="shared" si="73"/>
        <v>E</v>
      </c>
      <c r="CB35" s="1" t="str">
        <f t="shared" si="74"/>
        <v>550312</v>
      </c>
      <c r="CC35" s="1" t="str">
        <f t="shared" si="75"/>
        <v>50312</v>
      </c>
      <c r="CD35" s="1">
        <f t="shared" si="76"/>
        <v>-258588.867718244</v>
      </c>
      <c r="CE35" s="1">
        <f t="shared" si="77"/>
        <v>1741411.1323</v>
      </c>
      <c r="CF35" s="1" t="str">
        <f t="shared" si="78"/>
        <v>C</v>
      </c>
      <c r="CG35" s="1" t="str">
        <f t="shared" si="79"/>
        <v>1741411</v>
      </c>
      <c r="CH35" s="1" t="str">
        <f t="shared" si="80"/>
        <v>41411</v>
      </c>
      <c r="CJ35" s="1">
        <f t="shared" si="81"/>
        <v>552</v>
      </c>
      <c r="CK35" s="1" t="str">
        <f t="shared" si="82"/>
        <v>GG</v>
      </c>
      <c r="CL35" s="1">
        <f t="shared" si="83"/>
        <v>4</v>
      </c>
      <c r="CM35" s="1">
        <f t="shared" si="84"/>
        <v>3</v>
      </c>
      <c r="CN35" s="1">
        <f t="shared" si="85"/>
        <v>2</v>
      </c>
      <c r="CO35" s="1">
        <f t="shared" si="86"/>
        <v>2</v>
      </c>
      <c r="CP35" s="1" t="str">
        <f t="shared" si="87"/>
        <v>552GG43</v>
      </c>
      <c r="CR35" s="1" t="e">
        <f t="shared" si="88"/>
        <v>#VALUE!</v>
      </c>
      <c r="CS35" s="1" t="e">
        <f t="shared" si="89"/>
        <v>#VALUE!</v>
      </c>
      <c r="CT35" s="1">
        <f t="shared" si="90"/>
        <v>2</v>
      </c>
      <c r="CU35" s="1">
        <f t="shared" si="91"/>
        <v>6</v>
      </c>
      <c r="CV35" s="131" t="e">
        <f t="shared" si="92"/>
        <v>#VALUE!</v>
      </c>
      <c r="CW35" s="131">
        <v>1529</v>
      </c>
      <c r="CX35" s="131">
        <v>1668.5</v>
      </c>
      <c r="CY35" s="131">
        <v>1834.3</v>
      </c>
      <c r="CZ35" s="131">
        <v>1952</v>
      </c>
      <c r="DA35" s="131">
        <v>2417.7</v>
      </c>
      <c r="DC35" s="154">
        <f t="shared" si="93"/>
        <v>100.841420526999</v>
      </c>
      <c r="DD35" s="154">
        <f t="shared" si="94"/>
        <v>-255.721361148</v>
      </c>
      <c r="DE35" s="154">
        <f t="shared" si="95"/>
        <v>962.406628046</v>
      </c>
      <c r="DF35" s="1">
        <f t="shared" si="96"/>
        <v>74.0594011221175</v>
      </c>
      <c r="DG35" s="1">
        <f t="shared" si="97"/>
        <v>-68.478648654973</v>
      </c>
      <c r="DH35" s="1">
        <f t="shared" si="98"/>
        <v>105</v>
      </c>
      <c r="DI35" s="1">
        <f t="shared" si="99"/>
        <v>104</v>
      </c>
      <c r="DJ35" s="1">
        <f t="shared" si="100"/>
        <v>26</v>
      </c>
      <c r="DK35" s="1">
        <f t="shared" si="101"/>
        <v>105</v>
      </c>
      <c r="DL35" s="1">
        <f t="shared" si="102"/>
        <v>104</v>
      </c>
      <c r="DM35" s="1">
        <f t="shared" si="103"/>
        <v>26</v>
      </c>
    </row>
    <row r="36" customHeight="1" spans="1:117">
      <c r="A36" s="152" t="str">
        <f t="shared" si="107"/>
        <v>MT DataCenter 5WQ-R2V-C</v>
      </c>
      <c r="C36" s="55" t="str">
        <f t="shared" si="5"/>
        <v>S 16° 11.9' / E 002° 24.2'</v>
      </c>
      <c r="D36" s="150" t="str">
        <f t="shared" si="6"/>
        <v>438 m</v>
      </c>
      <c r="E36" s="151">
        <f t="shared" si="7"/>
        <v>1969</v>
      </c>
      <c r="F36" s="151">
        <f t="shared" si="8"/>
        <v>1506.6</v>
      </c>
      <c r="G36" s="151">
        <f t="shared" si="9"/>
        <v>1719.7</v>
      </c>
      <c r="H36" s="151">
        <f t="shared" si="10"/>
        <v>1785.9</v>
      </c>
      <c r="I36" s="151">
        <f t="shared" si="11"/>
        <v>556.4</v>
      </c>
      <c r="J36" s="171">
        <f t="shared" si="12"/>
        <v>2416</v>
      </c>
      <c r="K36" s="172">
        <f t="shared" si="108"/>
        <v>959.880006009</v>
      </c>
      <c r="L36" s="172">
        <f t="shared" si="109"/>
        <v>40.2947158029998</v>
      </c>
      <c r="M36" s="173">
        <f t="shared" si="110"/>
        <v>-279.073290281999</v>
      </c>
      <c r="N36" s="54">
        <f t="shared" si="13"/>
        <v>0.0872492032132045</v>
      </c>
      <c r="O36" s="55" t="str">
        <f t="shared" si="14"/>
        <v>After midnight / Rises in 54m</v>
      </c>
      <c r="P36" s="55" t="str">
        <f t="shared" si="15"/>
        <v>050°M / -74°</v>
      </c>
      <c r="Q36" s="56">
        <f t="shared" si="16"/>
        <v>45683.7430761741</v>
      </c>
      <c r="R36" s="56">
        <f t="shared" si="17"/>
        <v>45683.7487983961</v>
      </c>
      <c r="S36" s="56">
        <f t="shared" si="18"/>
        <v>45683.7924229978</v>
      </c>
      <c r="T36" s="56">
        <f t="shared" si="19"/>
        <v>45683.8360475994</v>
      </c>
      <c r="U36" s="180">
        <f t="shared" si="20"/>
        <v>45683.8417698214</v>
      </c>
      <c r="V36" s="55" t="str">
        <f t="shared" si="21"/>
        <v>Obstructed / Rises in 44m</v>
      </c>
      <c r="W36" s="55" t="str">
        <f t="shared" si="22"/>
        <v>032°M / -61°</v>
      </c>
      <c r="X36" s="56">
        <f t="shared" si="23"/>
        <v>45683.7419112204</v>
      </c>
      <c r="Y36" s="180">
        <f t="shared" si="24"/>
        <v>45683.8293677069</v>
      </c>
      <c r="Z36" s="55" t="str">
        <f t="shared" si="25"/>
        <v>354°M / -49°</v>
      </c>
      <c r="AA36" s="151">
        <f t="shared" si="26"/>
        <v>1500.6</v>
      </c>
      <c r="AB36" s="150">
        <f t="shared" si="27"/>
        <v>1695</v>
      </c>
      <c r="AC36" s="188">
        <v>27</v>
      </c>
      <c r="AD36" s="1" t="b">
        <f t="shared" si="28"/>
        <v>1</v>
      </c>
      <c r="AE36" s="1">
        <f t="shared" si="29"/>
        <v>-16.1976219566298</v>
      </c>
      <c r="AF36" s="1">
        <f t="shared" si="30"/>
        <v>2.40380298289405</v>
      </c>
      <c r="AG36" s="1">
        <f t="shared" si="31"/>
        <v>2.40380298289405</v>
      </c>
      <c r="AH36" s="2">
        <f t="shared" si="32"/>
        <v>0.437500000026603</v>
      </c>
      <c r="AI36" s="1">
        <f t="shared" si="33"/>
        <v>1.6945231476251</v>
      </c>
      <c r="AJ36" s="191">
        <f t="shared" si="105"/>
        <v>0</v>
      </c>
      <c r="AK36" s="191">
        <f t="shared" si="106"/>
        <v>0</v>
      </c>
      <c r="AL36" s="191">
        <f t="shared" si="34"/>
        <v>91.4846036479378</v>
      </c>
      <c r="AM36" s="20">
        <f t="shared" si="35"/>
        <v>169.595805232008</v>
      </c>
      <c r="AN36" s="191">
        <f t="shared" si="36"/>
        <v>69.8455738403246</v>
      </c>
      <c r="AO36" s="134">
        <f t="shared" si="37"/>
        <v>139</v>
      </c>
      <c r="AP36" s="64">
        <f t="shared" si="38"/>
        <v>-69</v>
      </c>
      <c r="AQ36" s="1">
        <f t="shared" si="104"/>
        <v>91.7019491709387</v>
      </c>
      <c r="AR36" s="20">
        <f t="shared" si="39"/>
        <v>155.370141143233</v>
      </c>
      <c r="AS36" s="1">
        <f t="shared" si="40"/>
        <v>73.8020998641097</v>
      </c>
      <c r="AT36" s="134">
        <f t="shared" si="41"/>
        <v>121</v>
      </c>
      <c r="AU36" s="64">
        <f t="shared" si="42"/>
        <v>-67</v>
      </c>
      <c r="AV36" s="65">
        <f t="shared" si="43"/>
        <v>45683.7419112204</v>
      </c>
      <c r="AW36" s="65">
        <f t="shared" si="44"/>
        <v>45683.8293677069</v>
      </c>
      <c r="AX36" s="1">
        <f t="shared" si="45"/>
        <v>83</v>
      </c>
      <c r="AY36" s="1">
        <f t="shared" si="46"/>
        <v>-49</v>
      </c>
      <c r="AZ36" s="131">
        <f t="shared" si="47"/>
        <v>1500.6</v>
      </c>
      <c r="BA36" s="1">
        <f t="shared" si="48"/>
        <v>1695</v>
      </c>
      <c r="BB36" s="1">
        <f t="shared" si="49"/>
        <v>42370579.356973</v>
      </c>
      <c r="BC36" s="1">
        <f t="shared" si="50"/>
        <v>-74</v>
      </c>
      <c r="BD36" s="1">
        <f t="shared" si="51"/>
        <v>57481723.2309063</v>
      </c>
      <c r="BE36" s="1">
        <f t="shared" si="52"/>
        <v>-61</v>
      </c>
      <c r="BF36" s="20">
        <f t="shared" si="53"/>
        <v>-17.6873244519984</v>
      </c>
      <c r="BG36" s="1">
        <f t="shared" si="54"/>
        <v>291.889796334793</v>
      </c>
      <c r="BH36" s="1">
        <f t="shared" si="55"/>
        <v>915.310677777287</v>
      </c>
      <c r="BI36" s="1">
        <f t="shared" si="56"/>
        <v>-279.073290281999</v>
      </c>
      <c r="BJ36" s="1">
        <f t="shared" si="57"/>
        <v>291.889796334793</v>
      </c>
      <c r="BK36" s="1">
        <f t="shared" si="58"/>
        <v>915.310677777287</v>
      </c>
      <c r="BL36" s="1">
        <f t="shared" si="59"/>
        <v>-279.073290281999</v>
      </c>
      <c r="BM36" s="61">
        <f t="shared" si="60"/>
        <v>22462377.1422809</v>
      </c>
      <c r="BN36" s="61">
        <f t="shared" si="61"/>
        <v>37186660.2755079</v>
      </c>
      <c r="BO36" s="61">
        <f t="shared" si="62"/>
        <v>-279.073290281999</v>
      </c>
      <c r="BQ36" s="1" t="str">
        <f t="shared" si="63"/>
        <v>S 16° 11.9' / E 002° 24.2'</v>
      </c>
      <c r="BR36" s="1" t="str">
        <f t="shared" si="64"/>
        <v>31K 490011 1717396</v>
      </c>
      <c r="BS36" s="1" t="str">
        <f t="shared" si="65"/>
        <v>31K DT 900173</v>
      </c>
      <c r="BT36" s="1" t="b">
        <f t="shared" si="66"/>
        <v>0</v>
      </c>
      <c r="BU36" s="1" t="str">
        <f t="shared" si="67"/>
        <v>31K</v>
      </c>
      <c r="BV36" s="1">
        <f t="shared" si="68"/>
        <v>31</v>
      </c>
      <c r="BW36" s="1">
        <f t="shared" si="69"/>
        <v>0</v>
      </c>
      <c r="BX36" s="1">
        <f t="shared" si="70"/>
        <v>3</v>
      </c>
      <c r="BY36" s="1">
        <f t="shared" si="71"/>
        <v>-9988.70854323683</v>
      </c>
      <c r="BZ36" s="1">
        <f t="shared" si="72"/>
        <v>490011.2915</v>
      </c>
      <c r="CA36" s="1" t="str">
        <f t="shared" si="73"/>
        <v>D</v>
      </c>
      <c r="CB36" s="1" t="str">
        <f t="shared" si="74"/>
        <v>490011</v>
      </c>
      <c r="CC36" s="1" t="str">
        <f t="shared" si="75"/>
        <v>90011</v>
      </c>
      <c r="CD36" s="1">
        <f t="shared" si="76"/>
        <v>-282603.25066423</v>
      </c>
      <c r="CE36" s="1">
        <f t="shared" si="77"/>
        <v>1717396.7493</v>
      </c>
      <c r="CF36" s="1" t="str">
        <f t="shared" si="78"/>
        <v>T</v>
      </c>
      <c r="CG36" s="1" t="str">
        <f t="shared" si="79"/>
        <v>1717396</v>
      </c>
      <c r="CH36" s="1" t="str">
        <f t="shared" si="80"/>
        <v>17396</v>
      </c>
      <c r="CJ36" s="1">
        <f t="shared" si="81"/>
        <v>365</v>
      </c>
      <c r="CK36" s="1" t="str">
        <f t="shared" si="82"/>
        <v>GD</v>
      </c>
      <c r="CL36" s="1">
        <f t="shared" si="83"/>
        <v>2</v>
      </c>
      <c r="CM36" s="1">
        <f t="shared" si="84"/>
        <v>8</v>
      </c>
      <c r="CN36" s="1">
        <f t="shared" si="85"/>
        <v>1</v>
      </c>
      <c r="CO36" s="1">
        <f t="shared" si="86"/>
        <v>0</v>
      </c>
      <c r="CP36" s="1" t="str">
        <f t="shared" si="87"/>
        <v>365GD28</v>
      </c>
      <c r="CR36" s="1" t="e">
        <f t="shared" si="88"/>
        <v>#VALUE!</v>
      </c>
      <c r="CS36" s="1" t="e">
        <f t="shared" si="89"/>
        <v>#VALUE!</v>
      </c>
      <c r="CT36" s="1">
        <f t="shared" si="90"/>
        <v>2</v>
      </c>
      <c r="CU36" s="1">
        <f t="shared" si="91"/>
        <v>3</v>
      </c>
      <c r="CV36" s="131" t="e">
        <f t="shared" si="92"/>
        <v>#VALUE!</v>
      </c>
      <c r="CW36" s="131">
        <v>1506.6</v>
      </c>
      <c r="CX36" s="131">
        <v>1719.7</v>
      </c>
      <c r="CY36" s="131">
        <v>1785.9</v>
      </c>
      <c r="CZ36" s="131">
        <v>1969</v>
      </c>
      <c r="DA36" s="131">
        <v>2416</v>
      </c>
      <c r="DC36" s="154">
        <f t="shared" si="93"/>
        <v>-959.880006009</v>
      </c>
      <c r="DD36" s="154">
        <f t="shared" si="94"/>
        <v>-279.073290281999</v>
      </c>
      <c r="DE36" s="154">
        <f t="shared" si="95"/>
        <v>40.2947158029998</v>
      </c>
      <c r="DF36" s="1">
        <f t="shared" si="96"/>
        <v>2.30833193032166</v>
      </c>
      <c r="DG36" s="1">
        <f t="shared" si="97"/>
        <v>-163.788861315068</v>
      </c>
      <c r="DH36" s="1">
        <f t="shared" si="98"/>
        <v>50</v>
      </c>
      <c r="DI36" s="1">
        <f t="shared" si="99"/>
        <v>32</v>
      </c>
      <c r="DJ36" s="1">
        <f t="shared" si="100"/>
        <v>354</v>
      </c>
      <c r="DK36" s="1">
        <f t="shared" si="101"/>
        <v>50</v>
      </c>
      <c r="DL36" s="1">
        <f t="shared" si="102"/>
        <v>32</v>
      </c>
      <c r="DM36" s="1">
        <f t="shared" si="103"/>
        <v>354</v>
      </c>
    </row>
    <row r="37" customHeight="1" spans="1:117">
      <c r="A37" s="152" t="str">
        <f t="shared" si="107"/>
        <v>MT DataCenter 8FK-Q2X-K</v>
      </c>
      <c r="C37" s="55" t="str">
        <f t="shared" si="5"/>
        <v>S 88° 42.4' / E 007° 23.4'</v>
      </c>
      <c r="D37" s="150" t="str">
        <f t="shared" si="6"/>
        <v>980 m</v>
      </c>
      <c r="E37" s="151">
        <f t="shared" si="7"/>
        <v>2440.4</v>
      </c>
      <c r="F37" s="151">
        <f t="shared" si="8"/>
        <v>439.4</v>
      </c>
      <c r="G37" s="151">
        <f t="shared" si="9"/>
        <v>1751</v>
      </c>
      <c r="H37" s="151">
        <f t="shared" si="10"/>
        <v>1755.8</v>
      </c>
      <c r="I37" s="151">
        <f t="shared" si="11"/>
        <v>1734.9</v>
      </c>
      <c r="J37" s="171">
        <f t="shared" si="12"/>
        <v>1771.7</v>
      </c>
      <c r="K37" s="172">
        <f t="shared" si="108"/>
        <v>22.3972399909999</v>
      </c>
      <c r="L37" s="172">
        <f t="shared" si="109"/>
        <v>2.904963732</v>
      </c>
      <c r="M37" s="173">
        <f t="shared" si="110"/>
        <v>-1000.724867091</v>
      </c>
      <c r="N37" s="54" t="str">
        <f t="shared" si="13"/>
        <v>None</v>
      </c>
      <c r="O37" s="55" t="str">
        <f t="shared" si="14"/>
        <v>Night</v>
      </c>
      <c r="P37" s="55" t="str">
        <f t="shared" si="15"/>
        <v>082°M / -05°</v>
      </c>
      <c r="Q37" s="56" t="str">
        <f t="shared" si="16"/>
        <v/>
      </c>
      <c r="R37" s="56" t="str">
        <f t="shared" si="17"/>
        <v/>
      </c>
      <c r="S37" s="56">
        <f t="shared" si="18"/>
        <v>45683.7900452665</v>
      </c>
      <c r="T37" s="56" t="str">
        <f t="shared" si="19"/>
        <v/>
      </c>
      <c r="U37" s="180" t="str">
        <f t="shared" si="20"/>
        <v/>
      </c>
      <c r="V37" s="55" t="str">
        <f t="shared" si="21"/>
        <v>Obstructed / Rises in 40m</v>
      </c>
      <c r="W37" s="55" t="str">
        <f t="shared" si="22"/>
        <v>068°M / -01°</v>
      </c>
      <c r="X37" s="56">
        <f t="shared" si="23"/>
        <v>45683.7391326332</v>
      </c>
      <c r="Y37" s="180">
        <f t="shared" si="24"/>
        <v>45683.8273908316</v>
      </c>
      <c r="Z37" s="55" t="str">
        <f t="shared" si="25"/>
        <v>007°M / -49°</v>
      </c>
      <c r="AA37" s="151">
        <f t="shared" si="26"/>
        <v>1517.6</v>
      </c>
      <c r="AB37" s="150">
        <f t="shared" si="27"/>
        <v>1720.3</v>
      </c>
      <c r="AC37" s="188">
        <v>28</v>
      </c>
      <c r="AD37" s="1" t="b">
        <f t="shared" si="28"/>
        <v>1</v>
      </c>
      <c r="AE37" s="1">
        <f t="shared" si="29"/>
        <v>-88.7071405449134</v>
      </c>
      <c r="AF37" s="1">
        <f t="shared" si="30"/>
        <v>7.39011333229517</v>
      </c>
      <c r="AG37" s="1">
        <f t="shared" si="31"/>
        <v>7.39011333229517</v>
      </c>
      <c r="AH37" s="2">
        <f t="shared" si="32"/>
        <v>0.979687500100226</v>
      </c>
      <c r="AI37" s="1">
        <f t="shared" si="33"/>
        <v>2.53515320070539</v>
      </c>
      <c r="AJ37" s="191">
        <f t="shared" si="105"/>
        <v>0</v>
      </c>
      <c r="AK37" s="191">
        <f t="shared" si="106"/>
        <v>0</v>
      </c>
      <c r="AL37" s="191" t="e">
        <f t="shared" si="34"/>
        <v>#NUM!</v>
      </c>
      <c r="AM37" s="20">
        <f t="shared" si="35"/>
        <v>164.609494882607</v>
      </c>
      <c r="AN37" s="191">
        <f t="shared" si="36"/>
        <v>-2.66483075778589</v>
      </c>
      <c r="AO37" s="134">
        <f t="shared" si="37"/>
        <v>165</v>
      </c>
      <c r="AP37" s="64">
        <f t="shared" si="38"/>
        <v>3</v>
      </c>
      <c r="AQ37" s="1">
        <f t="shared" si="104"/>
        <v>92.542579224019</v>
      </c>
      <c r="AR37" s="20">
        <f t="shared" si="39"/>
        <v>150.383830793832</v>
      </c>
      <c r="AS37" s="1">
        <f t="shared" si="40"/>
        <v>1.2918619515746</v>
      </c>
      <c r="AT37" s="134">
        <f t="shared" si="41"/>
        <v>150</v>
      </c>
      <c r="AU37" s="64">
        <f t="shared" si="42"/>
        <v>-1</v>
      </c>
      <c r="AV37" s="65">
        <f t="shared" si="43"/>
        <v>45683.7391326332</v>
      </c>
      <c r="AW37" s="65">
        <f t="shared" si="44"/>
        <v>45683.8273908316</v>
      </c>
      <c r="AX37" s="1">
        <f t="shared" si="45"/>
        <v>90</v>
      </c>
      <c r="AY37" s="1">
        <f t="shared" si="46"/>
        <v>-49</v>
      </c>
      <c r="AZ37" s="131">
        <f t="shared" si="47"/>
        <v>1517.6</v>
      </c>
      <c r="BA37" s="1">
        <f t="shared" si="48"/>
        <v>1720.3</v>
      </c>
      <c r="BB37" s="1">
        <f t="shared" si="49"/>
        <v>42369708.2045694</v>
      </c>
      <c r="BC37" s="1">
        <f t="shared" si="50"/>
        <v>-5</v>
      </c>
      <c r="BD37" s="1">
        <f t="shared" si="51"/>
        <v>57480869.5541195</v>
      </c>
      <c r="BE37" s="1">
        <f t="shared" si="52"/>
        <v>-1</v>
      </c>
      <c r="BF37" s="20">
        <f t="shared" si="53"/>
        <v>-12.7010141025973</v>
      </c>
      <c r="BG37" s="1">
        <f t="shared" si="54"/>
        <v>4.96558216321404</v>
      </c>
      <c r="BH37" s="1">
        <f t="shared" si="55"/>
        <v>22.0322074990015</v>
      </c>
      <c r="BI37" s="1">
        <f t="shared" si="56"/>
        <v>-1000.724867091</v>
      </c>
      <c r="BJ37" s="1">
        <f t="shared" si="57"/>
        <v>4.96558216321404</v>
      </c>
      <c r="BK37" s="1">
        <f t="shared" si="58"/>
        <v>22.0322074990015</v>
      </c>
      <c r="BL37" s="1">
        <f t="shared" si="59"/>
        <v>-1000.724867091</v>
      </c>
      <c r="BM37" s="61">
        <f t="shared" si="60"/>
        <v>22462090.2180668</v>
      </c>
      <c r="BN37" s="61">
        <f t="shared" si="61"/>
        <v>37185766.9970376</v>
      </c>
      <c r="BO37" s="61">
        <f t="shared" si="62"/>
        <v>-1000.724867091</v>
      </c>
      <c r="BQ37" s="1" t="str">
        <f t="shared" si="63"/>
        <v>S 88° 42.4' / E 007° 23.4'</v>
      </c>
      <c r="BR37" s="1" t="str">
        <f t="shared" si="64"/>
        <v>B 202885 222243</v>
      </c>
      <c r="BS37" s="1" t="str">
        <f t="shared" si="65"/>
        <v>B AN 028222</v>
      </c>
      <c r="BT37" s="1" t="b">
        <f t="shared" si="66"/>
        <v>1</v>
      </c>
      <c r="BU37" s="1" t="str">
        <f t="shared" si="67"/>
        <v>B</v>
      </c>
      <c r="BV37" s="1">
        <f t="shared" si="68"/>
        <v>32</v>
      </c>
      <c r="BW37" s="1">
        <f t="shared" si="69"/>
        <v>-90</v>
      </c>
      <c r="BX37" s="1">
        <f t="shared" si="70"/>
        <v>0</v>
      </c>
      <c r="BY37" s="1">
        <f t="shared" si="71"/>
        <v>2885.07506563362</v>
      </c>
      <c r="BZ37" s="1">
        <f t="shared" si="72"/>
        <v>202885.0751</v>
      </c>
      <c r="CA37" s="1" t="str">
        <f t="shared" si="73"/>
        <v>A</v>
      </c>
      <c r="CB37" s="1" t="str">
        <f t="shared" si="74"/>
        <v>202885</v>
      </c>
      <c r="CC37" s="1" t="str">
        <f t="shared" si="75"/>
        <v>02885</v>
      </c>
      <c r="CD37" s="1">
        <f t="shared" si="76"/>
        <v>22243.8985813286</v>
      </c>
      <c r="CE37" s="1">
        <f t="shared" si="77"/>
        <v>222243.8986</v>
      </c>
      <c r="CF37" s="1" t="str">
        <f t="shared" si="78"/>
        <v>N</v>
      </c>
      <c r="CG37" s="1" t="str">
        <f t="shared" si="79"/>
        <v>222243</v>
      </c>
      <c r="CH37" s="1" t="str">
        <f t="shared" si="80"/>
        <v>22243</v>
      </c>
      <c r="CJ37" s="1">
        <f t="shared" si="81"/>
        <v>375</v>
      </c>
      <c r="CK37" s="1" t="str">
        <f t="shared" si="82"/>
        <v>AC</v>
      </c>
      <c r="CL37" s="1">
        <f t="shared" si="83"/>
        <v>2</v>
      </c>
      <c r="CM37" s="1">
        <f t="shared" si="84"/>
        <v>8</v>
      </c>
      <c r="CN37" s="1">
        <f t="shared" si="85"/>
        <v>1</v>
      </c>
      <c r="CO37" s="1">
        <f t="shared" si="86"/>
        <v>0</v>
      </c>
      <c r="CP37" s="1" t="str">
        <f t="shared" si="87"/>
        <v>375AC28</v>
      </c>
      <c r="CR37" s="1" t="e">
        <f t="shared" si="88"/>
        <v>#VALUE!</v>
      </c>
      <c r="CS37" s="1" t="e">
        <f t="shared" si="89"/>
        <v>#VALUE!</v>
      </c>
      <c r="CT37" s="1">
        <f t="shared" si="90"/>
        <v>5</v>
      </c>
      <c r="CU37" s="1">
        <f t="shared" si="91"/>
        <v>3</v>
      </c>
      <c r="CV37" s="131" t="e">
        <f t="shared" si="92"/>
        <v>#VALUE!</v>
      </c>
      <c r="CW37" s="131">
        <v>1734.9</v>
      </c>
      <c r="CX37" s="131">
        <v>1751</v>
      </c>
      <c r="CY37" s="131">
        <v>1755.8</v>
      </c>
      <c r="CZ37" s="131">
        <v>1771.7</v>
      </c>
      <c r="DA37" s="131">
        <v>2440.4</v>
      </c>
      <c r="DC37" s="154">
        <f t="shared" si="93"/>
        <v>-22.3972399909999</v>
      </c>
      <c r="DD37" s="154">
        <f t="shared" si="94"/>
        <v>-1000.724867091</v>
      </c>
      <c r="DE37" s="154">
        <f t="shared" si="95"/>
        <v>2.904963732</v>
      </c>
      <c r="DF37" s="1">
        <f t="shared" si="96"/>
        <v>0.166279493179807</v>
      </c>
      <c r="DG37" s="1">
        <f t="shared" si="97"/>
        <v>-91.2821237521789</v>
      </c>
      <c r="DH37" s="1">
        <f t="shared" si="98"/>
        <v>82</v>
      </c>
      <c r="DI37" s="1">
        <f t="shared" si="99"/>
        <v>68</v>
      </c>
      <c r="DJ37" s="1">
        <f t="shared" si="100"/>
        <v>7</v>
      </c>
      <c r="DK37" s="1">
        <f t="shared" si="101"/>
        <v>82</v>
      </c>
      <c r="DL37" s="1">
        <f t="shared" si="102"/>
        <v>68</v>
      </c>
      <c r="DM37" s="1">
        <f t="shared" si="103"/>
        <v>7</v>
      </c>
    </row>
    <row r="38" customHeight="1" spans="1:117">
      <c r="A38" s="152" t="str">
        <f t="shared" si="107"/>
        <v>MT DataCenter D79-ECG-R</v>
      </c>
      <c r="C38" s="55" t="str">
        <f t="shared" si="5"/>
        <v>S 68° 23.3' / E 056° 56.6'</v>
      </c>
      <c r="D38" s="150" t="str">
        <f t="shared" si="6"/>
        <v>129 m</v>
      </c>
      <c r="E38" s="151">
        <f t="shared" si="7"/>
        <v>2397.9</v>
      </c>
      <c r="F38" s="151">
        <f t="shared" si="8"/>
        <v>628.9</v>
      </c>
      <c r="G38" s="151">
        <f t="shared" si="9"/>
        <v>1477.8</v>
      </c>
      <c r="H38" s="151">
        <f t="shared" si="10"/>
        <v>1990.4</v>
      </c>
      <c r="I38" s="151">
        <f t="shared" si="11"/>
        <v>1579.3</v>
      </c>
      <c r="J38" s="171">
        <f t="shared" si="12"/>
        <v>1910.8</v>
      </c>
      <c r="K38" s="172">
        <f t="shared" si="108"/>
        <v>200.928137781</v>
      </c>
      <c r="L38" s="172">
        <f t="shared" si="109"/>
        <v>308.739605014999</v>
      </c>
      <c r="M38" s="173">
        <f t="shared" si="110"/>
        <v>-929.820080088</v>
      </c>
      <c r="N38" s="54">
        <f t="shared" si="13"/>
        <v>0.0780195109108705</v>
      </c>
      <c r="O38" s="55" t="str">
        <f t="shared" si="14"/>
        <v>After midnight / Rises in 23m</v>
      </c>
      <c r="P38" s="55" t="str">
        <f t="shared" si="15"/>
        <v>077°M / -13°</v>
      </c>
      <c r="Q38" s="56">
        <f t="shared" si="16"/>
        <v>45683.7216834893</v>
      </c>
      <c r="R38" s="56">
        <f t="shared" si="17"/>
        <v>45683.7274057114</v>
      </c>
      <c r="S38" s="56">
        <f t="shared" si="18"/>
        <v>45683.7664154668</v>
      </c>
      <c r="T38" s="56">
        <f t="shared" si="19"/>
        <v>45683.8054252223</v>
      </c>
      <c r="U38" s="180">
        <f t="shared" si="20"/>
        <v>45683.8111474444</v>
      </c>
      <c r="V38" s="55" t="str">
        <f t="shared" si="21"/>
        <v>Obstructed / Rises in 7m</v>
      </c>
      <c r="W38" s="55" t="str">
        <f t="shared" si="22"/>
        <v>065°M / -04°</v>
      </c>
      <c r="X38" s="56">
        <f t="shared" si="23"/>
        <v>45683.7162732187</v>
      </c>
      <c r="Y38" s="180">
        <f t="shared" si="24"/>
        <v>45683.8029906467</v>
      </c>
      <c r="Z38" s="55" t="str">
        <f t="shared" si="25"/>
        <v>005°M / -41°</v>
      </c>
      <c r="AA38" s="151">
        <f t="shared" si="26"/>
        <v>1313.4</v>
      </c>
      <c r="AB38" s="150">
        <f t="shared" si="27"/>
        <v>1431.6</v>
      </c>
      <c r="AC38" s="188">
        <v>29</v>
      </c>
      <c r="AD38" s="1" t="b">
        <f t="shared" si="28"/>
        <v>1</v>
      </c>
      <c r="AE38" s="1">
        <f t="shared" si="29"/>
        <v>-68.3881489329426</v>
      </c>
      <c r="AF38" s="1">
        <f t="shared" si="30"/>
        <v>56.9438691240968</v>
      </c>
      <c r="AG38" s="1">
        <f t="shared" si="31"/>
        <v>56.9438691240968</v>
      </c>
      <c r="AH38" s="2">
        <f t="shared" si="32"/>
        <v>0.128812499576497</v>
      </c>
      <c r="AI38" s="1">
        <f t="shared" si="33"/>
        <v>0.919588064825676</v>
      </c>
      <c r="AJ38" s="191">
        <f t="shared" si="105"/>
        <v>0</v>
      </c>
      <c r="AK38" s="191">
        <f t="shared" si="106"/>
        <v>0</v>
      </c>
      <c r="AL38" s="191">
        <f t="shared" si="34"/>
        <v>81.80686779506</v>
      </c>
      <c r="AM38" s="20">
        <f t="shared" si="35"/>
        <v>115.055739090806</v>
      </c>
      <c r="AN38" s="191">
        <f t="shared" si="36"/>
        <v>17.6542242361082</v>
      </c>
      <c r="AO38" s="134">
        <f t="shared" si="37"/>
        <v>112</v>
      </c>
      <c r="AP38" s="64">
        <f t="shared" si="38"/>
        <v>-7</v>
      </c>
      <c r="AQ38" s="1">
        <f t="shared" si="104"/>
        <v>90.9270140881393</v>
      </c>
      <c r="AR38" s="20">
        <f t="shared" si="39"/>
        <v>100.83007500203</v>
      </c>
      <c r="AS38" s="1">
        <f t="shared" si="40"/>
        <v>21.6109242347619</v>
      </c>
      <c r="AT38" s="134">
        <f t="shared" si="41"/>
        <v>100</v>
      </c>
      <c r="AU38" s="64">
        <f t="shared" si="42"/>
        <v>-4</v>
      </c>
      <c r="AV38" s="65">
        <f t="shared" si="43"/>
        <v>45683.7162732187</v>
      </c>
      <c r="AW38" s="65">
        <f t="shared" si="44"/>
        <v>45683.8029906467</v>
      </c>
      <c r="AX38" s="1">
        <f t="shared" si="45"/>
        <v>40</v>
      </c>
      <c r="AY38" s="1">
        <f t="shared" si="46"/>
        <v>-41</v>
      </c>
      <c r="AZ38" s="131">
        <f t="shared" si="47"/>
        <v>1313.4</v>
      </c>
      <c r="BA38" s="1">
        <f t="shared" si="48"/>
        <v>1431.6</v>
      </c>
      <c r="BB38" s="1">
        <f t="shared" si="49"/>
        <v>42369837.2192875</v>
      </c>
      <c r="BC38" s="1">
        <f t="shared" si="50"/>
        <v>-13</v>
      </c>
      <c r="BD38" s="1">
        <f t="shared" si="51"/>
        <v>57480919.1343184</v>
      </c>
      <c r="BE38" s="1">
        <f t="shared" si="52"/>
        <v>-4</v>
      </c>
      <c r="BF38" s="20">
        <f t="shared" si="53"/>
        <v>36.8527416892043</v>
      </c>
      <c r="BG38" s="1">
        <f t="shared" si="54"/>
        <v>-220.930333478206</v>
      </c>
      <c r="BH38" s="1">
        <f t="shared" si="55"/>
        <v>294.75760890292</v>
      </c>
      <c r="BI38" s="1">
        <f t="shared" si="56"/>
        <v>-929.820080088</v>
      </c>
      <c r="BJ38" s="1">
        <f t="shared" si="57"/>
        <v>-220.930333478206</v>
      </c>
      <c r="BK38" s="1">
        <f t="shared" si="58"/>
        <v>294.75760890292</v>
      </c>
      <c r="BL38" s="1">
        <f t="shared" si="59"/>
        <v>-929.820080088</v>
      </c>
      <c r="BM38" s="61">
        <f t="shared" si="60"/>
        <v>22461864.3221511</v>
      </c>
      <c r="BN38" s="61">
        <f t="shared" si="61"/>
        <v>37186039.722439</v>
      </c>
      <c r="BO38" s="61">
        <f t="shared" si="62"/>
        <v>-929.820080088</v>
      </c>
      <c r="BQ38" s="1" t="str">
        <f t="shared" si="63"/>
        <v>S 68° 23.3' / E 056° 56.6'</v>
      </c>
      <c r="BR38" s="1" t="str">
        <f t="shared" si="64"/>
        <v>40D 499639 806878</v>
      </c>
      <c r="BS38" s="1" t="str">
        <f t="shared" si="65"/>
        <v>40D DP 996068</v>
      </c>
      <c r="BT38" s="1" t="b">
        <f t="shared" si="66"/>
        <v>0</v>
      </c>
      <c r="BU38" s="1" t="str">
        <f t="shared" si="67"/>
        <v>40D</v>
      </c>
      <c r="BV38" s="1">
        <f t="shared" si="68"/>
        <v>40</v>
      </c>
      <c r="BW38" s="1">
        <f t="shared" si="69"/>
        <v>0</v>
      </c>
      <c r="BX38" s="1">
        <f t="shared" si="70"/>
        <v>57</v>
      </c>
      <c r="BY38" s="1">
        <f t="shared" si="71"/>
        <v>-360.684087801409</v>
      </c>
      <c r="BZ38" s="1">
        <f t="shared" si="72"/>
        <v>499639.3159</v>
      </c>
      <c r="CA38" s="1" t="str">
        <f t="shared" si="73"/>
        <v>D</v>
      </c>
      <c r="CB38" s="1" t="str">
        <f t="shared" si="74"/>
        <v>499639</v>
      </c>
      <c r="CC38" s="1" t="str">
        <f t="shared" si="75"/>
        <v>99639</v>
      </c>
      <c r="CD38" s="1">
        <f t="shared" si="76"/>
        <v>-1193121.09313203</v>
      </c>
      <c r="CE38" s="1">
        <f t="shared" si="77"/>
        <v>806878.9069</v>
      </c>
      <c r="CF38" s="1" t="str">
        <f t="shared" si="78"/>
        <v>P</v>
      </c>
      <c r="CG38" s="1" t="str">
        <f t="shared" si="79"/>
        <v>806878</v>
      </c>
      <c r="CH38" s="1" t="str">
        <f t="shared" si="80"/>
        <v>06878</v>
      </c>
      <c r="CJ38" s="1">
        <f t="shared" si="81"/>
        <v>474</v>
      </c>
      <c r="CK38" s="1" t="str">
        <f t="shared" si="82"/>
        <v>BV</v>
      </c>
      <c r="CL38" s="1">
        <f t="shared" si="83"/>
        <v>4</v>
      </c>
      <c r="CM38" s="1">
        <f t="shared" si="84"/>
        <v>6</v>
      </c>
      <c r="CN38" s="1">
        <f t="shared" si="85"/>
        <v>2</v>
      </c>
      <c r="CO38" s="1">
        <f t="shared" si="86"/>
        <v>1</v>
      </c>
      <c r="CP38" s="1" t="str">
        <f t="shared" si="87"/>
        <v>474BV46</v>
      </c>
      <c r="CR38" s="1" t="e">
        <f t="shared" si="88"/>
        <v>#VALUE!</v>
      </c>
      <c r="CS38" s="1" t="e">
        <f t="shared" si="89"/>
        <v>#VALUE!</v>
      </c>
      <c r="CT38" s="1">
        <f t="shared" si="90"/>
        <v>3</v>
      </c>
      <c r="CU38" s="1">
        <f t="shared" si="91"/>
        <v>5</v>
      </c>
      <c r="CV38" s="131" t="e">
        <f t="shared" si="92"/>
        <v>#VALUE!</v>
      </c>
      <c r="CW38" s="131">
        <v>1477.8</v>
      </c>
      <c r="CX38" s="131">
        <v>1579.3</v>
      </c>
      <c r="CY38" s="131">
        <v>1910.8</v>
      </c>
      <c r="CZ38" s="131">
        <v>1990.4</v>
      </c>
      <c r="DA38" s="131">
        <v>2397.9</v>
      </c>
      <c r="DC38" s="154">
        <f t="shared" si="93"/>
        <v>-200.928137781</v>
      </c>
      <c r="DD38" s="154">
        <f t="shared" si="94"/>
        <v>-929.820080088</v>
      </c>
      <c r="DE38" s="154">
        <f t="shared" si="95"/>
        <v>308.739605014999</v>
      </c>
      <c r="DF38" s="1">
        <f t="shared" si="96"/>
        <v>17.9808943133713</v>
      </c>
      <c r="DG38" s="1">
        <f t="shared" si="97"/>
        <v>-102.193755124584</v>
      </c>
      <c r="DH38" s="1">
        <f t="shared" si="98"/>
        <v>77</v>
      </c>
      <c r="DI38" s="1">
        <f t="shared" si="99"/>
        <v>65</v>
      </c>
      <c r="DJ38" s="1">
        <f t="shared" si="100"/>
        <v>5</v>
      </c>
      <c r="DK38" s="1">
        <f t="shared" si="101"/>
        <v>77</v>
      </c>
      <c r="DL38" s="1">
        <f t="shared" si="102"/>
        <v>65</v>
      </c>
      <c r="DM38" s="1">
        <f t="shared" si="103"/>
        <v>5</v>
      </c>
    </row>
    <row r="39" customHeight="1" spans="1:117">
      <c r="A39" s="152" t="str">
        <f t="shared" si="107"/>
        <v>MT DataCenter E2Q-NSG-Y</v>
      </c>
      <c r="C39" s="55" t="str">
        <f t="shared" si="5"/>
        <v>S 20° 43.8' / E 011° 32.3'</v>
      </c>
      <c r="D39" s="150" t="str">
        <f t="shared" si="6"/>
        <v>514 m</v>
      </c>
      <c r="E39" s="151">
        <f t="shared" si="7"/>
        <v>2023.1</v>
      </c>
      <c r="F39" s="151">
        <f t="shared" si="8"/>
        <v>1433.1</v>
      </c>
      <c r="G39" s="151">
        <f t="shared" si="9"/>
        <v>1592</v>
      </c>
      <c r="H39" s="151">
        <f t="shared" si="10"/>
        <v>1900.6</v>
      </c>
      <c r="I39" s="151">
        <f t="shared" si="11"/>
        <v>658.6</v>
      </c>
      <c r="J39" s="171">
        <f t="shared" si="12"/>
        <v>2390.2</v>
      </c>
      <c r="K39" s="172">
        <f t="shared" si="108"/>
        <v>916.831795390999</v>
      </c>
      <c r="L39" s="172">
        <f t="shared" si="109"/>
        <v>187.159489357999</v>
      </c>
      <c r="M39" s="173">
        <f t="shared" si="110"/>
        <v>-354.144106525</v>
      </c>
      <c r="N39" s="54">
        <f t="shared" si="13"/>
        <v>0.0870513064470854</v>
      </c>
      <c r="O39" s="55" t="str">
        <f t="shared" si="14"/>
        <v>After midnight / Rises in 48m</v>
      </c>
      <c r="P39" s="55" t="str">
        <f t="shared" si="15"/>
        <v>043°M / -65°</v>
      </c>
      <c r="Q39" s="56">
        <f t="shared" si="16"/>
        <v>45683.7388196174</v>
      </c>
      <c r="R39" s="56">
        <f t="shared" si="17"/>
        <v>45683.7445418395</v>
      </c>
      <c r="S39" s="56">
        <f t="shared" si="18"/>
        <v>45683.7880674927</v>
      </c>
      <c r="T39" s="56">
        <f t="shared" si="19"/>
        <v>45683.8315931459</v>
      </c>
      <c r="U39" s="180">
        <f t="shared" si="20"/>
        <v>45683.837315368</v>
      </c>
      <c r="V39" s="55" t="str">
        <f t="shared" si="21"/>
        <v>Obstructed / Rises in 37m</v>
      </c>
      <c r="W39" s="55" t="str">
        <f t="shared" si="22"/>
        <v>032°M / -51°</v>
      </c>
      <c r="X39" s="56">
        <f t="shared" si="23"/>
        <v>45683.7374883682</v>
      </c>
      <c r="Y39" s="180">
        <f t="shared" si="24"/>
        <v>45683.8250795489</v>
      </c>
      <c r="Z39" s="55" t="str">
        <f t="shared" si="25"/>
        <v>355°M / -45°</v>
      </c>
      <c r="AA39" s="151">
        <f t="shared" si="26"/>
        <v>1405.4</v>
      </c>
      <c r="AB39" s="150">
        <f t="shared" si="27"/>
        <v>1556.5</v>
      </c>
      <c r="AC39" s="188">
        <v>30</v>
      </c>
      <c r="AD39" s="1" t="b">
        <f t="shared" si="28"/>
        <v>1</v>
      </c>
      <c r="AE39" s="1">
        <f t="shared" si="29"/>
        <v>-20.7298624184193</v>
      </c>
      <c r="AF39" s="1">
        <f t="shared" si="30"/>
        <v>11.5376779212275</v>
      </c>
      <c r="AG39" s="1">
        <f t="shared" si="31"/>
        <v>11.5376779212275</v>
      </c>
      <c r="AH39" s="2">
        <f t="shared" si="32"/>
        <v>0.513500000384852</v>
      </c>
      <c r="AI39" s="1">
        <f t="shared" si="33"/>
        <v>1.83575599130167</v>
      </c>
      <c r="AJ39" s="191">
        <f t="shared" si="105"/>
        <v>0</v>
      </c>
      <c r="AK39" s="191">
        <f t="shared" si="106"/>
        <v>0</v>
      </c>
      <c r="AL39" s="191">
        <f t="shared" si="34"/>
        <v>91.2771002376503</v>
      </c>
      <c r="AM39" s="20">
        <f t="shared" si="35"/>
        <v>160.461930293675</v>
      </c>
      <c r="AN39" s="191">
        <f t="shared" si="36"/>
        <v>65.31323443344</v>
      </c>
      <c r="AO39" s="134">
        <f t="shared" si="37"/>
        <v>129</v>
      </c>
      <c r="AP39" s="64">
        <f t="shared" si="38"/>
        <v>-62</v>
      </c>
      <c r="AQ39" s="1">
        <f t="shared" si="104"/>
        <v>91.8431820146153</v>
      </c>
      <c r="AR39" s="20">
        <f t="shared" si="39"/>
        <v>146.236266204899</v>
      </c>
      <c r="AS39" s="1">
        <f t="shared" si="40"/>
        <v>69.26978457152</v>
      </c>
      <c r="AT39" s="134">
        <f t="shared" si="41"/>
        <v>118</v>
      </c>
      <c r="AU39" s="64">
        <f t="shared" si="42"/>
        <v>-58</v>
      </c>
      <c r="AV39" s="65">
        <f t="shared" si="43"/>
        <v>45683.7374883682</v>
      </c>
      <c r="AW39" s="65">
        <f t="shared" si="44"/>
        <v>45683.8250795489</v>
      </c>
      <c r="AX39" s="1">
        <f t="shared" si="45"/>
        <v>81</v>
      </c>
      <c r="AY39" s="1">
        <f t="shared" si="46"/>
        <v>-45</v>
      </c>
      <c r="AZ39" s="131">
        <f t="shared" si="47"/>
        <v>1405.4</v>
      </c>
      <c r="BA39" s="1">
        <f t="shared" si="48"/>
        <v>1556.5</v>
      </c>
      <c r="BB39" s="1">
        <f t="shared" si="49"/>
        <v>42370521.618305</v>
      </c>
      <c r="BC39" s="1">
        <f t="shared" si="50"/>
        <v>-65</v>
      </c>
      <c r="BD39" s="1">
        <f t="shared" si="51"/>
        <v>57481627.8292738</v>
      </c>
      <c r="BE39" s="1">
        <f t="shared" si="52"/>
        <v>-51</v>
      </c>
      <c r="BF39" s="20">
        <f t="shared" si="53"/>
        <v>-8.55344951366494</v>
      </c>
      <c r="BG39" s="1">
        <f t="shared" si="54"/>
        <v>139.174443021219</v>
      </c>
      <c r="BH39" s="1">
        <f t="shared" si="55"/>
        <v>925.332205160051</v>
      </c>
      <c r="BI39" s="1">
        <f t="shared" si="56"/>
        <v>-354.144106525</v>
      </c>
      <c r="BJ39" s="1">
        <f t="shared" si="57"/>
        <v>139.174443021219</v>
      </c>
      <c r="BK39" s="1">
        <f t="shared" si="58"/>
        <v>925.332205160051</v>
      </c>
      <c r="BL39" s="1">
        <f t="shared" si="59"/>
        <v>-354.144106525</v>
      </c>
      <c r="BM39" s="61">
        <f t="shared" si="60"/>
        <v>22462224.4269276</v>
      </c>
      <c r="BN39" s="61">
        <f t="shared" si="61"/>
        <v>37186670.2970353</v>
      </c>
      <c r="BO39" s="61">
        <f t="shared" si="62"/>
        <v>-354.144106525</v>
      </c>
      <c r="BQ39" s="1" t="str">
        <f t="shared" si="63"/>
        <v>S 20° 43.8' / E 011° 32.3'</v>
      </c>
      <c r="BR39" s="1" t="str">
        <f t="shared" si="64"/>
        <v>32K 541417 1638015</v>
      </c>
      <c r="BS39" s="1" t="str">
        <f t="shared" si="65"/>
        <v>32K NB 414380</v>
      </c>
      <c r="BT39" s="1" t="b">
        <f t="shared" si="66"/>
        <v>0</v>
      </c>
      <c r="BU39" s="1" t="str">
        <f t="shared" si="67"/>
        <v>32K</v>
      </c>
      <c r="BV39" s="1">
        <f t="shared" si="68"/>
        <v>32</v>
      </c>
      <c r="BW39" s="1">
        <f t="shared" si="69"/>
        <v>0</v>
      </c>
      <c r="BX39" s="1">
        <f t="shared" si="70"/>
        <v>9</v>
      </c>
      <c r="BY39" s="1">
        <f t="shared" si="71"/>
        <v>41417.0106005488</v>
      </c>
      <c r="BZ39" s="1">
        <f t="shared" si="72"/>
        <v>541417.0106</v>
      </c>
      <c r="CA39" s="1" t="str">
        <f t="shared" si="73"/>
        <v>N</v>
      </c>
      <c r="CB39" s="1" t="str">
        <f t="shared" si="74"/>
        <v>541417</v>
      </c>
      <c r="CC39" s="1" t="str">
        <f t="shared" si="75"/>
        <v>41417</v>
      </c>
      <c r="CD39" s="1">
        <f t="shared" si="76"/>
        <v>-361984.430148296</v>
      </c>
      <c r="CE39" s="1">
        <f t="shared" si="77"/>
        <v>1638015.5699</v>
      </c>
      <c r="CF39" s="1" t="str">
        <f t="shared" si="78"/>
        <v>B</v>
      </c>
      <c r="CG39" s="1" t="str">
        <f t="shared" si="79"/>
        <v>1638015</v>
      </c>
      <c r="CH39" s="1" t="str">
        <f t="shared" si="80"/>
        <v>38015</v>
      </c>
      <c r="CJ39" s="1">
        <f t="shared" si="81"/>
        <v>384</v>
      </c>
      <c r="CK39" s="1" t="str">
        <f t="shared" si="82"/>
        <v>FU</v>
      </c>
      <c r="CL39" s="1">
        <f t="shared" si="83"/>
        <v>1</v>
      </c>
      <c r="CM39" s="1">
        <f t="shared" si="84"/>
        <v>7</v>
      </c>
      <c r="CN39" s="1">
        <f t="shared" si="85"/>
        <v>0</v>
      </c>
      <c r="CO39" s="1">
        <f t="shared" si="86"/>
        <v>0</v>
      </c>
      <c r="CP39" s="1" t="str">
        <f t="shared" si="87"/>
        <v>384FU17</v>
      </c>
      <c r="CR39" s="1" t="e">
        <f t="shared" si="88"/>
        <v>#VALUE!</v>
      </c>
      <c r="CS39" s="1" t="e">
        <f t="shared" si="89"/>
        <v>#VALUE!</v>
      </c>
      <c r="CT39" s="1">
        <f t="shared" si="90"/>
        <v>2</v>
      </c>
      <c r="CU39" s="1">
        <f t="shared" si="91"/>
        <v>3</v>
      </c>
      <c r="CV39" s="131" t="e">
        <f t="shared" si="92"/>
        <v>#VALUE!</v>
      </c>
      <c r="CW39" s="131">
        <v>1433.1</v>
      </c>
      <c r="CX39" s="131">
        <v>1592</v>
      </c>
      <c r="CY39" s="131">
        <v>1900.6</v>
      </c>
      <c r="CZ39" s="131">
        <v>2023.1</v>
      </c>
      <c r="DA39" s="131">
        <v>2390.2</v>
      </c>
      <c r="DC39" s="154">
        <f t="shared" si="93"/>
        <v>-916.831795390999</v>
      </c>
      <c r="DD39" s="154">
        <f t="shared" si="94"/>
        <v>-354.144106525</v>
      </c>
      <c r="DE39" s="154">
        <f t="shared" si="95"/>
        <v>187.159489357999</v>
      </c>
      <c r="DF39" s="1">
        <f t="shared" si="96"/>
        <v>10.7814588325891</v>
      </c>
      <c r="DG39" s="1">
        <f t="shared" si="97"/>
        <v>-158.879976918566</v>
      </c>
      <c r="DH39" s="1">
        <f t="shared" si="98"/>
        <v>43</v>
      </c>
      <c r="DI39" s="1">
        <f t="shared" si="99"/>
        <v>32</v>
      </c>
      <c r="DJ39" s="1">
        <f t="shared" si="100"/>
        <v>355</v>
      </c>
      <c r="DK39" s="1">
        <f t="shared" si="101"/>
        <v>43</v>
      </c>
      <c r="DL39" s="1">
        <f t="shared" si="102"/>
        <v>32</v>
      </c>
      <c r="DM39" s="1">
        <f t="shared" si="103"/>
        <v>355</v>
      </c>
    </row>
    <row r="40" customHeight="1" spans="1:117">
      <c r="A40" s="152" t="str">
        <f t="shared" si="107"/>
        <v>MT DataCenter KH3-AAE-L</v>
      </c>
      <c r="C40" s="55" t="str">
        <f t="shared" si="5"/>
        <v>S 22° 00.5' / E 120° 19.9'</v>
      </c>
      <c r="D40" s="150" t="str">
        <f t="shared" si="6"/>
        <v>1556 m</v>
      </c>
      <c r="E40" s="151">
        <f t="shared" si="7"/>
        <v>2038.7</v>
      </c>
      <c r="F40" s="151">
        <f t="shared" si="8"/>
        <v>1412.4</v>
      </c>
      <c r="G40" s="151">
        <f t="shared" si="9"/>
        <v>876.3</v>
      </c>
      <c r="H40" s="151">
        <f t="shared" si="10"/>
        <v>2320.2</v>
      </c>
      <c r="I40" s="151">
        <f t="shared" si="11"/>
        <v>2103.7</v>
      </c>
      <c r="J40" s="171">
        <f t="shared" si="12"/>
        <v>1313.5</v>
      </c>
      <c r="K40" s="172">
        <f t="shared" si="108"/>
        <v>-468.928187746</v>
      </c>
      <c r="L40" s="172">
        <f t="shared" si="109"/>
        <v>801.472605984</v>
      </c>
      <c r="M40" s="173">
        <f t="shared" si="110"/>
        <v>-375.315782979</v>
      </c>
      <c r="N40" s="54">
        <f t="shared" si="13"/>
        <v>0.0882493702588207</v>
      </c>
      <c r="O40" s="55" t="str">
        <f t="shared" si="14"/>
        <v>Morning / Sets in 99m</v>
      </c>
      <c r="P40" s="55" t="str">
        <f t="shared" si="15"/>
        <v>127°M / +33°</v>
      </c>
      <c r="Q40" s="56">
        <f t="shared" si="16"/>
        <v>45683.8580088629</v>
      </c>
      <c r="R40" s="56">
        <f t="shared" si="17"/>
        <v>45683.8637310849</v>
      </c>
      <c r="S40" s="56">
        <f t="shared" si="18"/>
        <v>45683.7361891076</v>
      </c>
      <c r="T40" s="56">
        <f t="shared" si="19"/>
        <v>45683.7803137927</v>
      </c>
      <c r="U40" s="180">
        <f t="shared" si="20"/>
        <v>45683.7860360148</v>
      </c>
      <c r="V40" s="55" t="str">
        <f t="shared" si="21"/>
        <v>Sets in 90m</v>
      </c>
      <c r="W40" s="55" t="str">
        <f t="shared" si="22"/>
        <v>121°M / +47°</v>
      </c>
      <c r="X40" s="56">
        <f t="shared" si="23"/>
        <v>45683.856628995</v>
      </c>
      <c r="Y40" s="180">
        <f t="shared" si="24"/>
        <v>45683.7738488144</v>
      </c>
      <c r="Z40" s="55" t="str">
        <f t="shared" si="25"/>
        <v>019°M / -19°</v>
      </c>
      <c r="AA40" s="151">
        <f t="shared" si="26"/>
        <v>651.5</v>
      </c>
      <c r="AB40" s="150">
        <f t="shared" si="27"/>
        <v>662.6</v>
      </c>
      <c r="AC40" s="188">
        <v>31</v>
      </c>
      <c r="AD40" s="1" t="b">
        <f t="shared" si="28"/>
        <v>1</v>
      </c>
      <c r="AE40" s="1">
        <f t="shared" si="29"/>
        <v>-22.0077987446635</v>
      </c>
      <c r="AF40" s="1">
        <f t="shared" si="30"/>
        <v>120.33118719874</v>
      </c>
      <c r="AG40" s="1">
        <f t="shared" si="31"/>
        <v>120.33118719874</v>
      </c>
      <c r="AH40" s="2">
        <f t="shared" si="32"/>
        <v>1.5557500003041</v>
      </c>
      <c r="AI40" s="1">
        <f t="shared" si="33"/>
        <v>3.1939359582578</v>
      </c>
      <c r="AJ40" s="191">
        <f t="shared" si="105"/>
        <v>0</v>
      </c>
      <c r="AK40" s="191">
        <f t="shared" si="106"/>
        <v>0</v>
      </c>
      <c r="AL40" s="191">
        <f t="shared" si="34"/>
        <v>92.5333225173393</v>
      </c>
      <c r="AM40" s="20">
        <f t="shared" si="35"/>
        <v>51.6684210161625</v>
      </c>
      <c r="AN40" s="191">
        <f t="shared" si="36"/>
        <v>64.0352702126432</v>
      </c>
      <c r="AO40" s="134">
        <f t="shared" si="37"/>
        <v>69</v>
      </c>
      <c r="AP40" s="64">
        <f t="shared" si="38"/>
        <v>40</v>
      </c>
      <c r="AQ40" s="1">
        <f t="shared" si="104"/>
        <v>93.2013619815714</v>
      </c>
      <c r="AR40" s="20">
        <f t="shared" si="39"/>
        <v>37.4427569273869</v>
      </c>
      <c r="AS40" s="1">
        <f t="shared" si="40"/>
        <v>67.9918271422231</v>
      </c>
      <c r="AT40" s="134">
        <f t="shared" si="41"/>
        <v>64</v>
      </c>
      <c r="AU40" s="64">
        <f t="shared" si="42"/>
        <v>54</v>
      </c>
      <c r="AV40" s="65">
        <f t="shared" si="43"/>
        <v>45683.856628995</v>
      </c>
      <c r="AW40" s="65">
        <f t="shared" si="44"/>
        <v>45683.7738488144</v>
      </c>
      <c r="AX40" s="1">
        <f t="shared" si="45"/>
        <v>321</v>
      </c>
      <c r="AY40" s="1">
        <f t="shared" si="46"/>
        <v>-19</v>
      </c>
      <c r="AZ40" s="131">
        <f t="shared" si="47"/>
        <v>651.5</v>
      </c>
      <c r="BA40" s="1">
        <f t="shared" si="48"/>
        <v>662.6</v>
      </c>
      <c r="BB40" s="1">
        <f t="shared" si="49"/>
        <v>42369068.786619</v>
      </c>
      <c r="BC40" s="1">
        <f t="shared" si="50"/>
        <v>33</v>
      </c>
      <c r="BD40" s="1">
        <f t="shared" si="51"/>
        <v>57480112.6624822</v>
      </c>
      <c r="BE40" s="1">
        <f t="shared" si="52"/>
        <v>47</v>
      </c>
      <c r="BF40" s="20">
        <f t="shared" si="53"/>
        <v>100.240059763848</v>
      </c>
      <c r="BG40" s="1">
        <f t="shared" si="54"/>
        <v>-913.784483395055</v>
      </c>
      <c r="BH40" s="1">
        <f t="shared" si="55"/>
        <v>-165.07544127448</v>
      </c>
      <c r="BI40" s="1">
        <f t="shared" si="56"/>
        <v>-375.315782979</v>
      </c>
      <c r="BJ40" s="1">
        <f t="shared" si="57"/>
        <v>-913.784483395055</v>
      </c>
      <c r="BK40" s="1">
        <f t="shared" si="58"/>
        <v>-165.07544127448</v>
      </c>
      <c r="BL40" s="1">
        <f t="shared" si="59"/>
        <v>-375.315782979</v>
      </c>
      <c r="BM40" s="61">
        <f t="shared" si="60"/>
        <v>22461171.4680012</v>
      </c>
      <c r="BN40" s="61">
        <f t="shared" si="61"/>
        <v>37185579.8893888</v>
      </c>
      <c r="BO40" s="61">
        <f t="shared" si="62"/>
        <v>-375.315782979</v>
      </c>
      <c r="BQ40" s="1" t="str">
        <f t="shared" si="63"/>
        <v>S 22° 00.5' / E 120° 19.9'</v>
      </c>
      <c r="BR40" s="1" t="str">
        <f t="shared" si="64"/>
        <v>51K 456820 1615668</v>
      </c>
      <c r="BS40" s="1" t="str">
        <f t="shared" si="65"/>
        <v>51K VS 568156</v>
      </c>
      <c r="BT40" s="1" t="b">
        <f t="shared" si="66"/>
        <v>0</v>
      </c>
      <c r="BU40" s="1" t="str">
        <f t="shared" si="67"/>
        <v>51K</v>
      </c>
      <c r="BV40" s="1">
        <f t="shared" si="68"/>
        <v>51</v>
      </c>
      <c r="BW40" s="1">
        <f t="shared" si="69"/>
        <v>0</v>
      </c>
      <c r="BX40" s="1">
        <f t="shared" si="70"/>
        <v>123</v>
      </c>
      <c r="BY40" s="1">
        <f t="shared" si="71"/>
        <v>-43179.4046546917</v>
      </c>
      <c r="BZ40" s="1">
        <f t="shared" si="72"/>
        <v>456820.5953</v>
      </c>
      <c r="CA40" s="1" t="str">
        <f t="shared" si="73"/>
        <v>V</v>
      </c>
      <c r="CB40" s="1" t="str">
        <f t="shared" si="74"/>
        <v>456820</v>
      </c>
      <c r="CC40" s="1" t="str">
        <f t="shared" si="75"/>
        <v>56820</v>
      </c>
      <c r="CD40" s="1">
        <f t="shared" si="76"/>
        <v>-384331.937112263</v>
      </c>
      <c r="CE40" s="1">
        <f t="shared" si="77"/>
        <v>1615668.0629</v>
      </c>
      <c r="CF40" s="1" t="str">
        <f t="shared" si="78"/>
        <v>S</v>
      </c>
      <c r="CG40" s="1" t="str">
        <f t="shared" si="79"/>
        <v>1615668</v>
      </c>
      <c r="CH40" s="1" t="str">
        <f t="shared" si="80"/>
        <v>15668</v>
      </c>
      <c r="CJ40" s="1">
        <f t="shared" si="81"/>
        <v>601</v>
      </c>
      <c r="CK40" s="1" t="str">
        <f t="shared" si="82"/>
        <v>FR</v>
      </c>
      <c r="CL40" s="1">
        <f t="shared" si="83"/>
        <v>2</v>
      </c>
      <c r="CM40" s="1">
        <f t="shared" si="84"/>
        <v>1</v>
      </c>
      <c r="CN40" s="1">
        <f t="shared" si="85"/>
        <v>0</v>
      </c>
      <c r="CO40" s="1">
        <f t="shared" si="86"/>
        <v>2</v>
      </c>
      <c r="CP40" s="1" t="str">
        <f t="shared" si="87"/>
        <v>601FR21</v>
      </c>
      <c r="CR40" s="1" t="e">
        <f t="shared" si="88"/>
        <v>#VALUE!</v>
      </c>
      <c r="CS40" s="1" t="e">
        <f t="shared" si="89"/>
        <v>#VALUE!</v>
      </c>
      <c r="CT40" s="1">
        <f t="shared" si="90"/>
        <v>6</v>
      </c>
      <c r="CU40" s="1">
        <f t="shared" si="91"/>
        <v>2</v>
      </c>
      <c r="CV40" s="131" t="e">
        <f t="shared" si="92"/>
        <v>#VALUE!</v>
      </c>
      <c r="CW40" s="131">
        <v>1313.5</v>
      </c>
      <c r="CX40" s="131">
        <v>1412.4</v>
      </c>
      <c r="CY40" s="131">
        <v>2038.7</v>
      </c>
      <c r="CZ40" s="131">
        <v>2103.7</v>
      </c>
      <c r="DA40" s="131">
        <v>2320.2</v>
      </c>
      <c r="DC40" s="154">
        <f t="shared" si="93"/>
        <v>468.928187746</v>
      </c>
      <c r="DD40" s="154">
        <f t="shared" si="94"/>
        <v>-375.315782979</v>
      </c>
      <c r="DE40" s="154">
        <f t="shared" si="95"/>
        <v>801.472605984</v>
      </c>
      <c r="DF40" s="1">
        <f t="shared" si="96"/>
        <v>53.1518470032458</v>
      </c>
      <c r="DG40" s="1">
        <f t="shared" si="97"/>
        <v>-38.67271225136</v>
      </c>
      <c r="DH40" s="1">
        <f t="shared" si="98"/>
        <v>127</v>
      </c>
      <c r="DI40" s="1">
        <f t="shared" si="99"/>
        <v>121</v>
      </c>
      <c r="DJ40" s="1">
        <f t="shared" si="100"/>
        <v>19</v>
      </c>
      <c r="DK40" s="1">
        <f t="shared" si="101"/>
        <v>127</v>
      </c>
      <c r="DL40" s="1">
        <f t="shared" si="102"/>
        <v>121</v>
      </c>
      <c r="DM40" s="1">
        <f t="shared" si="103"/>
        <v>19</v>
      </c>
    </row>
    <row r="41" customHeight="1" spans="1:117">
      <c r="A41" s="152" t="str">
        <f t="shared" si="107"/>
        <v>MT DataCenter L8P-JUC-8</v>
      </c>
      <c r="C41" s="55" t="str">
        <f t="shared" si="5"/>
        <v>S 76° 24.3' / E 111° 36.4'</v>
      </c>
      <c r="D41" s="150" t="str">
        <f t="shared" si="6"/>
        <v>91 m</v>
      </c>
      <c r="E41" s="151">
        <f t="shared" si="7"/>
        <v>2423.1</v>
      </c>
      <c r="F41" s="151">
        <f t="shared" si="8"/>
        <v>523.3</v>
      </c>
      <c r="G41" s="151">
        <f t="shared" si="9"/>
        <v>1563.1</v>
      </c>
      <c r="H41" s="151">
        <f t="shared" si="10"/>
        <v>1924</v>
      </c>
      <c r="I41" s="151">
        <f t="shared" si="11"/>
        <v>1822.6</v>
      </c>
      <c r="J41" s="171">
        <f t="shared" si="12"/>
        <v>1680.3</v>
      </c>
      <c r="K41" s="172">
        <f t="shared" si="108"/>
        <v>-86.563453194</v>
      </c>
      <c r="L41" s="172">
        <f t="shared" si="109"/>
        <v>218.55998655</v>
      </c>
      <c r="M41" s="173">
        <f t="shared" si="110"/>
        <v>-972.069793889999</v>
      </c>
      <c r="N41" s="54">
        <f t="shared" si="13"/>
        <v>0.0716183301457123</v>
      </c>
      <c r="O41" s="55" t="str">
        <f t="shared" si="14"/>
        <v>Morning / Sets in 93m</v>
      </c>
      <c r="P41" s="55" t="str">
        <f t="shared" si="15"/>
        <v>082°M / +03°</v>
      </c>
      <c r="Q41" s="56">
        <f t="shared" si="16"/>
        <v>45683.870484685</v>
      </c>
      <c r="R41" s="56">
        <f t="shared" si="17"/>
        <v>45683.8762069071</v>
      </c>
      <c r="S41" s="56">
        <f t="shared" si="18"/>
        <v>45683.7403494097</v>
      </c>
      <c r="T41" s="56">
        <f t="shared" si="19"/>
        <v>45683.7761585748</v>
      </c>
      <c r="U41" s="180">
        <f t="shared" si="20"/>
        <v>45683.7818807968</v>
      </c>
      <c r="V41" s="55" t="str">
        <f t="shared" si="21"/>
        <v>Sets in 94m</v>
      </c>
      <c r="W41" s="55" t="str">
        <f t="shared" si="22"/>
        <v>069°M / +09°</v>
      </c>
      <c r="X41" s="56">
        <f t="shared" si="23"/>
        <v>45683.86194439</v>
      </c>
      <c r="Y41" s="180">
        <f t="shared" si="24"/>
        <v>45683.7768540236</v>
      </c>
      <c r="Z41" s="55" t="str">
        <f t="shared" si="25"/>
        <v>008°M / -43°</v>
      </c>
      <c r="AA41" s="151">
        <f t="shared" si="26"/>
        <v>1357.1</v>
      </c>
      <c r="AB41" s="150">
        <f t="shared" si="27"/>
        <v>1490.2</v>
      </c>
      <c r="AC41" s="188">
        <v>32</v>
      </c>
      <c r="AD41" s="1" t="b">
        <f t="shared" si="28"/>
        <v>1</v>
      </c>
      <c r="AE41" s="1">
        <f t="shared" si="29"/>
        <v>-76.4050317728409</v>
      </c>
      <c r="AF41" s="1">
        <f t="shared" si="30"/>
        <v>111.606669946829</v>
      </c>
      <c r="AG41" s="1">
        <f t="shared" si="31"/>
        <v>111.606669946829</v>
      </c>
      <c r="AH41" s="2">
        <f t="shared" si="32"/>
        <v>0.090687559358912</v>
      </c>
      <c r="AI41" s="1">
        <f t="shared" si="33"/>
        <v>0.771605078607861</v>
      </c>
      <c r="AJ41" s="191">
        <f t="shared" si="105"/>
        <v>0</v>
      </c>
      <c r="AK41" s="191">
        <f t="shared" si="106"/>
        <v>0</v>
      </c>
      <c r="AL41" s="191">
        <f t="shared" si="34"/>
        <v>75.0949499366437</v>
      </c>
      <c r="AM41" s="20">
        <f t="shared" si="35"/>
        <v>60.3929382680734</v>
      </c>
      <c r="AN41" s="191">
        <f t="shared" si="36"/>
        <v>9.63729683872774</v>
      </c>
      <c r="AO41" s="134">
        <f t="shared" si="37"/>
        <v>60</v>
      </c>
      <c r="AP41" s="64">
        <f t="shared" si="38"/>
        <v>5</v>
      </c>
      <c r="AQ41" s="1">
        <f t="shared" si="104"/>
        <v>90.7790311019215</v>
      </c>
      <c r="AR41" s="20">
        <f t="shared" si="39"/>
        <v>46.1672741792978</v>
      </c>
      <c r="AS41" s="1">
        <f t="shared" si="40"/>
        <v>13.5939992833174</v>
      </c>
      <c r="AT41" s="134">
        <f t="shared" si="41"/>
        <v>47</v>
      </c>
      <c r="AU41" s="64">
        <f t="shared" si="42"/>
        <v>9</v>
      </c>
      <c r="AV41" s="65">
        <f t="shared" si="43"/>
        <v>45683.86194439</v>
      </c>
      <c r="AW41" s="65">
        <f t="shared" si="44"/>
        <v>45683.7768540236</v>
      </c>
      <c r="AX41" s="1">
        <f t="shared" si="45"/>
        <v>346</v>
      </c>
      <c r="AY41" s="1">
        <f t="shared" si="46"/>
        <v>-43</v>
      </c>
      <c r="AZ41" s="131">
        <f t="shared" si="47"/>
        <v>1357.1</v>
      </c>
      <c r="BA41" s="1">
        <f t="shared" si="48"/>
        <v>1490.2</v>
      </c>
      <c r="BB41" s="1">
        <f t="shared" si="49"/>
        <v>42369568.6411573</v>
      </c>
      <c r="BC41" s="1">
        <f t="shared" si="50"/>
        <v>3</v>
      </c>
      <c r="BD41" s="1">
        <f t="shared" si="51"/>
        <v>57480687.1150524</v>
      </c>
      <c r="BE41" s="1">
        <f t="shared" si="52"/>
        <v>9</v>
      </c>
      <c r="BF41" s="20">
        <f t="shared" si="53"/>
        <v>91.5155425119366</v>
      </c>
      <c r="BG41" s="1">
        <f t="shared" si="54"/>
        <v>-234.995837017224</v>
      </c>
      <c r="BH41" s="1">
        <f t="shared" si="55"/>
        <v>-6.217373575729</v>
      </c>
      <c r="BI41" s="1">
        <f t="shared" si="56"/>
        <v>-972.069793889999</v>
      </c>
      <c r="BJ41" s="1">
        <f t="shared" si="57"/>
        <v>-234.995837017224</v>
      </c>
      <c r="BK41" s="1">
        <f t="shared" si="58"/>
        <v>-6.217373575729</v>
      </c>
      <c r="BL41" s="1">
        <f t="shared" si="59"/>
        <v>-972.069793889999</v>
      </c>
      <c r="BM41" s="61">
        <f t="shared" si="60"/>
        <v>22461850.2566476</v>
      </c>
      <c r="BN41" s="61">
        <f t="shared" si="61"/>
        <v>37185738.7474565</v>
      </c>
      <c r="BO41" s="61">
        <f t="shared" si="62"/>
        <v>-972.069793889999</v>
      </c>
      <c r="BQ41" s="1" t="str">
        <f t="shared" si="63"/>
        <v>S 76° 24.3' / E 111° 36.4'</v>
      </c>
      <c r="BR41" s="1" t="str">
        <f t="shared" si="64"/>
        <v>49C 502487 667001</v>
      </c>
      <c r="BS41" s="1" t="str">
        <f t="shared" si="65"/>
        <v>49C EG 024670</v>
      </c>
      <c r="BT41" s="1" t="b">
        <f t="shared" si="66"/>
        <v>0</v>
      </c>
      <c r="BU41" s="1" t="str">
        <f t="shared" si="67"/>
        <v>49C</v>
      </c>
      <c r="BV41" s="1">
        <f t="shared" si="68"/>
        <v>49</v>
      </c>
      <c r="BW41" s="1">
        <f t="shared" si="69"/>
        <v>0</v>
      </c>
      <c r="BX41" s="1">
        <f t="shared" si="70"/>
        <v>111</v>
      </c>
      <c r="BY41" s="1">
        <f t="shared" si="71"/>
        <v>2487.83522035574</v>
      </c>
      <c r="BZ41" s="1">
        <f t="shared" si="72"/>
        <v>502487.8352</v>
      </c>
      <c r="CA41" s="1" t="str">
        <f t="shared" si="73"/>
        <v>E</v>
      </c>
      <c r="CB41" s="1" t="str">
        <f t="shared" si="74"/>
        <v>502487</v>
      </c>
      <c r="CC41" s="1" t="str">
        <f t="shared" si="75"/>
        <v>02487</v>
      </c>
      <c r="CD41" s="1">
        <f t="shared" si="76"/>
        <v>-1332998.76396229</v>
      </c>
      <c r="CE41" s="1">
        <f t="shared" si="77"/>
        <v>667001.236</v>
      </c>
      <c r="CF41" s="1" t="str">
        <f t="shared" si="78"/>
        <v>G</v>
      </c>
      <c r="CG41" s="1" t="str">
        <f t="shared" si="79"/>
        <v>667001</v>
      </c>
      <c r="CH41" s="1" t="str">
        <f t="shared" si="80"/>
        <v>67001</v>
      </c>
      <c r="CJ41" s="1">
        <f t="shared" si="81"/>
        <v>584</v>
      </c>
      <c r="CK41" s="1" t="str">
        <f t="shared" si="82"/>
        <v>BD</v>
      </c>
      <c r="CL41" s="1">
        <f t="shared" si="83"/>
        <v>3</v>
      </c>
      <c r="CM41" s="1">
        <f t="shared" si="84"/>
        <v>5</v>
      </c>
      <c r="CN41" s="1">
        <f t="shared" si="85"/>
        <v>1</v>
      </c>
      <c r="CO41" s="1">
        <f t="shared" si="86"/>
        <v>1</v>
      </c>
      <c r="CP41" s="1" t="str">
        <f t="shared" si="87"/>
        <v>584BD35</v>
      </c>
      <c r="CR41" s="1" t="e">
        <f t="shared" si="88"/>
        <v>#VALUE!</v>
      </c>
      <c r="CS41" s="1" t="e">
        <f t="shared" si="89"/>
        <v>#VALUE!</v>
      </c>
      <c r="CT41" s="1">
        <f t="shared" si="90"/>
        <v>3</v>
      </c>
      <c r="CU41" s="1">
        <f t="shared" si="91"/>
        <v>6</v>
      </c>
      <c r="CV41" s="131" t="e">
        <f t="shared" si="92"/>
        <v>#VALUE!</v>
      </c>
      <c r="CW41" s="131">
        <v>1563.1</v>
      </c>
      <c r="CX41" s="131">
        <v>1680.3</v>
      </c>
      <c r="CY41" s="131">
        <v>1822.6</v>
      </c>
      <c r="CZ41" s="131">
        <v>1924</v>
      </c>
      <c r="DA41" s="131">
        <v>2423.1</v>
      </c>
      <c r="DC41" s="154">
        <f t="shared" si="93"/>
        <v>86.563453194</v>
      </c>
      <c r="DD41" s="154">
        <f t="shared" si="94"/>
        <v>-972.069793889999</v>
      </c>
      <c r="DE41" s="154">
        <f t="shared" si="95"/>
        <v>218.55998655</v>
      </c>
      <c r="DF41" s="1">
        <f t="shared" si="96"/>
        <v>12.6233044824675</v>
      </c>
      <c r="DG41" s="1">
        <f t="shared" si="97"/>
        <v>-84.9111963359418</v>
      </c>
      <c r="DH41" s="1">
        <f t="shared" si="98"/>
        <v>82</v>
      </c>
      <c r="DI41" s="1">
        <f t="shared" si="99"/>
        <v>69</v>
      </c>
      <c r="DJ41" s="1">
        <f t="shared" si="100"/>
        <v>8</v>
      </c>
      <c r="DK41" s="1">
        <f t="shared" si="101"/>
        <v>82</v>
      </c>
      <c r="DL41" s="1">
        <f t="shared" si="102"/>
        <v>69</v>
      </c>
      <c r="DM41" s="1">
        <f t="shared" si="103"/>
        <v>8</v>
      </c>
    </row>
    <row r="42" customHeight="1" spans="1:117">
      <c r="A42" s="152" t="str">
        <f t="shared" si="107"/>
        <v>MT DataCenter QVX-J88-J</v>
      </c>
      <c r="C42" s="55" t="str">
        <f t="shared" si="5"/>
        <v>S 22° 17.0' / E 105° 31.3'</v>
      </c>
      <c r="D42" s="150" t="str">
        <f t="shared" si="6"/>
        <v>1271 m</v>
      </c>
      <c r="E42" s="151">
        <f t="shared" si="7"/>
        <v>2041.6</v>
      </c>
      <c r="F42" s="151">
        <f t="shared" si="8"/>
        <v>1407.8</v>
      </c>
      <c r="G42" s="151">
        <f t="shared" si="9"/>
        <v>710.4</v>
      </c>
      <c r="H42" s="151">
        <f t="shared" si="10"/>
        <v>2376</v>
      </c>
      <c r="I42" s="151">
        <f t="shared" si="11"/>
        <v>1946.5</v>
      </c>
      <c r="J42" s="171">
        <f t="shared" si="12"/>
        <v>1536.6</v>
      </c>
      <c r="K42" s="172">
        <f t="shared" si="108"/>
        <v>-247.944541911</v>
      </c>
      <c r="L42" s="172">
        <f t="shared" si="109"/>
        <v>892.69862661</v>
      </c>
      <c r="M42" s="173">
        <f t="shared" si="110"/>
        <v>-379.677863927</v>
      </c>
      <c r="N42" s="54">
        <f t="shared" si="13"/>
        <v>0.0879350810891493</v>
      </c>
      <c r="O42" s="55" t="str">
        <f t="shared" si="14"/>
        <v>Morning / Sets in 109m</v>
      </c>
      <c r="P42" s="55" t="str">
        <f t="shared" si="15"/>
        <v>113°M / +20°</v>
      </c>
      <c r="Q42" s="56">
        <f t="shared" si="16"/>
        <v>45683.8652275646</v>
      </c>
      <c r="R42" s="56">
        <f t="shared" si="17"/>
        <v>45683.8709497867</v>
      </c>
      <c r="S42" s="56">
        <f t="shared" si="18"/>
        <v>45683.7432506648</v>
      </c>
      <c r="T42" s="56">
        <f t="shared" si="19"/>
        <v>45683.7872182053</v>
      </c>
      <c r="U42" s="180">
        <f t="shared" si="20"/>
        <v>45683.7929404274</v>
      </c>
      <c r="V42" s="55" t="str">
        <f t="shared" si="21"/>
        <v>Sets in 100m</v>
      </c>
      <c r="W42" s="55" t="str">
        <f t="shared" si="22"/>
        <v>110°M / +35°</v>
      </c>
      <c r="X42" s="56">
        <f t="shared" si="23"/>
        <v>45683.8638370787</v>
      </c>
      <c r="Y42" s="180">
        <f t="shared" si="24"/>
        <v>45683.7807638451</v>
      </c>
      <c r="Z42" s="55" t="str">
        <f t="shared" si="25"/>
        <v>021°M / -16°</v>
      </c>
      <c r="AA42" s="151">
        <f t="shared" si="26"/>
        <v>549.7</v>
      </c>
      <c r="AB42" s="150">
        <f t="shared" si="27"/>
        <v>556.1</v>
      </c>
      <c r="AC42" s="188">
        <v>33</v>
      </c>
      <c r="AD42" s="1" t="b">
        <f t="shared" si="28"/>
        <v>1</v>
      </c>
      <c r="AE42" s="1">
        <f t="shared" si="29"/>
        <v>-22.2838958405457</v>
      </c>
      <c r="AF42" s="1">
        <f t="shared" si="30"/>
        <v>105.522484382577</v>
      </c>
      <c r="AG42" s="1">
        <f t="shared" si="31"/>
        <v>105.522484382577</v>
      </c>
      <c r="AH42" s="2">
        <f t="shared" si="32"/>
        <v>1.27050000037718</v>
      </c>
      <c r="AI42" s="1">
        <f t="shared" si="33"/>
        <v>2.88665703221729</v>
      </c>
      <c r="AJ42" s="191">
        <f t="shared" ref="AJ42:AJ73" si="111">IF(ListMethodCode,_xlfn.IFNA(VLOOKUP(CONCATENATE(BodyName," ",IF(AC42&lt;10,"0",""),AC42),DatabaseOutpost,13,FALSE),""),_xlfn.IFNA(VLOOKUP(CONCATENATE(BodyName," ",IF(AC42&lt;10,"0",""),AC42),DatabaseTime,12,FALSE),""))</f>
        <v>0</v>
      </c>
      <c r="AK42" s="191">
        <f t="shared" ref="AK42:AK73" si="112">IF(ListMethodCode,_xlfn.IFNA(VLOOKUP(CONCATENATE(BodyName," ",IF(AC42&lt;10,"0",""),AC42),DatabaseOutpost,14,FALSE),""),_xlfn.IFNA(VLOOKUP(CONCATENATE(BodyName," ",IF(AC42&lt;10,"0",""),AC42),DatabaseTime,13,FALSE),""))</f>
        <v>0</v>
      </c>
      <c r="AL42" s="191">
        <f t="shared" si="34"/>
        <v>92.2037765838599</v>
      </c>
      <c r="AM42" s="20">
        <f t="shared" si="35"/>
        <v>66.4771238323257</v>
      </c>
      <c r="AN42" s="191">
        <f t="shared" si="36"/>
        <v>63.7591674272497</v>
      </c>
      <c r="AO42" s="134">
        <f t="shared" si="37"/>
        <v>77</v>
      </c>
      <c r="AP42" s="64">
        <f t="shared" si="38"/>
        <v>25</v>
      </c>
      <c r="AQ42" s="1">
        <f t="shared" si="104"/>
        <v>92.8940830555309</v>
      </c>
      <c r="AR42" s="20">
        <f t="shared" si="39"/>
        <v>52.2514597435501</v>
      </c>
      <c r="AS42" s="1">
        <f t="shared" si="40"/>
        <v>67.7157256982421</v>
      </c>
      <c r="AT42" s="134">
        <f t="shared" si="41"/>
        <v>74</v>
      </c>
      <c r="AU42" s="64">
        <f t="shared" si="42"/>
        <v>41</v>
      </c>
      <c r="AV42" s="65">
        <f t="shared" si="43"/>
        <v>45683.8638370787</v>
      </c>
      <c r="AW42" s="65">
        <f t="shared" si="44"/>
        <v>45683.7807638451</v>
      </c>
      <c r="AX42" s="1">
        <f t="shared" si="45"/>
        <v>345</v>
      </c>
      <c r="AY42" s="1">
        <f t="shared" si="46"/>
        <v>-16</v>
      </c>
      <c r="AZ42" s="131">
        <f t="shared" si="47"/>
        <v>549.7</v>
      </c>
      <c r="BA42" s="1">
        <f t="shared" si="48"/>
        <v>556.1</v>
      </c>
      <c r="BB42" s="1">
        <f t="shared" si="49"/>
        <v>42369274.7345187</v>
      </c>
      <c r="BC42" s="1">
        <f t="shared" si="50"/>
        <v>20</v>
      </c>
      <c r="BD42" s="1">
        <f t="shared" si="51"/>
        <v>57480282.7213536</v>
      </c>
      <c r="BE42" s="1">
        <f t="shared" si="52"/>
        <v>35</v>
      </c>
      <c r="BF42" s="20">
        <f t="shared" si="53"/>
        <v>85.4313569476844</v>
      </c>
      <c r="BG42" s="1">
        <f t="shared" si="54"/>
        <v>-923.548133782531</v>
      </c>
      <c r="BH42" s="1">
        <f t="shared" si="55"/>
        <v>73.7982276321102</v>
      </c>
      <c r="BI42" s="1">
        <f t="shared" si="56"/>
        <v>-379.677863927</v>
      </c>
      <c r="BJ42" s="1">
        <f t="shared" si="57"/>
        <v>-923.548133782531</v>
      </c>
      <c r="BK42" s="1">
        <f t="shared" si="58"/>
        <v>73.7982276321102</v>
      </c>
      <c r="BL42" s="1">
        <f t="shared" si="59"/>
        <v>-379.677863927</v>
      </c>
      <c r="BM42" s="61">
        <f t="shared" si="60"/>
        <v>22461161.7043508</v>
      </c>
      <c r="BN42" s="61">
        <f t="shared" si="61"/>
        <v>37185818.7630577</v>
      </c>
      <c r="BO42" s="61">
        <f t="shared" si="62"/>
        <v>-379.677863927</v>
      </c>
      <c r="BQ42" s="1" t="str">
        <f t="shared" si="63"/>
        <v>S 22° 17.0' / E 105° 31.3'</v>
      </c>
      <c r="BR42" s="1" t="str">
        <f t="shared" si="64"/>
        <v>48K 508434 1611213</v>
      </c>
      <c r="BS42" s="1" t="str">
        <f t="shared" si="65"/>
        <v>48K WB 084112</v>
      </c>
      <c r="BT42" s="1" t="b">
        <f t="shared" si="66"/>
        <v>0</v>
      </c>
      <c r="BU42" s="1" t="str">
        <f t="shared" si="67"/>
        <v>48K</v>
      </c>
      <c r="BV42" s="1">
        <f t="shared" si="68"/>
        <v>48</v>
      </c>
      <c r="BW42" s="1">
        <f t="shared" si="69"/>
        <v>0</v>
      </c>
      <c r="BX42" s="1">
        <f t="shared" si="70"/>
        <v>105</v>
      </c>
      <c r="BY42" s="1">
        <f t="shared" si="71"/>
        <v>8434.73507044518</v>
      </c>
      <c r="BZ42" s="1">
        <f t="shared" si="72"/>
        <v>508434.7351</v>
      </c>
      <c r="CA42" s="1" t="str">
        <f t="shared" si="73"/>
        <v>W</v>
      </c>
      <c r="CB42" s="1" t="str">
        <f t="shared" si="74"/>
        <v>508434</v>
      </c>
      <c r="CC42" s="1" t="str">
        <f t="shared" si="75"/>
        <v>08434</v>
      </c>
      <c r="CD42" s="1">
        <f t="shared" si="76"/>
        <v>-388786.365228069</v>
      </c>
      <c r="CE42" s="1">
        <f t="shared" si="77"/>
        <v>1611213.6348</v>
      </c>
      <c r="CF42" s="1" t="str">
        <f t="shared" si="78"/>
        <v>B</v>
      </c>
      <c r="CG42" s="1" t="str">
        <f t="shared" si="79"/>
        <v>1611213</v>
      </c>
      <c r="CH42" s="1" t="str">
        <f t="shared" si="80"/>
        <v>11213</v>
      </c>
      <c r="CJ42" s="1">
        <f t="shared" si="81"/>
        <v>572</v>
      </c>
      <c r="CK42" s="1" t="str">
        <f t="shared" si="82"/>
        <v>FR</v>
      </c>
      <c r="CL42" s="1">
        <f t="shared" si="83"/>
        <v>3</v>
      </c>
      <c r="CM42" s="1">
        <f t="shared" si="84"/>
        <v>1</v>
      </c>
      <c r="CN42" s="1">
        <f t="shared" si="85"/>
        <v>0</v>
      </c>
      <c r="CO42" s="1">
        <f t="shared" si="86"/>
        <v>2</v>
      </c>
      <c r="CP42" s="1" t="str">
        <f t="shared" si="87"/>
        <v>572FR31</v>
      </c>
      <c r="CR42" s="1" t="e">
        <f t="shared" si="88"/>
        <v>#VALUE!</v>
      </c>
      <c r="CS42" s="1" t="e">
        <f t="shared" si="89"/>
        <v>#VALUE!</v>
      </c>
      <c r="CT42" s="1">
        <f t="shared" si="90"/>
        <v>2</v>
      </c>
      <c r="CU42" s="1">
        <f t="shared" si="91"/>
        <v>6</v>
      </c>
      <c r="CV42" s="131" t="e">
        <f t="shared" si="92"/>
        <v>#VALUE!</v>
      </c>
      <c r="CW42" s="131">
        <v>1407.8</v>
      </c>
      <c r="CX42" s="131">
        <v>1536.6</v>
      </c>
      <c r="CY42" s="131">
        <v>1946.5</v>
      </c>
      <c r="CZ42" s="131">
        <v>2041.6</v>
      </c>
      <c r="DA42" s="131">
        <v>2376</v>
      </c>
      <c r="DC42" s="154">
        <f t="shared" si="93"/>
        <v>247.944541911</v>
      </c>
      <c r="DD42" s="154">
        <f t="shared" si="94"/>
        <v>-379.677863927</v>
      </c>
      <c r="DE42" s="154">
        <f t="shared" si="95"/>
        <v>892.69862661</v>
      </c>
      <c r="DF42" s="1">
        <f t="shared" si="96"/>
        <v>63.0706804999299</v>
      </c>
      <c r="DG42" s="1">
        <f t="shared" si="97"/>
        <v>-56.853887386421</v>
      </c>
      <c r="DH42" s="1">
        <f t="shared" si="98"/>
        <v>113</v>
      </c>
      <c r="DI42" s="1">
        <f t="shared" si="99"/>
        <v>110</v>
      </c>
      <c r="DJ42" s="1">
        <f t="shared" si="100"/>
        <v>21</v>
      </c>
      <c r="DK42" s="1">
        <f t="shared" si="101"/>
        <v>113</v>
      </c>
      <c r="DL42" s="1">
        <f t="shared" si="102"/>
        <v>110</v>
      </c>
      <c r="DM42" s="1">
        <f t="shared" si="103"/>
        <v>21</v>
      </c>
    </row>
    <row r="43" customHeight="1" spans="1:117">
      <c r="A43" s="152" t="str">
        <f t="shared" ref="A43:A74" si="113">IF(ListMethodCode,_xlfn.IFNA(VLOOKUP(CONCATENATE(BodyName," ",IF(AC43&lt;10,"0",""),AC43),DatabaseOutpost,3,FALSE),""),_xlfn.IFNA(VLOOKUP(CONCATENATE(BodyName," ",IF(AC43&lt;10,"0",""),AC43),DatabaseTime,2,FALSE),""))</f>
        <v>MT DataCenter TMG-XEV-2</v>
      </c>
      <c r="C43" s="55" t="str">
        <f t="shared" si="5"/>
        <v>N 80° 04.0' / E 158° 48.0'</v>
      </c>
      <c r="D43" s="150" t="str">
        <f t="shared" si="6"/>
        <v>1004 m</v>
      </c>
      <c r="E43" s="151">
        <f t="shared" si="7"/>
        <v>485.4</v>
      </c>
      <c r="F43" s="151">
        <f t="shared" si="8"/>
        <v>2431.7</v>
      </c>
      <c r="G43" s="151">
        <f t="shared" si="9"/>
        <v>1701.4</v>
      </c>
      <c r="H43" s="151">
        <f t="shared" si="10"/>
        <v>1803.9</v>
      </c>
      <c r="I43" s="151">
        <f t="shared" si="11"/>
        <v>1880.9</v>
      </c>
      <c r="J43" s="171">
        <f t="shared" si="12"/>
        <v>1615.8</v>
      </c>
      <c r="K43" s="172">
        <f t="shared" ref="K43:K74" si="114">IF(ListMethodCode,_xlfn.IFNA(VLOOKUP(CONCATENATE(BodyName," ",IF(AC43&lt;10,"0",""),AC43),DatabaseOutpost,5,FALSE),""),_xlfn.IFNA(VLOOKUP(CONCATENATE(BodyName," ",IF(AC43&lt;10,"0",""),AC43),DatabaseTime,4,FALSE),""))</f>
        <v>-160.991677441999</v>
      </c>
      <c r="L43" s="172">
        <f t="shared" ref="L43:L74" si="115">IF(ListMethodCode,_xlfn.IFNA(VLOOKUP(CONCATENATE(BodyName," ",IF(AC43&lt;10,"0",""),AC43),DatabaseOutpost,6,FALSE),""),_xlfn.IFNA(VLOOKUP(CONCATENATE(BodyName," ",IF(AC43&lt;10,"0",""),AC43),DatabaseTime,5,FALSE),""))</f>
        <v>62.4419799809999</v>
      </c>
      <c r="M43" s="173">
        <f t="shared" ref="M43:M74" si="116">IF(ListMethodCode,_xlfn.IFNA(VLOOKUP(CONCATENATE(BodyName," ",IF(AC43&lt;10,"0",""),AC43),DatabaseOutpost,7,FALSE),""),_xlfn.IFNA(VLOOKUP(CONCATENATE(BodyName," ",IF(AC43&lt;10,"0",""),AC43),DatabaseTime,6,FALSE),""))</f>
        <v>985.997622497</v>
      </c>
      <c r="N43" s="54">
        <f t="shared" si="13"/>
        <v>0.111362110034823</v>
      </c>
      <c r="O43" s="55" t="str">
        <f t="shared" si="14"/>
        <v>Morning / Sets in 89m</v>
      </c>
      <c r="P43" s="55" t="str">
        <f t="shared" si="15"/>
        <v>277°M / +14°</v>
      </c>
      <c r="Q43" s="56">
        <f t="shared" si="16"/>
        <v>45683.8281081887</v>
      </c>
      <c r="R43" s="56">
        <f t="shared" si="17"/>
        <v>45683.8338304108</v>
      </c>
      <c r="S43" s="56">
        <f t="shared" si="18"/>
        <v>45683.7178448033</v>
      </c>
      <c r="T43" s="56">
        <f t="shared" si="19"/>
        <v>45683.7735258584</v>
      </c>
      <c r="U43" s="180">
        <f t="shared" si="20"/>
        <v>45683.7792480804</v>
      </c>
      <c r="V43" s="55" t="str">
        <f t="shared" si="21"/>
        <v>Sets in 63m</v>
      </c>
      <c r="W43" s="55" t="str">
        <f t="shared" si="22"/>
        <v>292°M / +10°</v>
      </c>
      <c r="X43" s="56">
        <f t="shared" si="23"/>
        <v>45683.8385840507</v>
      </c>
      <c r="Y43" s="180">
        <f t="shared" si="24"/>
        <v>45683.7552051502</v>
      </c>
      <c r="Z43" s="55" t="str">
        <f t="shared" si="25"/>
        <v>354°M / -38°</v>
      </c>
      <c r="AA43" s="151">
        <f t="shared" si="26"/>
        <v>1243.8</v>
      </c>
      <c r="AB43" s="150">
        <f t="shared" si="27"/>
        <v>1340.5</v>
      </c>
      <c r="AC43" s="188">
        <v>34</v>
      </c>
      <c r="AD43" s="1" t="b">
        <f t="shared" si="28"/>
        <v>1</v>
      </c>
      <c r="AE43" s="1">
        <f t="shared" si="29"/>
        <v>80.0665747093773</v>
      </c>
      <c r="AF43" s="1">
        <f t="shared" si="30"/>
        <v>158.800797008978</v>
      </c>
      <c r="AG43" s="1">
        <f t="shared" si="31"/>
        <v>158.800797008978</v>
      </c>
      <c r="AH43" s="2">
        <f t="shared" si="32"/>
        <v>1.0038124998689</v>
      </c>
      <c r="AI43" s="1">
        <f t="shared" si="33"/>
        <v>2.56615191941224</v>
      </c>
      <c r="AJ43" s="191">
        <f t="shared" si="111"/>
        <v>0</v>
      </c>
      <c r="AK43" s="191">
        <f t="shared" si="112"/>
        <v>0</v>
      </c>
      <c r="AL43" s="191">
        <f t="shared" si="34"/>
        <v>116.768040540592</v>
      </c>
      <c r="AM43" s="20">
        <f t="shared" si="35"/>
        <v>13.1988112059241</v>
      </c>
      <c r="AN43" s="191">
        <f t="shared" si="36"/>
        <v>13.888449289411</v>
      </c>
      <c r="AO43" s="134">
        <f t="shared" si="37"/>
        <v>166</v>
      </c>
      <c r="AP43" s="64">
        <f t="shared" si="38"/>
        <v>14</v>
      </c>
      <c r="AQ43" s="1">
        <f t="shared" si="104"/>
        <v>92.5735779427258</v>
      </c>
      <c r="AR43" s="20">
        <f t="shared" si="39"/>
        <v>-1.02685288285153</v>
      </c>
      <c r="AS43" s="1">
        <f t="shared" si="40"/>
        <v>9.93244246462284</v>
      </c>
      <c r="AT43" s="134">
        <f t="shared" si="41"/>
        <v>181</v>
      </c>
      <c r="AU43" s="64">
        <f t="shared" si="42"/>
        <v>10</v>
      </c>
      <c r="AV43" s="65">
        <f t="shared" si="43"/>
        <v>45683.8385840507</v>
      </c>
      <c r="AW43" s="65">
        <f t="shared" si="44"/>
        <v>45683.7552051502</v>
      </c>
      <c r="AX43" s="1">
        <f t="shared" si="45"/>
        <v>243</v>
      </c>
      <c r="AY43" s="1">
        <f t="shared" si="46"/>
        <v>-38</v>
      </c>
      <c r="AZ43" s="131">
        <f t="shared" si="47"/>
        <v>1243.8</v>
      </c>
      <c r="BA43" s="1">
        <f t="shared" si="48"/>
        <v>1340.5</v>
      </c>
      <c r="BB43" s="1">
        <f t="shared" si="49"/>
        <v>42369381.6897347</v>
      </c>
      <c r="BC43" s="1">
        <f t="shared" si="50"/>
        <v>14</v>
      </c>
      <c r="BD43" s="1">
        <f t="shared" si="51"/>
        <v>57480677.2704097</v>
      </c>
      <c r="BE43" s="1">
        <f t="shared" si="52"/>
        <v>10</v>
      </c>
      <c r="BF43" s="20">
        <f t="shared" si="53"/>
        <v>138.709669574086</v>
      </c>
      <c r="BG43" s="1">
        <f t="shared" si="54"/>
        <v>-113.945164799807</v>
      </c>
      <c r="BH43" s="1">
        <f t="shared" si="55"/>
        <v>-129.745213739394</v>
      </c>
      <c r="BI43" s="1">
        <f t="shared" si="56"/>
        <v>985.997622497</v>
      </c>
      <c r="BJ43" s="1">
        <f t="shared" si="57"/>
        <v>-113.945164799807</v>
      </c>
      <c r="BK43" s="1">
        <f t="shared" si="58"/>
        <v>-129.745213739394</v>
      </c>
      <c r="BL43" s="1">
        <f t="shared" si="59"/>
        <v>985.997622497</v>
      </c>
      <c r="BM43" s="61">
        <f t="shared" si="60"/>
        <v>22461971.3073198</v>
      </c>
      <c r="BN43" s="61">
        <f t="shared" si="61"/>
        <v>37185615.2196164</v>
      </c>
      <c r="BO43" s="61">
        <f t="shared" si="62"/>
        <v>985.997622497</v>
      </c>
      <c r="BQ43" s="1" t="str">
        <f t="shared" si="63"/>
        <v>N 80° 04.0' / E 158° 48.0'</v>
      </c>
      <c r="BR43" s="1" t="str">
        <f t="shared" si="64"/>
        <v>Z 262473 361072</v>
      </c>
      <c r="BS43" s="1" t="str">
        <f t="shared" si="65"/>
        <v>Z AJ 624610</v>
      </c>
      <c r="BT43" s="1" t="b">
        <f t="shared" si="66"/>
        <v>1</v>
      </c>
      <c r="BU43" s="1" t="str">
        <f t="shared" si="67"/>
        <v>Z</v>
      </c>
      <c r="BV43" s="1">
        <f t="shared" si="68"/>
        <v>57</v>
      </c>
      <c r="BW43" s="1">
        <f t="shared" si="69"/>
        <v>90</v>
      </c>
      <c r="BX43" s="1">
        <f t="shared" si="70"/>
        <v>0</v>
      </c>
      <c r="BY43" s="1">
        <f t="shared" si="71"/>
        <v>62473.3601173385</v>
      </c>
      <c r="BZ43" s="1">
        <f t="shared" si="72"/>
        <v>262473.3601</v>
      </c>
      <c r="CA43" s="1" t="str">
        <f t="shared" si="73"/>
        <v>A</v>
      </c>
      <c r="CB43" s="1" t="str">
        <f t="shared" si="74"/>
        <v>262473</v>
      </c>
      <c r="CC43" s="1" t="str">
        <f t="shared" si="75"/>
        <v>62473</v>
      </c>
      <c r="CD43" s="1">
        <f t="shared" si="76"/>
        <v>161072.58360143</v>
      </c>
      <c r="CE43" s="1">
        <f t="shared" si="77"/>
        <v>361072.5836</v>
      </c>
      <c r="CF43" s="1" t="str">
        <f t="shared" si="78"/>
        <v>J</v>
      </c>
      <c r="CG43" s="1" t="str">
        <f t="shared" si="79"/>
        <v>361072</v>
      </c>
      <c r="CH43" s="1" t="str">
        <f t="shared" si="80"/>
        <v>61072</v>
      </c>
      <c r="CJ43" s="1">
        <f t="shared" si="81"/>
        <v>678</v>
      </c>
      <c r="CK43" s="1" t="str">
        <f t="shared" si="82"/>
        <v>QE</v>
      </c>
      <c r="CL43" s="1">
        <f t="shared" si="83"/>
        <v>4</v>
      </c>
      <c r="CM43" s="1">
        <f t="shared" si="84"/>
        <v>7</v>
      </c>
      <c r="CN43" s="1">
        <f t="shared" si="85"/>
        <v>0</v>
      </c>
      <c r="CO43" s="1">
        <f t="shared" si="86"/>
        <v>0</v>
      </c>
      <c r="CP43" s="1" t="str">
        <f t="shared" si="87"/>
        <v>678QE47</v>
      </c>
      <c r="CR43" s="1" t="e">
        <f t="shared" si="88"/>
        <v>#VALUE!</v>
      </c>
      <c r="CS43" s="1" t="e">
        <f t="shared" si="89"/>
        <v>#VALUE!</v>
      </c>
      <c r="CT43" s="1">
        <f t="shared" si="90"/>
        <v>6</v>
      </c>
      <c r="CU43" s="1">
        <f t="shared" si="91"/>
        <v>3</v>
      </c>
      <c r="CV43" s="131" t="e">
        <f t="shared" si="92"/>
        <v>#VALUE!</v>
      </c>
      <c r="CW43" s="131">
        <v>1615.8</v>
      </c>
      <c r="CX43" s="131">
        <v>1701.4</v>
      </c>
      <c r="CY43" s="131">
        <v>1803.9</v>
      </c>
      <c r="CZ43" s="131">
        <v>1880.9</v>
      </c>
      <c r="DA43" s="131">
        <v>2431.7</v>
      </c>
      <c r="DC43" s="154">
        <f t="shared" si="93"/>
        <v>160.991677441999</v>
      </c>
      <c r="DD43" s="154">
        <f t="shared" si="94"/>
        <v>985.997622497</v>
      </c>
      <c r="DE43" s="154">
        <f t="shared" si="95"/>
        <v>62.4419799809999</v>
      </c>
      <c r="DF43" s="1">
        <f t="shared" si="96"/>
        <v>3.57639618239051</v>
      </c>
      <c r="DG43" s="1">
        <f t="shared" si="97"/>
        <v>80.7266921998388</v>
      </c>
      <c r="DH43" s="1">
        <f t="shared" si="98"/>
        <v>277</v>
      </c>
      <c r="DI43" s="1">
        <f t="shared" si="99"/>
        <v>292</v>
      </c>
      <c r="DJ43" s="1">
        <f t="shared" si="100"/>
        <v>354</v>
      </c>
      <c r="DK43" s="1">
        <f t="shared" si="101"/>
        <v>277</v>
      </c>
      <c r="DL43" s="1">
        <f t="shared" si="102"/>
        <v>292</v>
      </c>
      <c r="DM43" s="1">
        <f t="shared" si="103"/>
        <v>354</v>
      </c>
    </row>
    <row r="44" customHeight="1" spans="1:117">
      <c r="A44" s="152" t="str">
        <f t="shared" si="113"/>
        <v>MT OpCenter LTI-4</v>
      </c>
      <c r="C44" s="55" t="str">
        <f t="shared" si="5"/>
        <v>S 84° 37.2' / E 043° 14.1'</v>
      </c>
      <c r="D44" s="150" t="str">
        <f t="shared" si="6"/>
        <v>898 m</v>
      </c>
      <c r="E44" s="151">
        <f t="shared" si="7"/>
        <v>2437.9</v>
      </c>
      <c r="F44" s="151">
        <f t="shared" si="8"/>
        <v>452.9</v>
      </c>
      <c r="G44" s="151">
        <f t="shared" si="9"/>
        <v>1699.8</v>
      </c>
      <c r="H44" s="151">
        <f t="shared" si="10"/>
        <v>1805.3</v>
      </c>
      <c r="I44" s="151">
        <f t="shared" si="11"/>
        <v>1696.3</v>
      </c>
      <c r="J44" s="171">
        <f t="shared" si="12"/>
        <v>1808.6</v>
      </c>
      <c r="K44" s="172">
        <f t="shared" si="114"/>
        <v>68.3643821809999</v>
      </c>
      <c r="L44" s="172">
        <f t="shared" si="115"/>
        <v>64.2762099499999</v>
      </c>
      <c r="M44" s="173">
        <f t="shared" si="116"/>
        <v>-996.489556525</v>
      </c>
      <c r="N44" s="54">
        <f t="shared" si="13"/>
        <v>0.0439723011460351</v>
      </c>
      <c r="O44" s="55" t="str">
        <f t="shared" si="14"/>
        <v>After midnight / Rises in 57m</v>
      </c>
      <c r="P44" s="55" t="str">
        <f t="shared" si="15"/>
        <v>081°M / -07°</v>
      </c>
      <c r="Q44" s="56">
        <f t="shared" si="16"/>
        <v>45683.7452443743</v>
      </c>
      <c r="R44" s="56">
        <f t="shared" si="17"/>
        <v>45683.7509665964</v>
      </c>
      <c r="S44" s="56">
        <f t="shared" si="18"/>
        <v>45683.7729527469</v>
      </c>
      <c r="T44" s="56">
        <f t="shared" si="19"/>
        <v>45683.7949388975</v>
      </c>
      <c r="U44" s="180">
        <f t="shared" si="20"/>
        <v>45683.8006611196</v>
      </c>
      <c r="V44" s="55" t="str">
        <f t="shared" si="21"/>
        <v>Obstructed / Rises in 15m</v>
      </c>
      <c r="W44" s="55" t="str">
        <f t="shared" si="22"/>
        <v>068°M / -02°</v>
      </c>
      <c r="X44" s="56">
        <f t="shared" si="23"/>
        <v>45683.722091651</v>
      </c>
      <c r="Y44" s="180">
        <f t="shared" si="24"/>
        <v>45683.8102467746</v>
      </c>
      <c r="Z44" s="55" t="str">
        <f t="shared" si="25"/>
        <v>007°M / -48°</v>
      </c>
      <c r="AA44" s="151">
        <f t="shared" si="26"/>
        <v>1480.9</v>
      </c>
      <c r="AB44" s="150">
        <f t="shared" si="27"/>
        <v>1664.9</v>
      </c>
      <c r="AC44" s="188">
        <v>35</v>
      </c>
      <c r="AD44" s="1" t="b">
        <f t="shared" si="28"/>
        <v>1</v>
      </c>
      <c r="AE44" s="1">
        <f t="shared" si="29"/>
        <v>-84.6205390923854</v>
      </c>
      <c r="AF44" s="1">
        <f t="shared" si="30"/>
        <v>43.2346212277773</v>
      </c>
      <c r="AG44" s="1">
        <f t="shared" si="31"/>
        <v>43.2346212277773</v>
      </c>
      <c r="AH44" s="2">
        <f t="shared" si="32"/>
        <v>0.89787500020077</v>
      </c>
      <c r="AI44" s="1">
        <f t="shared" si="33"/>
        <v>2.42707478168341</v>
      </c>
      <c r="AJ44" s="191">
        <f t="shared" si="111"/>
        <v>0</v>
      </c>
      <c r="AK44" s="191">
        <f t="shared" si="112"/>
        <v>0</v>
      </c>
      <c r="AL44" s="191">
        <f t="shared" si="34"/>
        <v>46.1068799906698</v>
      </c>
      <c r="AM44" s="20">
        <f t="shared" si="35"/>
        <v>128.764986987125</v>
      </c>
      <c r="AN44" s="191">
        <f t="shared" si="36"/>
        <v>1.42176975865588</v>
      </c>
      <c r="AO44" s="134">
        <f t="shared" si="37"/>
        <v>128</v>
      </c>
      <c r="AP44" s="64">
        <f t="shared" si="38"/>
        <v>-1</v>
      </c>
      <c r="AQ44" s="1">
        <f t="shared" si="104"/>
        <v>92.434500804997</v>
      </c>
      <c r="AR44" s="20">
        <f t="shared" si="39"/>
        <v>114.53932289835</v>
      </c>
      <c r="AS44" s="1">
        <f t="shared" si="40"/>
        <v>5.37846762489536</v>
      </c>
      <c r="AT44" s="134">
        <f t="shared" si="41"/>
        <v>114</v>
      </c>
      <c r="AU44" s="64">
        <f t="shared" si="42"/>
        <v>-2</v>
      </c>
      <c r="AV44" s="65">
        <f t="shared" si="43"/>
        <v>45683.722091651</v>
      </c>
      <c r="AW44" s="65">
        <f t="shared" si="44"/>
        <v>45683.8102467746</v>
      </c>
      <c r="AX44" s="1">
        <f t="shared" si="45"/>
        <v>54</v>
      </c>
      <c r="AY44" s="1">
        <f t="shared" si="46"/>
        <v>-48</v>
      </c>
      <c r="AZ44" s="131">
        <f t="shared" si="47"/>
        <v>1480.9</v>
      </c>
      <c r="BA44" s="1">
        <f t="shared" si="48"/>
        <v>1664.9</v>
      </c>
      <c r="BB44" s="1">
        <f t="shared" si="49"/>
        <v>42369744.8022379</v>
      </c>
      <c r="BC44" s="1">
        <f t="shared" si="50"/>
        <v>-7</v>
      </c>
      <c r="BD44" s="1">
        <f t="shared" si="51"/>
        <v>57480888.8914323</v>
      </c>
      <c r="BE44" s="1">
        <f t="shared" si="52"/>
        <v>-2</v>
      </c>
      <c r="BF44" s="20">
        <f t="shared" si="53"/>
        <v>23.1434937928849</v>
      </c>
      <c r="BG44" s="1">
        <f t="shared" si="54"/>
        <v>-36.8806986062927</v>
      </c>
      <c r="BH44" s="1">
        <f t="shared" si="55"/>
        <v>86.2840308912263</v>
      </c>
      <c r="BI44" s="1">
        <f t="shared" si="56"/>
        <v>-996.489556525</v>
      </c>
      <c r="BJ44" s="1">
        <f t="shared" si="57"/>
        <v>-36.8806986062927</v>
      </c>
      <c r="BK44" s="1">
        <f t="shared" si="58"/>
        <v>86.2840308912263</v>
      </c>
      <c r="BL44" s="1">
        <f t="shared" si="59"/>
        <v>-996.489556525</v>
      </c>
      <c r="BM44" s="61">
        <f t="shared" si="60"/>
        <v>22462048.371786</v>
      </c>
      <c r="BN44" s="61">
        <f t="shared" si="61"/>
        <v>37185831.248861</v>
      </c>
      <c r="BO44" s="61">
        <f t="shared" si="62"/>
        <v>-996.489556525</v>
      </c>
      <c r="BQ44" s="1" t="str">
        <f t="shared" si="63"/>
        <v>S 84° 37.2' / E 043° 14.1'</v>
      </c>
      <c r="BR44" s="1" t="str">
        <f t="shared" si="64"/>
        <v>B 263974 268043</v>
      </c>
      <c r="BS44" s="1" t="str">
        <f t="shared" si="65"/>
        <v>B AN 639680</v>
      </c>
      <c r="BT44" s="1" t="b">
        <f t="shared" si="66"/>
        <v>1</v>
      </c>
      <c r="BU44" s="1" t="str">
        <f t="shared" si="67"/>
        <v>B</v>
      </c>
      <c r="BV44" s="1">
        <f t="shared" si="68"/>
        <v>38</v>
      </c>
      <c r="BW44" s="1">
        <f t="shared" si="69"/>
        <v>-90</v>
      </c>
      <c r="BX44" s="1">
        <f t="shared" si="70"/>
        <v>0</v>
      </c>
      <c r="BY44" s="1">
        <f t="shared" si="71"/>
        <v>63974.1210762634</v>
      </c>
      <c r="BZ44" s="1">
        <f t="shared" si="72"/>
        <v>263974.1211</v>
      </c>
      <c r="CA44" s="1" t="str">
        <f t="shared" si="73"/>
        <v>A</v>
      </c>
      <c r="CB44" s="1" t="str">
        <f t="shared" si="74"/>
        <v>263974</v>
      </c>
      <c r="CC44" s="1" t="str">
        <f t="shared" si="75"/>
        <v>63974</v>
      </c>
      <c r="CD44" s="1">
        <f t="shared" si="76"/>
        <v>68043.0794901159</v>
      </c>
      <c r="CE44" s="1">
        <f t="shared" si="77"/>
        <v>268043.0795</v>
      </c>
      <c r="CF44" s="1" t="str">
        <f t="shared" si="78"/>
        <v>N</v>
      </c>
      <c r="CG44" s="1" t="str">
        <f t="shared" si="79"/>
        <v>268043</v>
      </c>
      <c r="CH44" s="1" t="str">
        <f t="shared" si="80"/>
        <v>68043</v>
      </c>
      <c r="CJ44" s="1">
        <f t="shared" si="81"/>
        <v>447</v>
      </c>
      <c r="CK44" s="1" t="str">
        <f t="shared" si="82"/>
        <v>AL</v>
      </c>
      <c r="CL44" s="1">
        <f t="shared" si="83"/>
        <v>1</v>
      </c>
      <c r="CM44" s="1">
        <f t="shared" si="84"/>
        <v>6</v>
      </c>
      <c r="CN44" s="1">
        <f t="shared" si="85"/>
        <v>2</v>
      </c>
      <c r="CO44" s="1">
        <f t="shared" si="86"/>
        <v>1</v>
      </c>
      <c r="CP44" s="1" t="str">
        <f t="shared" si="87"/>
        <v>447AL16</v>
      </c>
      <c r="CR44" s="1" t="e">
        <f t="shared" si="88"/>
        <v>#VALUE!</v>
      </c>
      <c r="CS44" s="1" t="e">
        <f t="shared" si="89"/>
        <v>#VALUE!</v>
      </c>
      <c r="CT44" s="1">
        <f t="shared" si="90"/>
        <v>5</v>
      </c>
      <c r="CU44" s="1">
        <f t="shared" si="91"/>
        <v>3</v>
      </c>
      <c r="CV44" s="131" t="e">
        <f t="shared" si="92"/>
        <v>#VALUE!</v>
      </c>
      <c r="CW44" s="131">
        <v>1696.3</v>
      </c>
      <c r="CX44" s="131">
        <v>1699.8</v>
      </c>
      <c r="CY44" s="131">
        <v>1805.3</v>
      </c>
      <c r="CZ44" s="131">
        <v>1808.6</v>
      </c>
      <c r="DA44" s="131">
        <v>2437.9</v>
      </c>
      <c r="DC44" s="154">
        <f t="shared" si="93"/>
        <v>-68.3643821809999</v>
      </c>
      <c r="DD44" s="154">
        <f t="shared" si="94"/>
        <v>-996.489556525</v>
      </c>
      <c r="DE44" s="154">
        <f t="shared" si="95"/>
        <v>64.2762099499999</v>
      </c>
      <c r="DF44" s="1">
        <f t="shared" si="96"/>
        <v>3.68198559381337</v>
      </c>
      <c r="DG44" s="1">
        <f t="shared" si="97"/>
        <v>-93.9246397554502</v>
      </c>
      <c r="DH44" s="1">
        <f t="shared" si="98"/>
        <v>81</v>
      </c>
      <c r="DI44" s="1">
        <f t="shared" si="99"/>
        <v>68</v>
      </c>
      <c r="DJ44" s="1">
        <f t="shared" si="100"/>
        <v>7</v>
      </c>
      <c r="DK44" s="1">
        <f t="shared" si="101"/>
        <v>81</v>
      </c>
      <c r="DL44" s="1">
        <f t="shared" si="102"/>
        <v>68</v>
      </c>
      <c r="DM44" s="1">
        <f t="shared" si="103"/>
        <v>7</v>
      </c>
    </row>
    <row r="45" customHeight="1" spans="1:117">
      <c r="A45" s="152" t="str">
        <f t="shared" si="113"/>
        <v/>
      </c>
      <c r="C45" s="55" t="str">
        <f t="shared" si="5"/>
        <v/>
      </c>
      <c r="D45" s="150" t="str">
        <f t="shared" si="6"/>
        <v/>
      </c>
      <c r="E45" s="151" t="str">
        <f t="shared" si="7"/>
        <v/>
      </c>
      <c r="F45" s="151" t="str">
        <f t="shared" si="8"/>
        <v/>
      </c>
      <c r="G45" s="151" t="str">
        <f t="shared" si="9"/>
        <v/>
      </c>
      <c r="H45" s="151" t="str">
        <f t="shared" si="10"/>
        <v/>
      </c>
      <c r="I45" s="151" t="str">
        <f t="shared" si="11"/>
        <v/>
      </c>
      <c r="J45" s="171" t="str">
        <f t="shared" si="12"/>
        <v/>
      </c>
      <c r="K45" s="172" t="str">
        <f t="shared" si="114"/>
        <v/>
      </c>
      <c r="L45" s="172" t="str">
        <f t="shared" si="115"/>
        <v/>
      </c>
      <c r="M45" s="173" t="str">
        <f t="shared" si="116"/>
        <v/>
      </c>
      <c r="N45" s="54" t="str">
        <f t="shared" si="13"/>
        <v/>
      </c>
      <c r="O45" s="55" t="str">
        <f t="shared" si="14"/>
        <v/>
      </c>
      <c r="P45" s="55" t="str">
        <f t="shared" si="15"/>
        <v/>
      </c>
      <c r="Q45" s="56" t="str">
        <f t="shared" si="16"/>
        <v/>
      </c>
      <c r="R45" s="56" t="str">
        <f t="shared" si="17"/>
        <v/>
      </c>
      <c r="S45" s="56" t="str">
        <f t="shared" si="18"/>
        <v/>
      </c>
      <c r="T45" s="56" t="str">
        <f t="shared" si="19"/>
        <v/>
      </c>
      <c r="U45" s="180" t="str">
        <f t="shared" si="20"/>
        <v/>
      </c>
      <c r="V45" s="55" t="str">
        <f t="shared" si="21"/>
        <v/>
      </c>
      <c r="W45" s="55" t="str">
        <f t="shared" si="22"/>
        <v/>
      </c>
      <c r="X45" s="56" t="str">
        <f t="shared" si="23"/>
        <v/>
      </c>
      <c r="Y45" s="180" t="str">
        <f t="shared" si="24"/>
        <v/>
      </c>
      <c r="Z45" s="55" t="str">
        <f t="shared" si="25"/>
        <v/>
      </c>
      <c r="AA45" s="55" t="str">
        <f t="shared" si="26"/>
        <v/>
      </c>
      <c r="AB45" s="150" t="str">
        <f t="shared" si="27"/>
        <v/>
      </c>
      <c r="AC45" s="188">
        <v>36</v>
      </c>
      <c r="AD45" s="1" t="b">
        <f t="shared" si="28"/>
        <v>0</v>
      </c>
      <c r="AE45" s="1" t="str">
        <f t="shared" si="29"/>
        <v/>
      </c>
      <c r="AF45" s="1" t="str">
        <f t="shared" si="30"/>
        <v/>
      </c>
      <c r="AG45" s="1" t="str">
        <f t="shared" si="31"/>
        <v/>
      </c>
      <c r="AH45" s="1" t="str">
        <f t="shared" si="32"/>
        <v/>
      </c>
      <c r="AI45" s="1" t="str">
        <f t="shared" si="33"/>
        <v/>
      </c>
      <c r="AJ45" s="191" t="str">
        <f t="shared" si="111"/>
        <v/>
      </c>
      <c r="AK45" s="191" t="str">
        <f t="shared" si="112"/>
        <v/>
      </c>
      <c r="AL45" s="191" t="str">
        <f t="shared" si="34"/>
        <v/>
      </c>
      <c r="AM45" s="1" t="str">
        <f t="shared" si="35"/>
        <v/>
      </c>
      <c r="AN45" s="191" t="str">
        <f t="shared" si="36"/>
        <v/>
      </c>
      <c r="AO45" s="134" t="str">
        <f t="shared" si="37"/>
        <v/>
      </c>
      <c r="AP45" s="64" t="str">
        <f t="shared" si="38"/>
        <v/>
      </c>
      <c r="AQ45" s="1" t="str">
        <f t="shared" si="104"/>
        <v/>
      </c>
      <c r="AR45" s="1" t="str">
        <f t="shared" si="39"/>
        <v/>
      </c>
      <c r="AS45" s="1" t="str">
        <f t="shared" si="40"/>
        <v/>
      </c>
      <c r="AT45" s="134" t="str">
        <f t="shared" si="41"/>
        <v/>
      </c>
      <c r="AU45" s="64" t="str">
        <f t="shared" si="42"/>
        <v/>
      </c>
      <c r="AV45" s="65" t="str">
        <f t="shared" si="43"/>
        <v/>
      </c>
      <c r="AW45" s="65" t="str">
        <f t="shared" si="44"/>
        <v/>
      </c>
      <c r="AX45" s="1" t="str">
        <f t="shared" si="45"/>
        <v/>
      </c>
      <c r="AY45" s="1" t="str">
        <f t="shared" si="46"/>
        <v/>
      </c>
      <c r="AZ45" s="131" t="str">
        <f t="shared" si="47"/>
        <v/>
      </c>
      <c r="BA45" s="1" t="str">
        <f t="shared" si="48"/>
        <v/>
      </c>
      <c r="BB45" s="1" t="str">
        <f t="shared" si="49"/>
        <v/>
      </c>
      <c r="BC45" s="1" t="str">
        <f t="shared" si="50"/>
        <v/>
      </c>
      <c r="BD45" s="1" t="str">
        <f t="shared" si="51"/>
        <v/>
      </c>
      <c r="BE45" s="1" t="str">
        <f t="shared" si="52"/>
        <v/>
      </c>
      <c r="BF45" s="1" t="str">
        <f t="shared" si="53"/>
        <v/>
      </c>
      <c r="BG45" s="1" t="str">
        <f t="shared" si="54"/>
        <v/>
      </c>
      <c r="BH45" s="1" t="str">
        <f t="shared" si="55"/>
        <v/>
      </c>
      <c r="BI45" s="1" t="str">
        <f t="shared" si="56"/>
        <v/>
      </c>
      <c r="BJ45" s="1" t="str">
        <f t="shared" si="57"/>
        <v/>
      </c>
      <c r="BK45" s="1" t="str">
        <f t="shared" si="58"/>
        <v/>
      </c>
      <c r="BL45" s="1" t="str">
        <f t="shared" si="59"/>
        <v/>
      </c>
      <c r="BM45" s="1" t="str">
        <f t="shared" si="60"/>
        <v/>
      </c>
      <c r="BN45" s="1" t="str">
        <f t="shared" si="61"/>
        <v/>
      </c>
      <c r="BO45" s="1" t="str">
        <f t="shared" si="62"/>
        <v/>
      </c>
      <c r="BQ45" s="1" t="str">
        <f t="shared" si="63"/>
        <v/>
      </c>
      <c r="BR45" s="1" t="str">
        <f t="shared" si="64"/>
        <v/>
      </c>
      <c r="BS45" s="1" t="str">
        <f t="shared" si="65"/>
        <v/>
      </c>
      <c r="BT45" s="1" t="str">
        <f t="shared" si="66"/>
        <v/>
      </c>
      <c r="BU45" s="1" t="str">
        <f t="shared" si="67"/>
        <v/>
      </c>
      <c r="BV45" s="1" t="str">
        <f t="shared" si="68"/>
        <v/>
      </c>
      <c r="BW45" s="1" t="str">
        <f t="shared" si="69"/>
        <v/>
      </c>
      <c r="BX45" s="1" t="str">
        <f t="shared" si="70"/>
        <v/>
      </c>
      <c r="BY45" s="1" t="str">
        <f t="shared" si="71"/>
        <v/>
      </c>
      <c r="BZ45" s="1" t="str">
        <f t="shared" si="72"/>
        <v/>
      </c>
      <c r="CA45" s="1" t="str">
        <f t="shared" si="73"/>
        <v/>
      </c>
      <c r="CB45" s="1" t="str">
        <f t="shared" si="74"/>
        <v/>
      </c>
      <c r="CC45" s="1" t="str">
        <f t="shared" si="75"/>
        <v/>
      </c>
      <c r="CD45" s="1" t="str">
        <f t="shared" si="76"/>
        <v/>
      </c>
      <c r="CE45" s="1" t="str">
        <f t="shared" si="77"/>
        <v/>
      </c>
      <c r="CF45" s="1" t="str">
        <f t="shared" si="78"/>
        <v/>
      </c>
      <c r="CG45" s="1" t="str">
        <f t="shared" si="79"/>
        <v/>
      </c>
      <c r="CH45" s="1" t="str">
        <f t="shared" si="80"/>
        <v/>
      </c>
      <c r="CJ45" s="1" t="str">
        <f t="shared" si="81"/>
        <v/>
      </c>
      <c r="CK45" s="1" t="str">
        <f t="shared" si="82"/>
        <v/>
      </c>
      <c r="CL45" s="1" t="str">
        <f t="shared" si="83"/>
        <v/>
      </c>
      <c r="CM45" s="1" t="str">
        <f t="shared" si="84"/>
        <v/>
      </c>
      <c r="CN45" s="1" t="str">
        <f t="shared" si="85"/>
        <v/>
      </c>
      <c r="CO45" s="1" t="str">
        <f t="shared" si="86"/>
        <v/>
      </c>
      <c r="CP45" s="1" t="str">
        <f t="shared" si="87"/>
        <v/>
      </c>
      <c r="CR45" s="1" t="str">
        <f t="shared" si="88"/>
        <v/>
      </c>
      <c r="CS45" s="1" t="str">
        <f t="shared" si="89"/>
        <v/>
      </c>
      <c r="CT45" s="1" t="str">
        <f t="shared" si="90"/>
        <v/>
      </c>
      <c r="CU45" s="1" t="str">
        <f t="shared" si="91"/>
        <v/>
      </c>
      <c r="CV45" s="1" t="str">
        <f t="shared" si="92"/>
        <v/>
      </c>
      <c r="DC45" s="154" t="e">
        <f t="shared" si="93"/>
        <v>#VALUE!</v>
      </c>
      <c r="DD45" s="154" t="str">
        <f t="shared" si="94"/>
        <v/>
      </c>
      <c r="DE45" s="154" t="str">
        <f t="shared" si="95"/>
        <v/>
      </c>
      <c r="DF45" s="1" t="str">
        <f t="shared" si="96"/>
        <v/>
      </c>
      <c r="DG45" s="1" t="str">
        <f t="shared" si="97"/>
        <v/>
      </c>
      <c r="DH45" s="1" t="str">
        <f t="shared" si="98"/>
        <v/>
      </c>
      <c r="DI45" s="1" t="str">
        <f t="shared" si="99"/>
        <v/>
      </c>
      <c r="DJ45" s="1" t="str">
        <f t="shared" si="100"/>
        <v/>
      </c>
      <c r="DK45" s="1" t="str">
        <f t="shared" si="101"/>
        <v/>
      </c>
      <c r="DL45" s="1" t="str">
        <f t="shared" si="102"/>
        <v/>
      </c>
      <c r="DM45" s="1" t="str">
        <f t="shared" si="103"/>
        <v/>
      </c>
    </row>
    <row r="46" customHeight="1" spans="1:117">
      <c r="A46" s="152" t="str">
        <f t="shared" si="113"/>
        <v>Emergency Shelters</v>
      </c>
      <c r="C46" s="55" t="e">
        <f t="shared" si="5"/>
        <v>#DIV/0!</v>
      </c>
      <c r="D46" s="150" t="str">
        <f t="shared" si="6"/>
        <v>-1000000 m</v>
      </c>
      <c r="E46" s="151">
        <f t="shared" si="7"/>
        <v>1439.6</v>
      </c>
      <c r="F46" s="151">
        <f t="shared" si="8"/>
        <v>1439.6</v>
      </c>
      <c r="G46" s="151">
        <f t="shared" si="9"/>
        <v>1439.6</v>
      </c>
      <c r="H46" s="151">
        <f t="shared" si="10"/>
        <v>1439.6</v>
      </c>
      <c r="I46" s="151">
        <f t="shared" si="11"/>
        <v>1439.6</v>
      </c>
      <c r="J46" s="171">
        <f t="shared" si="12"/>
        <v>1439.6</v>
      </c>
      <c r="K46" s="172">
        <f t="shared" si="114"/>
        <v>0</v>
      </c>
      <c r="L46" s="172">
        <f t="shared" si="115"/>
        <v>0</v>
      </c>
      <c r="M46" s="173">
        <f t="shared" si="116"/>
        <v>0</v>
      </c>
      <c r="N46" s="54" t="str">
        <f t="shared" si="13"/>
        <v>Continuous</v>
      </c>
      <c r="O46" s="55" t="e">
        <f t="shared" si="14"/>
        <v>#DIV/0!</v>
      </c>
      <c r="P46" s="55" t="e">
        <f t="shared" si="15"/>
        <v>#DIV/0!</v>
      </c>
      <c r="Q46" s="56" t="str">
        <f t="shared" si="16"/>
        <v/>
      </c>
      <c r="R46" s="56" t="str">
        <f t="shared" si="17"/>
        <v/>
      </c>
      <c r="S46" s="56" t="str">
        <f t="shared" si="18"/>
        <v/>
      </c>
      <c r="T46" s="56" t="str">
        <f t="shared" si="19"/>
        <v/>
      </c>
      <c r="U46" s="180" t="str">
        <f t="shared" si="20"/>
        <v/>
      </c>
      <c r="V46" s="55" t="e">
        <f t="shared" si="21"/>
        <v>#DIV/0!</v>
      </c>
      <c r="W46" s="55" t="e">
        <f t="shared" si="22"/>
        <v>#DIV/0!</v>
      </c>
      <c r="X46" s="56" t="str">
        <f t="shared" si="23"/>
        <v/>
      </c>
      <c r="Y46" s="180" t="str">
        <f t="shared" si="24"/>
        <v/>
      </c>
      <c r="Z46" s="55" t="e">
        <f t="shared" si="25"/>
        <v>#DIV/0!</v>
      </c>
      <c r="AA46" s="55">
        <f t="shared" si="26"/>
        <v>1001.4</v>
      </c>
      <c r="AB46" s="150" t="e">
        <f t="shared" si="27"/>
        <v>#DIV/0!</v>
      </c>
      <c r="AC46" s="188">
        <v>37</v>
      </c>
      <c r="AD46" s="1" t="b">
        <f t="shared" si="28"/>
        <v>1</v>
      </c>
      <c r="AE46" s="1" t="e">
        <f t="shared" si="29"/>
        <v>#DIV/0!</v>
      </c>
      <c r="AF46" s="1" t="e">
        <f t="shared" si="30"/>
        <v>#DIV/0!</v>
      </c>
      <c r="AG46" s="1" t="e">
        <f t="shared" si="31"/>
        <v>#DIV/0!</v>
      </c>
      <c r="AH46" s="1">
        <f t="shared" si="32"/>
        <v>-1000</v>
      </c>
      <c r="AI46" s="1">
        <f t="shared" si="33"/>
        <v>0</v>
      </c>
      <c r="AJ46" s="191">
        <f t="shared" si="111"/>
        <v>0</v>
      </c>
      <c r="AK46" s="191">
        <f t="shared" si="112"/>
        <v>0</v>
      </c>
      <c r="AL46" s="191" t="e">
        <f t="shared" si="34"/>
        <v>#DIV/0!</v>
      </c>
      <c r="AM46" s="1" t="e">
        <f t="shared" si="35"/>
        <v>#DIV/0!</v>
      </c>
      <c r="AN46" s="191">
        <f t="shared" si="36"/>
        <v>90</v>
      </c>
      <c r="AO46" s="134" t="e">
        <f t="shared" si="37"/>
        <v>#DIV/0!</v>
      </c>
      <c r="AP46" s="64" t="e">
        <f t="shared" si="38"/>
        <v>#DIV/0!</v>
      </c>
      <c r="AQ46" s="1" t="e">
        <f t="shared" si="104"/>
        <v>#DIV/0!</v>
      </c>
      <c r="AR46" s="1" t="e">
        <f t="shared" si="39"/>
        <v>#DIV/0!</v>
      </c>
      <c r="AS46" s="1">
        <f t="shared" si="40"/>
        <v>90</v>
      </c>
      <c r="AT46" s="134" t="e">
        <f t="shared" si="41"/>
        <v>#DIV/0!</v>
      </c>
      <c r="AU46" s="64" t="e">
        <f t="shared" si="42"/>
        <v>#DIV/0!</v>
      </c>
      <c r="AV46" s="65" t="e">
        <f t="shared" si="43"/>
        <v>#DIV/0!</v>
      </c>
      <c r="AW46" s="65" t="e">
        <f t="shared" si="44"/>
        <v>#DIV/0!</v>
      </c>
      <c r="AX46" s="1" t="e">
        <f t="shared" si="45"/>
        <v>#DIV/0!</v>
      </c>
      <c r="AY46" s="1" t="e">
        <f t="shared" si="46"/>
        <v>#DIV/0!</v>
      </c>
      <c r="AZ46" s="131">
        <f t="shared" si="47"/>
        <v>1001.4</v>
      </c>
      <c r="BA46" s="1" t="e">
        <f t="shared" si="48"/>
        <v>#DIV/0!</v>
      </c>
      <c r="BB46" s="1">
        <f t="shared" si="49"/>
        <v>42369617.4235177</v>
      </c>
      <c r="BC46" s="1" t="e">
        <f t="shared" si="50"/>
        <v>#DIV/0!</v>
      </c>
      <c r="BD46" s="1">
        <f t="shared" si="51"/>
        <v>57480849.9111489</v>
      </c>
      <c r="BE46" s="1" t="e">
        <f t="shared" si="52"/>
        <v>#DIV/0!</v>
      </c>
      <c r="BF46" s="1" t="e">
        <f t="shared" si="53"/>
        <v>#DIV/0!</v>
      </c>
      <c r="BG46" s="1" t="e">
        <f t="shared" si="54"/>
        <v>#DIV/0!</v>
      </c>
      <c r="BH46" s="1" t="e">
        <f t="shared" si="55"/>
        <v>#DIV/0!</v>
      </c>
      <c r="BI46" s="1" t="e">
        <f t="shared" si="56"/>
        <v>#DIV/0!</v>
      </c>
      <c r="BJ46" s="1" t="e">
        <f t="shared" si="57"/>
        <v>#DIV/0!</v>
      </c>
      <c r="BK46" s="1" t="e">
        <f t="shared" si="58"/>
        <v>#DIV/0!</v>
      </c>
      <c r="BL46" s="1" t="e">
        <f t="shared" si="59"/>
        <v>#DIV/0!</v>
      </c>
      <c r="BM46" s="1" t="e">
        <f t="shared" si="60"/>
        <v>#DIV/0!</v>
      </c>
      <c r="BN46" s="1" t="e">
        <f t="shared" si="61"/>
        <v>#DIV/0!</v>
      </c>
      <c r="BO46" s="1" t="e">
        <f t="shared" si="62"/>
        <v>#DIV/0!</v>
      </c>
      <c r="BQ46" s="1" t="e">
        <f t="shared" si="63"/>
        <v>#DIV/0!</v>
      </c>
      <c r="BR46" s="1" t="e">
        <f t="shared" si="64"/>
        <v>#DIV/0!</v>
      </c>
      <c r="BS46" s="1" t="e">
        <f t="shared" si="65"/>
        <v>#DIV/0!</v>
      </c>
      <c r="BT46" s="1" t="e">
        <f t="shared" si="66"/>
        <v>#DIV/0!</v>
      </c>
      <c r="BU46" s="1" t="e">
        <f t="shared" si="67"/>
        <v>#DIV/0!</v>
      </c>
      <c r="BV46" s="1" t="e">
        <f t="shared" si="68"/>
        <v>#DIV/0!</v>
      </c>
      <c r="BW46" s="1" t="e">
        <f t="shared" si="69"/>
        <v>#DIV/0!</v>
      </c>
      <c r="BX46" s="1" t="e">
        <f t="shared" si="70"/>
        <v>#DIV/0!</v>
      </c>
      <c r="BY46" s="1" t="e">
        <f t="shared" si="71"/>
        <v>#DIV/0!</v>
      </c>
      <c r="BZ46" s="1" t="e">
        <f t="shared" si="72"/>
        <v>#DIV/0!</v>
      </c>
      <c r="CA46" s="1" t="e">
        <f t="shared" si="73"/>
        <v>#DIV/0!</v>
      </c>
      <c r="CB46" s="1" t="e">
        <f t="shared" si="74"/>
        <v>#DIV/0!</v>
      </c>
      <c r="CC46" s="1" t="e">
        <f t="shared" si="75"/>
        <v>#DIV/0!</v>
      </c>
      <c r="CD46" s="1" t="e">
        <f t="shared" si="76"/>
        <v>#DIV/0!</v>
      </c>
      <c r="CE46" s="1" t="e">
        <f t="shared" si="77"/>
        <v>#DIV/0!</v>
      </c>
      <c r="CF46" s="1" t="e">
        <f t="shared" si="78"/>
        <v>#DIV/0!</v>
      </c>
      <c r="CG46" s="1" t="e">
        <f t="shared" si="79"/>
        <v>#DIV/0!</v>
      </c>
      <c r="CH46" s="1" t="e">
        <f t="shared" si="80"/>
        <v>#DIV/0!</v>
      </c>
      <c r="CJ46" s="1" t="e">
        <f t="shared" si="81"/>
        <v>#DIV/0!</v>
      </c>
      <c r="CK46" s="1" t="e">
        <f t="shared" si="82"/>
        <v>#DIV/0!</v>
      </c>
      <c r="CL46" s="1" t="e">
        <f t="shared" si="83"/>
        <v>#DIV/0!</v>
      </c>
      <c r="CM46" s="1" t="e">
        <f t="shared" si="84"/>
        <v>#DIV/0!</v>
      </c>
      <c r="CN46" s="1" t="e">
        <f t="shared" si="85"/>
        <v>#DIV/0!</v>
      </c>
      <c r="CO46" s="1" t="e">
        <f t="shared" si="86"/>
        <v>#DIV/0!</v>
      </c>
      <c r="CP46" s="1" t="e">
        <f t="shared" si="87"/>
        <v>#DIV/0!</v>
      </c>
      <c r="CR46" s="1" t="e">
        <f t="shared" si="88"/>
        <v>#VALUE!</v>
      </c>
      <c r="CS46" s="1" t="e">
        <f t="shared" si="89"/>
        <v>#VALUE!</v>
      </c>
      <c r="CT46" s="1" t="str">
        <f t="shared" si="90"/>
        <v/>
      </c>
      <c r="CU46" s="1" t="str">
        <f t="shared" si="91"/>
        <v/>
      </c>
      <c r="CV46" s="1" t="e">
        <f t="shared" si="92"/>
        <v>#VALUE!</v>
      </c>
      <c r="DC46" s="154">
        <f t="shared" si="93"/>
        <v>0</v>
      </c>
      <c r="DD46" s="154">
        <f t="shared" si="94"/>
        <v>0</v>
      </c>
      <c r="DE46" s="154">
        <f t="shared" si="95"/>
        <v>0</v>
      </c>
      <c r="DF46" s="1" t="e">
        <f t="shared" si="96"/>
        <v>#DIV/0!</v>
      </c>
      <c r="DG46" s="1" t="e">
        <f t="shared" si="97"/>
        <v>#DIV/0!</v>
      </c>
      <c r="DH46" s="1" t="e">
        <f t="shared" si="98"/>
        <v>#DIV/0!</v>
      </c>
      <c r="DI46" s="1" t="e">
        <f t="shared" si="99"/>
        <v>#DIV/0!</v>
      </c>
      <c r="DJ46" s="1" t="e">
        <f t="shared" si="100"/>
        <v>#DIV/0!</v>
      </c>
      <c r="DK46" s="1" t="e">
        <f t="shared" si="101"/>
        <v>#DIV/0!</v>
      </c>
      <c r="DL46" s="1" t="e">
        <f t="shared" si="102"/>
        <v>#DIV/0!</v>
      </c>
      <c r="DM46" s="1" t="e">
        <f t="shared" si="103"/>
        <v>#DIV/0!</v>
      </c>
    </row>
    <row r="47" customHeight="1" spans="1:117">
      <c r="A47" s="152" t="str">
        <f t="shared" si="113"/>
        <v>Calhoun Pass Emergency Shelter</v>
      </c>
      <c r="C47" s="55" t="str">
        <f t="shared" si="5"/>
        <v>N 01° 48.9' / W 020° 20.6'</v>
      </c>
      <c r="D47" s="150" t="str">
        <f t="shared" si="6"/>
        <v>1022 m</v>
      </c>
      <c r="E47" s="151">
        <f t="shared" si="7"/>
        <v>1727.2</v>
      </c>
      <c r="F47" s="151">
        <f t="shared" si="8"/>
        <v>1779.3</v>
      </c>
      <c r="G47" s="151">
        <f t="shared" si="9"/>
        <v>2018.9</v>
      </c>
      <c r="H47" s="151">
        <f t="shared" si="10"/>
        <v>1439.8</v>
      </c>
      <c r="I47" s="151">
        <f t="shared" si="11"/>
        <v>611.1</v>
      </c>
      <c r="J47" s="171">
        <f t="shared" si="12"/>
        <v>2403.2</v>
      </c>
      <c r="K47" s="172">
        <f t="shared" si="114"/>
        <v>938.116231367</v>
      </c>
      <c r="L47" s="172">
        <f t="shared" si="115"/>
        <v>-347.817930592</v>
      </c>
      <c r="M47" s="173">
        <f t="shared" si="116"/>
        <v>31.707663433</v>
      </c>
      <c r="N47" s="54">
        <f t="shared" si="13"/>
        <v>0.0893199801541781</v>
      </c>
      <c r="O47" s="55" t="str">
        <f t="shared" si="14"/>
        <v>Night / Rises in 68m</v>
      </c>
      <c r="P47" s="55" t="str">
        <f t="shared" si="15"/>
        <v>206°M / -76°</v>
      </c>
      <c r="Q47" s="56">
        <f t="shared" si="16"/>
        <v>45683.7528875788</v>
      </c>
      <c r="R47" s="56">
        <f t="shared" si="17"/>
        <v>45683.7586098009</v>
      </c>
      <c r="S47" s="56">
        <f t="shared" si="18"/>
        <v>45683.8032697909</v>
      </c>
      <c r="T47" s="56">
        <f t="shared" si="19"/>
        <v>45683.847929781</v>
      </c>
      <c r="U47" s="180">
        <f t="shared" si="20"/>
        <v>45683.8536520031</v>
      </c>
      <c r="V47" s="55" t="str">
        <f t="shared" si="21"/>
        <v>Obstructed / Rises in 59m</v>
      </c>
      <c r="W47" s="55" t="str">
        <f t="shared" si="22"/>
        <v>317°M / -87°</v>
      </c>
      <c r="X47" s="56">
        <f t="shared" si="23"/>
        <v>45683.7523314375</v>
      </c>
      <c r="Y47" s="180">
        <f t="shared" si="24"/>
        <v>45683.8406410762</v>
      </c>
      <c r="Z47" s="55" t="str">
        <f t="shared" si="25"/>
        <v>350°M / -59°</v>
      </c>
      <c r="AA47" s="151">
        <f t="shared" si="26"/>
        <v>1708</v>
      </c>
      <c r="AB47" s="150">
        <f t="shared" si="27"/>
        <v>2043.2</v>
      </c>
      <c r="AC47" s="188">
        <v>38</v>
      </c>
      <c r="AD47" s="1" t="b">
        <f t="shared" si="28"/>
        <v>1</v>
      </c>
      <c r="AE47" s="1">
        <f t="shared" si="29"/>
        <v>1.81516438951962</v>
      </c>
      <c r="AF47" s="1">
        <f t="shared" si="30"/>
        <v>-20.3428706333117</v>
      </c>
      <c r="AG47" s="1">
        <f t="shared" si="31"/>
        <v>339.657129366688</v>
      </c>
      <c r="AH47" s="2">
        <f t="shared" si="32"/>
        <v>1.02185406508693</v>
      </c>
      <c r="AI47" s="1">
        <f t="shared" si="33"/>
        <v>2.58909055564979</v>
      </c>
      <c r="AJ47" s="191">
        <f t="shared" si="111"/>
        <v>0</v>
      </c>
      <c r="AK47" s="191">
        <f t="shared" si="112"/>
        <v>0</v>
      </c>
      <c r="AL47" s="191">
        <f t="shared" si="34"/>
        <v>93.6559037940873</v>
      </c>
      <c r="AM47" s="20">
        <f t="shared" si="35"/>
        <v>-167.657521151786</v>
      </c>
      <c r="AN47" s="191">
        <f t="shared" si="36"/>
        <v>87.8587757469182</v>
      </c>
      <c r="AO47" s="134">
        <f t="shared" si="37"/>
        <v>295</v>
      </c>
      <c r="AP47" s="64">
        <f t="shared" si="38"/>
        <v>-86</v>
      </c>
      <c r="AQ47" s="1">
        <f t="shared" si="104"/>
        <v>92.5965165789634</v>
      </c>
      <c r="AR47" s="20">
        <f t="shared" si="39"/>
        <v>178.116814759439</v>
      </c>
      <c r="AS47" s="1">
        <f t="shared" si="40"/>
        <v>88.1848040081252</v>
      </c>
      <c r="AT47" s="134">
        <f t="shared" si="41"/>
        <v>46</v>
      </c>
      <c r="AU47" s="64">
        <f t="shared" si="42"/>
        <v>-88</v>
      </c>
      <c r="AV47" s="65">
        <f t="shared" si="43"/>
        <v>45683.7523314375</v>
      </c>
      <c r="AW47" s="65">
        <f t="shared" si="44"/>
        <v>45683.8406410762</v>
      </c>
      <c r="AX47" s="1">
        <f t="shared" si="45"/>
        <v>79</v>
      </c>
      <c r="AY47" s="1">
        <f t="shared" si="46"/>
        <v>-59</v>
      </c>
      <c r="AZ47" s="131">
        <f t="shared" si="47"/>
        <v>1708</v>
      </c>
      <c r="BA47" s="1">
        <f t="shared" si="48"/>
        <v>2043.2</v>
      </c>
      <c r="BB47" s="1">
        <f t="shared" si="49"/>
        <v>42370590.3021619</v>
      </c>
      <c r="BC47" s="1">
        <f t="shared" si="50"/>
        <v>-76</v>
      </c>
      <c r="BD47" s="1">
        <f t="shared" si="51"/>
        <v>57481849.8903427</v>
      </c>
      <c r="BE47" s="1">
        <f t="shared" si="52"/>
        <v>-87</v>
      </c>
      <c r="BF47" s="20">
        <f t="shared" si="53"/>
        <v>-40.4339980682041</v>
      </c>
      <c r="BG47" s="1">
        <f t="shared" si="54"/>
        <v>648.908634693016</v>
      </c>
      <c r="BH47" s="1">
        <f t="shared" si="55"/>
        <v>761.54905305986</v>
      </c>
      <c r="BI47" s="1">
        <f t="shared" si="56"/>
        <v>31.707663433</v>
      </c>
      <c r="BJ47" s="1">
        <f t="shared" si="57"/>
        <v>648.908634693016</v>
      </c>
      <c r="BK47" s="1">
        <f t="shared" si="58"/>
        <v>761.54905305986</v>
      </c>
      <c r="BL47" s="1">
        <f t="shared" si="59"/>
        <v>31.707663433</v>
      </c>
      <c r="BM47" s="61">
        <f t="shared" si="60"/>
        <v>22462734.1611193</v>
      </c>
      <c r="BN47" s="61">
        <f t="shared" si="61"/>
        <v>37186506.5138832</v>
      </c>
      <c r="BO47" s="61">
        <f t="shared" si="62"/>
        <v>31.707663433</v>
      </c>
      <c r="BQ47" s="1" t="str">
        <f t="shared" si="63"/>
        <v>N 01° 48.9' / W 020° 20.6'</v>
      </c>
      <c r="BR47" s="1" t="str">
        <f t="shared" si="64"/>
        <v>27N 511458 031670</v>
      </c>
      <c r="BS47" s="1" t="str">
        <f t="shared" si="65"/>
        <v>27N WA 114316</v>
      </c>
      <c r="BT47" s="1" t="b">
        <f t="shared" si="66"/>
        <v>0</v>
      </c>
      <c r="BU47" s="1" t="str">
        <f t="shared" si="67"/>
        <v>27N</v>
      </c>
      <c r="BV47" s="1">
        <f t="shared" si="68"/>
        <v>27</v>
      </c>
      <c r="BW47" s="1">
        <f t="shared" si="69"/>
        <v>0</v>
      </c>
      <c r="BX47" s="1">
        <f t="shared" si="70"/>
        <v>-21</v>
      </c>
      <c r="BY47" s="1">
        <f t="shared" si="71"/>
        <v>11458.9814076026</v>
      </c>
      <c r="BZ47" s="1">
        <f t="shared" si="72"/>
        <v>511458.9814</v>
      </c>
      <c r="CA47" s="1" t="str">
        <f t="shared" si="73"/>
        <v>W</v>
      </c>
      <c r="CB47" s="1" t="str">
        <f t="shared" si="74"/>
        <v>511458</v>
      </c>
      <c r="CC47" s="1" t="str">
        <f t="shared" si="75"/>
        <v>11458</v>
      </c>
      <c r="CD47" s="1">
        <f t="shared" si="76"/>
        <v>31670.0043374687</v>
      </c>
      <c r="CE47" s="1">
        <f t="shared" si="77"/>
        <v>31670.0043</v>
      </c>
      <c r="CF47" s="1" t="str">
        <f t="shared" si="78"/>
        <v>A</v>
      </c>
      <c r="CG47" s="1" t="str">
        <f t="shared" si="79"/>
        <v>031670</v>
      </c>
      <c r="CH47" s="1" t="str">
        <f t="shared" si="80"/>
        <v>31670</v>
      </c>
      <c r="CJ47" s="1">
        <f t="shared" si="81"/>
        <v>320</v>
      </c>
      <c r="CK47" s="1" t="str">
        <f t="shared" si="82"/>
        <v>HR</v>
      </c>
      <c r="CL47" s="1">
        <f t="shared" si="83"/>
        <v>1</v>
      </c>
      <c r="CM47" s="1">
        <f t="shared" si="84"/>
        <v>8</v>
      </c>
      <c r="CN47" s="1">
        <f t="shared" si="85"/>
        <v>1</v>
      </c>
      <c r="CO47" s="1">
        <f t="shared" si="86"/>
        <v>0</v>
      </c>
      <c r="CP47" s="1" t="str">
        <f t="shared" si="87"/>
        <v>320HR18</v>
      </c>
      <c r="CR47" s="1" t="e">
        <f t="shared" si="88"/>
        <v>#VALUE!</v>
      </c>
      <c r="CS47" s="1" t="e">
        <f t="shared" si="89"/>
        <v>#VALUE!</v>
      </c>
      <c r="CT47" s="1">
        <f t="shared" si="90"/>
        <v>4</v>
      </c>
      <c r="CU47" s="1">
        <f t="shared" si="91"/>
        <v>1</v>
      </c>
      <c r="CV47" s="131" t="e">
        <f t="shared" si="92"/>
        <v>#VALUE!</v>
      </c>
      <c r="CW47" s="131">
        <v>1439.8</v>
      </c>
      <c r="CX47" s="131">
        <v>1727.2</v>
      </c>
      <c r="CY47" s="131">
        <v>1779.3</v>
      </c>
      <c r="CZ47" s="131">
        <v>2018.9</v>
      </c>
      <c r="DA47" s="131">
        <v>2403.2</v>
      </c>
      <c r="DC47" s="154">
        <f t="shared" si="93"/>
        <v>-938.116231367</v>
      </c>
      <c r="DD47" s="154">
        <f t="shared" si="94"/>
        <v>31.707663433</v>
      </c>
      <c r="DE47" s="154">
        <f t="shared" si="95"/>
        <v>-347.817930592</v>
      </c>
      <c r="DF47" s="1">
        <f t="shared" si="96"/>
        <v>-20.3322114651177</v>
      </c>
      <c r="DG47" s="1">
        <f t="shared" si="97"/>
        <v>178.064180209627</v>
      </c>
      <c r="DH47" s="1">
        <f t="shared" si="98"/>
        <v>206</v>
      </c>
      <c r="DI47" s="1">
        <f t="shared" si="99"/>
        <v>317</v>
      </c>
      <c r="DJ47" s="1">
        <f t="shared" si="100"/>
        <v>350</v>
      </c>
      <c r="DK47" s="1">
        <f t="shared" si="101"/>
        <v>206</v>
      </c>
      <c r="DL47" s="1">
        <f t="shared" si="102"/>
        <v>317</v>
      </c>
      <c r="DM47" s="1">
        <f t="shared" si="103"/>
        <v>350</v>
      </c>
    </row>
    <row r="48" customHeight="1" spans="1:117">
      <c r="A48" s="152" t="str">
        <f t="shared" si="113"/>
        <v>Clear View Emergency Shelter</v>
      </c>
      <c r="C48" s="55" t="str">
        <f t="shared" si="5"/>
        <v>N 23° 09.2' / W 131° 31.5'</v>
      </c>
      <c r="D48" s="150" t="str">
        <f t="shared" si="6"/>
        <v>9 m</v>
      </c>
      <c r="E48" s="151">
        <f t="shared" si="7"/>
        <v>1393</v>
      </c>
      <c r="F48" s="151">
        <f t="shared" si="8"/>
        <v>2050.5</v>
      </c>
      <c r="G48" s="151">
        <f t="shared" si="9"/>
        <v>2248.2</v>
      </c>
      <c r="H48" s="151">
        <f t="shared" si="10"/>
        <v>1044.3</v>
      </c>
      <c r="I48" s="151">
        <f t="shared" si="11"/>
        <v>2197.2</v>
      </c>
      <c r="J48" s="171">
        <f t="shared" si="12"/>
        <v>1147.8</v>
      </c>
      <c r="K48" s="172">
        <f t="shared" si="114"/>
        <v>-609.561071826</v>
      </c>
      <c r="L48" s="172">
        <f t="shared" si="115"/>
        <v>-688.363323031999</v>
      </c>
      <c r="M48" s="173">
        <f t="shared" si="116"/>
        <v>393.203256016</v>
      </c>
      <c r="N48" s="54">
        <f t="shared" si="13"/>
        <v>0.088576387301646</v>
      </c>
      <c r="O48" s="55" t="str">
        <f t="shared" si="14"/>
        <v>Afternoon / Sets in 25m</v>
      </c>
      <c r="P48" s="55" t="str">
        <f t="shared" si="15"/>
        <v>326°M / +32°</v>
      </c>
      <c r="Q48" s="56">
        <f t="shared" si="16"/>
        <v>45683.8062770671</v>
      </c>
      <c r="R48" s="56">
        <f t="shared" si="17"/>
        <v>45683.8119992892</v>
      </c>
      <c r="S48" s="56">
        <f t="shared" si="18"/>
        <v>45683.8562874828</v>
      </c>
      <c r="T48" s="56">
        <f t="shared" si="19"/>
        <v>45683.728909014</v>
      </c>
      <c r="U48" s="180">
        <f t="shared" si="20"/>
        <v>45683.7346312361</v>
      </c>
      <c r="V48" s="55" t="str">
        <f t="shared" si="21"/>
        <v>Sets in 13m</v>
      </c>
      <c r="W48" s="55" t="str">
        <f t="shared" si="22"/>
        <v>328°M / +18°</v>
      </c>
      <c r="X48" s="56">
        <f t="shared" si="23"/>
        <v>45683.8064692351</v>
      </c>
      <c r="Y48" s="180">
        <f t="shared" si="24"/>
        <v>45683.7208719999</v>
      </c>
      <c r="Z48" s="55" t="str">
        <f t="shared" si="25"/>
        <v>004°M / -61°</v>
      </c>
      <c r="AA48" s="151">
        <f t="shared" si="26"/>
        <v>1755.7</v>
      </c>
      <c r="AB48" s="150">
        <f t="shared" si="27"/>
        <v>2140.1</v>
      </c>
      <c r="AC48" s="188">
        <v>39</v>
      </c>
      <c r="AD48" s="1" t="b">
        <f t="shared" si="28"/>
        <v>1</v>
      </c>
      <c r="AE48" s="1">
        <f t="shared" si="29"/>
        <v>23.1537475693448</v>
      </c>
      <c r="AF48" s="1">
        <f t="shared" si="30"/>
        <v>-131.525605885967</v>
      </c>
      <c r="AG48" s="1">
        <f t="shared" si="31"/>
        <v>228.474394114033</v>
      </c>
      <c r="AH48" s="2">
        <f t="shared" si="32"/>
        <v>0.00878262288381393</v>
      </c>
      <c r="AI48" s="1">
        <f t="shared" si="33"/>
        <v>0.240130960767652</v>
      </c>
      <c r="AJ48" s="191">
        <f t="shared" si="111"/>
        <v>0</v>
      </c>
      <c r="AK48" s="191">
        <f t="shared" si="112"/>
        <v>0</v>
      </c>
      <c r="AL48" s="191">
        <f t="shared" si="34"/>
        <v>92.8762141822166</v>
      </c>
      <c r="AM48" s="20">
        <f t="shared" si="35"/>
        <v>-56.47478589913</v>
      </c>
      <c r="AN48" s="191">
        <f t="shared" si="36"/>
        <v>70.8021458213415</v>
      </c>
      <c r="AO48" s="134">
        <f t="shared" si="37"/>
        <v>260</v>
      </c>
      <c r="AP48" s="64">
        <f t="shared" si="38"/>
        <v>39</v>
      </c>
      <c r="AQ48" s="1">
        <f t="shared" si="104"/>
        <v>90.2475569840813</v>
      </c>
      <c r="AR48" s="20">
        <f t="shared" si="39"/>
        <v>-70.7004499879056</v>
      </c>
      <c r="AS48" s="1">
        <f t="shared" si="40"/>
        <v>66.8458604881965</v>
      </c>
      <c r="AT48" s="134">
        <f t="shared" si="41"/>
        <v>262</v>
      </c>
      <c r="AU48" s="64">
        <f t="shared" si="42"/>
        <v>22</v>
      </c>
      <c r="AV48" s="65">
        <f t="shared" si="43"/>
        <v>45683.8064692351</v>
      </c>
      <c r="AW48" s="65">
        <f t="shared" si="44"/>
        <v>45683.7208719999</v>
      </c>
      <c r="AX48" s="1">
        <f t="shared" si="45"/>
        <v>298</v>
      </c>
      <c r="AY48" s="1">
        <f t="shared" si="46"/>
        <v>-61</v>
      </c>
      <c r="AZ48" s="131">
        <f t="shared" si="47"/>
        <v>1755.7</v>
      </c>
      <c r="BA48" s="1">
        <f t="shared" si="48"/>
        <v>2140.1</v>
      </c>
      <c r="BB48" s="1">
        <f t="shared" si="49"/>
        <v>42369083.6906164</v>
      </c>
      <c r="BC48" s="1">
        <f t="shared" si="50"/>
        <v>32</v>
      </c>
      <c r="BD48" s="1">
        <f t="shared" si="51"/>
        <v>57480546.0307237</v>
      </c>
      <c r="BE48" s="1">
        <f t="shared" si="52"/>
        <v>18</v>
      </c>
      <c r="BF48" s="20">
        <f t="shared" si="53"/>
        <v>-151.61673332086</v>
      </c>
      <c r="BG48" s="1">
        <f t="shared" si="54"/>
        <v>437.081740770808</v>
      </c>
      <c r="BH48" s="1">
        <f t="shared" si="55"/>
        <v>-808.930353408795</v>
      </c>
      <c r="BI48" s="1">
        <f t="shared" si="56"/>
        <v>393.203256016</v>
      </c>
      <c r="BJ48" s="1">
        <f t="shared" si="57"/>
        <v>437.081740770808</v>
      </c>
      <c r="BK48" s="1">
        <f t="shared" si="58"/>
        <v>-808.930353408795</v>
      </c>
      <c r="BL48" s="1">
        <f t="shared" si="59"/>
        <v>393.203256016</v>
      </c>
      <c r="BM48" s="61">
        <f t="shared" si="60"/>
        <v>22462522.3342254</v>
      </c>
      <c r="BN48" s="61">
        <f t="shared" si="61"/>
        <v>37184936.0344767</v>
      </c>
      <c r="BO48" s="61">
        <f t="shared" si="62"/>
        <v>393.203256016</v>
      </c>
      <c r="BQ48" s="1" t="str">
        <f t="shared" si="63"/>
        <v>N 23° 09.2' / W 131° 31.5'</v>
      </c>
      <c r="BR48" s="1" t="str">
        <f t="shared" si="64"/>
        <v>09Q 459477 404298</v>
      </c>
      <c r="BS48" s="1" t="str">
        <f t="shared" si="65"/>
        <v>09Q VE 594042</v>
      </c>
      <c r="BT48" s="1" t="b">
        <f t="shared" si="66"/>
        <v>0</v>
      </c>
      <c r="BU48" s="1" t="str">
        <f t="shared" si="67"/>
        <v>09Q</v>
      </c>
      <c r="BV48" s="1">
        <f t="shared" si="68"/>
        <v>9</v>
      </c>
      <c r="BW48" s="1">
        <f t="shared" si="69"/>
        <v>0</v>
      </c>
      <c r="BX48" s="1">
        <f t="shared" si="70"/>
        <v>-129</v>
      </c>
      <c r="BY48" s="1">
        <f t="shared" si="71"/>
        <v>-40522.4705829403</v>
      </c>
      <c r="BZ48" s="1">
        <f t="shared" si="72"/>
        <v>459477.5294</v>
      </c>
      <c r="CA48" s="1" t="str">
        <f t="shared" si="73"/>
        <v>V</v>
      </c>
      <c r="CB48" s="1" t="str">
        <f t="shared" si="74"/>
        <v>459477</v>
      </c>
      <c r="CC48" s="1" t="str">
        <f t="shared" si="75"/>
        <v>59477</v>
      </c>
      <c r="CD48" s="1">
        <f t="shared" si="76"/>
        <v>404298.812541683</v>
      </c>
      <c r="CE48" s="1">
        <f t="shared" si="77"/>
        <v>404298.8125</v>
      </c>
      <c r="CF48" s="1" t="str">
        <f t="shared" si="78"/>
        <v>E</v>
      </c>
      <c r="CG48" s="1" t="str">
        <f t="shared" si="79"/>
        <v>404298</v>
      </c>
      <c r="CH48" s="1" t="str">
        <f t="shared" si="80"/>
        <v>04298</v>
      </c>
      <c r="CJ48" s="1">
        <f t="shared" si="81"/>
        <v>97</v>
      </c>
      <c r="CK48" s="1" t="str">
        <f t="shared" si="82"/>
        <v>KL</v>
      </c>
      <c r="CL48" s="1">
        <f t="shared" si="83"/>
        <v>4</v>
      </c>
      <c r="CM48" s="1">
        <f t="shared" si="84"/>
        <v>6</v>
      </c>
      <c r="CN48" s="1">
        <f t="shared" si="85"/>
        <v>2</v>
      </c>
      <c r="CO48" s="1">
        <f t="shared" si="86"/>
        <v>1</v>
      </c>
      <c r="CP48" s="1" t="str">
        <f t="shared" si="87"/>
        <v>097KL46</v>
      </c>
      <c r="CR48" s="1" t="e">
        <f t="shared" si="88"/>
        <v>#VALUE!</v>
      </c>
      <c r="CS48" s="1" t="e">
        <f t="shared" si="89"/>
        <v>#VALUE!</v>
      </c>
      <c r="CT48" s="1">
        <f t="shared" si="90"/>
        <v>6</v>
      </c>
      <c r="CU48" s="1">
        <f t="shared" si="91"/>
        <v>1</v>
      </c>
      <c r="CV48" s="131" t="e">
        <f t="shared" si="92"/>
        <v>#VALUE!</v>
      </c>
      <c r="CW48" s="131">
        <v>1147.8</v>
      </c>
      <c r="CX48" s="131">
        <v>1393</v>
      </c>
      <c r="CY48" s="131">
        <v>2050.5</v>
      </c>
      <c r="CZ48" s="131">
        <v>2197.2</v>
      </c>
      <c r="DA48" s="131">
        <v>2248.2</v>
      </c>
      <c r="DC48" s="154">
        <f t="shared" si="93"/>
        <v>609.561071826</v>
      </c>
      <c r="DD48" s="154">
        <f t="shared" si="94"/>
        <v>393.203256016</v>
      </c>
      <c r="DE48" s="154">
        <f t="shared" si="95"/>
        <v>-688.363323031999</v>
      </c>
      <c r="DF48" s="1">
        <f t="shared" si="96"/>
        <v>-43.5002134063296</v>
      </c>
      <c r="DG48" s="1">
        <f t="shared" si="97"/>
        <v>32.8244298833011</v>
      </c>
      <c r="DH48" s="1">
        <f t="shared" si="98"/>
        <v>326</v>
      </c>
      <c r="DI48" s="1">
        <f t="shared" si="99"/>
        <v>328</v>
      </c>
      <c r="DJ48" s="1">
        <f t="shared" si="100"/>
        <v>4</v>
      </c>
      <c r="DK48" s="1">
        <f t="shared" si="101"/>
        <v>326</v>
      </c>
      <c r="DL48" s="1">
        <f t="shared" si="102"/>
        <v>328</v>
      </c>
      <c r="DM48" s="1">
        <f t="shared" si="103"/>
        <v>4</v>
      </c>
    </row>
    <row r="49" customHeight="1" spans="1:117">
      <c r="A49" s="152" t="str">
        <f t="shared" si="113"/>
        <v>Nuiqsut Emergency Shelter</v>
      </c>
      <c r="C49" s="55" t="str">
        <f t="shared" si="5"/>
        <v>S 38° 50.7' / W 015° 28.7'</v>
      </c>
      <c r="D49" s="150" t="str">
        <f t="shared" si="6"/>
        <v>17 m</v>
      </c>
      <c r="E49" s="151">
        <f t="shared" si="7"/>
        <v>2208.7</v>
      </c>
      <c r="F49" s="151">
        <f t="shared" si="8"/>
        <v>1125.4</v>
      </c>
      <c r="G49" s="151">
        <f t="shared" si="9"/>
        <v>1916</v>
      </c>
      <c r="H49" s="151">
        <f t="shared" si="10"/>
        <v>1572.9</v>
      </c>
      <c r="I49" s="151">
        <f t="shared" si="11"/>
        <v>954.6</v>
      </c>
      <c r="J49" s="171">
        <f t="shared" si="12"/>
        <v>2287.7</v>
      </c>
      <c r="K49" s="172">
        <f t="shared" si="114"/>
        <v>750.612869081999</v>
      </c>
      <c r="L49" s="172">
        <f t="shared" si="115"/>
        <v>-207.851592111</v>
      </c>
      <c r="M49" s="173">
        <f t="shared" si="116"/>
        <v>-627.225495054</v>
      </c>
      <c r="N49" s="54">
        <f t="shared" si="13"/>
        <v>0.0840035983290276</v>
      </c>
      <c r="O49" s="55" t="str">
        <f t="shared" si="14"/>
        <v>Night / Rises in 68m</v>
      </c>
      <c r="P49" s="55" t="str">
        <f t="shared" si="15"/>
        <v>093°M / -54°</v>
      </c>
      <c r="Q49" s="56">
        <f t="shared" si="16"/>
        <v>45683.7532258988</v>
      </c>
      <c r="R49" s="56">
        <f t="shared" si="17"/>
        <v>45683.7589481208</v>
      </c>
      <c r="S49" s="56">
        <f t="shared" si="18"/>
        <v>45683.80094992</v>
      </c>
      <c r="T49" s="56">
        <f t="shared" si="19"/>
        <v>45683.8429517192</v>
      </c>
      <c r="U49" s="180">
        <f t="shared" si="20"/>
        <v>45683.8486739413</v>
      </c>
      <c r="V49" s="55" t="str">
        <f t="shared" si="21"/>
        <v>Obstructed / Rises in 57m</v>
      </c>
      <c r="W49" s="55" t="str">
        <f t="shared" si="22"/>
        <v>069°M / -51°</v>
      </c>
      <c r="X49" s="56">
        <f t="shared" si="23"/>
        <v>45683.751087374</v>
      </c>
      <c r="Y49" s="180">
        <f t="shared" si="24"/>
        <v>45683.8372453978</v>
      </c>
      <c r="Z49" s="55" t="str">
        <f t="shared" si="25"/>
        <v>358°M / -57°</v>
      </c>
      <c r="AA49" s="151">
        <f t="shared" si="26"/>
        <v>1670</v>
      </c>
      <c r="AB49" s="150">
        <f t="shared" si="27"/>
        <v>1974.2</v>
      </c>
      <c r="AC49" s="188">
        <v>40</v>
      </c>
      <c r="AD49" s="1" t="b">
        <f t="shared" si="28"/>
        <v>1</v>
      </c>
      <c r="AE49" s="1">
        <f t="shared" si="29"/>
        <v>-38.8449405005903</v>
      </c>
      <c r="AF49" s="1">
        <f t="shared" si="30"/>
        <v>-15.4778984998981</v>
      </c>
      <c r="AG49" s="1">
        <f t="shared" si="31"/>
        <v>344.522101500102</v>
      </c>
      <c r="AH49" s="2">
        <f t="shared" si="32"/>
        <v>0.0168924674837854</v>
      </c>
      <c r="AI49" s="1">
        <f t="shared" si="33"/>
        <v>0.333028283770607</v>
      </c>
      <c r="AJ49" s="191">
        <f t="shared" si="111"/>
        <v>0</v>
      </c>
      <c r="AK49" s="191">
        <f t="shared" si="112"/>
        <v>0</v>
      </c>
      <c r="AL49" s="191">
        <f t="shared" si="34"/>
        <v>88.0814450460057</v>
      </c>
      <c r="AM49" s="20">
        <f t="shared" si="35"/>
        <v>-172.522493285199</v>
      </c>
      <c r="AN49" s="191">
        <f t="shared" si="36"/>
        <v>47.1978025808065</v>
      </c>
      <c r="AO49" s="134">
        <f t="shared" si="37"/>
        <v>193</v>
      </c>
      <c r="AP49" s="64">
        <f t="shared" si="38"/>
        <v>-47</v>
      </c>
      <c r="AQ49" s="1">
        <f t="shared" si="104"/>
        <v>90.3404543070842</v>
      </c>
      <c r="AR49" s="20">
        <f t="shared" si="39"/>
        <v>173.251842626025</v>
      </c>
      <c r="AS49" s="1">
        <f t="shared" si="40"/>
        <v>51.154434284403</v>
      </c>
      <c r="AT49" s="134">
        <f t="shared" si="41"/>
        <v>169</v>
      </c>
      <c r="AU49" s="64">
        <f t="shared" si="42"/>
        <v>-51</v>
      </c>
      <c r="AV49" s="65">
        <f t="shared" si="43"/>
        <v>45683.751087374</v>
      </c>
      <c r="AW49" s="65">
        <f t="shared" si="44"/>
        <v>45683.8372453978</v>
      </c>
      <c r="AX49" s="1">
        <f t="shared" si="45"/>
        <v>98</v>
      </c>
      <c r="AY49" s="1">
        <f t="shared" si="46"/>
        <v>-57</v>
      </c>
      <c r="AZ49" s="131">
        <f t="shared" si="47"/>
        <v>1670</v>
      </c>
      <c r="BA49" s="1">
        <f t="shared" si="48"/>
        <v>1974.2</v>
      </c>
      <c r="BB49" s="1">
        <f t="shared" si="49"/>
        <v>42370431.0994211</v>
      </c>
      <c r="BC49" s="1">
        <f t="shared" si="50"/>
        <v>-54</v>
      </c>
      <c r="BD49" s="1">
        <f t="shared" si="51"/>
        <v>57481623.3782892</v>
      </c>
      <c r="BE49" s="1">
        <f t="shared" si="52"/>
        <v>-51</v>
      </c>
      <c r="BF49" s="20">
        <f t="shared" si="53"/>
        <v>-35.5690259347905</v>
      </c>
      <c r="BG49" s="1">
        <f t="shared" si="54"/>
        <v>453.04952366768</v>
      </c>
      <c r="BH49" s="1">
        <f t="shared" si="55"/>
        <v>633.536181033945</v>
      </c>
      <c r="BI49" s="1">
        <f t="shared" si="56"/>
        <v>-627.225495054</v>
      </c>
      <c r="BJ49" s="1">
        <f t="shared" si="57"/>
        <v>453.04952366768</v>
      </c>
      <c r="BK49" s="1">
        <f t="shared" si="58"/>
        <v>633.536181033945</v>
      </c>
      <c r="BL49" s="1">
        <f t="shared" si="59"/>
        <v>-627.225495054</v>
      </c>
      <c r="BM49" s="61">
        <f t="shared" si="60"/>
        <v>22462538.3020083</v>
      </c>
      <c r="BN49" s="61">
        <f t="shared" si="61"/>
        <v>37186378.5010111</v>
      </c>
      <c r="BO49" s="61">
        <f t="shared" si="62"/>
        <v>-627.225495054</v>
      </c>
      <c r="BQ49" s="1" t="str">
        <f t="shared" si="63"/>
        <v>S 38° 50.7' / W 015° 28.7'</v>
      </c>
      <c r="BR49" s="1" t="str">
        <f t="shared" si="64"/>
        <v>28H 493506 1322282</v>
      </c>
      <c r="BS49" s="1" t="str">
        <f t="shared" si="65"/>
        <v>28H DU 935222</v>
      </c>
      <c r="BT49" s="1" t="b">
        <f t="shared" si="66"/>
        <v>0</v>
      </c>
      <c r="BU49" s="1" t="str">
        <f t="shared" si="67"/>
        <v>28H</v>
      </c>
      <c r="BV49" s="1">
        <f t="shared" si="68"/>
        <v>28</v>
      </c>
      <c r="BW49" s="1">
        <f t="shared" si="69"/>
        <v>0</v>
      </c>
      <c r="BX49" s="1">
        <f t="shared" si="70"/>
        <v>-15</v>
      </c>
      <c r="BY49" s="1">
        <f t="shared" si="71"/>
        <v>-6493.6979660623</v>
      </c>
      <c r="BZ49" s="1">
        <f t="shared" si="72"/>
        <v>493506.302</v>
      </c>
      <c r="CA49" s="1" t="str">
        <f t="shared" si="73"/>
        <v>D</v>
      </c>
      <c r="CB49" s="1" t="str">
        <f t="shared" si="74"/>
        <v>493506</v>
      </c>
      <c r="CC49" s="1" t="str">
        <f t="shared" si="75"/>
        <v>93506</v>
      </c>
      <c r="CD49" s="1">
        <f t="shared" si="76"/>
        <v>-677717.906865272</v>
      </c>
      <c r="CE49" s="1">
        <f t="shared" si="77"/>
        <v>1322282.0931</v>
      </c>
      <c r="CF49" s="1" t="str">
        <f t="shared" si="78"/>
        <v>U</v>
      </c>
      <c r="CG49" s="1" t="str">
        <f t="shared" si="79"/>
        <v>1322282</v>
      </c>
      <c r="CH49" s="1" t="str">
        <f t="shared" si="80"/>
        <v>22282</v>
      </c>
      <c r="CJ49" s="1">
        <f t="shared" si="81"/>
        <v>330</v>
      </c>
      <c r="CK49" s="1" t="str">
        <f t="shared" si="82"/>
        <v>EG</v>
      </c>
      <c r="CL49" s="1">
        <f t="shared" si="83"/>
        <v>3</v>
      </c>
      <c r="CM49" s="1">
        <f t="shared" si="84"/>
        <v>4</v>
      </c>
      <c r="CN49" s="1">
        <f t="shared" si="85"/>
        <v>0</v>
      </c>
      <c r="CO49" s="1">
        <f t="shared" si="86"/>
        <v>1</v>
      </c>
      <c r="CP49" s="1" t="str">
        <f t="shared" si="87"/>
        <v>330EG34</v>
      </c>
      <c r="CR49" s="1" t="e">
        <f t="shared" si="88"/>
        <v>#VALUE!</v>
      </c>
      <c r="CS49" s="1" t="e">
        <f t="shared" si="89"/>
        <v>#VALUE!</v>
      </c>
      <c r="CT49" s="1">
        <f t="shared" si="90"/>
        <v>2</v>
      </c>
      <c r="CU49" s="1">
        <f t="shared" si="91"/>
        <v>4</v>
      </c>
      <c r="CV49" s="131" t="e">
        <f t="shared" si="92"/>
        <v>#VALUE!</v>
      </c>
      <c r="CW49" s="131">
        <v>1125.4</v>
      </c>
      <c r="CX49" s="131">
        <v>1572.9</v>
      </c>
      <c r="CY49" s="131">
        <v>1916</v>
      </c>
      <c r="CZ49" s="131">
        <v>2208.7</v>
      </c>
      <c r="DA49" s="131">
        <v>2287.7</v>
      </c>
      <c r="DC49" s="154">
        <f t="shared" si="93"/>
        <v>-750.612869081999</v>
      </c>
      <c r="DD49" s="154">
        <f t="shared" si="94"/>
        <v>-627.225495054</v>
      </c>
      <c r="DE49" s="154">
        <f t="shared" si="95"/>
        <v>-207.851592111</v>
      </c>
      <c r="DF49" s="1">
        <f t="shared" si="96"/>
        <v>-11.9962740322825</v>
      </c>
      <c r="DG49" s="1">
        <f t="shared" si="97"/>
        <v>-140.117267978611</v>
      </c>
      <c r="DH49" s="1">
        <f t="shared" si="98"/>
        <v>93</v>
      </c>
      <c r="DI49" s="1">
        <f t="shared" si="99"/>
        <v>69</v>
      </c>
      <c r="DJ49" s="1">
        <f t="shared" si="100"/>
        <v>358</v>
      </c>
      <c r="DK49" s="1">
        <f t="shared" si="101"/>
        <v>93</v>
      </c>
      <c r="DL49" s="1">
        <f t="shared" si="102"/>
        <v>69</v>
      </c>
      <c r="DM49" s="1">
        <f t="shared" si="103"/>
        <v>358</v>
      </c>
    </row>
    <row r="50" customHeight="1" spans="1:117">
      <c r="A50" s="152" t="str">
        <f t="shared" si="113"/>
        <v>Point Wain Emergency Shelter</v>
      </c>
      <c r="C50" s="55" t="str">
        <f t="shared" si="5"/>
        <v>N 37° 38.4' / W 142° 16.9'</v>
      </c>
      <c r="D50" s="150" t="str">
        <f t="shared" si="6"/>
        <v>1686 m</v>
      </c>
      <c r="E50" s="151">
        <f t="shared" si="7"/>
        <v>1146.5</v>
      </c>
      <c r="F50" s="151">
        <f t="shared" si="8"/>
        <v>2199.3</v>
      </c>
      <c r="G50" s="151">
        <f t="shared" si="9"/>
        <v>2114.9</v>
      </c>
      <c r="H50" s="151">
        <f t="shared" si="10"/>
        <v>1295.6</v>
      </c>
      <c r="I50" s="151">
        <f t="shared" si="11"/>
        <v>2209.6</v>
      </c>
      <c r="J50" s="171">
        <f t="shared" si="12"/>
        <v>1126.6</v>
      </c>
      <c r="K50" s="172">
        <f t="shared" si="114"/>
        <v>-627.440743631</v>
      </c>
      <c r="L50" s="172">
        <f t="shared" si="115"/>
        <v>-485.258151323998</v>
      </c>
      <c r="M50" s="173">
        <f t="shared" si="116"/>
        <v>611.733181289999</v>
      </c>
      <c r="N50" s="54">
        <f t="shared" si="13"/>
        <v>0.0928178268243161</v>
      </c>
      <c r="O50" s="55" t="str">
        <f t="shared" si="14"/>
        <v>Afternoon / Sets in 35m</v>
      </c>
      <c r="P50" s="55" t="str">
        <f t="shared" si="15"/>
        <v>307°M / +36°</v>
      </c>
      <c r="Q50" s="56">
        <f t="shared" si="16"/>
        <v>45683.809285502</v>
      </c>
      <c r="R50" s="56">
        <f t="shared" si="17"/>
        <v>45683.8150077241</v>
      </c>
      <c r="S50" s="56">
        <f t="shared" si="18"/>
        <v>45683.8614166375</v>
      </c>
      <c r="T50" s="56">
        <f t="shared" si="19"/>
        <v>45683.7361588885</v>
      </c>
      <c r="U50" s="180">
        <f t="shared" si="20"/>
        <v>45683.7418811105</v>
      </c>
      <c r="V50" s="55" t="str">
        <f t="shared" si="21"/>
        <v>Sets in 23m</v>
      </c>
      <c r="W50" s="55" t="str">
        <f t="shared" si="22"/>
        <v>315°M / +23°</v>
      </c>
      <c r="X50" s="56">
        <f t="shared" si="23"/>
        <v>45683.8101274736</v>
      </c>
      <c r="Y50" s="180">
        <f t="shared" si="24"/>
        <v>45683.7274720708</v>
      </c>
      <c r="Z50" s="55" t="str">
        <f t="shared" si="25"/>
        <v>001°M / -54°</v>
      </c>
      <c r="AA50" s="151">
        <f t="shared" si="26"/>
        <v>1617.7</v>
      </c>
      <c r="AB50" s="150">
        <f t="shared" si="27"/>
        <v>1880.3</v>
      </c>
      <c r="AC50" s="188">
        <v>41</v>
      </c>
      <c r="AD50" s="1" t="b">
        <f t="shared" si="28"/>
        <v>1</v>
      </c>
      <c r="AE50" s="1">
        <f t="shared" si="29"/>
        <v>37.6403904773798</v>
      </c>
      <c r="AF50" s="1">
        <f t="shared" si="30"/>
        <v>-142.281891743977</v>
      </c>
      <c r="AG50" s="1">
        <f t="shared" si="31"/>
        <v>217.718108256023</v>
      </c>
      <c r="AH50" s="2">
        <f t="shared" si="32"/>
        <v>1.68600134263102</v>
      </c>
      <c r="AI50" s="1">
        <f t="shared" si="33"/>
        <v>3.32477086815708</v>
      </c>
      <c r="AJ50" s="191">
        <f t="shared" si="111"/>
        <v>0</v>
      </c>
      <c r="AK50" s="191">
        <f t="shared" si="112"/>
        <v>0</v>
      </c>
      <c r="AL50" s="191">
        <f t="shared" si="34"/>
        <v>97.3235489352914</v>
      </c>
      <c r="AM50" s="20">
        <f t="shared" si="35"/>
        <v>-45.7185000411208</v>
      </c>
      <c r="AN50" s="191">
        <f t="shared" si="36"/>
        <v>56.3151963167735</v>
      </c>
      <c r="AO50" s="134">
        <f t="shared" si="37"/>
        <v>243</v>
      </c>
      <c r="AP50" s="64">
        <f t="shared" si="38"/>
        <v>39</v>
      </c>
      <c r="AQ50" s="1">
        <f t="shared" si="104"/>
        <v>93.3321968914707</v>
      </c>
      <c r="AR50" s="20">
        <f t="shared" si="39"/>
        <v>-59.9441641298964</v>
      </c>
      <c r="AS50" s="1">
        <f t="shared" si="40"/>
        <v>52.358999750254</v>
      </c>
      <c r="AT50" s="134">
        <f t="shared" si="41"/>
        <v>251</v>
      </c>
      <c r="AU50" s="64">
        <f t="shared" si="42"/>
        <v>26</v>
      </c>
      <c r="AV50" s="65">
        <f t="shared" si="43"/>
        <v>45683.8101274736</v>
      </c>
      <c r="AW50" s="65">
        <f t="shared" si="44"/>
        <v>45683.7274720708</v>
      </c>
      <c r="AX50" s="1">
        <f t="shared" si="45"/>
        <v>296</v>
      </c>
      <c r="AY50" s="1">
        <f t="shared" si="46"/>
        <v>-54</v>
      </c>
      <c r="AZ50" s="131">
        <f t="shared" si="47"/>
        <v>1617.7</v>
      </c>
      <c r="BA50" s="1">
        <f t="shared" si="48"/>
        <v>1880.3</v>
      </c>
      <c r="BB50" s="1">
        <f t="shared" si="49"/>
        <v>42369022.7478522</v>
      </c>
      <c r="BC50" s="1">
        <f t="shared" si="50"/>
        <v>36</v>
      </c>
      <c r="BD50" s="1">
        <f t="shared" si="51"/>
        <v>57480452.6520678</v>
      </c>
      <c r="BE50" s="1">
        <f t="shared" si="52"/>
        <v>23</v>
      </c>
      <c r="BF50" s="20">
        <f t="shared" si="53"/>
        <v>-162.373019178869</v>
      </c>
      <c r="BG50" s="1">
        <f t="shared" si="54"/>
        <v>240.194112622572</v>
      </c>
      <c r="BH50" s="1">
        <f t="shared" si="55"/>
        <v>-755.952477643973</v>
      </c>
      <c r="BI50" s="1">
        <f t="shared" si="56"/>
        <v>611.733181289999</v>
      </c>
      <c r="BJ50" s="1">
        <f t="shared" si="57"/>
        <v>240.194112622572</v>
      </c>
      <c r="BK50" s="1">
        <f t="shared" si="58"/>
        <v>-755.952477643973</v>
      </c>
      <c r="BL50" s="1">
        <f t="shared" si="59"/>
        <v>611.733181289999</v>
      </c>
      <c r="BM50" s="61">
        <f t="shared" si="60"/>
        <v>22462325.4465972</v>
      </c>
      <c r="BN50" s="61">
        <f t="shared" si="61"/>
        <v>37184989.0123525</v>
      </c>
      <c r="BO50" s="61">
        <f t="shared" si="62"/>
        <v>611.733181289999</v>
      </c>
      <c r="BQ50" s="1" t="str">
        <f t="shared" si="63"/>
        <v>N 37° 38.4' / W 142° 16.9'</v>
      </c>
      <c r="BR50" s="1" t="str">
        <f t="shared" si="64"/>
        <v>07S 482290 656806</v>
      </c>
      <c r="BS50" s="1" t="str">
        <f t="shared" si="65"/>
        <v>07S DG 822568</v>
      </c>
      <c r="BT50" s="1" t="b">
        <f t="shared" si="66"/>
        <v>0</v>
      </c>
      <c r="BU50" s="1" t="str">
        <f t="shared" si="67"/>
        <v>07S</v>
      </c>
      <c r="BV50" s="1">
        <f t="shared" si="68"/>
        <v>7</v>
      </c>
      <c r="BW50" s="1">
        <f t="shared" si="69"/>
        <v>0</v>
      </c>
      <c r="BX50" s="1">
        <f t="shared" si="70"/>
        <v>-141</v>
      </c>
      <c r="BY50" s="1">
        <f t="shared" si="71"/>
        <v>-17709.740830999</v>
      </c>
      <c r="BZ50" s="1">
        <f t="shared" si="72"/>
        <v>482290.2592</v>
      </c>
      <c r="CA50" s="1" t="str">
        <f t="shared" si="73"/>
        <v>D</v>
      </c>
      <c r="CB50" s="1" t="str">
        <f t="shared" si="74"/>
        <v>482290</v>
      </c>
      <c r="CC50" s="1" t="str">
        <f t="shared" si="75"/>
        <v>82290</v>
      </c>
      <c r="CD50" s="1">
        <f t="shared" si="76"/>
        <v>656806.965184677</v>
      </c>
      <c r="CE50" s="1">
        <f t="shared" si="77"/>
        <v>656806.9652</v>
      </c>
      <c r="CF50" s="1" t="str">
        <f t="shared" si="78"/>
        <v>G</v>
      </c>
      <c r="CG50" s="1" t="str">
        <f t="shared" si="79"/>
        <v>656806</v>
      </c>
      <c r="CH50" s="1" t="str">
        <f t="shared" si="80"/>
        <v>56806</v>
      </c>
      <c r="CJ50" s="1">
        <f t="shared" si="81"/>
        <v>76</v>
      </c>
      <c r="CK50" s="1" t="str">
        <f t="shared" si="82"/>
        <v>LR</v>
      </c>
      <c r="CL50" s="1">
        <f t="shared" si="83"/>
        <v>3</v>
      </c>
      <c r="CM50" s="1">
        <f t="shared" si="84"/>
        <v>6</v>
      </c>
      <c r="CN50" s="1">
        <f t="shared" si="85"/>
        <v>2</v>
      </c>
      <c r="CO50" s="1">
        <f t="shared" si="86"/>
        <v>1</v>
      </c>
      <c r="CP50" s="1" t="str">
        <f t="shared" si="87"/>
        <v>076LR36</v>
      </c>
      <c r="CR50" s="1" t="e">
        <f t="shared" si="88"/>
        <v>#VALUE!</v>
      </c>
      <c r="CS50" s="1" t="e">
        <f t="shared" si="89"/>
        <v>#VALUE!</v>
      </c>
      <c r="CT50" s="1">
        <f t="shared" si="90"/>
        <v>1</v>
      </c>
      <c r="CU50" s="1">
        <f t="shared" si="91"/>
        <v>4</v>
      </c>
      <c r="CV50" s="131" t="e">
        <f t="shared" si="92"/>
        <v>#VALUE!</v>
      </c>
      <c r="CW50" s="131">
        <v>1146.5</v>
      </c>
      <c r="CX50" s="131">
        <v>1295.6</v>
      </c>
      <c r="CY50" s="131">
        <v>2114.9</v>
      </c>
      <c r="CZ50" s="131">
        <v>2199.3</v>
      </c>
      <c r="DA50" s="131">
        <v>2209.6</v>
      </c>
      <c r="DC50" s="154">
        <f t="shared" si="93"/>
        <v>627.440743631</v>
      </c>
      <c r="DD50" s="154">
        <f t="shared" si="94"/>
        <v>611.733181289999</v>
      </c>
      <c r="DE50" s="154">
        <f t="shared" si="95"/>
        <v>-485.258151323998</v>
      </c>
      <c r="DF50" s="1">
        <f t="shared" si="96"/>
        <v>-28.9758797936644</v>
      </c>
      <c r="DG50" s="1">
        <f t="shared" si="97"/>
        <v>44.2737671336284</v>
      </c>
      <c r="DH50" s="1">
        <f t="shared" si="98"/>
        <v>307</v>
      </c>
      <c r="DI50" s="1">
        <f t="shared" si="99"/>
        <v>315</v>
      </c>
      <c r="DJ50" s="1">
        <f t="shared" si="100"/>
        <v>1</v>
      </c>
      <c r="DK50" s="1">
        <f t="shared" si="101"/>
        <v>307</v>
      </c>
      <c r="DL50" s="1">
        <f t="shared" si="102"/>
        <v>315</v>
      </c>
      <c r="DM50" s="1">
        <f t="shared" si="103"/>
        <v>1</v>
      </c>
    </row>
    <row r="51" customHeight="1" spans="1:117">
      <c r="A51" s="152" t="str">
        <f t="shared" si="113"/>
        <v/>
      </c>
      <c r="C51" s="55" t="str">
        <f t="shared" si="5"/>
        <v/>
      </c>
      <c r="D51" s="150" t="str">
        <f t="shared" si="6"/>
        <v/>
      </c>
      <c r="E51" s="151" t="str">
        <f t="shared" si="7"/>
        <v/>
      </c>
      <c r="F51" s="151" t="str">
        <f t="shared" si="8"/>
        <v/>
      </c>
      <c r="G51" s="151" t="str">
        <f t="shared" si="9"/>
        <v/>
      </c>
      <c r="H51" s="151" t="str">
        <f t="shared" si="10"/>
        <v/>
      </c>
      <c r="I51" s="151" t="str">
        <f t="shared" si="11"/>
        <v/>
      </c>
      <c r="J51" s="171" t="str">
        <f t="shared" si="12"/>
        <v/>
      </c>
      <c r="K51" s="172" t="str">
        <f t="shared" si="114"/>
        <v/>
      </c>
      <c r="L51" s="172" t="str">
        <f t="shared" si="115"/>
        <v/>
      </c>
      <c r="M51" s="173" t="str">
        <f t="shared" si="116"/>
        <v/>
      </c>
      <c r="N51" s="54" t="str">
        <f t="shared" si="13"/>
        <v/>
      </c>
      <c r="O51" s="55" t="str">
        <f t="shared" si="14"/>
        <v/>
      </c>
      <c r="P51" s="55" t="str">
        <f t="shared" si="15"/>
        <v/>
      </c>
      <c r="Q51" s="56" t="str">
        <f t="shared" si="16"/>
        <v/>
      </c>
      <c r="R51" s="56" t="str">
        <f t="shared" si="17"/>
        <v/>
      </c>
      <c r="S51" s="56" t="str">
        <f t="shared" si="18"/>
        <v/>
      </c>
      <c r="T51" s="56" t="str">
        <f t="shared" si="19"/>
        <v/>
      </c>
      <c r="U51" s="180" t="str">
        <f t="shared" si="20"/>
        <v/>
      </c>
      <c r="V51" s="55" t="str">
        <f t="shared" si="21"/>
        <v/>
      </c>
      <c r="W51" s="55" t="str">
        <f t="shared" si="22"/>
        <v/>
      </c>
      <c r="X51" s="56" t="str">
        <f t="shared" si="23"/>
        <v/>
      </c>
      <c r="Y51" s="180" t="str">
        <f t="shared" si="24"/>
        <v/>
      </c>
      <c r="Z51" s="55" t="str">
        <f t="shared" si="25"/>
        <v/>
      </c>
      <c r="AA51" s="55" t="str">
        <f t="shared" si="26"/>
        <v/>
      </c>
      <c r="AB51" s="150" t="str">
        <f t="shared" si="27"/>
        <v/>
      </c>
      <c r="AC51" s="188">
        <v>42</v>
      </c>
      <c r="AD51" s="1" t="b">
        <f t="shared" si="28"/>
        <v>0</v>
      </c>
      <c r="AE51" s="1" t="str">
        <f t="shared" si="29"/>
        <v/>
      </c>
      <c r="AF51" s="1" t="str">
        <f t="shared" si="30"/>
        <v/>
      </c>
      <c r="AG51" s="1" t="str">
        <f t="shared" si="31"/>
        <v/>
      </c>
      <c r="AH51" s="1" t="str">
        <f t="shared" si="32"/>
        <v/>
      </c>
      <c r="AI51" s="1" t="str">
        <f t="shared" si="33"/>
        <v/>
      </c>
      <c r="AJ51" s="191" t="str">
        <f t="shared" si="111"/>
        <v/>
      </c>
      <c r="AK51" s="191" t="str">
        <f t="shared" si="112"/>
        <v/>
      </c>
      <c r="AL51" s="191" t="str">
        <f t="shared" si="34"/>
        <v/>
      </c>
      <c r="AM51" s="1" t="str">
        <f t="shared" si="35"/>
        <v/>
      </c>
      <c r="AN51" s="191" t="str">
        <f t="shared" si="36"/>
        <v/>
      </c>
      <c r="AO51" s="134" t="str">
        <f t="shared" si="37"/>
        <v/>
      </c>
      <c r="AP51" s="64" t="str">
        <f t="shared" si="38"/>
        <v/>
      </c>
      <c r="AQ51" s="1" t="str">
        <f t="shared" si="104"/>
        <v/>
      </c>
      <c r="AR51" s="1" t="str">
        <f t="shared" si="39"/>
        <v/>
      </c>
      <c r="AS51" s="1" t="str">
        <f t="shared" si="40"/>
        <v/>
      </c>
      <c r="AT51" s="134" t="str">
        <f t="shared" si="41"/>
        <v/>
      </c>
      <c r="AU51" s="64" t="str">
        <f t="shared" si="42"/>
        <v/>
      </c>
      <c r="AV51" s="65" t="str">
        <f t="shared" si="43"/>
        <v/>
      </c>
      <c r="AW51" s="65" t="str">
        <f t="shared" si="44"/>
        <v/>
      </c>
      <c r="AX51" s="1" t="str">
        <f t="shared" si="45"/>
        <v/>
      </c>
      <c r="AY51" s="1" t="str">
        <f t="shared" si="46"/>
        <v/>
      </c>
      <c r="AZ51" s="131" t="str">
        <f t="shared" si="47"/>
        <v/>
      </c>
      <c r="BA51" s="1" t="str">
        <f t="shared" si="48"/>
        <v/>
      </c>
      <c r="BB51" s="1" t="str">
        <f t="shared" si="49"/>
        <v/>
      </c>
      <c r="BC51" s="1" t="str">
        <f t="shared" si="50"/>
        <v/>
      </c>
      <c r="BD51" s="1" t="str">
        <f t="shared" si="51"/>
        <v/>
      </c>
      <c r="BE51" s="1" t="str">
        <f t="shared" si="52"/>
        <v/>
      </c>
      <c r="BF51" s="1" t="str">
        <f t="shared" si="53"/>
        <v/>
      </c>
      <c r="BG51" s="1" t="str">
        <f t="shared" si="54"/>
        <v/>
      </c>
      <c r="BH51" s="1" t="str">
        <f t="shared" si="55"/>
        <v/>
      </c>
      <c r="BI51" s="1" t="str">
        <f t="shared" si="56"/>
        <v/>
      </c>
      <c r="BJ51" s="1" t="str">
        <f t="shared" si="57"/>
        <v/>
      </c>
      <c r="BK51" s="1" t="str">
        <f t="shared" si="58"/>
        <v/>
      </c>
      <c r="BL51" s="1" t="str">
        <f t="shared" si="59"/>
        <v/>
      </c>
      <c r="BM51" s="1" t="str">
        <f t="shared" si="60"/>
        <v/>
      </c>
      <c r="BN51" s="1" t="str">
        <f t="shared" si="61"/>
        <v/>
      </c>
      <c r="BO51" s="1" t="str">
        <f t="shared" si="62"/>
        <v/>
      </c>
      <c r="BQ51" s="1" t="str">
        <f t="shared" si="63"/>
        <v/>
      </c>
      <c r="BR51" s="1" t="str">
        <f t="shared" si="64"/>
        <v/>
      </c>
      <c r="BS51" s="1" t="str">
        <f t="shared" si="65"/>
        <v/>
      </c>
      <c r="BT51" s="1" t="str">
        <f t="shared" si="66"/>
        <v/>
      </c>
      <c r="BU51" s="1" t="str">
        <f t="shared" si="67"/>
        <v/>
      </c>
      <c r="BV51" s="1" t="str">
        <f t="shared" si="68"/>
        <v/>
      </c>
      <c r="BW51" s="1" t="str">
        <f t="shared" si="69"/>
        <v/>
      </c>
      <c r="BX51" s="1" t="str">
        <f t="shared" si="70"/>
        <v/>
      </c>
      <c r="BY51" s="1" t="str">
        <f t="shared" si="71"/>
        <v/>
      </c>
      <c r="BZ51" s="1" t="str">
        <f t="shared" si="72"/>
        <v/>
      </c>
      <c r="CA51" s="1" t="str">
        <f t="shared" si="73"/>
        <v/>
      </c>
      <c r="CB51" s="1" t="str">
        <f t="shared" si="74"/>
        <v/>
      </c>
      <c r="CC51" s="1" t="str">
        <f t="shared" si="75"/>
        <v/>
      </c>
      <c r="CD51" s="1" t="str">
        <f t="shared" si="76"/>
        <v/>
      </c>
      <c r="CE51" s="1" t="str">
        <f t="shared" si="77"/>
        <v/>
      </c>
      <c r="CF51" s="1" t="str">
        <f t="shared" si="78"/>
        <v/>
      </c>
      <c r="CG51" s="1" t="str">
        <f t="shared" si="79"/>
        <v/>
      </c>
      <c r="CH51" s="1" t="str">
        <f t="shared" si="80"/>
        <v/>
      </c>
      <c r="CJ51" s="1" t="str">
        <f t="shared" si="81"/>
        <v/>
      </c>
      <c r="CK51" s="1" t="str">
        <f t="shared" si="82"/>
        <v/>
      </c>
      <c r="CL51" s="1" t="str">
        <f t="shared" si="83"/>
        <v/>
      </c>
      <c r="CM51" s="1" t="str">
        <f t="shared" si="84"/>
        <v/>
      </c>
      <c r="CN51" s="1" t="str">
        <f t="shared" si="85"/>
        <v/>
      </c>
      <c r="CO51" s="1" t="str">
        <f t="shared" si="86"/>
        <v/>
      </c>
      <c r="CP51" s="1" t="str">
        <f t="shared" si="87"/>
        <v/>
      </c>
      <c r="CR51" s="1" t="str">
        <f t="shared" si="88"/>
        <v/>
      </c>
      <c r="CS51" s="1" t="str">
        <f t="shared" si="89"/>
        <v/>
      </c>
      <c r="CT51" s="1" t="str">
        <f t="shared" si="90"/>
        <v/>
      </c>
      <c r="CU51" s="1" t="str">
        <f t="shared" si="91"/>
        <v/>
      </c>
      <c r="CV51" s="1" t="str">
        <f t="shared" si="92"/>
        <v/>
      </c>
      <c r="DC51" s="154" t="e">
        <f t="shared" si="93"/>
        <v>#VALUE!</v>
      </c>
      <c r="DD51" s="154" t="str">
        <f t="shared" si="94"/>
        <v/>
      </c>
      <c r="DE51" s="154" t="str">
        <f t="shared" si="95"/>
        <v/>
      </c>
      <c r="DF51" s="1" t="str">
        <f t="shared" si="96"/>
        <v/>
      </c>
      <c r="DG51" s="1" t="str">
        <f t="shared" si="97"/>
        <v/>
      </c>
      <c r="DH51" s="1" t="str">
        <f t="shared" si="98"/>
        <v/>
      </c>
      <c r="DI51" s="1" t="str">
        <f t="shared" si="99"/>
        <v/>
      </c>
      <c r="DJ51" s="1" t="str">
        <f t="shared" si="100"/>
        <v/>
      </c>
      <c r="DK51" s="1" t="str">
        <f t="shared" si="101"/>
        <v/>
      </c>
      <c r="DL51" s="1" t="str">
        <f t="shared" si="102"/>
        <v/>
      </c>
      <c r="DM51" s="1" t="str">
        <f t="shared" si="103"/>
        <v/>
      </c>
    </row>
    <row r="52" customHeight="1" spans="1:117">
      <c r="A52" s="152" t="str">
        <f t="shared" si="113"/>
        <v>Settlements</v>
      </c>
      <c r="C52" s="55" t="e">
        <f t="shared" si="5"/>
        <v>#DIV/0!</v>
      </c>
      <c r="D52" s="150" t="str">
        <f t="shared" si="6"/>
        <v>-1000000 m</v>
      </c>
      <c r="E52" s="151">
        <f t="shared" si="7"/>
        <v>1439.6</v>
      </c>
      <c r="F52" s="151">
        <f t="shared" si="8"/>
        <v>1439.6</v>
      </c>
      <c r="G52" s="151">
        <f t="shared" si="9"/>
        <v>1439.6</v>
      </c>
      <c r="H52" s="151">
        <f t="shared" si="10"/>
        <v>1439.6</v>
      </c>
      <c r="I52" s="151">
        <f t="shared" si="11"/>
        <v>1439.6</v>
      </c>
      <c r="J52" s="171">
        <f t="shared" si="12"/>
        <v>1439.6</v>
      </c>
      <c r="K52" s="172">
        <f t="shared" si="114"/>
        <v>0</v>
      </c>
      <c r="L52" s="172">
        <f t="shared" si="115"/>
        <v>0</v>
      </c>
      <c r="M52" s="173">
        <f t="shared" si="116"/>
        <v>0</v>
      </c>
      <c r="N52" s="54" t="str">
        <f t="shared" si="13"/>
        <v>Continuous</v>
      </c>
      <c r="O52" s="55" t="e">
        <f t="shared" si="14"/>
        <v>#DIV/0!</v>
      </c>
      <c r="P52" s="55" t="e">
        <f t="shared" si="15"/>
        <v>#DIV/0!</v>
      </c>
      <c r="Q52" s="56" t="str">
        <f t="shared" si="16"/>
        <v/>
      </c>
      <c r="R52" s="56" t="str">
        <f t="shared" si="17"/>
        <v/>
      </c>
      <c r="S52" s="56" t="str">
        <f t="shared" si="18"/>
        <v/>
      </c>
      <c r="T52" s="56" t="str">
        <f t="shared" si="19"/>
        <v/>
      </c>
      <c r="U52" s="180" t="str">
        <f t="shared" si="20"/>
        <v/>
      </c>
      <c r="V52" s="55" t="e">
        <f t="shared" si="21"/>
        <v>#DIV/0!</v>
      </c>
      <c r="W52" s="55" t="e">
        <f t="shared" si="22"/>
        <v>#DIV/0!</v>
      </c>
      <c r="X52" s="56" t="str">
        <f t="shared" si="23"/>
        <v/>
      </c>
      <c r="Y52" s="180" t="str">
        <f t="shared" si="24"/>
        <v/>
      </c>
      <c r="Z52" s="55" t="e">
        <f t="shared" si="25"/>
        <v>#DIV/0!</v>
      </c>
      <c r="AA52" s="55">
        <f t="shared" si="26"/>
        <v>1001.4</v>
      </c>
      <c r="AB52" s="150" t="e">
        <f t="shared" si="27"/>
        <v>#DIV/0!</v>
      </c>
      <c r="AC52" s="188">
        <v>43</v>
      </c>
      <c r="AD52" s="1" t="b">
        <f t="shared" si="28"/>
        <v>1</v>
      </c>
      <c r="AE52" s="1" t="e">
        <f t="shared" si="29"/>
        <v>#DIV/0!</v>
      </c>
      <c r="AF52" s="1" t="e">
        <f t="shared" si="30"/>
        <v>#DIV/0!</v>
      </c>
      <c r="AG52" s="1" t="e">
        <f t="shared" si="31"/>
        <v>#DIV/0!</v>
      </c>
      <c r="AH52" s="1">
        <f t="shared" si="32"/>
        <v>-1000</v>
      </c>
      <c r="AI52" s="1">
        <f t="shared" si="33"/>
        <v>0</v>
      </c>
      <c r="AJ52" s="191">
        <f t="shared" si="111"/>
        <v>0</v>
      </c>
      <c r="AK52" s="191">
        <f t="shared" si="112"/>
        <v>0</v>
      </c>
      <c r="AL52" s="191" t="e">
        <f t="shared" si="34"/>
        <v>#DIV/0!</v>
      </c>
      <c r="AM52" s="1" t="e">
        <f t="shared" si="35"/>
        <v>#DIV/0!</v>
      </c>
      <c r="AN52" s="191">
        <f t="shared" si="36"/>
        <v>90</v>
      </c>
      <c r="AO52" s="134" t="e">
        <f t="shared" si="37"/>
        <v>#DIV/0!</v>
      </c>
      <c r="AP52" s="64" t="e">
        <f t="shared" si="38"/>
        <v>#DIV/0!</v>
      </c>
      <c r="AQ52" s="1" t="e">
        <f t="shared" si="104"/>
        <v>#DIV/0!</v>
      </c>
      <c r="AR52" s="1" t="e">
        <f t="shared" si="39"/>
        <v>#DIV/0!</v>
      </c>
      <c r="AS52" s="1">
        <f t="shared" si="40"/>
        <v>90</v>
      </c>
      <c r="AT52" s="134" t="e">
        <f t="shared" si="41"/>
        <v>#DIV/0!</v>
      </c>
      <c r="AU52" s="64" t="e">
        <f t="shared" si="42"/>
        <v>#DIV/0!</v>
      </c>
      <c r="AV52" s="65" t="e">
        <f t="shared" si="43"/>
        <v>#DIV/0!</v>
      </c>
      <c r="AW52" s="65" t="e">
        <f t="shared" si="44"/>
        <v>#DIV/0!</v>
      </c>
      <c r="AX52" s="1" t="e">
        <f t="shared" si="45"/>
        <v>#DIV/0!</v>
      </c>
      <c r="AY52" s="1" t="e">
        <f t="shared" si="46"/>
        <v>#DIV/0!</v>
      </c>
      <c r="AZ52" s="131">
        <f t="shared" si="47"/>
        <v>1001.4</v>
      </c>
      <c r="BA52" s="1" t="e">
        <f t="shared" si="48"/>
        <v>#DIV/0!</v>
      </c>
      <c r="BB52" s="1">
        <f t="shared" si="49"/>
        <v>42369617.4235177</v>
      </c>
      <c r="BC52" s="1" t="e">
        <f t="shared" si="50"/>
        <v>#DIV/0!</v>
      </c>
      <c r="BD52" s="1">
        <f t="shared" si="51"/>
        <v>57480849.9111489</v>
      </c>
      <c r="BE52" s="1" t="e">
        <f t="shared" si="52"/>
        <v>#DIV/0!</v>
      </c>
      <c r="BF52" s="1" t="e">
        <f t="shared" si="53"/>
        <v>#DIV/0!</v>
      </c>
      <c r="BG52" s="1" t="e">
        <f t="shared" si="54"/>
        <v>#DIV/0!</v>
      </c>
      <c r="BH52" s="1" t="e">
        <f t="shared" si="55"/>
        <v>#DIV/0!</v>
      </c>
      <c r="BI52" s="1" t="e">
        <f t="shared" si="56"/>
        <v>#DIV/0!</v>
      </c>
      <c r="BJ52" s="1" t="e">
        <f t="shared" si="57"/>
        <v>#DIV/0!</v>
      </c>
      <c r="BK52" s="1" t="e">
        <f t="shared" si="58"/>
        <v>#DIV/0!</v>
      </c>
      <c r="BL52" s="1" t="e">
        <f t="shared" si="59"/>
        <v>#DIV/0!</v>
      </c>
      <c r="BM52" s="1" t="e">
        <f t="shared" si="60"/>
        <v>#DIV/0!</v>
      </c>
      <c r="BN52" s="1" t="e">
        <f t="shared" si="61"/>
        <v>#DIV/0!</v>
      </c>
      <c r="BO52" s="1" t="e">
        <f t="shared" si="62"/>
        <v>#DIV/0!</v>
      </c>
      <c r="BQ52" s="1" t="e">
        <f t="shared" si="63"/>
        <v>#DIV/0!</v>
      </c>
      <c r="BR52" s="1" t="e">
        <f t="shared" si="64"/>
        <v>#DIV/0!</v>
      </c>
      <c r="BS52" s="1" t="e">
        <f t="shared" si="65"/>
        <v>#DIV/0!</v>
      </c>
      <c r="BT52" s="1" t="e">
        <f t="shared" si="66"/>
        <v>#DIV/0!</v>
      </c>
      <c r="BU52" s="1" t="e">
        <f t="shared" si="67"/>
        <v>#DIV/0!</v>
      </c>
      <c r="BV52" s="1" t="e">
        <f t="shared" si="68"/>
        <v>#DIV/0!</v>
      </c>
      <c r="BW52" s="1" t="e">
        <f t="shared" si="69"/>
        <v>#DIV/0!</v>
      </c>
      <c r="BX52" s="1" t="e">
        <f t="shared" si="70"/>
        <v>#DIV/0!</v>
      </c>
      <c r="BY52" s="1" t="e">
        <f t="shared" si="71"/>
        <v>#DIV/0!</v>
      </c>
      <c r="BZ52" s="1" t="e">
        <f t="shared" si="72"/>
        <v>#DIV/0!</v>
      </c>
      <c r="CA52" s="1" t="e">
        <f t="shared" si="73"/>
        <v>#DIV/0!</v>
      </c>
      <c r="CB52" s="1" t="e">
        <f t="shared" si="74"/>
        <v>#DIV/0!</v>
      </c>
      <c r="CC52" s="1" t="e">
        <f t="shared" si="75"/>
        <v>#DIV/0!</v>
      </c>
      <c r="CD52" s="1" t="e">
        <f t="shared" si="76"/>
        <v>#DIV/0!</v>
      </c>
      <c r="CE52" s="1" t="e">
        <f t="shared" si="77"/>
        <v>#DIV/0!</v>
      </c>
      <c r="CF52" s="1" t="e">
        <f t="shared" si="78"/>
        <v>#DIV/0!</v>
      </c>
      <c r="CG52" s="1" t="e">
        <f t="shared" si="79"/>
        <v>#DIV/0!</v>
      </c>
      <c r="CH52" s="1" t="e">
        <f t="shared" si="80"/>
        <v>#DIV/0!</v>
      </c>
      <c r="CJ52" s="1" t="e">
        <f t="shared" si="81"/>
        <v>#DIV/0!</v>
      </c>
      <c r="CK52" s="1" t="e">
        <f t="shared" si="82"/>
        <v>#DIV/0!</v>
      </c>
      <c r="CL52" s="1" t="e">
        <f t="shared" si="83"/>
        <v>#DIV/0!</v>
      </c>
      <c r="CM52" s="1" t="e">
        <f t="shared" si="84"/>
        <v>#DIV/0!</v>
      </c>
      <c r="CN52" s="1" t="e">
        <f t="shared" si="85"/>
        <v>#DIV/0!</v>
      </c>
      <c r="CO52" s="1" t="e">
        <f t="shared" si="86"/>
        <v>#DIV/0!</v>
      </c>
      <c r="CP52" s="1" t="e">
        <f t="shared" si="87"/>
        <v>#DIV/0!</v>
      </c>
      <c r="CR52" s="1" t="e">
        <f t="shared" si="88"/>
        <v>#VALUE!</v>
      </c>
      <c r="CS52" s="1" t="e">
        <f t="shared" si="89"/>
        <v>#VALUE!</v>
      </c>
      <c r="CT52" s="1" t="str">
        <f t="shared" si="90"/>
        <v/>
      </c>
      <c r="CU52" s="1" t="str">
        <f t="shared" si="91"/>
        <v/>
      </c>
      <c r="CV52" s="1" t="e">
        <f t="shared" si="92"/>
        <v>#VALUE!</v>
      </c>
      <c r="DC52" s="154">
        <f t="shared" si="93"/>
        <v>0</v>
      </c>
      <c r="DD52" s="154">
        <f t="shared" si="94"/>
        <v>0</v>
      </c>
      <c r="DE52" s="154">
        <f t="shared" si="95"/>
        <v>0</v>
      </c>
      <c r="DF52" s="1" t="e">
        <f t="shared" si="96"/>
        <v>#DIV/0!</v>
      </c>
      <c r="DG52" s="1" t="e">
        <f t="shared" si="97"/>
        <v>#DIV/0!</v>
      </c>
      <c r="DH52" s="1" t="e">
        <f t="shared" si="98"/>
        <v>#DIV/0!</v>
      </c>
      <c r="DI52" s="1" t="e">
        <f t="shared" si="99"/>
        <v>#DIV/0!</v>
      </c>
      <c r="DJ52" s="1" t="e">
        <f t="shared" si="100"/>
        <v>#DIV/0!</v>
      </c>
      <c r="DK52" s="1" t="e">
        <f t="shared" si="101"/>
        <v>#DIV/0!</v>
      </c>
      <c r="DL52" s="1" t="e">
        <f t="shared" si="102"/>
        <v>#DIV/0!</v>
      </c>
      <c r="DM52" s="1" t="e">
        <f t="shared" si="103"/>
        <v>#DIV/0!</v>
      </c>
    </row>
    <row r="53" customHeight="1" spans="1:117">
      <c r="A53" s="152" t="str">
        <f t="shared" si="113"/>
        <v>Astor's Clearing (Ewok Village)</v>
      </c>
      <c r="C53" s="55" t="str">
        <f t="shared" si="5"/>
        <v>S 05° 49.2' / E 144° 30.1'</v>
      </c>
      <c r="D53" s="150" t="str">
        <f t="shared" si="6"/>
        <v>346 m</v>
      </c>
      <c r="E53" s="151">
        <f t="shared" si="7"/>
        <v>1834.4</v>
      </c>
      <c r="F53" s="151">
        <f t="shared" si="8"/>
        <v>1667.7</v>
      </c>
      <c r="G53" s="151">
        <f t="shared" si="9"/>
        <v>1187.1</v>
      </c>
      <c r="H53" s="151">
        <f t="shared" si="10"/>
        <v>2176.5</v>
      </c>
      <c r="I53" s="151">
        <f t="shared" si="11"/>
        <v>2325.1</v>
      </c>
      <c r="J53" s="171">
        <f t="shared" si="12"/>
        <v>860.4</v>
      </c>
      <c r="K53" s="172">
        <f t="shared" si="114"/>
        <v>-810.219016957</v>
      </c>
      <c r="L53" s="172">
        <f t="shared" si="115"/>
        <v>577.883641289</v>
      </c>
      <c r="M53" s="173">
        <f t="shared" si="116"/>
        <v>-101.430451723</v>
      </c>
      <c r="N53" s="54">
        <f t="shared" si="13"/>
        <v>0.0877834283260136</v>
      </c>
      <c r="O53" s="55" t="str">
        <f t="shared" si="14"/>
        <v>Morning / Sets in 82m</v>
      </c>
      <c r="P53" s="55" t="str">
        <f t="shared" si="15"/>
        <v>157°M / +61°</v>
      </c>
      <c r="Q53" s="56">
        <f t="shared" si="16"/>
        <v>45683.8467159977</v>
      </c>
      <c r="R53" s="56">
        <f t="shared" si="17"/>
        <v>45683.8524382198</v>
      </c>
      <c r="S53" s="56">
        <f t="shared" si="18"/>
        <v>45683.7246632714</v>
      </c>
      <c r="T53" s="56">
        <f t="shared" si="19"/>
        <v>45683.7685549856</v>
      </c>
      <c r="U53" s="180">
        <f t="shared" si="20"/>
        <v>45683.7742772077</v>
      </c>
      <c r="V53" s="55" t="str">
        <f t="shared" si="21"/>
        <v>Sets in 72m</v>
      </c>
      <c r="W53" s="55" t="str">
        <f t="shared" si="22"/>
        <v>153°M / +76°</v>
      </c>
      <c r="X53" s="56">
        <f t="shared" si="23"/>
        <v>45683.845907383</v>
      </c>
      <c r="Y53" s="180">
        <f t="shared" si="24"/>
        <v>45683.7615187541</v>
      </c>
      <c r="Z53" s="55" t="str">
        <f t="shared" si="25"/>
        <v>012°M / -25°</v>
      </c>
      <c r="AA53" s="151">
        <f t="shared" si="26"/>
        <v>832.2</v>
      </c>
      <c r="AB53" s="150">
        <f t="shared" si="27"/>
        <v>857.6</v>
      </c>
      <c r="AC53" s="188">
        <v>44</v>
      </c>
      <c r="AD53" s="1" t="b">
        <f t="shared" si="28"/>
        <v>1</v>
      </c>
      <c r="AE53" s="1">
        <f t="shared" si="29"/>
        <v>-5.81952658981102</v>
      </c>
      <c r="AF53" s="1">
        <f t="shared" si="30"/>
        <v>144.50187328467</v>
      </c>
      <c r="AG53" s="1">
        <f t="shared" si="31"/>
        <v>144.50187328467</v>
      </c>
      <c r="AH53" s="2">
        <f t="shared" si="32"/>
        <v>0.346187499574057</v>
      </c>
      <c r="AI53" s="1">
        <f t="shared" si="33"/>
        <v>1.50740754938269</v>
      </c>
      <c r="AJ53" s="191">
        <f t="shared" si="111"/>
        <v>0</v>
      </c>
      <c r="AK53" s="191">
        <f t="shared" si="112"/>
        <v>0</v>
      </c>
      <c r="AL53" s="191">
        <f t="shared" si="34"/>
        <v>92.0447620322464</v>
      </c>
      <c r="AM53" s="20">
        <f t="shared" si="35"/>
        <v>27.4977349302325</v>
      </c>
      <c r="AN53" s="191">
        <f t="shared" si="36"/>
        <v>80.2239056486189</v>
      </c>
      <c r="AO53" s="134">
        <f t="shared" si="37"/>
        <v>71</v>
      </c>
      <c r="AP53" s="64">
        <f t="shared" si="38"/>
        <v>71</v>
      </c>
      <c r="AQ53" s="1">
        <f t="shared" si="104"/>
        <v>91.5148335726963</v>
      </c>
      <c r="AR53" s="20">
        <f t="shared" si="39"/>
        <v>13.2720708414569</v>
      </c>
      <c r="AS53" s="1">
        <f t="shared" si="40"/>
        <v>84.1803723032826</v>
      </c>
      <c r="AT53" s="134">
        <f t="shared" si="41"/>
        <v>67</v>
      </c>
      <c r="AU53" s="64">
        <f t="shared" si="42"/>
        <v>82</v>
      </c>
      <c r="AV53" s="65">
        <f t="shared" si="43"/>
        <v>45683.845907383</v>
      </c>
      <c r="AW53" s="65">
        <f t="shared" si="44"/>
        <v>45683.7615187541</v>
      </c>
      <c r="AX53" s="1">
        <f t="shared" si="45"/>
        <v>287</v>
      </c>
      <c r="AY53" s="1">
        <f t="shared" si="46"/>
        <v>-25</v>
      </c>
      <c r="AZ53" s="131">
        <f t="shared" si="47"/>
        <v>832.2</v>
      </c>
      <c r="BA53" s="1">
        <f t="shared" si="48"/>
        <v>857.6</v>
      </c>
      <c r="BB53" s="1">
        <f t="shared" si="49"/>
        <v>42368743.7653168</v>
      </c>
      <c r="BC53" s="1">
        <f t="shared" si="50"/>
        <v>61</v>
      </c>
      <c r="BD53" s="1">
        <f t="shared" si="51"/>
        <v>57479881.3017278</v>
      </c>
      <c r="BE53" s="1">
        <f t="shared" si="52"/>
        <v>76</v>
      </c>
      <c r="BF53" s="20">
        <f t="shared" si="53"/>
        <v>124.410745849778</v>
      </c>
      <c r="BG53" s="1">
        <f t="shared" si="54"/>
        <v>-821.039744357942</v>
      </c>
      <c r="BH53" s="1">
        <f t="shared" si="55"/>
        <v>-562.403855332488</v>
      </c>
      <c r="BI53" s="1">
        <f t="shared" si="56"/>
        <v>-101.430451723</v>
      </c>
      <c r="BJ53" s="1">
        <f t="shared" si="57"/>
        <v>-821.039744357942</v>
      </c>
      <c r="BK53" s="1">
        <f t="shared" si="58"/>
        <v>-562.403855332488</v>
      </c>
      <c r="BL53" s="1">
        <f t="shared" si="59"/>
        <v>-101.430451723</v>
      </c>
      <c r="BM53" s="61">
        <f t="shared" si="60"/>
        <v>22461264.2127402</v>
      </c>
      <c r="BN53" s="61">
        <f t="shared" si="61"/>
        <v>37185182.5609748</v>
      </c>
      <c r="BO53" s="61">
        <f t="shared" si="62"/>
        <v>-101.430451723</v>
      </c>
      <c r="BQ53" s="1" t="str">
        <f t="shared" si="63"/>
        <v>S 05° 49.2' / E 144° 30.1'</v>
      </c>
      <c r="BR53" s="1" t="str">
        <f t="shared" si="64"/>
        <v>55M 456628 1898374</v>
      </c>
      <c r="BS53" s="1" t="str">
        <f t="shared" si="65"/>
        <v>55M DU 566983</v>
      </c>
      <c r="BT53" s="1" t="b">
        <f t="shared" si="66"/>
        <v>0</v>
      </c>
      <c r="BU53" s="1" t="str">
        <f t="shared" si="67"/>
        <v>55M</v>
      </c>
      <c r="BV53" s="1">
        <f t="shared" si="68"/>
        <v>55</v>
      </c>
      <c r="BW53" s="1">
        <f t="shared" si="69"/>
        <v>0</v>
      </c>
      <c r="BX53" s="1">
        <f t="shared" si="70"/>
        <v>147</v>
      </c>
      <c r="BY53" s="1">
        <f t="shared" si="71"/>
        <v>-43371.9391565022</v>
      </c>
      <c r="BZ53" s="1">
        <f t="shared" si="72"/>
        <v>456628.0608</v>
      </c>
      <c r="CA53" s="1" t="str">
        <f t="shared" si="73"/>
        <v>D</v>
      </c>
      <c r="CB53" s="1" t="str">
        <f t="shared" si="74"/>
        <v>456628</v>
      </c>
      <c r="CC53" s="1" t="str">
        <f t="shared" si="75"/>
        <v>56628</v>
      </c>
      <c r="CD53" s="1">
        <f t="shared" si="76"/>
        <v>-101625.188541156</v>
      </c>
      <c r="CE53" s="1">
        <f t="shared" si="77"/>
        <v>1898374.8115</v>
      </c>
      <c r="CF53" s="1" t="str">
        <f t="shared" si="78"/>
        <v>U</v>
      </c>
      <c r="CG53" s="1" t="str">
        <f t="shared" si="79"/>
        <v>1898374</v>
      </c>
      <c r="CH53" s="1" t="str">
        <f t="shared" si="80"/>
        <v>98374</v>
      </c>
      <c r="CJ53" s="1">
        <f t="shared" si="81"/>
        <v>650</v>
      </c>
      <c r="CK53" s="1" t="str">
        <f t="shared" si="82"/>
        <v>HA</v>
      </c>
      <c r="CL53" s="1">
        <f t="shared" si="83"/>
        <v>3</v>
      </c>
      <c r="CM53" s="1">
        <f t="shared" si="84"/>
        <v>1</v>
      </c>
      <c r="CN53" s="1">
        <f t="shared" si="85"/>
        <v>0</v>
      </c>
      <c r="CO53" s="1">
        <f t="shared" si="86"/>
        <v>2</v>
      </c>
      <c r="CP53" s="1" t="str">
        <f t="shared" si="87"/>
        <v>650HA31</v>
      </c>
      <c r="CR53" s="1" t="e">
        <f t="shared" si="88"/>
        <v>#VALUE!</v>
      </c>
      <c r="CS53" s="1" t="e">
        <f t="shared" si="89"/>
        <v>#VALUE!</v>
      </c>
      <c r="CT53" s="1">
        <f t="shared" si="90"/>
        <v>3</v>
      </c>
      <c r="CU53" s="1">
        <f t="shared" si="91"/>
        <v>2</v>
      </c>
      <c r="CV53" s="131" t="e">
        <f t="shared" si="92"/>
        <v>#VALUE!</v>
      </c>
      <c r="CW53" s="131">
        <v>1187.1</v>
      </c>
      <c r="CX53" s="131">
        <v>1667.7</v>
      </c>
      <c r="CY53" s="131">
        <v>1834.4</v>
      </c>
      <c r="CZ53" s="131">
        <v>2176.5</v>
      </c>
      <c r="DA53" s="131">
        <v>2325.1</v>
      </c>
      <c r="DC53" s="154">
        <f t="shared" si="93"/>
        <v>810.219016957</v>
      </c>
      <c r="DD53" s="154">
        <f t="shared" si="94"/>
        <v>-101.430451723</v>
      </c>
      <c r="DE53" s="154">
        <f t="shared" si="95"/>
        <v>577.883641289</v>
      </c>
      <c r="DF53" s="1">
        <f t="shared" si="96"/>
        <v>35.287787608052</v>
      </c>
      <c r="DG53" s="1">
        <f t="shared" si="97"/>
        <v>-7.13567445051933</v>
      </c>
      <c r="DH53" s="1">
        <f t="shared" si="98"/>
        <v>157</v>
      </c>
      <c r="DI53" s="1">
        <f t="shared" si="99"/>
        <v>153</v>
      </c>
      <c r="DJ53" s="1">
        <f t="shared" si="100"/>
        <v>12</v>
      </c>
      <c r="DK53" s="1">
        <f t="shared" si="101"/>
        <v>157</v>
      </c>
      <c r="DL53" s="1">
        <f t="shared" si="102"/>
        <v>153</v>
      </c>
      <c r="DM53" s="1">
        <f t="shared" si="103"/>
        <v>12</v>
      </c>
    </row>
    <row r="54" customHeight="1" spans="1:117">
      <c r="A54" s="152" t="str">
        <f t="shared" si="113"/>
        <v>Bloodshot Ridge</v>
      </c>
      <c r="C54" s="55" t="str">
        <f t="shared" si="5"/>
        <v>N 05° 50.1' / W 042° 35.4'</v>
      </c>
      <c r="D54" s="150" t="str">
        <f t="shared" si="6"/>
        <v>2096 m</v>
      </c>
      <c r="E54" s="151">
        <f t="shared" si="7"/>
        <v>1668.3</v>
      </c>
      <c r="F54" s="151">
        <f t="shared" si="8"/>
        <v>1835.7</v>
      </c>
      <c r="G54" s="151">
        <f t="shared" si="9"/>
        <v>2240.3</v>
      </c>
      <c r="H54" s="151">
        <f t="shared" si="10"/>
        <v>1065</v>
      </c>
      <c r="I54" s="151">
        <f t="shared" si="11"/>
        <v>981.6</v>
      </c>
      <c r="J54" s="171">
        <f t="shared" si="12"/>
        <v>2278.1</v>
      </c>
      <c r="K54" s="172">
        <f t="shared" si="114"/>
        <v>733.939579616999</v>
      </c>
      <c r="L54" s="172">
        <f t="shared" si="115"/>
        <v>-674.64842261</v>
      </c>
      <c r="M54" s="173">
        <f t="shared" si="116"/>
        <v>101.875648837999</v>
      </c>
      <c r="N54" s="54">
        <f t="shared" si="13"/>
        <v>0.0906520407521836</v>
      </c>
      <c r="O54" s="55" t="str">
        <f t="shared" si="14"/>
        <v>Night / Rises in 82m</v>
      </c>
      <c r="P54" s="55" t="str">
        <f t="shared" si="15"/>
        <v>200°M / -54°</v>
      </c>
      <c r="Q54" s="56">
        <f t="shared" si="16"/>
        <v>45683.7628299869</v>
      </c>
      <c r="R54" s="56">
        <f t="shared" si="17"/>
        <v>45683.768552209</v>
      </c>
      <c r="S54" s="56">
        <f t="shared" si="18"/>
        <v>45683.8138782293</v>
      </c>
      <c r="T54" s="56">
        <f t="shared" si="19"/>
        <v>45683.8592042497</v>
      </c>
      <c r="U54" s="180">
        <f t="shared" si="20"/>
        <v>45683.8649264718</v>
      </c>
      <c r="V54" s="55" t="str">
        <f t="shared" si="21"/>
        <v>Obstructed / Rises in 73m</v>
      </c>
      <c r="W54" s="55" t="str">
        <f t="shared" si="22"/>
        <v>201°M / -69°</v>
      </c>
      <c r="X54" s="56">
        <f t="shared" si="23"/>
        <v>45683.7624070649</v>
      </c>
      <c r="Y54" s="180">
        <f t="shared" si="24"/>
        <v>45683.8517823256</v>
      </c>
      <c r="Z54" s="55" t="str">
        <f t="shared" si="25"/>
        <v>346°M / -69°</v>
      </c>
      <c r="AA54" s="151">
        <f t="shared" si="26"/>
        <v>1867.7</v>
      </c>
      <c r="AB54" s="150">
        <f t="shared" si="27"/>
        <v>2401</v>
      </c>
      <c r="AC54" s="188">
        <v>45</v>
      </c>
      <c r="AD54" s="1" t="b">
        <f t="shared" si="28"/>
        <v>1</v>
      </c>
      <c r="AE54" s="1">
        <f t="shared" si="29"/>
        <v>5.83491619899957</v>
      </c>
      <c r="AF54" s="1">
        <f t="shared" si="30"/>
        <v>-42.5896934731854</v>
      </c>
      <c r="AG54" s="1">
        <f t="shared" si="31"/>
        <v>317.410306526815</v>
      </c>
      <c r="AH54" s="2">
        <f t="shared" si="32"/>
        <v>2.09602757655011</v>
      </c>
      <c r="AI54" s="1">
        <f t="shared" si="33"/>
        <v>3.70644179279122</v>
      </c>
      <c r="AJ54" s="191">
        <f t="shared" si="111"/>
        <v>0</v>
      </c>
      <c r="AK54" s="191">
        <f t="shared" si="112"/>
        <v>0</v>
      </c>
      <c r="AL54" s="191">
        <f t="shared" si="34"/>
        <v>95.0526275618194</v>
      </c>
      <c r="AM54" s="20">
        <f t="shared" si="35"/>
        <v>-145.410698311912</v>
      </c>
      <c r="AN54" s="191">
        <f t="shared" si="36"/>
        <v>88.121377439596</v>
      </c>
      <c r="AO54" s="134">
        <f t="shared" si="37"/>
        <v>285</v>
      </c>
      <c r="AP54" s="64">
        <f t="shared" si="38"/>
        <v>-73</v>
      </c>
      <c r="AQ54" s="1">
        <f t="shared" si="104"/>
        <v>93.7138678161048</v>
      </c>
      <c r="AR54" s="20">
        <f t="shared" si="39"/>
        <v>-159.636362400688</v>
      </c>
      <c r="AS54" s="1">
        <f t="shared" si="40"/>
        <v>84.1649822514515</v>
      </c>
      <c r="AT54" s="134">
        <f t="shared" si="41"/>
        <v>285</v>
      </c>
      <c r="AU54" s="64">
        <f t="shared" si="42"/>
        <v>-79</v>
      </c>
      <c r="AV54" s="65">
        <f t="shared" si="43"/>
        <v>45683.7624070649</v>
      </c>
      <c r="AW54" s="65">
        <f t="shared" si="44"/>
        <v>45683.8517823256</v>
      </c>
      <c r="AX54" s="1">
        <f t="shared" si="45"/>
        <v>71</v>
      </c>
      <c r="AY54" s="1">
        <f t="shared" si="46"/>
        <v>-69</v>
      </c>
      <c r="AZ54" s="131">
        <f t="shared" si="47"/>
        <v>1867.7</v>
      </c>
      <c r="BA54" s="1">
        <f t="shared" si="48"/>
        <v>2401</v>
      </c>
      <c r="BB54" s="1">
        <f t="shared" si="49"/>
        <v>42370429.1364862</v>
      </c>
      <c r="BC54" s="1">
        <f t="shared" si="50"/>
        <v>-54</v>
      </c>
      <c r="BD54" s="1">
        <f t="shared" si="51"/>
        <v>57481784.5128977</v>
      </c>
      <c r="BE54" s="1">
        <f t="shared" si="52"/>
        <v>-69</v>
      </c>
      <c r="BF54" s="20">
        <f t="shared" si="53"/>
        <v>-62.6808209080779</v>
      </c>
      <c r="BG54" s="1">
        <f t="shared" si="54"/>
        <v>885.713067827111</v>
      </c>
      <c r="BH54" s="1">
        <f t="shared" si="55"/>
        <v>457.526132738696</v>
      </c>
      <c r="BI54" s="1">
        <f t="shared" si="56"/>
        <v>101.875648837999</v>
      </c>
      <c r="BJ54" s="1">
        <f t="shared" si="57"/>
        <v>885.713067827111</v>
      </c>
      <c r="BK54" s="1">
        <f t="shared" si="58"/>
        <v>457.526132738696</v>
      </c>
      <c r="BL54" s="1">
        <f t="shared" si="59"/>
        <v>101.875648837999</v>
      </c>
      <c r="BM54" s="61">
        <f t="shared" si="60"/>
        <v>22462970.9655524</v>
      </c>
      <c r="BN54" s="61">
        <f t="shared" si="61"/>
        <v>37186202.4909628</v>
      </c>
      <c r="BO54" s="61">
        <f t="shared" si="62"/>
        <v>101.875648837999</v>
      </c>
      <c r="BQ54" s="1" t="str">
        <f t="shared" si="63"/>
        <v>N 05° 50.1' / W 042° 35.4'</v>
      </c>
      <c r="BR54" s="1" t="str">
        <f t="shared" si="64"/>
        <v>23N 541845 101887</v>
      </c>
      <c r="BS54" s="1" t="str">
        <f t="shared" si="65"/>
        <v>23N NB 418018</v>
      </c>
      <c r="BT54" s="1" t="b">
        <f t="shared" si="66"/>
        <v>0</v>
      </c>
      <c r="BU54" s="1" t="str">
        <f t="shared" si="67"/>
        <v>23N</v>
      </c>
      <c r="BV54" s="1">
        <f t="shared" si="68"/>
        <v>23</v>
      </c>
      <c r="BW54" s="1">
        <f t="shared" si="69"/>
        <v>0</v>
      </c>
      <c r="BX54" s="1">
        <f t="shared" si="70"/>
        <v>-45</v>
      </c>
      <c r="BY54" s="1">
        <f t="shared" si="71"/>
        <v>41845.1779919993</v>
      </c>
      <c r="BZ54" s="1">
        <f t="shared" si="72"/>
        <v>541845.178</v>
      </c>
      <c r="CA54" s="1" t="str">
        <f t="shared" si="73"/>
        <v>N</v>
      </c>
      <c r="CB54" s="1" t="str">
        <f t="shared" si="74"/>
        <v>541845</v>
      </c>
      <c r="CC54" s="1" t="str">
        <f t="shared" si="75"/>
        <v>41845</v>
      </c>
      <c r="CD54" s="1">
        <f t="shared" si="76"/>
        <v>101887.283218736</v>
      </c>
      <c r="CE54" s="1">
        <f t="shared" si="77"/>
        <v>101887.2832</v>
      </c>
      <c r="CF54" s="1" t="str">
        <f t="shared" si="78"/>
        <v>B</v>
      </c>
      <c r="CG54" s="1" t="str">
        <f t="shared" si="79"/>
        <v>101887</v>
      </c>
      <c r="CH54" s="1" t="str">
        <f t="shared" si="80"/>
        <v>01887</v>
      </c>
      <c r="CJ54" s="1">
        <f t="shared" si="81"/>
        <v>275</v>
      </c>
      <c r="CK54" s="1" t="str">
        <f t="shared" si="82"/>
        <v>HZ</v>
      </c>
      <c r="CL54" s="1">
        <f t="shared" si="83"/>
        <v>2</v>
      </c>
      <c r="CM54" s="1">
        <f t="shared" si="84"/>
        <v>5</v>
      </c>
      <c r="CN54" s="1">
        <f t="shared" si="85"/>
        <v>1</v>
      </c>
      <c r="CO54" s="1">
        <f t="shared" si="86"/>
        <v>1</v>
      </c>
      <c r="CP54" s="1" t="str">
        <f t="shared" si="87"/>
        <v>275HZ25</v>
      </c>
      <c r="CR54" s="1" t="e">
        <f t="shared" si="88"/>
        <v>#VALUE!</v>
      </c>
      <c r="CS54" s="1" t="e">
        <f t="shared" si="89"/>
        <v>#VALUE!</v>
      </c>
      <c r="CT54" s="1">
        <f t="shared" si="90"/>
        <v>4</v>
      </c>
      <c r="CU54" s="1">
        <f t="shared" si="91"/>
        <v>1</v>
      </c>
      <c r="CV54" s="131" t="e">
        <f t="shared" si="92"/>
        <v>#VALUE!</v>
      </c>
      <c r="CW54" s="131">
        <v>1065</v>
      </c>
      <c r="CX54" s="131">
        <v>1668.3</v>
      </c>
      <c r="CY54" s="131">
        <v>1835.7</v>
      </c>
      <c r="CZ54" s="131">
        <v>2240.3</v>
      </c>
      <c r="DA54" s="131">
        <v>2278.1</v>
      </c>
      <c r="DC54" s="154">
        <f t="shared" si="93"/>
        <v>-733.939579616999</v>
      </c>
      <c r="DD54" s="154">
        <f t="shared" si="94"/>
        <v>101.875648837999</v>
      </c>
      <c r="DE54" s="154">
        <f t="shared" si="95"/>
        <v>-674.64842261</v>
      </c>
      <c r="DF54" s="1">
        <f t="shared" si="96"/>
        <v>-42.3174154688399</v>
      </c>
      <c r="DG54" s="1">
        <f t="shared" si="97"/>
        <v>172.097463602032</v>
      </c>
      <c r="DH54" s="1">
        <f t="shared" si="98"/>
        <v>200</v>
      </c>
      <c r="DI54" s="1">
        <f t="shared" si="99"/>
        <v>201</v>
      </c>
      <c r="DJ54" s="1">
        <f t="shared" si="100"/>
        <v>346</v>
      </c>
      <c r="DK54" s="1">
        <f t="shared" si="101"/>
        <v>200</v>
      </c>
      <c r="DL54" s="1">
        <f t="shared" si="102"/>
        <v>201</v>
      </c>
      <c r="DM54" s="1">
        <f t="shared" si="103"/>
        <v>346</v>
      </c>
    </row>
    <row r="55" customHeight="1" spans="1:117">
      <c r="A55" s="152" t="str">
        <f t="shared" si="113"/>
        <v>Dunboro (Megaton)</v>
      </c>
      <c r="C55" s="55" t="str">
        <f t="shared" si="5"/>
        <v>N 00° 32.0' / E 137° 20.1'</v>
      </c>
      <c r="D55" s="150" t="str">
        <f t="shared" si="6"/>
        <v>519 m</v>
      </c>
      <c r="E55" s="151">
        <f t="shared" si="7"/>
        <v>1745.5</v>
      </c>
      <c r="F55" s="151">
        <f t="shared" si="8"/>
        <v>1760.8</v>
      </c>
      <c r="G55" s="151">
        <f t="shared" si="9"/>
        <v>1058.9</v>
      </c>
      <c r="H55" s="151">
        <f t="shared" si="10"/>
        <v>2241.8</v>
      </c>
      <c r="I55" s="151">
        <f t="shared" si="11"/>
        <v>2278.5</v>
      </c>
      <c r="J55" s="171">
        <f t="shared" si="12"/>
        <v>977.4</v>
      </c>
      <c r="K55" s="172">
        <f t="shared" si="114"/>
        <v>-735.672192799999</v>
      </c>
      <c r="L55" s="172">
        <f t="shared" si="115"/>
        <v>678.040346404999</v>
      </c>
      <c r="M55" s="173">
        <f t="shared" si="116"/>
        <v>9.30993913099999</v>
      </c>
      <c r="N55" s="54">
        <f t="shared" si="13"/>
        <v>0.0885268558043499</v>
      </c>
      <c r="O55" s="55" t="str">
        <f t="shared" si="14"/>
        <v>Morning / Sets in 88m</v>
      </c>
      <c r="P55" s="55" t="str">
        <f t="shared" si="15"/>
        <v>174°M / +55°</v>
      </c>
      <c r="Q55" s="56">
        <f t="shared" si="16"/>
        <v>45683.8497620853</v>
      </c>
      <c r="R55" s="56">
        <f t="shared" si="17"/>
        <v>45683.8554843074</v>
      </c>
      <c r="S55" s="56">
        <f t="shared" si="18"/>
        <v>45683.7280810728</v>
      </c>
      <c r="T55" s="56">
        <f t="shared" si="19"/>
        <v>45683.7723445007</v>
      </c>
      <c r="U55" s="180">
        <f t="shared" si="20"/>
        <v>45683.7780667228</v>
      </c>
      <c r="V55" s="55" t="str">
        <f t="shared" si="21"/>
        <v>Sets in 77m</v>
      </c>
      <c r="W55" s="55" t="str">
        <f t="shared" si="22"/>
        <v>182°M / +70°</v>
      </c>
      <c r="X55" s="56">
        <f t="shared" si="23"/>
        <v>45683.8491636442</v>
      </c>
      <c r="Y55" s="180">
        <f t="shared" si="24"/>
        <v>45683.7650980957</v>
      </c>
      <c r="Z55" s="55" t="str">
        <f t="shared" si="25"/>
        <v>013°M / -20°</v>
      </c>
      <c r="AA55" s="151">
        <f t="shared" si="26"/>
        <v>694.4</v>
      </c>
      <c r="AB55" s="150">
        <f t="shared" si="27"/>
        <v>708.5</v>
      </c>
      <c r="AC55" s="188">
        <v>46</v>
      </c>
      <c r="AD55" s="1" t="b">
        <f t="shared" si="28"/>
        <v>1</v>
      </c>
      <c r="AE55" s="1">
        <f t="shared" si="29"/>
        <v>0.533151027912897</v>
      </c>
      <c r="AF55" s="1">
        <f t="shared" si="30"/>
        <v>137.334444995596</v>
      </c>
      <c r="AG55" s="1">
        <f t="shared" si="31"/>
        <v>137.334444995596</v>
      </c>
      <c r="AH55" s="2">
        <f t="shared" si="32"/>
        <v>0.519345929299334</v>
      </c>
      <c r="AI55" s="1">
        <f t="shared" si="33"/>
        <v>1.84617148468965</v>
      </c>
      <c r="AJ55" s="191">
        <f t="shared" si="111"/>
        <v>0</v>
      </c>
      <c r="AK55" s="191">
        <f t="shared" si="112"/>
        <v>0</v>
      </c>
      <c r="AL55" s="191">
        <f t="shared" si="34"/>
        <v>92.8242782420436</v>
      </c>
      <c r="AM55" s="20">
        <f t="shared" si="35"/>
        <v>34.6651632193066</v>
      </c>
      <c r="AN55" s="191">
        <f t="shared" si="36"/>
        <v>86.5767321736968</v>
      </c>
      <c r="AO55" s="134">
        <f t="shared" si="37"/>
        <v>84</v>
      </c>
      <c r="AP55" s="64">
        <f t="shared" si="38"/>
        <v>71</v>
      </c>
      <c r="AQ55" s="1">
        <f t="shared" si="104"/>
        <v>91.8535975080032</v>
      </c>
      <c r="AR55" s="20">
        <f t="shared" si="39"/>
        <v>20.4394991305309</v>
      </c>
      <c r="AS55" s="1">
        <f t="shared" si="40"/>
        <v>89.4668396502976</v>
      </c>
      <c r="AT55" s="134">
        <f t="shared" si="41"/>
        <v>91</v>
      </c>
      <c r="AU55" s="64">
        <f t="shared" si="42"/>
        <v>84</v>
      </c>
      <c r="AV55" s="65">
        <f t="shared" si="43"/>
        <v>45683.8491636442</v>
      </c>
      <c r="AW55" s="65">
        <f t="shared" si="44"/>
        <v>45683.7650980957</v>
      </c>
      <c r="AX55" s="1">
        <f t="shared" si="45"/>
        <v>283</v>
      </c>
      <c r="AY55" s="1">
        <f t="shared" si="46"/>
        <v>-20</v>
      </c>
      <c r="AZ55" s="131">
        <f t="shared" si="47"/>
        <v>694.4</v>
      </c>
      <c r="BA55" s="1">
        <f t="shared" si="48"/>
        <v>708.5</v>
      </c>
      <c r="BB55" s="1">
        <f t="shared" si="49"/>
        <v>42368795.8644585</v>
      </c>
      <c r="BC55" s="1">
        <f t="shared" si="50"/>
        <v>55</v>
      </c>
      <c r="BD55" s="1">
        <f t="shared" si="51"/>
        <v>57479912.4246869</v>
      </c>
      <c r="BE55" s="1">
        <f t="shared" si="52"/>
        <v>70</v>
      </c>
      <c r="BF55" s="20">
        <f t="shared" si="53"/>
        <v>117.243317560704</v>
      </c>
      <c r="BG55" s="1">
        <f t="shared" si="54"/>
        <v>-889.493761785162</v>
      </c>
      <c r="BH55" s="1">
        <f t="shared" si="55"/>
        <v>-457.988137791201</v>
      </c>
      <c r="BI55" s="1">
        <f t="shared" si="56"/>
        <v>9.30993913099999</v>
      </c>
      <c r="BJ55" s="1">
        <f t="shared" si="57"/>
        <v>-889.493761785162</v>
      </c>
      <c r="BK55" s="1">
        <f t="shared" si="58"/>
        <v>-457.988137791201</v>
      </c>
      <c r="BL55" s="1">
        <f t="shared" si="59"/>
        <v>9.30993913099999</v>
      </c>
      <c r="BM55" s="61">
        <f t="shared" si="60"/>
        <v>22461195.7587228</v>
      </c>
      <c r="BN55" s="61">
        <f t="shared" si="61"/>
        <v>37185286.9766923</v>
      </c>
      <c r="BO55" s="61">
        <f t="shared" si="62"/>
        <v>9.30993913099999</v>
      </c>
      <c r="BQ55" s="1" t="str">
        <f t="shared" si="63"/>
        <v>N 00° 32.0' / E 137° 20.1'</v>
      </c>
      <c r="BR55" s="1" t="str">
        <f t="shared" si="64"/>
        <v>53N 540736 009309</v>
      </c>
      <c r="BS55" s="1" t="str">
        <f t="shared" si="65"/>
        <v>53N NA 407093</v>
      </c>
      <c r="BT55" s="1" t="b">
        <f t="shared" si="66"/>
        <v>0</v>
      </c>
      <c r="BU55" s="1" t="str">
        <f t="shared" si="67"/>
        <v>53N</v>
      </c>
      <c r="BV55" s="1">
        <f t="shared" si="68"/>
        <v>53</v>
      </c>
      <c r="BW55" s="1">
        <f t="shared" si="69"/>
        <v>0</v>
      </c>
      <c r="BX55" s="1">
        <f t="shared" si="70"/>
        <v>135</v>
      </c>
      <c r="BY55" s="1">
        <f t="shared" si="71"/>
        <v>40736.9611754009</v>
      </c>
      <c r="BZ55" s="1">
        <f t="shared" si="72"/>
        <v>540736.9612</v>
      </c>
      <c r="CA55" s="1" t="str">
        <f t="shared" si="73"/>
        <v>N</v>
      </c>
      <c r="CB55" s="1" t="str">
        <f t="shared" si="74"/>
        <v>540736</v>
      </c>
      <c r="CC55" s="1" t="str">
        <f t="shared" si="75"/>
        <v>40736</v>
      </c>
      <c r="CD55" s="1">
        <f t="shared" si="76"/>
        <v>9309.2441567472</v>
      </c>
      <c r="CE55" s="1">
        <f t="shared" si="77"/>
        <v>9309.2442</v>
      </c>
      <c r="CF55" s="1" t="str">
        <f t="shared" si="78"/>
        <v>A</v>
      </c>
      <c r="CG55" s="1" t="str">
        <f t="shared" si="79"/>
        <v>009309</v>
      </c>
      <c r="CH55" s="1" t="str">
        <f t="shared" si="80"/>
        <v>09309</v>
      </c>
      <c r="CJ55" s="1">
        <f t="shared" si="81"/>
        <v>635</v>
      </c>
      <c r="CK55" s="1" t="str">
        <f t="shared" si="82"/>
        <v>HP</v>
      </c>
      <c r="CL55" s="1">
        <f t="shared" si="83"/>
        <v>4</v>
      </c>
      <c r="CM55" s="1">
        <f t="shared" si="84"/>
        <v>8</v>
      </c>
      <c r="CN55" s="1">
        <f t="shared" si="85"/>
        <v>1</v>
      </c>
      <c r="CO55" s="1">
        <f t="shared" si="86"/>
        <v>0</v>
      </c>
      <c r="CP55" s="1" t="str">
        <f t="shared" si="87"/>
        <v>635HP48</v>
      </c>
      <c r="CR55" s="1" t="e">
        <f t="shared" si="88"/>
        <v>#VALUE!</v>
      </c>
      <c r="CS55" s="1" t="e">
        <f t="shared" si="89"/>
        <v>#VALUE!</v>
      </c>
      <c r="CT55" s="1">
        <f t="shared" si="90"/>
        <v>3</v>
      </c>
      <c r="CU55" s="1">
        <f t="shared" si="91"/>
        <v>1</v>
      </c>
      <c r="CV55" s="131" t="e">
        <f t="shared" si="92"/>
        <v>#VALUE!</v>
      </c>
      <c r="CW55" s="131">
        <v>1058.9</v>
      </c>
      <c r="CX55" s="131">
        <v>1745.5</v>
      </c>
      <c r="CY55" s="131">
        <v>1760.8</v>
      </c>
      <c r="CZ55" s="131">
        <v>2241.8</v>
      </c>
      <c r="DA55" s="131">
        <v>2278.5</v>
      </c>
      <c r="DC55" s="154">
        <f t="shared" si="93"/>
        <v>735.672192799999</v>
      </c>
      <c r="DD55" s="154">
        <f t="shared" si="94"/>
        <v>9.30993913099999</v>
      </c>
      <c r="DE55" s="154">
        <f t="shared" si="95"/>
        <v>678.040346404999</v>
      </c>
      <c r="DF55" s="1">
        <f t="shared" si="96"/>
        <v>42.663268837408</v>
      </c>
      <c r="DG55" s="1">
        <f t="shared" si="97"/>
        <v>0.725039973053316</v>
      </c>
      <c r="DH55" s="1">
        <f t="shared" si="98"/>
        <v>174</v>
      </c>
      <c r="DI55" s="1">
        <f t="shared" si="99"/>
        <v>182</v>
      </c>
      <c r="DJ55" s="1">
        <f t="shared" si="100"/>
        <v>13</v>
      </c>
      <c r="DK55" s="1">
        <f t="shared" si="101"/>
        <v>174</v>
      </c>
      <c r="DL55" s="1">
        <f t="shared" si="102"/>
        <v>182</v>
      </c>
      <c r="DM55" s="1">
        <f t="shared" si="103"/>
        <v>13</v>
      </c>
    </row>
    <row r="56" customHeight="1" spans="1:117">
      <c r="A56" s="152" t="str">
        <f t="shared" si="113"/>
        <v>Frostbite (Windy Cove)</v>
      </c>
      <c r="C56" s="55" t="str">
        <f t="shared" si="5"/>
        <v>S 21° 09.4' / E 054° 42.4'</v>
      </c>
      <c r="D56" s="150" t="str">
        <f t="shared" si="6"/>
        <v>1496 m</v>
      </c>
      <c r="E56" s="151">
        <f t="shared" si="7"/>
        <v>2028.8</v>
      </c>
      <c r="F56" s="151">
        <f t="shared" si="8"/>
        <v>1426.4</v>
      </c>
      <c r="G56" s="151">
        <f t="shared" si="9"/>
        <v>938.4</v>
      </c>
      <c r="H56" s="151">
        <f t="shared" si="10"/>
        <v>2295.7</v>
      </c>
      <c r="I56" s="151">
        <f t="shared" si="11"/>
        <v>1233.6</v>
      </c>
      <c r="J56" s="171">
        <f t="shared" si="12"/>
        <v>2151.5</v>
      </c>
      <c r="K56" s="172">
        <f t="shared" si="114"/>
        <v>539.619934335</v>
      </c>
      <c r="L56" s="172">
        <f t="shared" si="115"/>
        <v>762.338992717999</v>
      </c>
      <c r="M56" s="173">
        <f t="shared" si="116"/>
        <v>-361.447888067</v>
      </c>
      <c r="N56" s="54">
        <f t="shared" si="13"/>
        <v>0.0882557564066616</v>
      </c>
      <c r="O56" s="55" t="str">
        <f t="shared" si="14"/>
        <v>After midnight / Rises in 17m</v>
      </c>
      <c r="P56" s="55" t="str">
        <f t="shared" si="15"/>
        <v>033°M / -27°</v>
      </c>
      <c r="Q56" s="56">
        <f t="shared" si="16"/>
        <v>45683.7176318703</v>
      </c>
      <c r="R56" s="56">
        <f t="shared" si="17"/>
        <v>45683.7233540924</v>
      </c>
      <c r="S56" s="56">
        <f t="shared" si="18"/>
        <v>45683.7674819706</v>
      </c>
      <c r="T56" s="56">
        <f t="shared" si="19"/>
        <v>45683.8116098488</v>
      </c>
      <c r="U56" s="180">
        <f t="shared" si="20"/>
        <v>45683.8173320708</v>
      </c>
      <c r="V56" s="55" t="str">
        <f t="shared" si="21"/>
        <v>Obstructed / Rises in 7m</v>
      </c>
      <c r="W56" s="55" t="str">
        <f t="shared" si="22"/>
        <v>032°M / -12°</v>
      </c>
      <c r="X56" s="56">
        <f t="shared" si="23"/>
        <v>45683.7162845045</v>
      </c>
      <c r="Y56" s="180">
        <f t="shared" si="24"/>
        <v>45683.8051123684</v>
      </c>
      <c r="Z56" s="55" t="str">
        <f t="shared" si="25"/>
        <v>356°M / -26°</v>
      </c>
      <c r="AA56" s="151">
        <f t="shared" si="26"/>
        <v>868.1</v>
      </c>
      <c r="AB56" s="150">
        <f t="shared" si="27"/>
        <v>896.6</v>
      </c>
      <c r="AC56" s="188">
        <v>47</v>
      </c>
      <c r="AD56" s="1" t="b">
        <f t="shared" si="28"/>
        <v>1</v>
      </c>
      <c r="AE56" s="1">
        <f t="shared" si="29"/>
        <v>-21.1559597201787</v>
      </c>
      <c r="AF56" s="1">
        <f t="shared" si="30"/>
        <v>54.707317598686</v>
      </c>
      <c r="AG56" s="1">
        <f t="shared" si="31"/>
        <v>54.707317598686</v>
      </c>
      <c r="AH56" s="2">
        <f t="shared" si="32"/>
        <v>1.49637499997857</v>
      </c>
      <c r="AI56" s="1">
        <f t="shared" si="33"/>
        <v>3.13247238330475</v>
      </c>
      <c r="AJ56" s="191">
        <f t="shared" si="111"/>
        <v>0</v>
      </c>
      <c r="AK56" s="191">
        <f t="shared" si="112"/>
        <v>0</v>
      </c>
      <c r="AL56" s="191">
        <f t="shared" si="34"/>
        <v>92.5400186725194</v>
      </c>
      <c r="AM56" s="20">
        <f t="shared" si="35"/>
        <v>117.292290616217</v>
      </c>
      <c r="AN56" s="191">
        <f t="shared" si="36"/>
        <v>64.8871274400635</v>
      </c>
      <c r="AO56" s="134">
        <f t="shared" si="37"/>
        <v>96</v>
      </c>
      <c r="AP56" s="64">
        <f t="shared" si="38"/>
        <v>-30</v>
      </c>
      <c r="AQ56" s="1">
        <f t="shared" si="104"/>
        <v>93.1398984066183</v>
      </c>
      <c r="AR56" s="20">
        <f t="shared" si="39"/>
        <v>103.066626527441</v>
      </c>
      <c r="AS56" s="1">
        <f t="shared" si="40"/>
        <v>68.843679989603</v>
      </c>
      <c r="AT56" s="134">
        <f t="shared" si="41"/>
        <v>95</v>
      </c>
      <c r="AU56" s="64">
        <f t="shared" si="42"/>
        <v>-16</v>
      </c>
      <c r="AV56" s="65">
        <f t="shared" si="43"/>
        <v>45683.7162845045</v>
      </c>
      <c r="AW56" s="65">
        <f t="shared" si="44"/>
        <v>45683.8051123684</v>
      </c>
      <c r="AX56" s="1">
        <f t="shared" si="45"/>
        <v>59</v>
      </c>
      <c r="AY56" s="1">
        <f t="shared" si="46"/>
        <v>-26</v>
      </c>
      <c r="AZ56" s="131">
        <f t="shared" si="47"/>
        <v>868.1</v>
      </c>
      <c r="BA56" s="1">
        <f t="shared" si="48"/>
        <v>896.6</v>
      </c>
      <c r="BB56" s="1">
        <f t="shared" si="49"/>
        <v>42370069.6165363</v>
      </c>
      <c r="BC56" s="1">
        <f t="shared" si="50"/>
        <v>-27</v>
      </c>
      <c r="BD56" s="1">
        <f t="shared" si="51"/>
        <v>57481061.0812192</v>
      </c>
      <c r="BE56" s="1">
        <f t="shared" si="52"/>
        <v>-12</v>
      </c>
      <c r="BF56" s="20">
        <f t="shared" si="53"/>
        <v>34.6161901637935</v>
      </c>
      <c r="BG56" s="1">
        <f t="shared" si="54"/>
        <v>-530.581581490292</v>
      </c>
      <c r="BH56" s="1">
        <f t="shared" si="55"/>
        <v>768.65700981209</v>
      </c>
      <c r="BI56" s="1">
        <f t="shared" si="56"/>
        <v>-361.447888067</v>
      </c>
      <c r="BJ56" s="1">
        <f t="shared" si="57"/>
        <v>-530.581581490292</v>
      </c>
      <c r="BK56" s="1">
        <f t="shared" si="58"/>
        <v>768.65700981209</v>
      </c>
      <c r="BL56" s="1">
        <f t="shared" si="59"/>
        <v>-361.447888067</v>
      </c>
      <c r="BM56" s="61">
        <f t="shared" si="60"/>
        <v>22461554.6709031</v>
      </c>
      <c r="BN56" s="61">
        <f t="shared" si="61"/>
        <v>37186513.6218399</v>
      </c>
      <c r="BO56" s="61">
        <f t="shared" si="62"/>
        <v>-361.447888067</v>
      </c>
      <c r="BQ56" s="1" t="str">
        <f t="shared" si="63"/>
        <v>S 21° 09.4' / E 054° 42.4'</v>
      </c>
      <c r="BR56" s="1" t="str">
        <f t="shared" si="64"/>
        <v>40K 462689 1630637</v>
      </c>
      <c r="BS56" s="1" t="str">
        <f t="shared" si="65"/>
        <v>40K DB 626306</v>
      </c>
      <c r="BT56" s="1" t="b">
        <f t="shared" si="66"/>
        <v>0</v>
      </c>
      <c r="BU56" s="1" t="str">
        <f t="shared" si="67"/>
        <v>40K</v>
      </c>
      <c r="BV56" s="1">
        <f t="shared" si="68"/>
        <v>40</v>
      </c>
      <c r="BW56" s="1">
        <f t="shared" si="69"/>
        <v>0</v>
      </c>
      <c r="BX56" s="1">
        <f t="shared" si="70"/>
        <v>57</v>
      </c>
      <c r="BY56" s="1">
        <f t="shared" si="71"/>
        <v>-37310.3505639644</v>
      </c>
      <c r="BZ56" s="1">
        <f t="shared" si="72"/>
        <v>462689.6494</v>
      </c>
      <c r="CA56" s="1" t="str">
        <f t="shared" si="73"/>
        <v>D</v>
      </c>
      <c r="CB56" s="1" t="str">
        <f t="shared" si="74"/>
        <v>462689</v>
      </c>
      <c r="CC56" s="1" t="str">
        <f t="shared" si="75"/>
        <v>62689</v>
      </c>
      <c r="CD56" s="1">
        <f t="shared" si="76"/>
        <v>-369362.967584573</v>
      </c>
      <c r="CE56" s="1">
        <f t="shared" si="77"/>
        <v>1630637.0324</v>
      </c>
      <c r="CF56" s="1" t="str">
        <f t="shared" si="78"/>
        <v>B</v>
      </c>
      <c r="CG56" s="1" t="str">
        <f t="shared" si="79"/>
        <v>1630637</v>
      </c>
      <c r="CH56" s="1" t="str">
        <f t="shared" si="80"/>
        <v>30637</v>
      </c>
      <c r="CJ56" s="1">
        <f t="shared" si="81"/>
        <v>470</v>
      </c>
      <c r="CK56" s="1" t="str">
        <f t="shared" si="82"/>
        <v>FT</v>
      </c>
      <c r="CL56" s="1">
        <f t="shared" si="83"/>
        <v>1</v>
      </c>
      <c r="CM56" s="1">
        <f t="shared" si="84"/>
        <v>6</v>
      </c>
      <c r="CN56" s="1">
        <f t="shared" si="85"/>
        <v>2</v>
      </c>
      <c r="CO56" s="1">
        <f t="shared" si="86"/>
        <v>1</v>
      </c>
      <c r="CP56" s="1" t="str">
        <f t="shared" si="87"/>
        <v>470FT16</v>
      </c>
      <c r="CR56" s="1" t="e">
        <f t="shared" si="88"/>
        <v>#VALUE!</v>
      </c>
      <c r="CS56" s="1" t="e">
        <f t="shared" si="89"/>
        <v>#VALUE!</v>
      </c>
      <c r="CT56" s="1">
        <f t="shared" si="90"/>
        <v>5</v>
      </c>
      <c r="CU56" s="1">
        <f t="shared" si="91"/>
        <v>2</v>
      </c>
      <c r="CV56" s="131" t="e">
        <f t="shared" si="92"/>
        <v>#VALUE!</v>
      </c>
      <c r="CW56" s="131">
        <v>1233.6</v>
      </c>
      <c r="CX56" s="131">
        <v>1426.4</v>
      </c>
      <c r="CY56" s="131">
        <v>2028.8</v>
      </c>
      <c r="CZ56" s="131">
        <v>2151.5</v>
      </c>
      <c r="DA56" s="131">
        <v>2295.7</v>
      </c>
      <c r="DC56" s="154">
        <f t="shared" si="93"/>
        <v>-539.619934335</v>
      </c>
      <c r="DD56" s="154">
        <f t="shared" si="94"/>
        <v>-361.447888067</v>
      </c>
      <c r="DE56" s="154">
        <f t="shared" si="95"/>
        <v>762.338992717999</v>
      </c>
      <c r="DF56" s="1">
        <f t="shared" si="96"/>
        <v>49.5700975162307</v>
      </c>
      <c r="DG56" s="1">
        <f t="shared" si="97"/>
        <v>-146.185058006756</v>
      </c>
      <c r="DH56" s="1">
        <f t="shared" si="98"/>
        <v>33</v>
      </c>
      <c r="DI56" s="1">
        <f t="shared" si="99"/>
        <v>32</v>
      </c>
      <c r="DJ56" s="1">
        <f t="shared" si="100"/>
        <v>356</v>
      </c>
      <c r="DK56" s="1">
        <f t="shared" si="101"/>
        <v>33</v>
      </c>
      <c r="DL56" s="1">
        <f t="shared" si="102"/>
        <v>32</v>
      </c>
      <c r="DM56" s="1">
        <f t="shared" si="103"/>
        <v>356</v>
      </c>
    </row>
    <row r="57" customHeight="1" spans="1:117">
      <c r="A57" s="152" t="str">
        <f t="shared" si="113"/>
        <v>Ghost Hollow (Reclaimer Wreck)</v>
      </c>
      <c r="C57" s="55" t="str">
        <f t="shared" si="5"/>
        <v>N 08° 33.9' / E 097° 22.8'</v>
      </c>
      <c r="D57" s="150" t="str">
        <f t="shared" si="6"/>
        <v>1376 m</v>
      </c>
      <c r="E57" s="151">
        <f t="shared" si="7"/>
        <v>1626.6</v>
      </c>
      <c r="F57" s="151">
        <f t="shared" si="8"/>
        <v>1872.1</v>
      </c>
      <c r="G57" s="151">
        <f t="shared" si="9"/>
        <v>497.8</v>
      </c>
      <c r="H57" s="151">
        <f t="shared" si="10"/>
        <v>2429.5</v>
      </c>
      <c r="I57" s="151">
        <f t="shared" si="11"/>
        <v>1855.1</v>
      </c>
      <c r="J57" s="171">
        <f t="shared" si="12"/>
        <v>1645.9</v>
      </c>
      <c r="K57" s="172">
        <f t="shared" si="114"/>
        <v>-127.193553939</v>
      </c>
      <c r="L57" s="172">
        <f t="shared" si="115"/>
        <v>982.003985381999</v>
      </c>
      <c r="M57" s="173">
        <f t="shared" si="116"/>
        <v>149.145067474999</v>
      </c>
      <c r="N57" s="54">
        <f t="shared" si="13"/>
        <v>0.0901653322745156</v>
      </c>
      <c r="O57" s="55" t="str">
        <f t="shared" si="14"/>
        <v>Morning / Sets in 116m</v>
      </c>
      <c r="P57" s="55" t="str">
        <f t="shared" si="15"/>
        <v>227°M / +16°</v>
      </c>
      <c r="Q57" s="56">
        <f t="shared" si="16"/>
        <v>45683.8679951415</v>
      </c>
      <c r="R57" s="56">
        <f t="shared" si="17"/>
        <v>45683.8737173636</v>
      </c>
      <c r="S57" s="56">
        <f t="shared" si="18"/>
        <v>45683.7471333672</v>
      </c>
      <c r="T57" s="56">
        <f t="shared" si="19"/>
        <v>45683.7922160333</v>
      </c>
      <c r="U57" s="180">
        <f t="shared" si="20"/>
        <v>45683.7979382554</v>
      </c>
      <c r="V57" s="55" t="str">
        <f t="shared" si="21"/>
        <v>Sets in 105m</v>
      </c>
      <c r="W57" s="55" t="str">
        <f t="shared" si="22"/>
        <v>234°M / +29°</v>
      </c>
      <c r="X57" s="56">
        <f t="shared" si="23"/>
        <v>45683.8676637323</v>
      </c>
      <c r="Y57" s="180">
        <f t="shared" si="24"/>
        <v>45683.7847025964</v>
      </c>
      <c r="Z57" s="55" t="e">
        <f t="shared" si="25"/>
        <v>#DIV/0!</v>
      </c>
      <c r="AA57" s="151">
        <f t="shared" si="26"/>
        <v>0</v>
      </c>
      <c r="AB57" s="150">
        <f t="shared" si="27"/>
        <v>0</v>
      </c>
      <c r="AC57" s="188">
        <v>48</v>
      </c>
      <c r="AD57" s="1" t="b">
        <f t="shared" si="28"/>
        <v>1</v>
      </c>
      <c r="AE57" s="1">
        <f t="shared" si="29"/>
        <v>8.56550864815675</v>
      </c>
      <c r="AF57" s="1">
        <f t="shared" si="30"/>
        <v>97.3801179124556</v>
      </c>
      <c r="AG57" s="1">
        <f t="shared" si="31"/>
        <v>97.3801179124556</v>
      </c>
      <c r="AH57" s="2">
        <f t="shared" si="32"/>
        <v>1.37619235823888</v>
      </c>
      <c r="AI57" s="1">
        <f t="shared" si="33"/>
        <v>3.00419639361477</v>
      </c>
      <c r="AJ57" s="191">
        <f t="shared" si="111"/>
        <v>0</v>
      </c>
      <c r="AK57" s="191">
        <f t="shared" si="112"/>
        <v>0</v>
      </c>
      <c r="AL57" s="191">
        <f t="shared" si="34"/>
        <v>94.5422924466351</v>
      </c>
      <c r="AM57" s="20">
        <f t="shared" si="35"/>
        <v>74.6194903024469</v>
      </c>
      <c r="AN57" s="191">
        <f t="shared" si="36"/>
        <v>85.3907205996373</v>
      </c>
      <c r="AO57" s="134">
        <f t="shared" si="37"/>
        <v>88</v>
      </c>
      <c r="AP57" s="64">
        <f t="shared" si="38"/>
        <v>23</v>
      </c>
      <c r="AQ57" s="1">
        <f t="shared" si="104"/>
        <v>93.0116224169284</v>
      </c>
      <c r="AR57" s="20">
        <f t="shared" si="39"/>
        <v>60.3938262136713</v>
      </c>
      <c r="AS57" s="1">
        <f t="shared" si="40"/>
        <v>81.4343426826375</v>
      </c>
      <c r="AT57" s="134">
        <f t="shared" si="41"/>
        <v>95</v>
      </c>
      <c r="AU57" s="64">
        <f t="shared" si="42"/>
        <v>40</v>
      </c>
      <c r="AV57" s="65">
        <f t="shared" si="43"/>
        <v>45683.8676637323</v>
      </c>
      <c r="AW57" s="65">
        <f t="shared" si="44"/>
        <v>45683.7847025964</v>
      </c>
      <c r="AX57" s="1" t="e">
        <f t="shared" si="45"/>
        <v>#DIV/0!</v>
      </c>
      <c r="AY57" s="1" t="e">
        <f t="shared" si="46"/>
        <v>#DIV/0!</v>
      </c>
      <c r="AZ57" s="131">
        <f t="shared" si="47"/>
        <v>0</v>
      </c>
      <c r="BA57" s="1">
        <f t="shared" si="48"/>
        <v>0</v>
      </c>
      <c r="BB57" s="1">
        <f t="shared" si="49"/>
        <v>42369345.139111</v>
      </c>
      <c r="BC57" s="1">
        <f t="shared" si="50"/>
        <v>16</v>
      </c>
      <c r="BD57" s="1">
        <f t="shared" si="51"/>
        <v>57480360.7202946</v>
      </c>
      <c r="BE57" s="1">
        <f t="shared" si="52"/>
        <v>29</v>
      </c>
      <c r="BF57" s="20">
        <f t="shared" si="53"/>
        <v>77.2889904775632</v>
      </c>
      <c r="BG57" s="1">
        <f t="shared" si="54"/>
        <v>-965.939347424503</v>
      </c>
      <c r="BH57" s="1">
        <f t="shared" si="55"/>
        <v>217.878875907894</v>
      </c>
      <c r="BI57" s="1">
        <f t="shared" si="56"/>
        <v>149.145067474999</v>
      </c>
      <c r="BJ57" s="1">
        <f t="shared" si="57"/>
        <v>-965.939347424503</v>
      </c>
      <c r="BK57" s="1">
        <f t="shared" si="58"/>
        <v>217.878875907894</v>
      </c>
      <c r="BL57" s="1">
        <f t="shared" si="59"/>
        <v>149.145067474999</v>
      </c>
      <c r="BM57" s="61">
        <f t="shared" si="60"/>
        <v>22461119.3131372</v>
      </c>
      <c r="BN57" s="61">
        <f t="shared" si="61"/>
        <v>37185962.843706</v>
      </c>
      <c r="BO57" s="61">
        <f t="shared" si="62"/>
        <v>149.145067474999</v>
      </c>
      <c r="BQ57" s="1" t="str">
        <f t="shared" si="63"/>
        <v>N 08° 33.9' / E 097° 22.8'</v>
      </c>
      <c r="BR57" s="1" t="str">
        <f t="shared" si="64"/>
        <v>47P 472050 149495</v>
      </c>
      <c r="BS57" s="1" t="str">
        <f t="shared" si="65"/>
        <v>47P MB 720494</v>
      </c>
      <c r="BT57" s="1" t="b">
        <f t="shared" si="66"/>
        <v>0</v>
      </c>
      <c r="BU57" s="1" t="str">
        <f t="shared" si="67"/>
        <v>47P</v>
      </c>
      <c r="BV57" s="1">
        <f t="shared" si="68"/>
        <v>47</v>
      </c>
      <c r="BW57" s="1">
        <f t="shared" si="69"/>
        <v>0</v>
      </c>
      <c r="BX57" s="1">
        <f t="shared" si="70"/>
        <v>99</v>
      </c>
      <c r="BY57" s="1">
        <f t="shared" si="71"/>
        <v>-27949.3088322038</v>
      </c>
      <c r="BZ57" s="1">
        <f t="shared" si="72"/>
        <v>472050.6912</v>
      </c>
      <c r="CA57" s="1" t="str">
        <f t="shared" si="73"/>
        <v>M</v>
      </c>
      <c r="CB57" s="1" t="str">
        <f t="shared" si="74"/>
        <v>472050</v>
      </c>
      <c r="CC57" s="1" t="str">
        <f t="shared" si="75"/>
        <v>72050</v>
      </c>
      <c r="CD57" s="1">
        <f t="shared" si="76"/>
        <v>149495.386605765</v>
      </c>
      <c r="CE57" s="1">
        <f t="shared" si="77"/>
        <v>149495.3866</v>
      </c>
      <c r="CF57" s="1" t="str">
        <f t="shared" si="78"/>
        <v>B</v>
      </c>
      <c r="CG57" s="1" t="str">
        <f t="shared" si="79"/>
        <v>149495</v>
      </c>
      <c r="CH57" s="1" t="str">
        <f t="shared" si="80"/>
        <v>49495</v>
      </c>
      <c r="CJ57" s="1">
        <f t="shared" si="81"/>
        <v>555</v>
      </c>
      <c r="CK57" s="1" t="str">
        <f t="shared" si="82"/>
        <v>JF</v>
      </c>
      <c r="CL57" s="1">
        <f t="shared" si="83"/>
        <v>4</v>
      </c>
      <c r="CM57" s="1">
        <f t="shared" si="84"/>
        <v>8</v>
      </c>
      <c r="CN57" s="1">
        <f t="shared" si="85"/>
        <v>1</v>
      </c>
      <c r="CO57" s="1">
        <f t="shared" si="86"/>
        <v>0</v>
      </c>
      <c r="CP57" s="1" t="str">
        <f t="shared" si="87"/>
        <v>555JF48</v>
      </c>
      <c r="CR57" s="1" t="e">
        <f t="shared" si="88"/>
        <v>#VALUE!</v>
      </c>
      <c r="CS57" s="1" t="e">
        <f t="shared" si="89"/>
        <v>#VALUE!</v>
      </c>
      <c r="CT57" s="1">
        <f t="shared" si="90"/>
        <v>1</v>
      </c>
      <c r="CU57" s="1">
        <f t="shared" si="91"/>
        <v>6</v>
      </c>
      <c r="CV57" s="131" t="e">
        <f t="shared" si="92"/>
        <v>#VALUE!</v>
      </c>
      <c r="CW57" s="131">
        <v>1626.6</v>
      </c>
      <c r="CX57" s="131">
        <v>1645.9</v>
      </c>
      <c r="CY57" s="131">
        <v>1855.1</v>
      </c>
      <c r="CZ57" s="131">
        <v>1872.1</v>
      </c>
      <c r="DA57" s="131">
        <v>2429.5</v>
      </c>
      <c r="DC57" s="154">
        <f t="shared" si="93"/>
        <v>127.193553939</v>
      </c>
      <c r="DD57" s="154">
        <f t="shared" si="94"/>
        <v>149.145067474999</v>
      </c>
      <c r="DE57" s="154">
        <f t="shared" si="95"/>
        <v>982.003985381999</v>
      </c>
      <c r="DF57" s="1">
        <f t="shared" si="96"/>
        <v>78.7116312948813</v>
      </c>
      <c r="DG57" s="1">
        <f t="shared" si="97"/>
        <v>49.541867948386</v>
      </c>
      <c r="DH57" s="1">
        <f t="shared" si="98"/>
        <v>227</v>
      </c>
      <c r="DI57" s="1">
        <f t="shared" si="99"/>
        <v>234</v>
      </c>
      <c r="DJ57" s="1" t="e">
        <f t="shared" si="100"/>
        <v>#DIV/0!</v>
      </c>
      <c r="DK57" s="1">
        <f t="shared" si="101"/>
        <v>227</v>
      </c>
      <c r="DL57" s="1">
        <f t="shared" si="102"/>
        <v>234</v>
      </c>
      <c r="DM57" s="1" t="e">
        <f t="shared" si="103"/>
        <v>#DIV/0!</v>
      </c>
    </row>
    <row r="58" customHeight="1" spans="1:117">
      <c r="A58" s="152" t="str">
        <f t="shared" si="113"/>
        <v>Harper's Point</v>
      </c>
      <c r="C58" s="55" t="str">
        <f t="shared" si="5"/>
        <v>N 07° 21.5' / E 133° 48.4'</v>
      </c>
      <c r="D58" s="150" t="str">
        <f t="shared" si="6"/>
        <v>1229 m</v>
      </c>
      <c r="E58" s="151">
        <f t="shared" si="7"/>
        <v>1644.9</v>
      </c>
      <c r="F58" s="151">
        <f t="shared" si="8"/>
        <v>1855.8</v>
      </c>
      <c r="G58" s="151">
        <f t="shared" si="9"/>
        <v>1005.8</v>
      </c>
      <c r="H58" s="151">
        <f t="shared" si="10"/>
        <v>2266.7</v>
      </c>
      <c r="I58" s="151">
        <f t="shared" si="11"/>
        <v>2248.1</v>
      </c>
      <c r="J58" s="171">
        <f t="shared" si="12"/>
        <v>1046.8</v>
      </c>
      <c r="K58" s="172">
        <f t="shared" si="114"/>
        <v>-687.373417784</v>
      </c>
      <c r="L58" s="172">
        <f t="shared" si="115"/>
        <v>716.61301141</v>
      </c>
      <c r="M58" s="173">
        <f t="shared" si="116"/>
        <v>128.227454472</v>
      </c>
      <c r="N58" s="54">
        <f t="shared" si="13"/>
        <v>0.089926296472634</v>
      </c>
      <c r="O58" s="55" t="str">
        <f t="shared" si="14"/>
        <v>Morning / Sets in 91m</v>
      </c>
      <c r="P58" s="55" t="str">
        <f t="shared" si="15"/>
        <v>191°M / +52°</v>
      </c>
      <c r="Q58" s="56">
        <f t="shared" si="16"/>
        <v>45683.8507444701</v>
      </c>
      <c r="R58" s="56">
        <f t="shared" si="17"/>
        <v>45683.8564666922</v>
      </c>
      <c r="S58" s="56">
        <f t="shared" si="18"/>
        <v>45683.7297631779</v>
      </c>
      <c r="T58" s="56">
        <f t="shared" si="19"/>
        <v>45683.7747263261</v>
      </c>
      <c r="U58" s="180">
        <f t="shared" si="20"/>
        <v>45683.7804485482</v>
      </c>
      <c r="V58" s="55" t="str">
        <f t="shared" si="21"/>
        <v>Sets in 80m</v>
      </c>
      <c r="W58" s="55" t="str">
        <f t="shared" si="22"/>
        <v>204°M / +65°</v>
      </c>
      <c r="X58" s="56">
        <f t="shared" si="23"/>
        <v>45683.8503724581</v>
      </c>
      <c r="Y58" s="180">
        <f t="shared" si="24"/>
        <v>45683.767253492</v>
      </c>
      <c r="Z58" s="55" t="str">
        <f t="shared" si="25"/>
        <v>012°M / -18°</v>
      </c>
      <c r="AA58" s="151">
        <f t="shared" si="26"/>
        <v>620.2</v>
      </c>
      <c r="AB58" s="150">
        <f t="shared" si="27"/>
        <v>629.8</v>
      </c>
      <c r="AC58" s="188">
        <v>49</v>
      </c>
      <c r="AD58" s="1" t="b">
        <f t="shared" si="28"/>
        <v>1</v>
      </c>
      <c r="AE58" s="1">
        <f t="shared" si="29"/>
        <v>7.35808543235685</v>
      </c>
      <c r="AF58" s="1">
        <f t="shared" si="30"/>
        <v>133.806923536417</v>
      </c>
      <c r="AG58" s="1">
        <f t="shared" si="31"/>
        <v>133.806923536417</v>
      </c>
      <c r="AH58" s="2">
        <f t="shared" si="32"/>
        <v>1.22859711383353</v>
      </c>
      <c r="AI58" s="1">
        <f t="shared" si="33"/>
        <v>2.83870441190931</v>
      </c>
      <c r="AJ58" s="191">
        <f t="shared" si="111"/>
        <v>0</v>
      </c>
      <c r="AK58" s="191">
        <f t="shared" si="112"/>
        <v>0</v>
      </c>
      <c r="AL58" s="191">
        <f t="shared" si="34"/>
        <v>94.291652958967</v>
      </c>
      <c r="AM58" s="20">
        <f t="shared" si="35"/>
        <v>38.1926846784859</v>
      </c>
      <c r="AN58" s="191">
        <f t="shared" si="36"/>
        <v>86.5981722908871</v>
      </c>
      <c r="AO58" s="134">
        <f t="shared" si="37"/>
        <v>93</v>
      </c>
      <c r="AP58" s="64">
        <f t="shared" si="38"/>
        <v>68</v>
      </c>
      <c r="AQ58" s="1">
        <f t="shared" si="104"/>
        <v>92.8461304352229</v>
      </c>
      <c r="AR58" s="20">
        <f t="shared" si="39"/>
        <v>23.9670205897103</v>
      </c>
      <c r="AS58" s="1">
        <f t="shared" si="40"/>
        <v>82.6417867517665</v>
      </c>
      <c r="AT58" s="134">
        <f t="shared" si="41"/>
        <v>106</v>
      </c>
      <c r="AU58" s="64">
        <f t="shared" si="42"/>
        <v>76</v>
      </c>
      <c r="AV58" s="65">
        <f t="shared" si="43"/>
        <v>45683.8503724581</v>
      </c>
      <c r="AW58" s="65">
        <f t="shared" si="44"/>
        <v>45683.767253492</v>
      </c>
      <c r="AX58" s="1">
        <f t="shared" si="45"/>
        <v>274</v>
      </c>
      <c r="AY58" s="1">
        <f t="shared" si="46"/>
        <v>-18</v>
      </c>
      <c r="AZ58" s="131">
        <f t="shared" si="47"/>
        <v>620.2</v>
      </c>
      <c r="BA58" s="1">
        <f t="shared" si="48"/>
        <v>629.8</v>
      </c>
      <c r="BB58" s="1">
        <f t="shared" si="49"/>
        <v>42368830.0192234</v>
      </c>
      <c r="BC58" s="1">
        <f t="shared" si="50"/>
        <v>52</v>
      </c>
      <c r="BD58" s="1">
        <f t="shared" si="51"/>
        <v>57479942.5447285</v>
      </c>
      <c r="BE58" s="1">
        <f t="shared" si="52"/>
        <v>65</v>
      </c>
      <c r="BF58" s="20">
        <f t="shared" si="53"/>
        <v>113.715796101524</v>
      </c>
      <c r="BG58" s="1">
        <f t="shared" si="54"/>
        <v>-909.127863812751</v>
      </c>
      <c r="BH58" s="1">
        <f t="shared" si="55"/>
        <v>-399.378205260917</v>
      </c>
      <c r="BI58" s="1">
        <f t="shared" si="56"/>
        <v>128.227454472</v>
      </c>
      <c r="BJ58" s="1">
        <f t="shared" si="57"/>
        <v>-909.127863812751</v>
      </c>
      <c r="BK58" s="1">
        <f t="shared" si="58"/>
        <v>-399.378205260917</v>
      </c>
      <c r="BL58" s="1">
        <f t="shared" si="59"/>
        <v>128.227454472</v>
      </c>
      <c r="BM58" s="61">
        <f t="shared" si="60"/>
        <v>22461176.1246208</v>
      </c>
      <c r="BN58" s="61">
        <f t="shared" si="61"/>
        <v>37185345.5866248</v>
      </c>
      <c r="BO58" s="61">
        <f t="shared" si="62"/>
        <v>128.227454472</v>
      </c>
      <c r="BQ58" s="1" t="str">
        <f t="shared" si="63"/>
        <v>N 07° 21.5' / E 133° 48.4'</v>
      </c>
      <c r="BR58" s="1" t="str">
        <f t="shared" si="64"/>
        <v>53N 479355 128398</v>
      </c>
      <c r="BS58" s="1" t="str">
        <f t="shared" si="65"/>
        <v>53N MB 793283</v>
      </c>
      <c r="BT58" s="1" t="b">
        <f t="shared" si="66"/>
        <v>0</v>
      </c>
      <c r="BU58" s="1" t="str">
        <f t="shared" si="67"/>
        <v>53N</v>
      </c>
      <c r="BV58" s="1">
        <f t="shared" si="68"/>
        <v>53</v>
      </c>
      <c r="BW58" s="1">
        <f t="shared" si="69"/>
        <v>0</v>
      </c>
      <c r="BX58" s="1">
        <f t="shared" si="70"/>
        <v>135</v>
      </c>
      <c r="BY58" s="1">
        <f t="shared" si="71"/>
        <v>-20644.8190133386</v>
      </c>
      <c r="BZ58" s="1">
        <f t="shared" si="72"/>
        <v>479355.181</v>
      </c>
      <c r="CA58" s="1" t="str">
        <f t="shared" si="73"/>
        <v>M</v>
      </c>
      <c r="CB58" s="1" t="str">
        <f t="shared" si="74"/>
        <v>479355</v>
      </c>
      <c r="CC58" s="1" t="str">
        <f t="shared" si="75"/>
        <v>79355</v>
      </c>
      <c r="CD58" s="1">
        <f t="shared" si="76"/>
        <v>128398.979252766</v>
      </c>
      <c r="CE58" s="1">
        <f t="shared" si="77"/>
        <v>128398.9793</v>
      </c>
      <c r="CF58" s="1" t="str">
        <f t="shared" si="78"/>
        <v>B</v>
      </c>
      <c r="CG58" s="1" t="str">
        <f t="shared" si="79"/>
        <v>128398</v>
      </c>
      <c r="CH58" s="1" t="str">
        <f t="shared" si="80"/>
        <v>28398</v>
      </c>
      <c r="CJ58" s="1">
        <f t="shared" si="81"/>
        <v>628</v>
      </c>
      <c r="CK58" s="1" t="str">
        <f t="shared" si="82"/>
        <v>JC</v>
      </c>
      <c r="CL58" s="1">
        <f t="shared" si="83"/>
        <v>2</v>
      </c>
      <c r="CM58" s="1">
        <f t="shared" si="84"/>
        <v>4</v>
      </c>
      <c r="CN58" s="1">
        <f t="shared" si="85"/>
        <v>0</v>
      </c>
      <c r="CO58" s="1">
        <f t="shared" si="86"/>
        <v>1</v>
      </c>
      <c r="CP58" s="1" t="str">
        <f t="shared" si="87"/>
        <v>628JC24</v>
      </c>
      <c r="CR58" s="1" t="e">
        <f t="shared" si="88"/>
        <v>#VALUE!</v>
      </c>
      <c r="CS58" s="1" t="e">
        <f t="shared" si="89"/>
        <v>#VALUE!</v>
      </c>
      <c r="CT58" s="1">
        <f t="shared" si="90"/>
        <v>6</v>
      </c>
      <c r="CU58" s="1">
        <f t="shared" si="91"/>
        <v>1</v>
      </c>
      <c r="CV58" s="131" t="e">
        <f t="shared" si="92"/>
        <v>#VALUE!</v>
      </c>
      <c r="CW58" s="131">
        <v>1046.8</v>
      </c>
      <c r="CX58" s="131">
        <v>1644.9</v>
      </c>
      <c r="CY58" s="131">
        <v>1855.8</v>
      </c>
      <c r="CZ58" s="131">
        <v>2248.1</v>
      </c>
      <c r="DA58" s="131">
        <v>2266.7</v>
      </c>
      <c r="DC58" s="154">
        <f t="shared" si="93"/>
        <v>687.373417784</v>
      </c>
      <c r="DD58" s="154">
        <f t="shared" si="94"/>
        <v>128.227454472</v>
      </c>
      <c r="DE58" s="154">
        <f t="shared" si="95"/>
        <v>716.61301141</v>
      </c>
      <c r="DF58" s="1">
        <f t="shared" si="96"/>
        <v>45.7033578187293</v>
      </c>
      <c r="DG58" s="1">
        <f t="shared" si="97"/>
        <v>10.5668981870108</v>
      </c>
      <c r="DH58" s="1">
        <f t="shared" si="98"/>
        <v>191</v>
      </c>
      <c r="DI58" s="1">
        <f t="shared" si="99"/>
        <v>204</v>
      </c>
      <c r="DJ58" s="1">
        <f t="shared" si="100"/>
        <v>12</v>
      </c>
      <c r="DK58" s="1">
        <f t="shared" si="101"/>
        <v>191</v>
      </c>
      <c r="DL58" s="1">
        <f t="shared" si="102"/>
        <v>204</v>
      </c>
      <c r="DM58" s="1">
        <f t="shared" si="103"/>
        <v>12</v>
      </c>
    </row>
    <row r="59" customHeight="1" spans="1:117">
      <c r="A59" s="152" t="str">
        <f t="shared" si="113"/>
        <v>Moreland Hills</v>
      </c>
      <c r="C59" s="55" t="str">
        <f t="shared" si="5"/>
        <v>N 10° 14.7' / E 132° 27.4'</v>
      </c>
      <c r="D59" s="150" t="str">
        <f t="shared" si="6"/>
        <v>1228 m</v>
      </c>
      <c r="E59" s="151">
        <f t="shared" si="7"/>
        <v>1600.7</v>
      </c>
      <c r="F59" s="151">
        <f t="shared" si="8"/>
        <v>1894.1</v>
      </c>
      <c r="G59" s="151">
        <f t="shared" si="9"/>
        <v>990.9</v>
      </c>
      <c r="H59" s="151">
        <f t="shared" si="10"/>
        <v>2273.3</v>
      </c>
      <c r="I59" s="151">
        <f t="shared" si="11"/>
        <v>2233.8</v>
      </c>
      <c r="J59" s="171">
        <f t="shared" si="12"/>
        <v>1077</v>
      </c>
      <c r="K59" s="172">
        <f t="shared" si="114"/>
        <v>-665.087764925</v>
      </c>
      <c r="L59" s="172">
        <f t="shared" si="115"/>
        <v>726.918075026</v>
      </c>
      <c r="M59" s="173">
        <f t="shared" si="116"/>
        <v>178.063924494</v>
      </c>
      <c r="N59" s="54">
        <f t="shared" si="13"/>
        <v>0.0901211114862004</v>
      </c>
      <c r="O59" s="55" t="str">
        <f t="shared" si="14"/>
        <v>Morning / Sets in 92m</v>
      </c>
      <c r="P59" s="55" t="str">
        <f t="shared" si="15"/>
        <v>197°M / +50°</v>
      </c>
      <c r="Q59" s="56">
        <f t="shared" si="16"/>
        <v>45683.8512909193</v>
      </c>
      <c r="R59" s="56">
        <f t="shared" si="17"/>
        <v>45683.8570131413</v>
      </c>
      <c r="S59" s="56">
        <f t="shared" si="18"/>
        <v>45683.7304070346</v>
      </c>
      <c r="T59" s="56">
        <f t="shared" si="19"/>
        <v>45683.7754675903</v>
      </c>
      <c r="U59" s="180">
        <f t="shared" si="20"/>
        <v>45683.7811898124</v>
      </c>
      <c r="V59" s="55" t="str">
        <f t="shared" si="21"/>
        <v>Sets in 81m</v>
      </c>
      <c r="W59" s="55" t="str">
        <f t="shared" si="22"/>
        <v>212°M / +63°</v>
      </c>
      <c r="X59" s="56">
        <f t="shared" si="23"/>
        <v>45683.8510164027</v>
      </c>
      <c r="Y59" s="180">
        <f t="shared" si="24"/>
        <v>45683.7678972608</v>
      </c>
      <c r="Z59" s="55" t="str">
        <f t="shared" si="25"/>
        <v>011°M / -17°</v>
      </c>
      <c r="AA59" s="151">
        <f t="shared" si="26"/>
        <v>596</v>
      </c>
      <c r="AB59" s="150">
        <f t="shared" si="27"/>
        <v>604.4</v>
      </c>
      <c r="AC59" s="188">
        <v>50</v>
      </c>
      <c r="AD59" s="1" t="b">
        <f t="shared" si="28"/>
        <v>1</v>
      </c>
      <c r="AE59" s="1">
        <f t="shared" si="29"/>
        <v>10.2442885853889</v>
      </c>
      <c r="AF59" s="1">
        <f t="shared" si="30"/>
        <v>132.456699791749</v>
      </c>
      <c r="AG59" s="1">
        <f t="shared" si="31"/>
        <v>132.456699791749</v>
      </c>
      <c r="AH59" s="2">
        <f t="shared" si="32"/>
        <v>1.22843749997548</v>
      </c>
      <c r="AI59" s="1">
        <f t="shared" si="33"/>
        <v>2.83852019858664</v>
      </c>
      <c r="AJ59" s="191">
        <f t="shared" si="111"/>
        <v>0</v>
      </c>
      <c r="AK59" s="191">
        <f t="shared" si="112"/>
        <v>0</v>
      </c>
      <c r="AL59" s="191">
        <f t="shared" si="34"/>
        <v>94.495925016985</v>
      </c>
      <c r="AM59" s="20">
        <f t="shared" si="35"/>
        <v>39.5429084231534</v>
      </c>
      <c r="AN59" s="191">
        <f t="shared" si="36"/>
        <v>83.7119011849608</v>
      </c>
      <c r="AO59" s="134">
        <f t="shared" si="37"/>
        <v>96</v>
      </c>
      <c r="AP59" s="64">
        <f t="shared" si="38"/>
        <v>65</v>
      </c>
      <c r="AQ59" s="1">
        <f t="shared" si="104"/>
        <v>92.8459462219002</v>
      </c>
      <c r="AR59" s="20">
        <f t="shared" si="39"/>
        <v>25.3172443343778</v>
      </c>
      <c r="AS59" s="1">
        <f t="shared" si="40"/>
        <v>79.7555339213276</v>
      </c>
      <c r="AT59" s="134">
        <f t="shared" si="41"/>
        <v>111</v>
      </c>
      <c r="AU59" s="64">
        <f t="shared" si="42"/>
        <v>72</v>
      </c>
      <c r="AV59" s="65">
        <f t="shared" si="43"/>
        <v>45683.8510164027</v>
      </c>
      <c r="AW59" s="65">
        <f t="shared" si="44"/>
        <v>45683.7678972608</v>
      </c>
      <c r="AX59" s="1">
        <f t="shared" si="45"/>
        <v>270</v>
      </c>
      <c r="AY59" s="1">
        <f t="shared" si="46"/>
        <v>-17</v>
      </c>
      <c r="AZ59" s="131">
        <f t="shared" si="47"/>
        <v>596</v>
      </c>
      <c r="BA59" s="1">
        <f t="shared" si="48"/>
        <v>604.4</v>
      </c>
      <c r="BB59" s="1">
        <f t="shared" si="49"/>
        <v>42368847.1663264</v>
      </c>
      <c r="BC59" s="1">
        <f t="shared" si="50"/>
        <v>50</v>
      </c>
      <c r="BD59" s="1">
        <f t="shared" si="51"/>
        <v>57479959.2767773</v>
      </c>
      <c r="BE59" s="1">
        <f t="shared" si="52"/>
        <v>63</v>
      </c>
      <c r="BF59" s="20">
        <f t="shared" si="53"/>
        <v>112.365572356857</v>
      </c>
      <c r="BG59" s="1">
        <f t="shared" si="54"/>
        <v>-911.150398419455</v>
      </c>
      <c r="BH59" s="1">
        <f t="shared" si="55"/>
        <v>-374.908754649056</v>
      </c>
      <c r="BI59" s="1">
        <f t="shared" si="56"/>
        <v>178.063924494</v>
      </c>
      <c r="BJ59" s="1">
        <f t="shared" si="57"/>
        <v>-911.150398419455</v>
      </c>
      <c r="BK59" s="1">
        <f t="shared" si="58"/>
        <v>-374.908754649056</v>
      </c>
      <c r="BL59" s="1">
        <f t="shared" si="59"/>
        <v>178.063924494</v>
      </c>
      <c r="BM59" s="61">
        <f t="shared" si="60"/>
        <v>22461174.1020862</v>
      </c>
      <c r="BN59" s="61">
        <f t="shared" si="61"/>
        <v>37185370.0560755</v>
      </c>
      <c r="BO59" s="61">
        <f t="shared" si="62"/>
        <v>178.063924494</v>
      </c>
      <c r="BQ59" s="1" t="str">
        <f t="shared" si="63"/>
        <v>N 10° 14.7' / E 132° 27.4'</v>
      </c>
      <c r="BR59" s="1" t="str">
        <f t="shared" si="64"/>
        <v>53P 456322 178897</v>
      </c>
      <c r="BS59" s="1" t="str">
        <f t="shared" si="65"/>
        <v>53P MB 563788</v>
      </c>
      <c r="BT59" s="1" t="b">
        <f t="shared" si="66"/>
        <v>0</v>
      </c>
      <c r="BU59" s="1" t="str">
        <f t="shared" si="67"/>
        <v>53P</v>
      </c>
      <c r="BV59" s="1">
        <f t="shared" si="68"/>
        <v>53</v>
      </c>
      <c r="BW59" s="1">
        <f t="shared" si="69"/>
        <v>0</v>
      </c>
      <c r="BX59" s="1">
        <f t="shared" si="70"/>
        <v>135</v>
      </c>
      <c r="BY59" s="1">
        <f t="shared" si="71"/>
        <v>-43677.2980999958</v>
      </c>
      <c r="BZ59" s="1">
        <f t="shared" si="72"/>
        <v>456322.7019</v>
      </c>
      <c r="CA59" s="1" t="str">
        <f t="shared" si="73"/>
        <v>M</v>
      </c>
      <c r="CB59" s="1" t="str">
        <f t="shared" si="74"/>
        <v>456322</v>
      </c>
      <c r="CC59" s="1" t="str">
        <f t="shared" si="75"/>
        <v>56322</v>
      </c>
      <c r="CD59" s="1">
        <f t="shared" si="76"/>
        <v>178897.532389419</v>
      </c>
      <c r="CE59" s="1">
        <f t="shared" si="77"/>
        <v>178897.5324</v>
      </c>
      <c r="CF59" s="1" t="str">
        <f t="shared" si="78"/>
        <v>B</v>
      </c>
      <c r="CG59" s="1" t="str">
        <f t="shared" si="79"/>
        <v>178897</v>
      </c>
      <c r="CH59" s="1" t="str">
        <f t="shared" si="80"/>
        <v>78897</v>
      </c>
      <c r="CJ59" s="1">
        <f t="shared" si="81"/>
        <v>625</v>
      </c>
      <c r="CK59" s="1" t="str">
        <f t="shared" si="82"/>
        <v>JJ</v>
      </c>
      <c r="CL59" s="1">
        <f t="shared" si="83"/>
        <v>4</v>
      </c>
      <c r="CM59" s="1">
        <f t="shared" si="84"/>
        <v>3</v>
      </c>
      <c r="CN59" s="1">
        <f t="shared" si="85"/>
        <v>2</v>
      </c>
      <c r="CO59" s="1">
        <f t="shared" si="86"/>
        <v>2</v>
      </c>
      <c r="CP59" s="1" t="str">
        <f t="shared" si="87"/>
        <v>625JJ43</v>
      </c>
      <c r="CR59" s="1" t="e">
        <f t="shared" si="88"/>
        <v>#VALUE!</v>
      </c>
      <c r="CS59" s="1" t="e">
        <f t="shared" si="89"/>
        <v>#VALUE!</v>
      </c>
      <c r="CT59" s="1">
        <f t="shared" si="90"/>
        <v>6</v>
      </c>
      <c r="CU59" s="1">
        <f t="shared" si="91"/>
        <v>1</v>
      </c>
      <c r="CV59" s="131" t="e">
        <f t="shared" si="92"/>
        <v>#VALUE!</v>
      </c>
      <c r="CW59" s="131">
        <v>1077</v>
      </c>
      <c r="CX59" s="131">
        <v>1600.7</v>
      </c>
      <c r="CY59" s="131">
        <v>1894.1</v>
      </c>
      <c r="CZ59" s="131">
        <v>2233.8</v>
      </c>
      <c r="DA59" s="131">
        <v>2273.3</v>
      </c>
      <c r="DC59" s="154">
        <f t="shared" si="93"/>
        <v>665.087764925</v>
      </c>
      <c r="DD59" s="154">
        <f t="shared" si="94"/>
        <v>178.063924494</v>
      </c>
      <c r="DE59" s="154">
        <f t="shared" si="95"/>
        <v>726.918075026</v>
      </c>
      <c r="DF59" s="1">
        <f t="shared" si="96"/>
        <v>46.5542824144073</v>
      </c>
      <c r="DG59" s="1">
        <f t="shared" si="97"/>
        <v>14.9882800034386</v>
      </c>
      <c r="DH59" s="1">
        <f t="shared" si="98"/>
        <v>197</v>
      </c>
      <c r="DI59" s="1">
        <f t="shared" si="99"/>
        <v>212</v>
      </c>
      <c r="DJ59" s="1">
        <f t="shared" si="100"/>
        <v>11</v>
      </c>
      <c r="DK59" s="1">
        <f t="shared" si="101"/>
        <v>197</v>
      </c>
      <c r="DL59" s="1">
        <f t="shared" si="102"/>
        <v>212</v>
      </c>
      <c r="DM59" s="1">
        <f t="shared" si="103"/>
        <v>11</v>
      </c>
    </row>
    <row r="60" customHeight="1" spans="1:117">
      <c r="A60" s="152" t="str">
        <f t="shared" si="113"/>
        <v>Razor's Edge</v>
      </c>
      <c r="C60" s="55" t="str">
        <f t="shared" si="5"/>
        <v>N 10° 19.5' / E 132° 31.6'</v>
      </c>
      <c r="D60" s="150" t="str">
        <f t="shared" si="6"/>
        <v>1633 m</v>
      </c>
      <c r="E60" s="151">
        <f t="shared" si="7"/>
        <v>1599.6</v>
      </c>
      <c r="F60" s="151">
        <f t="shared" si="8"/>
        <v>1895.4</v>
      </c>
      <c r="G60" s="151">
        <f t="shared" si="9"/>
        <v>992.4</v>
      </c>
      <c r="H60" s="151">
        <f t="shared" si="10"/>
        <v>2273</v>
      </c>
      <c r="I60" s="151">
        <f t="shared" si="11"/>
        <v>2234.6</v>
      </c>
      <c r="J60" s="171">
        <f t="shared" si="12"/>
        <v>1076.1</v>
      </c>
      <c r="K60" s="172">
        <f t="shared" si="114"/>
        <v>-666.067306713999</v>
      </c>
      <c r="L60" s="172">
        <f t="shared" si="115"/>
        <v>726.221158387999</v>
      </c>
      <c r="M60" s="173">
        <f t="shared" si="116"/>
        <v>179.517785705999</v>
      </c>
      <c r="N60" s="54">
        <f t="shared" si="13"/>
        <v>0.0905405350175274</v>
      </c>
      <c r="O60" s="55" t="str">
        <f t="shared" si="14"/>
        <v>Morning / Sets in 92m</v>
      </c>
      <c r="P60" s="55" t="str">
        <f t="shared" si="15"/>
        <v>197°M / +50°</v>
      </c>
      <c r="Q60" s="56">
        <f t="shared" si="16"/>
        <v>45683.8510481266</v>
      </c>
      <c r="R60" s="56">
        <f t="shared" si="17"/>
        <v>45683.8567703487</v>
      </c>
      <c r="S60" s="56">
        <f t="shared" si="18"/>
        <v>45683.7303739537</v>
      </c>
      <c r="T60" s="56">
        <f t="shared" si="19"/>
        <v>45683.7756442212</v>
      </c>
      <c r="U60" s="180">
        <f t="shared" si="20"/>
        <v>45683.7813664433</v>
      </c>
      <c r="V60" s="55" t="str">
        <f t="shared" si="21"/>
        <v>Sets in 81m</v>
      </c>
      <c r="W60" s="55" t="str">
        <f t="shared" si="22"/>
        <v>212°M / +63°</v>
      </c>
      <c r="X60" s="56">
        <f t="shared" si="23"/>
        <v>45683.8507763469</v>
      </c>
      <c r="Y60" s="180">
        <f t="shared" si="24"/>
        <v>45683.7680711548</v>
      </c>
      <c r="Z60" s="55" t="str">
        <f t="shared" si="25"/>
        <v>011°M / -17°</v>
      </c>
      <c r="AA60" s="151">
        <f t="shared" si="26"/>
        <v>597.3</v>
      </c>
      <c r="AB60" s="150">
        <f t="shared" si="27"/>
        <v>605.6</v>
      </c>
      <c r="AC60" s="188">
        <v>51</v>
      </c>
      <c r="AD60" s="1" t="b">
        <f t="shared" si="28"/>
        <v>1</v>
      </c>
      <c r="AE60" s="1">
        <f t="shared" si="29"/>
        <v>10.3246238369888</v>
      </c>
      <c r="AF60" s="1">
        <f t="shared" si="30"/>
        <v>132.526073244263</v>
      </c>
      <c r="AG60" s="1">
        <f t="shared" si="31"/>
        <v>132.526073244263</v>
      </c>
      <c r="AH60" s="2">
        <f t="shared" si="32"/>
        <v>1.63339768022536</v>
      </c>
      <c r="AI60" s="1">
        <f t="shared" si="33"/>
        <v>3.27256465042595</v>
      </c>
      <c r="AJ60" s="191">
        <f t="shared" si="111"/>
        <v>0</v>
      </c>
      <c r="AK60" s="191">
        <f t="shared" si="112"/>
        <v>0</v>
      </c>
      <c r="AL60" s="191">
        <f t="shared" si="34"/>
        <v>94.9357089245848</v>
      </c>
      <c r="AM60" s="20">
        <f t="shared" si="35"/>
        <v>39.4735349706399</v>
      </c>
      <c r="AN60" s="191">
        <f t="shared" si="36"/>
        <v>83.6315639879281</v>
      </c>
      <c r="AO60" s="134">
        <f t="shared" si="37"/>
        <v>96</v>
      </c>
      <c r="AP60" s="64">
        <f t="shared" si="38"/>
        <v>65</v>
      </c>
      <c r="AQ60" s="1">
        <f t="shared" si="104"/>
        <v>93.2799906737395</v>
      </c>
      <c r="AR60" s="20">
        <f t="shared" si="39"/>
        <v>25.2478708818643</v>
      </c>
      <c r="AS60" s="1">
        <f t="shared" si="40"/>
        <v>79.6751972191245</v>
      </c>
      <c r="AT60" s="134">
        <f t="shared" si="41"/>
        <v>111</v>
      </c>
      <c r="AU60" s="64">
        <f t="shared" si="42"/>
        <v>72</v>
      </c>
      <c r="AV60" s="65">
        <f t="shared" si="43"/>
        <v>45683.8507763469</v>
      </c>
      <c r="AW60" s="65">
        <f t="shared" si="44"/>
        <v>45683.7680711548</v>
      </c>
      <c r="AX60" s="1">
        <f t="shared" si="45"/>
        <v>270</v>
      </c>
      <c r="AY60" s="1">
        <f t="shared" si="46"/>
        <v>-17</v>
      </c>
      <c r="AZ60" s="131">
        <f t="shared" si="47"/>
        <v>597.3</v>
      </c>
      <c r="BA60" s="1">
        <f t="shared" si="48"/>
        <v>605.6</v>
      </c>
      <c r="BB60" s="1">
        <f t="shared" si="49"/>
        <v>42368846.1950765</v>
      </c>
      <c r="BC60" s="1">
        <f t="shared" si="50"/>
        <v>50</v>
      </c>
      <c r="BD60" s="1">
        <f t="shared" si="51"/>
        <v>57479958.6336308</v>
      </c>
      <c r="BE60" s="1">
        <f t="shared" si="52"/>
        <v>63</v>
      </c>
      <c r="BF60" s="20">
        <f t="shared" si="53"/>
        <v>112.43494580937</v>
      </c>
      <c r="BG60" s="1">
        <f t="shared" si="54"/>
        <v>-910.832377509379</v>
      </c>
      <c r="BH60" s="1">
        <f t="shared" si="55"/>
        <v>-376.068089638379</v>
      </c>
      <c r="BI60" s="1">
        <f t="shared" si="56"/>
        <v>179.517785705999</v>
      </c>
      <c r="BJ60" s="1">
        <f t="shared" si="57"/>
        <v>-910.832377509379</v>
      </c>
      <c r="BK60" s="1">
        <f t="shared" si="58"/>
        <v>-376.068089638379</v>
      </c>
      <c r="BL60" s="1">
        <f t="shared" si="59"/>
        <v>179.517785705999</v>
      </c>
      <c r="BM60" s="61">
        <f t="shared" si="60"/>
        <v>22461174.4201071</v>
      </c>
      <c r="BN60" s="61">
        <f t="shared" si="61"/>
        <v>37185368.8967405</v>
      </c>
      <c r="BO60" s="61">
        <f t="shared" si="62"/>
        <v>179.517785705999</v>
      </c>
      <c r="BQ60" s="1" t="str">
        <f t="shared" si="63"/>
        <v>N 10° 19.5' / E 132° 31.6'</v>
      </c>
      <c r="BR60" s="1" t="str">
        <f t="shared" si="64"/>
        <v>53P 457525 180291</v>
      </c>
      <c r="BS60" s="1" t="str">
        <f t="shared" si="65"/>
        <v>53P MB 575802</v>
      </c>
      <c r="BT60" s="1" t="b">
        <f t="shared" si="66"/>
        <v>0</v>
      </c>
      <c r="BU60" s="1" t="str">
        <f t="shared" si="67"/>
        <v>53P</v>
      </c>
      <c r="BV60" s="1">
        <f t="shared" si="68"/>
        <v>53</v>
      </c>
      <c r="BW60" s="1">
        <f t="shared" si="69"/>
        <v>0</v>
      </c>
      <c r="BX60" s="1">
        <f t="shared" si="70"/>
        <v>135</v>
      </c>
      <c r="BY60" s="1">
        <f t="shared" si="71"/>
        <v>-42474.3908181285</v>
      </c>
      <c r="BZ60" s="1">
        <f t="shared" si="72"/>
        <v>457525.6092</v>
      </c>
      <c r="CA60" s="1" t="str">
        <f t="shared" si="73"/>
        <v>M</v>
      </c>
      <c r="CB60" s="1" t="str">
        <f t="shared" si="74"/>
        <v>457525</v>
      </c>
      <c r="CC60" s="1" t="str">
        <f t="shared" si="75"/>
        <v>57525</v>
      </c>
      <c r="CD60" s="1">
        <f t="shared" si="76"/>
        <v>180291.021865931</v>
      </c>
      <c r="CE60" s="1">
        <f t="shared" si="77"/>
        <v>180291.0219</v>
      </c>
      <c r="CF60" s="1" t="str">
        <f t="shared" si="78"/>
        <v>B</v>
      </c>
      <c r="CG60" s="1" t="str">
        <f t="shared" si="79"/>
        <v>180291</v>
      </c>
      <c r="CH60" s="1" t="str">
        <f t="shared" si="80"/>
        <v>80291</v>
      </c>
      <c r="CJ60" s="1">
        <f t="shared" si="81"/>
        <v>626</v>
      </c>
      <c r="CK60" s="1" t="str">
        <f t="shared" si="82"/>
        <v>JJ</v>
      </c>
      <c r="CL60" s="1">
        <f t="shared" si="83"/>
        <v>1</v>
      </c>
      <c r="CM60" s="1">
        <f t="shared" si="84"/>
        <v>7</v>
      </c>
      <c r="CN60" s="1">
        <f t="shared" si="85"/>
        <v>0</v>
      </c>
      <c r="CO60" s="1">
        <f t="shared" si="86"/>
        <v>0</v>
      </c>
      <c r="CP60" s="1" t="str">
        <f t="shared" si="87"/>
        <v>626JJ17</v>
      </c>
      <c r="CR60" s="1" t="e">
        <f t="shared" si="88"/>
        <v>#VALUE!</v>
      </c>
      <c r="CS60" s="1" t="e">
        <f t="shared" si="89"/>
        <v>#VALUE!</v>
      </c>
      <c r="CT60" s="1">
        <f t="shared" si="90"/>
        <v>6</v>
      </c>
      <c r="CU60" s="1">
        <f t="shared" si="91"/>
        <v>1</v>
      </c>
      <c r="CV60" s="131" t="e">
        <f t="shared" si="92"/>
        <v>#VALUE!</v>
      </c>
      <c r="CW60" s="131">
        <v>1076.1</v>
      </c>
      <c r="CX60" s="131">
        <v>1599.6</v>
      </c>
      <c r="CY60" s="131">
        <v>1895.4</v>
      </c>
      <c r="CZ60" s="131">
        <v>2234.6</v>
      </c>
      <c r="DA60" s="131">
        <v>2273</v>
      </c>
      <c r="DC60" s="154">
        <f t="shared" si="93"/>
        <v>666.067306713999</v>
      </c>
      <c r="DD60" s="154">
        <f t="shared" si="94"/>
        <v>179.517785705999</v>
      </c>
      <c r="DE60" s="154">
        <f t="shared" si="95"/>
        <v>726.221158387999</v>
      </c>
      <c r="DF60" s="1">
        <f t="shared" si="96"/>
        <v>46.4719163011501</v>
      </c>
      <c r="DG60" s="1">
        <f t="shared" si="97"/>
        <v>15.0838846052613</v>
      </c>
      <c r="DH60" s="1">
        <f t="shared" si="98"/>
        <v>197</v>
      </c>
      <c r="DI60" s="1">
        <f t="shared" si="99"/>
        <v>212</v>
      </c>
      <c r="DJ60" s="1">
        <f t="shared" si="100"/>
        <v>11</v>
      </c>
      <c r="DK60" s="1">
        <f t="shared" si="101"/>
        <v>197</v>
      </c>
      <c r="DL60" s="1">
        <f t="shared" si="102"/>
        <v>212</v>
      </c>
      <c r="DM60" s="1">
        <f t="shared" si="103"/>
        <v>11</v>
      </c>
    </row>
    <row r="61" customHeight="1" spans="1:117">
      <c r="A61" s="152" t="str">
        <f t="shared" si="113"/>
        <v>Settlement 14N</v>
      </c>
      <c r="C61" s="55" t="str">
        <f t="shared" si="5"/>
        <v>N 05° 23.3' / W 098° 55.3'</v>
      </c>
      <c r="D61" s="150" t="str">
        <f t="shared" si="6"/>
        <v>772 m</v>
      </c>
      <c r="E61" s="151">
        <f t="shared" si="7"/>
        <v>1674.3</v>
      </c>
      <c r="F61" s="151">
        <f t="shared" si="8"/>
        <v>1828.8</v>
      </c>
      <c r="G61" s="151">
        <f t="shared" si="9"/>
        <v>2430.6</v>
      </c>
      <c r="H61" s="151">
        <f t="shared" si="10"/>
        <v>489.9</v>
      </c>
      <c r="I61" s="151">
        <f t="shared" si="11"/>
        <v>1875.9</v>
      </c>
      <c r="J61" s="171">
        <f t="shared" si="12"/>
        <v>1621.5</v>
      </c>
      <c r="K61" s="172">
        <f t="shared" si="114"/>
        <v>-154.512351289</v>
      </c>
      <c r="L61" s="172">
        <f t="shared" si="115"/>
        <v>-984.296107581999</v>
      </c>
      <c r="M61" s="173">
        <f t="shared" si="116"/>
        <v>93.975155987</v>
      </c>
      <c r="N61" s="54">
        <f t="shared" si="13"/>
        <v>0.0892336293765343</v>
      </c>
      <c r="O61" s="55" t="str">
        <f t="shared" si="14"/>
        <v>Afternoon / Sets in 3m</v>
      </c>
      <c r="P61" s="55" t="str">
        <f t="shared" si="15"/>
        <v>333°M / +01°</v>
      </c>
      <c r="Q61" s="56">
        <f t="shared" si="16"/>
        <v>45683.790401044</v>
      </c>
      <c r="R61" s="56">
        <f t="shared" si="17"/>
        <v>45683.7961232661</v>
      </c>
      <c r="S61" s="56">
        <f t="shared" si="18"/>
        <v>45683.8407400808</v>
      </c>
      <c r="T61" s="56">
        <f t="shared" si="19"/>
        <v>45683.713690233</v>
      </c>
      <c r="U61" s="180">
        <f t="shared" si="20"/>
        <v>45683.719412455</v>
      </c>
      <c r="V61" s="55" t="str">
        <f t="shared" si="21"/>
        <v>Obstructed / Rises in 113m</v>
      </c>
      <c r="W61" s="55" t="str">
        <f t="shared" si="22"/>
        <v>330°M / -13°</v>
      </c>
      <c r="X61" s="56">
        <f t="shared" si="23"/>
        <v>45683.7899632457</v>
      </c>
      <c r="Y61" s="180">
        <f t="shared" si="24"/>
        <v>45683.8779498476</v>
      </c>
      <c r="Z61" s="55" t="str">
        <f t="shared" si="25"/>
        <v>010°M / -79°</v>
      </c>
      <c r="AA61" s="151">
        <f t="shared" si="26"/>
        <v>1967.3</v>
      </c>
      <c r="AB61" s="150">
        <f t="shared" si="27"/>
        <v>2767.7</v>
      </c>
      <c r="AC61" s="188">
        <v>52</v>
      </c>
      <c r="AD61" s="1" t="b">
        <f t="shared" si="28"/>
        <v>1</v>
      </c>
      <c r="AE61" s="1">
        <f t="shared" si="29"/>
        <v>5.38816570513213</v>
      </c>
      <c r="AF61" s="1">
        <f t="shared" si="30"/>
        <v>-98.9213444326999</v>
      </c>
      <c r="AG61" s="1">
        <f t="shared" si="31"/>
        <v>261.0786555673</v>
      </c>
      <c r="AH61" s="2">
        <f t="shared" si="32"/>
        <v>0.77181417379586</v>
      </c>
      <c r="AI61" s="1">
        <f t="shared" si="33"/>
        <v>2.25037237427113</v>
      </c>
      <c r="AJ61" s="191">
        <f t="shared" si="111"/>
        <v>0</v>
      </c>
      <c r="AK61" s="191">
        <f t="shared" si="112"/>
        <v>0</v>
      </c>
      <c r="AL61" s="191">
        <f t="shared" si="34"/>
        <v>93.5653612289233</v>
      </c>
      <c r="AM61" s="20">
        <f t="shared" si="35"/>
        <v>-89.0790473523976</v>
      </c>
      <c r="AN61" s="191">
        <f t="shared" si="36"/>
        <v>88.5681385347047</v>
      </c>
      <c r="AO61" s="134">
        <f t="shared" si="37"/>
        <v>274</v>
      </c>
      <c r="AP61" s="64">
        <f t="shared" si="38"/>
        <v>1</v>
      </c>
      <c r="AQ61" s="1">
        <f t="shared" si="104"/>
        <v>92.2577983975847</v>
      </c>
      <c r="AR61" s="20">
        <f t="shared" si="39"/>
        <v>-103.304711441173</v>
      </c>
      <c r="AS61" s="1">
        <f t="shared" si="40"/>
        <v>84.6117406227741</v>
      </c>
      <c r="AT61" s="134">
        <f t="shared" si="41"/>
        <v>271</v>
      </c>
      <c r="AU61" s="64">
        <f t="shared" si="42"/>
        <v>-19</v>
      </c>
      <c r="AV61" s="65">
        <f t="shared" si="43"/>
        <v>45683.7899632457</v>
      </c>
      <c r="AW61" s="65">
        <f t="shared" si="44"/>
        <v>45683.8779498476</v>
      </c>
      <c r="AX61" s="1">
        <f t="shared" si="45"/>
        <v>311</v>
      </c>
      <c r="AY61" s="1">
        <f t="shared" si="46"/>
        <v>-79</v>
      </c>
      <c r="AZ61" s="131">
        <f t="shared" si="47"/>
        <v>1967.3</v>
      </c>
      <c r="BA61" s="1">
        <f t="shared" si="48"/>
        <v>2767.7</v>
      </c>
      <c r="BB61" s="1">
        <f t="shared" si="49"/>
        <v>42369594.9752655</v>
      </c>
      <c r="BC61" s="1">
        <f t="shared" si="50"/>
        <v>1</v>
      </c>
      <c r="BD61" s="1">
        <f t="shared" si="51"/>
        <v>57481079.2091415</v>
      </c>
      <c r="BE61" s="1">
        <f t="shared" si="52"/>
        <v>-13</v>
      </c>
      <c r="BF61" s="20">
        <f t="shared" si="53"/>
        <v>-119.012471867592</v>
      </c>
      <c r="BG61" s="1">
        <f t="shared" si="54"/>
        <v>871.321990737389</v>
      </c>
      <c r="BH61" s="1">
        <f t="shared" si="55"/>
        <v>-483.229637501016</v>
      </c>
      <c r="BI61" s="1">
        <f t="shared" si="56"/>
        <v>93.975155987</v>
      </c>
      <c r="BJ61" s="1">
        <f t="shared" si="57"/>
        <v>871.321990737389</v>
      </c>
      <c r="BK61" s="1">
        <f t="shared" si="58"/>
        <v>-483.229637501016</v>
      </c>
      <c r="BL61" s="1">
        <f t="shared" si="59"/>
        <v>93.975155987</v>
      </c>
      <c r="BM61" s="61">
        <f t="shared" si="60"/>
        <v>22462956.5744753</v>
      </c>
      <c r="BN61" s="61">
        <f t="shared" si="61"/>
        <v>37185261.7351926</v>
      </c>
      <c r="BO61" s="61">
        <f t="shared" si="62"/>
        <v>93.975155987</v>
      </c>
      <c r="BQ61" s="1" t="str">
        <f t="shared" si="63"/>
        <v>N 05° 23.3' / W 098° 55.3'</v>
      </c>
      <c r="BR61" s="1" t="str">
        <f t="shared" si="64"/>
        <v>14N 501366 094003</v>
      </c>
      <c r="BS61" s="1" t="str">
        <f t="shared" si="65"/>
        <v>14N NF 013940</v>
      </c>
      <c r="BT61" s="1" t="b">
        <f t="shared" si="66"/>
        <v>0</v>
      </c>
      <c r="BU61" s="1" t="str">
        <f t="shared" si="67"/>
        <v>14N</v>
      </c>
      <c r="BV61" s="1">
        <f t="shared" si="68"/>
        <v>14</v>
      </c>
      <c r="BW61" s="1">
        <f t="shared" si="69"/>
        <v>0</v>
      </c>
      <c r="BX61" s="1">
        <f t="shared" si="70"/>
        <v>-99</v>
      </c>
      <c r="BY61" s="1">
        <f t="shared" si="71"/>
        <v>1366.18647903989</v>
      </c>
      <c r="BZ61" s="1">
        <f t="shared" si="72"/>
        <v>501366.1865</v>
      </c>
      <c r="CA61" s="1" t="str">
        <f t="shared" si="73"/>
        <v>N</v>
      </c>
      <c r="CB61" s="1" t="str">
        <f t="shared" si="74"/>
        <v>501366</v>
      </c>
      <c r="CC61" s="1" t="str">
        <f t="shared" si="75"/>
        <v>01366</v>
      </c>
      <c r="CD61" s="1">
        <f t="shared" si="76"/>
        <v>94003.7037619478</v>
      </c>
      <c r="CE61" s="1">
        <f t="shared" si="77"/>
        <v>94003.7038</v>
      </c>
      <c r="CF61" s="1" t="str">
        <f t="shared" si="78"/>
        <v>F</v>
      </c>
      <c r="CG61" s="1" t="str">
        <f t="shared" si="79"/>
        <v>094003</v>
      </c>
      <c r="CH61" s="1" t="str">
        <f t="shared" si="80"/>
        <v>94003</v>
      </c>
      <c r="CJ61" s="1">
        <f t="shared" si="81"/>
        <v>163</v>
      </c>
      <c r="CK61" s="1" t="str">
        <f t="shared" si="82"/>
        <v>HY</v>
      </c>
      <c r="CL61" s="1">
        <f t="shared" si="83"/>
        <v>1</v>
      </c>
      <c r="CM61" s="1">
        <f t="shared" si="84"/>
        <v>4</v>
      </c>
      <c r="CN61" s="1">
        <f t="shared" si="85"/>
        <v>0</v>
      </c>
      <c r="CO61" s="1">
        <f t="shared" si="86"/>
        <v>1</v>
      </c>
      <c r="CP61" s="1" t="str">
        <f t="shared" si="87"/>
        <v>163HY14</v>
      </c>
      <c r="CR61" s="1" t="e">
        <f t="shared" si="88"/>
        <v>#VALUE!</v>
      </c>
      <c r="CS61" s="1" t="e">
        <f t="shared" si="89"/>
        <v>#VALUE!</v>
      </c>
      <c r="CT61" s="1">
        <f t="shared" si="90"/>
        <v>6</v>
      </c>
      <c r="CU61" s="1">
        <f t="shared" si="91"/>
        <v>1</v>
      </c>
      <c r="CV61" s="131" t="e">
        <f t="shared" si="92"/>
        <v>#VALUE!</v>
      </c>
      <c r="CW61" s="131">
        <v>1621.5</v>
      </c>
      <c r="CX61" s="131">
        <v>1674.3</v>
      </c>
      <c r="CY61" s="131">
        <v>1828.8</v>
      </c>
      <c r="CZ61" s="131">
        <v>1875.9</v>
      </c>
      <c r="DA61" s="131">
        <v>2430.6</v>
      </c>
      <c r="DC61" s="154">
        <f t="shared" si="93"/>
        <v>154.512351289</v>
      </c>
      <c r="DD61" s="154">
        <f t="shared" si="94"/>
        <v>93.975155987</v>
      </c>
      <c r="DE61" s="154">
        <f t="shared" si="95"/>
        <v>-984.296107581999</v>
      </c>
      <c r="DF61" s="1">
        <f t="shared" si="96"/>
        <v>-79.5890647717013</v>
      </c>
      <c r="DG61" s="1">
        <f t="shared" si="97"/>
        <v>31.3081683641116</v>
      </c>
      <c r="DH61" s="1">
        <f t="shared" si="98"/>
        <v>333</v>
      </c>
      <c r="DI61" s="1">
        <f t="shared" si="99"/>
        <v>330</v>
      </c>
      <c r="DJ61" s="1">
        <f t="shared" si="100"/>
        <v>10</v>
      </c>
      <c r="DK61" s="1">
        <f t="shared" si="101"/>
        <v>333</v>
      </c>
      <c r="DL61" s="1">
        <f t="shared" si="102"/>
        <v>330</v>
      </c>
      <c r="DM61" s="1">
        <f t="shared" si="103"/>
        <v>10</v>
      </c>
    </row>
    <row r="62" customHeight="1" spans="1:117">
      <c r="A62" s="152" t="str">
        <f t="shared" si="113"/>
        <v>Settlement 16N</v>
      </c>
      <c r="C62" s="55" t="str">
        <f t="shared" si="5"/>
        <v>N 00° 30.6' / W 088° 49.2'</v>
      </c>
      <c r="D62" s="150" t="str">
        <f t="shared" si="6"/>
        <v>962 m</v>
      </c>
      <c r="E62" s="151">
        <f t="shared" si="7"/>
        <v>1746</v>
      </c>
      <c r="F62" s="151">
        <f t="shared" si="8"/>
        <v>1760.7</v>
      </c>
      <c r="G62" s="151">
        <f t="shared" si="9"/>
        <v>2440.4</v>
      </c>
      <c r="H62" s="151">
        <f t="shared" si="10"/>
        <v>439.5</v>
      </c>
      <c r="I62" s="151">
        <f t="shared" si="11"/>
        <v>1736.4</v>
      </c>
      <c r="J62" s="171">
        <f t="shared" si="12"/>
        <v>1770.2</v>
      </c>
      <c r="K62" s="172">
        <f t="shared" si="114"/>
        <v>20.614093015</v>
      </c>
      <c r="L62" s="172">
        <f t="shared" si="115"/>
        <v>-1000.709692701</v>
      </c>
      <c r="M62" s="173">
        <f t="shared" si="116"/>
        <v>8.921606672</v>
      </c>
      <c r="N62" s="54">
        <f t="shared" si="13"/>
        <v>0.0891602398331777</v>
      </c>
      <c r="O62" s="55" t="str">
        <f t="shared" si="14"/>
        <v>Evening Twilight / Rises in 115m</v>
      </c>
      <c r="P62" s="55" t="str">
        <f t="shared" si="15"/>
        <v>207°M / -09°</v>
      </c>
      <c r="Q62" s="56">
        <f t="shared" si="16"/>
        <v>45683.7856208483</v>
      </c>
      <c r="R62" s="56">
        <f t="shared" si="17"/>
        <v>45683.7913430704</v>
      </c>
      <c r="S62" s="56">
        <f t="shared" si="18"/>
        <v>45683.8359231903</v>
      </c>
      <c r="T62" s="56">
        <f t="shared" si="19"/>
        <v>45683.8805033102</v>
      </c>
      <c r="U62" s="180">
        <f t="shared" si="20"/>
        <v>45683.7145588698</v>
      </c>
      <c r="V62" s="55" t="str">
        <f t="shared" si="21"/>
        <v>Obstructed / Rises in 106m</v>
      </c>
      <c r="W62" s="55" t="str">
        <f t="shared" si="22"/>
        <v>204°M / -23°</v>
      </c>
      <c r="X62" s="56">
        <f t="shared" si="23"/>
        <v>45683.7850216662</v>
      </c>
      <c r="Y62" s="180">
        <f t="shared" si="24"/>
        <v>45683.8732576462</v>
      </c>
      <c r="Z62" s="55" t="str">
        <f t="shared" si="25"/>
        <v>259°M / -85°</v>
      </c>
      <c r="AA62" s="151">
        <f t="shared" si="26"/>
        <v>1993.2</v>
      </c>
      <c r="AB62" s="150">
        <f t="shared" si="27"/>
        <v>2950</v>
      </c>
      <c r="AC62" s="188">
        <v>53</v>
      </c>
      <c r="AD62" s="1" t="b">
        <f t="shared" si="28"/>
        <v>1</v>
      </c>
      <c r="AE62" s="1">
        <f t="shared" si="29"/>
        <v>0.510686024821546</v>
      </c>
      <c r="AF62" s="1">
        <f t="shared" si="30"/>
        <v>-88.8199039968191</v>
      </c>
      <c r="AG62" s="1">
        <f t="shared" si="31"/>
        <v>271.180096003181</v>
      </c>
      <c r="AH62" s="2">
        <f t="shared" si="32"/>
        <v>0.961749999554513</v>
      </c>
      <c r="AI62" s="1">
        <f t="shared" si="33"/>
        <v>2.51185616032955</v>
      </c>
      <c r="AJ62" s="191">
        <f t="shared" si="111"/>
        <v>0</v>
      </c>
      <c r="AK62" s="191">
        <f t="shared" si="112"/>
        <v>0</v>
      </c>
      <c r="AL62" s="191">
        <f t="shared" si="34"/>
        <v>93.4884090845069</v>
      </c>
      <c r="AM62" s="20">
        <f t="shared" si="35"/>
        <v>-99.1804877882784</v>
      </c>
      <c r="AN62" s="191">
        <f t="shared" si="36"/>
        <v>86.5542666011848</v>
      </c>
      <c r="AO62" s="134">
        <f t="shared" si="37"/>
        <v>274</v>
      </c>
      <c r="AP62" s="64">
        <f t="shared" si="38"/>
        <v>-14</v>
      </c>
      <c r="AQ62" s="1">
        <f t="shared" si="104"/>
        <v>92.5192821836432</v>
      </c>
      <c r="AR62" s="20">
        <f t="shared" si="39"/>
        <v>-113.406151877054</v>
      </c>
      <c r="AS62" s="1">
        <f t="shared" si="40"/>
        <v>89.4893050619293</v>
      </c>
      <c r="AT62" s="134">
        <f t="shared" si="41"/>
        <v>270</v>
      </c>
      <c r="AU62" s="64">
        <f t="shared" si="42"/>
        <v>-36</v>
      </c>
      <c r="AV62" s="65">
        <f t="shared" si="43"/>
        <v>45683.7850216662</v>
      </c>
      <c r="AW62" s="65">
        <f t="shared" si="44"/>
        <v>45683.8732576462</v>
      </c>
      <c r="AX62" s="1">
        <f t="shared" si="45"/>
        <v>326</v>
      </c>
      <c r="AY62" s="1">
        <f t="shared" si="46"/>
        <v>-85</v>
      </c>
      <c r="AZ62" s="131">
        <f t="shared" si="47"/>
        <v>1993.2</v>
      </c>
      <c r="BA62" s="1">
        <f t="shared" si="48"/>
        <v>2950</v>
      </c>
      <c r="BB62" s="1">
        <f t="shared" si="49"/>
        <v>42369776.131033</v>
      </c>
      <c r="BC62" s="1">
        <f t="shared" si="50"/>
        <v>-9</v>
      </c>
      <c r="BD62" s="1">
        <f t="shared" si="51"/>
        <v>57481247.5311743</v>
      </c>
      <c r="BE62" s="1">
        <f t="shared" si="52"/>
        <v>-23</v>
      </c>
      <c r="BF62" s="20">
        <f t="shared" si="53"/>
        <v>-108.911031431712</v>
      </c>
      <c r="BG62" s="1">
        <f t="shared" si="54"/>
        <v>946.895199559292</v>
      </c>
      <c r="BH62" s="1">
        <f t="shared" si="55"/>
        <v>-324.398383084949</v>
      </c>
      <c r="BI62" s="1">
        <f t="shared" si="56"/>
        <v>8.921606672</v>
      </c>
      <c r="BJ62" s="1">
        <f t="shared" si="57"/>
        <v>946.895199559292</v>
      </c>
      <c r="BK62" s="1">
        <f t="shared" si="58"/>
        <v>-324.398383084949</v>
      </c>
      <c r="BL62" s="1">
        <f t="shared" si="59"/>
        <v>8.921606672</v>
      </c>
      <c r="BM62" s="61">
        <f t="shared" si="60"/>
        <v>22463032.1476842</v>
      </c>
      <c r="BN62" s="61">
        <f t="shared" si="61"/>
        <v>37185420.566447</v>
      </c>
      <c r="BO62" s="61">
        <f t="shared" si="62"/>
        <v>8.921606672</v>
      </c>
      <c r="BQ62" s="1" t="str">
        <f t="shared" si="63"/>
        <v>N 00° 30.6' / W 088° 49.2'</v>
      </c>
      <c r="BR62" s="1" t="str">
        <f t="shared" si="64"/>
        <v>16N 468245 008914</v>
      </c>
      <c r="BS62" s="1" t="str">
        <f t="shared" si="65"/>
        <v>16N DF 682089</v>
      </c>
      <c r="BT62" s="1" t="b">
        <f t="shared" si="66"/>
        <v>0</v>
      </c>
      <c r="BU62" s="1" t="str">
        <f t="shared" si="67"/>
        <v>16N</v>
      </c>
      <c r="BV62" s="1">
        <f t="shared" si="68"/>
        <v>16</v>
      </c>
      <c r="BW62" s="1">
        <f t="shared" si="69"/>
        <v>0</v>
      </c>
      <c r="BX62" s="1">
        <f t="shared" si="70"/>
        <v>-87</v>
      </c>
      <c r="BY62" s="1">
        <f t="shared" si="71"/>
        <v>-31754.6894892149</v>
      </c>
      <c r="BZ62" s="1">
        <f t="shared" si="72"/>
        <v>468245.3105</v>
      </c>
      <c r="CA62" s="1" t="str">
        <f t="shared" si="73"/>
        <v>D</v>
      </c>
      <c r="CB62" s="1" t="str">
        <f t="shared" si="74"/>
        <v>468245</v>
      </c>
      <c r="CC62" s="1" t="str">
        <f t="shared" si="75"/>
        <v>68245</v>
      </c>
      <c r="CD62" s="1">
        <f t="shared" si="76"/>
        <v>8914.08344614135</v>
      </c>
      <c r="CE62" s="1">
        <f t="shared" si="77"/>
        <v>8914.0834</v>
      </c>
      <c r="CF62" s="1" t="str">
        <f t="shared" si="78"/>
        <v>F</v>
      </c>
      <c r="CG62" s="1" t="str">
        <f t="shared" si="79"/>
        <v>008914</v>
      </c>
      <c r="CH62" s="1" t="str">
        <f t="shared" si="80"/>
        <v>08914</v>
      </c>
      <c r="CJ62" s="1">
        <f t="shared" si="81"/>
        <v>183</v>
      </c>
      <c r="CK62" s="1" t="str">
        <f t="shared" si="82"/>
        <v>HP</v>
      </c>
      <c r="CL62" s="1">
        <f t="shared" si="83"/>
        <v>3</v>
      </c>
      <c r="CM62" s="1">
        <f t="shared" si="84"/>
        <v>9</v>
      </c>
      <c r="CN62" s="1">
        <f t="shared" si="85"/>
        <v>2</v>
      </c>
      <c r="CO62" s="1">
        <f t="shared" si="86"/>
        <v>0</v>
      </c>
      <c r="CP62" s="1" t="str">
        <f t="shared" si="87"/>
        <v>183HP39</v>
      </c>
      <c r="CR62" s="1" t="e">
        <f t="shared" si="88"/>
        <v>#VALUE!</v>
      </c>
      <c r="CS62" s="1" t="e">
        <f t="shared" si="89"/>
        <v>#VALUE!</v>
      </c>
      <c r="CT62" s="1">
        <f t="shared" si="90"/>
        <v>5</v>
      </c>
      <c r="CU62" s="1">
        <f t="shared" si="91"/>
        <v>1</v>
      </c>
      <c r="CV62" s="131" t="e">
        <f t="shared" si="92"/>
        <v>#VALUE!</v>
      </c>
      <c r="CW62" s="131">
        <v>1736.4</v>
      </c>
      <c r="CX62" s="131">
        <v>1746</v>
      </c>
      <c r="CY62" s="131">
        <v>1760.7</v>
      </c>
      <c r="CZ62" s="131">
        <v>1770.2</v>
      </c>
      <c r="DA62" s="131">
        <v>2440.4</v>
      </c>
      <c r="DC62" s="154">
        <f t="shared" si="93"/>
        <v>-20.614093015</v>
      </c>
      <c r="DD62" s="154">
        <f t="shared" si="94"/>
        <v>8.921606672</v>
      </c>
      <c r="DE62" s="154">
        <f t="shared" si="95"/>
        <v>-1000.709692701</v>
      </c>
      <c r="DF62" s="1">
        <f t="shared" si="96"/>
        <v>-88.7141578974498</v>
      </c>
      <c r="DG62" s="1">
        <f t="shared" si="97"/>
        <v>156.597443501664</v>
      </c>
      <c r="DH62" s="1">
        <f t="shared" si="98"/>
        <v>207</v>
      </c>
      <c r="DI62" s="1">
        <f t="shared" si="99"/>
        <v>204</v>
      </c>
      <c r="DJ62" s="1">
        <f t="shared" si="100"/>
        <v>259</v>
      </c>
      <c r="DK62" s="1">
        <f t="shared" si="101"/>
        <v>207</v>
      </c>
      <c r="DL62" s="1">
        <f t="shared" si="102"/>
        <v>204</v>
      </c>
      <c r="DM62" s="1">
        <f t="shared" si="103"/>
        <v>259</v>
      </c>
    </row>
    <row r="63" customHeight="1" spans="1:117">
      <c r="A63" s="152" t="str">
        <f t="shared" si="113"/>
        <v>Settlement 23N</v>
      </c>
      <c r="C63" s="55" t="str">
        <f t="shared" si="5"/>
        <v>N 07° 56.0' / W 047° 31.6'</v>
      </c>
      <c r="D63" s="150" t="str">
        <f t="shared" si="6"/>
        <v>1023 m</v>
      </c>
      <c r="E63" s="151">
        <f t="shared" si="7"/>
        <v>1636.1</v>
      </c>
      <c r="F63" s="151">
        <f t="shared" si="8"/>
        <v>1863.4</v>
      </c>
      <c r="G63" s="151">
        <f t="shared" si="9"/>
        <v>2275.9</v>
      </c>
      <c r="H63" s="151">
        <f t="shared" si="10"/>
        <v>984.4</v>
      </c>
      <c r="I63" s="151">
        <f t="shared" si="11"/>
        <v>1070.9</v>
      </c>
      <c r="J63" s="171">
        <f t="shared" si="12"/>
        <v>2236.5</v>
      </c>
      <c r="K63" s="172">
        <f t="shared" si="114"/>
        <v>669.478935367999</v>
      </c>
      <c r="L63" s="172">
        <f t="shared" si="115"/>
        <v>-731.271787499999</v>
      </c>
      <c r="M63" s="173">
        <f t="shared" si="116"/>
        <v>138.155074789</v>
      </c>
      <c r="N63" s="54">
        <f t="shared" si="13"/>
        <v>0.0897283743526772</v>
      </c>
      <c r="O63" s="55" t="str">
        <f t="shared" si="14"/>
        <v>Night / Rises in 86m</v>
      </c>
      <c r="P63" s="55" t="str">
        <f t="shared" si="15"/>
        <v>204°M / -49°</v>
      </c>
      <c r="Q63" s="56">
        <f t="shared" si="16"/>
        <v>45683.7656456659</v>
      </c>
      <c r="R63" s="56">
        <f t="shared" si="17"/>
        <v>45683.7713678879</v>
      </c>
      <c r="S63" s="56">
        <f t="shared" si="18"/>
        <v>45683.8162320751</v>
      </c>
      <c r="T63" s="56">
        <f t="shared" si="19"/>
        <v>45683.8610962623</v>
      </c>
      <c r="U63" s="180">
        <f t="shared" si="20"/>
        <v>45683.8668184844</v>
      </c>
      <c r="V63" s="55" t="str">
        <f t="shared" si="21"/>
        <v>Obstructed / Rises in 77m</v>
      </c>
      <c r="W63" s="55" t="str">
        <f t="shared" si="22"/>
        <v>205°M / -64°</v>
      </c>
      <c r="X63" s="56">
        <f t="shared" si="23"/>
        <v>45683.7652929548</v>
      </c>
      <c r="Y63" s="180">
        <f t="shared" si="24"/>
        <v>45683.8536041272</v>
      </c>
      <c r="Z63" s="55" t="str">
        <f t="shared" si="25"/>
        <v>344°M / -71°</v>
      </c>
      <c r="AA63" s="151">
        <f t="shared" si="26"/>
        <v>1889.5</v>
      </c>
      <c r="AB63" s="150">
        <f t="shared" si="27"/>
        <v>2466.7</v>
      </c>
      <c r="AC63" s="188">
        <v>54</v>
      </c>
      <c r="AD63" s="1" t="b">
        <f t="shared" si="28"/>
        <v>1</v>
      </c>
      <c r="AE63" s="1">
        <f t="shared" si="29"/>
        <v>7.9329336840126</v>
      </c>
      <c r="AF63" s="1">
        <f t="shared" si="30"/>
        <v>-47.5259138572212</v>
      </c>
      <c r="AG63" s="1">
        <f t="shared" si="31"/>
        <v>312.474086142779</v>
      </c>
      <c r="AH63" s="2">
        <f t="shared" si="32"/>
        <v>1.02312500005087</v>
      </c>
      <c r="AI63" s="1">
        <f t="shared" si="33"/>
        <v>2.5906987803424</v>
      </c>
      <c r="AJ63" s="191">
        <f t="shared" si="111"/>
        <v>0</v>
      </c>
      <c r="AK63" s="191">
        <f t="shared" si="112"/>
        <v>0</v>
      </c>
      <c r="AL63" s="191">
        <f t="shared" si="34"/>
        <v>94.0841229640723</v>
      </c>
      <c r="AM63" s="20">
        <f t="shared" si="35"/>
        <v>-140.474477927876</v>
      </c>
      <c r="AN63" s="191">
        <f t="shared" si="36"/>
        <v>86.0233105090506</v>
      </c>
      <c r="AO63" s="134">
        <f t="shared" si="37"/>
        <v>285</v>
      </c>
      <c r="AP63" s="64">
        <f t="shared" si="38"/>
        <v>-66</v>
      </c>
      <c r="AQ63" s="1">
        <f t="shared" si="104"/>
        <v>92.598124803656</v>
      </c>
      <c r="AR63" s="20">
        <f t="shared" si="39"/>
        <v>-154.700142016652</v>
      </c>
      <c r="AS63" s="1">
        <f t="shared" si="40"/>
        <v>82.0669286013088</v>
      </c>
      <c r="AT63" s="134">
        <f t="shared" si="41"/>
        <v>286</v>
      </c>
      <c r="AU63" s="64">
        <f t="shared" si="42"/>
        <v>-74</v>
      </c>
      <c r="AV63" s="65">
        <f t="shared" si="43"/>
        <v>45683.7652929548</v>
      </c>
      <c r="AW63" s="65">
        <f t="shared" si="44"/>
        <v>45683.8536041272</v>
      </c>
      <c r="AX63" s="1">
        <f t="shared" si="45"/>
        <v>65</v>
      </c>
      <c r="AY63" s="1">
        <f t="shared" si="46"/>
        <v>-71</v>
      </c>
      <c r="AZ63" s="131">
        <f t="shared" si="47"/>
        <v>1889.5</v>
      </c>
      <c r="BA63" s="1">
        <f t="shared" si="48"/>
        <v>2466.7</v>
      </c>
      <c r="BB63" s="1">
        <f t="shared" si="49"/>
        <v>42370370.8153086</v>
      </c>
      <c r="BC63" s="1">
        <f t="shared" si="50"/>
        <v>-49</v>
      </c>
      <c r="BD63" s="1">
        <f t="shared" si="51"/>
        <v>57481746.2608119</v>
      </c>
      <c r="BE63" s="1">
        <f t="shared" si="52"/>
        <v>-64</v>
      </c>
      <c r="BF63" s="20">
        <f t="shared" si="53"/>
        <v>-67.6170412921136</v>
      </c>
      <c r="BG63" s="1">
        <f t="shared" si="54"/>
        <v>916.747606118256</v>
      </c>
      <c r="BH63" s="1">
        <f t="shared" si="55"/>
        <v>377.537148862679</v>
      </c>
      <c r="BI63" s="1">
        <f t="shared" si="56"/>
        <v>138.155074789</v>
      </c>
      <c r="BJ63" s="1">
        <f t="shared" si="57"/>
        <v>916.747606118256</v>
      </c>
      <c r="BK63" s="1">
        <f t="shared" si="58"/>
        <v>377.537148862679</v>
      </c>
      <c r="BL63" s="1">
        <f t="shared" si="59"/>
        <v>138.155074789</v>
      </c>
      <c r="BM63" s="61">
        <f t="shared" si="60"/>
        <v>22463002.0000907</v>
      </c>
      <c r="BN63" s="61">
        <f t="shared" si="61"/>
        <v>37186122.501979</v>
      </c>
      <c r="BO63" s="61">
        <f t="shared" si="62"/>
        <v>138.155074789</v>
      </c>
      <c r="BQ63" s="1" t="str">
        <f t="shared" si="63"/>
        <v>N 07° 56.0' / W 047° 31.6'</v>
      </c>
      <c r="BR63" s="1" t="str">
        <f t="shared" si="64"/>
        <v>23N 456340 138533</v>
      </c>
      <c r="BS63" s="1" t="str">
        <f t="shared" si="65"/>
        <v>23N MB 563385</v>
      </c>
      <c r="BT63" s="1" t="b">
        <f t="shared" si="66"/>
        <v>0</v>
      </c>
      <c r="BU63" s="1" t="str">
        <f t="shared" si="67"/>
        <v>23N</v>
      </c>
      <c r="BV63" s="1">
        <f t="shared" si="68"/>
        <v>23</v>
      </c>
      <c r="BW63" s="1">
        <f t="shared" si="69"/>
        <v>0</v>
      </c>
      <c r="BX63" s="1">
        <f t="shared" si="70"/>
        <v>-45</v>
      </c>
      <c r="BY63" s="1">
        <f t="shared" si="71"/>
        <v>-43659.7681917902</v>
      </c>
      <c r="BZ63" s="1">
        <f t="shared" si="72"/>
        <v>456340.2318</v>
      </c>
      <c r="CA63" s="1" t="str">
        <f t="shared" si="73"/>
        <v>M</v>
      </c>
      <c r="CB63" s="1" t="str">
        <f t="shared" si="74"/>
        <v>456340</v>
      </c>
      <c r="CC63" s="1" t="str">
        <f t="shared" si="75"/>
        <v>56340</v>
      </c>
      <c r="CD63" s="1">
        <f t="shared" si="76"/>
        <v>138533.315576852</v>
      </c>
      <c r="CE63" s="1">
        <f t="shared" si="77"/>
        <v>138533.3156</v>
      </c>
      <c r="CF63" s="1" t="str">
        <f t="shared" si="78"/>
        <v>B</v>
      </c>
      <c r="CG63" s="1" t="str">
        <f t="shared" si="79"/>
        <v>138533</v>
      </c>
      <c r="CH63" s="1" t="str">
        <f t="shared" si="80"/>
        <v>38533</v>
      </c>
      <c r="CJ63" s="1">
        <f t="shared" si="81"/>
        <v>265</v>
      </c>
      <c r="CK63" s="1" t="str">
        <f t="shared" si="82"/>
        <v>JD</v>
      </c>
      <c r="CL63" s="1">
        <f t="shared" si="83"/>
        <v>2</v>
      </c>
      <c r="CM63" s="1">
        <f t="shared" si="84"/>
        <v>3</v>
      </c>
      <c r="CN63" s="1">
        <f t="shared" si="85"/>
        <v>2</v>
      </c>
      <c r="CO63" s="1">
        <f t="shared" si="86"/>
        <v>2</v>
      </c>
      <c r="CP63" s="1" t="str">
        <f t="shared" si="87"/>
        <v>265JD23</v>
      </c>
      <c r="CR63" s="1" t="e">
        <f t="shared" si="88"/>
        <v>#VALUE!</v>
      </c>
      <c r="CS63" s="1" t="e">
        <f t="shared" si="89"/>
        <v>#VALUE!</v>
      </c>
      <c r="CT63" s="1">
        <f t="shared" si="90"/>
        <v>5</v>
      </c>
      <c r="CU63" s="1">
        <f t="shared" si="91"/>
        <v>1</v>
      </c>
      <c r="CV63" s="131" t="e">
        <f t="shared" si="92"/>
        <v>#VALUE!</v>
      </c>
      <c r="CW63" s="131">
        <v>1070.9</v>
      </c>
      <c r="CX63" s="131">
        <v>1636.1</v>
      </c>
      <c r="CY63" s="131">
        <v>1863.4</v>
      </c>
      <c r="CZ63" s="131">
        <v>2236.5</v>
      </c>
      <c r="DA63" s="131">
        <v>2275.9</v>
      </c>
      <c r="DC63" s="154">
        <f t="shared" si="93"/>
        <v>-669.478935367999</v>
      </c>
      <c r="DD63" s="154">
        <f t="shared" si="94"/>
        <v>138.155074789</v>
      </c>
      <c r="DE63" s="154">
        <f t="shared" si="95"/>
        <v>-731.271787499999</v>
      </c>
      <c r="DF63" s="1">
        <f t="shared" si="96"/>
        <v>-46.9303718477569</v>
      </c>
      <c r="DG63" s="1">
        <f t="shared" si="97"/>
        <v>168.339999114213</v>
      </c>
      <c r="DH63" s="1">
        <f t="shared" si="98"/>
        <v>204</v>
      </c>
      <c r="DI63" s="1">
        <f t="shared" si="99"/>
        <v>205</v>
      </c>
      <c r="DJ63" s="1">
        <f t="shared" si="100"/>
        <v>344</v>
      </c>
      <c r="DK63" s="1">
        <f t="shared" si="101"/>
        <v>204</v>
      </c>
      <c r="DL63" s="1">
        <f t="shared" si="102"/>
        <v>205</v>
      </c>
      <c r="DM63" s="1">
        <f t="shared" si="103"/>
        <v>344</v>
      </c>
    </row>
    <row r="64" customHeight="1" spans="1:117">
      <c r="A64" s="152" t="str">
        <f t="shared" si="113"/>
        <v>Settlement 34V</v>
      </c>
      <c r="C64" s="55" t="str">
        <f t="shared" si="5"/>
        <v>N 62° 56.9' / E 022° 16.5'</v>
      </c>
      <c r="D64" s="150" t="str">
        <f t="shared" si="6"/>
        <v>254 m</v>
      </c>
      <c r="E64" s="151">
        <f t="shared" si="7"/>
        <v>712.8</v>
      </c>
      <c r="F64" s="151">
        <f t="shared" si="8"/>
        <v>2374.4</v>
      </c>
      <c r="G64" s="151">
        <f t="shared" si="9"/>
        <v>1605.1</v>
      </c>
      <c r="H64" s="151">
        <f t="shared" si="10"/>
        <v>1889.3</v>
      </c>
      <c r="I64" s="151">
        <f t="shared" si="11"/>
        <v>1364.2</v>
      </c>
      <c r="J64" s="171">
        <f t="shared" si="12"/>
        <v>2070</v>
      </c>
      <c r="K64" s="172">
        <f t="shared" si="114"/>
        <v>420.962127608</v>
      </c>
      <c r="L64" s="172">
        <f t="shared" si="115"/>
        <v>172.436136824999</v>
      </c>
      <c r="M64" s="173">
        <f t="shared" si="116"/>
        <v>890.822923225</v>
      </c>
      <c r="N64" s="54">
        <f t="shared" si="13"/>
        <v>0.0953867161025299</v>
      </c>
      <c r="O64" s="55" t="str">
        <f t="shared" si="14"/>
        <v>After midnight / Rises in 34m</v>
      </c>
      <c r="P64" s="55" t="str">
        <f t="shared" si="15"/>
        <v>282°M / -19°</v>
      </c>
      <c r="Q64" s="56">
        <f t="shared" si="16"/>
        <v>45683.7295317161</v>
      </c>
      <c r="R64" s="56">
        <f t="shared" si="17"/>
        <v>45683.7352539382</v>
      </c>
      <c r="S64" s="56">
        <f t="shared" si="18"/>
        <v>45683.7829472962</v>
      </c>
      <c r="T64" s="56">
        <f t="shared" si="19"/>
        <v>45683.8306406543</v>
      </c>
      <c r="U64" s="180">
        <f t="shared" si="20"/>
        <v>45683.8363628764</v>
      </c>
      <c r="V64" s="55" t="str">
        <f t="shared" si="21"/>
        <v>Obstructed / Rises in 30m</v>
      </c>
      <c r="W64" s="55" t="str">
        <f t="shared" si="22"/>
        <v>298°M / -19°</v>
      </c>
      <c r="X64" s="56">
        <f t="shared" si="23"/>
        <v>45683.7326273688</v>
      </c>
      <c r="Y64" s="180">
        <f t="shared" si="24"/>
        <v>45683.8197001555</v>
      </c>
      <c r="Z64" s="55" t="str">
        <f t="shared" si="25"/>
        <v>349°M / -38°</v>
      </c>
      <c r="AA64" s="151">
        <f t="shared" si="26"/>
        <v>1227.2</v>
      </c>
      <c r="AB64" s="150">
        <f t="shared" si="27"/>
        <v>1319.9</v>
      </c>
      <c r="AC64" s="188">
        <v>55</v>
      </c>
      <c r="AD64" s="1" t="b">
        <f t="shared" si="28"/>
        <v>1</v>
      </c>
      <c r="AE64" s="1">
        <f t="shared" si="29"/>
        <v>62.9482833551867</v>
      </c>
      <c r="AF64" s="1">
        <f t="shared" si="30"/>
        <v>22.2751775104998</v>
      </c>
      <c r="AG64" s="1">
        <f t="shared" si="31"/>
        <v>22.2751775104998</v>
      </c>
      <c r="AH64" s="2">
        <f t="shared" si="32"/>
        <v>0.254374999938705</v>
      </c>
      <c r="AI64" s="1">
        <f t="shared" si="33"/>
        <v>1.29219726617612</v>
      </c>
      <c r="AJ64" s="191">
        <f t="shared" si="111"/>
        <v>0</v>
      </c>
      <c r="AK64" s="191">
        <f t="shared" si="112"/>
        <v>0</v>
      </c>
      <c r="AL64" s="191">
        <f t="shared" si="34"/>
        <v>100.017141641904</v>
      </c>
      <c r="AM64" s="20">
        <f t="shared" si="35"/>
        <v>149.724430704403</v>
      </c>
      <c r="AN64" s="191">
        <f t="shared" si="36"/>
        <v>31.0068953672919</v>
      </c>
      <c r="AO64" s="134">
        <f t="shared" si="37"/>
        <v>32</v>
      </c>
      <c r="AP64" s="64">
        <f t="shared" si="38"/>
        <v>-27</v>
      </c>
      <c r="AQ64" s="1">
        <f t="shared" si="104"/>
        <v>91.2996232894897</v>
      </c>
      <c r="AR64" s="20">
        <f t="shared" si="39"/>
        <v>135.498766615627</v>
      </c>
      <c r="AS64" s="1">
        <f t="shared" si="40"/>
        <v>27.0508286826936</v>
      </c>
      <c r="AT64" s="134">
        <f t="shared" si="41"/>
        <v>48</v>
      </c>
      <c r="AU64" s="64">
        <f t="shared" si="42"/>
        <v>-19</v>
      </c>
      <c r="AV64" s="65">
        <f t="shared" si="43"/>
        <v>45683.7326273688</v>
      </c>
      <c r="AW64" s="65">
        <f t="shared" si="44"/>
        <v>45683.8197001555</v>
      </c>
      <c r="AX64" s="1">
        <f t="shared" si="45"/>
        <v>99</v>
      </c>
      <c r="AY64" s="1">
        <f t="shared" si="46"/>
        <v>-38</v>
      </c>
      <c r="AZ64" s="131">
        <f t="shared" si="47"/>
        <v>1227.2</v>
      </c>
      <c r="BA64" s="1">
        <f t="shared" si="48"/>
        <v>1319.9</v>
      </c>
      <c r="BB64" s="1">
        <f t="shared" si="49"/>
        <v>42369947.8996638</v>
      </c>
      <c r="BC64" s="1">
        <f t="shared" si="50"/>
        <v>-19</v>
      </c>
      <c r="BD64" s="1">
        <f t="shared" si="51"/>
        <v>57481174.3770113</v>
      </c>
      <c r="BE64" s="1">
        <f t="shared" si="52"/>
        <v>-19</v>
      </c>
      <c r="BF64" s="20">
        <f t="shared" si="53"/>
        <v>2.18405007560734</v>
      </c>
      <c r="BG64" s="1">
        <f t="shared" si="54"/>
        <v>-17.3364631157082</v>
      </c>
      <c r="BH64" s="1">
        <f t="shared" si="55"/>
        <v>454.57978530729</v>
      </c>
      <c r="BI64" s="1">
        <f t="shared" si="56"/>
        <v>890.822923225</v>
      </c>
      <c r="BJ64" s="1">
        <f t="shared" si="57"/>
        <v>-17.3364631157082</v>
      </c>
      <c r="BK64" s="1">
        <f t="shared" si="58"/>
        <v>454.57978530729</v>
      </c>
      <c r="BL64" s="1">
        <f t="shared" si="59"/>
        <v>890.822923225</v>
      </c>
      <c r="BM64" s="61">
        <f t="shared" si="60"/>
        <v>22462067.9160215</v>
      </c>
      <c r="BN64" s="61">
        <f t="shared" si="61"/>
        <v>37186199.5446154</v>
      </c>
      <c r="BO64" s="61">
        <f t="shared" si="62"/>
        <v>890.822923225</v>
      </c>
      <c r="BQ64" s="1" t="str">
        <f t="shared" si="63"/>
        <v>N 62° 56.9' / E 022° 16.5'</v>
      </c>
      <c r="BR64" s="1" t="str">
        <f t="shared" si="64"/>
        <v>34V 510117 1098315</v>
      </c>
      <c r="BS64" s="1" t="str">
        <f t="shared" si="65"/>
        <v>34V ER 101983</v>
      </c>
      <c r="BT64" s="1" t="b">
        <f t="shared" si="66"/>
        <v>0</v>
      </c>
      <c r="BU64" s="1" t="str">
        <f t="shared" si="67"/>
        <v>34V</v>
      </c>
      <c r="BV64" s="1">
        <f t="shared" si="68"/>
        <v>34</v>
      </c>
      <c r="BW64" s="1">
        <f t="shared" si="69"/>
        <v>0</v>
      </c>
      <c r="BX64" s="1">
        <f t="shared" si="70"/>
        <v>21</v>
      </c>
      <c r="BY64" s="1">
        <f t="shared" si="71"/>
        <v>10117.3901360779</v>
      </c>
      <c r="BZ64" s="1">
        <f t="shared" si="72"/>
        <v>510117.3901</v>
      </c>
      <c r="CA64" s="1" t="str">
        <f t="shared" si="73"/>
        <v>E</v>
      </c>
      <c r="CB64" s="1" t="str">
        <f t="shared" si="74"/>
        <v>510117</v>
      </c>
      <c r="CC64" s="1" t="str">
        <f t="shared" si="75"/>
        <v>10117</v>
      </c>
      <c r="CD64" s="1">
        <f t="shared" si="76"/>
        <v>1098315.61613067</v>
      </c>
      <c r="CE64" s="1">
        <f t="shared" si="77"/>
        <v>1098315.6161</v>
      </c>
      <c r="CF64" s="1" t="str">
        <f t="shared" si="78"/>
        <v>R</v>
      </c>
      <c r="CG64" s="1" t="str">
        <f t="shared" si="79"/>
        <v>1098315</v>
      </c>
      <c r="CH64" s="1" t="str">
        <f t="shared" si="80"/>
        <v>98315</v>
      </c>
      <c r="CJ64" s="1">
        <f t="shared" si="81"/>
        <v>405</v>
      </c>
      <c r="CK64" s="1" t="str">
        <f t="shared" si="82"/>
        <v>NT</v>
      </c>
      <c r="CL64" s="1">
        <f t="shared" si="83"/>
        <v>2</v>
      </c>
      <c r="CM64" s="1">
        <f t="shared" si="84"/>
        <v>1</v>
      </c>
      <c r="CN64" s="1">
        <f t="shared" si="85"/>
        <v>0</v>
      </c>
      <c r="CO64" s="1">
        <f t="shared" si="86"/>
        <v>2</v>
      </c>
      <c r="CP64" s="1" t="str">
        <f t="shared" si="87"/>
        <v>405NT21</v>
      </c>
      <c r="CR64" s="1" t="e">
        <f t="shared" si="88"/>
        <v>#VALUE!</v>
      </c>
      <c r="CS64" s="1" t="e">
        <f t="shared" si="89"/>
        <v>#VALUE!</v>
      </c>
      <c r="CT64" s="1">
        <f t="shared" si="90"/>
        <v>5</v>
      </c>
      <c r="CU64" s="1">
        <f t="shared" si="91"/>
        <v>3</v>
      </c>
      <c r="CV64" s="131" t="e">
        <f t="shared" si="92"/>
        <v>#VALUE!</v>
      </c>
      <c r="CW64" s="131">
        <v>1364.2</v>
      </c>
      <c r="CX64" s="131">
        <v>1605.1</v>
      </c>
      <c r="CY64" s="131">
        <v>1889.3</v>
      </c>
      <c r="CZ64" s="131">
        <v>2070</v>
      </c>
      <c r="DA64" s="131">
        <v>2374.4</v>
      </c>
      <c r="DC64" s="154">
        <f t="shared" si="93"/>
        <v>-420.962127608</v>
      </c>
      <c r="DD64" s="154">
        <f t="shared" si="94"/>
        <v>890.822923225</v>
      </c>
      <c r="DE64" s="154">
        <f t="shared" si="95"/>
        <v>172.436136824999</v>
      </c>
      <c r="DF64" s="1">
        <f t="shared" si="96"/>
        <v>9.92694075913964</v>
      </c>
      <c r="DG64" s="1">
        <f t="shared" si="97"/>
        <v>115.293273723225</v>
      </c>
      <c r="DH64" s="1">
        <f t="shared" si="98"/>
        <v>282</v>
      </c>
      <c r="DI64" s="1">
        <f t="shared" si="99"/>
        <v>298</v>
      </c>
      <c r="DJ64" s="1">
        <f t="shared" si="100"/>
        <v>349</v>
      </c>
      <c r="DK64" s="1">
        <f t="shared" si="101"/>
        <v>282</v>
      </c>
      <c r="DL64" s="1">
        <f t="shared" si="102"/>
        <v>298</v>
      </c>
      <c r="DM64" s="1">
        <f t="shared" si="103"/>
        <v>349</v>
      </c>
    </row>
    <row r="65" customHeight="1" spans="1:117">
      <c r="A65" s="152" t="str">
        <f t="shared" si="113"/>
        <v>Settlement 35R</v>
      </c>
      <c r="C65" s="55" t="str">
        <f t="shared" si="5"/>
        <v>N 24° 33.0' / E 027° 15.5'</v>
      </c>
      <c r="D65" s="150" t="str">
        <f t="shared" si="6"/>
        <v>480 m</v>
      </c>
      <c r="E65" s="151">
        <f t="shared" si="7"/>
        <v>1369.9</v>
      </c>
      <c r="F65" s="151">
        <f t="shared" si="8"/>
        <v>2066.5</v>
      </c>
      <c r="G65" s="151">
        <f t="shared" si="9"/>
        <v>1368.7</v>
      </c>
      <c r="H65" s="151">
        <f t="shared" si="10"/>
        <v>2067.2</v>
      </c>
      <c r="I65" s="151">
        <f t="shared" si="11"/>
        <v>862.7</v>
      </c>
      <c r="J65" s="171">
        <f t="shared" si="12"/>
        <v>2324.3</v>
      </c>
      <c r="K65" s="172">
        <f t="shared" si="114"/>
        <v>808.969948483</v>
      </c>
      <c r="L65" s="172">
        <f t="shared" si="115"/>
        <v>416.799127286</v>
      </c>
      <c r="M65" s="173">
        <f t="shared" si="116"/>
        <v>415.698917468</v>
      </c>
      <c r="N65" s="54">
        <f t="shared" si="13"/>
        <v>0.0901496530040695</v>
      </c>
      <c r="O65" s="55" t="str">
        <f t="shared" si="14"/>
        <v>After midnight / Rises in 34m</v>
      </c>
      <c r="P65" s="55" t="str">
        <f t="shared" si="15"/>
        <v>313°M / -45°</v>
      </c>
      <c r="Q65" s="56">
        <f t="shared" si="16"/>
        <v>45683.7297739314</v>
      </c>
      <c r="R65" s="56">
        <f t="shared" si="17"/>
        <v>45683.7354961535</v>
      </c>
      <c r="S65" s="56">
        <f t="shared" si="18"/>
        <v>45683.78057098</v>
      </c>
      <c r="T65" s="56">
        <f t="shared" si="19"/>
        <v>45683.8256458065</v>
      </c>
      <c r="U65" s="180">
        <f t="shared" si="20"/>
        <v>45683.8313680286</v>
      </c>
      <c r="V65" s="55" t="str">
        <f t="shared" si="21"/>
        <v>Obstructed / Rises in 27m</v>
      </c>
      <c r="W65" s="55" t="str">
        <f t="shared" si="22"/>
        <v>328°M / -36°</v>
      </c>
      <c r="X65" s="56">
        <f t="shared" si="23"/>
        <v>45683.7300212102</v>
      </c>
      <c r="Y65" s="180">
        <f t="shared" si="24"/>
        <v>45683.8175536816</v>
      </c>
      <c r="Z65" s="55" t="str">
        <f t="shared" si="25"/>
        <v>348°M / -34°</v>
      </c>
      <c r="AA65" s="151">
        <f t="shared" si="26"/>
        <v>1125.6</v>
      </c>
      <c r="AB65" s="150">
        <f t="shared" si="27"/>
        <v>1194.2</v>
      </c>
      <c r="AC65" s="188">
        <v>56</v>
      </c>
      <c r="AD65" s="1" t="b">
        <f t="shared" si="28"/>
        <v>1</v>
      </c>
      <c r="AE65" s="1">
        <f t="shared" si="29"/>
        <v>24.5507847206658</v>
      </c>
      <c r="AF65" s="1">
        <f t="shared" si="30"/>
        <v>27.2585204986223</v>
      </c>
      <c r="AG65" s="1">
        <f t="shared" si="31"/>
        <v>27.2585204986223</v>
      </c>
      <c r="AH65" s="2">
        <f t="shared" si="32"/>
        <v>0.47962499944299</v>
      </c>
      <c r="AI65" s="1">
        <f t="shared" si="33"/>
        <v>1.77419668407633</v>
      </c>
      <c r="AJ65" s="191">
        <f t="shared" si="111"/>
        <v>0</v>
      </c>
      <c r="AK65" s="191">
        <f t="shared" si="112"/>
        <v>0</v>
      </c>
      <c r="AL65" s="191">
        <f t="shared" si="34"/>
        <v>94.5258520461566</v>
      </c>
      <c r="AM65" s="20">
        <f t="shared" si="35"/>
        <v>144.74108771628</v>
      </c>
      <c r="AN65" s="191">
        <f t="shared" si="36"/>
        <v>69.4050774404881</v>
      </c>
      <c r="AO65" s="134">
        <f t="shared" si="37"/>
        <v>55</v>
      </c>
      <c r="AP65" s="64">
        <f t="shared" si="38"/>
        <v>-57</v>
      </c>
      <c r="AQ65" s="1">
        <f t="shared" si="104"/>
        <v>91.7816227073899</v>
      </c>
      <c r="AR65" s="20">
        <f t="shared" si="39"/>
        <v>130.515423627505</v>
      </c>
      <c r="AS65" s="1">
        <f t="shared" si="40"/>
        <v>65.4488009120107</v>
      </c>
      <c r="AT65" s="134">
        <f t="shared" si="41"/>
        <v>70</v>
      </c>
      <c r="AU65" s="64">
        <f t="shared" si="42"/>
        <v>-43</v>
      </c>
      <c r="AV65" s="65">
        <f t="shared" si="43"/>
        <v>45683.7300212102</v>
      </c>
      <c r="AW65" s="65">
        <f t="shared" si="44"/>
        <v>45683.8175536816</v>
      </c>
      <c r="AX65" s="1">
        <f t="shared" si="45"/>
        <v>90</v>
      </c>
      <c r="AY65" s="1">
        <f t="shared" si="46"/>
        <v>-34</v>
      </c>
      <c r="AZ65" s="131">
        <f t="shared" si="47"/>
        <v>1125.6</v>
      </c>
      <c r="BA65" s="1">
        <f t="shared" si="48"/>
        <v>1194.2</v>
      </c>
      <c r="BB65" s="1">
        <f t="shared" si="49"/>
        <v>42370330.0631179</v>
      </c>
      <c r="BC65" s="1">
        <f t="shared" si="50"/>
        <v>-45</v>
      </c>
      <c r="BD65" s="1">
        <f t="shared" si="51"/>
        <v>57481441.1200272</v>
      </c>
      <c r="BE65" s="1">
        <f t="shared" si="52"/>
        <v>-36</v>
      </c>
      <c r="BF65" s="20">
        <f t="shared" si="53"/>
        <v>7.16739306372983</v>
      </c>
      <c r="BG65" s="1">
        <f t="shared" si="54"/>
        <v>-113.543122523825</v>
      </c>
      <c r="BH65" s="1">
        <f t="shared" si="55"/>
        <v>902.918517576475</v>
      </c>
      <c r="BI65" s="1">
        <f t="shared" si="56"/>
        <v>415.698917468</v>
      </c>
      <c r="BJ65" s="1">
        <f t="shared" si="57"/>
        <v>-113.543122523825</v>
      </c>
      <c r="BK65" s="1">
        <f t="shared" si="58"/>
        <v>902.918517576475</v>
      </c>
      <c r="BL65" s="1">
        <f t="shared" si="59"/>
        <v>415.698917468</v>
      </c>
      <c r="BM65" s="61">
        <f t="shared" si="60"/>
        <v>22461971.7093621</v>
      </c>
      <c r="BN65" s="61">
        <f t="shared" si="61"/>
        <v>37186647.8833477</v>
      </c>
      <c r="BO65" s="61">
        <f t="shared" si="62"/>
        <v>415.698917468</v>
      </c>
      <c r="BQ65" s="1" t="str">
        <f t="shared" si="63"/>
        <v>N 24° 33.0' / E 027° 15.5'</v>
      </c>
      <c r="BR65" s="1" t="str">
        <f t="shared" si="64"/>
        <v>35R 504102 428324</v>
      </c>
      <c r="BS65" s="1" t="str">
        <f t="shared" si="65"/>
        <v>35R NE 041283</v>
      </c>
      <c r="BT65" s="1" t="b">
        <f t="shared" si="66"/>
        <v>0</v>
      </c>
      <c r="BU65" s="1" t="str">
        <f t="shared" si="67"/>
        <v>35R</v>
      </c>
      <c r="BV65" s="1">
        <f t="shared" si="68"/>
        <v>35</v>
      </c>
      <c r="BW65" s="1">
        <f t="shared" si="69"/>
        <v>0</v>
      </c>
      <c r="BX65" s="1">
        <f t="shared" si="70"/>
        <v>27</v>
      </c>
      <c r="BY65" s="1">
        <f t="shared" si="71"/>
        <v>4102.48346469588</v>
      </c>
      <c r="BZ65" s="1">
        <f t="shared" si="72"/>
        <v>504102.4835</v>
      </c>
      <c r="CA65" s="1" t="str">
        <f t="shared" si="73"/>
        <v>N</v>
      </c>
      <c r="CB65" s="1" t="str">
        <f t="shared" si="74"/>
        <v>504102</v>
      </c>
      <c r="CC65" s="1" t="str">
        <f t="shared" si="75"/>
        <v>04102</v>
      </c>
      <c r="CD65" s="1">
        <f t="shared" si="76"/>
        <v>428324.476092532</v>
      </c>
      <c r="CE65" s="1">
        <f t="shared" si="77"/>
        <v>428324.4761</v>
      </c>
      <c r="CF65" s="1" t="str">
        <f t="shared" si="78"/>
        <v>E</v>
      </c>
      <c r="CG65" s="1" t="str">
        <f t="shared" si="79"/>
        <v>428324</v>
      </c>
      <c r="CH65" s="1" t="str">
        <f t="shared" si="80"/>
        <v>28324</v>
      </c>
      <c r="CJ65" s="1">
        <f t="shared" si="81"/>
        <v>415</v>
      </c>
      <c r="CK65" s="1" t="str">
        <f t="shared" si="82"/>
        <v>KP</v>
      </c>
      <c r="CL65" s="1">
        <f t="shared" si="83"/>
        <v>4</v>
      </c>
      <c r="CM65" s="1">
        <f t="shared" si="84"/>
        <v>7</v>
      </c>
      <c r="CN65" s="1">
        <f t="shared" si="85"/>
        <v>0</v>
      </c>
      <c r="CO65" s="1">
        <f t="shared" si="86"/>
        <v>0</v>
      </c>
      <c r="CP65" s="1" t="str">
        <f t="shared" si="87"/>
        <v>415KP47</v>
      </c>
      <c r="CR65" s="1" t="e">
        <f t="shared" si="88"/>
        <v>#VALUE!</v>
      </c>
      <c r="CS65" s="1" t="e">
        <f t="shared" si="89"/>
        <v>#VALUE!</v>
      </c>
      <c r="CT65" s="1">
        <f t="shared" si="90"/>
        <v>3</v>
      </c>
      <c r="CU65" s="1">
        <f t="shared" si="91"/>
        <v>1</v>
      </c>
      <c r="CV65" s="131" t="e">
        <f t="shared" si="92"/>
        <v>#VALUE!</v>
      </c>
      <c r="CW65" s="131">
        <v>1368.7</v>
      </c>
      <c r="CX65" s="131">
        <v>1369.9</v>
      </c>
      <c r="CY65" s="131">
        <v>2066.5</v>
      </c>
      <c r="CZ65" s="131">
        <v>2067.2</v>
      </c>
      <c r="DA65" s="131">
        <v>2324.3</v>
      </c>
      <c r="DC65" s="154">
        <f t="shared" si="93"/>
        <v>-808.969948483</v>
      </c>
      <c r="DD65" s="154">
        <f t="shared" si="94"/>
        <v>415.698917468</v>
      </c>
      <c r="DE65" s="154">
        <f t="shared" si="95"/>
        <v>416.799127286</v>
      </c>
      <c r="DF65" s="1">
        <f t="shared" si="96"/>
        <v>24.6200734668711</v>
      </c>
      <c r="DG65" s="1">
        <f t="shared" si="97"/>
        <v>152.803090729877</v>
      </c>
      <c r="DH65" s="1">
        <f t="shared" si="98"/>
        <v>313</v>
      </c>
      <c r="DI65" s="1">
        <f t="shared" si="99"/>
        <v>328</v>
      </c>
      <c r="DJ65" s="1">
        <f t="shared" si="100"/>
        <v>348</v>
      </c>
      <c r="DK65" s="1">
        <f t="shared" si="101"/>
        <v>313</v>
      </c>
      <c r="DL65" s="1">
        <f t="shared" si="102"/>
        <v>328</v>
      </c>
      <c r="DM65" s="1">
        <f t="shared" si="103"/>
        <v>348</v>
      </c>
    </row>
    <row r="66" customHeight="1" spans="1:117">
      <c r="A66" s="152" t="str">
        <f t="shared" si="113"/>
        <v>Settlement 36T</v>
      </c>
      <c r="C66" s="55" t="str">
        <f t="shared" si="5"/>
        <v>N 47° 10.1' / E 034° 40.2'</v>
      </c>
      <c r="D66" s="150" t="str">
        <f t="shared" si="6"/>
        <v>66 m</v>
      </c>
      <c r="E66" s="151">
        <f t="shared" si="7"/>
        <v>980.3</v>
      </c>
      <c r="F66" s="151">
        <f t="shared" si="8"/>
        <v>2276.9</v>
      </c>
      <c r="G66" s="151">
        <f t="shared" si="9"/>
        <v>1399.7</v>
      </c>
      <c r="H66" s="151">
        <f t="shared" si="10"/>
        <v>2046</v>
      </c>
      <c r="I66" s="151">
        <f t="shared" si="11"/>
        <v>1209.4</v>
      </c>
      <c r="J66" s="171">
        <f t="shared" si="12"/>
        <v>2163.9</v>
      </c>
      <c r="K66" s="172">
        <f t="shared" si="114"/>
        <v>559.167050289</v>
      </c>
      <c r="L66" s="172">
        <f t="shared" si="115"/>
        <v>386.753813170999</v>
      </c>
      <c r="M66" s="173">
        <f t="shared" si="116"/>
        <v>733.407084939999</v>
      </c>
      <c r="N66" s="54">
        <f t="shared" si="13"/>
        <v>0.0914398352350033</v>
      </c>
      <c r="O66" s="55" t="str">
        <f t="shared" si="14"/>
        <v>After midnight / Rises in 28m</v>
      </c>
      <c r="P66" s="55" t="str">
        <f t="shared" si="15"/>
        <v>292°M / -27°</v>
      </c>
      <c r="Q66" s="56">
        <f t="shared" si="16"/>
        <v>45683.7255946233</v>
      </c>
      <c r="R66" s="56">
        <f t="shared" si="17"/>
        <v>45683.7313168454</v>
      </c>
      <c r="S66" s="56">
        <f t="shared" si="18"/>
        <v>45683.777036763</v>
      </c>
      <c r="T66" s="56">
        <f t="shared" si="19"/>
        <v>45683.8227566806</v>
      </c>
      <c r="U66" s="180">
        <f t="shared" si="20"/>
        <v>45683.8284789027</v>
      </c>
      <c r="V66" s="55" t="str">
        <f t="shared" si="21"/>
        <v>Obstructed / Rises in 22m</v>
      </c>
      <c r="W66" s="55" t="str">
        <f t="shared" si="22"/>
        <v>308°M / -22°</v>
      </c>
      <c r="X66" s="56">
        <f t="shared" si="23"/>
        <v>45683.7270188324</v>
      </c>
      <c r="Y66" s="180">
        <f t="shared" si="24"/>
        <v>45683.8134876253</v>
      </c>
      <c r="Z66" s="55" t="str">
        <f t="shared" si="25"/>
        <v>348°M / -33°</v>
      </c>
      <c r="AA66" s="151">
        <f t="shared" si="26"/>
        <v>1080.2</v>
      </c>
      <c r="AB66" s="150">
        <f t="shared" si="27"/>
        <v>1140.2</v>
      </c>
      <c r="AC66" s="188">
        <v>57</v>
      </c>
      <c r="AD66" s="1" t="b">
        <f t="shared" si="28"/>
        <v>1</v>
      </c>
      <c r="AE66" s="1">
        <f t="shared" si="29"/>
        <v>47.1687006097621</v>
      </c>
      <c r="AF66" s="1">
        <f t="shared" si="30"/>
        <v>34.6700824952424</v>
      </c>
      <c r="AG66" s="1">
        <f t="shared" si="31"/>
        <v>34.6700824952424</v>
      </c>
      <c r="AH66" s="2">
        <f t="shared" si="32"/>
        <v>0.0661249994401487</v>
      </c>
      <c r="AI66" s="1">
        <f t="shared" si="33"/>
        <v>0.658883308277362</v>
      </c>
      <c r="AJ66" s="191">
        <f t="shared" si="111"/>
        <v>0</v>
      </c>
      <c r="AK66" s="191">
        <f t="shared" si="112"/>
        <v>0</v>
      </c>
      <c r="AL66" s="191">
        <f t="shared" si="34"/>
        <v>95.8786645153108</v>
      </c>
      <c r="AM66" s="20">
        <f t="shared" si="35"/>
        <v>137.32952571966</v>
      </c>
      <c r="AN66" s="191">
        <f t="shared" si="36"/>
        <v>46.7867114650215</v>
      </c>
      <c r="AO66" s="134">
        <f t="shared" si="37"/>
        <v>49</v>
      </c>
      <c r="AP66" s="64">
        <f t="shared" si="38"/>
        <v>-34</v>
      </c>
      <c r="AQ66" s="1">
        <f t="shared" si="104"/>
        <v>90.666309331591</v>
      </c>
      <c r="AR66" s="20">
        <f t="shared" si="39"/>
        <v>123.103861630884</v>
      </c>
      <c r="AS66" s="1">
        <f t="shared" si="40"/>
        <v>42.8305683356369</v>
      </c>
      <c r="AT66" s="134">
        <f t="shared" si="41"/>
        <v>64</v>
      </c>
      <c r="AU66" s="64">
        <f t="shared" si="42"/>
        <v>-23</v>
      </c>
      <c r="AV66" s="65">
        <f t="shared" si="43"/>
        <v>45683.7270188324</v>
      </c>
      <c r="AW66" s="65">
        <f t="shared" si="44"/>
        <v>45683.8134876253</v>
      </c>
      <c r="AX66" s="1">
        <f t="shared" si="45"/>
        <v>105</v>
      </c>
      <c r="AY66" s="1">
        <f t="shared" si="46"/>
        <v>-33</v>
      </c>
      <c r="AZ66" s="131">
        <f t="shared" si="47"/>
        <v>1080.2</v>
      </c>
      <c r="BA66" s="1">
        <f t="shared" si="48"/>
        <v>1140.2</v>
      </c>
      <c r="BB66" s="1">
        <f t="shared" si="49"/>
        <v>42370065.5357031</v>
      </c>
      <c r="BC66" s="1">
        <f t="shared" si="50"/>
        <v>-27</v>
      </c>
      <c r="BD66" s="1">
        <f t="shared" si="51"/>
        <v>57481221.2446469</v>
      </c>
      <c r="BE66" s="1">
        <f t="shared" si="52"/>
        <v>-22</v>
      </c>
      <c r="BF66" s="20">
        <f t="shared" si="53"/>
        <v>14.5789550603499</v>
      </c>
      <c r="BG66" s="1">
        <f t="shared" si="54"/>
        <v>-171.137001497955</v>
      </c>
      <c r="BH66" s="1">
        <f t="shared" si="55"/>
        <v>657.995766589344</v>
      </c>
      <c r="BI66" s="1">
        <f t="shared" si="56"/>
        <v>733.407084939999</v>
      </c>
      <c r="BJ66" s="1">
        <f t="shared" si="57"/>
        <v>-171.137001497955</v>
      </c>
      <c r="BK66" s="1">
        <f t="shared" si="58"/>
        <v>657.995766589344</v>
      </c>
      <c r="BL66" s="1">
        <f t="shared" si="59"/>
        <v>733.407084939999</v>
      </c>
      <c r="BM66" s="61">
        <f t="shared" si="60"/>
        <v>22461914.1154831</v>
      </c>
      <c r="BN66" s="61">
        <f t="shared" si="61"/>
        <v>37186402.9605967</v>
      </c>
      <c r="BO66" s="61">
        <f t="shared" si="62"/>
        <v>733.407084939999</v>
      </c>
      <c r="BQ66" s="1" t="str">
        <f t="shared" si="63"/>
        <v>N 47° 10.1' / E 034° 40.2'</v>
      </c>
      <c r="BR66" s="1" t="str">
        <f t="shared" si="64"/>
        <v>36T 519808 823131</v>
      </c>
      <c r="BS66" s="1" t="str">
        <f t="shared" si="65"/>
        <v>36T WP 198231</v>
      </c>
      <c r="BT66" s="1" t="b">
        <f t="shared" si="66"/>
        <v>0</v>
      </c>
      <c r="BU66" s="1" t="str">
        <f t="shared" si="67"/>
        <v>36T</v>
      </c>
      <c r="BV66" s="1">
        <f t="shared" si="68"/>
        <v>36</v>
      </c>
      <c r="BW66" s="1">
        <f t="shared" si="69"/>
        <v>0</v>
      </c>
      <c r="BX66" s="1">
        <f t="shared" si="70"/>
        <v>33</v>
      </c>
      <c r="BY66" s="1">
        <f t="shared" si="71"/>
        <v>19808.1942295796</v>
      </c>
      <c r="BZ66" s="1">
        <f t="shared" si="72"/>
        <v>519808.1942</v>
      </c>
      <c r="CA66" s="1" t="str">
        <f t="shared" si="73"/>
        <v>W</v>
      </c>
      <c r="CB66" s="1" t="str">
        <f t="shared" si="74"/>
        <v>519808</v>
      </c>
      <c r="CC66" s="1" t="str">
        <f t="shared" si="75"/>
        <v>19808</v>
      </c>
      <c r="CD66" s="1">
        <f t="shared" si="76"/>
        <v>823131.571257705</v>
      </c>
      <c r="CE66" s="1">
        <f t="shared" si="77"/>
        <v>823131.5713</v>
      </c>
      <c r="CF66" s="1" t="str">
        <f t="shared" si="78"/>
        <v>P</v>
      </c>
      <c r="CG66" s="1" t="str">
        <f t="shared" si="79"/>
        <v>823131</v>
      </c>
      <c r="CH66" s="1" t="str">
        <f t="shared" si="80"/>
        <v>23131</v>
      </c>
      <c r="CJ66" s="1">
        <f t="shared" si="81"/>
        <v>430</v>
      </c>
      <c r="CK66" s="1" t="str">
        <f t="shared" si="82"/>
        <v>ML</v>
      </c>
      <c r="CL66" s="1">
        <f t="shared" si="83"/>
        <v>3</v>
      </c>
      <c r="CM66" s="1">
        <f t="shared" si="84"/>
        <v>3</v>
      </c>
      <c r="CN66" s="1">
        <f t="shared" si="85"/>
        <v>2</v>
      </c>
      <c r="CO66" s="1">
        <f t="shared" si="86"/>
        <v>2</v>
      </c>
      <c r="CP66" s="1" t="str">
        <f t="shared" si="87"/>
        <v>430ML33</v>
      </c>
      <c r="CR66" s="1" t="e">
        <f t="shared" si="88"/>
        <v>#VALUE!</v>
      </c>
      <c r="CS66" s="1" t="e">
        <f t="shared" si="89"/>
        <v>#VALUE!</v>
      </c>
      <c r="CT66" s="1">
        <f t="shared" si="90"/>
        <v>5</v>
      </c>
      <c r="CU66" s="1">
        <f t="shared" si="91"/>
        <v>3</v>
      </c>
      <c r="CV66" s="131" t="e">
        <f t="shared" si="92"/>
        <v>#VALUE!</v>
      </c>
      <c r="CW66" s="131">
        <v>1209.4</v>
      </c>
      <c r="CX66" s="131">
        <v>1399.7</v>
      </c>
      <c r="CY66" s="131">
        <v>2046</v>
      </c>
      <c r="CZ66" s="131">
        <v>2163.9</v>
      </c>
      <c r="DA66" s="131">
        <v>2276.9</v>
      </c>
      <c r="DC66" s="154">
        <f t="shared" si="93"/>
        <v>-559.167050289</v>
      </c>
      <c r="DD66" s="154">
        <f t="shared" si="94"/>
        <v>733.407084939999</v>
      </c>
      <c r="DE66" s="154">
        <f t="shared" si="95"/>
        <v>386.753813170999</v>
      </c>
      <c r="DF66" s="1">
        <f t="shared" si="96"/>
        <v>22.7510735459106</v>
      </c>
      <c r="DG66" s="1">
        <f t="shared" si="97"/>
        <v>127.322761248784</v>
      </c>
      <c r="DH66" s="1">
        <f t="shared" si="98"/>
        <v>292</v>
      </c>
      <c r="DI66" s="1">
        <f t="shared" si="99"/>
        <v>308</v>
      </c>
      <c r="DJ66" s="1">
        <f t="shared" si="100"/>
        <v>348</v>
      </c>
      <c r="DK66" s="1">
        <f t="shared" si="101"/>
        <v>292</v>
      </c>
      <c r="DL66" s="1">
        <f t="shared" si="102"/>
        <v>308</v>
      </c>
      <c r="DM66" s="1">
        <f t="shared" si="103"/>
        <v>348</v>
      </c>
    </row>
    <row r="67" customHeight="1" spans="1:117">
      <c r="A67" s="152" t="str">
        <f t="shared" si="113"/>
        <v>Settlement 36U</v>
      </c>
      <c r="C67" s="55" t="str">
        <f t="shared" si="5"/>
        <v>N 50° 53.7' / E 034° 55.8'</v>
      </c>
      <c r="D67" s="150" t="str">
        <f t="shared" si="6"/>
        <v>1391 m</v>
      </c>
      <c r="E67" s="151">
        <f t="shared" si="7"/>
        <v>915.4</v>
      </c>
      <c r="F67" s="151">
        <f t="shared" si="8"/>
        <v>2304.9</v>
      </c>
      <c r="G67" s="151">
        <f t="shared" si="9"/>
        <v>1426.2</v>
      </c>
      <c r="H67" s="151">
        <f t="shared" si="10"/>
        <v>2028.9</v>
      </c>
      <c r="I67" s="151">
        <f t="shared" si="11"/>
        <v>1258.7</v>
      </c>
      <c r="J67" s="171">
        <f t="shared" si="12"/>
        <v>2136.9</v>
      </c>
      <c r="K67" s="172">
        <f t="shared" si="114"/>
        <v>517.841119621</v>
      </c>
      <c r="L67" s="172">
        <f t="shared" si="115"/>
        <v>361.649282301</v>
      </c>
      <c r="M67" s="173">
        <f t="shared" si="116"/>
        <v>777.067530642</v>
      </c>
      <c r="N67" s="54">
        <f t="shared" si="13"/>
        <v>0.0942663066694107</v>
      </c>
      <c r="O67" s="55" t="str">
        <f t="shared" si="14"/>
        <v>After midnight / Rises in 26m</v>
      </c>
      <c r="P67" s="55" t="str">
        <f t="shared" si="15"/>
        <v>290°M / -24°</v>
      </c>
      <c r="Q67" s="56">
        <f t="shared" si="16"/>
        <v>45683.7240576202</v>
      </c>
      <c r="R67" s="56">
        <f t="shared" si="17"/>
        <v>45683.7297798423</v>
      </c>
      <c r="S67" s="56">
        <f t="shared" si="18"/>
        <v>45683.7769129956</v>
      </c>
      <c r="T67" s="56">
        <f t="shared" si="19"/>
        <v>45683.8240461489</v>
      </c>
      <c r="U67" s="180">
        <f t="shared" si="20"/>
        <v>45683.829768371</v>
      </c>
      <c r="V67" s="55" t="str">
        <f t="shared" si="21"/>
        <v>Obstructed / Rises in 20m</v>
      </c>
      <c r="W67" s="55" t="str">
        <f t="shared" si="22"/>
        <v>305°M / -20°</v>
      </c>
      <c r="X67" s="56">
        <f t="shared" si="23"/>
        <v>45683.7257691134</v>
      </c>
      <c r="Y67" s="180">
        <f t="shared" si="24"/>
        <v>45683.8144898097</v>
      </c>
      <c r="Z67" s="55" t="str">
        <f t="shared" si="25"/>
        <v>348°M / -33°</v>
      </c>
      <c r="AA67" s="151">
        <f t="shared" si="26"/>
        <v>1093.3</v>
      </c>
      <c r="AB67" s="150">
        <f t="shared" si="27"/>
        <v>1154.9</v>
      </c>
      <c r="AC67" s="188">
        <v>58</v>
      </c>
      <c r="AD67" s="1" t="b">
        <f t="shared" si="28"/>
        <v>1</v>
      </c>
      <c r="AE67" s="1">
        <f t="shared" si="29"/>
        <v>50.8947186600635</v>
      </c>
      <c r="AF67" s="1">
        <f t="shared" si="30"/>
        <v>34.9296335014594</v>
      </c>
      <c r="AG67" s="1">
        <f t="shared" si="31"/>
        <v>34.9296335014594</v>
      </c>
      <c r="AH67" s="2">
        <f t="shared" si="32"/>
        <v>1.39082067752884</v>
      </c>
      <c r="AI67" s="1">
        <f t="shared" si="33"/>
        <v>3.02010244522548</v>
      </c>
      <c r="AJ67" s="191">
        <f t="shared" si="111"/>
        <v>0</v>
      </c>
      <c r="AK67" s="191">
        <f t="shared" si="112"/>
        <v>0</v>
      </c>
      <c r="AL67" s="191">
        <f t="shared" si="34"/>
        <v>98.842343372837</v>
      </c>
      <c r="AM67" s="20">
        <f t="shared" si="35"/>
        <v>137.069974713443</v>
      </c>
      <c r="AN67" s="191">
        <f t="shared" si="36"/>
        <v>43.0606300116062</v>
      </c>
      <c r="AO67" s="134">
        <f t="shared" si="37"/>
        <v>48</v>
      </c>
      <c r="AP67" s="64">
        <f t="shared" si="38"/>
        <v>-32</v>
      </c>
      <c r="AQ67" s="1">
        <f t="shared" si="104"/>
        <v>93.0275284685391</v>
      </c>
      <c r="AR67" s="20">
        <f t="shared" si="39"/>
        <v>122.844310624668</v>
      </c>
      <c r="AS67" s="1">
        <f t="shared" si="40"/>
        <v>39.1045067660089</v>
      </c>
      <c r="AT67" s="134">
        <f t="shared" si="41"/>
        <v>63</v>
      </c>
      <c r="AU67" s="64">
        <f t="shared" si="42"/>
        <v>-21</v>
      </c>
      <c r="AV67" s="65">
        <f t="shared" si="43"/>
        <v>45683.7257691134</v>
      </c>
      <c r="AW67" s="65">
        <f t="shared" si="44"/>
        <v>45683.8144898097</v>
      </c>
      <c r="AX67" s="1">
        <f t="shared" si="45"/>
        <v>107</v>
      </c>
      <c r="AY67" s="1">
        <f t="shared" si="46"/>
        <v>-33</v>
      </c>
      <c r="AZ67" s="131">
        <f t="shared" si="47"/>
        <v>1093.3</v>
      </c>
      <c r="BA67" s="1">
        <f t="shared" si="48"/>
        <v>1154.9</v>
      </c>
      <c r="BB67" s="1">
        <f t="shared" si="49"/>
        <v>42370025.1832674</v>
      </c>
      <c r="BC67" s="1">
        <f t="shared" si="50"/>
        <v>-24</v>
      </c>
      <c r="BD67" s="1">
        <f t="shared" si="51"/>
        <v>57481192.4855748</v>
      </c>
      <c r="BE67" s="1">
        <f t="shared" si="52"/>
        <v>-20</v>
      </c>
      <c r="BF67" s="20">
        <f t="shared" si="53"/>
        <v>14.8385060665669</v>
      </c>
      <c r="BG67" s="1">
        <f t="shared" si="54"/>
        <v>-161.75619190073</v>
      </c>
      <c r="BH67" s="1">
        <f t="shared" si="55"/>
        <v>610.560859326025</v>
      </c>
      <c r="BI67" s="1">
        <f t="shared" si="56"/>
        <v>777.067530642</v>
      </c>
      <c r="BJ67" s="1">
        <f t="shared" si="57"/>
        <v>-161.75619190073</v>
      </c>
      <c r="BK67" s="1">
        <f t="shared" si="58"/>
        <v>610.560859326025</v>
      </c>
      <c r="BL67" s="1">
        <f t="shared" si="59"/>
        <v>777.067530642</v>
      </c>
      <c r="BM67" s="61">
        <f t="shared" si="60"/>
        <v>22461923.4962927</v>
      </c>
      <c r="BN67" s="61">
        <f t="shared" si="61"/>
        <v>37186355.5256894</v>
      </c>
      <c r="BO67" s="61">
        <f t="shared" si="62"/>
        <v>777.067530642</v>
      </c>
      <c r="BQ67" s="1" t="str">
        <f t="shared" si="63"/>
        <v>N 50° 53.7' / E 034° 55.8'</v>
      </c>
      <c r="BR67" s="1" t="str">
        <f t="shared" si="64"/>
        <v>36U 521233 888202</v>
      </c>
      <c r="BS67" s="1" t="str">
        <f t="shared" si="65"/>
        <v>36U WP 212882</v>
      </c>
      <c r="BT67" s="1" t="b">
        <f t="shared" si="66"/>
        <v>0</v>
      </c>
      <c r="BU67" s="1" t="str">
        <f t="shared" si="67"/>
        <v>36U</v>
      </c>
      <c r="BV67" s="1">
        <f t="shared" si="68"/>
        <v>36</v>
      </c>
      <c r="BW67" s="1">
        <f t="shared" si="69"/>
        <v>0</v>
      </c>
      <c r="BX67" s="1">
        <f t="shared" si="70"/>
        <v>33</v>
      </c>
      <c r="BY67" s="1">
        <f t="shared" si="71"/>
        <v>21233.2798122094</v>
      </c>
      <c r="BZ67" s="1">
        <f t="shared" si="72"/>
        <v>521233.2798</v>
      </c>
      <c r="CA67" s="1" t="str">
        <f t="shared" si="73"/>
        <v>W</v>
      </c>
      <c r="CB67" s="1" t="str">
        <f t="shared" si="74"/>
        <v>521233</v>
      </c>
      <c r="CC67" s="1" t="str">
        <f t="shared" si="75"/>
        <v>21233</v>
      </c>
      <c r="CD67" s="1">
        <f t="shared" si="76"/>
        <v>888202.603633803</v>
      </c>
      <c r="CE67" s="1">
        <f t="shared" si="77"/>
        <v>888202.6036</v>
      </c>
      <c r="CF67" s="1" t="str">
        <f t="shared" si="78"/>
        <v>P</v>
      </c>
      <c r="CG67" s="1" t="str">
        <f t="shared" si="79"/>
        <v>888202</v>
      </c>
      <c r="CH67" s="1" t="str">
        <f t="shared" si="80"/>
        <v>88202</v>
      </c>
      <c r="CJ67" s="1">
        <f t="shared" si="81"/>
        <v>430</v>
      </c>
      <c r="CK67" s="1" t="str">
        <f t="shared" si="82"/>
        <v>MT</v>
      </c>
      <c r="CL67" s="1">
        <f t="shared" si="83"/>
        <v>2</v>
      </c>
      <c r="CM67" s="1">
        <f t="shared" si="84"/>
        <v>6</v>
      </c>
      <c r="CN67" s="1">
        <f t="shared" si="85"/>
        <v>2</v>
      </c>
      <c r="CO67" s="1">
        <f t="shared" si="86"/>
        <v>1</v>
      </c>
      <c r="CP67" s="1" t="str">
        <f t="shared" si="87"/>
        <v>430MT26</v>
      </c>
      <c r="CR67" s="1" t="e">
        <f t="shared" si="88"/>
        <v>#VALUE!</v>
      </c>
      <c r="CS67" s="1" t="e">
        <f t="shared" si="89"/>
        <v>#VALUE!</v>
      </c>
      <c r="CT67" s="1">
        <f t="shared" si="90"/>
        <v>5</v>
      </c>
      <c r="CU67" s="1">
        <f t="shared" si="91"/>
        <v>3</v>
      </c>
      <c r="CV67" s="131" t="e">
        <f t="shared" si="92"/>
        <v>#VALUE!</v>
      </c>
      <c r="CW67" s="131">
        <v>1258.7</v>
      </c>
      <c r="CX67" s="131">
        <v>1426.2</v>
      </c>
      <c r="CY67" s="131">
        <v>2028.9</v>
      </c>
      <c r="CZ67" s="131">
        <v>2136.9</v>
      </c>
      <c r="DA67" s="131">
        <v>2304.9</v>
      </c>
      <c r="DC67" s="154">
        <f t="shared" si="93"/>
        <v>-517.841119621</v>
      </c>
      <c r="DD67" s="154">
        <f t="shared" si="94"/>
        <v>777.067530642</v>
      </c>
      <c r="DE67" s="154">
        <f t="shared" si="95"/>
        <v>361.649282301</v>
      </c>
      <c r="DF67" s="1">
        <f t="shared" si="96"/>
        <v>21.1706534200898</v>
      </c>
      <c r="DG67" s="1">
        <f t="shared" si="97"/>
        <v>123.679657913411</v>
      </c>
      <c r="DH67" s="1">
        <f t="shared" si="98"/>
        <v>290</v>
      </c>
      <c r="DI67" s="1">
        <f t="shared" si="99"/>
        <v>305</v>
      </c>
      <c r="DJ67" s="1">
        <f t="shared" si="100"/>
        <v>348</v>
      </c>
      <c r="DK67" s="1">
        <f t="shared" si="101"/>
        <v>290</v>
      </c>
      <c r="DL67" s="1">
        <f t="shared" si="102"/>
        <v>305</v>
      </c>
      <c r="DM67" s="1">
        <f t="shared" si="103"/>
        <v>348</v>
      </c>
    </row>
    <row r="68" customHeight="1" spans="1:117">
      <c r="A68" s="152" t="str">
        <f t="shared" si="113"/>
        <v>Settlement 36X</v>
      </c>
      <c r="C68" s="55" t="str">
        <f t="shared" si="5"/>
        <v>N 73° 08.1' / E 033° 14.3'</v>
      </c>
      <c r="D68" s="150" t="str">
        <f t="shared" si="6"/>
        <v>172 m</v>
      </c>
      <c r="E68" s="151">
        <f t="shared" si="7"/>
        <v>563</v>
      </c>
      <c r="F68" s="151">
        <f t="shared" si="8"/>
        <v>2414.3</v>
      </c>
      <c r="G68" s="151">
        <f t="shared" si="9"/>
        <v>1617.1</v>
      </c>
      <c r="H68" s="151">
        <f t="shared" si="10"/>
        <v>1879</v>
      </c>
      <c r="I68" s="151">
        <f t="shared" si="11"/>
        <v>1540.8</v>
      </c>
      <c r="J68" s="171">
        <f t="shared" si="12"/>
        <v>1942</v>
      </c>
      <c r="K68" s="172">
        <f t="shared" si="114"/>
        <v>242.686449006999</v>
      </c>
      <c r="L68" s="172">
        <f t="shared" si="115"/>
        <v>159.040409961</v>
      </c>
      <c r="M68" s="173">
        <f t="shared" si="116"/>
        <v>957.158602271</v>
      </c>
      <c r="N68" s="54">
        <f t="shared" si="13"/>
        <v>0.100320529425538</v>
      </c>
      <c r="O68" s="55" t="str">
        <f t="shared" si="14"/>
        <v>After midnight / Rises in 23m</v>
      </c>
      <c r="P68" s="55" t="str">
        <f t="shared" si="15"/>
        <v>280°M / -09°</v>
      </c>
      <c r="Q68" s="56">
        <f t="shared" si="16"/>
        <v>45683.721837099</v>
      </c>
      <c r="R68" s="56">
        <f t="shared" si="17"/>
        <v>45683.7275593211</v>
      </c>
      <c r="S68" s="56">
        <f t="shared" si="18"/>
        <v>45683.7777195858</v>
      </c>
      <c r="T68" s="56">
        <f t="shared" si="19"/>
        <v>45683.8278798505</v>
      </c>
      <c r="U68" s="180">
        <f t="shared" si="20"/>
        <v>45683.8336020726</v>
      </c>
      <c r="V68" s="55" t="str">
        <f t="shared" si="21"/>
        <v>Obstructed / Rises in 23m</v>
      </c>
      <c r="W68" s="55" t="str">
        <f t="shared" si="22"/>
        <v>295°M / -09°</v>
      </c>
      <c r="X68" s="56">
        <f t="shared" si="23"/>
        <v>45683.7275097858</v>
      </c>
      <c r="Y68" s="180">
        <f t="shared" si="24"/>
        <v>45683.8143623175</v>
      </c>
      <c r="Z68" s="55" t="str">
        <f t="shared" si="25"/>
        <v>350°M / -37°</v>
      </c>
      <c r="AA68" s="151">
        <f t="shared" si="26"/>
        <v>1211.2</v>
      </c>
      <c r="AB68" s="150">
        <f t="shared" si="27"/>
        <v>1299.8</v>
      </c>
      <c r="AC68" s="188">
        <v>59</v>
      </c>
      <c r="AD68" s="1" t="b">
        <f t="shared" si="28"/>
        <v>1</v>
      </c>
      <c r="AE68" s="1">
        <f t="shared" si="29"/>
        <v>73.1356779079323</v>
      </c>
      <c r="AF68" s="1">
        <f t="shared" si="30"/>
        <v>33.2381434261601</v>
      </c>
      <c r="AG68" s="1">
        <f t="shared" si="31"/>
        <v>33.2381434261601</v>
      </c>
      <c r="AH68" s="2">
        <f t="shared" si="32"/>
        <v>0.171562499936272</v>
      </c>
      <c r="AI68" s="1">
        <f t="shared" si="33"/>
        <v>1.06125016379446</v>
      </c>
      <c r="AJ68" s="191">
        <f t="shared" si="111"/>
        <v>0</v>
      </c>
      <c r="AK68" s="191">
        <f t="shared" si="112"/>
        <v>0</v>
      </c>
      <c r="AL68" s="191">
        <f t="shared" si="34"/>
        <v>105.190460591595</v>
      </c>
      <c r="AM68" s="20">
        <f t="shared" si="35"/>
        <v>138.761464788742</v>
      </c>
      <c r="AN68" s="191">
        <f t="shared" si="36"/>
        <v>20.8193959547804</v>
      </c>
      <c r="AO68" s="134">
        <f t="shared" si="37"/>
        <v>42</v>
      </c>
      <c r="AP68" s="64">
        <f t="shared" si="38"/>
        <v>-16</v>
      </c>
      <c r="AQ68" s="1">
        <f t="shared" si="104"/>
        <v>91.0686761871081</v>
      </c>
      <c r="AR68" s="20">
        <f t="shared" si="39"/>
        <v>124.535800699967</v>
      </c>
      <c r="AS68" s="1">
        <f t="shared" si="40"/>
        <v>16.8633680104592</v>
      </c>
      <c r="AT68" s="134">
        <f t="shared" si="41"/>
        <v>57</v>
      </c>
      <c r="AU68" s="64">
        <f t="shared" si="42"/>
        <v>-10</v>
      </c>
      <c r="AV68" s="65">
        <f t="shared" si="43"/>
        <v>45683.7275097858</v>
      </c>
      <c r="AW68" s="65">
        <f t="shared" si="44"/>
        <v>45683.8143623175</v>
      </c>
      <c r="AX68" s="1">
        <f t="shared" si="45"/>
        <v>113</v>
      </c>
      <c r="AY68" s="1">
        <f t="shared" si="46"/>
        <v>-37</v>
      </c>
      <c r="AZ68" s="131">
        <f t="shared" si="47"/>
        <v>1211.2</v>
      </c>
      <c r="BA68" s="1">
        <f t="shared" si="48"/>
        <v>1299.8</v>
      </c>
      <c r="BB68" s="1">
        <f t="shared" si="49"/>
        <v>42369769.063906</v>
      </c>
      <c r="BC68" s="1">
        <f t="shared" si="50"/>
        <v>-9</v>
      </c>
      <c r="BD68" s="1">
        <f t="shared" si="51"/>
        <v>57481014.4152249</v>
      </c>
      <c r="BE68" s="1">
        <f t="shared" si="52"/>
        <v>-9</v>
      </c>
      <c r="BF68" s="20">
        <f t="shared" si="53"/>
        <v>13.1470159912676</v>
      </c>
      <c r="BG68" s="1">
        <f t="shared" si="54"/>
        <v>-65.9961392613622</v>
      </c>
      <c r="BH68" s="1">
        <f t="shared" si="55"/>
        <v>282.551011562133</v>
      </c>
      <c r="BI68" s="1">
        <f t="shared" si="56"/>
        <v>957.158602271</v>
      </c>
      <c r="BJ68" s="1">
        <f t="shared" si="57"/>
        <v>-65.9961392613622</v>
      </c>
      <c r="BK68" s="1">
        <f t="shared" si="58"/>
        <v>282.551011562133</v>
      </c>
      <c r="BL68" s="1">
        <f t="shared" si="59"/>
        <v>957.158602271</v>
      </c>
      <c r="BM68" s="61">
        <f t="shared" si="60"/>
        <v>22462019.2563453</v>
      </c>
      <c r="BN68" s="61">
        <f t="shared" si="61"/>
        <v>37186027.5158417</v>
      </c>
      <c r="BO68" s="61">
        <f t="shared" si="62"/>
        <v>957.158602271</v>
      </c>
      <c r="BQ68" s="1" t="str">
        <f t="shared" si="63"/>
        <v>N 73° 08.1' / E 033° 14.3'</v>
      </c>
      <c r="BR68" s="1" t="str">
        <f t="shared" si="64"/>
        <v>36X 501205 1275950</v>
      </c>
      <c r="BS68" s="1" t="str">
        <f t="shared" si="65"/>
        <v>36X WT 012759</v>
      </c>
      <c r="BT68" s="1" t="b">
        <f t="shared" si="66"/>
        <v>0</v>
      </c>
      <c r="BU68" s="1" t="str">
        <f t="shared" si="67"/>
        <v>36X</v>
      </c>
      <c r="BV68" s="1">
        <f t="shared" si="68"/>
        <v>36</v>
      </c>
      <c r="BW68" s="1">
        <f t="shared" si="69"/>
        <v>0</v>
      </c>
      <c r="BX68" s="1">
        <f t="shared" si="70"/>
        <v>33</v>
      </c>
      <c r="BY68" s="1">
        <f t="shared" si="71"/>
        <v>1205.3089492788</v>
      </c>
      <c r="BZ68" s="1">
        <f t="shared" si="72"/>
        <v>501205.3089</v>
      </c>
      <c r="CA68" s="1" t="str">
        <f t="shared" si="73"/>
        <v>W</v>
      </c>
      <c r="CB68" s="1" t="str">
        <f t="shared" si="74"/>
        <v>501205</v>
      </c>
      <c r="CC68" s="1" t="str">
        <f t="shared" si="75"/>
        <v>01205</v>
      </c>
      <c r="CD68" s="1">
        <f t="shared" si="76"/>
        <v>1275950.19396543</v>
      </c>
      <c r="CE68" s="1">
        <f t="shared" si="77"/>
        <v>1275950.194</v>
      </c>
      <c r="CF68" s="1" t="str">
        <f t="shared" si="78"/>
        <v>T</v>
      </c>
      <c r="CG68" s="1" t="str">
        <f t="shared" si="79"/>
        <v>1275950</v>
      </c>
      <c r="CH68" s="1" t="str">
        <f t="shared" si="80"/>
        <v>75950</v>
      </c>
      <c r="CJ68" s="1">
        <f t="shared" si="81"/>
        <v>427</v>
      </c>
      <c r="CK68" s="1" t="str">
        <f t="shared" si="82"/>
        <v>PQ</v>
      </c>
      <c r="CL68" s="1">
        <f t="shared" si="83"/>
        <v>3</v>
      </c>
      <c r="CM68" s="1">
        <f t="shared" si="84"/>
        <v>6</v>
      </c>
      <c r="CN68" s="1">
        <f t="shared" si="85"/>
        <v>2</v>
      </c>
      <c r="CO68" s="1">
        <f t="shared" si="86"/>
        <v>1</v>
      </c>
      <c r="CP68" s="1" t="str">
        <f t="shared" si="87"/>
        <v>427PQ36</v>
      </c>
      <c r="CR68" s="1" t="e">
        <f t="shared" si="88"/>
        <v>#VALUE!</v>
      </c>
      <c r="CS68" s="1" t="e">
        <f t="shared" si="89"/>
        <v>#VALUE!</v>
      </c>
      <c r="CT68" s="1">
        <f t="shared" si="90"/>
        <v>5</v>
      </c>
      <c r="CU68" s="1">
        <f t="shared" si="91"/>
        <v>3</v>
      </c>
      <c r="CV68" s="131" t="e">
        <f t="shared" si="92"/>
        <v>#VALUE!</v>
      </c>
      <c r="CW68" s="131">
        <v>1540.8</v>
      </c>
      <c r="CX68" s="131">
        <v>1617.1</v>
      </c>
      <c r="CY68" s="131">
        <v>1879</v>
      </c>
      <c r="CZ68" s="131">
        <v>1942</v>
      </c>
      <c r="DA68" s="131">
        <v>2414.3</v>
      </c>
      <c r="DC68" s="154">
        <f t="shared" si="93"/>
        <v>-242.686449006999</v>
      </c>
      <c r="DD68" s="154">
        <f t="shared" si="94"/>
        <v>957.158602271</v>
      </c>
      <c r="DE68" s="154">
        <f t="shared" si="95"/>
        <v>159.040409961</v>
      </c>
      <c r="DF68" s="1">
        <f t="shared" si="96"/>
        <v>9.14961936798723</v>
      </c>
      <c r="DG68" s="1">
        <f t="shared" si="97"/>
        <v>104.227455606372</v>
      </c>
      <c r="DH68" s="1">
        <f t="shared" si="98"/>
        <v>280</v>
      </c>
      <c r="DI68" s="1">
        <f t="shared" si="99"/>
        <v>295</v>
      </c>
      <c r="DJ68" s="1">
        <f t="shared" si="100"/>
        <v>350</v>
      </c>
      <c r="DK68" s="1">
        <f t="shared" si="101"/>
        <v>280</v>
      </c>
      <c r="DL68" s="1">
        <f t="shared" si="102"/>
        <v>295</v>
      </c>
      <c r="DM68" s="1">
        <f t="shared" si="103"/>
        <v>350</v>
      </c>
    </row>
    <row r="69" customHeight="1" spans="1:117">
      <c r="A69" s="152" t="str">
        <f t="shared" si="113"/>
        <v>Settlement 38U</v>
      </c>
      <c r="C69" s="55" t="str">
        <f t="shared" si="5"/>
        <v>N 48° 52.2' / E 042° 02.4'</v>
      </c>
      <c r="D69" s="150" t="str">
        <f t="shared" si="6"/>
        <v>968 m</v>
      </c>
      <c r="E69" s="151">
        <f t="shared" si="7"/>
        <v>950.6</v>
      </c>
      <c r="F69" s="151">
        <f t="shared" si="8"/>
        <v>2290.2</v>
      </c>
      <c r="G69" s="151">
        <f t="shared" si="9"/>
        <v>1343.5</v>
      </c>
      <c r="H69" s="151">
        <f t="shared" si="10"/>
        <v>2084.2</v>
      </c>
      <c r="I69" s="151">
        <f t="shared" si="11"/>
        <v>1290.9</v>
      </c>
      <c r="J69" s="171">
        <f t="shared" si="12"/>
        <v>2117.1</v>
      </c>
      <c r="K69" s="172">
        <f t="shared" si="114"/>
        <v>488.986771232999</v>
      </c>
      <c r="L69" s="172">
        <f t="shared" si="115"/>
        <v>440.90672323</v>
      </c>
      <c r="M69" s="173">
        <f t="shared" si="116"/>
        <v>753.943556719999</v>
      </c>
      <c r="N69" s="54">
        <f t="shared" si="13"/>
        <v>0.0934668377692772</v>
      </c>
      <c r="O69" s="55" t="str">
        <f t="shared" si="14"/>
        <v>After midnight / Rises in 22m</v>
      </c>
      <c r="P69" s="55" t="str">
        <f t="shared" si="15"/>
        <v>291°M / -22°</v>
      </c>
      <c r="Q69" s="56">
        <f t="shared" si="16"/>
        <v>45683.7210666854</v>
      </c>
      <c r="R69" s="56">
        <f t="shared" si="17"/>
        <v>45683.7267889075</v>
      </c>
      <c r="S69" s="56">
        <f t="shared" si="18"/>
        <v>45683.7735223264</v>
      </c>
      <c r="T69" s="56">
        <f t="shared" si="19"/>
        <v>45683.8202557453</v>
      </c>
      <c r="U69" s="180">
        <f t="shared" si="20"/>
        <v>45683.8259779674</v>
      </c>
      <c r="V69" s="55" t="str">
        <f t="shared" si="21"/>
        <v>Obstructed / Rises in 16m</v>
      </c>
      <c r="W69" s="55" t="str">
        <f t="shared" si="22"/>
        <v>306°M / -17°</v>
      </c>
      <c r="X69" s="56">
        <f t="shared" si="23"/>
        <v>45683.7226166873</v>
      </c>
      <c r="Y69" s="180">
        <f t="shared" si="24"/>
        <v>45683.8108608973</v>
      </c>
      <c r="Z69" s="55" t="str">
        <f t="shared" si="25"/>
        <v>348°M / -31°</v>
      </c>
      <c r="AA69" s="151">
        <f t="shared" si="26"/>
        <v>1018.9</v>
      </c>
      <c r="AB69" s="150">
        <f t="shared" si="27"/>
        <v>1067.8</v>
      </c>
      <c r="AC69" s="188">
        <v>60</v>
      </c>
      <c r="AD69" s="1" t="b">
        <f t="shared" si="28"/>
        <v>1</v>
      </c>
      <c r="AE69" s="1">
        <f t="shared" si="29"/>
        <v>48.8695709874172</v>
      </c>
      <c r="AF69" s="1">
        <f t="shared" si="30"/>
        <v>42.0401633095352</v>
      </c>
      <c r="AG69" s="1">
        <f t="shared" si="31"/>
        <v>42.0401633095352</v>
      </c>
      <c r="AH69" s="2">
        <f t="shared" si="32"/>
        <v>0.96837499987555</v>
      </c>
      <c r="AI69" s="1">
        <f t="shared" si="33"/>
        <v>2.5204858024302</v>
      </c>
      <c r="AJ69" s="191">
        <f t="shared" si="111"/>
        <v>0</v>
      </c>
      <c r="AK69" s="191">
        <f t="shared" si="112"/>
        <v>0</v>
      </c>
      <c r="AL69" s="191">
        <f t="shared" si="34"/>
        <v>98.0040652824476</v>
      </c>
      <c r="AM69" s="20">
        <f t="shared" si="35"/>
        <v>129.959444905367</v>
      </c>
      <c r="AN69" s="191">
        <f t="shared" si="36"/>
        <v>45.0858113786649</v>
      </c>
      <c r="AO69" s="134">
        <f t="shared" si="37"/>
        <v>55</v>
      </c>
      <c r="AP69" s="64">
        <f t="shared" si="38"/>
        <v>-29</v>
      </c>
      <c r="AQ69" s="1">
        <f t="shared" si="104"/>
        <v>92.5279118257438</v>
      </c>
      <c r="AR69" s="20">
        <f t="shared" si="39"/>
        <v>115.733780816592</v>
      </c>
      <c r="AS69" s="1">
        <f t="shared" si="40"/>
        <v>41.1296774877515</v>
      </c>
      <c r="AT69" s="134">
        <f t="shared" si="41"/>
        <v>70</v>
      </c>
      <c r="AU69" s="64">
        <f t="shared" si="42"/>
        <v>-18</v>
      </c>
      <c r="AV69" s="65">
        <f t="shared" si="43"/>
        <v>45683.7226166873</v>
      </c>
      <c r="AW69" s="65">
        <f t="shared" si="44"/>
        <v>45683.8108608973</v>
      </c>
      <c r="AX69" s="1">
        <f t="shared" si="45"/>
        <v>112</v>
      </c>
      <c r="AY69" s="1">
        <f t="shared" si="46"/>
        <v>-31</v>
      </c>
      <c r="AZ69" s="131">
        <f t="shared" si="47"/>
        <v>1018.9</v>
      </c>
      <c r="BA69" s="1">
        <f t="shared" si="48"/>
        <v>1067.8</v>
      </c>
      <c r="BB69" s="1">
        <f t="shared" si="49"/>
        <v>42369987.2689012</v>
      </c>
      <c r="BC69" s="1">
        <f t="shared" si="50"/>
        <v>-22</v>
      </c>
      <c r="BD69" s="1">
        <f t="shared" si="51"/>
        <v>57481135.7953836</v>
      </c>
      <c r="BE69" s="1">
        <f t="shared" si="52"/>
        <v>-17</v>
      </c>
      <c r="BF69" s="20">
        <f t="shared" si="53"/>
        <v>21.9490358746427</v>
      </c>
      <c r="BG69" s="1">
        <f t="shared" si="54"/>
        <v>-246.10249643419</v>
      </c>
      <c r="BH69" s="1">
        <f t="shared" si="55"/>
        <v>610.688433064806</v>
      </c>
      <c r="BI69" s="1">
        <f t="shared" si="56"/>
        <v>753.943556719999</v>
      </c>
      <c r="BJ69" s="1">
        <f t="shared" si="57"/>
        <v>-246.10249643419</v>
      </c>
      <c r="BK69" s="1">
        <f t="shared" si="58"/>
        <v>610.688433064806</v>
      </c>
      <c r="BL69" s="1">
        <f t="shared" si="59"/>
        <v>753.943556719999</v>
      </c>
      <c r="BM69" s="61">
        <f t="shared" si="60"/>
        <v>22461839.1499882</v>
      </c>
      <c r="BN69" s="61">
        <f t="shared" si="61"/>
        <v>37186355.6532632</v>
      </c>
      <c r="BO69" s="61">
        <f t="shared" si="62"/>
        <v>753.943556719999</v>
      </c>
      <c r="BQ69" s="1" t="str">
        <f t="shared" si="63"/>
        <v>N 48° 52.2' / E 042° 02.4'</v>
      </c>
      <c r="BR69" s="1" t="str">
        <f t="shared" si="64"/>
        <v>38U 466035 853254</v>
      </c>
      <c r="BS69" s="1" t="str">
        <f t="shared" si="65"/>
        <v>38U MP 660532</v>
      </c>
      <c r="BT69" s="1" t="b">
        <f t="shared" si="66"/>
        <v>0</v>
      </c>
      <c r="BU69" s="1" t="str">
        <f t="shared" si="67"/>
        <v>38U</v>
      </c>
      <c r="BV69" s="1">
        <f t="shared" si="68"/>
        <v>38</v>
      </c>
      <c r="BW69" s="1">
        <f t="shared" si="69"/>
        <v>0</v>
      </c>
      <c r="BX69" s="1">
        <f t="shared" si="70"/>
        <v>45</v>
      </c>
      <c r="BY69" s="1">
        <f t="shared" si="71"/>
        <v>-33964.3158954771</v>
      </c>
      <c r="BZ69" s="1">
        <f t="shared" si="72"/>
        <v>466035.6841</v>
      </c>
      <c r="CA69" s="1" t="str">
        <f t="shared" si="73"/>
        <v>M</v>
      </c>
      <c r="CB69" s="1" t="str">
        <f t="shared" si="74"/>
        <v>466035</v>
      </c>
      <c r="CC69" s="1" t="str">
        <f t="shared" si="75"/>
        <v>66035</v>
      </c>
      <c r="CD69" s="1">
        <f t="shared" si="76"/>
        <v>853254.797379144</v>
      </c>
      <c r="CE69" s="1">
        <f t="shared" si="77"/>
        <v>853254.7974</v>
      </c>
      <c r="CF69" s="1" t="str">
        <f t="shared" si="78"/>
        <v>P</v>
      </c>
      <c r="CG69" s="1" t="str">
        <f t="shared" si="79"/>
        <v>853254</v>
      </c>
      <c r="CH69" s="1" t="str">
        <f t="shared" si="80"/>
        <v>53254</v>
      </c>
      <c r="CJ69" s="1">
        <f t="shared" si="81"/>
        <v>445</v>
      </c>
      <c r="CK69" s="1" t="str">
        <f t="shared" si="82"/>
        <v>MP</v>
      </c>
      <c r="CL69" s="1">
        <f t="shared" si="83"/>
        <v>1</v>
      </c>
      <c r="CM69" s="1">
        <f t="shared" si="84"/>
        <v>4</v>
      </c>
      <c r="CN69" s="1">
        <f t="shared" si="85"/>
        <v>0</v>
      </c>
      <c r="CO69" s="1">
        <f t="shared" si="86"/>
        <v>1</v>
      </c>
      <c r="CP69" s="1" t="str">
        <f t="shared" si="87"/>
        <v>445MP14</v>
      </c>
      <c r="CR69" s="1" t="e">
        <f t="shared" si="88"/>
        <v>#VALUE!</v>
      </c>
      <c r="CS69" s="1" t="e">
        <f t="shared" si="89"/>
        <v>#VALUE!</v>
      </c>
      <c r="CT69" s="1">
        <f t="shared" si="90"/>
        <v>5</v>
      </c>
      <c r="CU69" s="1">
        <f t="shared" si="91"/>
        <v>3</v>
      </c>
      <c r="CV69" s="131" t="e">
        <f t="shared" si="92"/>
        <v>#VALUE!</v>
      </c>
      <c r="CW69" s="131">
        <v>1290.9</v>
      </c>
      <c r="CX69" s="131">
        <v>1343.5</v>
      </c>
      <c r="CY69" s="131">
        <v>2084.2</v>
      </c>
      <c r="CZ69" s="131">
        <v>2117.1</v>
      </c>
      <c r="DA69" s="131">
        <v>2290.2</v>
      </c>
      <c r="DC69" s="154">
        <f t="shared" si="93"/>
        <v>-488.986771232999</v>
      </c>
      <c r="DD69" s="154">
        <f t="shared" si="94"/>
        <v>753.943556719999</v>
      </c>
      <c r="DE69" s="154">
        <f t="shared" si="95"/>
        <v>440.90672323</v>
      </c>
      <c r="DF69" s="1">
        <f t="shared" si="96"/>
        <v>26.1345220891959</v>
      </c>
      <c r="DG69" s="1">
        <f t="shared" si="97"/>
        <v>122.96631756533</v>
      </c>
      <c r="DH69" s="1">
        <f t="shared" si="98"/>
        <v>291</v>
      </c>
      <c r="DI69" s="1">
        <f t="shared" si="99"/>
        <v>306</v>
      </c>
      <c r="DJ69" s="1">
        <f t="shared" si="100"/>
        <v>348</v>
      </c>
      <c r="DK69" s="1">
        <f t="shared" si="101"/>
        <v>291</v>
      </c>
      <c r="DL69" s="1">
        <f t="shared" si="102"/>
        <v>306</v>
      </c>
      <c r="DM69" s="1">
        <f t="shared" si="103"/>
        <v>348</v>
      </c>
    </row>
    <row r="70" customHeight="1" spans="1:117">
      <c r="A70" s="152" t="str">
        <f t="shared" si="113"/>
        <v>Settlement 50K</v>
      </c>
      <c r="C70" s="55" t="str">
        <f t="shared" si="5"/>
        <v>S 21° 49.8' / E 119° 35.5'</v>
      </c>
      <c r="D70" s="150" t="str">
        <f t="shared" si="6"/>
        <v>206 m</v>
      </c>
      <c r="E70" s="151">
        <f t="shared" si="7"/>
        <v>2035.6</v>
      </c>
      <c r="F70" s="151">
        <f t="shared" si="8"/>
        <v>1414.9</v>
      </c>
      <c r="G70" s="151">
        <f t="shared" si="9"/>
        <v>865</v>
      </c>
      <c r="H70" s="151">
        <f t="shared" si="10"/>
        <v>2323.2</v>
      </c>
      <c r="I70" s="151">
        <f t="shared" si="11"/>
        <v>2095.9</v>
      </c>
      <c r="J70" s="171">
        <f t="shared" si="12"/>
        <v>1323.9</v>
      </c>
      <c r="K70" s="172">
        <f t="shared" si="114"/>
        <v>-458.492768339</v>
      </c>
      <c r="L70" s="172">
        <f t="shared" si="115"/>
        <v>807.380966956999</v>
      </c>
      <c r="M70" s="173">
        <f t="shared" si="116"/>
        <v>-371.930131793999</v>
      </c>
      <c r="N70" s="54">
        <f t="shared" si="13"/>
        <v>0.086325470733832</v>
      </c>
      <c r="O70" s="55" t="str">
        <f t="shared" si="14"/>
        <v>Morning / Sets in 98m</v>
      </c>
      <c r="P70" s="55" t="str">
        <f t="shared" si="15"/>
        <v>127°M / +33°</v>
      </c>
      <c r="Q70" s="56">
        <f t="shared" si="16"/>
        <v>45683.8593236628</v>
      </c>
      <c r="R70" s="56">
        <f t="shared" si="17"/>
        <v>45683.8650458848</v>
      </c>
      <c r="S70" s="56">
        <f t="shared" si="18"/>
        <v>45683.7365419577</v>
      </c>
      <c r="T70" s="56">
        <f t="shared" si="19"/>
        <v>45683.7797046931</v>
      </c>
      <c r="U70" s="180">
        <f t="shared" si="20"/>
        <v>45683.7854269152</v>
      </c>
      <c r="V70" s="55" t="str">
        <f t="shared" si="21"/>
        <v>Sets in 89m</v>
      </c>
      <c r="W70" s="55" t="str">
        <f t="shared" si="22"/>
        <v>121°M / +47°</v>
      </c>
      <c r="X70" s="56">
        <f t="shared" si="23"/>
        <v>45683.8579506115</v>
      </c>
      <c r="Y70" s="180">
        <f t="shared" si="24"/>
        <v>45683.7732328982</v>
      </c>
      <c r="Z70" s="55" t="str">
        <f t="shared" si="25"/>
        <v>019°M / -19°</v>
      </c>
      <c r="AA70" s="151">
        <f t="shared" si="26"/>
        <v>641.7</v>
      </c>
      <c r="AB70" s="150">
        <f t="shared" si="27"/>
        <v>652.7</v>
      </c>
      <c r="AC70" s="188">
        <v>61</v>
      </c>
      <c r="AD70" s="1" t="b">
        <f t="shared" si="28"/>
        <v>1</v>
      </c>
      <c r="AE70" s="1">
        <f t="shared" si="29"/>
        <v>-21.8299790769988</v>
      </c>
      <c r="AF70" s="1">
        <f t="shared" si="30"/>
        <v>119.591229625745</v>
      </c>
      <c r="AG70" s="1">
        <f t="shared" si="31"/>
        <v>119.591229625745</v>
      </c>
      <c r="AH70" s="2">
        <f t="shared" si="32"/>
        <v>0.205812500547381</v>
      </c>
      <c r="AI70" s="1">
        <f t="shared" si="33"/>
        <v>1.16234824757069</v>
      </c>
      <c r="AJ70" s="191">
        <f t="shared" si="111"/>
        <v>0</v>
      </c>
      <c r="AK70" s="191">
        <f t="shared" si="112"/>
        <v>0</v>
      </c>
      <c r="AL70" s="191">
        <f t="shared" si="34"/>
        <v>90.5160297625624</v>
      </c>
      <c r="AM70" s="20">
        <f t="shared" si="35"/>
        <v>52.4083785891571</v>
      </c>
      <c r="AN70" s="191">
        <f t="shared" si="36"/>
        <v>64.2130944563366</v>
      </c>
      <c r="AO70" s="134">
        <f t="shared" si="37"/>
        <v>70</v>
      </c>
      <c r="AP70" s="64">
        <f t="shared" si="38"/>
        <v>39</v>
      </c>
      <c r="AQ70" s="1">
        <f t="shared" si="104"/>
        <v>91.1697742708843</v>
      </c>
      <c r="AR70" s="20">
        <f t="shared" si="39"/>
        <v>38.1827145003815</v>
      </c>
      <c r="AS70" s="1">
        <f t="shared" si="40"/>
        <v>68.1696501842113</v>
      </c>
      <c r="AT70" s="134">
        <f t="shared" si="41"/>
        <v>65</v>
      </c>
      <c r="AU70" s="64">
        <f t="shared" si="42"/>
        <v>54</v>
      </c>
      <c r="AV70" s="65">
        <f t="shared" si="43"/>
        <v>45683.8579506115</v>
      </c>
      <c r="AW70" s="65">
        <f t="shared" si="44"/>
        <v>45683.7732328982</v>
      </c>
      <c r="AX70" s="1">
        <f t="shared" si="45"/>
        <v>322</v>
      </c>
      <c r="AY70" s="1">
        <f t="shared" si="46"/>
        <v>-19</v>
      </c>
      <c r="AZ70" s="131">
        <f t="shared" si="47"/>
        <v>641.7</v>
      </c>
      <c r="BA70" s="1">
        <f t="shared" si="48"/>
        <v>652.7</v>
      </c>
      <c r="BB70" s="1">
        <f t="shared" si="49"/>
        <v>42369078.0419696</v>
      </c>
      <c r="BC70" s="1">
        <f t="shared" si="50"/>
        <v>33</v>
      </c>
      <c r="BD70" s="1">
        <f t="shared" si="51"/>
        <v>57480120.0877</v>
      </c>
      <c r="BE70" s="1">
        <f t="shared" si="52"/>
        <v>47</v>
      </c>
      <c r="BF70" s="20">
        <f t="shared" si="53"/>
        <v>99.500102190853</v>
      </c>
      <c r="BG70" s="1">
        <f t="shared" si="54"/>
        <v>-915.748590142223</v>
      </c>
      <c r="BH70" s="1">
        <f t="shared" si="55"/>
        <v>-153.245437374524</v>
      </c>
      <c r="BI70" s="1">
        <f t="shared" si="56"/>
        <v>-371.930131793999</v>
      </c>
      <c r="BJ70" s="1">
        <f t="shared" si="57"/>
        <v>-915.748590142223</v>
      </c>
      <c r="BK70" s="1">
        <f t="shared" si="58"/>
        <v>-153.245437374524</v>
      </c>
      <c r="BL70" s="1">
        <f t="shared" si="59"/>
        <v>-371.930131793999</v>
      </c>
      <c r="BM70" s="61">
        <f t="shared" si="60"/>
        <v>22461169.5038945</v>
      </c>
      <c r="BN70" s="61">
        <f t="shared" si="61"/>
        <v>37185591.7193927</v>
      </c>
      <c r="BO70" s="61">
        <f t="shared" si="62"/>
        <v>-371.930131793999</v>
      </c>
      <c r="BQ70" s="1" t="str">
        <f t="shared" si="63"/>
        <v>S 21° 49.8' / E 119° 35.5'</v>
      </c>
      <c r="BR70" s="1" t="str">
        <f t="shared" si="64"/>
        <v>50K 541975 1618794</v>
      </c>
      <c r="BS70" s="1" t="str">
        <f t="shared" si="65"/>
        <v>50K NB 419187</v>
      </c>
      <c r="BT70" s="1" t="b">
        <f t="shared" si="66"/>
        <v>0</v>
      </c>
      <c r="BU70" s="1" t="str">
        <f t="shared" si="67"/>
        <v>50K</v>
      </c>
      <c r="BV70" s="1">
        <f t="shared" si="68"/>
        <v>50</v>
      </c>
      <c r="BW70" s="1">
        <f t="shared" si="69"/>
        <v>0</v>
      </c>
      <c r="BX70" s="1">
        <f t="shared" si="70"/>
        <v>117</v>
      </c>
      <c r="BY70" s="1">
        <f t="shared" si="71"/>
        <v>41975.9904164234</v>
      </c>
      <c r="BZ70" s="1">
        <f t="shared" si="72"/>
        <v>541975.9904</v>
      </c>
      <c r="CA70" s="1" t="str">
        <f t="shared" si="73"/>
        <v>N</v>
      </c>
      <c r="CB70" s="1" t="str">
        <f t="shared" si="74"/>
        <v>541975</v>
      </c>
      <c r="CC70" s="1" t="str">
        <f t="shared" si="75"/>
        <v>41975</v>
      </c>
      <c r="CD70" s="1">
        <f t="shared" si="76"/>
        <v>-381205.733060683</v>
      </c>
      <c r="CE70" s="1">
        <f t="shared" si="77"/>
        <v>1618794.2669</v>
      </c>
      <c r="CF70" s="1" t="str">
        <f t="shared" si="78"/>
        <v>B</v>
      </c>
      <c r="CG70" s="1" t="str">
        <f t="shared" si="79"/>
        <v>1618794</v>
      </c>
      <c r="CH70" s="1" t="str">
        <f t="shared" si="80"/>
        <v>18794</v>
      </c>
      <c r="CJ70" s="1">
        <f t="shared" si="81"/>
        <v>600</v>
      </c>
      <c r="CK70" s="1" t="str">
        <f t="shared" si="82"/>
        <v>FS</v>
      </c>
      <c r="CL70" s="1">
        <f t="shared" si="83"/>
        <v>3</v>
      </c>
      <c r="CM70" s="1">
        <f t="shared" si="84"/>
        <v>2</v>
      </c>
      <c r="CN70" s="1">
        <f t="shared" si="85"/>
        <v>1</v>
      </c>
      <c r="CO70" s="1">
        <f t="shared" si="86"/>
        <v>2</v>
      </c>
      <c r="CP70" s="1" t="str">
        <f t="shared" si="87"/>
        <v>600FS32</v>
      </c>
      <c r="CR70" s="1" t="e">
        <f t="shared" si="88"/>
        <v>#VALUE!</v>
      </c>
      <c r="CS70" s="1" t="e">
        <f t="shared" si="89"/>
        <v>#VALUE!</v>
      </c>
      <c r="CT70" s="1">
        <f t="shared" si="90"/>
        <v>6</v>
      </c>
      <c r="CU70" s="1">
        <f t="shared" si="91"/>
        <v>2</v>
      </c>
      <c r="CV70" s="131" t="e">
        <f t="shared" si="92"/>
        <v>#VALUE!</v>
      </c>
      <c r="CW70" s="131">
        <v>1323.9</v>
      </c>
      <c r="CX70" s="131">
        <v>1414.9</v>
      </c>
      <c r="CY70" s="131">
        <v>2035.6</v>
      </c>
      <c r="CZ70" s="131">
        <v>2095.9</v>
      </c>
      <c r="DA70" s="131">
        <v>2323.2</v>
      </c>
      <c r="DC70" s="154">
        <f t="shared" si="93"/>
        <v>458.492768339</v>
      </c>
      <c r="DD70" s="154">
        <f t="shared" si="94"/>
        <v>-371.930131793999</v>
      </c>
      <c r="DE70" s="154">
        <f t="shared" si="95"/>
        <v>807.380966956999</v>
      </c>
      <c r="DF70" s="1">
        <f t="shared" si="96"/>
        <v>53.8246987351338</v>
      </c>
      <c r="DG70" s="1">
        <f t="shared" si="97"/>
        <v>-39.049024519627</v>
      </c>
      <c r="DH70" s="1">
        <f t="shared" si="98"/>
        <v>127</v>
      </c>
      <c r="DI70" s="1">
        <f t="shared" si="99"/>
        <v>121</v>
      </c>
      <c r="DJ70" s="1">
        <f t="shared" si="100"/>
        <v>19</v>
      </c>
      <c r="DK70" s="1">
        <f t="shared" si="101"/>
        <v>127</v>
      </c>
      <c r="DL70" s="1">
        <f t="shared" si="102"/>
        <v>121</v>
      </c>
      <c r="DM70" s="1">
        <f t="shared" si="103"/>
        <v>19</v>
      </c>
    </row>
    <row r="71" customHeight="1" spans="1:117">
      <c r="A71" s="152" t="str">
        <f t="shared" si="113"/>
        <v/>
      </c>
      <c r="C71" s="55" t="str">
        <f t="shared" si="5"/>
        <v/>
      </c>
      <c r="D71" s="150" t="str">
        <f t="shared" si="6"/>
        <v/>
      </c>
      <c r="E71" s="151" t="str">
        <f t="shared" si="7"/>
        <v/>
      </c>
      <c r="F71" s="151" t="str">
        <f t="shared" si="8"/>
        <v/>
      </c>
      <c r="G71" s="151" t="str">
        <f t="shared" si="9"/>
        <v/>
      </c>
      <c r="H71" s="151" t="str">
        <f t="shared" si="10"/>
        <v/>
      </c>
      <c r="I71" s="151" t="str">
        <f t="shared" si="11"/>
        <v/>
      </c>
      <c r="J71" s="171" t="str">
        <f t="shared" si="12"/>
        <v/>
      </c>
      <c r="K71" s="172" t="str">
        <f t="shared" si="114"/>
        <v/>
      </c>
      <c r="L71" s="172" t="str">
        <f t="shared" si="115"/>
        <v/>
      </c>
      <c r="M71" s="173" t="str">
        <f t="shared" si="116"/>
        <v/>
      </c>
      <c r="N71" s="54" t="str">
        <f t="shared" si="13"/>
        <v/>
      </c>
      <c r="O71" s="55" t="str">
        <f t="shared" si="14"/>
        <v/>
      </c>
      <c r="P71" s="55" t="str">
        <f t="shared" si="15"/>
        <v/>
      </c>
      <c r="Q71" s="56" t="str">
        <f t="shared" si="16"/>
        <v/>
      </c>
      <c r="R71" s="56" t="str">
        <f t="shared" si="17"/>
        <v/>
      </c>
      <c r="S71" s="56" t="str">
        <f t="shared" si="18"/>
        <v/>
      </c>
      <c r="T71" s="56" t="str">
        <f t="shared" si="19"/>
        <v/>
      </c>
      <c r="U71" s="180" t="str">
        <f t="shared" si="20"/>
        <v/>
      </c>
      <c r="V71" s="55" t="str">
        <f t="shared" si="21"/>
        <v/>
      </c>
      <c r="W71" s="55" t="str">
        <f t="shared" si="22"/>
        <v/>
      </c>
      <c r="X71" s="56" t="str">
        <f t="shared" si="23"/>
        <v/>
      </c>
      <c r="Y71" s="180" t="str">
        <f t="shared" si="24"/>
        <v/>
      </c>
      <c r="Z71" s="55" t="str">
        <f t="shared" si="25"/>
        <v/>
      </c>
      <c r="AA71" s="55" t="str">
        <f t="shared" si="26"/>
        <v/>
      </c>
      <c r="AB71" s="150" t="str">
        <f t="shared" si="27"/>
        <v/>
      </c>
      <c r="AC71" s="188">
        <v>62</v>
      </c>
      <c r="AD71" s="1" t="b">
        <f t="shared" si="28"/>
        <v>0</v>
      </c>
      <c r="AE71" s="1" t="str">
        <f t="shared" si="29"/>
        <v/>
      </c>
      <c r="AF71" s="1" t="str">
        <f t="shared" si="30"/>
        <v/>
      </c>
      <c r="AG71" s="1" t="str">
        <f t="shared" si="31"/>
        <v/>
      </c>
      <c r="AH71" s="1" t="str">
        <f t="shared" si="32"/>
        <v/>
      </c>
      <c r="AI71" s="1" t="str">
        <f t="shared" si="33"/>
        <v/>
      </c>
      <c r="AJ71" s="191" t="str">
        <f t="shared" si="111"/>
        <v/>
      </c>
      <c r="AK71" s="191" t="str">
        <f t="shared" si="112"/>
        <v/>
      </c>
      <c r="AL71" s="191" t="str">
        <f t="shared" si="34"/>
        <v/>
      </c>
      <c r="AM71" s="1" t="str">
        <f t="shared" si="35"/>
        <v/>
      </c>
      <c r="AN71" s="191" t="str">
        <f t="shared" si="36"/>
        <v/>
      </c>
      <c r="AO71" s="134" t="str">
        <f t="shared" si="37"/>
        <v/>
      </c>
      <c r="AP71" s="64" t="str">
        <f t="shared" si="38"/>
        <v/>
      </c>
      <c r="AQ71" s="1" t="str">
        <f t="shared" si="104"/>
        <v/>
      </c>
      <c r="AR71" s="1" t="str">
        <f t="shared" si="39"/>
        <v/>
      </c>
      <c r="AS71" s="1" t="str">
        <f t="shared" si="40"/>
        <v/>
      </c>
      <c r="AT71" s="134" t="str">
        <f t="shared" si="41"/>
        <v/>
      </c>
      <c r="AU71" s="64" t="str">
        <f t="shared" si="42"/>
        <v/>
      </c>
      <c r="AV71" s="65" t="str">
        <f t="shared" si="43"/>
        <v/>
      </c>
      <c r="AW71" s="65" t="str">
        <f t="shared" si="44"/>
        <v/>
      </c>
      <c r="AX71" s="1" t="str">
        <f t="shared" si="45"/>
        <v/>
      </c>
      <c r="AY71" s="1" t="str">
        <f t="shared" si="46"/>
        <v/>
      </c>
      <c r="AZ71" s="131" t="str">
        <f t="shared" si="47"/>
        <v/>
      </c>
      <c r="BA71" s="1" t="str">
        <f t="shared" si="48"/>
        <v/>
      </c>
      <c r="BB71" s="1" t="str">
        <f t="shared" si="49"/>
        <v/>
      </c>
      <c r="BC71" s="1" t="str">
        <f t="shared" si="50"/>
        <v/>
      </c>
      <c r="BD71" s="1" t="str">
        <f t="shared" si="51"/>
        <v/>
      </c>
      <c r="BE71" s="1" t="str">
        <f t="shared" si="52"/>
        <v/>
      </c>
      <c r="BF71" s="1" t="str">
        <f t="shared" si="53"/>
        <v/>
      </c>
      <c r="BG71" s="1" t="str">
        <f t="shared" si="54"/>
        <v/>
      </c>
      <c r="BH71" s="1" t="str">
        <f t="shared" si="55"/>
        <v/>
      </c>
      <c r="BI71" s="1" t="str">
        <f t="shared" si="56"/>
        <v/>
      </c>
      <c r="BJ71" s="1" t="str">
        <f t="shared" si="57"/>
        <v/>
      </c>
      <c r="BK71" s="1" t="str">
        <f t="shared" si="58"/>
        <v/>
      </c>
      <c r="BL71" s="1" t="str">
        <f t="shared" si="59"/>
        <v/>
      </c>
      <c r="BM71" s="1" t="str">
        <f t="shared" si="60"/>
        <v/>
      </c>
      <c r="BN71" s="1" t="str">
        <f t="shared" si="61"/>
        <v/>
      </c>
      <c r="BO71" s="1" t="str">
        <f t="shared" si="62"/>
        <v/>
      </c>
      <c r="BQ71" s="1" t="str">
        <f t="shared" si="63"/>
        <v/>
      </c>
      <c r="BR71" s="1" t="str">
        <f t="shared" si="64"/>
        <v/>
      </c>
      <c r="BS71" s="1" t="str">
        <f t="shared" si="65"/>
        <v/>
      </c>
      <c r="BT71" s="1" t="str">
        <f t="shared" si="66"/>
        <v/>
      </c>
      <c r="BU71" s="1" t="str">
        <f t="shared" si="67"/>
        <v/>
      </c>
      <c r="BV71" s="1" t="str">
        <f t="shared" si="68"/>
        <v/>
      </c>
      <c r="BW71" s="1" t="str">
        <f t="shared" si="69"/>
        <v/>
      </c>
      <c r="BX71" s="1" t="str">
        <f t="shared" si="70"/>
        <v/>
      </c>
      <c r="BY71" s="1" t="str">
        <f t="shared" si="71"/>
        <v/>
      </c>
      <c r="BZ71" s="1" t="str">
        <f t="shared" si="72"/>
        <v/>
      </c>
      <c r="CA71" s="1" t="str">
        <f t="shared" si="73"/>
        <v/>
      </c>
      <c r="CB71" s="1" t="str">
        <f t="shared" si="74"/>
        <v/>
      </c>
      <c r="CC71" s="1" t="str">
        <f t="shared" si="75"/>
        <v/>
      </c>
      <c r="CD71" s="1" t="str">
        <f t="shared" si="76"/>
        <v/>
      </c>
      <c r="CE71" s="1" t="str">
        <f t="shared" si="77"/>
        <v/>
      </c>
      <c r="CF71" s="1" t="str">
        <f t="shared" si="78"/>
        <v/>
      </c>
      <c r="CG71" s="1" t="str">
        <f t="shared" si="79"/>
        <v/>
      </c>
      <c r="CH71" s="1" t="str">
        <f t="shared" si="80"/>
        <v/>
      </c>
      <c r="CJ71" s="1" t="str">
        <f t="shared" si="81"/>
        <v/>
      </c>
      <c r="CK71" s="1" t="str">
        <f t="shared" si="82"/>
        <v/>
      </c>
      <c r="CL71" s="1" t="str">
        <f t="shared" si="83"/>
        <v/>
      </c>
      <c r="CM71" s="1" t="str">
        <f t="shared" si="84"/>
        <v/>
      </c>
      <c r="CN71" s="1" t="str">
        <f t="shared" si="85"/>
        <v/>
      </c>
      <c r="CO71" s="1" t="str">
        <f t="shared" si="86"/>
        <v/>
      </c>
      <c r="CP71" s="1" t="str">
        <f t="shared" si="87"/>
        <v/>
      </c>
      <c r="CR71" s="1" t="str">
        <f t="shared" si="88"/>
        <v/>
      </c>
      <c r="CS71" s="1" t="str">
        <f t="shared" si="89"/>
        <v/>
      </c>
      <c r="CT71" s="1" t="str">
        <f t="shared" si="90"/>
        <v/>
      </c>
      <c r="CU71" s="1" t="str">
        <f t="shared" si="91"/>
        <v/>
      </c>
      <c r="CV71" s="1" t="str">
        <f t="shared" si="92"/>
        <v/>
      </c>
      <c r="DC71" s="154" t="e">
        <f t="shared" si="93"/>
        <v>#VALUE!</v>
      </c>
      <c r="DD71" s="154" t="str">
        <f t="shared" si="94"/>
        <v/>
      </c>
      <c r="DE71" s="154" t="str">
        <f t="shared" si="95"/>
        <v/>
      </c>
      <c r="DF71" s="1" t="str">
        <f t="shared" si="96"/>
        <v/>
      </c>
      <c r="DG71" s="1" t="str">
        <f t="shared" si="97"/>
        <v/>
      </c>
      <c r="DH71" s="1" t="str">
        <f t="shared" si="98"/>
        <v/>
      </c>
      <c r="DI71" s="1" t="str">
        <f t="shared" si="99"/>
        <v/>
      </c>
      <c r="DJ71" s="1" t="str">
        <f t="shared" si="100"/>
        <v/>
      </c>
      <c r="DK71" s="1" t="str">
        <f t="shared" si="101"/>
        <v/>
      </c>
      <c r="DL71" s="1" t="str">
        <f t="shared" si="102"/>
        <v/>
      </c>
      <c r="DM71" s="1" t="str">
        <f t="shared" si="103"/>
        <v/>
      </c>
    </row>
    <row r="72" customHeight="1" spans="1:117">
      <c r="A72" s="152" t="str">
        <f t="shared" si="113"/>
        <v>Caves</v>
      </c>
      <c r="C72" s="55" t="e">
        <f t="shared" si="5"/>
        <v>#DIV/0!</v>
      </c>
      <c r="D72" s="150" t="str">
        <f t="shared" si="6"/>
        <v>-1000000 m</v>
      </c>
      <c r="E72" s="151">
        <f t="shared" ref="E72:E135" si="117">IF(AD72,ROUND(SQRT(K72^2+L72^2+(M72-OMRadius)^2),1),"")</f>
        <v>1439.6</v>
      </c>
      <c r="F72" s="151">
        <f t="shared" ref="F72:F135" si="118">IF(AD72,ROUND(SQRT(K72^2+L72^2+(M72+OMRadius)^2),1),"")</f>
        <v>1439.6</v>
      </c>
      <c r="G72" s="151">
        <f t="shared" ref="G72:G135" si="119">IF(AD72,ROUND(SQRT(K72^2+(L72-OMRadius)^2+M72^2),1),"")</f>
        <v>1439.6</v>
      </c>
      <c r="H72" s="151">
        <f t="shared" ref="H72:H135" si="120">IF(AD72,ROUND(SQRT(K72^2+(L72+OMRadius)^2+M72^2),1),"")</f>
        <v>1439.6</v>
      </c>
      <c r="I72" s="151">
        <f t="shared" ref="I72:I135" si="121">IF(AD72,ROUND(SQRT((K72-OMRadius)^2+L72^2+M72^2),1),"")</f>
        <v>1439.6</v>
      </c>
      <c r="J72" s="171">
        <f t="shared" ref="J72:J135" si="122">IF(AD72,ROUND(SQRT((K72+OMRadius)^2+L72^2+M72^2),1),"")</f>
        <v>1439.6</v>
      </c>
      <c r="K72" s="172">
        <f t="shared" si="114"/>
        <v>0</v>
      </c>
      <c r="L72" s="172">
        <f t="shared" si="115"/>
        <v>0</v>
      </c>
      <c r="M72" s="173">
        <f t="shared" si="116"/>
        <v>0</v>
      </c>
      <c r="N72" s="54" t="str">
        <f t="shared" ref="N72:N135" si="123">IF(AD72,IF(NOT(Rotation),IF(ABS(AE72)&gt;ABS(90-ABS(sDeclination)),IF(AN72&lt;0,"None","Continuous"),IF(ABS(AM72)&gt;ABS(AL72+18),"None","Continuous")),IFERROR(((2*AL72-AJ72-AK72)/RotationRateAngular)/1440,IF(AN72&gt;0,"Continuous","None"))),"")</f>
        <v>Continuous</v>
      </c>
      <c r="O72" s="55" t="e">
        <f t="shared" ref="O72:O135" si="124">IF(AD72,IF(ABS(AE72)&gt;ABS(90-ABS(sDeclination)),IF(AN72&lt;0,"Night","Daylight"),IF(AM72=0,"Noon",IF(AM72=-(AL72-AK72),"Sunset",IF(AM72=(AL72-AJ72),"Sunrise",IF(AM72=180,"Midnight",IF(AND(AM72&gt;-(AL72-AK72),AM72&lt;0),CONCATENATE("Afternoon",IF(Rotation,CONCATENATE(" / Sets in ",ROUND((T72-TimeLocal)*1440,0),"m"),"")),IF(AND(AM72&gt;0,AM72&lt;(AL72-AJ72)),CONCATENATE("Morning",IF(Rotation,CONCATENATE(" / Sets in ",ROUND((T72-TimeLocal)*1440,0),"m"),"")),IF(AND(AM72&gt;(AL72-AJ72),AM72&lt;(AL72+18)),CONCATENATE("Morning Twilight",IF(Rotation,CONCATENATE(" / Rises in ",ROUND((R72-TimeLocal)*1440,0),"m"),"")),IF(AND(AM72&gt;-(AL72+18),AM72&lt;-(AL72-AK72)),CONCATENATE("Evening Twilight",IF(Rotation,CONCATENATE(" / Rises in ",ROUND((R72-TimeLocal)*1440,0),"m"),"")),IF(AND(AM72&gt;-180,AM72&lt;-(AL72+18)),CONCATENATE("Night",IF(Rotation,CONCATENATE(" / Rises in ",ROUND((R72-TimeLocal)*1440,0),"m"),"")),CONCATENATE("After midnight",IF(Rotation,CONCATENATE(" / Rises in ",ROUND((R72-TimeLocal)*1440,0),"m"),"")))))))))))),"")</f>
        <v>#DIV/0!</v>
      </c>
      <c r="P72" s="55" t="e">
        <f t="shared" si="15"/>
        <v>#DIV/0!</v>
      </c>
      <c r="Q72" s="56" t="str">
        <f t="shared" ref="Q72:Q135" si="125">IF(AD72,IFERROR(IF(AM72&gt;(AL72-AJ72+12),S72-((AL72-AJ72+12)/RotationRateAngular/1440),IF(AM72&gt;0,S72-((AL72-AJ72+12)/RotationRateAngular/1440)+LengthOfDay,S72-((AL72-AJ72+12)/RotationRateAngular/1440))),""),"")</f>
        <v/>
      </c>
      <c r="R72" s="56" t="str">
        <f t="shared" ref="R72:R135" si="126">IF(AD72,IFERROR(IF(AM72&gt;(AL72-AJ72),S72-((AL72-AJ72)/RotationRateAngular/1440),IF(AM72&gt;0,S72-((AL72-AJ72)/RotationRateAngular/1440)+LengthOfDay,S72-((AL72-AJ72)/RotationRateAngular/1440))),""),"")</f>
        <v/>
      </c>
      <c r="S72" s="56" t="str">
        <f t="shared" ref="S72:S135" si="127">IF(AD72,IFERROR(IF(AM72&gt;0,AM72/RotationRateAngular/1440,(360+AM72)/RotationRateAngular/1440)+TimeLocal,""),"")</f>
        <v/>
      </c>
      <c r="T72" s="56" t="str">
        <f t="shared" ref="T72:T135" si="128">IF(AD72,IFERROR(IF(AM72&gt;-(AL72-AK72),IF(AM72&gt;0,S72+((AL72-AK72)/RotationRateAngular/1440),S72+((AL72-AK72)/RotationRateAngular/1440)-LengthOfDay),S72+((AL72-AK72)/RotationRateAngular/1440)),""),"")</f>
        <v/>
      </c>
      <c r="U72" s="180" t="str">
        <f t="shared" ref="U72:U135" si="129">IF(AD72,IFERROR(IF(AM72&gt;-(AL72-AK72+12),IF(AM72&lt;0,S72+((AL72-AK72+12)/RotationRateAngular/1440)-LengthOfDay,S72+((AL72-AK72+12)/RotationRateAngular/1440)),S72+((AL72-AK72+12)/RotationRateAngular/1440)),""),"")</f>
        <v/>
      </c>
      <c r="V72" s="55" t="e">
        <f t="shared" ref="V72:V135" si="130">IF(AND(OffWorldSelected,AD72),IF(AND(AR72&lt;(AQ72-AJ72),AR72&gt;-(AQ72-AK72)),IF(Rotation,CONCATENATE("Sets in ",ROUND((Y72-TimeLocal)*1440,0),"m"),"Clear"),CONCATENATE("Obstructed",IF(Rotation,CONCATENATE(" / Rises in ",ROUND((X72-TimeLocal)*1440,0),"m"),""))),"")</f>
        <v>#DIV/0!</v>
      </c>
      <c r="W72" s="55" t="e">
        <f t="shared" ref="W72:W135" si="131">IF(AND(OffWorldSelected,AD72),CONCATENATE(IF(ABS(DL72)&lt;10,"0",""),IF(ABS(DL72)&lt;100,"0",""),DL72,"°",IF(Y$3,"M","T")," / ",IF(BE72&gt;0,"+","-"),IF(ABS(BE72)&lt;10,"0",""),ABS(BE72),"°"),"")</f>
        <v>#DIV/0!</v>
      </c>
      <c r="X72" s="56" t="str">
        <f t="shared" ref="X72:X135" si="132">IF(AND(OffWorldSelected,AD72),IFERROR(AV72,""),"")</f>
        <v/>
      </c>
      <c r="Y72" s="180" t="str">
        <f t="shared" ref="Y72:Y135" si="133">IF(AND(OffWorldSelected,AD72),IFERROR(AW72,""),"")</f>
        <v/>
      </c>
      <c r="Z72" s="55" t="e">
        <f t="shared" ref="Z72:Z135" si="134">IF(AND(NavTargetSelected,AD72),CONCATENATE(IF(ABS(DM72)&lt;10,"0",""),IF(ABS(DM72)&lt;100,"0",""),DM72,"°",IF(Y$3,"M","T")," / ",IF(AY72&gt;0,"+","-"),IF(ABS(AY72)&lt;10,"0",""),ABS(AY72),"°"),"")</f>
        <v>#DIV/0!</v>
      </c>
      <c r="AA72" s="55">
        <f t="shared" ref="AA72:AA135" si="135">IF(AND(NavTargetSelected,AD72),AZ72,"")</f>
        <v>1001.4</v>
      </c>
      <c r="AB72" s="150" t="e">
        <f t="shared" ref="AB72:AB135" si="136">IF(AND(NavTargetSelected,AD72),BA72,"")</f>
        <v>#DIV/0!</v>
      </c>
      <c r="AC72" s="188">
        <v>63</v>
      </c>
      <c r="AD72" s="1" t="b">
        <f t="shared" si="28"/>
        <v>1</v>
      </c>
      <c r="AE72" s="1" t="e">
        <f t="shared" si="29"/>
        <v>#DIV/0!</v>
      </c>
      <c r="AF72" s="1" t="e">
        <f t="shared" si="30"/>
        <v>#DIV/0!</v>
      </c>
      <c r="AG72" s="1" t="e">
        <f t="shared" si="31"/>
        <v>#DIV/0!</v>
      </c>
      <c r="AH72" s="1">
        <f t="shared" ref="AH72:AH135" si="137">IF(AD72,SQRT(K72^2+L72^2+M72^2)-br,"")</f>
        <v>-1000</v>
      </c>
      <c r="AI72" s="1">
        <f t="shared" si="33"/>
        <v>0</v>
      </c>
      <c r="AJ72" s="191">
        <f t="shared" si="111"/>
        <v>0</v>
      </c>
      <c r="AK72" s="191">
        <f t="shared" si="112"/>
        <v>0</v>
      </c>
      <c r="AL72" s="191" t="e">
        <f t="shared" ref="AL72:AL135" si="138">IF(AD72,DEGREES(ACOS(-TAN(RADIANS(AE72))*TAN(RADIANS(sDeclination))))+sar+AI72,"")</f>
        <v>#DIV/0!</v>
      </c>
      <c r="AM72" s="1" t="e">
        <f t="shared" ref="AM72:AM135" si="139">IF(AD72,IF(MOD(CycleHourAngle-MOD(AG72-sMeridian,360),360)&gt;180,MOD(CycleHourAngle-MOD(AG72-sMeridian,360),360)-360,MOD(CycleHourAngle-MOD(AG72-sMeridian,360),360)),"")</f>
        <v>#DIV/0!</v>
      </c>
      <c r="AN72" s="191">
        <f t="shared" ref="AN72:AN135" si="140">IF(AD72,IFERROR(DEGREES(ACOS((SQRT(K72^2+L72^2+M72^2)^2+(SQRT(SQRT(K72^2+L72^2+M72^2)^2+SQRT(bsx^2+bsy^2+bsz^2)^2-(2*SQRT(K72^2+L72^2+M72^2)*SQRT(bsx^2+bsy^2+bsz^2)*COS(RADIANS(ABS(sDeclination-AE72))))))^2-SQRT(bsx^2+bsy^2+bsz^2)^2)/(2*SQRT(K72^2+L72^2+M72^2)*(SQRT(SQRT(K72^2+L72^2+M72^2)^2+SQRT(bsx^2+bsy^2+bsz^2)^2-(2*SQRT(K72^2+L72^2+M72^2)*SQRT(bsx^2+bsy^2+bsz^2)*COS(RADIANS(ABS(sDeclination-AE72)))))))))-90,90),"")</f>
        <v>90</v>
      </c>
      <c r="AO72" s="134" t="e">
        <f t="shared" ref="AO72:AO135" si="141">IF(AD72,MOD((ROUND(DEGREES(ATAN2((COS(RADIANS(AE72))*SIN(RADIANS(sDeclination))-SIN(RADIANS(AE72))*COS(RADIANS(sDeclination))*COS(RADIANS(sLongitude-AF72))),(SIN(RADIANS(sLongitude-AF72))*COS(RADIANS(sDeclination))))),0))+360,360),"")</f>
        <v>#DIV/0!</v>
      </c>
      <c r="AP72" s="64" t="e">
        <f t="shared" si="38"/>
        <v>#DIV/0!</v>
      </c>
      <c r="AQ72" s="1" t="e">
        <f t="shared" si="104"/>
        <v>#DIV/0!</v>
      </c>
      <c r="AR72" s="1" t="e">
        <f t="shared" ref="AR72:AR135" si="142">IF(AND(OffWorldSelected,AD72),IF(MOD(CycleHourAngle-MOD(AG72-oMeridian,360),360)&gt;180,MOD(CycleHourAngle-MOD(AG72-oMeridian,360),360)-360,MOD(CycleHourAngle-MOD(AG72-oMeridian,360),360)),"")</f>
        <v>#DIV/0!</v>
      </c>
      <c r="AS72" s="1">
        <f t="shared" ref="AS72:AS135" si="143">IF(AND(OffWorldSelected,AD72),IFERROR(DEGREES(ACOS((SQRT(K72^2+L72^2+M72^2)^2+(SQRT(SQRT(K72^2+L72^2+M72^2)^2+SQRT(box^2+boy^2+boz^2)^2-(2*SQRT(K72^2+L72^2+M72^2)*SQRT(box^2+boy^2+boz^2)*COS(RADIANS(ABS(oDeclination-AE72))))))^2-SQRT(box^2+boy^2+boz^2)^2)/(2*SQRT(K72^2+L72^2+M72^2)*(SQRT(SQRT(K72^2+L72^2+M72^2)^2+SQRT(box^2+boy^2+boz^2)^2-(2*SQRT(K72^2+L72^2+M72^2)*SQRT(box^2+boy^2+boz^2)*COS(RADIANS(ABS(oDeclination-AE72)))))))))-90,90),"")</f>
        <v>90</v>
      </c>
      <c r="AT72" s="134" t="e">
        <f t="shared" ref="AT72:AT135" si="144">IF(AND(OffWorldSelected,AD72),MOD((ROUND(DEGREES(ATAN2((COS(RADIANS(AE72))*SIN(RADIANS(oDeclination))-SIN(RADIANS(AE72))*COS(RADIANS(oDeclination))*COS(RADIANS(oLongitude-AF72))),(SIN(RADIANS(oLongitude-AF72))*COS(RADIANS(oDeclination))))),0))+360,360),"")</f>
        <v>#DIV/0!</v>
      </c>
      <c r="AU72" s="64" t="e">
        <f t="shared" ref="AU72:AU135" si="145">IF(AND(OffWorldSelected,AD72),ROUND(AS72*COS(RADIANS(ABS(AR72))),0),"")</f>
        <v>#DIV/0!</v>
      </c>
      <c r="AV72" s="65" t="e">
        <f t="shared" ref="AV72:AV135" si="146">IF(AND(OffWorldSelected,AD72),IF(AR72&gt;AQ72-AJ72,(AR72-AQ72-AJ72)/RotationRateAngular/1440,(AR72-AQ72-AJ72+360)/RotationRateAngular/1440)+TimeLocal,"")</f>
        <v>#DIV/0!</v>
      </c>
      <c r="AW72" s="65" t="e">
        <f t="shared" ref="AW72:AW135" si="147">IF(AND(OffWorldSelected,AD72),IF(AR72&gt;-(AQ72-AK72),(AR72+AQ72+AK72)/RotationRateAngular/1440,(AR72+AQ72+AK72+360)/RotationRateAngular/1440)+TimeLocal,"")</f>
        <v>#DIV/0!</v>
      </c>
      <c r="AX72" s="1" t="e">
        <f t="shared" ref="AX72:AX135" si="148">IF(AND(NavTargetSelected,AD72),MOD((ROUND(DEGREES(ATAN2((COS(RADIANS(AE72))*SIN(RADIANS(tLatitude))-SIN(RADIANS(AE72))*COS(RADIANS(tLatitude))*COS(RADIANS(tLongitude-AF72))),(SIN(RADIANS(tLongitude-AF72))*COS(RADIANS(tLatitude))))),0))+360,360),"")</f>
        <v>#DIV/0!</v>
      </c>
      <c r="AY72" s="1" t="e">
        <f t="shared" ref="AY72:AY135" si="149">IF(AND(NavTargetSelected,AD72),ROUND(DEGREES(ACOS(((SQRT(K72^2+L72^2+M72^2))^2+AZ72^2-(SQRT(btx^2+bty^2+btz^2))^2)/(2*SQRT(K72^2+L72^2+M72^2)*AZ72)))-90,0),"")</f>
        <v>#DIV/0!</v>
      </c>
      <c r="AZ72" s="131">
        <f t="shared" ref="AZ72:AZ135" si="150">IF(AND(NavTargetSelected,AD72),ROUND(SQRT((K72-btx)^2+(L72-bty)^2+(M72-btz)^2),1),"")</f>
        <v>1001.4</v>
      </c>
      <c r="BA72" s="1" t="e">
        <f t="shared" ref="BA72:BA135" si="151">IF(AND(NavTargetSelected,AD72),ROUND((ACOS(SIN(RADIANS(AE72))*SIN(RADIANS(tLatitude))+COS(RADIANS(AE72))*COS(RADIANS(tLatitude))*COS(RADIANS(tLongitude-AF72)))*br),1),"")</f>
        <v>#DIV/0!</v>
      </c>
      <c r="BB72" s="1">
        <f t="shared" si="49"/>
        <v>42369617.4235177</v>
      </c>
      <c r="BC72" s="1" t="e">
        <f t="shared" si="50"/>
        <v>#DIV/0!</v>
      </c>
      <c r="BD72" s="1">
        <f t="shared" ref="BD72:BD135" si="152">IF(AND(OffWorldSelected,AD72),SQRT((K72-$AX$4)^2+(L72-$AY$4)^2+(M72-$AZ$4)^2),"")</f>
        <v>57480849.9111489</v>
      </c>
      <c r="BE72" s="1" t="e">
        <f t="shared" ref="BE72:BE135" si="153">IF(AND(OffWorldSelected,AD72),ROUND(DEGREES(ACOS(((SQRT(K72^2+L72^2+M72^2))^2+BD72^2-(SQRT($AX$4^2+$AY$4^2+$AZ$4^2))^2)/(2*SQRT(K72^2+L72^2+M72^2)*BD72)))-90,0),"")</f>
        <v>#DIV/0!</v>
      </c>
      <c r="BF72" s="1" t="e">
        <f t="shared" si="53"/>
        <v>#DIV/0!</v>
      </c>
      <c r="BG72" s="1" t="e">
        <f t="shared" ref="BG72:BG135" si="154">IF(AD72,-(AH72+br)*COS(RADIANS(AE72))*SIN(RADIANS(BF72)),"")</f>
        <v>#DIV/0!</v>
      </c>
      <c r="BH72" s="1" t="e">
        <f t="shared" ref="BH72:BH135" si="155">IF(AD72,(AH72+br)*COS(RADIANS(AE72))*COS(RADIANS(BF72)),"")</f>
        <v>#DIV/0!</v>
      </c>
      <c r="BI72" s="1" t="e">
        <f t="shared" ref="BI72:BI135" si="156">IF(AD72,(AH72+br)*SIN(RADIANS(AE72)),"")</f>
        <v>#DIV/0!</v>
      </c>
      <c r="BJ72" s="1" t="e">
        <f t="shared" ref="BJ72:BJ135" si="157">IF(AD72,((1-(2*qy^2)-(2*qz^2))*(BG72))+(((2*qx*qy)-(2*qz*qw))*(BH72))+(((2*qx*qz)+(2*qy*qw))*(BI72)),"")</f>
        <v>#DIV/0!</v>
      </c>
      <c r="BK72" s="1" t="e">
        <f t="shared" ref="BK72:BK135" si="158">IF(AD72,(((2*qx*qy)+(2*qz*qw))*(BG72))+((1-(2*qx^2)-(2*qz^2))*(BH72))+(((2*qy*qz)-(2*qx*qw))*(BI72)),"")</f>
        <v>#DIV/0!</v>
      </c>
      <c r="BL72" s="1" t="e">
        <f t="shared" ref="BL72:BL135" si="159">IF(AD72,(((2*qx*qz)-(2*qy*qw))*(BG72))+(((2*qy*qz)+(2*qx*qw))*(BH72))+((1-(2*qx^2)-(2*qy^2))*(BI72)),"")</f>
        <v>#DIV/0!</v>
      </c>
      <c r="BM72" s="1" t="e">
        <f t="shared" ref="BM72:BM135" si="160">IF(AD72,BJ72+bx,"")</f>
        <v>#DIV/0!</v>
      </c>
      <c r="BN72" s="1" t="e">
        <f t="shared" ref="BN72:BN135" si="161">IF(AD72,BK72+by,"")</f>
        <v>#DIV/0!</v>
      </c>
      <c r="BO72" s="1" t="e">
        <f t="shared" ref="BO72:BO135" si="162">IF(AD72,BL72+bz,"")</f>
        <v>#DIV/0!</v>
      </c>
      <c r="BQ72" s="1" t="e">
        <f t="shared" si="63"/>
        <v>#DIV/0!</v>
      </c>
      <c r="BR72" s="1" t="e">
        <f t="shared" si="64"/>
        <v>#DIV/0!</v>
      </c>
      <c r="BS72" s="1" t="e">
        <f t="shared" si="65"/>
        <v>#DIV/0!</v>
      </c>
      <c r="BT72" s="1" t="e">
        <f t="shared" si="66"/>
        <v>#DIV/0!</v>
      </c>
      <c r="BU72" s="1" t="e">
        <f t="shared" si="67"/>
        <v>#DIV/0!</v>
      </c>
      <c r="BV72" s="1" t="e">
        <f t="shared" si="68"/>
        <v>#DIV/0!</v>
      </c>
      <c r="BW72" s="1" t="e">
        <f t="shared" si="69"/>
        <v>#DIV/0!</v>
      </c>
      <c r="BX72" s="1" t="e">
        <f t="shared" si="70"/>
        <v>#DIV/0!</v>
      </c>
      <c r="BY72" s="1" t="e">
        <f t="shared" ref="BY72:BY135" si="163">IF(AD72,IF(NOT(BT72),br*$BW$1*ATANH(COS(RADIANS(AE72))*SIN(RADIANS(AF72)-RADIANS(BX72)))*1000,br*(2*$BY$1/(1+SIN(RADIANS(BW72))*SIN(RADIANS(AE72))+COS(RADIANS(BW72))*COS(RADIANS(AE72))*COS(RADIANS(AF72)-RADIANS(BX72))))*COS(RADIANS(AE72))*SIN(RADIANS(AF72)-RADIANS(BX72))*1000),"")</f>
        <v>#DIV/0!</v>
      </c>
      <c r="BZ72" s="1" t="e">
        <f t="shared" si="72"/>
        <v>#DIV/0!</v>
      </c>
      <c r="CA72" s="1" t="e">
        <f t="shared" si="73"/>
        <v>#DIV/0!</v>
      </c>
      <c r="CB72" s="1" t="e">
        <f t="shared" si="74"/>
        <v>#DIV/0!</v>
      </c>
      <c r="CC72" s="1" t="e">
        <f t="shared" si="75"/>
        <v>#DIV/0!</v>
      </c>
      <c r="CD72" s="1" t="e">
        <f t="shared" ref="CD72:CD135" si="164">IF(AD72,IF(NOT(BT72),br*$BW$1*ATAN(TAN(RADIANS(AE72))/COS(RADIANS(AF72)-RADIANS(BX72)))*1000,br*(2*$BY$1/(1+SIN(RADIANS(BW72))*SIN(RADIANS(AE72))+COS(RADIANS(BW72))*COS(RADIANS(AE72))*COS(RADIANS(AF72)-RADIANS(BX72))))*(COS(RADIANS(BW72))*SIN(RADIANS(AE72))-SIN(RADIANS(BW72))*COS(RADIANS(AE72))*COS(RADIANS(AF72)-RADIANS(BX72)))*1000),"")</f>
        <v>#DIV/0!</v>
      </c>
      <c r="CE72" s="1" t="e">
        <f t="shared" si="77"/>
        <v>#DIV/0!</v>
      </c>
      <c r="CF72" s="1" t="e">
        <f t="shared" si="78"/>
        <v>#DIV/0!</v>
      </c>
      <c r="CG72" s="1" t="e">
        <f t="shared" si="79"/>
        <v>#DIV/0!</v>
      </c>
      <c r="CH72" s="1" t="e">
        <f t="shared" si="80"/>
        <v>#DIV/0!</v>
      </c>
      <c r="CJ72" s="1" t="e">
        <f t="shared" si="81"/>
        <v>#DIV/0!</v>
      </c>
      <c r="CK72" s="1" t="e">
        <f t="shared" si="82"/>
        <v>#DIV/0!</v>
      </c>
      <c r="CL72" s="1" t="e">
        <f t="shared" si="83"/>
        <v>#DIV/0!</v>
      </c>
      <c r="CM72" s="1" t="e">
        <f t="shared" si="84"/>
        <v>#DIV/0!</v>
      </c>
      <c r="CN72" s="1" t="e">
        <f t="shared" si="85"/>
        <v>#DIV/0!</v>
      </c>
      <c r="CO72" s="1" t="e">
        <f t="shared" si="86"/>
        <v>#DIV/0!</v>
      </c>
      <c r="CP72" s="1" t="e">
        <f t="shared" si="87"/>
        <v>#DIV/0!</v>
      </c>
      <c r="CR72" s="1" t="e">
        <f t="shared" si="88"/>
        <v>#VALUE!</v>
      </c>
      <c r="CS72" s="1" t="e">
        <f t="shared" si="89"/>
        <v>#VALUE!</v>
      </c>
      <c r="CT72" s="1" t="str">
        <f t="shared" si="90"/>
        <v/>
      </c>
      <c r="CU72" s="1" t="str">
        <f t="shared" si="91"/>
        <v/>
      </c>
      <c r="CV72" s="1" t="e">
        <f t="shared" si="92"/>
        <v>#VALUE!</v>
      </c>
      <c r="DC72" s="154">
        <f t="shared" si="93"/>
        <v>0</v>
      </c>
      <c r="DD72" s="154">
        <f t="shared" si="94"/>
        <v>0</v>
      </c>
      <c r="DE72" s="154">
        <f t="shared" si="95"/>
        <v>0</v>
      </c>
      <c r="DF72" s="1" t="e">
        <f t="shared" si="96"/>
        <v>#DIV/0!</v>
      </c>
      <c r="DG72" s="1" t="e">
        <f t="shared" si="97"/>
        <v>#DIV/0!</v>
      </c>
      <c r="DH72" s="1" t="e">
        <f t="shared" si="98"/>
        <v>#DIV/0!</v>
      </c>
      <c r="DI72" s="1" t="e">
        <f t="shared" ref="DI72:DI135" si="165">IF(AND(OffWorldSelected,AD72),MOD((ROUND(DEGREES(ATAN2((COS(RADIANS(DF72))*SIN(RADIANS($DF$4))-SIN(RADIANS(DF72))*COS(RADIANS($DF$4))*COS(RADIANS($DG$4-DG72))),(SIN(RADIANS($DG$4-DG72))*COS(RADIANS($DF$4))))),0))+360,360),"")</f>
        <v>#DIV/0!</v>
      </c>
      <c r="DJ72" s="1" t="e">
        <f t="shared" ref="DJ72:DJ135" si="166">IF(AND(NavTargetSelected,AD72),MOD((ROUND(DEGREES(ATAN2((COS(RADIANS(DF72))*SIN(RADIANS($DF$5))-SIN(RADIANS(DF72))*COS(RADIANS($DF$5))*COS(RADIANS($DG$5-DG72))),(SIN(RADIANS($DG$5-DG72))*COS(RADIANS($DF$5))))),0))+360,360),"")</f>
        <v>#DIV/0!</v>
      </c>
      <c r="DK72" s="1" t="e">
        <f t="shared" si="101"/>
        <v>#DIV/0!</v>
      </c>
      <c r="DL72" s="1" t="e">
        <f t="shared" si="102"/>
        <v>#DIV/0!</v>
      </c>
      <c r="DM72" s="1" t="e">
        <f t="shared" si="103"/>
        <v>#DIV/0!</v>
      </c>
    </row>
    <row r="73" customHeight="1" spans="1:117">
      <c r="A73" s="152" t="str">
        <f t="shared" si="113"/>
        <v>Rock Cave 22W</v>
      </c>
      <c r="C73" s="55" t="str">
        <f t="shared" si="5"/>
        <v>N 70° 32.6' / W 051° 11.2'</v>
      </c>
      <c r="D73" s="150" t="str">
        <f t="shared" si="6"/>
        <v>1985 m</v>
      </c>
      <c r="E73" s="151">
        <f t="shared" si="117"/>
        <v>596.9</v>
      </c>
      <c r="F73" s="151">
        <f t="shared" si="118"/>
        <v>2407.6</v>
      </c>
      <c r="G73" s="151">
        <f t="shared" si="119"/>
        <v>1955.8</v>
      </c>
      <c r="H73" s="151">
        <f t="shared" si="120"/>
        <v>1525.7</v>
      </c>
      <c r="I73" s="151">
        <f t="shared" si="121"/>
        <v>1572.9</v>
      </c>
      <c r="J73" s="171">
        <f t="shared" si="122"/>
        <v>1918</v>
      </c>
      <c r="K73" s="172">
        <f t="shared" si="114"/>
        <v>209.18863974215</v>
      </c>
      <c r="L73" s="172">
        <f t="shared" si="115"/>
        <v>-260.050155152496</v>
      </c>
      <c r="M73" s="173">
        <f t="shared" si="116"/>
        <v>944.768433512743</v>
      </c>
      <c r="N73" s="54">
        <f t="shared" si="123"/>
        <v>0.100938533544903</v>
      </c>
      <c r="O73" s="55" t="str">
        <f t="shared" si="124"/>
        <v>Night / Rises in 81m</v>
      </c>
      <c r="P73" s="55" t="str">
        <f t="shared" si="15"/>
        <v>276°M / -10°</v>
      </c>
      <c r="Q73" s="56">
        <f t="shared" si="125"/>
        <v>45683.761786013</v>
      </c>
      <c r="R73" s="56">
        <f t="shared" si="126"/>
        <v>45683.7675082351</v>
      </c>
      <c r="S73" s="56">
        <f t="shared" si="127"/>
        <v>45683.8179775019</v>
      </c>
      <c r="T73" s="56">
        <f t="shared" si="128"/>
        <v>45683.8684467687</v>
      </c>
      <c r="U73" s="180">
        <f t="shared" si="129"/>
        <v>45683.8741689908</v>
      </c>
      <c r="V73" s="55" t="str">
        <f t="shared" si="130"/>
        <v>Obstructed / Rises in 79m</v>
      </c>
      <c r="W73" s="55" t="str">
        <f t="shared" si="131"/>
        <v>289°M / -17°</v>
      </c>
      <c r="X73" s="56">
        <f t="shared" si="132"/>
        <v>45683.7665538301</v>
      </c>
      <c r="Y73" s="180">
        <f t="shared" si="133"/>
        <v>45683.8558341055</v>
      </c>
      <c r="Z73" s="55" t="str">
        <f t="shared" si="134"/>
        <v>351°M / -49°</v>
      </c>
      <c r="AA73" s="151">
        <f t="shared" si="135"/>
        <v>1512.9</v>
      </c>
      <c r="AB73" s="150">
        <f t="shared" si="136"/>
        <v>1711.9</v>
      </c>
      <c r="AC73" s="188">
        <v>64</v>
      </c>
      <c r="AD73" s="1" t="b">
        <f t="shared" si="28"/>
        <v>1</v>
      </c>
      <c r="AE73" s="1">
        <f t="shared" si="29"/>
        <v>70.5439133045196</v>
      </c>
      <c r="AF73" s="1">
        <f t="shared" si="30"/>
        <v>-51.1862264322159</v>
      </c>
      <c r="AG73" s="1">
        <f t="shared" si="31"/>
        <v>308.813773567784</v>
      </c>
      <c r="AH73" s="2">
        <f t="shared" si="137"/>
        <v>1.98471203613212</v>
      </c>
      <c r="AI73" s="1">
        <f t="shared" si="33"/>
        <v>3.606845563203</v>
      </c>
      <c r="AJ73" s="191">
        <f t="shared" si="111"/>
        <v>0</v>
      </c>
      <c r="AK73" s="191">
        <f t="shared" si="112"/>
        <v>0</v>
      </c>
      <c r="AL73" s="191">
        <f t="shared" si="138"/>
        <v>105.838464926657</v>
      </c>
      <c r="AM73" s="20">
        <f t="shared" si="139"/>
        <v>-136.814165352882</v>
      </c>
      <c r="AN73" s="191">
        <f t="shared" si="140"/>
        <v>23.4111813394407</v>
      </c>
      <c r="AO73" s="134">
        <f t="shared" si="141"/>
        <v>316</v>
      </c>
      <c r="AP73" s="64">
        <f t="shared" si="38"/>
        <v>-17</v>
      </c>
      <c r="AQ73" s="1">
        <f t="shared" ref="AQ73:AQ136" si="167">IF(AND(OffWorldSelected,AD73),DEGREES(ACOS(-TAN(RADIANS(AE73))*TAN(RADIANS(oDeclination))))+oar+AI73,"")</f>
        <v>93.6142715865166</v>
      </c>
      <c r="AR73" s="20">
        <f t="shared" si="142"/>
        <v>-151.039829441657</v>
      </c>
      <c r="AS73" s="1">
        <f t="shared" si="143"/>
        <v>19.4551449634284</v>
      </c>
      <c r="AT73" s="134">
        <f t="shared" si="144"/>
        <v>330</v>
      </c>
      <c r="AU73" s="64">
        <f t="shared" si="145"/>
        <v>-17</v>
      </c>
      <c r="AV73" s="65">
        <f t="shared" si="146"/>
        <v>45683.7665538301</v>
      </c>
      <c r="AW73" s="65">
        <f t="shared" si="147"/>
        <v>45683.8558341055</v>
      </c>
      <c r="AX73" s="1">
        <f t="shared" si="148"/>
        <v>31</v>
      </c>
      <c r="AY73" s="1">
        <f t="shared" si="149"/>
        <v>-49</v>
      </c>
      <c r="AZ73" s="131">
        <f t="shared" si="150"/>
        <v>1512.9</v>
      </c>
      <c r="BA73" s="1">
        <f t="shared" si="151"/>
        <v>1711.9</v>
      </c>
      <c r="BB73" s="1">
        <f t="shared" si="49"/>
        <v>42369795.0159641</v>
      </c>
      <c r="BC73" s="1">
        <f t="shared" si="50"/>
        <v>-10</v>
      </c>
      <c r="BD73" s="1">
        <f t="shared" si="152"/>
        <v>57481141.9318233</v>
      </c>
      <c r="BE73" s="1">
        <f t="shared" si="153"/>
        <v>-17</v>
      </c>
      <c r="BF73" s="20">
        <f t="shared" si="53"/>
        <v>-71.2773538671084</v>
      </c>
      <c r="BG73" s="1">
        <f t="shared" si="154"/>
        <v>316.084724430975</v>
      </c>
      <c r="BH73" s="1">
        <f t="shared" si="155"/>
        <v>107.128041022893</v>
      </c>
      <c r="BI73" s="1">
        <f t="shared" si="156"/>
        <v>944.768433512743</v>
      </c>
      <c r="BJ73" s="1">
        <f t="shared" si="157"/>
        <v>316.084724430975</v>
      </c>
      <c r="BK73" s="1">
        <f t="shared" si="158"/>
        <v>107.128041022893</v>
      </c>
      <c r="BL73" s="1">
        <f t="shared" si="159"/>
        <v>944.768433512743</v>
      </c>
      <c r="BM73" s="61">
        <f t="shared" si="160"/>
        <v>22462401.337209</v>
      </c>
      <c r="BN73" s="61">
        <f t="shared" si="161"/>
        <v>37185852.0928711</v>
      </c>
      <c r="BO73" s="61">
        <f t="shared" si="162"/>
        <v>944.768433512743</v>
      </c>
      <c r="BQ73" s="1" t="str">
        <f t="shared" si="63"/>
        <v>N 70° 32.6' / W 051° 11.2'</v>
      </c>
      <c r="BR73" s="1" t="str">
        <f t="shared" si="64"/>
        <v>22W 498917 1230732</v>
      </c>
      <c r="BS73" s="1" t="str">
        <f t="shared" si="65"/>
        <v>22W DT 989307</v>
      </c>
      <c r="BT73" s="1" t="b">
        <f t="shared" si="66"/>
        <v>0</v>
      </c>
      <c r="BU73" s="1" t="str">
        <f t="shared" si="67"/>
        <v>22W</v>
      </c>
      <c r="BV73" s="1">
        <f t="shared" si="68"/>
        <v>22</v>
      </c>
      <c r="BW73" s="1">
        <f t="shared" si="69"/>
        <v>0</v>
      </c>
      <c r="BX73" s="1">
        <f t="shared" si="70"/>
        <v>-51</v>
      </c>
      <c r="BY73" s="1">
        <f t="shared" si="163"/>
        <v>-1082.17748428836</v>
      </c>
      <c r="BZ73" s="1">
        <f t="shared" si="72"/>
        <v>498917.8225</v>
      </c>
      <c r="CA73" s="1" t="str">
        <f t="shared" si="73"/>
        <v>D</v>
      </c>
      <c r="CB73" s="1" t="str">
        <f t="shared" si="74"/>
        <v>498917</v>
      </c>
      <c r="CC73" s="1" t="str">
        <f t="shared" si="75"/>
        <v>98917</v>
      </c>
      <c r="CD73" s="1">
        <f t="shared" si="164"/>
        <v>1230732.7232409</v>
      </c>
      <c r="CE73" s="1">
        <f t="shared" si="77"/>
        <v>1230732.7232</v>
      </c>
      <c r="CF73" s="1" t="str">
        <f t="shared" si="78"/>
        <v>T</v>
      </c>
      <c r="CG73" s="1" t="str">
        <f t="shared" si="79"/>
        <v>1230732</v>
      </c>
      <c r="CH73" s="1" t="str">
        <f t="shared" si="80"/>
        <v>30732</v>
      </c>
      <c r="CJ73" s="1">
        <f t="shared" si="81"/>
        <v>258</v>
      </c>
      <c r="CK73" s="1" t="str">
        <f t="shared" si="82"/>
        <v>PK</v>
      </c>
      <c r="CL73" s="1">
        <f t="shared" si="83"/>
        <v>4</v>
      </c>
      <c r="CM73" s="1">
        <f t="shared" si="84"/>
        <v>7</v>
      </c>
      <c r="CN73" s="1">
        <f t="shared" si="85"/>
        <v>0</v>
      </c>
      <c r="CO73" s="1">
        <f t="shared" si="86"/>
        <v>0</v>
      </c>
      <c r="CP73" s="1" t="str">
        <f t="shared" si="87"/>
        <v>258PK47</v>
      </c>
      <c r="CR73" s="1" t="e">
        <f t="shared" si="88"/>
        <v>#VALUE!</v>
      </c>
      <c r="CS73" s="1" t="e">
        <f t="shared" si="89"/>
        <v>#VALUE!</v>
      </c>
      <c r="CT73" s="1">
        <f t="shared" si="90"/>
        <v>4</v>
      </c>
      <c r="CU73" s="1">
        <f t="shared" si="91"/>
        <v>5</v>
      </c>
      <c r="CV73" s="131" t="e">
        <f t="shared" si="92"/>
        <v>#VALUE!</v>
      </c>
      <c r="CW73" s="131">
        <v>1525.7</v>
      </c>
      <c r="CX73" s="131">
        <v>1572.9</v>
      </c>
      <c r="CY73" s="131">
        <v>1918</v>
      </c>
      <c r="CZ73" s="131">
        <v>1955.8</v>
      </c>
      <c r="DA73" s="131">
        <v>2407.6</v>
      </c>
      <c r="DC73" s="154">
        <f t="shared" si="93"/>
        <v>-209.18863974215</v>
      </c>
      <c r="DD73" s="154">
        <f t="shared" si="94"/>
        <v>944.768433512743</v>
      </c>
      <c r="DE73" s="154">
        <f t="shared" si="95"/>
        <v>-260.050155152496</v>
      </c>
      <c r="DF73" s="1">
        <f t="shared" si="96"/>
        <v>-15.0424756200743</v>
      </c>
      <c r="DG73" s="1">
        <f t="shared" si="97"/>
        <v>102.484884477794</v>
      </c>
      <c r="DH73" s="1">
        <f t="shared" si="98"/>
        <v>276</v>
      </c>
      <c r="DI73" s="1">
        <f t="shared" si="165"/>
        <v>289</v>
      </c>
      <c r="DJ73" s="1">
        <f t="shared" si="166"/>
        <v>351</v>
      </c>
      <c r="DK73" s="1">
        <f t="shared" si="101"/>
        <v>276</v>
      </c>
      <c r="DL73" s="1">
        <f t="shared" si="102"/>
        <v>289</v>
      </c>
      <c r="DM73" s="1">
        <f t="shared" si="103"/>
        <v>351</v>
      </c>
    </row>
    <row r="74" customHeight="1" spans="1:117">
      <c r="A74" s="152" t="str">
        <f t="shared" si="113"/>
        <v>Rock Cave 27N</v>
      </c>
      <c r="C74" s="55" t="str">
        <f t="shared" si="5"/>
        <v>N 02° 20.2' / W 023° 53.2'</v>
      </c>
      <c r="D74" s="150" t="str">
        <f t="shared" si="6"/>
        <v>1509 m</v>
      </c>
      <c r="E74" s="151">
        <f t="shared" si="117"/>
        <v>1719.9</v>
      </c>
      <c r="F74" s="151">
        <f t="shared" si="118"/>
        <v>1786.9</v>
      </c>
      <c r="G74" s="151">
        <f t="shared" si="119"/>
        <v>2059.6</v>
      </c>
      <c r="H74" s="151">
        <f t="shared" si="120"/>
        <v>1381.6</v>
      </c>
      <c r="I74" s="151">
        <f t="shared" si="121"/>
        <v>664.1</v>
      </c>
      <c r="J74" s="171">
        <f t="shared" si="122"/>
        <v>2389.5</v>
      </c>
      <c r="K74" s="172">
        <f t="shared" si="114"/>
        <v>914.966506301299</v>
      </c>
      <c r="L74" s="172">
        <f t="shared" si="115"/>
        <v>-405.202815290598</v>
      </c>
      <c r="M74" s="173">
        <f t="shared" si="116"/>
        <v>40.824910437408</v>
      </c>
      <c r="N74" s="54">
        <f t="shared" si="123"/>
        <v>0.0898848948091174</v>
      </c>
      <c r="O74" s="55" t="str">
        <f t="shared" si="124"/>
        <v>Night / Rises in 70m</v>
      </c>
      <c r="P74" s="55" t="str">
        <f t="shared" si="15"/>
        <v>203°M / -73°</v>
      </c>
      <c r="Q74" s="56">
        <f t="shared" si="125"/>
        <v>45683.7542949915</v>
      </c>
      <c r="R74" s="56">
        <f t="shared" si="126"/>
        <v>45683.7600172136</v>
      </c>
      <c r="S74" s="56">
        <f t="shared" si="127"/>
        <v>45683.804959661</v>
      </c>
      <c r="T74" s="56">
        <f t="shared" si="128"/>
        <v>45683.8499021084</v>
      </c>
      <c r="U74" s="180">
        <f t="shared" si="129"/>
        <v>45683.8556243305</v>
      </c>
      <c r="V74" s="55" t="str">
        <f t="shared" si="130"/>
        <v>Obstructed / Rises in 61m</v>
      </c>
      <c r="W74" s="55" t="str">
        <f t="shared" si="131"/>
        <v>236°M / -87°</v>
      </c>
      <c r="X74" s="56">
        <f t="shared" si="132"/>
        <v>45683.7537560572</v>
      </c>
      <c r="Y74" s="180">
        <f t="shared" si="133"/>
        <v>45683.8425961967</v>
      </c>
      <c r="Z74" s="55" t="str">
        <f t="shared" si="134"/>
        <v>350°M / -60°</v>
      </c>
      <c r="AA74" s="151">
        <f t="shared" si="135"/>
        <v>1738.4</v>
      </c>
      <c r="AB74" s="150">
        <f t="shared" si="136"/>
        <v>2102.2</v>
      </c>
      <c r="AC74" s="188">
        <v>65</v>
      </c>
      <c r="AD74" s="1" t="b">
        <f t="shared" si="28"/>
        <v>1</v>
      </c>
      <c r="AE74" s="1">
        <f t="shared" si="29"/>
        <v>2.33621866321748</v>
      </c>
      <c r="AF74" s="1">
        <f t="shared" si="30"/>
        <v>-23.8866759584487</v>
      </c>
      <c r="AG74" s="1">
        <f t="shared" si="31"/>
        <v>336.113324041551</v>
      </c>
      <c r="AH74" s="2">
        <f t="shared" si="137"/>
        <v>1.50871313476534</v>
      </c>
      <c r="AI74" s="1">
        <f t="shared" si="33"/>
        <v>3.14534388804774</v>
      </c>
      <c r="AJ74" s="191">
        <f t="shared" ref="AJ74:AJ105" si="168">IF(ListMethodCode,_xlfn.IFNA(VLOOKUP(CONCATENATE(BodyName," ",IF(AC74&lt;10,"0",""),AC74),DatabaseOutpost,13,FALSE),""),_xlfn.IFNA(VLOOKUP(CONCATENATE(BodyName," ",IF(AC74&lt;10,"0",""),AC74),DatabaseTime,12,FALSE),""))</f>
        <v>0</v>
      </c>
      <c r="AK74" s="191">
        <f t="shared" ref="AK74:AK105" si="169">IF(ListMethodCode,_xlfn.IFNA(VLOOKUP(CONCATENATE(BodyName," ",IF(AC74&lt;10,"0",""),AC74),DatabaseOutpost,14,FALSE),""),_xlfn.IFNA(VLOOKUP(CONCATENATE(BodyName," ",IF(AC74&lt;10,"0",""),AC74),DatabaseTime,13,FALSE),""))</f>
        <v>0</v>
      </c>
      <c r="AL74" s="191">
        <f t="shared" si="138"/>
        <v>94.2482415049056</v>
      </c>
      <c r="AM74" s="20">
        <f t="shared" si="139"/>
        <v>-164.113715826649</v>
      </c>
      <c r="AN74" s="191">
        <f t="shared" si="140"/>
        <v>88.3798423011204</v>
      </c>
      <c r="AO74" s="134">
        <f t="shared" si="141"/>
        <v>292</v>
      </c>
      <c r="AP74" s="64">
        <f t="shared" si="38"/>
        <v>-85</v>
      </c>
      <c r="AQ74" s="1">
        <f t="shared" si="167"/>
        <v>93.1527699113613</v>
      </c>
      <c r="AR74" s="20">
        <f t="shared" si="142"/>
        <v>-178.339379915424</v>
      </c>
      <c r="AS74" s="1">
        <f t="shared" si="143"/>
        <v>87.6637406475161</v>
      </c>
      <c r="AT74" s="134">
        <f t="shared" si="144"/>
        <v>325</v>
      </c>
      <c r="AU74" s="64">
        <f t="shared" si="145"/>
        <v>-88</v>
      </c>
      <c r="AV74" s="65">
        <f t="shared" si="146"/>
        <v>45683.7537560572</v>
      </c>
      <c r="AW74" s="65">
        <f t="shared" si="147"/>
        <v>45683.8425961967</v>
      </c>
      <c r="AX74" s="1">
        <f t="shared" si="148"/>
        <v>79</v>
      </c>
      <c r="AY74" s="1">
        <f t="shared" si="149"/>
        <v>-60</v>
      </c>
      <c r="AZ74" s="131">
        <f t="shared" si="150"/>
        <v>1738.4</v>
      </c>
      <c r="BA74" s="1">
        <f t="shared" si="151"/>
        <v>2102.2</v>
      </c>
      <c r="BB74" s="1">
        <f t="shared" si="49"/>
        <v>42370574.7714782</v>
      </c>
      <c r="BC74" s="1">
        <f t="shared" si="50"/>
        <v>-73</v>
      </c>
      <c r="BD74" s="1">
        <f t="shared" si="152"/>
        <v>57481850.1671865</v>
      </c>
      <c r="BE74" s="1">
        <f t="shared" si="153"/>
        <v>-87</v>
      </c>
      <c r="BF74" s="20">
        <f t="shared" si="53"/>
        <v>-43.9778033933411</v>
      </c>
      <c r="BG74" s="1">
        <f t="shared" si="154"/>
        <v>694.849242481937</v>
      </c>
      <c r="BH74" s="1">
        <f t="shared" si="155"/>
        <v>720.095521021281</v>
      </c>
      <c r="BI74" s="1">
        <f t="shared" si="156"/>
        <v>40.824910437408</v>
      </c>
      <c r="BJ74" s="1">
        <f t="shared" si="157"/>
        <v>694.849242481937</v>
      </c>
      <c r="BK74" s="1">
        <f t="shared" si="158"/>
        <v>720.095521021281</v>
      </c>
      <c r="BL74" s="1">
        <f t="shared" si="159"/>
        <v>40.824910437408</v>
      </c>
      <c r="BM74" s="61">
        <f t="shared" si="160"/>
        <v>22462780.1017271</v>
      </c>
      <c r="BN74" s="61">
        <f t="shared" si="161"/>
        <v>37186465.0603511</v>
      </c>
      <c r="BO74" s="61">
        <f t="shared" si="162"/>
        <v>40.824910437408</v>
      </c>
      <c r="BQ74" s="1" t="str">
        <f t="shared" si="63"/>
        <v>N 02° 20.2' / W 023° 53.2'</v>
      </c>
      <c r="BR74" s="1" t="str">
        <f t="shared" si="64"/>
        <v>27N 449658 040810</v>
      </c>
      <c r="BS74" s="1" t="str">
        <f t="shared" si="65"/>
        <v>27N VA 496408</v>
      </c>
      <c r="BT74" s="1" t="b">
        <f t="shared" si="66"/>
        <v>0</v>
      </c>
      <c r="BU74" s="1" t="str">
        <f t="shared" si="67"/>
        <v>27N</v>
      </c>
      <c r="BV74" s="1">
        <f t="shared" si="68"/>
        <v>27</v>
      </c>
      <c r="BW74" s="1">
        <f t="shared" si="69"/>
        <v>0</v>
      </c>
      <c r="BX74" s="1">
        <f t="shared" si="70"/>
        <v>-21</v>
      </c>
      <c r="BY74" s="1">
        <f t="shared" si="163"/>
        <v>-50341.2185959755</v>
      </c>
      <c r="BZ74" s="1">
        <f t="shared" si="72"/>
        <v>449658.7814</v>
      </c>
      <c r="CA74" s="1" t="str">
        <f t="shared" si="73"/>
        <v>V</v>
      </c>
      <c r="CB74" s="1" t="str">
        <f t="shared" si="74"/>
        <v>449658</v>
      </c>
      <c r="CC74" s="1" t="str">
        <f t="shared" si="75"/>
        <v>49658</v>
      </c>
      <c r="CD74" s="1">
        <f t="shared" si="164"/>
        <v>40810.1245738181</v>
      </c>
      <c r="CE74" s="1">
        <f t="shared" si="77"/>
        <v>40810.1246</v>
      </c>
      <c r="CF74" s="1" t="str">
        <f t="shared" si="78"/>
        <v>A</v>
      </c>
      <c r="CG74" s="1" t="str">
        <f t="shared" si="79"/>
        <v>040810</v>
      </c>
      <c r="CH74" s="1" t="str">
        <f t="shared" si="80"/>
        <v>40810</v>
      </c>
      <c r="CJ74" s="1">
        <f t="shared" si="81"/>
        <v>313</v>
      </c>
      <c r="CK74" s="1" t="str">
        <f t="shared" si="82"/>
        <v>HS</v>
      </c>
      <c r="CL74" s="1">
        <f t="shared" si="83"/>
        <v>1</v>
      </c>
      <c r="CM74" s="1">
        <f t="shared" si="84"/>
        <v>5</v>
      </c>
      <c r="CN74" s="1">
        <f t="shared" si="85"/>
        <v>1</v>
      </c>
      <c r="CO74" s="1">
        <f t="shared" si="86"/>
        <v>1</v>
      </c>
      <c r="CP74" s="1" t="str">
        <f t="shared" si="87"/>
        <v>313HS15</v>
      </c>
      <c r="CR74" s="1" t="e">
        <f t="shared" si="88"/>
        <v>#VALUE!</v>
      </c>
      <c r="CS74" s="1" t="e">
        <f t="shared" si="89"/>
        <v>#VALUE!</v>
      </c>
      <c r="CT74" s="1">
        <f t="shared" si="90"/>
        <v>4</v>
      </c>
      <c r="CU74" s="1">
        <f t="shared" si="91"/>
        <v>1</v>
      </c>
      <c r="CV74" s="131" t="e">
        <f t="shared" si="92"/>
        <v>#VALUE!</v>
      </c>
      <c r="CW74" s="131">
        <v>1381.6</v>
      </c>
      <c r="CX74" s="131">
        <v>1719.9</v>
      </c>
      <c r="CY74" s="131">
        <v>1786.9</v>
      </c>
      <c r="CZ74" s="131">
        <v>2059.6</v>
      </c>
      <c r="DA74" s="131">
        <v>2389.5</v>
      </c>
      <c r="DC74" s="154">
        <f t="shared" si="93"/>
        <v>-914.966506301299</v>
      </c>
      <c r="DD74" s="154">
        <f t="shared" si="94"/>
        <v>40.824910437408</v>
      </c>
      <c r="DE74" s="154">
        <f t="shared" si="95"/>
        <v>-405.202815290598</v>
      </c>
      <c r="DF74" s="1">
        <f t="shared" si="96"/>
        <v>-23.8655874408582</v>
      </c>
      <c r="DG74" s="1">
        <f t="shared" si="97"/>
        <v>177.445212874428</v>
      </c>
      <c r="DH74" s="1">
        <f t="shared" si="98"/>
        <v>203</v>
      </c>
      <c r="DI74" s="1">
        <f t="shared" si="165"/>
        <v>236</v>
      </c>
      <c r="DJ74" s="1">
        <f t="shared" si="166"/>
        <v>350</v>
      </c>
      <c r="DK74" s="1">
        <f t="shared" si="101"/>
        <v>203</v>
      </c>
      <c r="DL74" s="1">
        <f t="shared" si="102"/>
        <v>236</v>
      </c>
      <c r="DM74" s="1">
        <f t="shared" si="103"/>
        <v>350</v>
      </c>
    </row>
    <row r="75" customHeight="1" spans="1:117">
      <c r="A75" s="152" t="str">
        <f t="shared" ref="A75:A106" si="170">IF(ListMethodCode,_xlfn.IFNA(VLOOKUP(CONCATENATE(BodyName," ",IF(AC75&lt;10,"0",""),AC75),DatabaseOutpost,3,FALSE),""),_xlfn.IFNA(VLOOKUP(CONCATENATE(BodyName," ",IF(AC75&lt;10,"0",""),AC75),DatabaseTime,2,FALSE),""))</f>
        <v>Rock Cave 30Q</v>
      </c>
      <c r="C75" s="55" t="str">
        <f t="shared" si="5"/>
        <v>N 20° 03.5' / W 001° 26.9'</v>
      </c>
      <c r="D75" s="150" t="str">
        <f t="shared" si="6"/>
        <v>2023 m</v>
      </c>
      <c r="E75" s="151">
        <f t="shared" si="117"/>
        <v>1444.6</v>
      </c>
      <c r="F75" s="151">
        <f t="shared" si="118"/>
        <v>2016.4</v>
      </c>
      <c r="G75" s="151">
        <f t="shared" si="119"/>
        <v>1773.4</v>
      </c>
      <c r="H75" s="151">
        <f t="shared" si="120"/>
        <v>1734.4</v>
      </c>
      <c r="I75" s="151">
        <f t="shared" si="121"/>
        <v>606.1</v>
      </c>
      <c r="J75" s="171">
        <f t="shared" si="122"/>
        <v>2405.3</v>
      </c>
      <c r="K75" s="172">
        <f t="shared" ref="K75:K106" si="171">IF(ListMethodCode,_xlfn.IFNA(VLOOKUP(CONCATENATE(BodyName," ",IF(AC75&lt;10,"0",""),AC75),DatabaseOutpost,5,FALSE),""),_xlfn.IFNA(VLOOKUP(CONCATENATE(BodyName," ",IF(AC75&lt;10,"0",""),AC75),DatabaseTime,4,FALSE),""))</f>
        <v>940.940022176765</v>
      </c>
      <c r="L75" s="172">
        <f t="shared" ref="L75:L106" si="172">IF(ListMethodCode,_xlfn.IFNA(VLOOKUP(CONCATENATE(BodyName," ",IF(AC75&lt;10,"0",""),AC75),DatabaseOutpost,6,FALSE),""),_xlfn.IFNA(VLOOKUP(CONCATENATE(BodyName," ",IF(AC75&lt;10,"0",""),AC75),DatabaseTime,5,FALSE),""))</f>
        <v>-23.790363417196</v>
      </c>
      <c r="M75" s="173">
        <f t="shared" ref="M75:M106" si="173">IF(ListMethodCode,_xlfn.IFNA(VLOOKUP(CONCATENATE(BodyName," ",IF(AC75&lt;10,"0",""),AC75),DatabaseOutpost,7,FALSE),""),_xlfn.IFNA(VLOOKUP(CONCATENATE(BodyName," ",IF(AC75&lt;10,"0",""),AC75),DatabaseTime,6,FALSE),""))</f>
        <v>343.678614255491</v>
      </c>
      <c r="N75" s="54">
        <f t="shared" si="123"/>
        <v>0.0915834434537995</v>
      </c>
      <c r="O75" s="55" t="str">
        <f t="shared" si="124"/>
        <v>After midnight / Rises in 53m</v>
      </c>
      <c r="P75" s="55" t="str">
        <f t="shared" si="15"/>
        <v>286°M / -65°</v>
      </c>
      <c r="Q75" s="56">
        <f t="shared" si="125"/>
        <v>45683.7427459534</v>
      </c>
      <c r="R75" s="56">
        <f t="shared" si="126"/>
        <v>45683.7484681755</v>
      </c>
      <c r="S75" s="56">
        <f t="shared" si="127"/>
        <v>45683.7942598972</v>
      </c>
      <c r="T75" s="56">
        <f t="shared" si="128"/>
        <v>45683.8400516189</v>
      </c>
      <c r="U75" s="180">
        <f t="shared" si="129"/>
        <v>45683.845773841</v>
      </c>
      <c r="V75" s="55" t="str">
        <f t="shared" si="130"/>
        <v>Obstructed / Rises in 45m</v>
      </c>
      <c r="W75" s="55" t="str">
        <f t="shared" si="131"/>
        <v>318°M / -61°</v>
      </c>
      <c r="X75" s="56">
        <f t="shared" si="132"/>
        <v>45683.7428199553</v>
      </c>
      <c r="Y75" s="180">
        <f t="shared" si="133"/>
        <v>45683.8321327709</v>
      </c>
      <c r="Z75" s="55" t="str">
        <f t="shared" si="134"/>
        <v>349°M / -48°</v>
      </c>
      <c r="AA75" s="151">
        <f t="shared" si="135"/>
        <v>1480</v>
      </c>
      <c r="AB75" s="150">
        <f t="shared" si="136"/>
        <v>1662.4</v>
      </c>
      <c r="AC75" s="188">
        <v>66</v>
      </c>
      <c r="AD75" s="1" t="b">
        <f t="shared" si="28"/>
        <v>1</v>
      </c>
      <c r="AE75" s="1">
        <f t="shared" si="29"/>
        <v>20.0588366103135</v>
      </c>
      <c r="AF75" s="1">
        <f t="shared" si="30"/>
        <v>-1.4483357492245</v>
      </c>
      <c r="AG75" s="1">
        <f t="shared" si="31"/>
        <v>358.551664250776</v>
      </c>
      <c r="AH75" s="2">
        <f t="shared" si="137"/>
        <v>2.02250305175676</v>
      </c>
      <c r="AI75" s="1">
        <f t="shared" si="33"/>
        <v>3.64096548275121</v>
      </c>
      <c r="AJ75" s="191">
        <f t="shared" si="168"/>
        <v>0</v>
      </c>
      <c r="AK75" s="191">
        <f t="shared" si="169"/>
        <v>0</v>
      </c>
      <c r="AL75" s="191">
        <f t="shared" si="138"/>
        <v>96.029244010519</v>
      </c>
      <c r="AM75" s="20">
        <f t="shared" si="139"/>
        <v>173.447943964127</v>
      </c>
      <c r="AN75" s="191">
        <f t="shared" si="140"/>
        <v>73.8971256251303</v>
      </c>
      <c r="AO75" s="134">
        <f t="shared" si="141"/>
        <v>16</v>
      </c>
      <c r="AP75" s="64">
        <f t="shared" si="38"/>
        <v>-73</v>
      </c>
      <c r="AQ75" s="1">
        <f t="shared" si="167"/>
        <v>93.6483915060648</v>
      </c>
      <c r="AR75" s="20">
        <f t="shared" si="142"/>
        <v>159.222279875351</v>
      </c>
      <c r="AS75" s="1">
        <f t="shared" si="143"/>
        <v>69.940820811963</v>
      </c>
      <c r="AT75" s="134">
        <f t="shared" si="144"/>
        <v>48</v>
      </c>
      <c r="AU75" s="64">
        <f t="shared" si="145"/>
        <v>-65</v>
      </c>
      <c r="AV75" s="65">
        <f t="shared" si="146"/>
        <v>45683.7428199553</v>
      </c>
      <c r="AW75" s="65">
        <f t="shared" si="147"/>
        <v>45683.8321327709</v>
      </c>
      <c r="AX75" s="1">
        <f t="shared" si="148"/>
        <v>79</v>
      </c>
      <c r="AY75" s="1">
        <f t="shared" si="149"/>
        <v>-48</v>
      </c>
      <c r="AZ75" s="131">
        <f t="shared" si="150"/>
        <v>1480</v>
      </c>
      <c r="BA75" s="1">
        <f t="shared" si="151"/>
        <v>1662.4</v>
      </c>
      <c r="BB75" s="1">
        <f t="shared" si="49"/>
        <v>42370526.5777708</v>
      </c>
      <c r="BC75" s="1">
        <f t="shared" si="50"/>
        <v>-65</v>
      </c>
      <c r="BD75" s="1">
        <f t="shared" si="152"/>
        <v>57481729.9390512</v>
      </c>
      <c r="BE75" s="1">
        <f t="shared" si="153"/>
        <v>-61</v>
      </c>
      <c r="BF75" s="20">
        <f t="shared" si="53"/>
        <v>-21.539463184117</v>
      </c>
      <c r="BG75" s="1">
        <f t="shared" si="154"/>
        <v>345.568980951894</v>
      </c>
      <c r="BH75" s="1">
        <f t="shared" si="155"/>
        <v>875.509101111692</v>
      </c>
      <c r="BI75" s="1">
        <f t="shared" si="156"/>
        <v>343.678614255491</v>
      </c>
      <c r="BJ75" s="1">
        <f t="shared" si="157"/>
        <v>345.568980951894</v>
      </c>
      <c r="BK75" s="1">
        <f t="shared" si="158"/>
        <v>875.509101111692</v>
      </c>
      <c r="BL75" s="1">
        <f t="shared" si="159"/>
        <v>343.678614255491</v>
      </c>
      <c r="BM75" s="61">
        <f t="shared" si="160"/>
        <v>22462430.8214656</v>
      </c>
      <c r="BN75" s="61">
        <f t="shared" si="161"/>
        <v>37186620.4739312</v>
      </c>
      <c r="BO75" s="61">
        <f t="shared" si="162"/>
        <v>343.678614255491</v>
      </c>
      <c r="BQ75" s="1" t="str">
        <f t="shared" si="63"/>
        <v>N 20° 03.5' / W 001° 26.9'</v>
      </c>
      <c r="BR75" s="1" t="str">
        <f t="shared" si="64"/>
        <v>30Q 525431 350070</v>
      </c>
      <c r="BS75" s="1" t="str">
        <f t="shared" si="65"/>
        <v>30Q WJ 254500</v>
      </c>
      <c r="BT75" s="1" t="b">
        <f t="shared" si="66"/>
        <v>0</v>
      </c>
      <c r="BU75" s="1" t="str">
        <f t="shared" si="67"/>
        <v>30Q</v>
      </c>
      <c r="BV75" s="1">
        <f t="shared" si="68"/>
        <v>30</v>
      </c>
      <c r="BW75" s="1">
        <f t="shared" si="69"/>
        <v>0</v>
      </c>
      <c r="BX75" s="1">
        <f t="shared" si="70"/>
        <v>-3</v>
      </c>
      <c r="BY75" s="1">
        <f t="shared" si="163"/>
        <v>25431.1034067527</v>
      </c>
      <c r="BZ75" s="1">
        <f t="shared" si="72"/>
        <v>525431.1034</v>
      </c>
      <c r="CA75" s="1" t="str">
        <f t="shared" si="73"/>
        <v>W</v>
      </c>
      <c r="CB75" s="1" t="str">
        <f t="shared" si="74"/>
        <v>525431</v>
      </c>
      <c r="CC75" s="1" t="str">
        <f t="shared" si="75"/>
        <v>25431</v>
      </c>
      <c r="CD75" s="1">
        <f t="shared" si="164"/>
        <v>350070.835479142</v>
      </c>
      <c r="CE75" s="1">
        <f t="shared" si="77"/>
        <v>350070.8355</v>
      </c>
      <c r="CF75" s="1" t="str">
        <f t="shared" si="78"/>
        <v>J</v>
      </c>
      <c r="CG75" s="1" t="str">
        <f t="shared" si="79"/>
        <v>350070</v>
      </c>
      <c r="CH75" s="1" t="str">
        <f t="shared" si="80"/>
        <v>50070</v>
      </c>
      <c r="CJ75" s="1">
        <f t="shared" si="81"/>
        <v>358</v>
      </c>
      <c r="CK75" s="1" t="str">
        <f t="shared" si="82"/>
        <v>KE</v>
      </c>
      <c r="CL75" s="1">
        <f t="shared" si="83"/>
        <v>3</v>
      </c>
      <c r="CM75" s="1">
        <f t="shared" si="84"/>
        <v>7</v>
      </c>
      <c r="CN75" s="1">
        <f t="shared" si="85"/>
        <v>0</v>
      </c>
      <c r="CO75" s="1">
        <f t="shared" si="86"/>
        <v>0</v>
      </c>
      <c r="CP75" s="1" t="str">
        <f t="shared" si="87"/>
        <v>358KE37</v>
      </c>
      <c r="CR75" s="1" t="e">
        <f t="shared" si="88"/>
        <v>#VALUE!</v>
      </c>
      <c r="CS75" s="1" t="e">
        <f t="shared" si="89"/>
        <v>#VALUE!</v>
      </c>
      <c r="CT75" s="1">
        <f t="shared" si="90"/>
        <v>1</v>
      </c>
      <c r="CU75" s="1">
        <f t="shared" si="91"/>
        <v>4</v>
      </c>
      <c r="CV75" s="131" t="e">
        <f t="shared" si="92"/>
        <v>#VALUE!</v>
      </c>
      <c r="CW75" s="131">
        <v>1444.6</v>
      </c>
      <c r="CX75" s="131">
        <v>1734.4</v>
      </c>
      <c r="CY75" s="131">
        <v>1773.4</v>
      </c>
      <c r="CZ75" s="131">
        <v>2016.4</v>
      </c>
      <c r="DA75" s="131">
        <v>2405.3</v>
      </c>
      <c r="DC75" s="154">
        <f t="shared" si="93"/>
        <v>-940.940022176765</v>
      </c>
      <c r="DD75" s="154">
        <f t="shared" si="94"/>
        <v>343.678614255491</v>
      </c>
      <c r="DE75" s="154">
        <f t="shared" si="95"/>
        <v>-23.790363417196</v>
      </c>
      <c r="DF75" s="1">
        <f t="shared" si="96"/>
        <v>-1.36046396867245</v>
      </c>
      <c r="DG75" s="1">
        <f t="shared" si="97"/>
        <v>159.935264320938</v>
      </c>
      <c r="DH75" s="1">
        <f t="shared" si="98"/>
        <v>286</v>
      </c>
      <c r="DI75" s="1">
        <f t="shared" si="165"/>
        <v>318</v>
      </c>
      <c r="DJ75" s="1">
        <f t="shared" si="166"/>
        <v>349</v>
      </c>
      <c r="DK75" s="1">
        <f t="shared" si="101"/>
        <v>286</v>
      </c>
      <c r="DL75" s="1">
        <f t="shared" si="102"/>
        <v>318</v>
      </c>
      <c r="DM75" s="1">
        <f t="shared" si="103"/>
        <v>349</v>
      </c>
    </row>
    <row r="76" customHeight="1" spans="1:117">
      <c r="A76" s="152" t="str">
        <f t="shared" si="170"/>
        <v>Rock Cave 35S</v>
      </c>
      <c r="C76" s="55" t="str">
        <f t="shared" si="5"/>
        <v>N 39° 00.6' / E 029° 10.6'</v>
      </c>
      <c r="D76" s="150" t="str">
        <f t="shared" si="6"/>
        <v>985 m</v>
      </c>
      <c r="E76" s="151">
        <f t="shared" si="117"/>
        <v>1122.6</v>
      </c>
      <c r="F76" s="151">
        <f t="shared" si="118"/>
        <v>2211</v>
      </c>
      <c r="G76" s="151">
        <f t="shared" si="119"/>
        <v>1408.1</v>
      </c>
      <c r="H76" s="151">
        <f t="shared" si="120"/>
        <v>2041.1</v>
      </c>
      <c r="I76" s="151">
        <f t="shared" si="121"/>
        <v>1057.9</v>
      </c>
      <c r="J76" s="171">
        <f t="shared" si="122"/>
        <v>2242.7</v>
      </c>
      <c r="K76" s="172">
        <f t="shared" si="171"/>
        <v>679.115112802588</v>
      </c>
      <c r="L76" s="172">
        <f t="shared" si="172"/>
        <v>379.184993189556</v>
      </c>
      <c r="M76" s="173">
        <f t="shared" si="173"/>
        <v>630.074051183402</v>
      </c>
      <c r="N76" s="54">
        <f t="shared" si="123"/>
        <v>0.0922188879491175</v>
      </c>
      <c r="O76" s="55" t="str">
        <f t="shared" si="124"/>
        <v>After midnight / Rises in 32m</v>
      </c>
      <c r="P76" s="55" t="str">
        <f t="shared" si="15"/>
        <v>298°M / -35°</v>
      </c>
      <c r="Q76" s="56">
        <f t="shared" si="125"/>
        <v>45683.7278245426</v>
      </c>
      <c r="R76" s="56">
        <f t="shared" si="126"/>
        <v>45683.7335467647</v>
      </c>
      <c r="S76" s="56">
        <f t="shared" si="127"/>
        <v>45683.7796562087</v>
      </c>
      <c r="T76" s="56">
        <f t="shared" si="128"/>
        <v>45683.8257656526</v>
      </c>
      <c r="U76" s="180">
        <f t="shared" si="129"/>
        <v>45683.8314878747</v>
      </c>
      <c r="V76" s="55" t="str">
        <f t="shared" si="130"/>
        <v>Obstructed / Rises in 25m</v>
      </c>
      <c r="W76" s="55" t="str">
        <f t="shared" si="131"/>
        <v>314°M / -29°</v>
      </c>
      <c r="X76" s="56">
        <f t="shared" si="132"/>
        <v>45683.7287400176</v>
      </c>
      <c r="Y76" s="180">
        <f t="shared" si="133"/>
        <v>45683.8170053315</v>
      </c>
      <c r="Z76" s="55" t="str">
        <f t="shared" si="134"/>
        <v>348°M / -34°</v>
      </c>
      <c r="AA76" s="151">
        <f t="shared" si="135"/>
        <v>1115.7</v>
      </c>
      <c r="AB76" s="150">
        <f t="shared" si="136"/>
        <v>1182</v>
      </c>
      <c r="AC76" s="188">
        <v>67</v>
      </c>
      <c r="AD76" s="1" t="b">
        <f t="shared" si="28"/>
        <v>1</v>
      </c>
      <c r="AE76" s="1">
        <f t="shared" si="29"/>
        <v>39.0098323359724</v>
      </c>
      <c r="AF76" s="1">
        <f t="shared" si="30"/>
        <v>29.1768758684246</v>
      </c>
      <c r="AG76" s="1">
        <f t="shared" si="31"/>
        <v>29.1768758684246</v>
      </c>
      <c r="AH76" s="2">
        <f t="shared" si="137"/>
        <v>0.985467163085104</v>
      </c>
      <c r="AI76" s="1">
        <f t="shared" si="33"/>
        <v>2.54261414977983</v>
      </c>
      <c r="AJ76" s="191">
        <f t="shared" si="168"/>
        <v>0</v>
      </c>
      <c r="AK76" s="191">
        <f t="shared" si="169"/>
        <v>0</v>
      </c>
      <c r="AL76" s="191">
        <f t="shared" si="138"/>
        <v>96.6955353421702</v>
      </c>
      <c r="AM76" s="20">
        <f t="shared" si="139"/>
        <v>142.822732346478</v>
      </c>
      <c r="AN76" s="191">
        <f t="shared" si="140"/>
        <v>54.9457282784327</v>
      </c>
      <c r="AO76" s="134">
        <f t="shared" si="141"/>
        <v>47</v>
      </c>
      <c r="AP76" s="64">
        <f t="shared" si="38"/>
        <v>-44</v>
      </c>
      <c r="AQ76" s="1">
        <f t="shared" si="167"/>
        <v>92.5500401730934</v>
      </c>
      <c r="AR76" s="20">
        <f t="shared" si="142"/>
        <v>128.597068257702</v>
      </c>
      <c r="AS76" s="1">
        <f t="shared" si="143"/>
        <v>50.9895396099042</v>
      </c>
      <c r="AT76" s="134">
        <f t="shared" si="144"/>
        <v>63</v>
      </c>
      <c r="AU76" s="64">
        <f t="shared" si="145"/>
        <v>-32</v>
      </c>
      <c r="AV76" s="65">
        <f t="shared" si="146"/>
        <v>45683.7287400176</v>
      </c>
      <c r="AW76" s="65">
        <f t="shared" si="147"/>
        <v>45683.8170053315</v>
      </c>
      <c r="AX76" s="1">
        <f t="shared" si="148"/>
        <v>97</v>
      </c>
      <c r="AY76" s="1">
        <f t="shared" si="149"/>
        <v>-34</v>
      </c>
      <c r="AZ76" s="131">
        <f t="shared" si="150"/>
        <v>1115.7</v>
      </c>
      <c r="BA76" s="1">
        <f t="shared" si="151"/>
        <v>1182</v>
      </c>
      <c r="BB76" s="1">
        <f t="shared" si="49"/>
        <v>42370192.2122642</v>
      </c>
      <c r="BC76" s="1">
        <f t="shared" si="50"/>
        <v>-35</v>
      </c>
      <c r="BD76" s="1">
        <f t="shared" si="152"/>
        <v>57481335.1425707</v>
      </c>
      <c r="BE76" s="1">
        <f t="shared" si="153"/>
        <v>-29</v>
      </c>
      <c r="BF76" s="20">
        <f t="shared" si="53"/>
        <v>9.08574843353216</v>
      </c>
      <c r="BG76" s="1">
        <f t="shared" si="154"/>
        <v>-122.824892727109</v>
      </c>
      <c r="BH76" s="1">
        <f t="shared" si="155"/>
        <v>768.044686996538</v>
      </c>
      <c r="BI76" s="1">
        <f t="shared" si="156"/>
        <v>630.074051183402</v>
      </c>
      <c r="BJ76" s="1">
        <f t="shared" si="157"/>
        <v>-122.824892727109</v>
      </c>
      <c r="BK76" s="1">
        <f t="shared" si="158"/>
        <v>768.044686996538</v>
      </c>
      <c r="BL76" s="1">
        <f t="shared" si="159"/>
        <v>630.074051183402</v>
      </c>
      <c r="BM76" s="61">
        <f t="shared" si="160"/>
        <v>22461962.4275919</v>
      </c>
      <c r="BN76" s="61">
        <f t="shared" si="161"/>
        <v>37186513.0095171</v>
      </c>
      <c r="BO76" s="61">
        <f t="shared" si="162"/>
        <v>630.074051183402</v>
      </c>
      <c r="BQ76" s="1" t="str">
        <f t="shared" si="63"/>
        <v>N 39° 00.6' / E 029° 10.6'</v>
      </c>
      <c r="BR76" s="1" t="str">
        <f t="shared" si="64"/>
        <v>35S 529512 680930</v>
      </c>
      <c r="BS76" s="1" t="str">
        <f t="shared" si="65"/>
        <v>35S NG 295809</v>
      </c>
      <c r="BT76" s="1" t="b">
        <f t="shared" si="66"/>
        <v>0</v>
      </c>
      <c r="BU76" s="1" t="str">
        <f t="shared" si="67"/>
        <v>35S</v>
      </c>
      <c r="BV76" s="1">
        <f t="shared" si="68"/>
        <v>35</v>
      </c>
      <c r="BW76" s="1">
        <f t="shared" si="69"/>
        <v>0</v>
      </c>
      <c r="BX76" s="1">
        <f t="shared" si="70"/>
        <v>27</v>
      </c>
      <c r="BY76" s="1">
        <f t="shared" si="163"/>
        <v>29512.1726630218</v>
      </c>
      <c r="BZ76" s="1">
        <f t="shared" si="72"/>
        <v>529512.1727</v>
      </c>
      <c r="CA76" s="1" t="str">
        <f t="shared" si="73"/>
        <v>N</v>
      </c>
      <c r="CB76" s="1" t="str">
        <f t="shared" si="74"/>
        <v>529512</v>
      </c>
      <c r="CC76" s="1" t="str">
        <f t="shared" si="75"/>
        <v>29512</v>
      </c>
      <c r="CD76" s="1">
        <f t="shared" si="164"/>
        <v>680930.664084521</v>
      </c>
      <c r="CE76" s="1">
        <f t="shared" si="77"/>
        <v>680930.6641</v>
      </c>
      <c r="CF76" s="1" t="str">
        <f t="shared" si="78"/>
        <v>G</v>
      </c>
      <c r="CG76" s="1" t="str">
        <f t="shared" si="79"/>
        <v>680930</v>
      </c>
      <c r="CH76" s="1" t="str">
        <f t="shared" si="80"/>
        <v>80930</v>
      </c>
      <c r="CJ76" s="1">
        <f t="shared" si="81"/>
        <v>419</v>
      </c>
      <c r="CK76" s="1" t="str">
        <f t="shared" si="82"/>
        <v>LU</v>
      </c>
      <c r="CL76" s="1">
        <f t="shared" si="83"/>
        <v>3</v>
      </c>
      <c r="CM76" s="1">
        <f t="shared" si="84"/>
        <v>9</v>
      </c>
      <c r="CN76" s="1">
        <f t="shared" si="85"/>
        <v>2</v>
      </c>
      <c r="CO76" s="1">
        <f t="shared" si="86"/>
        <v>0</v>
      </c>
      <c r="CP76" s="1" t="str">
        <f t="shared" si="87"/>
        <v>419LU39</v>
      </c>
      <c r="CR76" s="1" t="e">
        <f t="shared" si="88"/>
        <v>#VALUE!</v>
      </c>
      <c r="CS76" s="1" t="e">
        <f t="shared" si="89"/>
        <v>#VALUE!</v>
      </c>
      <c r="CT76" s="1">
        <f t="shared" si="90"/>
        <v>1</v>
      </c>
      <c r="CU76" s="1">
        <f t="shared" si="91"/>
        <v>3</v>
      </c>
      <c r="CV76" s="131" t="e">
        <f t="shared" si="92"/>
        <v>#VALUE!</v>
      </c>
      <c r="CW76" s="131">
        <v>1122.6</v>
      </c>
      <c r="CX76" s="131">
        <v>1408.1</v>
      </c>
      <c r="CY76" s="131">
        <v>2041.1</v>
      </c>
      <c r="CZ76" s="131">
        <v>2211</v>
      </c>
      <c r="DA76" s="131">
        <v>2242.7</v>
      </c>
      <c r="DC76" s="154">
        <f t="shared" si="93"/>
        <v>-679.115112802588</v>
      </c>
      <c r="DD76" s="154">
        <f t="shared" si="94"/>
        <v>630.074051183402</v>
      </c>
      <c r="DE76" s="154">
        <f t="shared" si="95"/>
        <v>379.184993189556</v>
      </c>
      <c r="DF76" s="1">
        <f t="shared" si="96"/>
        <v>22.2600952068488</v>
      </c>
      <c r="DG76" s="1">
        <f t="shared" si="97"/>
        <v>137.145245921495</v>
      </c>
      <c r="DH76" s="1">
        <f t="shared" si="98"/>
        <v>298</v>
      </c>
      <c r="DI76" s="1">
        <f t="shared" si="165"/>
        <v>314</v>
      </c>
      <c r="DJ76" s="1">
        <f t="shared" si="166"/>
        <v>348</v>
      </c>
      <c r="DK76" s="1">
        <f t="shared" si="101"/>
        <v>298</v>
      </c>
      <c r="DL76" s="1">
        <f t="shared" si="102"/>
        <v>314</v>
      </c>
      <c r="DM76" s="1">
        <f t="shared" si="103"/>
        <v>348</v>
      </c>
    </row>
    <row r="77" customHeight="1" spans="1:117">
      <c r="A77" s="152" t="str">
        <f t="shared" si="170"/>
        <v>Rock Cave 38U</v>
      </c>
      <c r="C77" s="55" t="str">
        <f t="shared" si="5"/>
        <v>N 48° 19.3' / E 042° 02.9'</v>
      </c>
      <c r="D77" s="150" t="str">
        <f t="shared" si="6"/>
        <v>3067 m</v>
      </c>
      <c r="E77" s="151">
        <f t="shared" si="117"/>
        <v>960</v>
      </c>
      <c r="F77" s="151">
        <f t="shared" si="118"/>
        <v>2288.1</v>
      </c>
      <c r="G77" s="151">
        <f t="shared" si="119"/>
        <v>1338.8</v>
      </c>
      <c r="H77" s="151">
        <f t="shared" si="120"/>
        <v>2089.2</v>
      </c>
      <c r="I77" s="151">
        <f t="shared" si="121"/>
        <v>1285.5</v>
      </c>
      <c r="J77" s="171">
        <f t="shared" si="122"/>
        <v>2122.4</v>
      </c>
      <c r="K77" s="172">
        <f t="shared" si="171"/>
        <v>495.284955224999</v>
      </c>
      <c r="L77" s="172">
        <f t="shared" si="172"/>
        <v>446.712846874999</v>
      </c>
      <c r="M77" s="173">
        <f t="shared" si="173"/>
        <v>749.188305691999</v>
      </c>
      <c r="N77" s="54">
        <f t="shared" si="123"/>
        <v>0.0952542011027391</v>
      </c>
      <c r="O77" s="55" t="str">
        <f t="shared" si="124"/>
        <v>After midnight / Rises in 21m</v>
      </c>
      <c r="P77" s="55" t="str">
        <f t="shared" si="15"/>
        <v>292°M / -22°</v>
      </c>
      <c r="Q77" s="56">
        <f t="shared" si="125"/>
        <v>45683.7201691336</v>
      </c>
      <c r="R77" s="56">
        <f t="shared" si="126"/>
        <v>45683.7258913557</v>
      </c>
      <c r="S77" s="56">
        <f t="shared" si="127"/>
        <v>45683.7735184562</v>
      </c>
      <c r="T77" s="56">
        <f t="shared" si="128"/>
        <v>45683.8211455568</v>
      </c>
      <c r="U77" s="180">
        <f t="shared" si="129"/>
        <v>45683.8268677789</v>
      </c>
      <c r="V77" s="55" t="str">
        <f t="shared" si="130"/>
        <v>Obstructed / Rises in 15m</v>
      </c>
      <c r="W77" s="55" t="str">
        <f t="shared" si="131"/>
        <v>306°M / -17°</v>
      </c>
      <c r="X77" s="56">
        <f t="shared" si="132"/>
        <v>45683.7216777481</v>
      </c>
      <c r="Y77" s="180">
        <f t="shared" si="133"/>
        <v>45683.8117920961</v>
      </c>
      <c r="Z77" s="55" t="str">
        <f t="shared" si="134"/>
        <v>348°M / -31°</v>
      </c>
      <c r="AA77" s="151">
        <f t="shared" si="135"/>
        <v>1016.9</v>
      </c>
      <c r="AB77" s="150">
        <f t="shared" si="136"/>
        <v>1064.1</v>
      </c>
      <c r="AC77" s="188">
        <v>68</v>
      </c>
      <c r="AD77" s="1" t="b">
        <f t="shared" si="28"/>
        <v>1</v>
      </c>
      <c r="AE77" s="1">
        <f t="shared" si="29"/>
        <v>48.3223693250352</v>
      </c>
      <c r="AF77" s="1">
        <f t="shared" si="30"/>
        <v>42.0482793725356</v>
      </c>
      <c r="AG77" s="1">
        <f t="shared" si="31"/>
        <v>42.0482793725356</v>
      </c>
      <c r="AH77" s="2">
        <f t="shared" si="137"/>
        <v>3.06663378912344</v>
      </c>
      <c r="AI77" s="1">
        <f t="shared" si="33"/>
        <v>4.48140716679989</v>
      </c>
      <c r="AJ77" s="191">
        <f t="shared" si="168"/>
        <v>0</v>
      </c>
      <c r="AK77" s="191">
        <f t="shared" si="169"/>
        <v>0</v>
      </c>
      <c r="AL77" s="191">
        <f t="shared" si="138"/>
        <v>99.8781938717602</v>
      </c>
      <c r="AM77" s="20">
        <f t="shared" si="139"/>
        <v>129.951328842367</v>
      </c>
      <c r="AN77" s="191">
        <f t="shared" si="140"/>
        <v>45.6330202549796</v>
      </c>
      <c r="AO77" s="134">
        <f t="shared" si="141"/>
        <v>56</v>
      </c>
      <c r="AP77" s="64">
        <f t="shared" si="38"/>
        <v>-29</v>
      </c>
      <c r="AQ77" s="1">
        <f t="shared" si="167"/>
        <v>94.4888331901135</v>
      </c>
      <c r="AR77" s="20">
        <f t="shared" si="142"/>
        <v>115.725664753591</v>
      </c>
      <c r="AS77" s="1">
        <f t="shared" si="143"/>
        <v>41.6768838906101</v>
      </c>
      <c r="AT77" s="134">
        <f t="shared" si="144"/>
        <v>70</v>
      </c>
      <c r="AU77" s="64">
        <f t="shared" si="145"/>
        <v>-18</v>
      </c>
      <c r="AV77" s="65">
        <f t="shared" si="146"/>
        <v>45683.7216777481</v>
      </c>
      <c r="AW77" s="65">
        <f t="shared" si="147"/>
        <v>45683.8117920961</v>
      </c>
      <c r="AX77" s="1">
        <f t="shared" si="148"/>
        <v>112</v>
      </c>
      <c r="AY77" s="1">
        <f t="shared" si="149"/>
        <v>-31</v>
      </c>
      <c r="AZ77" s="131">
        <f t="shared" si="150"/>
        <v>1016.9</v>
      </c>
      <c r="BA77" s="1">
        <f t="shared" si="151"/>
        <v>1064.1</v>
      </c>
      <c r="BB77" s="1">
        <f t="shared" si="49"/>
        <v>42369993.0128466</v>
      </c>
      <c r="BC77" s="1">
        <f t="shared" si="50"/>
        <v>-22</v>
      </c>
      <c r="BD77" s="1">
        <f t="shared" si="152"/>
        <v>57481139.4293877</v>
      </c>
      <c r="BE77" s="1">
        <f t="shared" si="153"/>
        <v>-17</v>
      </c>
      <c r="BF77" s="20">
        <f t="shared" si="53"/>
        <v>21.9571519376432</v>
      </c>
      <c r="BG77" s="1">
        <f t="shared" si="154"/>
        <v>-249.391786643864</v>
      </c>
      <c r="BH77" s="1">
        <f t="shared" si="155"/>
        <v>618.597842859137</v>
      </c>
      <c r="BI77" s="1">
        <f t="shared" si="156"/>
        <v>749.188305691999</v>
      </c>
      <c r="BJ77" s="1">
        <f t="shared" si="157"/>
        <v>-249.391786643864</v>
      </c>
      <c r="BK77" s="1">
        <f t="shared" si="158"/>
        <v>618.597842859137</v>
      </c>
      <c r="BL77" s="1">
        <f t="shared" si="159"/>
        <v>749.188305691999</v>
      </c>
      <c r="BM77" s="61">
        <f t="shared" si="160"/>
        <v>22461835.860698</v>
      </c>
      <c r="BN77" s="61">
        <f t="shared" si="161"/>
        <v>37186363.562673</v>
      </c>
      <c r="BO77" s="61">
        <f t="shared" si="162"/>
        <v>749.188305691999</v>
      </c>
      <c r="BQ77" s="1" t="str">
        <f t="shared" si="63"/>
        <v>N 48° 19.3' / E 042° 02.9'</v>
      </c>
      <c r="BR77" s="1" t="str">
        <f t="shared" si="64"/>
        <v>38U 465759 843706</v>
      </c>
      <c r="BS77" s="1" t="str">
        <f t="shared" si="65"/>
        <v>38U MP 657437</v>
      </c>
      <c r="BT77" s="1" t="b">
        <f t="shared" si="66"/>
        <v>0</v>
      </c>
      <c r="BU77" s="1" t="str">
        <f t="shared" si="67"/>
        <v>38U</v>
      </c>
      <c r="BV77" s="1">
        <f t="shared" si="68"/>
        <v>38</v>
      </c>
      <c r="BW77" s="1">
        <f t="shared" si="69"/>
        <v>0</v>
      </c>
      <c r="BX77" s="1">
        <f t="shared" si="70"/>
        <v>45</v>
      </c>
      <c r="BY77" s="1">
        <f t="shared" si="163"/>
        <v>-34240.3529285208</v>
      </c>
      <c r="BZ77" s="1">
        <f t="shared" si="72"/>
        <v>465759.6471</v>
      </c>
      <c r="CA77" s="1" t="str">
        <f t="shared" si="73"/>
        <v>M</v>
      </c>
      <c r="CB77" s="1" t="str">
        <f t="shared" si="74"/>
        <v>465759</v>
      </c>
      <c r="CC77" s="1" t="str">
        <f t="shared" si="75"/>
        <v>65759</v>
      </c>
      <c r="CD77" s="1">
        <f t="shared" si="164"/>
        <v>843706.120121166</v>
      </c>
      <c r="CE77" s="1">
        <f t="shared" si="77"/>
        <v>843706.1201</v>
      </c>
      <c r="CF77" s="1" t="str">
        <f t="shared" si="78"/>
        <v>P</v>
      </c>
      <c r="CG77" s="1" t="str">
        <f t="shared" si="79"/>
        <v>843706</v>
      </c>
      <c r="CH77" s="1" t="str">
        <f t="shared" si="80"/>
        <v>43706</v>
      </c>
      <c r="CJ77" s="1">
        <f t="shared" si="81"/>
        <v>445</v>
      </c>
      <c r="CK77" s="1" t="str">
        <f t="shared" si="82"/>
        <v>MN</v>
      </c>
      <c r="CL77" s="1">
        <f t="shared" si="83"/>
        <v>1</v>
      </c>
      <c r="CM77" s="1">
        <f t="shared" si="84"/>
        <v>7</v>
      </c>
      <c r="CN77" s="1">
        <f t="shared" si="85"/>
        <v>0</v>
      </c>
      <c r="CO77" s="1">
        <f t="shared" si="86"/>
        <v>0</v>
      </c>
      <c r="CP77" s="1" t="str">
        <f t="shared" si="87"/>
        <v>445MN17</v>
      </c>
      <c r="CR77" s="1" t="e">
        <f t="shared" si="88"/>
        <v>#VALUE!</v>
      </c>
      <c r="CS77" s="1" t="e">
        <f t="shared" si="89"/>
        <v>#VALUE!</v>
      </c>
      <c r="CT77" s="1">
        <f t="shared" si="90"/>
        <v>5</v>
      </c>
      <c r="CU77" s="1">
        <f t="shared" si="91"/>
        <v>3</v>
      </c>
      <c r="CV77" s="131" t="e">
        <f t="shared" si="92"/>
        <v>#VALUE!</v>
      </c>
      <c r="CW77" s="131">
        <v>1285.5</v>
      </c>
      <c r="CX77" s="131">
        <v>1338.8</v>
      </c>
      <c r="CY77" s="131">
        <v>2089.2</v>
      </c>
      <c r="CZ77" s="131">
        <v>2122.4</v>
      </c>
      <c r="DA77" s="131">
        <v>2288.1</v>
      </c>
      <c r="DC77" s="154">
        <f t="shared" si="93"/>
        <v>-495.284955224999</v>
      </c>
      <c r="DD77" s="154">
        <f t="shared" si="94"/>
        <v>749.188305691999</v>
      </c>
      <c r="DE77" s="154">
        <f t="shared" si="95"/>
        <v>446.712846874999</v>
      </c>
      <c r="DF77" s="1">
        <f t="shared" si="96"/>
        <v>26.4455502002732</v>
      </c>
      <c r="DG77" s="1">
        <f t="shared" si="97"/>
        <v>123.468508003775</v>
      </c>
      <c r="DH77" s="1">
        <f t="shared" si="98"/>
        <v>292</v>
      </c>
      <c r="DI77" s="1">
        <f t="shared" si="165"/>
        <v>306</v>
      </c>
      <c r="DJ77" s="1">
        <f t="shared" si="166"/>
        <v>348</v>
      </c>
      <c r="DK77" s="1">
        <f t="shared" si="101"/>
        <v>292</v>
      </c>
      <c r="DL77" s="1">
        <f t="shared" si="102"/>
        <v>306</v>
      </c>
      <c r="DM77" s="1">
        <f t="shared" si="103"/>
        <v>348</v>
      </c>
    </row>
    <row r="78" customHeight="1" spans="1:117">
      <c r="A78" s="152" t="str">
        <f t="shared" si="170"/>
        <v>Rock Cave 50M</v>
      </c>
      <c r="C78" s="55" t="str">
        <f t="shared" si="5"/>
        <v>S 01° 47.0' / E 115° 20.9'</v>
      </c>
      <c r="D78" s="150" t="str">
        <f t="shared" si="6"/>
        <v>528 m</v>
      </c>
      <c r="E78" s="151">
        <f t="shared" si="117"/>
        <v>1778.5</v>
      </c>
      <c r="F78" s="151">
        <f t="shared" si="118"/>
        <v>1727.4</v>
      </c>
      <c r="G78" s="151">
        <f t="shared" si="119"/>
        <v>686.6</v>
      </c>
      <c r="H78" s="151">
        <f t="shared" si="120"/>
        <v>2382.3</v>
      </c>
      <c r="I78" s="151">
        <f t="shared" si="121"/>
        <v>2075.1</v>
      </c>
      <c r="J78" s="171">
        <f t="shared" si="122"/>
        <v>1356.8</v>
      </c>
      <c r="K78" s="172">
        <f t="shared" si="171"/>
        <v>-428.145065818594</v>
      </c>
      <c r="L78" s="172">
        <f t="shared" si="172"/>
        <v>903.758319505118</v>
      </c>
      <c r="M78" s="173">
        <f t="shared" si="173"/>
        <v>-31.123730709993</v>
      </c>
      <c r="N78" s="54">
        <f t="shared" si="123"/>
        <v>0.0883884264861193</v>
      </c>
      <c r="O78" s="55" t="str">
        <f t="shared" si="124"/>
        <v>Morning / Sets in 103m</v>
      </c>
      <c r="P78" s="55" t="str">
        <f t="shared" si="15"/>
        <v>170°M / +33°</v>
      </c>
      <c r="Q78" s="56">
        <f t="shared" si="125"/>
        <v>45683.8603152362</v>
      </c>
      <c r="R78" s="56">
        <f t="shared" si="126"/>
        <v>45683.8660374583</v>
      </c>
      <c r="S78" s="56">
        <f t="shared" si="127"/>
        <v>45683.738565009</v>
      </c>
      <c r="T78" s="56">
        <f t="shared" si="128"/>
        <v>45683.7827592223</v>
      </c>
      <c r="U78" s="180">
        <f t="shared" si="129"/>
        <v>45683.7884814444</v>
      </c>
      <c r="V78" s="55" t="str">
        <f t="shared" si="130"/>
        <v>Sets in 92m</v>
      </c>
      <c r="W78" s="55" t="str">
        <f t="shared" si="131"/>
        <v>174°M / +48°</v>
      </c>
      <c r="X78" s="56">
        <f t="shared" si="132"/>
        <v>45683.8596404029</v>
      </c>
      <c r="Y78" s="180">
        <f t="shared" si="133"/>
        <v>45683.7755892095</v>
      </c>
      <c r="Z78" s="55" t="str">
        <f t="shared" si="134"/>
        <v>027°M / -10°</v>
      </c>
      <c r="AA78" s="151">
        <f t="shared" si="135"/>
        <v>359.4</v>
      </c>
      <c r="AB78" s="150">
        <f t="shared" si="136"/>
        <v>361</v>
      </c>
      <c r="AC78" s="188">
        <v>69</v>
      </c>
      <c r="AD78" s="1" t="b">
        <f t="shared" si="28"/>
        <v>1</v>
      </c>
      <c r="AE78" s="1">
        <f t="shared" si="29"/>
        <v>-1.78260518408408</v>
      </c>
      <c r="AF78" s="1">
        <f t="shared" si="30"/>
        <v>115.348714090997</v>
      </c>
      <c r="AG78" s="1">
        <f t="shared" si="31"/>
        <v>115.348714090997</v>
      </c>
      <c r="AH78" s="2">
        <f t="shared" si="137"/>
        <v>0.527852722167495</v>
      </c>
      <c r="AI78" s="1">
        <f t="shared" si="33"/>
        <v>1.86122345526695</v>
      </c>
      <c r="AJ78" s="191">
        <f t="shared" si="168"/>
        <v>0</v>
      </c>
      <c r="AK78" s="191">
        <f t="shared" si="169"/>
        <v>0</v>
      </c>
      <c r="AL78" s="191">
        <f t="shared" si="138"/>
        <v>92.6791290504729</v>
      </c>
      <c r="AM78" s="20">
        <f t="shared" si="139"/>
        <v>56.6508941239052</v>
      </c>
      <c r="AN78" s="191">
        <f t="shared" si="140"/>
        <v>84.2609214520763</v>
      </c>
      <c r="AO78" s="134">
        <f t="shared" si="141"/>
        <v>84</v>
      </c>
      <c r="AP78" s="64">
        <f t="shared" si="38"/>
        <v>46</v>
      </c>
      <c r="AQ78" s="1">
        <f t="shared" si="167"/>
        <v>91.8686494785806</v>
      </c>
      <c r="AR78" s="20">
        <f t="shared" si="142"/>
        <v>42.4252300351296</v>
      </c>
      <c r="AS78" s="1">
        <f t="shared" si="143"/>
        <v>88.2173637920178</v>
      </c>
      <c r="AT78" s="134">
        <f t="shared" si="144"/>
        <v>88</v>
      </c>
      <c r="AU78" s="64">
        <f t="shared" si="145"/>
        <v>65</v>
      </c>
      <c r="AV78" s="65">
        <f t="shared" si="146"/>
        <v>45683.8596404029</v>
      </c>
      <c r="AW78" s="65">
        <f t="shared" si="147"/>
        <v>45683.7755892095</v>
      </c>
      <c r="AX78" s="1">
        <f t="shared" si="148"/>
        <v>300</v>
      </c>
      <c r="AY78" s="1">
        <f t="shared" si="149"/>
        <v>-10</v>
      </c>
      <c r="AZ78" s="131">
        <f t="shared" si="150"/>
        <v>359.4</v>
      </c>
      <c r="BA78" s="1">
        <f t="shared" si="151"/>
        <v>361</v>
      </c>
      <c r="BB78" s="1">
        <f t="shared" si="49"/>
        <v>42369071.126413</v>
      </c>
      <c r="BC78" s="1">
        <f t="shared" si="50"/>
        <v>33</v>
      </c>
      <c r="BD78" s="1">
        <f t="shared" si="152"/>
        <v>57480111.7245558</v>
      </c>
      <c r="BE78" s="1">
        <f t="shared" si="153"/>
        <v>48</v>
      </c>
      <c r="BF78" s="20">
        <f t="shared" si="53"/>
        <v>95.2575866561048</v>
      </c>
      <c r="BG78" s="1">
        <f t="shared" si="154"/>
        <v>-995.836267063319</v>
      </c>
      <c r="BH78" s="1">
        <f t="shared" si="155"/>
        <v>-91.6374741081267</v>
      </c>
      <c r="BI78" s="1">
        <f t="shared" si="156"/>
        <v>-31.123730709993</v>
      </c>
      <c r="BJ78" s="1">
        <f t="shared" si="157"/>
        <v>-995.836267063319</v>
      </c>
      <c r="BK78" s="1">
        <f t="shared" si="158"/>
        <v>-91.6374741081267</v>
      </c>
      <c r="BL78" s="1">
        <f t="shared" si="159"/>
        <v>-31.123730709993</v>
      </c>
      <c r="BM78" s="61">
        <f t="shared" si="160"/>
        <v>22461089.4162175</v>
      </c>
      <c r="BN78" s="61">
        <f t="shared" si="161"/>
        <v>37185653.327356</v>
      </c>
      <c r="BO78" s="61">
        <f t="shared" si="162"/>
        <v>-31.123730709993</v>
      </c>
      <c r="BQ78" s="1" t="str">
        <f t="shared" si="63"/>
        <v>S 01° 47.0' / E 115° 20.9'</v>
      </c>
      <c r="BR78" s="1" t="str">
        <f t="shared" si="64"/>
        <v>50M 471201 1968887</v>
      </c>
      <c r="BS78" s="1" t="str">
        <f t="shared" si="65"/>
        <v>50M ME 712688</v>
      </c>
      <c r="BT78" s="1" t="b">
        <f t="shared" si="66"/>
        <v>0</v>
      </c>
      <c r="BU78" s="1" t="str">
        <f t="shared" si="67"/>
        <v>50M</v>
      </c>
      <c r="BV78" s="1">
        <f t="shared" si="68"/>
        <v>50</v>
      </c>
      <c r="BW78" s="1">
        <f t="shared" si="69"/>
        <v>0</v>
      </c>
      <c r="BX78" s="1">
        <f t="shared" si="70"/>
        <v>117</v>
      </c>
      <c r="BY78" s="1">
        <f t="shared" si="163"/>
        <v>-28798.885177346</v>
      </c>
      <c r="BZ78" s="1">
        <f t="shared" si="72"/>
        <v>471201.1148</v>
      </c>
      <c r="CA78" s="1" t="str">
        <f t="shared" si="73"/>
        <v>M</v>
      </c>
      <c r="CB78" s="1" t="str">
        <f t="shared" si="74"/>
        <v>471201</v>
      </c>
      <c r="CC78" s="1" t="str">
        <f t="shared" si="75"/>
        <v>71201</v>
      </c>
      <c r="CD78" s="1">
        <f t="shared" si="164"/>
        <v>-31112.796924693</v>
      </c>
      <c r="CE78" s="1">
        <f t="shared" si="77"/>
        <v>1968887.2031</v>
      </c>
      <c r="CF78" s="1" t="str">
        <f t="shared" si="78"/>
        <v>E</v>
      </c>
      <c r="CG78" s="1" t="str">
        <f t="shared" si="79"/>
        <v>1968887</v>
      </c>
      <c r="CH78" s="1" t="str">
        <f t="shared" si="80"/>
        <v>68887</v>
      </c>
      <c r="CJ78" s="1">
        <f t="shared" si="81"/>
        <v>591</v>
      </c>
      <c r="CK78" s="1" t="str">
        <f t="shared" si="82"/>
        <v>HJ</v>
      </c>
      <c r="CL78" s="1">
        <f t="shared" si="83"/>
        <v>4</v>
      </c>
      <c r="CM78" s="1">
        <f t="shared" si="84"/>
        <v>2</v>
      </c>
      <c r="CN78" s="1">
        <f t="shared" si="85"/>
        <v>1</v>
      </c>
      <c r="CO78" s="1">
        <f t="shared" si="86"/>
        <v>2</v>
      </c>
      <c r="CP78" s="1" t="str">
        <f t="shared" si="87"/>
        <v>591HJ42</v>
      </c>
      <c r="CR78" s="1" t="e">
        <f t="shared" si="88"/>
        <v>#VALUE!</v>
      </c>
      <c r="CS78" s="1" t="e">
        <f t="shared" si="89"/>
        <v>#VALUE!</v>
      </c>
      <c r="CT78" s="1">
        <f t="shared" si="90"/>
        <v>6</v>
      </c>
      <c r="CU78" s="1">
        <f t="shared" si="91"/>
        <v>2</v>
      </c>
      <c r="CV78" s="131" t="e">
        <f t="shared" si="92"/>
        <v>#VALUE!</v>
      </c>
      <c r="CW78" s="131">
        <v>1356.8</v>
      </c>
      <c r="CX78" s="131">
        <v>1727.4</v>
      </c>
      <c r="CY78" s="131">
        <v>1778.5</v>
      </c>
      <c r="CZ78" s="131">
        <v>2075.1</v>
      </c>
      <c r="DA78" s="131">
        <v>2382.3</v>
      </c>
      <c r="DC78" s="154">
        <f t="shared" si="93"/>
        <v>428.145065818594</v>
      </c>
      <c r="DD78" s="154">
        <f t="shared" si="94"/>
        <v>-31.123730709993</v>
      </c>
      <c r="DE78" s="154">
        <f t="shared" si="95"/>
        <v>903.758319505118</v>
      </c>
      <c r="DF78" s="1">
        <f t="shared" si="96"/>
        <v>64.5928181273933</v>
      </c>
      <c r="DG78" s="1">
        <f t="shared" si="97"/>
        <v>-4.15776633927163</v>
      </c>
      <c r="DH78" s="1">
        <f t="shared" si="98"/>
        <v>170</v>
      </c>
      <c r="DI78" s="1">
        <f t="shared" si="165"/>
        <v>174</v>
      </c>
      <c r="DJ78" s="1">
        <f t="shared" si="166"/>
        <v>27</v>
      </c>
      <c r="DK78" s="1">
        <f t="shared" si="101"/>
        <v>170</v>
      </c>
      <c r="DL78" s="1">
        <f t="shared" si="102"/>
        <v>174</v>
      </c>
      <c r="DM78" s="1">
        <f t="shared" si="103"/>
        <v>27</v>
      </c>
    </row>
    <row r="79" customHeight="1" spans="1:117">
      <c r="A79" s="152" t="str">
        <f t="shared" si="170"/>
        <v/>
      </c>
      <c r="C79" s="55" t="str">
        <f t="shared" si="5"/>
        <v/>
      </c>
      <c r="D79" s="150" t="str">
        <f t="shared" si="6"/>
        <v/>
      </c>
      <c r="E79" s="151" t="str">
        <f t="shared" si="117"/>
        <v/>
      </c>
      <c r="F79" s="151" t="str">
        <f t="shared" si="118"/>
        <v/>
      </c>
      <c r="G79" s="151" t="str">
        <f t="shared" si="119"/>
        <v/>
      </c>
      <c r="H79" s="151" t="str">
        <f t="shared" si="120"/>
        <v/>
      </c>
      <c r="I79" s="151" t="str">
        <f t="shared" si="121"/>
        <v/>
      </c>
      <c r="J79" s="171" t="str">
        <f t="shared" si="122"/>
        <v/>
      </c>
      <c r="K79" s="172" t="str">
        <f t="shared" si="171"/>
        <v/>
      </c>
      <c r="L79" s="172" t="str">
        <f t="shared" si="172"/>
        <v/>
      </c>
      <c r="M79" s="173" t="str">
        <f t="shared" si="173"/>
        <v/>
      </c>
      <c r="N79" s="54" t="str">
        <f t="shared" si="123"/>
        <v/>
      </c>
      <c r="O79" s="55" t="str">
        <f t="shared" si="124"/>
        <v/>
      </c>
      <c r="P79" s="55" t="str">
        <f t="shared" si="15"/>
        <v/>
      </c>
      <c r="Q79" s="56" t="str">
        <f t="shared" si="125"/>
        <v/>
      </c>
      <c r="R79" s="56" t="str">
        <f t="shared" si="126"/>
        <v/>
      </c>
      <c r="S79" s="56" t="str">
        <f t="shared" si="127"/>
        <v/>
      </c>
      <c r="T79" s="56" t="str">
        <f t="shared" si="128"/>
        <v/>
      </c>
      <c r="U79" s="180" t="str">
        <f t="shared" si="129"/>
        <v/>
      </c>
      <c r="V79" s="55" t="str">
        <f t="shared" si="130"/>
        <v/>
      </c>
      <c r="W79" s="55" t="str">
        <f t="shared" si="131"/>
        <v/>
      </c>
      <c r="X79" s="56" t="str">
        <f t="shared" si="132"/>
        <v/>
      </c>
      <c r="Y79" s="180" t="str">
        <f t="shared" si="133"/>
        <v/>
      </c>
      <c r="Z79" s="55" t="str">
        <f t="shared" si="134"/>
        <v/>
      </c>
      <c r="AA79" s="55" t="str">
        <f t="shared" si="135"/>
        <v/>
      </c>
      <c r="AB79" s="150" t="str">
        <f t="shared" si="136"/>
        <v/>
      </c>
      <c r="AC79" s="188">
        <v>70</v>
      </c>
      <c r="AD79" s="1" t="b">
        <f t="shared" si="28"/>
        <v>0</v>
      </c>
      <c r="AE79" s="1" t="str">
        <f t="shared" si="29"/>
        <v/>
      </c>
      <c r="AF79" s="1" t="str">
        <f t="shared" si="30"/>
        <v/>
      </c>
      <c r="AG79" s="1" t="str">
        <f t="shared" si="31"/>
        <v/>
      </c>
      <c r="AH79" s="1" t="str">
        <f t="shared" si="137"/>
        <v/>
      </c>
      <c r="AI79" s="1" t="str">
        <f t="shared" si="33"/>
        <v/>
      </c>
      <c r="AJ79" s="191" t="str">
        <f t="shared" si="168"/>
        <v/>
      </c>
      <c r="AK79" s="191" t="str">
        <f t="shared" si="169"/>
        <v/>
      </c>
      <c r="AL79" s="191" t="str">
        <f t="shared" si="138"/>
        <v/>
      </c>
      <c r="AM79" s="1" t="str">
        <f t="shared" si="139"/>
        <v/>
      </c>
      <c r="AN79" s="191" t="str">
        <f t="shared" si="140"/>
        <v/>
      </c>
      <c r="AO79" s="134" t="str">
        <f t="shared" si="141"/>
        <v/>
      </c>
      <c r="AP79" s="64" t="str">
        <f t="shared" si="38"/>
        <v/>
      </c>
      <c r="AQ79" s="1" t="str">
        <f t="shared" si="167"/>
        <v/>
      </c>
      <c r="AR79" s="1" t="str">
        <f t="shared" si="142"/>
        <v/>
      </c>
      <c r="AS79" s="1" t="str">
        <f t="shared" si="143"/>
        <v/>
      </c>
      <c r="AT79" s="134" t="str">
        <f t="shared" si="144"/>
        <v/>
      </c>
      <c r="AU79" s="64" t="str">
        <f t="shared" si="145"/>
        <v/>
      </c>
      <c r="AV79" s="65" t="str">
        <f t="shared" si="146"/>
        <v/>
      </c>
      <c r="AW79" s="65" t="str">
        <f t="shared" si="147"/>
        <v/>
      </c>
      <c r="AX79" s="1" t="str">
        <f t="shared" si="148"/>
        <v/>
      </c>
      <c r="AY79" s="1" t="str">
        <f t="shared" si="149"/>
        <v/>
      </c>
      <c r="AZ79" s="131" t="str">
        <f t="shared" si="150"/>
        <v/>
      </c>
      <c r="BA79" s="1" t="str">
        <f t="shared" si="151"/>
        <v/>
      </c>
      <c r="BB79" s="1" t="str">
        <f t="shared" si="49"/>
        <v/>
      </c>
      <c r="BC79" s="1" t="str">
        <f t="shared" si="50"/>
        <v/>
      </c>
      <c r="BD79" s="1" t="str">
        <f t="shared" si="152"/>
        <v/>
      </c>
      <c r="BE79" s="1" t="str">
        <f t="shared" si="153"/>
        <v/>
      </c>
      <c r="BF79" s="1" t="str">
        <f t="shared" si="53"/>
        <v/>
      </c>
      <c r="BG79" s="1" t="str">
        <f t="shared" si="154"/>
        <v/>
      </c>
      <c r="BH79" s="1" t="str">
        <f t="shared" si="155"/>
        <v/>
      </c>
      <c r="BI79" s="1" t="str">
        <f t="shared" si="156"/>
        <v/>
      </c>
      <c r="BJ79" s="1" t="str">
        <f t="shared" si="157"/>
        <v/>
      </c>
      <c r="BK79" s="1" t="str">
        <f t="shared" si="158"/>
        <v/>
      </c>
      <c r="BL79" s="1" t="str">
        <f t="shared" si="159"/>
        <v/>
      </c>
      <c r="BM79" s="1" t="str">
        <f t="shared" si="160"/>
        <v/>
      </c>
      <c r="BN79" s="1" t="str">
        <f t="shared" si="161"/>
        <v/>
      </c>
      <c r="BO79" s="1" t="str">
        <f t="shared" si="162"/>
        <v/>
      </c>
      <c r="BQ79" s="1" t="str">
        <f t="shared" si="63"/>
        <v/>
      </c>
      <c r="BR79" s="1" t="str">
        <f t="shared" si="64"/>
        <v/>
      </c>
      <c r="BS79" s="1" t="str">
        <f t="shared" si="65"/>
        <v/>
      </c>
      <c r="BT79" s="1" t="str">
        <f t="shared" si="66"/>
        <v/>
      </c>
      <c r="BU79" s="1" t="str">
        <f t="shared" si="67"/>
        <v/>
      </c>
      <c r="BV79" s="1" t="str">
        <f t="shared" si="68"/>
        <v/>
      </c>
      <c r="BW79" s="1" t="str">
        <f t="shared" si="69"/>
        <v/>
      </c>
      <c r="BX79" s="1" t="str">
        <f t="shared" si="70"/>
        <v/>
      </c>
      <c r="BY79" s="1" t="str">
        <f t="shared" si="163"/>
        <v/>
      </c>
      <c r="BZ79" s="1" t="str">
        <f t="shared" si="72"/>
        <v/>
      </c>
      <c r="CA79" s="1" t="str">
        <f t="shared" si="73"/>
        <v/>
      </c>
      <c r="CB79" s="1" t="str">
        <f t="shared" si="74"/>
        <v/>
      </c>
      <c r="CC79" s="1" t="str">
        <f t="shared" si="75"/>
        <v/>
      </c>
      <c r="CD79" s="1" t="str">
        <f t="shared" si="164"/>
        <v/>
      </c>
      <c r="CE79" s="1" t="str">
        <f t="shared" si="77"/>
        <v/>
      </c>
      <c r="CF79" s="1" t="str">
        <f t="shared" si="78"/>
        <v/>
      </c>
      <c r="CG79" s="1" t="str">
        <f t="shared" si="79"/>
        <v/>
      </c>
      <c r="CH79" s="1" t="str">
        <f t="shared" si="80"/>
        <v/>
      </c>
      <c r="CJ79" s="1" t="str">
        <f t="shared" si="81"/>
        <v/>
      </c>
      <c r="CK79" s="1" t="str">
        <f t="shared" si="82"/>
        <v/>
      </c>
      <c r="CL79" s="1" t="str">
        <f t="shared" si="83"/>
        <v/>
      </c>
      <c r="CM79" s="1" t="str">
        <f t="shared" si="84"/>
        <v/>
      </c>
      <c r="CN79" s="1" t="str">
        <f t="shared" si="85"/>
        <v/>
      </c>
      <c r="CO79" s="1" t="str">
        <f t="shared" si="86"/>
        <v/>
      </c>
      <c r="CP79" s="1" t="str">
        <f t="shared" si="87"/>
        <v/>
      </c>
      <c r="CR79" s="1" t="str">
        <f t="shared" si="88"/>
        <v/>
      </c>
      <c r="CS79" s="1" t="str">
        <f t="shared" si="89"/>
        <v/>
      </c>
      <c r="CT79" s="1" t="str">
        <f t="shared" si="90"/>
        <v/>
      </c>
      <c r="CU79" s="1" t="str">
        <f t="shared" si="91"/>
        <v/>
      </c>
      <c r="CV79" s="1" t="str">
        <f t="shared" si="92"/>
        <v/>
      </c>
      <c r="DC79" s="154" t="e">
        <f t="shared" si="93"/>
        <v>#VALUE!</v>
      </c>
      <c r="DD79" s="154" t="str">
        <f t="shared" si="94"/>
        <v/>
      </c>
      <c r="DE79" s="154" t="str">
        <f t="shared" si="95"/>
        <v/>
      </c>
      <c r="DF79" s="1" t="str">
        <f t="shared" si="96"/>
        <v/>
      </c>
      <c r="DG79" s="1" t="str">
        <f t="shared" si="97"/>
        <v/>
      </c>
      <c r="DH79" s="1" t="str">
        <f t="shared" si="98"/>
        <v/>
      </c>
      <c r="DI79" s="1" t="str">
        <f t="shared" si="165"/>
        <v/>
      </c>
      <c r="DJ79" s="1" t="str">
        <f t="shared" si="166"/>
        <v/>
      </c>
      <c r="DK79" s="1" t="str">
        <f t="shared" si="101"/>
        <v/>
      </c>
      <c r="DL79" s="1" t="str">
        <f t="shared" si="102"/>
        <v/>
      </c>
      <c r="DM79" s="1" t="str">
        <f t="shared" si="103"/>
        <v/>
      </c>
    </row>
    <row r="80" customHeight="1" spans="1:117">
      <c r="A80" s="152" t="str">
        <f t="shared" si="170"/>
        <v>Wrecks</v>
      </c>
      <c r="C80" s="55" t="e">
        <f t="shared" si="5"/>
        <v>#DIV/0!</v>
      </c>
      <c r="D80" s="150" t="str">
        <f t="shared" si="6"/>
        <v>-1000000 m</v>
      </c>
      <c r="E80" s="151">
        <f t="shared" si="117"/>
        <v>1439.6</v>
      </c>
      <c r="F80" s="151">
        <f t="shared" si="118"/>
        <v>1439.6</v>
      </c>
      <c r="G80" s="151">
        <f t="shared" si="119"/>
        <v>1439.6</v>
      </c>
      <c r="H80" s="151">
        <f t="shared" si="120"/>
        <v>1439.6</v>
      </c>
      <c r="I80" s="151">
        <f t="shared" si="121"/>
        <v>1439.6</v>
      </c>
      <c r="J80" s="171">
        <f t="shared" si="122"/>
        <v>1439.6</v>
      </c>
      <c r="K80" s="172">
        <f t="shared" si="171"/>
        <v>0</v>
      </c>
      <c r="L80" s="172">
        <f t="shared" si="172"/>
        <v>0</v>
      </c>
      <c r="M80" s="173">
        <f t="shared" si="173"/>
        <v>0</v>
      </c>
      <c r="N80" s="54" t="str">
        <f t="shared" si="123"/>
        <v>Continuous</v>
      </c>
      <c r="O80" s="55" t="e">
        <f t="shared" si="124"/>
        <v>#DIV/0!</v>
      </c>
      <c r="P80" s="55" t="e">
        <f t="shared" si="15"/>
        <v>#DIV/0!</v>
      </c>
      <c r="Q80" s="56" t="str">
        <f t="shared" si="125"/>
        <v/>
      </c>
      <c r="R80" s="56" t="str">
        <f t="shared" si="126"/>
        <v/>
      </c>
      <c r="S80" s="56" t="str">
        <f t="shared" si="127"/>
        <v/>
      </c>
      <c r="T80" s="56" t="str">
        <f t="shared" si="128"/>
        <v/>
      </c>
      <c r="U80" s="180" t="str">
        <f t="shared" si="129"/>
        <v/>
      </c>
      <c r="V80" s="55" t="e">
        <f t="shared" si="130"/>
        <v>#DIV/0!</v>
      </c>
      <c r="W80" s="55" t="e">
        <f t="shared" si="131"/>
        <v>#DIV/0!</v>
      </c>
      <c r="X80" s="56" t="str">
        <f t="shared" si="132"/>
        <v/>
      </c>
      <c r="Y80" s="180" t="str">
        <f t="shared" si="133"/>
        <v/>
      </c>
      <c r="Z80" s="55" t="e">
        <f t="shared" si="134"/>
        <v>#DIV/0!</v>
      </c>
      <c r="AA80" s="55">
        <f t="shared" si="135"/>
        <v>1001.4</v>
      </c>
      <c r="AB80" s="150" t="e">
        <f t="shared" si="136"/>
        <v>#DIV/0!</v>
      </c>
      <c r="AC80" s="188">
        <v>71</v>
      </c>
      <c r="AD80" s="1" t="b">
        <f t="shared" si="28"/>
        <v>1</v>
      </c>
      <c r="AE80" s="1" t="e">
        <f t="shared" si="29"/>
        <v>#DIV/0!</v>
      </c>
      <c r="AF80" s="1" t="e">
        <f t="shared" si="30"/>
        <v>#DIV/0!</v>
      </c>
      <c r="AG80" s="1" t="e">
        <f t="shared" si="31"/>
        <v>#DIV/0!</v>
      </c>
      <c r="AH80" s="1">
        <f t="shared" si="137"/>
        <v>-1000</v>
      </c>
      <c r="AI80" s="1">
        <f t="shared" si="33"/>
        <v>0</v>
      </c>
      <c r="AJ80" s="191">
        <f t="shared" si="168"/>
        <v>0</v>
      </c>
      <c r="AK80" s="191">
        <f t="shared" si="169"/>
        <v>0</v>
      </c>
      <c r="AL80" s="191" t="e">
        <f t="shared" si="138"/>
        <v>#DIV/0!</v>
      </c>
      <c r="AM80" s="1" t="e">
        <f t="shared" si="139"/>
        <v>#DIV/0!</v>
      </c>
      <c r="AN80" s="191">
        <f t="shared" si="140"/>
        <v>90</v>
      </c>
      <c r="AO80" s="134" t="e">
        <f t="shared" si="141"/>
        <v>#DIV/0!</v>
      </c>
      <c r="AP80" s="64" t="e">
        <f t="shared" si="38"/>
        <v>#DIV/0!</v>
      </c>
      <c r="AQ80" s="1" t="e">
        <f t="shared" si="167"/>
        <v>#DIV/0!</v>
      </c>
      <c r="AR80" s="1" t="e">
        <f t="shared" si="142"/>
        <v>#DIV/0!</v>
      </c>
      <c r="AS80" s="1">
        <f t="shared" si="143"/>
        <v>90</v>
      </c>
      <c r="AT80" s="134" t="e">
        <f t="shared" si="144"/>
        <v>#DIV/0!</v>
      </c>
      <c r="AU80" s="64" t="e">
        <f t="shared" si="145"/>
        <v>#DIV/0!</v>
      </c>
      <c r="AV80" s="65" t="e">
        <f t="shared" si="146"/>
        <v>#DIV/0!</v>
      </c>
      <c r="AW80" s="65" t="e">
        <f t="shared" si="147"/>
        <v>#DIV/0!</v>
      </c>
      <c r="AX80" s="1" t="e">
        <f t="shared" si="148"/>
        <v>#DIV/0!</v>
      </c>
      <c r="AY80" s="1" t="e">
        <f t="shared" si="149"/>
        <v>#DIV/0!</v>
      </c>
      <c r="AZ80" s="131">
        <f t="shared" si="150"/>
        <v>1001.4</v>
      </c>
      <c r="BA80" s="1" t="e">
        <f t="shared" si="151"/>
        <v>#DIV/0!</v>
      </c>
      <c r="BB80" s="1">
        <f t="shared" si="49"/>
        <v>42369617.4235177</v>
      </c>
      <c r="BC80" s="1" t="e">
        <f t="shared" si="50"/>
        <v>#DIV/0!</v>
      </c>
      <c r="BD80" s="1">
        <f t="shared" si="152"/>
        <v>57480849.9111489</v>
      </c>
      <c r="BE80" s="1" t="e">
        <f t="shared" si="153"/>
        <v>#DIV/0!</v>
      </c>
      <c r="BF80" s="1" t="e">
        <f t="shared" si="53"/>
        <v>#DIV/0!</v>
      </c>
      <c r="BG80" s="1" t="e">
        <f t="shared" si="154"/>
        <v>#DIV/0!</v>
      </c>
      <c r="BH80" s="1" t="e">
        <f t="shared" si="155"/>
        <v>#DIV/0!</v>
      </c>
      <c r="BI80" s="1" t="e">
        <f t="shared" si="156"/>
        <v>#DIV/0!</v>
      </c>
      <c r="BJ80" s="1" t="e">
        <f t="shared" si="157"/>
        <v>#DIV/0!</v>
      </c>
      <c r="BK80" s="1" t="e">
        <f t="shared" si="158"/>
        <v>#DIV/0!</v>
      </c>
      <c r="BL80" s="1" t="e">
        <f t="shared" si="159"/>
        <v>#DIV/0!</v>
      </c>
      <c r="BM80" s="1" t="e">
        <f t="shared" si="160"/>
        <v>#DIV/0!</v>
      </c>
      <c r="BN80" s="1" t="e">
        <f t="shared" si="161"/>
        <v>#DIV/0!</v>
      </c>
      <c r="BO80" s="1" t="e">
        <f t="shared" si="162"/>
        <v>#DIV/0!</v>
      </c>
      <c r="BQ80" s="1" t="e">
        <f t="shared" si="63"/>
        <v>#DIV/0!</v>
      </c>
      <c r="BR80" s="1" t="e">
        <f t="shared" si="64"/>
        <v>#DIV/0!</v>
      </c>
      <c r="BS80" s="1" t="e">
        <f t="shared" si="65"/>
        <v>#DIV/0!</v>
      </c>
      <c r="BT80" s="1" t="e">
        <f t="shared" si="66"/>
        <v>#DIV/0!</v>
      </c>
      <c r="BU80" s="1" t="e">
        <f t="shared" si="67"/>
        <v>#DIV/0!</v>
      </c>
      <c r="BV80" s="1" t="e">
        <f t="shared" si="68"/>
        <v>#DIV/0!</v>
      </c>
      <c r="BW80" s="1" t="e">
        <f t="shared" si="69"/>
        <v>#DIV/0!</v>
      </c>
      <c r="BX80" s="1" t="e">
        <f t="shared" si="70"/>
        <v>#DIV/0!</v>
      </c>
      <c r="BY80" s="1" t="e">
        <f t="shared" si="163"/>
        <v>#DIV/0!</v>
      </c>
      <c r="BZ80" s="1" t="e">
        <f t="shared" si="72"/>
        <v>#DIV/0!</v>
      </c>
      <c r="CA80" s="1" t="e">
        <f t="shared" si="73"/>
        <v>#DIV/0!</v>
      </c>
      <c r="CB80" s="1" t="e">
        <f t="shared" si="74"/>
        <v>#DIV/0!</v>
      </c>
      <c r="CC80" s="1" t="e">
        <f t="shared" si="75"/>
        <v>#DIV/0!</v>
      </c>
      <c r="CD80" s="1" t="e">
        <f t="shared" si="164"/>
        <v>#DIV/0!</v>
      </c>
      <c r="CE80" s="1" t="e">
        <f t="shared" si="77"/>
        <v>#DIV/0!</v>
      </c>
      <c r="CF80" s="1" t="e">
        <f t="shared" si="78"/>
        <v>#DIV/0!</v>
      </c>
      <c r="CG80" s="1" t="e">
        <f t="shared" si="79"/>
        <v>#DIV/0!</v>
      </c>
      <c r="CH80" s="1" t="e">
        <f t="shared" si="80"/>
        <v>#DIV/0!</v>
      </c>
      <c r="CJ80" s="1" t="e">
        <f t="shared" si="81"/>
        <v>#DIV/0!</v>
      </c>
      <c r="CK80" s="1" t="e">
        <f t="shared" si="82"/>
        <v>#DIV/0!</v>
      </c>
      <c r="CL80" s="1" t="e">
        <f t="shared" si="83"/>
        <v>#DIV/0!</v>
      </c>
      <c r="CM80" s="1" t="e">
        <f t="shared" si="84"/>
        <v>#DIV/0!</v>
      </c>
      <c r="CN80" s="1" t="e">
        <f t="shared" si="85"/>
        <v>#DIV/0!</v>
      </c>
      <c r="CO80" s="1" t="e">
        <f t="shared" si="86"/>
        <v>#DIV/0!</v>
      </c>
      <c r="CP80" s="1" t="e">
        <f t="shared" si="87"/>
        <v>#DIV/0!</v>
      </c>
      <c r="CR80" s="1" t="e">
        <f t="shared" si="88"/>
        <v>#VALUE!</v>
      </c>
      <c r="CS80" s="1" t="e">
        <f t="shared" si="89"/>
        <v>#VALUE!</v>
      </c>
      <c r="CT80" s="1" t="str">
        <f t="shared" si="90"/>
        <v/>
      </c>
      <c r="CU80" s="1" t="str">
        <f t="shared" si="91"/>
        <v/>
      </c>
      <c r="CV80" s="1" t="e">
        <f t="shared" si="92"/>
        <v>#VALUE!</v>
      </c>
      <c r="DC80" s="154">
        <f t="shared" si="93"/>
        <v>0</v>
      </c>
      <c r="DD80" s="154">
        <f t="shared" si="94"/>
        <v>0</v>
      </c>
      <c r="DE80" s="154">
        <f t="shared" si="95"/>
        <v>0</v>
      </c>
      <c r="DF80" s="1" t="e">
        <f t="shared" si="96"/>
        <v>#DIV/0!</v>
      </c>
      <c r="DG80" s="1" t="e">
        <f t="shared" si="97"/>
        <v>#DIV/0!</v>
      </c>
      <c r="DH80" s="1" t="e">
        <f t="shared" si="98"/>
        <v>#DIV/0!</v>
      </c>
      <c r="DI80" s="1" t="e">
        <f t="shared" si="165"/>
        <v>#DIV/0!</v>
      </c>
      <c r="DJ80" s="1" t="e">
        <f t="shared" si="166"/>
        <v>#DIV/0!</v>
      </c>
      <c r="DK80" s="1" t="e">
        <f t="shared" si="101"/>
        <v>#DIV/0!</v>
      </c>
      <c r="DL80" s="1" t="e">
        <f t="shared" si="102"/>
        <v>#DIV/0!</v>
      </c>
      <c r="DM80" s="1" t="e">
        <f t="shared" si="103"/>
        <v>#DIV/0!</v>
      </c>
    </row>
    <row r="81" customHeight="1" spans="1:117">
      <c r="A81" s="152" t="str">
        <f t="shared" si="170"/>
        <v>Caterpillar Wreck 34V</v>
      </c>
      <c r="C81" s="55" t="str">
        <f t="shared" si="5"/>
        <v>N 62° 55.2' / E 022° 02.2'</v>
      </c>
      <c r="D81" s="150" t="str">
        <f t="shared" si="6"/>
        <v>137 m</v>
      </c>
      <c r="E81" s="151">
        <f t="shared" si="117"/>
        <v>713.3</v>
      </c>
      <c r="F81" s="151">
        <f t="shared" si="118"/>
        <v>2374.2</v>
      </c>
      <c r="G81" s="151">
        <f t="shared" si="119"/>
        <v>1606.5</v>
      </c>
      <c r="H81" s="151">
        <f t="shared" si="120"/>
        <v>1888</v>
      </c>
      <c r="I81" s="151">
        <f t="shared" si="121"/>
        <v>1362.9</v>
      </c>
      <c r="J81" s="171">
        <f t="shared" si="122"/>
        <v>2070.7</v>
      </c>
      <c r="K81" s="172">
        <f t="shared" si="171"/>
        <v>422.030565493172</v>
      </c>
      <c r="L81" s="172">
        <f t="shared" si="172"/>
        <v>170.8188762115</v>
      </c>
      <c r="M81" s="173">
        <f t="shared" si="173"/>
        <v>890.497381315684</v>
      </c>
      <c r="N81" s="54">
        <f t="shared" si="123"/>
        <v>0.0950505903327377</v>
      </c>
      <c r="O81" s="55" t="str">
        <f t="shared" si="124"/>
        <v>After midnight / Rises in 35m</v>
      </c>
      <c r="P81" s="55" t="str">
        <f t="shared" si="15"/>
        <v>282°M / -19°</v>
      </c>
      <c r="Q81" s="56">
        <f t="shared" si="125"/>
        <v>45683.729813891</v>
      </c>
      <c r="R81" s="56">
        <f t="shared" si="126"/>
        <v>45683.735536113</v>
      </c>
      <c r="S81" s="56">
        <f t="shared" si="127"/>
        <v>45683.7830614082</v>
      </c>
      <c r="T81" s="56">
        <f t="shared" si="128"/>
        <v>45683.8305867034</v>
      </c>
      <c r="U81" s="180">
        <f t="shared" si="129"/>
        <v>45683.8363089255</v>
      </c>
      <c r="V81" s="55" t="str">
        <f t="shared" si="130"/>
        <v>Obstructed / Rises in 31m</v>
      </c>
      <c r="W81" s="55" t="str">
        <f t="shared" si="131"/>
        <v>298°M / -19°</v>
      </c>
      <c r="X81" s="56">
        <f t="shared" si="132"/>
        <v>45683.7329050658</v>
      </c>
      <c r="Y81" s="180">
        <f t="shared" si="133"/>
        <v>45683.8196506824</v>
      </c>
      <c r="Z81" s="55" t="str">
        <f t="shared" si="134"/>
        <v>349°M / -38°</v>
      </c>
      <c r="AA81" s="151">
        <f t="shared" si="135"/>
        <v>1228.5</v>
      </c>
      <c r="AB81" s="150">
        <f t="shared" si="136"/>
        <v>1321.7</v>
      </c>
      <c r="AC81" s="188">
        <v>72</v>
      </c>
      <c r="AD81" s="1" t="b">
        <f t="shared" si="28"/>
        <v>1</v>
      </c>
      <c r="AE81" s="1">
        <f t="shared" si="29"/>
        <v>62.9204319880251</v>
      </c>
      <c r="AF81" s="1">
        <f t="shared" si="30"/>
        <v>22.0358747297129</v>
      </c>
      <c r="AG81" s="1">
        <f t="shared" si="31"/>
        <v>22.0358747297129</v>
      </c>
      <c r="AH81" s="2">
        <f t="shared" si="137"/>
        <v>0.137226989745159</v>
      </c>
      <c r="AI81" s="1">
        <f t="shared" si="33"/>
        <v>0.949145008148411</v>
      </c>
      <c r="AJ81" s="191">
        <f t="shared" si="168"/>
        <v>0</v>
      </c>
      <c r="AK81" s="191">
        <f t="shared" si="169"/>
        <v>0</v>
      </c>
      <c r="AL81" s="191">
        <f t="shared" si="138"/>
        <v>99.6646990786158</v>
      </c>
      <c r="AM81" s="20">
        <f t="shared" si="139"/>
        <v>149.96373348519</v>
      </c>
      <c r="AN81" s="191">
        <f t="shared" si="140"/>
        <v>31.0347472083911</v>
      </c>
      <c r="AO81" s="134">
        <f t="shared" si="141"/>
        <v>32</v>
      </c>
      <c r="AP81" s="64">
        <f t="shared" si="38"/>
        <v>-27</v>
      </c>
      <c r="AQ81" s="1">
        <f t="shared" si="167"/>
        <v>90.956571031462</v>
      </c>
      <c r="AR81" s="20">
        <f t="shared" si="142"/>
        <v>135.738069396414</v>
      </c>
      <c r="AS81" s="1">
        <f t="shared" si="143"/>
        <v>27.0786803750508</v>
      </c>
      <c r="AT81" s="134">
        <f t="shared" si="144"/>
        <v>48</v>
      </c>
      <c r="AU81" s="64">
        <f t="shared" si="145"/>
        <v>-19</v>
      </c>
      <c r="AV81" s="65">
        <f t="shared" si="146"/>
        <v>45683.7329050658</v>
      </c>
      <c r="AW81" s="65">
        <f t="shared" si="147"/>
        <v>45683.8196506824</v>
      </c>
      <c r="AX81" s="1">
        <f t="shared" si="148"/>
        <v>99</v>
      </c>
      <c r="AY81" s="1">
        <f t="shared" si="149"/>
        <v>-38</v>
      </c>
      <c r="AZ81" s="131">
        <f t="shared" si="150"/>
        <v>1228.5</v>
      </c>
      <c r="BA81" s="1">
        <f t="shared" si="151"/>
        <v>1321.7</v>
      </c>
      <c r="BB81" s="1">
        <f t="shared" si="49"/>
        <v>42369949.2021833</v>
      </c>
      <c r="BC81" s="1">
        <f t="shared" si="50"/>
        <v>-19</v>
      </c>
      <c r="BD81" s="1">
        <f t="shared" si="152"/>
        <v>57481175.9777997</v>
      </c>
      <c r="BE81" s="1">
        <f t="shared" si="153"/>
        <v>-19</v>
      </c>
      <c r="BF81" s="20">
        <f t="shared" si="53"/>
        <v>1.94474729482041</v>
      </c>
      <c r="BG81" s="1">
        <f t="shared" si="154"/>
        <v>-15.4505932644273</v>
      </c>
      <c r="BH81" s="1">
        <f t="shared" si="155"/>
        <v>455.027653938113</v>
      </c>
      <c r="BI81" s="1">
        <f t="shared" si="156"/>
        <v>890.497381315684</v>
      </c>
      <c r="BJ81" s="1">
        <f t="shared" si="157"/>
        <v>-15.4505932644273</v>
      </c>
      <c r="BK81" s="1">
        <f t="shared" si="158"/>
        <v>455.027653938113</v>
      </c>
      <c r="BL81" s="1">
        <f t="shared" si="159"/>
        <v>890.497381315684</v>
      </c>
      <c r="BM81" s="61">
        <f t="shared" si="160"/>
        <v>22462069.8018913</v>
      </c>
      <c r="BN81" s="61">
        <f t="shared" si="161"/>
        <v>37186199.992484</v>
      </c>
      <c r="BO81" s="61">
        <f t="shared" si="162"/>
        <v>890.497381315684</v>
      </c>
      <c r="BQ81" s="1" t="str">
        <f t="shared" si="63"/>
        <v>N 62° 55.2' / E 022° 02.2'</v>
      </c>
      <c r="BR81" s="1" t="str">
        <f t="shared" si="64"/>
        <v>34V 508226 1097795</v>
      </c>
      <c r="BS81" s="1" t="str">
        <f t="shared" si="65"/>
        <v>34V ER 082977</v>
      </c>
      <c r="BT81" s="1" t="b">
        <f t="shared" si="66"/>
        <v>0</v>
      </c>
      <c r="BU81" s="1" t="str">
        <f t="shared" si="67"/>
        <v>34V</v>
      </c>
      <c r="BV81" s="1">
        <f t="shared" si="68"/>
        <v>34</v>
      </c>
      <c r="BW81" s="1">
        <f t="shared" si="69"/>
        <v>0</v>
      </c>
      <c r="BX81" s="1">
        <f t="shared" si="70"/>
        <v>21</v>
      </c>
      <c r="BY81" s="1">
        <f t="shared" si="163"/>
        <v>8226.69536826657</v>
      </c>
      <c r="BZ81" s="1">
        <f t="shared" si="72"/>
        <v>508226.6954</v>
      </c>
      <c r="CA81" s="1" t="str">
        <f t="shared" si="73"/>
        <v>E</v>
      </c>
      <c r="CB81" s="1" t="str">
        <f t="shared" si="74"/>
        <v>508226</v>
      </c>
      <c r="CC81" s="1" t="str">
        <f t="shared" si="75"/>
        <v>08226</v>
      </c>
      <c r="CD81" s="1">
        <f t="shared" si="164"/>
        <v>1097795.65453379</v>
      </c>
      <c r="CE81" s="1">
        <f t="shared" si="77"/>
        <v>1097795.6545</v>
      </c>
      <c r="CF81" s="1" t="str">
        <f t="shared" si="78"/>
        <v>R</v>
      </c>
      <c r="CG81" s="1" t="str">
        <f t="shared" si="79"/>
        <v>1097795</v>
      </c>
      <c r="CH81" s="1" t="str">
        <f t="shared" si="80"/>
        <v>97795</v>
      </c>
      <c r="CJ81" s="1">
        <f t="shared" si="81"/>
        <v>405</v>
      </c>
      <c r="CK81" s="1" t="str">
        <f t="shared" si="82"/>
        <v>NT</v>
      </c>
      <c r="CL81" s="1">
        <f t="shared" si="83"/>
        <v>1</v>
      </c>
      <c r="CM81" s="1">
        <f t="shared" si="84"/>
        <v>1</v>
      </c>
      <c r="CN81" s="1">
        <f t="shared" si="85"/>
        <v>0</v>
      </c>
      <c r="CO81" s="1">
        <f t="shared" si="86"/>
        <v>2</v>
      </c>
      <c r="CP81" s="1" t="str">
        <f t="shared" si="87"/>
        <v>405NT11</v>
      </c>
      <c r="CR81" s="1" t="e">
        <f t="shared" si="88"/>
        <v>#VALUE!</v>
      </c>
      <c r="CS81" s="1" t="e">
        <f t="shared" si="89"/>
        <v>#VALUE!</v>
      </c>
      <c r="CT81" s="1">
        <f t="shared" si="90"/>
        <v>5</v>
      </c>
      <c r="CU81" s="1">
        <f t="shared" si="91"/>
        <v>3</v>
      </c>
      <c r="CV81" s="131" t="e">
        <f t="shared" si="92"/>
        <v>#VALUE!</v>
      </c>
      <c r="CW81" s="131">
        <v>1362.9</v>
      </c>
      <c r="CX81" s="131">
        <v>1606.5</v>
      </c>
      <c r="CY81" s="131">
        <v>1888</v>
      </c>
      <c r="CZ81" s="131">
        <v>2070.7</v>
      </c>
      <c r="DA81" s="131">
        <v>2374.2</v>
      </c>
      <c r="DC81" s="154">
        <f t="shared" si="93"/>
        <v>-422.030565493172</v>
      </c>
      <c r="DD81" s="154">
        <f t="shared" si="94"/>
        <v>890.497381315684</v>
      </c>
      <c r="DE81" s="154">
        <f t="shared" si="95"/>
        <v>170.8188762115</v>
      </c>
      <c r="DF81" s="1">
        <f t="shared" si="96"/>
        <v>9.83407073891755</v>
      </c>
      <c r="DG81" s="1">
        <f t="shared" si="97"/>
        <v>115.357526598394</v>
      </c>
      <c r="DH81" s="1">
        <f t="shared" si="98"/>
        <v>282</v>
      </c>
      <c r="DI81" s="1">
        <f t="shared" si="165"/>
        <v>298</v>
      </c>
      <c r="DJ81" s="1">
        <f t="shared" si="166"/>
        <v>349</v>
      </c>
      <c r="DK81" s="1">
        <f t="shared" si="101"/>
        <v>282</v>
      </c>
      <c r="DL81" s="1">
        <f t="shared" si="102"/>
        <v>298</v>
      </c>
      <c r="DM81" s="1">
        <f t="shared" si="103"/>
        <v>349</v>
      </c>
    </row>
    <row r="82" customHeight="1" spans="1:117">
      <c r="A82" s="152" t="str">
        <f t="shared" si="170"/>
        <v>Caterpillar Wreck 47M</v>
      </c>
      <c r="C82" s="55" t="str">
        <f t="shared" si="5"/>
        <v>S 06° 42.6' / E 100° 08.5'</v>
      </c>
      <c r="D82" s="150" t="str">
        <f t="shared" si="6"/>
        <v>638 m</v>
      </c>
      <c r="E82" s="151">
        <f t="shared" si="117"/>
        <v>1846.7</v>
      </c>
      <c r="F82" s="151">
        <f t="shared" si="118"/>
        <v>1654.4</v>
      </c>
      <c r="G82" s="151">
        <f t="shared" si="119"/>
        <v>507.1</v>
      </c>
      <c r="H82" s="151">
        <f t="shared" si="120"/>
        <v>2427</v>
      </c>
      <c r="I82" s="151">
        <f t="shared" si="121"/>
        <v>1891.4</v>
      </c>
      <c r="J82" s="171">
        <f t="shared" si="122"/>
        <v>1603.1</v>
      </c>
      <c r="K82" s="172">
        <f t="shared" si="171"/>
        <v>-174.985191389468</v>
      </c>
      <c r="L82" s="172">
        <f t="shared" si="172"/>
        <v>978.25858424416</v>
      </c>
      <c r="M82" s="173">
        <f t="shared" si="173"/>
        <v>-116.906611973531</v>
      </c>
      <c r="N82" s="54">
        <f t="shared" si="123"/>
        <v>0.0882381312167847</v>
      </c>
      <c r="O82" s="55" t="str">
        <f t="shared" si="124"/>
        <v>Morning / Sets in 113m</v>
      </c>
      <c r="P82" s="55" t="str">
        <f t="shared" si="15"/>
        <v>141°M / +17°</v>
      </c>
      <c r="Q82" s="56">
        <f t="shared" si="125"/>
        <v>45683.8676419812</v>
      </c>
      <c r="R82" s="56">
        <f t="shared" si="126"/>
        <v>45683.8733642033</v>
      </c>
      <c r="S82" s="56">
        <f t="shared" si="127"/>
        <v>45683.7458166064</v>
      </c>
      <c r="T82" s="56">
        <f t="shared" si="128"/>
        <v>45683.789935672</v>
      </c>
      <c r="U82" s="180">
        <f t="shared" si="129"/>
        <v>45683.7956578941</v>
      </c>
      <c r="V82" s="55" t="str">
        <f t="shared" si="130"/>
        <v>Sets in 103m</v>
      </c>
      <c r="W82" s="55" t="str">
        <f t="shared" si="131"/>
        <v>143°M / +32°</v>
      </c>
      <c r="X82" s="56">
        <f t="shared" si="132"/>
        <v>45683.8668036669</v>
      </c>
      <c r="Y82" s="180">
        <f t="shared" si="133"/>
        <v>45683.7829291402</v>
      </c>
      <c r="Z82" s="55" t="str">
        <f t="shared" si="134"/>
        <v>047°M / -08°</v>
      </c>
      <c r="AA82" s="151">
        <f t="shared" si="135"/>
        <v>270.3</v>
      </c>
      <c r="AB82" s="150">
        <f t="shared" si="136"/>
        <v>270.9</v>
      </c>
      <c r="AC82" s="188">
        <v>73</v>
      </c>
      <c r="AD82" s="1" t="b">
        <f t="shared" si="28"/>
        <v>1</v>
      </c>
      <c r="AE82" s="1">
        <f t="shared" si="29"/>
        <v>-6.7093060989523</v>
      </c>
      <c r="AF82" s="1">
        <f t="shared" si="30"/>
        <v>100.141480502493</v>
      </c>
      <c r="AG82" s="1">
        <f t="shared" si="31"/>
        <v>100.141480502493</v>
      </c>
      <c r="AH82" s="2">
        <f t="shared" si="137"/>
        <v>0.638211730956641</v>
      </c>
      <c r="AI82" s="1">
        <f t="shared" si="33"/>
        <v>2.04646614996266</v>
      </c>
      <c r="AJ82" s="191">
        <f t="shared" si="168"/>
        <v>0</v>
      </c>
      <c r="AK82" s="191">
        <f t="shared" si="169"/>
        <v>0</v>
      </c>
      <c r="AL82" s="191">
        <f t="shared" si="138"/>
        <v>92.5215378904524</v>
      </c>
      <c r="AM82" s="20">
        <f t="shared" si="139"/>
        <v>71.85812771241</v>
      </c>
      <c r="AN82" s="191">
        <f t="shared" si="140"/>
        <v>79.334105391498</v>
      </c>
      <c r="AO82" s="134">
        <f t="shared" si="141"/>
        <v>84</v>
      </c>
      <c r="AP82" s="64">
        <f t="shared" si="38"/>
        <v>25</v>
      </c>
      <c r="AQ82" s="1">
        <f t="shared" si="167"/>
        <v>92.0538921732763</v>
      </c>
      <c r="AR82" s="20">
        <f t="shared" si="142"/>
        <v>57.6324636236344</v>
      </c>
      <c r="AS82" s="1">
        <f t="shared" si="143"/>
        <v>83.2905773657908</v>
      </c>
      <c r="AT82" s="134">
        <f t="shared" si="144"/>
        <v>86</v>
      </c>
      <c r="AU82" s="64">
        <f t="shared" si="145"/>
        <v>45</v>
      </c>
      <c r="AV82" s="65">
        <f t="shared" si="146"/>
        <v>45683.8668036669</v>
      </c>
      <c r="AW82" s="65">
        <f t="shared" si="147"/>
        <v>45683.7829291402</v>
      </c>
      <c r="AX82" s="1">
        <f t="shared" si="148"/>
        <v>350</v>
      </c>
      <c r="AY82" s="1">
        <f t="shared" si="149"/>
        <v>-8</v>
      </c>
      <c r="AZ82" s="131">
        <f t="shared" si="150"/>
        <v>270.3</v>
      </c>
      <c r="BA82" s="1">
        <f t="shared" si="151"/>
        <v>270.9</v>
      </c>
      <c r="BB82" s="1">
        <f t="shared" si="49"/>
        <v>42369316.8018123</v>
      </c>
      <c r="BC82" s="1">
        <f t="shared" si="50"/>
        <v>17</v>
      </c>
      <c r="BD82" s="1">
        <f t="shared" si="152"/>
        <v>57480317.8959887</v>
      </c>
      <c r="BE82" s="1">
        <f t="shared" si="153"/>
        <v>32</v>
      </c>
      <c r="BF82" s="20">
        <f t="shared" si="53"/>
        <v>80.0503530676001</v>
      </c>
      <c r="BG82" s="1">
        <f t="shared" si="154"/>
        <v>-978.838972752591</v>
      </c>
      <c r="BH82" s="1">
        <f t="shared" si="155"/>
        <v>171.708882337662</v>
      </c>
      <c r="BI82" s="1">
        <f t="shared" si="156"/>
        <v>-116.906611973531</v>
      </c>
      <c r="BJ82" s="1">
        <f t="shared" si="157"/>
        <v>-978.838972752591</v>
      </c>
      <c r="BK82" s="1">
        <f t="shared" si="158"/>
        <v>171.708882337662</v>
      </c>
      <c r="BL82" s="1">
        <f t="shared" si="159"/>
        <v>-116.906611973531</v>
      </c>
      <c r="BM82" s="61">
        <f t="shared" si="160"/>
        <v>22461106.4135118</v>
      </c>
      <c r="BN82" s="61">
        <f t="shared" si="161"/>
        <v>37185916.6737124</v>
      </c>
      <c r="BO82" s="61">
        <f t="shared" si="162"/>
        <v>-116.906611973531</v>
      </c>
      <c r="BQ82" s="1" t="str">
        <f t="shared" si="63"/>
        <v>S 06° 42.6' / E 100° 08.5'</v>
      </c>
      <c r="BR82" s="1" t="str">
        <f t="shared" si="64"/>
        <v>47M 519779 1882924</v>
      </c>
      <c r="BS82" s="1" t="str">
        <f t="shared" si="65"/>
        <v>47M NU 197829</v>
      </c>
      <c r="BT82" s="1" t="b">
        <f t="shared" si="66"/>
        <v>0</v>
      </c>
      <c r="BU82" s="1" t="str">
        <f t="shared" si="67"/>
        <v>47M</v>
      </c>
      <c r="BV82" s="1">
        <f t="shared" si="68"/>
        <v>47</v>
      </c>
      <c r="BW82" s="1">
        <f t="shared" si="69"/>
        <v>0</v>
      </c>
      <c r="BX82" s="1">
        <f t="shared" si="70"/>
        <v>99</v>
      </c>
      <c r="BY82" s="1">
        <f t="shared" si="163"/>
        <v>19779.5152555673</v>
      </c>
      <c r="BZ82" s="1">
        <f t="shared" si="72"/>
        <v>519779.5153</v>
      </c>
      <c r="CA82" s="1" t="str">
        <f t="shared" si="73"/>
        <v>N</v>
      </c>
      <c r="CB82" s="1" t="str">
        <f t="shared" si="74"/>
        <v>519779</v>
      </c>
      <c r="CC82" s="1" t="str">
        <f t="shared" si="75"/>
        <v>19779</v>
      </c>
      <c r="CD82" s="1">
        <f t="shared" si="164"/>
        <v>-117075.663795521</v>
      </c>
      <c r="CE82" s="1">
        <f t="shared" si="77"/>
        <v>1882924.3362</v>
      </c>
      <c r="CF82" s="1" t="str">
        <f t="shared" si="78"/>
        <v>U</v>
      </c>
      <c r="CG82" s="1" t="str">
        <f t="shared" si="79"/>
        <v>1882924</v>
      </c>
      <c r="CH82" s="1" t="str">
        <f t="shared" si="80"/>
        <v>82924</v>
      </c>
      <c r="CJ82" s="1">
        <f t="shared" si="81"/>
        <v>561</v>
      </c>
      <c r="CK82" s="1" t="str">
        <f t="shared" si="82"/>
        <v>GY</v>
      </c>
      <c r="CL82" s="1">
        <f t="shared" si="83"/>
        <v>1</v>
      </c>
      <c r="CM82" s="1">
        <f t="shared" si="84"/>
        <v>8</v>
      </c>
      <c r="CN82" s="1">
        <f t="shared" si="85"/>
        <v>1</v>
      </c>
      <c r="CO82" s="1">
        <f t="shared" si="86"/>
        <v>0</v>
      </c>
      <c r="CP82" s="1" t="str">
        <f t="shared" si="87"/>
        <v>561GY18</v>
      </c>
      <c r="CR82" s="1" t="e">
        <f t="shared" si="88"/>
        <v>#VALUE!</v>
      </c>
      <c r="CS82" s="1" t="e">
        <f t="shared" si="89"/>
        <v>#VALUE!</v>
      </c>
      <c r="CT82" s="1">
        <f t="shared" si="90"/>
        <v>6</v>
      </c>
      <c r="CU82" s="1">
        <f t="shared" si="91"/>
        <v>2</v>
      </c>
      <c r="CV82" s="131" t="e">
        <f t="shared" si="92"/>
        <v>#VALUE!</v>
      </c>
      <c r="CW82" s="131">
        <v>1603.1</v>
      </c>
      <c r="CX82" s="131">
        <v>1654.4</v>
      </c>
      <c r="CY82" s="131">
        <v>1846.7</v>
      </c>
      <c r="CZ82" s="131">
        <v>1891.4</v>
      </c>
      <c r="DA82" s="131">
        <v>2427</v>
      </c>
      <c r="DC82" s="154">
        <f t="shared" si="93"/>
        <v>174.985191389468</v>
      </c>
      <c r="DD82" s="154">
        <f t="shared" si="94"/>
        <v>-116.906611973531</v>
      </c>
      <c r="DE82" s="154">
        <f t="shared" si="95"/>
        <v>978.25858424416</v>
      </c>
      <c r="DF82" s="1">
        <f t="shared" si="96"/>
        <v>77.8594521817773</v>
      </c>
      <c r="DG82" s="1">
        <f t="shared" si="97"/>
        <v>-33.7466598477809</v>
      </c>
      <c r="DH82" s="1">
        <f t="shared" si="98"/>
        <v>141</v>
      </c>
      <c r="DI82" s="1">
        <f t="shared" si="165"/>
        <v>143</v>
      </c>
      <c r="DJ82" s="1">
        <f t="shared" si="166"/>
        <v>47</v>
      </c>
      <c r="DK82" s="1">
        <f t="shared" si="101"/>
        <v>141</v>
      </c>
      <c r="DL82" s="1">
        <f t="shared" si="102"/>
        <v>143</v>
      </c>
      <c r="DM82" s="1">
        <f t="shared" si="103"/>
        <v>47</v>
      </c>
    </row>
    <row r="83" customHeight="1" spans="1:117">
      <c r="A83" s="152" t="str">
        <f t="shared" si="170"/>
        <v>Caterpillar Wreck 52W</v>
      </c>
      <c r="C83" s="55" t="str">
        <f t="shared" si="5"/>
        <v>N 65° 46.6' / E 130° 46.1'</v>
      </c>
      <c r="D83" s="150" t="str">
        <f t="shared" si="6"/>
        <v>142 m</v>
      </c>
      <c r="E83" s="151">
        <f t="shared" si="117"/>
        <v>668.3</v>
      </c>
      <c r="F83" s="151">
        <f t="shared" si="118"/>
        <v>2387.2</v>
      </c>
      <c r="G83" s="151">
        <f t="shared" si="119"/>
        <v>1475.8</v>
      </c>
      <c r="H83" s="151">
        <f t="shared" si="120"/>
        <v>1991.9</v>
      </c>
      <c r="I83" s="151">
        <f t="shared" si="121"/>
        <v>1960.7</v>
      </c>
      <c r="J83" s="171">
        <f t="shared" si="122"/>
        <v>1517</v>
      </c>
      <c r="K83" s="172">
        <f t="shared" si="171"/>
        <v>-267.953108728863</v>
      </c>
      <c r="L83" s="172">
        <f t="shared" si="172"/>
        <v>310.782251487106</v>
      </c>
      <c r="M83" s="173">
        <f t="shared" si="173"/>
        <v>912.085579711613</v>
      </c>
      <c r="N83" s="54">
        <f t="shared" si="123"/>
        <v>0.0960862078176022</v>
      </c>
      <c r="O83" s="55" t="str">
        <f t="shared" si="124"/>
        <v>Morning / Sets in 97m</v>
      </c>
      <c r="P83" s="55" t="str">
        <f t="shared" si="15"/>
        <v>272°M / +22°</v>
      </c>
      <c r="Q83" s="56">
        <f t="shared" si="125"/>
        <v>45683.8491138416</v>
      </c>
      <c r="R83" s="56">
        <f t="shared" si="126"/>
        <v>45683.8548360636</v>
      </c>
      <c r="S83" s="56">
        <f t="shared" si="127"/>
        <v>45683.7312125051</v>
      </c>
      <c r="T83" s="56">
        <f t="shared" si="128"/>
        <v>45683.779255609</v>
      </c>
      <c r="U83" s="180">
        <f t="shared" si="129"/>
        <v>45683.784977831</v>
      </c>
      <c r="V83" s="55" t="str">
        <f t="shared" si="130"/>
        <v>Sets in 81m</v>
      </c>
      <c r="W83" s="55" t="str">
        <f t="shared" si="131"/>
        <v>287°M / +21°</v>
      </c>
      <c r="X83" s="56">
        <f t="shared" si="132"/>
        <v>45683.8527145679</v>
      </c>
      <c r="Y83" s="180">
        <f t="shared" si="133"/>
        <v>45683.7678100365</v>
      </c>
      <c r="Z83" s="55" t="str">
        <f t="shared" si="134"/>
        <v>355°M / -31°</v>
      </c>
      <c r="AA83" s="151">
        <f t="shared" si="135"/>
        <v>1025.9</v>
      </c>
      <c r="AB83" s="150">
        <f t="shared" si="136"/>
        <v>1076.3</v>
      </c>
      <c r="AC83" s="188">
        <v>74</v>
      </c>
      <c r="AD83" s="1" t="b">
        <f t="shared" si="28"/>
        <v>1</v>
      </c>
      <c r="AE83" s="1">
        <f t="shared" si="29"/>
        <v>65.7770470950188</v>
      </c>
      <c r="AF83" s="1">
        <f t="shared" si="30"/>
        <v>130.767557776666</v>
      </c>
      <c r="AG83" s="1">
        <f t="shared" si="31"/>
        <v>130.767557776666</v>
      </c>
      <c r="AH83" s="2">
        <f t="shared" si="137"/>
        <v>0.142280395507441</v>
      </c>
      <c r="AI83" s="1">
        <f t="shared" si="33"/>
        <v>0.966461186416236</v>
      </c>
      <c r="AJ83" s="191">
        <f t="shared" si="168"/>
        <v>0</v>
      </c>
      <c r="AK83" s="191">
        <f t="shared" si="169"/>
        <v>0</v>
      </c>
      <c r="AL83" s="191">
        <f t="shared" si="138"/>
        <v>100.750589283277</v>
      </c>
      <c r="AM83" s="20">
        <f t="shared" si="139"/>
        <v>41.2320504382363</v>
      </c>
      <c r="AN83" s="191">
        <f t="shared" si="140"/>
        <v>28.1780987856604</v>
      </c>
      <c r="AO83" s="134">
        <f t="shared" si="141"/>
        <v>135</v>
      </c>
      <c r="AP83" s="64">
        <f t="shared" si="38"/>
        <v>21</v>
      </c>
      <c r="AQ83" s="1">
        <f t="shared" si="167"/>
        <v>90.9738872097298</v>
      </c>
      <c r="AR83" s="20">
        <f t="shared" si="142"/>
        <v>27.0063863494607</v>
      </c>
      <c r="AS83" s="1">
        <f t="shared" si="143"/>
        <v>24.2220437495782</v>
      </c>
      <c r="AT83" s="134">
        <f t="shared" si="144"/>
        <v>151</v>
      </c>
      <c r="AU83" s="64">
        <f t="shared" si="145"/>
        <v>22</v>
      </c>
      <c r="AV83" s="65">
        <f t="shared" si="146"/>
        <v>45683.8527145679</v>
      </c>
      <c r="AW83" s="65">
        <f t="shared" si="147"/>
        <v>45683.7678100365</v>
      </c>
      <c r="AX83" s="1">
        <f t="shared" si="148"/>
        <v>218</v>
      </c>
      <c r="AY83" s="1">
        <f t="shared" si="149"/>
        <v>-31</v>
      </c>
      <c r="AZ83" s="131">
        <f t="shared" si="150"/>
        <v>1025.9</v>
      </c>
      <c r="BA83" s="1">
        <f t="shared" si="151"/>
        <v>1076.3</v>
      </c>
      <c r="BB83" s="1">
        <f t="shared" si="49"/>
        <v>42369246.6388329</v>
      </c>
      <c r="BC83" s="1">
        <f t="shared" si="50"/>
        <v>22</v>
      </c>
      <c r="BD83" s="1">
        <f t="shared" si="152"/>
        <v>57480484.3178001</v>
      </c>
      <c r="BE83" s="1">
        <f t="shared" si="153"/>
        <v>21</v>
      </c>
      <c r="BF83" s="20">
        <f t="shared" si="53"/>
        <v>110.676430341774</v>
      </c>
      <c r="BG83" s="1">
        <f t="shared" si="154"/>
        <v>-383.916077228854</v>
      </c>
      <c r="BH83" s="1">
        <f t="shared" si="155"/>
        <v>-144.889343852698</v>
      </c>
      <c r="BI83" s="1">
        <f t="shared" si="156"/>
        <v>912.085579711613</v>
      </c>
      <c r="BJ83" s="1">
        <f t="shared" si="157"/>
        <v>-383.916077228854</v>
      </c>
      <c r="BK83" s="1">
        <f t="shared" si="158"/>
        <v>-144.889343852698</v>
      </c>
      <c r="BL83" s="1">
        <f t="shared" si="159"/>
        <v>912.085579711613</v>
      </c>
      <c r="BM83" s="61">
        <f t="shared" si="160"/>
        <v>22461701.3364074</v>
      </c>
      <c r="BN83" s="61">
        <f t="shared" si="161"/>
        <v>37185600.0754863</v>
      </c>
      <c r="BO83" s="61">
        <f t="shared" si="162"/>
        <v>912.085579711613</v>
      </c>
      <c r="BQ83" s="1" t="str">
        <f t="shared" si="63"/>
        <v>N 65° 46.6' / E 130° 46.1'</v>
      </c>
      <c r="BR83" s="1" t="str">
        <f t="shared" si="64"/>
        <v>52W 512650 1147744</v>
      </c>
      <c r="BS83" s="1" t="str">
        <f t="shared" si="65"/>
        <v>52W ES 126477</v>
      </c>
      <c r="BT83" s="1" t="b">
        <f t="shared" si="66"/>
        <v>0</v>
      </c>
      <c r="BU83" s="1" t="str">
        <f t="shared" si="67"/>
        <v>52W</v>
      </c>
      <c r="BV83" s="1">
        <f t="shared" si="68"/>
        <v>52</v>
      </c>
      <c r="BW83" s="1">
        <f t="shared" si="69"/>
        <v>0</v>
      </c>
      <c r="BX83" s="1">
        <f t="shared" si="70"/>
        <v>129</v>
      </c>
      <c r="BY83" s="1">
        <f t="shared" si="163"/>
        <v>12650.8809672023</v>
      </c>
      <c r="BZ83" s="1">
        <f t="shared" si="72"/>
        <v>512650.881</v>
      </c>
      <c r="CA83" s="1" t="str">
        <f t="shared" si="73"/>
        <v>E</v>
      </c>
      <c r="CB83" s="1" t="str">
        <f t="shared" si="74"/>
        <v>512650</v>
      </c>
      <c r="CC83" s="1" t="str">
        <f t="shared" si="75"/>
        <v>12650</v>
      </c>
      <c r="CD83" s="1">
        <f t="shared" si="164"/>
        <v>1147744.80969607</v>
      </c>
      <c r="CE83" s="1">
        <f t="shared" si="77"/>
        <v>1147744.8097</v>
      </c>
      <c r="CF83" s="1" t="str">
        <f t="shared" si="78"/>
        <v>S</v>
      </c>
      <c r="CG83" s="1" t="str">
        <f t="shared" si="79"/>
        <v>1147744</v>
      </c>
      <c r="CH83" s="1" t="str">
        <f t="shared" si="80"/>
        <v>47744</v>
      </c>
      <c r="CJ83" s="1">
        <f t="shared" si="81"/>
        <v>622</v>
      </c>
      <c r="CK83" s="1" t="str">
        <f t="shared" si="82"/>
        <v>NZ</v>
      </c>
      <c r="CL83" s="1">
        <f t="shared" si="83"/>
        <v>2</v>
      </c>
      <c r="CM83" s="1">
        <f t="shared" si="84"/>
        <v>7</v>
      </c>
      <c r="CN83" s="1">
        <f t="shared" si="85"/>
        <v>0</v>
      </c>
      <c r="CO83" s="1">
        <f t="shared" si="86"/>
        <v>0</v>
      </c>
      <c r="CP83" s="1" t="str">
        <f t="shared" si="87"/>
        <v>622NZ27</v>
      </c>
      <c r="CR83" s="1" t="e">
        <f t="shared" si="88"/>
        <v>#VALUE!</v>
      </c>
      <c r="CS83" s="1" t="e">
        <f t="shared" si="89"/>
        <v>#VALUE!</v>
      </c>
      <c r="CT83" s="1">
        <f t="shared" si="90"/>
        <v>3</v>
      </c>
      <c r="CU83" s="1">
        <f t="shared" si="91"/>
        <v>6</v>
      </c>
      <c r="CV83" s="131" t="e">
        <f t="shared" si="92"/>
        <v>#VALUE!</v>
      </c>
      <c r="CW83" s="131">
        <v>1475.8</v>
      </c>
      <c r="CX83" s="131">
        <v>1517</v>
      </c>
      <c r="CY83" s="131">
        <v>1960.7</v>
      </c>
      <c r="CZ83" s="131">
        <v>1991.9</v>
      </c>
      <c r="DA83" s="131">
        <v>2387.2</v>
      </c>
      <c r="DC83" s="154">
        <f t="shared" si="93"/>
        <v>267.953108728863</v>
      </c>
      <c r="DD83" s="154">
        <f t="shared" si="94"/>
        <v>912.085579711613</v>
      </c>
      <c r="DE83" s="154">
        <f t="shared" si="95"/>
        <v>310.782251487106</v>
      </c>
      <c r="DF83" s="1">
        <f t="shared" si="96"/>
        <v>18.1037138008017</v>
      </c>
      <c r="DG83" s="1">
        <f t="shared" si="97"/>
        <v>73.6282316692782</v>
      </c>
      <c r="DH83" s="1">
        <f t="shared" si="98"/>
        <v>272</v>
      </c>
      <c r="DI83" s="1">
        <f t="shared" si="165"/>
        <v>287</v>
      </c>
      <c r="DJ83" s="1">
        <f t="shared" si="166"/>
        <v>355</v>
      </c>
      <c r="DK83" s="1">
        <f t="shared" si="101"/>
        <v>272</v>
      </c>
      <c r="DL83" s="1">
        <f t="shared" si="102"/>
        <v>287</v>
      </c>
      <c r="DM83" s="1">
        <f t="shared" si="103"/>
        <v>355</v>
      </c>
    </row>
    <row r="84" customHeight="1" spans="1:117">
      <c r="A84" s="152" t="str">
        <f t="shared" si="170"/>
        <v>Caterpillar Wreck 53W</v>
      </c>
      <c r="C84" s="55" t="str">
        <f t="shared" si="5"/>
        <v>N 71° 46.8' / E 135° 39.8'</v>
      </c>
      <c r="D84" s="150" t="str">
        <f t="shared" si="6"/>
        <v>38 m</v>
      </c>
      <c r="E84" s="151">
        <f t="shared" si="117"/>
        <v>581</v>
      </c>
      <c r="F84" s="151">
        <f t="shared" si="118"/>
        <v>2409.9</v>
      </c>
      <c r="G84" s="151">
        <f t="shared" si="119"/>
        <v>1563.1</v>
      </c>
      <c r="H84" s="151">
        <f t="shared" si="120"/>
        <v>1924</v>
      </c>
      <c r="I84" s="151">
        <f t="shared" si="121"/>
        <v>1927.8</v>
      </c>
      <c r="J84" s="171">
        <f t="shared" si="122"/>
        <v>1558.4</v>
      </c>
      <c r="K84" s="172">
        <f t="shared" si="171"/>
        <v>-223.633552985958</v>
      </c>
      <c r="L84" s="172">
        <f t="shared" si="172"/>
        <v>218.51939659621</v>
      </c>
      <c r="M84" s="173">
        <f t="shared" si="173"/>
        <v>949.902150956804</v>
      </c>
      <c r="N84" s="54">
        <f t="shared" si="123"/>
        <v>0.0987772893769849</v>
      </c>
      <c r="O84" s="55" t="str">
        <f t="shared" si="124"/>
        <v>Morning / Sets in 96m</v>
      </c>
      <c r="P84" s="55" t="str">
        <f t="shared" si="15"/>
        <v>274°M / +18°</v>
      </c>
      <c r="Q84" s="56">
        <f t="shared" si="125"/>
        <v>45683.8454340521</v>
      </c>
      <c r="R84" s="56">
        <f t="shared" si="126"/>
        <v>45683.8511562742</v>
      </c>
      <c r="S84" s="56">
        <f t="shared" si="127"/>
        <v>45683.7288782564</v>
      </c>
      <c r="T84" s="56">
        <f t="shared" si="128"/>
        <v>45683.7782669011</v>
      </c>
      <c r="U84" s="180">
        <f t="shared" si="129"/>
        <v>45683.7839891231</v>
      </c>
      <c r="V84" s="55" t="str">
        <f t="shared" si="130"/>
        <v>Sets in 77m</v>
      </c>
      <c r="W84" s="55" t="str">
        <f t="shared" si="131"/>
        <v>290°M / +17°</v>
      </c>
      <c r="X84" s="56">
        <f t="shared" si="132"/>
        <v>45683.8506017667</v>
      </c>
      <c r="Y84" s="180">
        <f t="shared" si="133"/>
        <v>45683.7652543404</v>
      </c>
      <c r="Z84" s="55" t="str">
        <f t="shared" si="134"/>
        <v>354°M / -34°</v>
      </c>
      <c r="AA84" s="151">
        <f t="shared" si="135"/>
        <v>1110.6</v>
      </c>
      <c r="AB84" s="150">
        <f t="shared" si="136"/>
        <v>1176.5</v>
      </c>
      <c r="AC84" s="188">
        <v>75</v>
      </c>
      <c r="AD84" s="1" t="b">
        <f t="shared" si="28"/>
        <v>1</v>
      </c>
      <c r="AE84" s="1">
        <f t="shared" si="29"/>
        <v>71.78049730604</v>
      </c>
      <c r="AF84" s="1">
        <f t="shared" si="30"/>
        <v>135.662681343989</v>
      </c>
      <c r="AG84" s="1">
        <f t="shared" si="31"/>
        <v>135.662681343989</v>
      </c>
      <c r="AH84" s="2">
        <f t="shared" si="137"/>
        <v>0.0383938140864757</v>
      </c>
      <c r="AI84" s="1">
        <f t="shared" si="33"/>
        <v>0.502066577663597</v>
      </c>
      <c r="AJ84" s="191">
        <f t="shared" si="168"/>
        <v>0</v>
      </c>
      <c r="AK84" s="191">
        <f t="shared" si="169"/>
        <v>0</v>
      </c>
      <c r="AL84" s="191">
        <f t="shared" si="138"/>
        <v>103.572305938302</v>
      </c>
      <c r="AM84" s="20">
        <f t="shared" si="139"/>
        <v>36.336926870914</v>
      </c>
      <c r="AN84" s="191">
        <f t="shared" si="140"/>
        <v>22.1745884460151</v>
      </c>
      <c r="AO84" s="134">
        <f t="shared" si="141"/>
        <v>141</v>
      </c>
      <c r="AP84" s="64">
        <f t="shared" si="38"/>
        <v>18</v>
      </c>
      <c r="AQ84" s="1">
        <f t="shared" si="167"/>
        <v>90.5094926009772</v>
      </c>
      <c r="AR84" s="20">
        <f t="shared" si="142"/>
        <v>22.1112627821384</v>
      </c>
      <c r="AS84" s="1">
        <f t="shared" si="143"/>
        <v>18.2185558450749</v>
      </c>
      <c r="AT84" s="134">
        <f t="shared" si="144"/>
        <v>157</v>
      </c>
      <c r="AU84" s="64">
        <f t="shared" si="145"/>
        <v>17</v>
      </c>
      <c r="AV84" s="65">
        <f t="shared" si="146"/>
        <v>45683.8506017667</v>
      </c>
      <c r="AW84" s="65">
        <f t="shared" si="147"/>
        <v>45683.7652543404</v>
      </c>
      <c r="AX84" s="1">
        <f t="shared" si="148"/>
        <v>222</v>
      </c>
      <c r="AY84" s="1">
        <f t="shared" si="149"/>
        <v>-34</v>
      </c>
      <c r="AZ84" s="131">
        <f t="shared" si="150"/>
        <v>1110.6</v>
      </c>
      <c r="BA84" s="1">
        <f t="shared" si="151"/>
        <v>1176.5</v>
      </c>
      <c r="BB84" s="1">
        <f t="shared" si="49"/>
        <v>42369300.6242067</v>
      </c>
      <c r="BC84" s="1">
        <f t="shared" si="50"/>
        <v>18</v>
      </c>
      <c r="BD84" s="1">
        <f t="shared" si="152"/>
        <v>57480560.2442978</v>
      </c>
      <c r="BE84" s="1">
        <f t="shared" si="153"/>
        <v>17</v>
      </c>
      <c r="BF84" s="20">
        <f t="shared" si="53"/>
        <v>115.571553909096</v>
      </c>
      <c r="BG84" s="1">
        <f t="shared" si="154"/>
        <v>-282.043251865357</v>
      </c>
      <c r="BH84" s="1">
        <f t="shared" si="155"/>
        <v>-134.960352648878</v>
      </c>
      <c r="BI84" s="1">
        <f t="shared" si="156"/>
        <v>949.902150956804</v>
      </c>
      <c r="BJ84" s="1">
        <f t="shared" si="157"/>
        <v>-282.043251865357</v>
      </c>
      <c r="BK84" s="1">
        <f t="shared" si="158"/>
        <v>-134.960352648878</v>
      </c>
      <c r="BL84" s="1">
        <f t="shared" si="159"/>
        <v>949.902150956804</v>
      </c>
      <c r="BM84" s="61">
        <f t="shared" si="160"/>
        <v>22461803.2092327</v>
      </c>
      <c r="BN84" s="61">
        <f t="shared" si="161"/>
        <v>37185610.0044774</v>
      </c>
      <c r="BO84" s="61">
        <f t="shared" si="162"/>
        <v>949.902150956804</v>
      </c>
      <c r="BQ84" s="1" t="str">
        <f t="shared" si="63"/>
        <v>N 71° 46.8' / E 135° 39.8'</v>
      </c>
      <c r="BR84" s="1" t="str">
        <f t="shared" si="64"/>
        <v>53W 503614 1252324</v>
      </c>
      <c r="BS84" s="1" t="str">
        <f t="shared" si="65"/>
        <v>53W NN 036523</v>
      </c>
      <c r="BT84" s="1" t="b">
        <f t="shared" si="66"/>
        <v>0</v>
      </c>
      <c r="BU84" s="1" t="str">
        <f t="shared" si="67"/>
        <v>53W</v>
      </c>
      <c r="BV84" s="1">
        <f t="shared" si="68"/>
        <v>53</v>
      </c>
      <c r="BW84" s="1">
        <f t="shared" si="69"/>
        <v>0</v>
      </c>
      <c r="BX84" s="1">
        <f t="shared" si="70"/>
        <v>135</v>
      </c>
      <c r="BY84" s="1">
        <f t="shared" si="163"/>
        <v>3614.68513604639</v>
      </c>
      <c r="BZ84" s="1">
        <f t="shared" si="72"/>
        <v>503614.6851</v>
      </c>
      <c r="CA84" s="1" t="str">
        <f t="shared" si="73"/>
        <v>N</v>
      </c>
      <c r="CB84" s="1" t="str">
        <f t="shared" si="74"/>
        <v>503614</v>
      </c>
      <c r="CC84" s="1" t="str">
        <f t="shared" si="75"/>
        <v>03614</v>
      </c>
      <c r="CD84" s="1">
        <f t="shared" si="164"/>
        <v>1252324.75024825</v>
      </c>
      <c r="CE84" s="1">
        <f t="shared" si="77"/>
        <v>1252324.7502</v>
      </c>
      <c r="CF84" s="1" t="str">
        <f t="shared" si="78"/>
        <v>N</v>
      </c>
      <c r="CG84" s="1" t="str">
        <f t="shared" si="79"/>
        <v>1252324</v>
      </c>
      <c r="CH84" s="1" t="str">
        <f t="shared" si="80"/>
        <v>52324</v>
      </c>
      <c r="CJ84" s="1">
        <f t="shared" si="81"/>
        <v>632</v>
      </c>
      <c r="CK84" s="1" t="str">
        <f t="shared" si="82"/>
        <v>PM</v>
      </c>
      <c r="CL84" s="1">
        <f t="shared" si="83"/>
        <v>1</v>
      </c>
      <c r="CM84" s="1">
        <f t="shared" si="84"/>
        <v>8</v>
      </c>
      <c r="CN84" s="1">
        <f t="shared" si="85"/>
        <v>1</v>
      </c>
      <c r="CO84" s="1">
        <f t="shared" si="86"/>
        <v>0</v>
      </c>
      <c r="CP84" s="1" t="str">
        <f t="shared" si="87"/>
        <v>632PM18</v>
      </c>
      <c r="CR84" s="1" t="e">
        <f t="shared" si="88"/>
        <v>#VALUE!</v>
      </c>
      <c r="CS84" s="1" t="e">
        <f t="shared" si="89"/>
        <v>#VALUE!</v>
      </c>
      <c r="CT84" s="1">
        <f t="shared" si="90"/>
        <v>6</v>
      </c>
      <c r="CU84" s="1">
        <f t="shared" si="91"/>
        <v>3</v>
      </c>
      <c r="CV84" s="131" t="e">
        <f t="shared" si="92"/>
        <v>#VALUE!</v>
      </c>
      <c r="CW84" s="131">
        <v>1558.4</v>
      </c>
      <c r="CX84" s="131">
        <v>1563.1</v>
      </c>
      <c r="CY84" s="131">
        <v>1924</v>
      </c>
      <c r="CZ84" s="131">
        <v>1927.8</v>
      </c>
      <c r="DA84" s="131">
        <v>2409.9</v>
      </c>
      <c r="DC84" s="154">
        <f t="shared" si="93"/>
        <v>223.633552985958</v>
      </c>
      <c r="DD84" s="154">
        <f t="shared" si="94"/>
        <v>949.902150956804</v>
      </c>
      <c r="DE84" s="154">
        <f t="shared" si="95"/>
        <v>218.51939659621</v>
      </c>
      <c r="DF84" s="1">
        <f t="shared" si="96"/>
        <v>12.6215923252513</v>
      </c>
      <c r="DG84" s="1">
        <f t="shared" si="97"/>
        <v>76.7522124219035</v>
      </c>
      <c r="DH84" s="1">
        <f t="shared" si="98"/>
        <v>274</v>
      </c>
      <c r="DI84" s="1">
        <f t="shared" si="165"/>
        <v>290</v>
      </c>
      <c r="DJ84" s="1">
        <f t="shared" si="166"/>
        <v>354</v>
      </c>
      <c r="DK84" s="1">
        <f t="shared" si="101"/>
        <v>274</v>
      </c>
      <c r="DL84" s="1">
        <f t="shared" si="102"/>
        <v>290</v>
      </c>
      <c r="DM84" s="1">
        <f t="shared" si="103"/>
        <v>354</v>
      </c>
    </row>
    <row r="85" customHeight="1" spans="1:117">
      <c r="A85" s="152" t="str">
        <f t="shared" si="170"/>
        <v>Constellation Wreck 08N</v>
      </c>
      <c r="C85" s="55" t="str">
        <f t="shared" si="5"/>
        <v>N 06° 25.9' / W 132° 52.4'</v>
      </c>
      <c r="D85" s="150" t="str">
        <f t="shared" si="6"/>
        <v>926 m</v>
      </c>
      <c r="E85" s="151">
        <f t="shared" si="117"/>
        <v>1658.7</v>
      </c>
      <c r="F85" s="151">
        <f t="shared" si="118"/>
        <v>1843.1</v>
      </c>
      <c r="G85" s="151">
        <f t="shared" si="119"/>
        <v>2274.4</v>
      </c>
      <c r="H85" s="151">
        <f t="shared" si="120"/>
        <v>987.7</v>
      </c>
      <c r="I85" s="151">
        <f t="shared" si="121"/>
        <v>2241.1</v>
      </c>
      <c r="J85" s="171">
        <f t="shared" si="122"/>
        <v>1061.1</v>
      </c>
      <c r="K85" s="172">
        <f t="shared" si="171"/>
        <v>-676.717865094178</v>
      </c>
      <c r="L85" s="172">
        <f t="shared" si="172"/>
        <v>-728.925426829962</v>
      </c>
      <c r="M85" s="173">
        <f t="shared" si="173"/>
        <v>112.129584296142</v>
      </c>
      <c r="N85" s="54">
        <f t="shared" si="123"/>
        <v>0.0895074005961155</v>
      </c>
      <c r="O85" s="55" t="str">
        <f t="shared" si="124"/>
        <v>Afternoon / Sets in 27m</v>
      </c>
      <c r="P85" s="55" t="str">
        <f t="shared" si="15"/>
        <v>353°M / +35°</v>
      </c>
      <c r="Q85" s="56">
        <f t="shared" si="125"/>
        <v>45683.8064540355</v>
      </c>
      <c r="R85" s="56">
        <f t="shared" si="126"/>
        <v>45683.8121762576</v>
      </c>
      <c r="S85" s="56">
        <f t="shared" si="127"/>
        <v>45683.8569299579</v>
      </c>
      <c r="T85" s="56">
        <f t="shared" si="128"/>
        <v>45683.7300169957</v>
      </c>
      <c r="U85" s="180">
        <f t="shared" si="129"/>
        <v>45683.7357392177</v>
      </c>
      <c r="V85" s="55" t="str">
        <f t="shared" si="130"/>
        <v>Sets in 16m</v>
      </c>
      <c r="W85" s="55" t="str">
        <f t="shared" si="131"/>
        <v>351°M / +21°</v>
      </c>
      <c r="X85" s="56">
        <f t="shared" si="132"/>
        <v>45683.8060510369</v>
      </c>
      <c r="Y85" s="180">
        <f t="shared" si="133"/>
        <v>45683.7225751481</v>
      </c>
      <c r="Z85" s="55" t="str">
        <f t="shared" si="134"/>
        <v>009°M / -64°</v>
      </c>
      <c r="AA85" s="151">
        <f t="shared" si="135"/>
        <v>1797.4</v>
      </c>
      <c r="AB85" s="150">
        <f t="shared" si="136"/>
        <v>2228.9</v>
      </c>
      <c r="AC85" s="188">
        <v>76</v>
      </c>
      <c r="AD85" s="1" t="b">
        <f t="shared" si="28"/>
        <v>1</v>
      </c>
      <c r="AE85" s="1">
        <f t="shared" si="29"/>
        <v>6.43211156771532</v>
      </c>
      <c r="AF85" s="1">
        <f t="shared" si="30"/>
        <v>-132.872932179953</v>
      </c>
      <c r="AG85" s="1">
        <f t="shared" si="31"/>
        <v>227.127067820047</v>
      </c>
      <c r="AH85" s="2">
        <f t="shared" si="137"/>
        <v>0.925766723631682</v>
      </c>
      <c r="AI85" s="1">
        <f t="shared" si="33"/>
        <v>2.46445537121834</v>
      </c>
      <c r="AJ85" s="191">
        <f t="shared" si="168"/>
        <v>0</v>
      </c>
      <c r="AK85" s="191">
        <f t="shared" si="169"/>
        <v>0</v>
      </c>
      <c r="AL85" s="191">
        <f t="shared" si="138"/>
        <v>93.8524223205003</v>
      </c>
      <c r="AM85" s="20">
        <f t="shared" si="139"/>
        <v>-55.1274596051445</v>
      </c>
      <c r="AN85" s="191">
        <f t="shared" si="140"/>
        <v>87.524168023656</v>
      </c>
      <c r="AO85" s="134">
        <f t="shared" si="141"/>
        <v>270</v>
      </c>
      <c r="AP85" s="64">
        <f t="shared" si="38"/>
        <v>50</v>
      </c>
      <c r="AQ85" s="1">
        <f t="shared" si="167"/>
        <v>92.4718813945319</v>
      </c>
      <c r="AR85" s="20">
        <f t="shared" si="142"/>
        <v>-69.3531236939201</v>
      </c>
      <c r="AS85" s="1">
        <f t="shared" si="143"/>
        <v>83.5677766619149</v>
      </c>
      <c r="AT85" s="134">
        <f t="shared" si="144"/>
        <v>268</v>
      </c>
      <c r="AU85" s="64">
        <f t="shared" si="145"/>
        <v>29</v>
      </c>
      <c r="AV85" s="65">
        <f t="shared" si="146"/>
        <v>45683.8060510369</v>
      </c>
      <c r="AW85" s="65">
        <f t="shared" si="147"/>
        <v>45683.7225751481</v>
      </c>
      <c r="AX85" s="1">
        <f t="shared" si="148"/>
        <v>286</v>
      </c>
      <c r="AY85" s="1">
        <f t="shared" si="149"/>
        <v>-64</v>
      </c>
      <c r="AZ85" s="131">
        <f t="shared" si="150"/>
        <v>1797.4</v>
      </c>
      <c r="BA85" s="1">
        <f t="shared" si="151"/>
        <v>2228.9</v>
      </c>
      <c r="BB85" s="1">
        <f t="shared" si="49"/>
        <v>42369042.3704244</v>
      </c>
      <c r="BC85" s="1">
        <f t="shared" si="50"/>
        <v>35</v>
      </c>
      <c r="BD85" s="1">
        <f t="shared" si="152"/>
        <v>57480499.2066136</v>
      </c>
      <c r="BE85" s="1">
        <f t="shared" si="153"/>
        <v>21</v>
      </c>
      <c r="BF85" s="20">
        <f t="shared" si="53"/>
        <v>-152.964059614845</v>
      </c>
      <c r="BG85" s="1">
        <f t="shared" si="154"/>
        <v>452.10622087544</v>
      </c>
      <c r="BH85" s="1">
        <f t="shared" si="155"/>
        <v>-885.934146459313</v>
      </c>
      <c r="BI85" s="1">
        <f t="shared" si="156"/>
        <v>112.129584296142</v>
      </c>
      <c r="BJ85" s="1">
        <f t="shared" si="157"/>
        <v>452.10622087544</v>
      </c>
      <c r="BK85" s="1">
        <f t="shared" si="158"/>
        <v>-885.934146459313</v>
      </c>
      <c r="BL85" s="1">
        <f t="shared" si="159"/>
        <v>112.129584296142</v>
      </c>
      <c r="BM85" s="61">
        <f t="shared" si="160"/>
        <v>22462537.3587055</v>
      </c>
      <c r="BN85" s="61">
        <f t="shared" si="161"/>
        <v>37184859.0306836</v>
      </c>
      <c r="BO85" s="61">
        <f t="shared" si="162"/>
        <v>112.129584296142</v>
      </c>
      <c r="BQ85" s="1" t="str">
        <f t="shared" si="63"/>
        <v>N 06° 25.9' / W 132° 52.4'</v>
      </c>
      <c r="BR85" s="1" t="str">
        <f t="shared" si="64"/>
        <v>08N 536884 112293</v>
      </c>
      <c r="BS85" s="1" t="str">
        <f t="shared" si="65"/>
        <v>08N NG 368122</v>
      </c>
      <c r="BT85" s="1" t="b">
        <f t="shared" si="66"/>
        <v>0</v>
      </c>
      <c r="BU85" s="1" t="str">
        <f t="shared" si="67"/>
        <v>08N</v>
      </c>
      <c r="BV85" s="1">
        <f t="shared" si="68"/>
        <v>8</v>
      </c>
      <c r="BW85" s="1">
        <f t="shared" si="69"/>
        <v>0</v>
      </c>
      <c r="BX85" s="1">
        <f t="shared" si="70"/>
        <v>-135</v>
      </c>
      <c r="BY85" s="1">
        <f t="shared" si="163"/>
        <v>36884.1542841248</v>
      </c>
      <c r="BZ85" s="1">
        <f t="shared" si="72"/>
        <v>536884.1543</v>
      </c>
      <c r="CA85" s="1" t="str">
        <f t="shared" si="73"/>
        <v>N</v>
      </c>
      <c r="CB85" s="1" t="str">
        <f t="shared" si="74"/>
        <v>536884</v>
      </c>
      <c r="CC85" s="1" t="str">
        <f t="shared" si="75"/>
        <v>36884</v>
      </c>
      <c r="CD85" s="1">
        <f t="shared" si="164"/>
        <v>112293.344822325</v>
      </c>
      <c r="CE85" s="1">
        <f t="shared" si="77"/>
        <v>112293.3448</v>
      </c>
      <c r="CF85" s="1" t="str">
        <f t="shared" si="78"/>
        <v>G</v>
      </c>
      <c r="CG85" s="1" t="str">
        <f t="shared" si="79"/>
        <v>112293</v>
      </c>
      <c r="CH85" s="1" t="str">
        <f t="shared" si="80"/>
        <v>12293</v>
      </c>
      <c r="CJ85" s="1">
        <f t="shared" si="81"/>
        <v>95</v>
      </c>
      <c r="CK85" s="1" t="str">
        <f t="shared" si="82"/>
        <v>JA</v>
      </c>
      <c r="CL85" s="1">
        <f t="shared" si="83"/>
        <v>1</v>
      </c>
      <c r="CM85" s="1">
        <f t="shared" si="84"/>
        <v>2</v>
      </c>
      <c r="CN85" s="1">
        <f t="shared" si="85"/>
        <v>1</v>
      </c>
      <c r="CO85" s="1">
        <f t="shared" si="86"/>
        <v>2</v>
      </c>
      <c r="CP85" s="1" t="str">
        <f t="shared" si="87"/>
        <v>095JA12</v>
      </c>
      <c r="CR85" s="1" t="e">
        <f t="shared" si="88"/>
        <v>#VALUE!</v>
      </c>
      <c r="CS85" s="1" t="e">
        <f t="shared" si="89"/>
        <v>#VALUE!</v>
      </c>
      <c r="CT85" s="1">
        <f t="shared" si="90"/>
        <v>6</v>
      </c>
      <c r="CU85" s="1">
        <f t="shared" si="91"/>
        <v>1</v>
      </c>
      <c r="CV85" s="131" t="e">
        <f t="shared" si="92"/>
        <v>#VALUE!</v>
      </c>
      <c r="CW85" s="131">
        <v>1061.1</v>
      </c>
      <c r="CX85" s="131">
        <v>1658.7</v>
      </c>
      <c r="CY85" s="131">
        <v>1843.1</v>
      </c>
      <c r="CZ85" s="131">
        <v>2241.1</v>
      </c>
      <c r="DA85" s="131">
        <v>2274.4</v>
      </c>
      <c r="DC85" s="154">
        <f t="shared" si="93"/>
        <v>676.717865094178</v>
      </c>
      <c r="DD85" s="154">
        <f t="shared" si="94"/>
        <v>112.129584296142</v>
      </c>
      <c r="DE85" s="154">
        <f t="shared" si="95"/>
        <v>-728.925426829962</v>
      </c>
      <c r="DF85" s="1">
        <f t="shared" si="96"/>
        <v>-46.7399886523335</v>
      </c>
      <c r="DG85" s="1">
        <f t="shared" si="97"/>
        <v>9.40821332544372</v>
      </c>
      <c r="DH85" s="1">
        <f t="shared" si="98"/>
        <v>353</v>
      </c>
      <c r="DI85" s="1">
        <f t="shared" si="165"/>
        <v>351</v>
      </c>
      <c r="DJ85" s="1">
        <f t="shared" si="166"/>
        <v>9</v>
      </c>
      <c r="DK85" s="1">
        <f t="shared" si="101"/>
        <v>353</v>
      </c>
      <c r="DL85" s="1">
        <f t="shared" si="102"/>
        <v>351</v>
      </c>
      <c r="DM85" s="1">
        <f t="shared" si="103"/>
        <v>9</v>
      </c>
    </row>
    <row r="86" customHeight="1" spans="1:117">
      <c r="A86" s="152" t="str">
        <f t="shared" si="170"/>
        <v>Constellation Wreck 26L</v>
      </c>
      <c r="C86" s="55" t="str">
        <f t="shared" si="5"/>
        <v>S 08° 11.5' / W 028° 00.1'</v>
      </c>
      <c r="D86" s="150" t="str">
        <f t="shared" si="6"/>
        <v>1455 m</v>
      </c>
      <c r="E86" s="151">
        <f t="shared" si="117"/>
        <v>1867.1</v>
      </c>
      <c r="F86" s="151">
        <f t="shared" si="118"/>
        <v>1632.3</v>
      </c>
      <c r="G86" s="151">
        <f t="shared" si="119"/>
        <v>2101.3</v>
      </c>
      <c r="H86" s="151">
        <f t="shared" si="120"/>
        <v>1317.4</v>
      </c>
      <c r="I86" s="151">
        <f t="shared" si="121"/>
        <v>745.3</v>
      </c>
      <c r="J86" s="171">
        <f t="shared" si="122"/>
        <v>2365.4</v>
      </c>
      <c r="K86" s="172">
        <f t="shared" si="171"/>
        <v>875.200546632067</v>
      </c>
      <c r="L86" s="172">
        <f t="shared" si="172"/>
        <v>-465.380147321214</v>
      </c>
      <c r="M86" s="173">
        <f t="shared" si="173"/>
        <v>-142.68191251041</v>
      </c>
      <c r="N86" s="54">
        <f t="shared" si="123"/>
        <v>0.0891332501303005</v>
      </c>
      <c r="O86" s="55" t="str">
        <f t="shared" si="124"/>
        <v>Night / Rises in 73m</v>
      </c>
      <c r="P86" s="55" t="str">
        <f t="shared" si="15"/>
        <v>165°M / -70°</v>
      </c>
      <c r="Q86" s="56">
        <f t="shared" si="125"/>
        <v>45683.7566329356</v>
      </c>
      <c r="R86" s="56">
        <f t="shared" si="126"/>
        <v>45683.7623551577</v>
      </c>
      <c r="S86" s="56">
        <f t="shared" si="127"/>
        <v>45683.8069217828</v>
      </c>
      <c r="T86" s="56">
        <f t="shared" si="128"/>
        <v>45683.8514884079</v>
      </c>
      <c r="U86" s="180">
        <f t="shared" si="129"/>
        <v>45683.8572106299</v>
      </c>
      <c r="V86" s="55" t="str">
        <f t="shared" si="130"/>
        <v>Obstructed / Rises in 64m</v>
      </c>
      <c r="W86" s="55" t="str">
        <f t="shared" si="131"/>
        <v>121°M / -80°</v>
      </c>
      <c r="X86" s="56">
        <f t="shared" si="132"/>
        <v>45683.755744913</v>
      </c>
      <c r="Y86" s="180">
        <f t="shared" si="133"/>
        <v>45683.8445315844</v>
      </c>
      <c r="Z86" s="55" t="str">
        <f t="shared" si="134"/>
        <v>351°M / -63°</v>
      </c>
      <c r="AA86" s="151">
        <f t="shared" si="135"/>
        <v>1784.6</v>
      </c>
      <c r="AB86" s="150">
        <f t="shared" si="136"/>
        <v>2199.3</v>
      </c>
      <c r="AC86" s="188">
        <v>77</v>
      </c>
      <c r="AD86" s="1" t="b">
        <f t="shared" si="28"/>
        <v>1</v>
      </c>
      <c r="AE86" s="1">
        <f t="shared" si="29"/>
        <v>-8.19106394794547</v>
      </c>
      <c r="AF86" s="1">
        <f t="shared" si="30"/>
        <v>-28.0014168739734</v>
      </c>
      <c r="AG86" s="1">
        <f t="shared" si="31"/>
        <v>331.998583126027</v>
      </c>
      <c r="AH86" s="2">
        <f t="shared" si="137"/>
        <v>1.45534423828008</v>
      </c>
      <c r="AI86" s="1">
        <f t="shared" si="33"/>
        <v>3.08928026145965</v>
      </c>
      <c r="AJ86" s="191">
        <f t="shared" si="168"/>
        <v>0</v>
      </c>
      <c r="AK86" s="191">
        <f t="shared" si="169"/>
        <v>0</v>
      </c>
      <c r="AL86" s="191">
        <f t="shared" si="138"/>
        <v>93.4601092011915</v>
      </c>
      <c r="AM86" s="20">
        <f t="shared" si="139"/>
        <v>-159.998974911124</v>
      </c>
      <c r="AN86" s="191">
        <f t="shared" si="140"/>
        <v>77.852313007666</v>
      </c>
      <c r="AO86" s="134">
        <f t="shared" si="141"/>
        <v>259</v>
      </c>
      <c r="AP86" s="64">
        <f t="shared" si="38"/>
        <v>-73</v>
      </c>
      <c r="AQ86" s="1">
        <f t="shared" si="167"/>
        <v>93.0967062847732</v>
      </c>
      <c r="AR86" s="20">
        <f t="shared" si="142"/>
        <v>-174.2246389999</v>
      </c>
      <c r="AS86" s="1">
        <f t="shared" si="143"/>
        <v>81.8087938273182</v>
      </c>
      <c r="AT86" s="134">
        <f t="shared" si="144"/>
        <v>215</v>
      </c>
      <c r="AU86" s="64">
        <f t="shared" si="145"/>
        <v>-81</v>
      </c>
      <c r="AV86" s="65">
        <f t="shared" si="146"/>
        <v>45683.755744913</v>
      </c>
      <c r="AW86" s="65">
        <f t="shared" si="147"/>
        <v>45683.8445315844</v>
      </c>
      <c r="AX86" s="1">
        <f t="shared" si="148"/>
        <v>85</v>
      </c>
      <c r="AY86" s="1">
        <f t="shared" si="149"/>
        <v>-63</v>
      </c>
      <c r="AZ86" s="131">
        <f t="shared" si="150"/>
        <v>1784.6</v>
      </c>
      <c r="BA86" s="1">
        <f t="shared" si="151"/>
        <v>2199.3</v>
      </c>
      <c r="BB86" s="1">
        <f t="shared" si="49"/>
        <v>42370556.5036061</v>
      </c>
      <c r="BC86" s="1">
        <f t="shared" si="50"/>
        <v>-70</v>
      </c>
      <c r="BD86" s="1">
        <f t="shared" si="152"/>
        <v>57481836.1189185</v>
      </c>
      <c r="BE86" s="1">
        <f t="shared" si="153"/>
        <v>-80</v>
      </c>
      <c r="BF86" s="20">
        <f t="shared" si="53"/>
        <v>-48.0925443088658</v>
      </c>
      <c r="BG86" s="1">
        <f t="shared" si="154"/>
        <v>737.704456442341</v>
      </c>
      <c r="BH86" s="1">
        <f t="shared" si="155"/>
        <v>662.07764898907</v>
      </c>
      <c r="BI86" s="1">
        <f t="shared" si="156"/>
        <v>-142.68191251041</v>
      </c>
      <c r="BJ86" s="1">
        <f t="shared" si="157"/>
        <v>737.704456442341</v>
      </c>
      <c r="BK86" s="1">
        <f t="shared" si="158"/>
        <v>662.07764898907</v>
      </c>
      <c r="BL86" s="1">
        <f t="shared" si="159"/>
        <v>-142.68191251041</v>
      </c>
      <c r="BM86" s="61">
        <f t="shared" si="160"/>
        <v>22462822.956941</v>
      </c>
      <c r="BN86" s="61">
        <f t="shared" si="161"/>
        <v>37186407.0424791</v>
      </c>
      <c r="BO86" s="61">
        <f t="shared" si="162"/>
        <v>-142.68191251041</v>
      </c>
      <c r="BQ86" s="1" t="str">
        <f t="shared" si="63"/>
        <v>S 08° 11.5' / W 028° 00.1'</v>
      </c>
      <c r="BR86" s="1" t="str">
        <f t="shared" si="64"/>
        <v>26L 482706 1857074</v>
      </c>
      <c r="BS86" s="1" t="str">
        <f t="shared" si="65"/>
        <v>26L MD 827570</v>
      </c>
      <c r="BT86" s="1" t="b">
        <f t="shared" si="66"/>
        <v>0</v>
      </c>
      <c r="BU86" s="1" t="str">
        <f t="shared" si="67"/>
        <v>26L</v>
      </c>
      <c r="BV86" s="1">
        <f t="shared" si="68"/>
        <v>26</v>
      </c>
      <c r="BW86" s="1">
        <f t="shared" si="69"/>
        <v>0</v>
      </c>
      <c r="BX86" s="1">
        <f t="shared" si="70"/>
        <v>-27</v>
      </c>
      <c r="BY86" s="1">
        <f t="shared" si="163"/>
        <v>-17293.643830881</v>
      </c>
      <c r="BZ86" s="1">
        <f t="shared" si="72"/>
        <v>482706.3562</v>
      </c>
      <c r="CA86" s="1" t="str">
        <f t="shared" si="73"/>
        <v>M</v>
      </c>
      <c r="CB86" s="1" t="str">
        <f t="shared" si="74"/>
        <v>482706</v>
      </c>
      <c r="CC86" s="1" t="str">
        <f t="shared" si="75"/>
        <v>82706</v>
      </c>
      <c r="CD86" s="1">
        <f t="shared" si="164"/>
        <v>-142925.38442807</v>
      </c>
      <c r="CE86" s="1">
        <f t="shared" si="77"/>
        <v>1857074.6156</v>
      </c>
      <c r="CF86" s="1" t="str">
        <f t="shared" si="78"/>
        <v>D</v>
      </c>
      <c r="CG86" s="1" t="str">
        <f t="shared" si="79"/>
        <v>1857074</v>
      </c>
      <c r="CH86" s="1" t="str">
        <f t="shared" si="80"/>
        <v>57074</v>
      </c>
      <c r="CJ86" s="1">
        <f t="shared" si="81"/>
        <v>304</v>
      </c>
      <c r="CK86" s="1" t="str">
        <f t="shared" si="82"/>
        <v>GV</v>
      </c>
      <c r="CL86" s="1">
        <f t="shared" si="83"/>
        <v>2</v>
      </c>
      <c r="CM86" s="1">
        <f t="shared" si="84"/>
        <v>9</v>
      </c>
      <c r="CN86" s="1">
        <f t="shared" si="85"/>
        <v>2</v>
      </c>
      <c r="CO86" s="1">
        <f t="shared" si="86"/>
        <v>0</v>
      </c>
      <c r="CP86" s="1" t="str">
        <f t="shared" si="87"/>
        <v>304GV29</v>
      </c>
      <c r="CR86" s="1" t="e">
        <f t="shared" si="88"/>
        <v>#VALUE!</v>
      </c>
      <c r="CS86" s="1" t="e">
        <f t="shared" si="89"/>
        <v>#VALUE!</v>
      </c>
      <c r="CT86" s="1">
        <f t="shared" si="90"/>
        <v>4</v>
      </c>
      <c r="CU86" s="1">
        <f t="shared" si="91"/>
        <v>2</v>
      </c>
      <c r="CV86" s="131" t="e">
        <f t="shared" si="92"/>
        <v>#VALUE!</v>
      </c>
      <c r="CW86" s="131">
        <v>1317.4</v>
      </c>
      <c r="CX86" s="131">
        <v>1632.3</v>
      </c>
      <c r="CY86" s="131">
        <v>1867.1</v>
      </c>
      <c r="CZ86" s="131">
        <v>2101.3</v>
      </c>
      <c r="DA86" s="131">
        <v>2365.4</v>
      </c>
      <c r="DC86" s="154">
        <f t="shared" si="93"/>
        <v>-875.200546632067</v>
      </c>
      <c r="DD86" s="154">
        <f t="shared" si="94"/>
        <v>-142.68191251041</v>
      </c>
      <c r="DE86" s="154">
        <f t="shared" si="95"/>
        <v>-465.380147321214</v>
      </c>
      <c r="DF86" s="1">
        <f t="shared" si="96"/>
        <v>-27.6910569793042</v>
      </c>
      <c r="DG86" s="1">
        <f t="shared" si="97"/>
        <v>-170.740660341994</v>
      </c>
      <c r="DH86" s="1">
        <f t="shared" si="98"/>
        <v>165</v>
      </c>
      <c r="DI86" s="1">
        <f t="shared" si="165"/>
        <v>121</v>
      </c>
      <c r="DJ86" s="1">
        <f t="shared" si="166"/>
        <v>351</v>
      </c>
      <c r="DK86" s="1">
        <f t="shared" si="101"/>
        <v>165</v>
      </c>
      <c r="DL86" s="1">
        <f t="shared" si="102"/>
        <v>121</v>
      </c>
      <c r="DM86" s="1">
        <f t="shared" si="103"/>
        <v>351</v>
      </c>
    </row>
    <row r="87" customHeight="1" spans="1:117">
      <c r="A87" s="152" t="str">
        <f t="shared" si="170"/>
        <v>Constellation Wreck 42M</v>
      </c>
      <c r="C87" s="55" t="str">
        <f t="shared" si="5"/>
        <v>S 06° 04.7' / E 067° 44.9'</v>
      </c>
      <c r="D87" s="150" t="str">
        <f t="shared" si="6"/>
        <v>636 m</v>
      </c>
      <c r="E87" s="151">
        <f t="shared" si="117"/>
        <v>1838.1</v>
      </c>
      <c r="F87" s="151">
        <f t="shared" si="118"/>
        <v>1663.9</v>
      </c>
      <c r="G87" s="151">
        <f t="shared" si="119"/>
        <v>649.8</v>
      </c>
      <c r="H87" s="151">
        <f t="shared" si="120"/>
        <v>2392.7</v>
      </c>
      <c r="I87" s="151">
        <f t="shared" si="121"/>
        <v>1410.3</v>
      </c>
      <c r="J87" s="171">
        <f t="shared" si="122"/>
        <v>2039.2</v>
      </c>
      <c r="K87" s="172">
        <f t="shared" si="171"/>
        <v>376.775847030883</v>
      </c>
      <c r="L87" s="172">
        <f t="shared" si="172"/>
        <v>920.915695519137</v>
      </c>
      <c r="M87" s="173">
        <f t="shared" si="173"/>
        <v>-105.955657172639</v>
      </c>
      <c r="N87" s="54">
        <f t="shared" si="123"/>
        <v>0.0882768547372214</v>
      </c>
      <c r="O87" s="55" t="str">
        <f t="shared" si="124"/>
        <v>Morning Twilight / Rises in 8m</v>
      </c>
      <c r="P87" s="55" t="str">
        <f t="shared" si="15"/>
        <v>012°M / -15°</v>
      </c>
      <c r="Q87" s="56">
        <f t="shared" si="125"/>
        <v>45683.8830690467</v>
      </c>
      <c r="R87" s="56">
        <f t="shared" si="126"/>
        <v>45683.7171246063</v>
      </c>
      <c r="S87" s="56">
        <f t="shared" si="127"/>
        <v>45683.7612630337</v>
      </c>
      <c r="T87" s="56">
        <f t="shared" si="128"/>
        <v>45683.805401461</v>
      </c>
      <c r="U87" s="180">
        <f t="shared" si="129"/>
        <v>45683.8111236831</v>
      </c>
      <c r="V87" s="55" t="str">
        <f t="shared" si="130"/>
        <v>Sets in 125m</v>
      </c>
      <c r="W87" s="55" t="str">
        <f t="shared" si="131"/>
        <v>015°M / -00°</v>
      </c>
      <c r="X87" s="56">
        <f t="shared" si="132"/>
        <v>45683.8822518033</v>
      </c>
      <c r="Y87" s="180">
        <f t="shared" si="133"/>
        <v>45683.7983738583</v>
      </c>
      <c r="Z87" s="55" t="str">
        <f t="shared" si="134"/>
        <v>348°M / -16°</v>
      </c>
      <c r="AA87" s="151">
        <f t="shared" si="135"/>
        <v>568.1</v>
      </c>
      <c r="AB87" s="150">
        <f t="shared" si="136"/>
        <v>575.5</v>
      </c>
      <c r="AC87" s="188">
        <v>78</v>
      </c>
      <c r="AD87" s="1" t="b">
        <f t="shared" si="28"/>
        <v>1</v>
      </c>
      <c r="AE87" s="1">
        <f t="shared" si="29"/>
        <v>-6.07834856983972</v>
      </c>
      <c r="AF87" s="1">
        <f t="shared" si="30"/>
        <v>67.7489719945756</v>
      </c>
      <c r="AG87" s="1">
        <f t="shared" si="31"/>
        <v>67.7489719945756</v>
      </c>
      <c r="AH87" s="2">
        <f t="shared" si="137"/>
        <v>0.63597698974479</v>
      </c>
      <c r="AI87" s="1">
        <f t="shared" si="33"/>
        <v>2.04288198986595</v>
      </c>
      <c r="AJ87" s="191">
        <f t="shared" si="168"/>
        <v>0</v>
      </c>
      <c r="AK87" s="191">
        <f t="shared" si="169"/>
        <v>0</v>
      </c>
      <c r="AL87" s="191">
        <f t="shared" si="138"/>
        <v>92.56214119442</v>
      </c>
      <c r="AM87" s="20">
        <f t="shared" si="139"/>
        <v>104.250636220327</v>
      </c>
      <c r="AN87" s="191">
        <f t="shared" si="140"/>
        <v>79.9650775798248</v>
      </c>
      <c r="AO87" s="134">
        <f t="shared" si="141"/>
        <v>87</v>
      </c>
      <c r="AP87" s="64">
        <f t="shared" si="38"/>
        <v>-20</v>
      </c>
      <c r="AQ87" s="1">
        <f t="shared" si="167"/>
        <v>92.0503080131795</v>
      </c>
      <c r="AR87" s="20">
        <f t="shared" si="142"/>
        <v>90.0249721315513</v>
      </c>
      <c r="AS87" s="1">
        <f t="shared" si="143"/>
        <v>83.9215458137311</v>
      </c>
      <c r="AT87" s="134">
        <f t="shared" si="144"/>
        <v>90</v>
      </c>
      <c r="AU87" s="64">
        <f t="shared" si="145"/>
        <v>0</v>
      </c>
      <c r="AV87" s="65">
        <f t="shared" si="146"/>
        <v>45683.8822518033</v>
      </c>
      <c r="AW87" s="65">
        <f t="shared" si="147"/>
        <v>45683.7983738583</v>
      </c>
      <c r="AX87" s="1">
        <f t="shared" si="148"/>
        <v>64</v>
      </c>
      <c r="AY87" s="1">
        <f t="shared" si="149"/>
        <v>-16</v>
      </c>
      <c r="AZ87" s="131">
        <f t="shared" si="150"/>
        <v>568.1</v>
      </c>
      <c r="BA87" s="1">
        <f t="shared" si="151"/>
        <v>575.5</v>
      </c>
      <c r="BB87" s="1">
        <f t="shared" si="49"/>
        <v>42369869.0972316</v>
      </c>
      <c r="BC87" s="1">
        <f t="shared" si="50"/>
        <v>-15</v>
      </c>
      <c r="BD87" s="1">
        <f t="shared" si="152"/>
        <v>57480850.3535298</v>
      </c>
      <c r="BE87" s="1">
        <f t="shared" si="153"/>
        <v>0</v>
      </c>
      <c r="BF87" s="20">
        <f t="shared" si="53"/>
        <v>47.6578445596832</v>
      </c>
      <c r="BG87" s="1">
        <f t="shared" si="154"/>
        <v>-735.447756107698</v>
      </c>
      <c r="BH87" s="1">
        <f t="shared" si="155"/>
        <v>670.195758861161</v>
      </c>
      <c r="BI87" s="1">
        <f t="shared" si="156"/>
        <v>-105.955657172639</v>
      </c>
      <c r="BJ87" s="1">
        <f t="shared" si="157"/>
        <v>-735.447756107698</v>
      </c>
      <c r="BK87" s="1">
        <f t="shared" si="158"/>
        <v>670.195758861161</v>
      </c>
      <c r="BL87" s="1">
        <f t="shared" si="159"/>
        <v>-105.955657172639</v>
      </c>
      <c r="BM87" s="61">
        <f t="shared" si="160"/>
        <v>22461349.8047285</v>
      </c>
      <c r="BN87" s="61">
        <f t="shared" si="161"/>
        <v>37186415.160589</v>
      </c>
      <c r="BO87" s="61">
        <f t="shared" si="162"/>
        <v>-105.955657172639</v>
      </c>
      <c r="BQ87" s="1" t="str">
        <f t="shared" si="63"/>
        <v>S 06° 04.7' / E 067° 44.9'</v>
      </c>
      <c r="BR87" s="1" t="str">
        <f t="shared" si="64"/>
        <v>42M 478295 1893930</v>
      </c>
      <c r="BS87" s="1" t="str">
        <f t="shared" si="65"/>
        <v>42M VD 782939</v>
      </c>
      <c r="BT87" s="1" t="b">
        <f t="shared" si="66"/>
        <v>0</v>
      </c>
      <c r="BU87" s="1" t="str">
        <f t="shared" si="67"/>
        <v>42M</v>
      </c>
      <c r="BV87" s="1">
        <f t="shared" si="68"/>
        <v>42</v>
      </c>
      <c r="BW87" s="1">
        <f t="shared" si="69"/>
        <v>0</v>
      </c>
      <c r="BX87" s="1">
        <f t="shared" si="70"/>
        <v>69</v>
      </c>
      <c r="BY87" s="1">
        <f t="shared" si="163"/>
        <v>-21704.8057679871</v>
      </c>
      <c r="BZ87" s="1">
        <f t="shared" si="72"/>
        <v>478295.1942</v>
      </c>
      <c r="CA87" s="1" t="str">
        <f t="shared" si="73"/>
        <v>V</v>
      </c>
      <c r="CB87" s="1" t="str">
        <f t="shared" si="74"/>
        <v>478295</v>
      </c>
      <c r="CC87" s="1" t="str">
        <f t="shared" si="75"/>
        <v>78295</v>
      </c>
      <c r="CD87" s="1">
        <f t="shared" si="164"/>
        <v>-106069.854739548</v>
      </c>
      <c r="CE87" s="1">
        <f t="shared" si="77"/>
        <v>1893930.1453</v>
      </c>
      <c r="CF87" s="1" t="str">
        <f t="shared" si="78"/>
        <v>D</v>
      </c>
      <c r="CG87" s="1" t="str">
        <f t="shared" si="79"/>
        <v>1893930</v>
      </c>
      <c r="CH87" s="1" t="str">
        <f t="shared" si="80"/>
        <v>93930</v>
      </c>
      <c r="CJ87" s="1">
        <f t="shared" si="81"/>
        <v>496</v>
      </c>
      <c r="CK87" s="1" t="str">
        <f t="shared" si="82"/>
        <v>GZ</v>
      </c>
      <c r="CL87" s="1">
        <f t="shared" si="83"/>
        <v>1</v>
      </c>
      <c r="CM87" s="1">
        <f t="shared" si="84"/>
        <v>3</v>
      </c>
      <c r="CN87" s="1">
        <f t="shared" si="85"/>
        <v>2</v>
      </c>
      <c r="CO87" s="1">
        <f t="shared" si="86"/>
        <v>2</v>
      </c>
      <c r="CP87" s="1" t="str">
        <f t="shared" si="87"/>
        <v>496GZ13</v>
      </c>
      <c r="CR87" s="1" t="e">
        <f t="shared" si="88"/>
        <v>#VALUE!</v>
      </c>
      <c r="CS87" s="1" t="e">
        <f t="shared" si="89"/>
        <v>#VALUE!</v>
      </c>
      <c r="CT87" s="1">
        <f t="shared" si="90"/>
        <v>5</v>
      </c>
      <c r="CU87" s="1">
        <f t="shared" si="91"/>
        <v>2</v>
      </c>
      <c r="CV87" s="131" t="e">
        <f t="shared" si="92"/>
        <v>#VALUE!</v>
      </c>
      <c r="CW87" s="131">
        <v>1410.3</v>
      </c>
      <c r="CX87" s="131">
        <v>1663.9</v>
      </c>
      <c r="CY87" s="131">
        <v>1838.1</v>
      </c>
      <c r="CZ87" s="131">
        <v>2039.2</v>
      </c>
      <c r="DA87" s="131">
        <v>2392.7</v>
      </c>
      <c r="DC87" s="154">
        <f t="shared" si="93"/>
        <v>-376.775847030883</v>
      </c>
      <c r="DD87" s="154">
        <f t="shared" si="94"/>
        <v>-105.955657172639</v>
      </c>
      <c r="DE87" s="154">
        <f t="shared" si="95"/>
        <v>920.915695519137</v>
      </c>
      <c r="DF87" s="1">
        <f t="shared" si="96"/>
        <v>66.9744300785813</v>
      </c>
      <c r="DG87" s="1">
        <f t="shared" si="97"/>
        <v>-164.293130723649</v>
      </c>
      <c r="DH87" s="1">
        <f t="shared" si="98"/>
        <v>12</v>
      </c>
      <c r="DI87" s="1">
        <f t="shared" si="165"/>
        <v>15</v>
      </c>
      <c r="DJ87" s="1">
        <f t="shared" si="166"/>
        <v>348</v>
      </c>
      <c r="DK87" s="1">
        <f t="shared" si="101"/>
        <v>12</v>
      </c>
      <c r="DL87" s="1">
        <f t="shared" si="102"/>
        <v>15</v>
      </c>
      <c r="DM87" s="1">
        <f t="shared" si="103"/>
        <v>348</v>
      </c>
    </row>
    <row r="88" customHeight="1" spans="1:117">
      <c r="A88" s="152" t="str">
        <f t="shared" si="170"/>
        <v>Constellation Wreck 47L</v>
      </c>
      <c r="C88" s="55" t="str">
        <f t="shared" si="5"/>
        <v>S 13° 11.4' / E 099° 52.6'</v>
      </c>
      <c r="D88" s="150" t="str">
        <f t="shared" si="6"/>
        <v>1256 m</v>
      </c>
      <c r="E88" s="151">
        <f t="shared" si="117"/>
        <v>1932</v>
      </c>
      <c r="F88" s="151">
        <f t="shared" si="118"/>
        <v>1554.7</v>
      </c>
      <c r="G88" s="151">
        <f t="shared" si="119"/>
        <v>556.6</v>
      </c>
      <c r="H88" s="151">
        <f t="shared" si="120"/>
        <v>2416.6</v>
      </c>
      <c r="I88" s="151">
        <f t="shared" si="121"/>
        <v>1885.8</v>
      </c>
      <c r="J88" s="171">
        <f t="shared" si="122"/>
        <v>1610.4</v>
      </c>
      <c r="K88" s="172">
        <f t="shared" si="171"/>
        <v>-167.210361350261</v>
      </c>
      <c r="L88" s="172">
        <f t="shared" si="172"/>
        <v>960.391198845134</v>
      </c>
      <c r="M88" s="173">
        <f t="shared" si="173"/>
        <v>-228.479705824038</v>
      </c>
      <c r="N88" s="54">
        <f t="shared" si="123"/>
        <v>0.088582450367451</v>
      </c>
      <c r="O88" s="55" t="str">
        <f t="shared" si="124"/>
        <v>Morning / Sets in 113m</v>
      </c>
      <c r="P88" s="55" t="str">
        <f t="shared" si="15"/>
        <v>119°M / +16°</v>
      </c>
      <c r="Q88" s="56">
        <f t="shared" si="125"/>
        <v>45683.8675961465</v>
      </c>
      <c r="R88" s="56">
        <f t="shared" si="126"/>
        <v>45683.8733183686</v>
      </c>
      <c r="S88" s="56">
        <f t="shared" si="127"/>
        <v>45683.7459429313</v>
      </c>
      <c r="T88" s="56">
        <f t="shared" si="128"/>
        <v>45683.7902341565</v>
      </c>
      <c r="U88" s="180">
        <f t="shared" si="129"/>
        <v>45683.7959563786</v>
      </c>
      <c r="V88" s="55" t="str">
        <f t="shared" si="130"/>
        <v>Sets in 104m</v>
      </c>
      <c r="W88" s="55" t="str">
        <f t="shared" si="131"/>
        <v>119°M / +31°</v>
      </c>
      <c r="X88" s="56">
        <f t="shared" si="132"/>
        <v>45683.8665372258</v>
      </c>
      <c r="Y88" s="180">
        <f t="shared" si="133"/>
        <v>45683.7834482311</v>
      </c>
      <c r="Z88" s="55" t="str">
        <f t="shared" si="134"/>
        <v>031°M / -11°</v>
      </c>
      <c r="AA88" s="151">
        <f t="shared" si="135"/>
        <v>380.4</v>
      </c>
      <c r="AB88" s="150">
        <f t="shared" si="136"/>
        <v>382.2</v>
      </c>
      <c r="AC88" s="188">
        <v>79</v>
      </c>
      <c r="AD88" s="1" t="b">
        <f t="shared" si="28"/>
        <v>1</v>
      </c>
      <c r="AE88" s="1">
        <f t="shared" si="29"/>
        <v>-13.1907153014244</v>
      </c>
      <c r="AF88" s="1">
        <f t="shared" si="30"/>
        <v>99.876566066954</v>
      </c>
      <c r="AG88" s="1">
        <f t="shared" si="31"/>
        <v>99.876566066954</v>
      </c>
      <c r="AH88" s="2">
        <f t="shared" si="137"/>
        <v>1.2559791259763</v>
      </c>
      <c r="AI88" s="1">
        <f t="shared" si="33"/>
        <v>2.87013079591404</v>
      </c>
      <c r="AJ88" s="191">
        <f t="shared" si="168"/>
        <v>0</v>
      </c>
      <c r="AK88" s="191">
        <f t="shared" si="169"/>
        <v>0</v>
      </c>
      <c r="AL88" s="191">
        <f t="shared" si="138"/>
        <v>92.8825715717586</v>
      </c>
      <c r="AM88" s="20">
        <f t="shared" si="139"/>
        <v>72.1230421479485</v>
      </c>
      <c r="AN88" s="191">
        <f t="shared" si="140"/>
        <v>72.8525474341169</v>
      </c>
      <c r="AO88" s="134">
        <f t="shared" si="141"/>
        <v>82</v>
      </c>
      <c r="AP88" s="64">
        <f t="shared" si="38"/>
        <v>22</v>
      </c>
      <c r="AQ88" s="1">
        <f t="shared" si="167"/>
        <v>92.8775568192276</v>
      </c>
      <c r="AR88" s="20">
        <f t="shared" si="142"/>
        <v>57.8973780591729</v>
      </c>
      <c r="AS88" s="1">
        <f t="shared" si="143"/>
        <v>76.8090569507188</v>
      </c>
      <c r="AT88" s="134">
        <f t="shared" si="144"/>
        <v>82</v>
      </c>
      <c r="AU88" s="64">
        <f t="shared" si="145"/>
        <v>41</v>
      </c>
      <c r="AV88" s="65">
        <f t="shared" si="146"/>
        <v>45683.8665372258</v>
      </c>
      <c r="AW88" s="65">
        <f t="shared" si="147"/>
        <v>45683.7834482311</v>
      </c>
      <c r="AX88" s="1">
        <f t="shared" si="148"/>
        <v>353</v>
      </c>
      <c r="AY88" s="1">
        <f t="shared" si="149"/>
        <v>-11</v>
      </c>
      <c r="AZ88" s="131">
        <f t="shared" si="150"/>
        <v>380.4</v>
      </c>
      <c r="BA88" s="1">
        <f t="shared" si="151"/>
        <v>382.2</v>
      </c>
      <c r="BB88" s="1">
        <f t="shared" si="49"/>
        <v>42369334.6617416</v>
      </c>
      <c r="BC88" s="1">
        <f t="shared" si="50"/>
        <v>16</v>
      </c>
      <c r="BD88" s="1">
        <f t="shared" si="152"/>
        <v>57480331.851826</v>
      </c>
      <c r="BE88" s="1">
        <f t="shared" si="153"/>
        <v>31</v>
      </c>
      <c r="BF88" s="20">
        <f t="shared" si="53"/>
        <v>79.7854386320616</v>
      </c>
      <c r="BG88" s="1">
        <f t="shared" si="154"/>
        <v>-959.38809812779</v>
      </c>
      <c r="BH88" s="1">
        <f t="shared" si="155"/>
        <v>172.872892417581</v>
      </c>
      <c r="BI88" s="1">
        <f t="shared" si="156"/>
        <v>-228.479705824038</v>
      </c>
      <c r="BJ88" s="1">
        <f t="shared" si="157"/>
        <v>-959.38809812779</v>
      </c>
      <c r="BK88" s="1">
        <f t="shared" si="158"/>
        <v>172.872892417581</v>
      </c>
      <c r="BL88" s="1">
        <f t="shared" si="159"/>
        <v>-228.479705824038</v>
      </c>
      <c r="BM88" s="61">
        <f t="shared" si="160"/>
        <v>22461125.8643865</v>
      </c>
      <c r="BN88" s="61">
        <f t="shared" si="161"/>
        <v>37185917.8377225</v>
      </c>
      <c r="BO88" s="61">
        <f t="shared" si="162"/>
        <v>-228.479705824038</v>
      </c>
      <c r="BQ88" s="1" t="str">
        <f t="shared" si="63"/>
        <v>S 13° 11.4' / E 099° 52.6'</v>
      </c>
      <c r="BR88" s="1" t="str">
        <f t="shared" si="64"/>
        <v>47L 514889 1769844</v>
      </c>
      <c r="BS88" s="1" t="str">
        <f t="shared" si="65"/>
        <v>47L NT 148698</v>
      </c>
      <c r="BT88" s="1" t="b">
        <f t="shared" si="66"/>
        <v>0</v>
      </c>
      <c r="BU88" s="1" t="str">
        <f t="shared" si="67"/>
        <v>47L</v>
      </c>
      <c r="BV88" s="1">
        <f t="shared" si="68"/>
        <v>47</v>
      </c>
      <c r="BW88" s="1">
        <f t="shared" si="69"/>
        <v>0</v>
      </c>
      <c r="BX88" s="1">
        <f t="shared" si="70"/>
        <v>99</v>
      </c>
      <c r="BY88" s="1">
        <f t="shared" si="163"/>
        <v>14889.8767308515</v>
      </c>
      <c r="BZ88" s="1">
        <f t="shared" si="72"/>
        <v>514889.8767</v>
      </c>
      <c r="CA88" s="1" t="str">
        <f t="shared" si="73"/>
        <v>N</v>
      </c>
      <c r="CB88" s="1" t="str">
        <f t="shared" si="74"/>
        <v>514889</v>
      </c>
      <c r="CC88" s="1" t="str">
        <f t="shared" si="75"/>
        <v>14889</v>
      </c>
      <c r="CD88" s="1">
        <f t="shared" si="164"/>
        <v>-230155.316764619</v>
      </c>
      <c r="CE88" s="1">
        <f t="shared" si="77"/>
        <v>1769844.6832</v>
      </c>
      <c r="CF88" s="1" t="str">
        <f t="shared" si="78"/>
        <v>T</v>
      </c>
      <c r="CG88" s="1" t="str">
        <f t="shared" si="79"/>
        <v>1769844</v>
      </c>
      <c r="CH88" s="1" t="str">
        <f t="shared" si="80"/>
        <v>69844</v>
      </c>
      <c r="CJ88" s="1">
        <f t="shared" si="81"/>
        <v>560</v>
      </c>
      <c r="CK88" s="1" t="str">
        <f t="shared" si="82"/>
        <v>GK</v>
      </c>
      <c r="CL88" s="1">
        <f t="shared" si="83"/>
        <v>2</v>
      </c>
      <c r="CM88" s="1">
        <f t="shared" si="84"/>
        <v>8</v>
      </c>
      <c r="CN88" s="1">
        <f t="shared" si="85"/>
        <v>1</v>
      </c>
      <c r="CO88" s="1">
        <f t="shared" si="86"/>
        <v>0</v>
      </c>
      <c r="CP88" s="1" t="str">
        <f t="shared" si="87"/>
        <v>560GK28</v>
      </c>
      <c r="CR88" s="1" t="e">
        <f t="shared" si="88"/>
        <v>#VALUE!</v>
      </c>
      <c r="CS88" s="1" t="e">
        <f t="shared" si="89"/>
        <v>#VALUE!</v>
      </c>
      <c r="CT88" s="1">
        <f t="shared" si="90"/>
        <v>2</v>
      </c>
      <c r="CU88" s="1">
        <f t="shared" si="91"/>
        <v>6</v>
      </c>
      <c r="CV88" s="131" t="e">
        <f t="shared" si="92"/>
        <v>#VALUE!</v>
      </c>
      <c r="CW88" s="131">
        <v>1554.7</v>
      </c>
      <c r="CX88" s="131">
        <v>1610.4</v>
      </c>
      <c r="CY88" s="131">
        <v>1885.8</v>
      </c>
      <c r="CZ88" s="131">
        <v>1932</v>
      </c>
      <c r="DA88" s="131">
        <v>2416.6</v>
      </c>
      <c r="DC88" s="154">
        <f t="shared" si="93"/>
        <v>167.210361350261</v>
      </c>
      <c r="DD88" s="154">
        <f t="shared" si="94"/>
        <v>-228.479705824038</v>
      </c>
      <c r="DE88" s="154">
        <f t="shared" si="95"/>
        <v>960.391198845134</v>
      </c>
      <c r="DF88" s="1">
        <f t="shared" si="96"/>
        <v>73.574147377919</v>
      </c>
      <c r="DG88" s="1">
        <f t="shared" si="97"/>
        <v>-53.8018787270975</v>
      </c>
      <c r="DH88" s="1">
        <f t="shared" si="98"/>
        <v>119</v>
      </c>
      <c r="DI88" s="1">
        <f t="shared" si="165"/>
        <v>119</v>
      </c>
      <c r="DJ88" s="1">
        <f t="shared" si="166"/>
        <v>31</v>
      </c>
      <c r="DK88" s="1">
        <f t="shared" si="101"/>
        <v>119</v>
      </c>
      <c r="DL88" s="1">
        <f t="shared" si="102"/>
        <v>119</v>
      </c>
      <c r="DM88" s="1">
        <f t="shared" si="103"/>
        <v>31</v>
      </c>
    </row>
    <row r="89" customHeight="1" spans="1:117">
      <c r="A89" s="152" t="str">
        <f t="shared" si="170"/>
        <v>Freelancer Wreck 03N</v>
      </c>
      <c r="C89" s="55" t="str">
        <f t="shared" si="5"/>
        <v>N 02° 20.3' / W 166° 57.2'</v>
      </c>
      <c r="D89" s="150" t="str">
        <f t="shared" si="6"/>
        <v>337 m</v>
      </c>
      <c r="E89" s="151">
        <f t="shared" si="117"/>
        <v>1719.2</v>
      </c>
      <c r="F89" s="151">
        <f t="shared" si="118"/>
        <v>1786.2</v>
      </c>
      <c r="G89" s="151">
        <f t="shared" si="119"/>
        <v>1929.4</v>
      </c>
      <c r="H89" s="151">
        <f t="shared" si="120"/>
        <v>1556.7</v>
      </c>
      <c r="I89" s="151">
        <f t="shared" si="121"/>
        <v>2424.2</v>
      </c>
      <c r="J89" s="171">
        <f t="shared" si="122"/>
        <v>519.3</v>
      </c>
      <c r="K89" s="172">
        <f t="shared" si="171"/>
        <v>-973.703809272717</v>
      </c>
      <c r="L89" s="172">
        <f t="shared" si="172"/>
        <v>-225.634764877147</v>
      </c>
      <c r="M89" s="173">
        <f t="shared" si="173"/>
        <v>40.800499864769</v>
      </c>
      <c r="N89" s="54">
        <f t="shared" si="123"/>
        <v>0.0883044374791693</v>
      </c>
      <c r="O89" s="55" t="str">
        <f t="shared" si="124"/>
        <v>Afternoon / Sets in 49m</v>
      </c>
      <c r="P89" s="55" t="str">
        <f t="shared" si="15"/>
        <v>004°M / +69°</v>
      </c>
      <c r="Q89" s="56">
        <f t="shared" si="125"/>
        <v>45683.823306765</v>
      </c>
      <c r="R89" s="56">
        <f t="shared" si="126"/>
        <v>45683.8290289871</v>
      </c>
      <c r="S89" s="56">
        <f t="shared" si="127"/>
        <v>45683.8731812058</v>
      </c>
      <c r="T89" s="56">
        <f t="shared" si="128"/>
        <v>45683.745666762</v>
      </c>
      <c r="U89" s="180">
        <f t="shared" si="129"/>
        <v>45683.7513889841</v>
      </c>
      <c r="V89" s="55" t="str">
        <f t="shared" si="130"/>
        <v>Sets in 39m</v>
      </c>
      <c r="W89" s="55" t="str">
        <f t="shared" si="131"/>
        <v>356°M / +55°</v>
      </c>
      <c r="X89" s="56">
        <f t="shared" si="132"/>
        <v>45683.8227678748</v>
      </c>
      <c r="Y89" s="180">
        <f t="shared" si="133"/>
        <v>45683.7383608061</v>
      </c>
      <c r="Z89" s="55" t="str">
        <f t="shared" si="134"/>
        <v>008°M / -48°</v>
      </c>
      <c r="AA89" s="151">
        <f t="shared" si="135"/>
        <v>1478.8</v>
      </c>
      <c r="AB89" s="150">
        <f t="shared" si="136"/>
        <v>1662.4</v>
      </c>
      <c r="AC89" s="188">
        <v>80</v>
      </c>
      <c r="AD89" s="1" t="b">
        <f t="shared" si="28"/>
        <v>1</v>
      </c>
      <c r="AE89" s="1">
        <f t="shared" si="29"/>
        <v>2.3375564782307</v>
      </c>
      <c r="AF89" s="1">
        <f t="shared" si="30"/>
        <v>-166.953219930636</v>
      </c>
      <c r="AG89" s="1">
        <f t="shared" si="31"/>
        <v>193.046780069364</v>
      </c>
      <c r="AH89" s="2">
        <f t="shared" si="137"/>
        <v>0.337361145018917</v>
      </c>
      <c r="AI89" s="1">
        <f t="shared" si="33"/>
        <v>1.48807260907649</v>
      </c>
      <c r="AJ89" s="191">
        <f t="shared" si="168"/>
        <v>0</v>
      </c>
      <c r="AK89" s="191">
        <f t="shared" si="169"/>
        <v>0</v>
      </c>
      <c r="AL89" s="191">
        <f t="shared" si="138"/>
        <v>92.5910629051257</v>
      </c>
      <c r="AM89" s="20">
        <f t="shared" si="139"/>
        <v>-21.0471718544611</v>
      </c>
      <c r="AN89" s="191">
        <f t="shared" si="140"/>
        <v>88.3811801920195</v>
      </c>
      <c r="AO89" s="134">
        <f t="shared" si="141"/>
        <v>275</v>
      </c>
      <c r="AP89" s="64">
        <f t="shared" si="38"/>
        <v>82</v>
      </c>
      <c r="AQ89" s="1">
        <f t="shared" si="167"/>
        <v>91.4954986323901</v>
      </c>
      <c r="AR89" s="20">
        <f t="shared" si="142"/>
        <v>-35.2728359432367</v>
      </c>
      <c r="AS89" s="1">
        <f t="shared" si="143"/>
        <v>87.6624028524323</v>
      </c>
      <c r="AT89" s="134">
        <f t="shared" si="144"/>
        <v>267</v>
      </c>
      <c r="AU89" s="64">
        <f t="shared" si="145"/>
        <v>72</v>
      </c>
      <c r="AV89" s="65">
        <f t="shared" si="146"/>
        <v>45683.8227678748</v>
      </c>
      <c r="AW89" s="65">
        <f t="shared" si="147"/>
        <v>45683.7383608061</v>
      </c>
      <c r="AX89" s="1">
        <f t="shared" si="148"/>
        <v>279</v>
      </c>
      <c r="AY89" s="1">
        <f t="shared" si="149"/>
        <v>-48</v>
      </c>
      <c r="AZ89" s="131">
        <f t="shared" si="150"/>
        <v>1478.8</v>
      </c>
      <c r="BA89" s="1">
        <f t="shared" si="151"/>
        <v>1662.4</v>
      </c>
      <c r="BB89" s="1">
        <f t="shared" si="49"/>
        <v>42368684.0099102</v>
      </c>
      <c r="BC89" s="1">
        <f t="shared" si="50"/>
        <v>69</v>
      </c>
      <c r="BD89" s="1">
        <f t="shared" si="152"/>
        <v>57480033.9067597</v>
      </c>
      <c r="BE89" s="1">
        <f t="shared" si="153"/>
        <v>55</v>
      </c>
      <c r="BF89" s="20">
        <f t="shared" si="53"/>
        <v>172.955652634471</v>
      </c>
      <c r="BG89" s="1">
        <f t="shared" si="154"/>
        <v>-122.576833942919</v>
      </c>
      <c r="BH89" s="1">
        <f t="shared" si="155"/>
        <v>-991.960218503693</v>
      </c>
      <c r="BI89" s="1">
        <f t="shared" si="156"/>
        <v>40.800499864769</v>
      </c>
      <c r="BJ89" s="1">
        <f t="shared" si="157"/>
        <v>-122.576833942919</v>
      </c>
      <c r="BK89" s="1">
        <f t="shared" si="158"/>
        <v>-991.960218503693</v>
      </c>
      <c r="BL89" s="1">
        <f t="shared" si="159"/>
        <v>40.800499864769</v>
      </c>
      <c r="BM89" s="61">
        <f t="shared" si="160"/>
        <v>22461962.6756507</v>
      </c>
      <c r="BN89" s="61">
        <f t="shared" si="161"/>
        <v>37184753.0046116</v>
      </c>
      <c r="BO89" s="61">
        <f t="shared" si="162"/>
        <v>40.800499864769</v>
      </c>
      <c r="BQ89" s="1" t="str">
        <f t="shared" si="63"/>
        <v>N 02° 20.3' / W 166° 57.2'</v>
      </c>
      <c r="BR89" s="1" t="str">
        <f t="shared" si="64"/>
        <v>03N 465945 040805</v>
      </c>
      <c r="BS89" s="1" t="str">
        <f t="shared" si="65"/>
        <v>03N VA 659408</v>
      </c>
      <c r="BT89" s="1" t="b">
        <f t="shared" si="66"/>
        <v>0</v>
      </c>
      <c r="BU89" s="1" t="str">
        <f t="shared" si="67"/>
        <v>03N</v>
      </c>
      <c r="BV89" s="1">
        <f t="shared" si="68"/>
        <v>3</v>
      </c>
      <c r="BW89" s="1">
        <f t="shared" si="69"/>
        <v>0</v>
      </c>
      <c r="BX89" s="1">
        <f t="shared" si="70"/>
        <v>-165</v>
      </c>
      <c r="BY89" s="1">
        <f t="shared" si="163"/>
        <v>-34054.7015717541</v>
      </c>
      <c r="BZ89" s="1">
        <f t="shared" si="72"/>
        <v>465945.2984</v>
      </c>
      <c r="CA89" s="1" t="str">
        <f t="shared" si="73"/>
        <v>V</v>
      </c>
      <c r="CB89" s="1" t="str">
        <f t="shared" si="74"/>
        <v>465945</v>
      </c>
      <c r="CC89" s="1" t="str">
        <f t="shared" si="75"/>
        <v>65945</v>
      </c>
      <c r="CD89" s="1">
        <f t="shared" si="164"/>
        <v>40805.4198982567</v>
      </c>
      <c r="CE89" s="1">
        <f t="shared" si="77"/>
        <v>40805.4199</v>
      </c>
      <c r="CF89" s="1" t="str">
        <f t="shared" si="78"/>
        <v>A</v>
      </c>
      <c r="CG89" s="1" t="str">
        <f t="shared" si="79"/>
        <v>040805</v>
      </c>
      <c r="CH89" s="1" t="str">
        <f t="shared" si="80"/>
        <v>40805</v>
      </c>
      <c r="CJ89" s="1">
        <f t="shared" si="81"/>
        <v>27</v>
      </c>
      <c r="CK89" s="1" t="str">
        <f t="shared" si="82"/>
        <v>HS</v>
      </c>
      <c r="CL89" s="1">
        <f t="shared" si="83"/>
        <v>1</v>
      </c>
      <c r="CM89" s="1">
        <f t="shared" si="84"/>
        <v>4</v>
      </c>
      <c r="CN89" s="1">
        <f t="shared" si="85"/>
        <v>0</v>
      </c>
      <c r="CO89" s="1">
        <f t="shared" si="86"/>
        <v>1</v>
      </c>
      <c r="CP89" s="1" t="str">
        <f t="shared" si="87"/>
        <v>027HS14</v>
      </c>
      <c r="CR89" s="1" t="e">
        <f t="shared" si="88"/>
        <v>#VALUE!</v>
      </c>
      <c r="CS89" s="1" t="e">
        <f t="shared" si="89"/>
        <v>#VALUE!</v>
      </c>
      <c r="CT89" s="1">
        <f t="shared" si="90"/>
        <v>4</v>
      </c>
      <c r="CU89" s="1">
        <f t="shared" si="91"/>
        <v>1</v>
      </c>
      <c r="CV89" s="131" t="e">
        <f t="shared" si="92"/>
        <v>#VALUE!</v>
      </c>
      <c r="CW89" s="131">
        <v>1556.7</v>
      </c>
      <c r="CX89" s="131">
        <v>1719.2</v>
      </c>
      <c r="CY89" s="131">
        <v>1786.2</v>
      </c>
      <c r="CZ89" s="131">
        <v>1929.4</v>
      </c>
      <c r="DA89" s="131">
        <v>2424.2</v>
      </c>
      <c r="DC89" s="154">
        <f t="shared" si="93"/>
        <v>973.703809272717</v>
      </c>
      <c r="DD89" s="154">
        <f t="shared" si="94"/>
        <v>40.800499864769</v>
      </c>
      <c r="DE89" s="154">
        <f t="shared" si="95"/>
        <v>-225.634764877147</v>
      </c>
      <c r="DF89" s="1">
        <f t="shared" si="96"/>
        <v>-13.0357321421873</v>
      </c>
      <c r="DG89" s="1">
        <f t="shared" si="97"/>
        <v>2.39942545042169</v>
      </c>
      <c r="DH89" s="1">
        <f t="shared" si="98"/>
        <v>4</v>
      </c>
      <c r="DI89" s="1">
        <f t="shared" si="165"/>
        <v>356</v>
      </c>
      <c r="DJ89" s="1">
        <f t="shared" si="166"/>
        <v>8</v>
      </c>
      <c r="DK89" s="1">
        <f t="shared" si="101"/>
        <v>4</v>
      </c>
      <c r="DL89" s="1">
        <f t="shared" si="102"/>
        <v>356</v>
      </c>
      <c r="DM89" s="1">
        <f t="shared" si="103"/>
        <v>8</v>
      </c>
    </row>
    <row r="90" customHeight="1" spans="1:117">
      <c r="A90" s="152" t="str">
        <f t="shared" si="170"/>
        <v>Freelancer Wreck 04L</v>
      </c>
      <c r="C90" s="55" t="str">
        <f t="shared" si="5"/>
        <v>S 10° 54.7' / W 161° 40.8'</v>
      </c>
      <c r="D90" s="150" t="str">
        <f t="shared" si="6"/>
        <v>1233 m</v>
      </c>
      <c r="E90" s="151">
        <f t="shared" si="117"/>
        <v>1902.8</v>
      </c>
      <c r="F90" s="151">
        <f t="shared" si="118"/>
        <v>1590.3</v>
      </c>
      <c r="G90" s="151">
        <f t="shared" si="119"/>
        <v>1991.1</v>
      </c>
      <c r="H90" s="151">
        <f t="shared" si="120"/>
        <v>1478.2</v>
      </c>
      <c r="I90" s="151">
        <f t="shared" si="121"/>
        <v>2400.4</v>
      </c>
      <c r="J90" s="171">
        <f t="shared" si="122"/>
        <v>622.7</v>
      </c>
      <c r="K90" s="172">
        <f t="shared" si="171"/>
        <v>-933.299747754197</v>
      </c>
      <c r="L90" s="172">
        <f t="shared" si="172"/>
        <v>-309.024262314054</v>
      </c>
      <c r="M90" s="173">
        <f t="shared" si="173"/>
        <v>-189.531586515152</v>
      </c>
      <c r="N90" s="54">
        <f t="shared" si="123"/>
        <v>0.0887140404255103</v>
      </c>
      <c r="O90" s="55" t="str">
        <f t="shared" si="124"/>
        <v>Afternoon / Sets in 46m</v>
      </c>
      <c r="P90" s="55" t="str">
        <f t="shared" si="15"/>
        <v>032°M / +60°</v>
      </c>
      <c r="Q90" s="56">
        <f t="shared" si="125"/>
        <v>45683.8205873285</v>
      </c>
      <c r="R90" s="56">
        <f t="shared" si="126"/>
        <v>45683.8263095506</v>
      </c>
      <c r="S90" s="56">
        <f t="shared" si="127"/>
        <v>45683.8706665708</v>
      </c>
      <c r="T90" s="56">
        <f t="shared" si="128"/>
        <v>45683.7433569285</v>
      </c>
      <c r="U90" s="180">
        <f t="shared" si="129"/>
        <v>45683.7490791506</v>
      </c>
      <c r="V90" s="55" t="str">
        <f t="shared" si="130"/>
        <v>Sets in 36m</v>
      </c>
      <c r="W90" s="55" t="str">
        <f t="shared" si="131"/>
        <v>016°M / +48°</v>
      </c>
      <c r="X90" s="56">
        <f t="shared" si="132"/>
        <v>45683.8196070103</v>
      </c>
      <c r="Y90" s="180">
        <f t="shared" si="133"/>
        <v>45683.7364924007</v>
      </c>
      <c r="Z90" s="55" t="str">
        <f t="shared" si="134"/>
        <v>010°M / -51°</v>
      </c>
      <c r="AA90" s="151">
        <f t="shared" si="135"/>
        <v>1559.3</v>
      </c>
      <c r="AB90" s="150">
        <f t="shared" si="136"/>
        <v>1784.9</v>
      </c>
      <c r="AC90" s="188">
        <v>81</v>
      </c>
      <c r="AD90" s="1" t="b">
        <f t="shared" si="28"/>
        <v>1</v>
      </c>
      <c r="AE90" s="1">
        <f t="shared" si="29"/>
        <v>-10.9118346070878</v>
      </c>
      <c r="AF90" s="1">
        <f t="shared" si="30"/>
        <v>-161.679810545066</v>
      </c>
      <c r="AG90" s="1">
        <f t="shared" si="31"/>
        <v>198.320189454934</v>
      </c>
      <c r="AH90" s="2">
        <f t="shared" si="137"/>
        <v>1.23255847167866</v>
      </c>
      <c r="AI90" s="1">
        <f t="shared" si="33"/>
        <v>2.84327244922246</v>
      </c>
      <c r="AJ90" s="191">
        <f t="shared" si="168"/>
        <v>0</v>
      </c>
      <c r="AK90" s="191">
        <f t="shared" si="169"/>
        <v>0</v>
      </c>
      <c r="AL90" s="191">
        <f t="shared" si="138"/>
        <v>93.020549500063</v>
      </c>
      <c r="AM90" s="20">
        <f t="shared" si="139"/>
        <v>-26.3205812400312</v>
      </c>
      <c r="AN90" s="191">
        <f t="shared" si="140"/>
        <v>75.1314798987297</v>
      </c>
      <c r="AO90" s="134">
        <f t="shared" si="141"/>
        <v>298</v>
      </c>
      <c r="AP90" s="64">
        <f t="shared" si="38"/>
        <v>67</v>
      </c>
      <c r="AQ90" s="1">
        <f t="shared" si="167"/>
        <v>92.8506984725361</v>
      </c>
      <c r="AR90" s="20">
        <f t="shared" si="142"/>
        <v>-40.5462453288068</v>
      </c>
      <c r="AS90" s="1">
        <f t="shared" si="143"/>
        <v>79.08797646964</v>
      </c>
      <c r="AT90" s="134">
        <f t="shared" si="144"/>
        <v>282</v>
      </c>
      <c r="AU90" s="64">
        <f t="shared" si="145"/>
        <v>60</v>
      </c>
      <c r="AV90" s="65">
        <f t="shared" si="146"/>
        <v>45683.8196070103</v>
      </c>
      <c r="AW90" s="65">
        <f t="shared" si="147"/>
        <v>45683.7364924007</v>
      </c>
      <c r="AX90" s="1">
        <f t="shared" si="148"/>
        <v>277</v>
      </c>
      <c r="AY90" s="1">
        <f t="shared" si="149"/>
        <v>-51</v>
      </c>
      <c r="AZ90" s="131">
        <f t="shared" si="150"/>
        <v>1559.3</v>
      </c>
      <c r="BA90" s="1">
        <f t="shared" si="151"/>
        <v>1784.9</v>
      </c>
      <c r="BB90" s="1">
        <f t="shared" si="49"/>
        <v>42368751.3973618</v>
      </c>
      <c r="BC90" s="1">
        <f t="shared" si="50"/>
        <v>60</v>
      </c>
      <c r="BD90" s="1">
        <f t="shared" si="152"/>
        <v>57480102.8527595</v>
      </c>
      <c r="BE90" s="1">
        <f t="shared" si="153"/>
        <v>48</v>
      </c>
      <c r="BF90" s="20">
        <f t="shared" si="53"/>
        <v>178.229062020041</v>
      </c>
      <c r="BG90" s="1">
        <f t="shared" si="154"/>
        <v>-30.382427806772</v>
      </c>
      <c r="BH90" s="1">
        <f t="shared" si="155"/>
        <v>-982.660328871253</v>
      </c>
      <c r="BI90" s="1">
        <f t="shared" si="156"/>
        <v>-189.531586515152</v>
      </c>
      <c r="BJ90" s="1">
        <f t="shared" si="157"/>
        <v>-30.382427806772</v>
      </c>
      <c r="BK90" s="1">
        <f t="shared" si="158"/>
        <v>-982.660328871253</v>
      </c>
      <c r="BL90" s="1">
        <f t="shared" si="159"/>
        <v>-189.531586515152</v>
      </c>
      <c r="BM90" s="61">
        <f t="shared" si="160"/>
        <v>22462054.8700568</v>
      </c>
      <c r="BN90" s="61">
        <f t="shared" si="161"/>
        <v>37184762.3045012</v>
      </c>
      <c r="BO90" s="61">
        <f t="shared" si="162"/>
        <v>-189.531586515152</v>
      </c>
      <c r="BQ90" s="1" t="str">
        <f t="shared" si="63"/>
        <v>S 10° 54.7' / W 161° 40.8'</v>
      </c>
      <c r="BR90" s="1" t="str">
        <f t="shared" si="64"/>
        <v>04L 454076 1809425</v>
      </c>
      <c r="BS90" s="1" t="str">
        <f t="shared" si="65"/>
        <v>04L DD 540094</v>
      </c>
      <c r="BT90" s="1" t="b">
        <f t="shared" si="66"/>
        <v>0</v>
      </c>
      <c r="BU90" s="1" t="str">
        <f t="shared" si="67"/>
        <v>04L</v>
      </c>
      <c r="BV90" s="1">
        <f t="shared" si="68"/>
        <v>4</v>
      </c>
      <c r="BW90" s="1">
        <f t="shared" si="69"/>
        <v>0</v>
      </c>
      <c r="BX90" s="1">
        <f t="shared" si="70"/>
        <v>-159</v>
      </c>
      <c r="BY90" s="1">
        <f t="shared" si="163"/>
        <v>-45923.0463280369</v>
      </c>
      <c r="BZ90" s="1">
        <f t="shared" si="72"/>
        <v>454076.9537</v>
      </c>
      <c r="CA90" s="1" t="str">
        <f t="shared" si="73"/>
        <v>D</v>
      </c>
      <c r="CB90" s="1" t="str">
        <f t="shared" si="74"/>
        <v>454076</v>
      </c>
      <c r="CC90" s="1" t="str">
        <f t="shared" si="75"/>
        <v>54076</v>
      </c>
      <c r="CD90" s="1">
        <f t="shared" si="164"/>
        <v>-190574.666932328</v>
      </c>
      <c r="CE90" s="1">
        <f t="shared" si="77"/>
        <v>1809425.3331</v>
      </c>
      <c r="CF90" s="1" t="str">
        <f t="shared" si="78"/>
        <v>D</v>
      </c>
      <c r="CG90" s="1" t="str">
        <f t="shared" si="79"/>
        <v>1809425</v>
      </c>
      <c r="CH90" s="1" t="str">
        <f t="shared" si="80"/>
        <v>09425</v>
      </c>
      <c r="CJ90" s="1">
        <f t="shared" si="81"/>
        <v>37</v>
      </c>
      <c r="CK90" s="1" t="str">
        <f t="shared" si="82"/>
        <v>GQ</v>
      </c>
      <c r="CL90" s="1">
        <f t="shared" si="83"/>
        <v>4</v>
      </c>
      <c r="CM90" s="1">
        <f t="shared" si="84"/>
        <v>4</v>
      </c>
      <c r="CN90" s="1">
        <f t="shared" si="85"/>
        <v>0</v>
      </c>
      <c r="CO90" s="1">
        <f t="shared" si="86"/>
        <v>1</v>
      </c>
      <c r="CP90" s="1" t="str">
        <f t="shared" si="87"/>
        <v>037GQ44</v>
      </c>
      <c r="CR90" s="1" t="e">
        <f t="shared" si="88"/>
        <v>#VALUE!</v>
      </c>
      <c r="CS90" s="1" t="e">
        <f t="shared" si="89"/>
        <v>#VALUE!</v>
      </c>
      <c r="CT90" s="1">
        <f t="shared" si="90"/>
        <v>4</v>
      </c>
      <c r="CU90" s="1">
        <f t="shared" si="91"/>
        <v>2</v>
      </c>
      <c r="CV90" s="131" t="e">
        <f t="shared" si="92"/>
        <v>#VALUE!</v>
      </c>
      <c r="CW90" s="131">
        <v>1478.2</v>
      </c>
      <c r="CX90" s="131">
        <v>1590.3</v>
      </c>
      <c r="CY90" s="131">
        <v>1902.8</v>
      </c>
      <c r="CZ90" s="131">
        <v>1991.1</v>
      </c>
      <c r="DA90" s="131">
        <v>2400.4</v>
      </c>
      <c r="DC90" s="154">
        <f t="shared" si="93"/>
        <v>933.299747754197</v>
      </c>
      <c r="DD90" s="154">
        <f t="shared" si="94"/>
        <v>-189.531586515152</v>
      </c>
      <c r="DE90" s="154">
        <f t="shared" si="95"/>
        <v>-309.024262314054</v>
      </c>
      <c r="DF90" s="1">
        <f t="shared" si="96"/>
        <v>-17.9775210344419</v>
      </c>
      <c r="DG90" s="1">
        <f t="shared" si="97"/>
        <v>-11.4793426587324</v>
      </c>
      <c r="DH90" s="1">
        <f t="shared" si="98"/>
        <v>32</v>
      </c>
      <c r="DI90" s="1">
        <f t="shared" si="165"/>
        <v>16</v>
      </c>
      <c r="DJ90" s="1">
        <f t="shared" si="166"/>
        <v>10</v>
      </c>
      <c r="DK90" s="1">
        <f t="shared" si="101"/>
        <v>32</v>
      </c>
      <c r="DL90" s="1">
        <f t="shared" si="102"/>
        <v>16</v>
      </c>
      <c r="DM90" s="1">
        <f t="shared" si="103"/>
        <v>10</v>
      </c>
    </row>
    <row r="91" customHeight="1" spans="1:117">
      <c r="A91" s="152" t="str">
        <f t="shared" si="170"/>
        <v>Freelancer Wreck 08N-A24</v>
      </c>
      <c r="C91" s="55" t="str">
        <f t="shared" si="5"/>
        <v>N 06° 22.8' / W 133° 40.8'</v>
      </c>
      <c r="D91" s="150" t="str">
        <f t="shared" si="6"/>
        <v>478 m</v>
      </c>
      <c r="E91" s="151">
        <f t="shared" si="117"/>
        <v>1659.3</v>
      </c>
      <c r="F91" s="151">
        <f t="shared" si="118"/>
        <v>1842.1</v>
      </c>
      <c r="G91" s="151">
        <f t="shared" si="119"/>
        <v>2268</v>
      </c>
      <c r="H91" s="151">
        <f t="shared" si="120"/>
        <v>1001.5</v>
      </c>
      <c r="I91" s="151">
        <f t="shared" si="121"/>
        <v>2247.3</v>
      </c>
      <c r="J91" s="171">
        <f t="shared" si="122"/>
        <v>1047</v>
      </c>
      <c r="K91" s="172">
        <f t="shared" si="171"/>
        <v>-686.687642149452</v>
      </c>
      <c r="L91" s="172">
        <f t="shared" si="172"/>
        <v>-719.066830458095</v>
      </c>
      <c r="M91" s="173">
        <f t="shared" si="173"/>
        <v>111.168182463832</v>
      </c>
      <c r="N91" s="54">
        <f t="shared" si="123"/>
        <v>0.0888419824754077</v>
      </c>
      <c r="O91" s="55" t="str">
        <f t="shared" si="124"/>
        <v>Afternoon / Sets in 27m</v>
      </c>
      <c r="P91" s="55" t="str">
        <f t="shared" si="15"/>
        <v>354°M / +36°</v>
      </c>
      <c r="Q91" s="56">
        <f t="shared" si="125"/>
        <v>45683.807171845</v>
      </c>
      <c r="R91" s="56">
        <f t="shared" si="126"/>
        <v>45683.8128940671</v>
      </c>
      <c r="S91" s="56">
        <f t="shared" si="127"/>
        <v>45683.8573150583</v>
      </c>
      <c r="T91" s="56">
        <f t="shared" si="128"/>
        <v>45683.730069387</v>
      </c>
      <c r="U91" s="180">
        <f t="shared" si="129"/>
        <v>45683.7357916091</v>
      </c>
      <c r="V91" s="55" t="str">
        <f t="shared" si="130"/>
        <v>Sets in 16m</v>
      </c>
      <c r="W91" s="55" t="str">
        <f t="shared" si="131"/>
        <v>351°M / +21°</v>
      </c>
      <c r="X91" s="56">
        <f t="shared" si="132"/>
        <v>45683.8067670928</v>
      </c>
      <c r="Y91" s="180">
        <f t="shared" si="133"/>
        <v>45683.7226292931</v>
      </c>
      <c r="Z91" s="55" t="str">
        <f t="shared" si="134"/>
        <v>009°M / -63°</v>
      </c>
      <c r="AA91" s="151">
        <f t="shared" si="135"/>
        <v>1791.1</v>
      </c>
      <c r="AB91" s="150">
        <f t="shared" si="136"/>
        <v>2215.7</v>
      </c>
      <c r="AC91" s="188">
        <v>82</v>
      </c>
      <c r="AD91" s="1" t="b">
        <f t="shared" si="28"/>
        <v>1</v>
      </c>
      <c r="AE91" s="1">
        <f t="shared" si="29"/>
        <v>6.37960110354983</v>
      </c>
      <c r="AF91" s="1">
        <f t="shared" si="30"/>
        <v>-133.680521460703</v>
      </c>
      <c r="AG91" s="1">
        <f t="shared" si="31"/>
        <v>226.319478539297</v>
      </c>
      <c r="AH91" s="2">
        <f t="shared" si="137"/>
        <v>0.477580627440375</v>
      </c>
      <c r="AI91" s="1">
        <f t="shared" si="33"/>
        <v>1.77041295161191</v>
      </c>
      <c r="AJ91" s="191">
        <f t="shared" si="168"/>
        <v>0</v>
      </c>
      <c r="AK91" s="191">
        <f t="shared" si="169"/>
        <v>0</v>
      </c>
      <c r="AL91" s="191">
        <f t="shared" si="138"/>
        <v>93.1547023323377</v>
      </c>
      <c r="AM91" s="20">
        <f t="shared" si="139"/>
        <v>-54.319870324395</v>
      </c>
      <c r="AN91" s="191">
        <f t="shared" si="140"/>
        <v>87.5766797513121</v>
      </c>
      <c r="AO91" s="134">
        <f t="shared" si="141"/>
        <v>270</v>
      </c>
      <c r="AP91" s="64">
        <f t="shared" si="38"/>
        <v>51</v>
      </c>
      <c r="AQ91" s="1">
        <f t="shared" si="167"/>
        <v>91.7778389749255</v>
      </c>
      <c r="AR91" s="20">
        <f t="shared" si="142"/>
        <v>-68.5455344131706</v>
      </c>
      <c r="AS91" s="1">
        <f t="shared" si="143"/>
        <v>83.6202880836002</v>
      </c>
      <c r="AT91" s="134">
        <f t="shared" si="144"/>
        <v>267</v>
      </c>
      <c r="AU91" s="64">
        <f t="shared" si="145"/>
        <v>31</v>
      </c>
      <c r="AV91" s="65">
        <f t="shared" si="146"/>
        <v>45683.8067670928</v>
      </c>
      <c r="AW91" s="65">
        <f t="shared" si="147"/>
        <v>45683.7226292931</v>
      </c>
      <c r="AX91" s="1">
        <f t="shared" si="148"/>
        <v>286</v>
      </c>
      <c r="AY91" s="1">
        <f t="shared" si="149"/>
        <v>-63</v>
      </c>
      <c r="AZ91" s="131">
        <f t="shared" si="150"/>
        <v>1791.1</v>
      </c>
      <c r="BA91" s="1">
        <f t="shared" si="151"/>
        <v>2215.7</v>
      </c>
      <c r="BB91" s="1">
        <f t="shared" si="49"/>
        <v>42369031.218531</v>
      </c>
      <c r="BC91" s="1">
        <f t="shared" si="50"/>
        <v>36</v>
      </c>
      <c r="BD91" s="1">
        <f t="shared" si="152"/>
        <v>57480486.2483856</v>
      </c>
      <c r="BE91" s="1">
        <f t="shared" si="153"/>
        <v>21</v>
      </c>
      <c r="BF91" s="20">
        <f t="shared" si="53"/>
        <v>-153.771648895595</v>
      </c>
      <c r="BG91" s="1">
        <f t="shared" si="154"/>
        <v>439.422784496108</v>
      </c>
      <c r="BH91" s="1">
        <f t="shared" si="155"/>
        <v>-891.910668739595</v>
      </c>
      <c r="BI91" s="1">
        <f t="shared" si="156"/>
        <v>111.168182463832</v>
      </c>
      <c r="BJ91" s="1">
        <f t="shared" si="157"/>
        <v>439.422784496108</v>
      </c>
      <c r="BK91" s="1">
        <f t="shared" si="158"/>
        <v>-891.910668739595</v>
      </c>
      <c r="BL91" s="1">
        <f t="shared" si="159"/>
        <v>111.168182463832</v>
      </c>
      <c r="BM91" s="61">
        <f t="shared" si="160"/>
        <v>22462524.6752691</v>
      </c>
      <c r="BN91" s="61">
        <f t="shared" si="161"/>
        <v>37184853.0541614</v>
      </c>
      <c r="BO91" s="61">
        <f t="shared" si="162"/>
        <v>111.168182463832</v>
      </c>
      <c r="BQ91" s="1" t="str">
        <f t="shared" si="63"/>
        <v>N 06° 22.8' / W 133° 40.8'</v>
      </c>
      <c r="BR91" s="1" t="str">
        <f t="shared" si="64"/>
        <v>08N 522879 111329</v>
      </c>
      <c r="BS91" s="1" t="str">
        <f t="shared" si="65"/>
        <v>08N NG 228113</v>
      </c>
      <c r="BT91" s="1" t="b">
        <f t="shared" si="66"/>
        <v>0</v>
      </c>
      <c r="BU91" s="1" t="str">
        <f t="shared" si="67"/>
        <v>08N</v>
      </c>
      <c r="BV91" s="1">
        <f t="shared" si="68"/>
        <v>8</v>
      </c>
      <c r="BW91" s="1">
        <f t="shared" si="69"/>
        <v>0</v>
      </c>
      <c r="BX91" s="1">
        <f t="shared" si="70"/>
        <v>-135</v>
      </c>
      <c r="BY91" s="1">
        <f t="shared" si="163"/>
        <v>22879.4551187885</v>
      </c>
      <c r="BZ91" s="1">
        <f t="shared" si="72"/>
        <v>522879.4551</v>
      </c>
      <c r="CA91" s="1" t="str">
        <f t="shared" si="73"/>
        <v>N</v>
      </c>
      <c r="CB91" s="1" t="str">
        <f t="shared" si="74"/>
        <v>522879</v>
      </c>
      <c r="CC91" s="1" t="str">
        <f t="shared" si="75"/>
        <v>22879</v>
      </c>
      <c r="CD91" s="1">
        <f t="shared" si="164"/>
        <v>111329.783140151</v>
      </c>
      <c r="CE91" s="1">
        <f t="shared" si="77"/>
        <v>111329.7831</v>
      </c>
      <c r="CF91" s="1" t="str">
        <f t="shared" si="78"/>
        <v>G</v>
      </c>
      <c r="CG91" s="1" t="str">
        <f t="shared" si="79"/>
        <v>111329</v>
      </c>
      <c r="CH91" s="1" t="str">
        <f t="shared" si="80"/>
        <v>11329</v>
      </c>
      <c r="CJ91" s="1">
        <f t="shared" si="81"/>
        <v>93</v>
      </c>
      <c r="CK91" s="1" t="str">
        <f t="shared" si="82"/>
        <v>JA</v>
      </c>
      <c r="CL91" s="1">
        <f t="shared" si="83"/>
        <v>2</v>
      </c>
      <c r="CM91" s="1">
        <f t="shared" si="84"/>
        <v>4</v>
      </c>
      <c r="CN91" s="1">
        <f t="shared" si="85"/>
        <v>0</v>
      </c>
      <c r="CO91" s="1">
        <f t="shared" si="86"/>
        <v>1</v>
      </c>
      <c r="CP91" s="1" t="str">
        <f t="shared" si="87"/>
        <v>093JA24</v>
      </c>
      <c r="CR91" s="1" t="e">
        <f t="shared" si="88"/>
        <v>#VALUE!</v>
      </c>
      <c r="CS91" s="1" t="e">
        <f t="shared" si="89"/>
        <v>#VALUE!</v>
      </c>
      <c r="CT91" s="1">
        <f t="shared" si="90"/>
        <v>6</v>
      </c>
      <c r="CU91" s="1">
        <f t="shared" si="91"/>
        <v>1</v>
      </c>
      <c r="CV91" s="131" t="e">
        <f t="shared" si="92"/>
        <v>#VALUE!</v>
      </c>
      <c r="CW91" s="131">
        <v>1047</v>
      </c>
      <c r="CX91" s="131">
        <v>1659.3</v>
      </c>
      <c r="CY91" s="131">
        <v>1842.1</v>
      </c>
      <c r="CZ91" s="131">
        <v>2247.3</v>
      </c>
      <c r="DA91" s="131">
        <v>2268</v>
      </c>
      <c r="DC91" s="154">
        <f t="shared" si="93"/>
        <v>686.687642149452</v>
      </c>
      <c r="DD91" s="154">
        <f t="shared" si="94"/>
        <v>111.168182463832</v>
      </c>
      <c r="DE91" s="154">
        <f t="shared" si="95"/>
        <v>-719.066830458095</v>
      </c>
      <c r="DF91" s="1">
        <f t="shared" si="96"/>
        <v>-45.9491973108384</v>
      </c>
      <c r="DG91" s="1">
        <f t="shared" si="97"/>
        <v>9.19585772392533</v>
      </c>
      <c r="DH91" s="1">
        <f t="shared" si="98"/>
        <v>354</v>
      </c>
      <c r="DI91" s="1">
        <f t="shared" si="165"/>
        <v>351</v>
      </c>
      <c r="DJ91" s="1">
        <f t="shared" si="166"/>
        <v>9</v>
      </c>
      <c r="DK91" s="1">
        <f t="shared" si="101"/>
        <v>354</v>
      </c>
      <c r="DL91" s="1">
        <f t="shared" si="102"/>
        <v>351</v>
      </c>
      <c r="DM91" s="1">
        <f t="shared" si="103"/>
        <v>9</v>
      </c>
    </row>
    <row r="92" customHeight="1" spans="1:117">
      <c r="A92" s="152" t="str">
        <f t="shared" si="170"/>
        <v>Freelancer Wreck 08N-D43</v>
      </c>
      <c r="C92" s="55" t="str">
        <f t="shared" si="5"/>
        <v>N 07° 42.9' / W 133° 32.0'</v>
      </c>
      <c r="D92" s="150" t="str">
        <f t="shared" si="6"/>
        <v>1377 m</v>
      </c>
      <c r="E92" s="151">
        <f t="shared" si="117"/>
        <v>1639.6</v>
      </c>
      <c r="F92" s="151">
        <f t="shared" si="118"/>
        <v>1860.7</v>
      </c>
      <c r="G92" s="151">
        <f t="shared" si="119"/>
        <v>2268.6</v>
      </c>
      <c r="H92" s="151">
        <f t="shared" si="120"/>
        <v>1001.9</v>
      </c>
      <c r="I92" s="151">
        <f t="shared" si="121"/>
        <v>2245.7</v>
      </c>
      <c r="J92" s="171">
        <f t="shared" si="122"/>
        <v>1052.3</v>
      </c>
      <c r="K92" s="172">
        <f t="shared" si="171"/>
        <v>-683.47693031583</v>
      </c>
      <c r="L92" s="172">
        <f t="shared" si="172"/>
        <v>-719.404561508934</v>
      </c>
      <c r="M92" s="173">
        <f t="shared" si="173"/>
        <v>134.431148172863</v>
      </c>
      <c r="N92" s="54">
        <f t="shared" si="123"/>
        <v>0.0901086515397642</v>
      </c>
      <c r="O92" s="55" t="str">
        <f t="shared" si="124"/>
        <v>Afternoon / Sets in 27m</v>
      </c>
      <c r="P92" s="55" t="str">
        <f t="shared" si="15"/>
        <v>351°M / +36°</v>
      </c>
      <c r="Q92" s="56">
        <f t="shared" si="125"/>
        <v>45683.8064681562</v>
      </c>
      <c r="R92" s="56">
        <f t="shared" si="126"/>
        <v>45683.8121903783</v>
      </c>
      <c r="S92" s="56">
        <f t="shared" si="127"/>
        <v>45683.857244704</v>
      </c>
      <c r="T92" s="56">
        <f t="shared" si="128"/>
        <v>45683.7306323673</v>
      </c>
      <c r="U92" s="180">
        <f t="shared" si="129"/>
        <v>45683.7363545894</v>
      </c>
      <c r="V92" s="55" t="str">
        <f t="shared" si="130"/>
        <v>Sets in 17m</v>
      </c>
      <c r="W92" s="55" t="str">
        <f t="shared" si="131"/>
        <v>349°M / +21°</v>
      </c>
      <c r="X92" s="56">
        <f t="shared" si="132"/>
        <v>45683.8061081231</v>
      </c>
      <c r="Y92" s="180">
        <f t="shared" si="133"/>
        <v>45683.7231475543</v>
      </c>
      <c r="Z92" s="55" t="str">
        <f t="shared" si="134"/>
        <v>009°M / -63°</v>
      </c>
      <c r="AA92" s="151">
        <f t="shared" si="135"/>
        <v>1790.1</v>
      </c>
      <c r="AB92" s="150">
        <f t="shared" si="136"/>
        <v>2211.6</v>
      </c>
      <c r="AC92" s="188">
        <v>83</v>
      </c>
      <c r="AD92" s="1" t="b">
        <f t="shared" si="28"/>
        <v>1</v>
      </c>
      <c r="AE92" s="1">
        <f t="shared" si="29"/>
        <v>7.71504085289624</v>
      </c>
      <c r="AF92" s="1">
        <f t="shared" si="30"/>
        <v>-133.532982443315</v>
      </c>
      <c r="AG92" s="1">
        <f t="shared" si="31"/>
        <v>226.467017556685</v>
      </c>
      <c r="AH92" s="2">
        <f t="shared" si="137"/>
        <v>1.37673779296756</v>
      </c>
      <c r="AI92" s="1">
        <f t="shared" si="33"/>
        <v>3.00479098833504</v>
      </c>
      <c r="AJ92" s="191">
        <f t="shared" si="168"/>
        <v>0</v>
      </c>
      <c r="AK92" s="191">
        <f t="shared" si="169"/>
        <v>0</v>
      </c>
      <c r="AL92" s="191">
        <f t="shared" si="138"/>
        <v>94.4828602184629</v>
      </c>
      <c r="AM92" s="20">
        <f t="shared" si="139"/>
        <v>-54.4674093417825</v>
      </c>
      <c r="AN92" s="191">
        <f t="shared" si="140"/>
        <v>86.2412084414269</v>
      </c>
      <c r="AO92" s="134">
        <f t="shared" si="141"/>
        <v>269</v>
      </c>
      <c r="AP92" s="64">
        <f t="shared" si="38"/>
        <v>50</v>
      </c>
      <c r="AQ92" s="1">
        <f t="shared" si="167"/>
        <v>93.0122170116486</v>
      </c>
      <c r="AR92" s="20">
        <f t="shared" si="142"/>
        <v>-68.6930734305581</v>
      </c>
      <c r="AS92" s="1">
        <f t="shared" si="143"/>
        <v>82.2848251448579</v>
      </c>
      <c r="AT92" s="134">
        <f t="shared" si="144"/>
        <v>267</v>
      </c>
      <c r="AU92" s="64">
        <f t="shared" si="145"/>
        <v>30</v>
      </c>
      <c r="AV92" s="65">
        <f t="shared" si="146"/>
        <v>45683.8061081231</v>
      </c>
      <c r="AW92" s="65">
        <f t="shared" si="147"/>
        <v>45683.7231475543</v>
      </c>
      <c r="AX92" s="1">
        <f t="shared" si="148"/>
        <v>287</v>
      </c>
      <c r="AY92" s="1">
        <f t="shared" si="149"/>
        <v>-63</v>
      </c>
      <c r="AZ92" s="131">
        <f t="shared" si="150"/>
        <v>1790.1</v>
      </c>
      <c r="BA92" s="1">
        <f t="shared" si="151"/>
        <v>2211.6</v>
      </c>
      <c r="BB92" s="1">
        <f t="shared" si="49"/>
        <v>42369032.8322955</v>
      </c>
      <c r="BC92" s="1">
        <f t="shared" si="50"/>
        <v>36</v>
      </c>
      <c r="BD92" s="1">
        <f t="shared" si="152"/>
        <v>57480489.3483232</v>
      </c>
      <c r="BE92" s="1">
        <f t="shared" si="153"/>
        <v>21</v>
      </c>
      <c r="BF92" s="20">
        <f t="shared" si="53"/>
        <v>-153.624109878207</v>
      </c>
      <c r="BG92" s="1">
        <f t="shared" si="154"/>
        <v>440.842889074859</v>
      </c>
      <c r="BH92" s="1">
        <f t="shared" si="155"/>
        <v>-889.011352315561</v>
      </c>
      <c r="BI92" s="1">
        <f t="shared" si="156"/>
        <v>134.431148172863</v>
      </c>
      <c r="BJ92" s="1">
        <f t="shared" si="157"/>
        <v>440.842889074859</v>
      </c>
      <c r="BK92" s="1">
        <f t="shared" si="158"/>
        <v>-889.011352315561</v>
      </c>
      <c r="BL92" s="1">
        <f t="shared" si="159"/>
        <v>134.431148172863</v>
      </c>
      <c r="BM92" s="61">
        <f t="shared" si="160"/>
        <v>22462526.0953737</v>
      </c>
      <c r="BN92" s="61">
        <f t="shared" si="161"/>
        <v>37184855.9534778</v>
      </c>
      <c r="BO92" s="61">
        <f t="shared" si="162"/>
        <v>134.431148172863</v>
      </c>
      <c r="BQ92" s="1" t="str">
        <f t="shared" si="63"/>
        <v>N 07° 42.9' / W 133° 32.0'</v>
      </c>
      <c r="BR92" s="1" t="str">
        <f t="shared" si="64"/>
        <v>08N 525365 134642</v>
      </c>
      <c r="BS92" s="1" t="str">
        <f t="shared" si="65"/>
        <v>08N NG 253346</v>
      </c>
      <c r="BT92" s="1" t="b">
        <f t="shared" si="66"/>
        <v>0</v>
      </c>
      <c r="BU92" s="1" t="str">
        <f t="shared" si="67"/>
        <v>08N</v>
      </c>
      <c r="BV92" s="1">
        <f t="shared" si="68"/>
        <v>8</v>
      </c>
      <c r="BW92" s="1">
        <f t="shared" si="69"/>
        <v>0</v>
      </c>
      <c r="BX92" s="1">
        <f t="shared" si="70"/>
        <v>-135</v>
      </c>
      <c r="BY92" s="1">
        <f t="shared" si="163"/>
        <v>25365.0390482885</v>
      </c>
      <c r="BZ92" s="1">
        <f t="shared" si="72"/>
        <v>525365.039</v>
      </c>
      <c r="CA92" s="1" t="str">
        <f t="shared" si="73"/>
        <v>N</v>
      </c>
      <c r="CB92" s="1" t="str">
        <f t="shared" si="74"/>
        <v>525365</v>
      </c>
      <c r="CC92" s="1" t="str">
        <f t="shared" si="75"/>
        <v>25365</v>
      </c>
      <c r="CD92" s="1">
        <f t="shared" si="164"/>
        <v>134642.604111952</v>
      </c>
      <c r="CE92" s="1">
        <f t="shared" si="77"/>
        <v>134642.6041</v>
      </c>
      <c r="CF92" s="1" t="str">
        <f t="shared" si="78"/>
        <v>G</v>
      </c>
      <c r="CG92" s="1" t="str">
        <f t="shared" si="79"/>
        <v>134642</v>
      </c>
      <c r="CH92" s="1" t="str">
        <f t="shared" si="80"/>
        <v>34642</v>
      </c>
      <c r="CJ92" s="1">
        <f t="shared" si="81"/>
        <v>93</v>
      </c>
      <c r="CK92" s="1" t="str">
        <f t="shared" si="82"/>
        <v>JD</v>
      </c>
      <c r="CL92" s="1">
        <f t="shared" si="83"/>
        <v>4</v>
      </c>
      <c r="CM92" s="1">
        <f t="shared" si="84"/>
        <v>3</v>
      </c>
      <c r="CN92" s="1">
        <f t="shared" si="85"/>
        <v>2</v>
      </c>
      <c r="CO92" s="1">
        <f t="shared" si="86"/>
        <v>2</v>
      </c>
      <c r="CP92" s="1" t="str">
        <f t="shared" si="87"/>
        <v>093JD43</v>
      </c>
      <c r="CR92" s="1" t="e">
        <f t="shared" si="88"/>
        <v>#VALUE!</v>
      </c>
      <c r="CS92" s="1" t="e">
        <f t="shared" si="89"/>
        <v>#VALUE!</v>
      </c>
      <c r="CT92" s="1">
        <f t="shared" si="90"/>
        <v>6</v>
      </c>
      <c r="CU92" s="1">
        <f t="shared" si="91"/>
        <v>1</v>
      </c>
      <c r="CV92" s="131" t="e">
        <f t="shared" si="92"/>
        <v>#VALUE!</v>
      </c>
      <c r="CW92" s="131">
        <v>1052.3</v>
      </c>
      <c r="CX92" s="131">
        <v>1639.6</v>
      </c>
      <c r="CY92" s="131">
        <v>1860.7</v>
      </c>
      <c r="CZ92" s="131">
        <v>2245.7</v>
      </c>
      <c r="DA92" s="131">
        <v>2268.6</v>
      </c>
      <c r="DC92" s="154">
        <f t="shared" si="93"/>
        <v>683.47693031583</v>
      </c>
      <c r="DD92" s="154">
        <f t="shared" si="94"/>
        <v>134.431148172863</v>
      </c>
      <c r="DE92" s="154">
        <f t="shared" si="95"/>
        <v>-719.404561508934</v>
      </c>
      <c r="DF92" s="1">
        <f t="shared" si="96"/>
        <v>-45.9238149804703</v>
      </c>
      <c r="DG92" s="1">
        <f t="shared" si="97"/>
        <v>11.1273063992197</v>
      </c>
      <c r="DH92" s="1">
        <f t="shared" si="98"/>
        <v>351</v>
      </c>
      <c r="DI92" s="1">
        <f t="shared" si="165"/>
        <v>349</v>
      </c>
      <c r="DJ92" s="1">
        <f t="shared" si="166"/>
        <v>9</v>
      </c>
      <c r="DK92" s="1">
        <f t="shared" si="101"/>
        <v>351</v>
      </c>
      <c r="DL92" s="1">
        <f t="shared" si="102"/>
        <v>349</v>
      </c>
      <c r="DM92" s="1">
        <f t="shared" si="103"/>
        <v>9</v>
      </c>
    </row>
    <row r="93" customHeight="1" spans="1:117">
      <c r="A93" s="152" t="str">
        <f t="shared" si="170"/>
        <v>Starfarer Wreck 52M</v>
      </c>
      <c r="C93" s="55" t="str">
        <f t="shared" si="5"/>
        <v>S 04° 29.6' / E 126° 08.3'</v>
      </c>
      <c r="D93" s="150" t="str">
        <f t="shared" si="6"/>
        <v>274 m</v>
      </c>
      <c r="E93" s="151">
        <f t="shared" si="117"/>
        <v>1816.2</v>
      </c>
      <c r="F93" s="151">
        <f t="shared" si="118"/>
        <v>1687.4</v>
      </c>
      <c r="G93" s="151">
        <f t="shared" si="119"/>
        <v>868.5</v>
      </c>
      <c r="H93" s="151">
        <f t="shared" si="120"/>
        <v>2322</v>
      </c>
      <c r="I93" s="151">
        <f t="shared" si="121"/>
        <v>2183.2</v>
      </c>
      <c r="J93" s="171">
        <f t="shared" si="122"/>
        <v>1174.6</v>
      </c>
      <c r="K93" s="172">
        <f t="shared" si="171"/>
        <v>-588.08975842639</v>
      </c>
      <c r="L93" s="172">
        <f t="shared" si="172"/>
        <v>805.331386539117</v>
      </c>
      <c r="M93" s="173">
        <f t="shared" si="173"/>
        <v>-78.362321435307</v>
      </c>
      <c r="N93" s="54">
        <f t="shared" si="123"/>
        <v>0.0877139426520478</v>
      </c>
      <c r="O93" s="55" t="str">
        <f t="shared" si="124"/>
        <v>Morning / Sets in 95m</v>
      </c>
      <c r="P93" s="55" t="str">
        <f t="shared" si="15"/>
        <v>164°M / +43°</v>
      </c>
      <c r="Q93" s="56">
        <f t="shared" si="125"/>
        <v>45683.855507289</v>
      </c>
      <c r="R93" s="56">
        <f t="shared" si="126"/>
        <v>45683.8612295111</v>
      </c>
      <c r="S93" s="56">
        <f t="shared" si="127"/>
        <v>45683.7334198199</v>
      </c>
      <c r="T93" s="56">
        <f t="shared" si="128"/>
        <v>45683.7772767912</v>
      </c>
      <c r="U93" s="180">
        <f t="shared" si="129"/>
        <v>45683.7829990133</v>
      </c>
      <c r="V93" s="55" t="str">
        <f t="shared" si="130"/>
        <v>Sets in 84m</v>
      </c>
      <c r="W93" s="55" t="str">
        <f t="shared" si="131"/>
        <v>167°M / +58°</v>
      </c>
      <c r="X93" s="56">
        <f t="shared" si="132"/>
        <v>45683.854742775</v>
      </c>
      <c r="Y93" s="180">
        <f t="shared" si="133"/>
        <v>45683.7701964591</v>
      </c>
      <c r="Z93" s="55" t="str">
        <f t="shared" si="134"/>
        <v>018°M / -16°</v>
      </c>
      <c r="AA93" s="151">
        <f t="shared" si="135"/>
        <v>543.5</v>
      </c>
      <c r="AB93" s="150">
        <f t="shared" si="136"/>
        <v>550</v>
      </c>
      <c r="AC93" s="188">
        <v>84</v>
      </c>
      <c r="AD93" s="1" t="b">
        <f t="shared" si="28"/>
        <v>1</v>
      </c>
      <c r="AE93" s="1">
        <f t="shared" si="29"/>
        <v>-4.49320268312935</v>
      </c>
      <c r="AF93" s="1">
        <f t="shared" si="30"/>
        <v>126.138625591721</v>
      </c>
      <c r="AG93" s="1">
        <f t="shared" si="31"/>
        <v>126.138625591721</v>
      </c>
      <c r="AH93" s="2">
        <f t="shared" si="137"/>
        <v>0.274392120360517</v>
      </c>
      <c r="AI93" s="1">
        <f t="shared" si="33"/>
        <v>1.34206577465767</v>
      </c>
      <c r="AJ93" s="191">
        <f t="shared" si="168"/>
        <v>0</v>
      </c>
      <c r="AK93" s="191">
        <f t="shared" si="169"/>
        <v>0</v>
      </c>
      <c r="AL93" s="191">
        <f t="shared" si="138"/>
        <v>91.9719032655429</v>
      </c>
      <c r="AM93" s="20">
        <f t="shared" si="139"/>
        <v>45.8609826231813</v>
      </c>
      <c r="AN93" s="191">
        <f t="shared" si="140"/>
        <v>81.5502604903965</v>
      </c>
      <c r="AO93" s="134">
        <f t="shared" si="141"/>
        <v>80</v>
      </c>
      <c r="AP93" s="64">
        <f t="shared" si="38"/>
        <v>57</v>
      </c>
      <c r="AQ93" s="1">
        <f t="shared" si="167"/>
        <v>91.3494917979713</v>
      </c>
      <c r="AR93" s="20">
        <f t="shared" si="142"/>
        <v>31.6353185344057</v>
      </c>
      <c r="AS93" s="1">
        <f t="shared" si="143"/>
        <v>85.5067192052606</v>
      </c>
      <c r="AT93" s="134">
        <f t="shared" si="144"/>
        <v>83</v>
      </c>
      <c r="AU93" s="64">
        <f t="shared" si="145"/>
        <v>73</v>
      </c>
      <c r="AV93" s="65">
        <f t="shared" si="146"/>
        <v>45683.854742775</v>
      </c>
      <c r="AW93" s="65">
        <f t="shared" si="147"/>
        <v>45683.7701964591</v>
      </c>
      <c r="AX93" s="1">
        <f t="shared" si="148"/>
        <v>294</v>
      </c>
      <c r="AY93" s="1">
        <f t="shared" si="149"/>
        <v>-16</v>
      </c>
      <c r="AZ93" s="131">
        <f t="shared" si="150"/>
        <v>543.5</v>
      </c>
      <c r="BA93" s="1">
        <f t="shared" si="151"/>
        <v>550</v>
      </c>
      <c r="BB93" s="1">
        <f t="shared" si="49"/>
        <v>42368930.0395232</v>
      </c>
      <c r="BC93" s="1">
        <f t="shared" si="50"/>
        <v>43</v>
      </c>
      <c r="BD93" s="1">
        <f t="shared" si="152"/>
        <v>57480000.8935819</v>
      </c>
      <c r="BE93" s="1">
        <f t="shared" si="153"/>
        <v>58</v>
      </c>
      <c r="BF93" s="20">
        <f t="shared" si="53"/>
        <v>106.047498156829</v>
      </c>
      <c r="BG93" s="1">
        <f t="shared" si="154"/>
        <v>-958.342146902779</v>
      </c>
      <c r="BH93" s="1">
        <f t="shared" si="155"/>
        <v>-275.660181347976</v>
      </c>
      <c r="BI93" s="1">
        <f t="shared" si="156"/>
        <v>-78.362321435307</v>
      </c>
      <c r="BJ93" s="1">
        <f t="shared" si="157"/>
        <v>-958.342146902779</v>
      </c>
      <c r="BK93" s="1">
        <f t="shared" si="158"/>
        <v>-275.660181347976</v>
      </c>
      <c r="BL93" s="1">
        <f t="shared" si="159"/>
        <v>-78.362321435307</v>
      </c>
      <c r="BM93" s="61">
        <f t="shared" si="160"/>
        <v>22461126.9103377</v>
      </c>
      <c r="BN93" s="61">
        <f t="shared" si="161"/>
        <v>37185469.3046487</v>
      </c>
      <c r="BO93" s="61">
        <f t="shared" si="162"/>
        <v>-78.362321435307</v>
      </c>
      <c r="BQ93" s="1" t="str">
        <f t="shared" si="63"/>
        <v>S 04° 29.6' / E 126° 08.3'</v>
      </c>
      <c r="BR93" s="1" t="str">
        <f t="shared" si="64"/>
        <v>52M 450212 1921512</v>
      </c>
      <c r="BS93" s="1" t="str">
        <f t="shared" si="65"/>
        <v>52M DE 502215</v>
      </c>
      <c r="BT93" s="1" t="b">
        <f t="shared" si="66"/>
        <v>0</v>
      </c>
      <c r="BU93" s="1" t="str">
        <f t="shared" si="67"/>
        <v>52M</v>
      </c>
      <c r="BV93" s="1">
        <f t="shared" si="68"/>
        <v>52</v>
      </c>
      <c r="BW93" s="1">
        <f t="shared" si="69"/>
        <v>0</v>
      </c>
      <c r="BX93" s="1">
        <f t="shared" si="70"/>
        <v>129</v>
      </c>
      <c r="BY93" s="1">
        <f t="shared" si="163"/>
        <v>-49787.4500793916</v>
      </c>
      <c r="BZ93" s="1">
        <f t="shared" si="72"/>
        <v>450212.5499</v>
      </c>
      <c r="CA93" s="1" t="str">
        <f t="shared" si="73"/>
        <v>D</v>
      </c>
      <c r="CB93" s="1" t="str">
        <f t="shared" si="74"/>
        <v>450212</v>
      </c>
      <c r="CC93" s="1" t="str">
        <f t="shared" si="75"/>
        <v>50212</v>
      </c>
      <c r="CD93" s="1">
        <f t="shared" si="164"/>
        <v>-78487.2663623736</v>
      </c>
      <c r="CE93" s="1">
        <f t="shared" si="77"/>
        <v>1921512.7336</v>
      </c>
      <c r="CF93" s="1" t="str">
        <f t="shared" si="78"/>
        <v>E</v>
      </c>
      <c r="CG93" s="1" t="str">
        <f t="shared" si="79"/>
        <v>1921512</v>
      </c>
      <c r="CH93" s="1" t="str">
        <f t="shared" si="80"/>
        <v>21512</v>
      </c>
      <c r="CJ93" s="1">
        <f t="shared" si="81"/>
        <v>613</v>
      </c>
      <c r="CK93" s="1" t="str">
        <f t="shared" si="82"/>
        <v>HD</v>
      </c>
      <c r="CL93" s="1">
        <f t="shared" si="83"/>
        <v>3</v>
      </c>
      <c r="CM93" s="1">
        <f t="shared" si="84"/>
        <v>8</v>
      </c>
      <c r="CN93" s="1">
        <f t="shared" si="85"/>
        <v>1</v>
      </c>
      <c r="CO93" s="1">
        <f t="shared" si="86"/>
        <v>0</v>
      </c>
      <c r="CP93" s="1" t="str">
        <f t="shared" si="87"/>
        <v>613HD38</v>
      </c>
      <c r="CR93" s="1" t="e">
        <f t="shared" si="88"/>
        <v>#VALUE!</v>
      </c>
      <c r="CS93" s="1" t="e">
        <f t="shared" si="89"/>
        <v>#VALUE!</v>
      </c>
      <c r="CT93" s="1">
        <f t="shared" si="90"/>
        <v>6</v>
      </c>
      <c r="CU93" s="1">
        <f t="shared" si="91"/>
        <v>2</v>
      </c>
      <c r="CV93" s="131" t="e">
        <f t="shared" si="92"/>
        <v>#VALUE!</v>
      </c>
      <c r="CW93" s="131">
        <v>1174.6</v>
      </c>
      <c r="CX93" s="131">
        <v>1687.4</v>
      </c>
      <c r="CY93" s="131">
        <v>1816.2</v>
      </c>
      <c r="CZ93" s="131">
        <v>2183.2</v>
      </c>
      <c r="DA93" s="131">
        <v>2322</v>
      </c>
      <c r="DC93" s="154">
        <f t="shared" si="93"/>
        <v>588.08975842639</v>
      </c>
      <c r="DD93" s="154">
        <f t="shared" si="94"/>
        <v>-78.362321435307</v>
      </c>
      <c r="DE93" s="154">
        <f t="shared" si="95"/>
        <v>805.331386539117</v>
      </c>
      <c r="DF93" s="1">
        <f t="shared" si="96"/>
        <v>53.6209254152264</v>
      </c>
      <c r="DG93" s="1">
        <f t="shared" si="97"/>
        <v>-7.58989091131508</v>
      </c>
      <c r="DH93" s="1">
        <f t="shared" si="98"/>
        <v>164</v>
      </c>
      <c r="DI93" s="1">
        <f t="shared" si="165"/>
        <v>167</v>
      </c>
      <c r="DJ93" s="1">
        <f t="shared" si="166"/>
        <v>18</v>
      </c>
      <c r="DK93" s="1">
        <f t="shared" si="101"/>
        <v>164</v>
      </c>
      <c r="DL93" s="1">
        <f t="shared" si="102"/>
        <v>167</v>
      </c>
      <c r="DM93" s="1">
        <f t="shared" si="103"/>
        <v>18</v>
      </c>
    </row>
    <row r="94" customHeight="1" spans="1:117">
      <c r="A94" s="152" t="str">
        <f t="shared" si="170"/>
        <v>Starfarer Wreck 52P</v>
      </c>
      <c r="C94" s="55" t="str">
        <f t="shared" si="5"/>
        <v>N 10° 41.4' / E 130° 28.1'</v>
      </c>
      <c r="D94" s="150" t="str">
        <f t="shared" si="6"/>
        <v>287 m</v>
      </c>
      <c r="E94" s="151">
        <f t="shared" si="117"/>
        <v>1593.3</v>
      </c>
      <c r="F94" s="151">
        <f t="shared" si="118"/>
        <v>1899.3</v>
      </c>
      <c r="G94" s="151">
        <f t="shared" si="119"/>
        <v>959.2</v>
      </c>
      <c r="H94" s="151">
        <f t="shared" si="120"/>
        <v>2286</v>
      </c>
      <c r="I94" s="151">
        <f t="shared" si="121"/>
        <v>2215.8</v>
      </c>
      <c r="J94" s="171">
        <f t="shared" si="122"/>
        <v>1111.9</v>
      </c>
      <c r="K94" s="172">
        <f t="shared" si="171"/>
        <v>-637.938300534408</v>
      </c>
      <c r="L94" s="172">
        <f t="shared" si="172"/>
        <v>747.781923474108</v>
      </c>
      <c r="M94" s="173">
        <f t="shared" si="173"/>
        <v>185.557559019559</v>
      </c>
      <c r="N94" s="54">
        <f t="shared" si="123"/>
        <v>0.088754137090043</v>
      </c>
      <c r="O94" s="55" t="str">
        <f t="shared" si="124"/>
        <v>Morning / Sets in 92m</v>
      </c>
      <c r="P94" s="55" t="str">
        <f t="shared" si="15"/>
        <v>198°M / +48°</v>
      </c>
      <c r="Q94" s="56">
        <f t="shared" si="125"/>
        <v>45683.8529228453</v>
      </c>
      <c r="R94" s="56">
        <f t="shared" si="126"/>
        <v>45683.8586450674</v>
      </c>
      <c r="S94" s="56">
        <f t="shared" si="127"/>
        <v>45683.7313554735</v>
      </c>
      <c r="T94" s="56">
        <f t="shared" si="128"/>
        <v>45683.775732542</v>
      </c>
      <c r="U94" s="180">
        <f t="shared" si="129"/>
        <v>45683.7814547641</v>
      </c>
      <c r="V94" s="55" t="str">
        <f t="shared" si="130"/>
        <v>Sets in 81m</v>
      </c>
      <c r="W94" s="55" t="str">
        <f t="shared" si="131"/>
        <v>212°M / +61°</v>
      </c>
      <c r="X94" s="56">
        <f t="shared" si="132"/>
        <v>45683.8526635494</v>
      </c>
      <c r="Y94" s="180">
        <f t="shared" si="133"/>
        <v>45683.7681469919</v>
      </c>
      <c r="Z94" s="55" t="str">
        <f t="shared" si="134"/>
        <v>011°M / -16°</v>
      </c>
      <c r="AA94" s="151">
        <f t="shared" si="135"/>
        <v>563.1</v>
      </c>
      <c r="AB94" s="150">
        <f t="shared" si="136"/>
        <v>570.3</v>
      </c>
      <c r="AC94" s="188">
        <v>85</v>
      </c>
      <c r="AD94" s="1" t="b">
        <f t="shared" si="28"/>
        <v>1</v>
      </c>
      <c r="AE94" s="1">
        <f t="shared" si="29"/>
        <v>10.6905334493831</v>
      </c>
      <c r="AF94" s="1">
        <f t="shared" si="30"/>
        <v>130.467740483553</v>
      </c>
      <c r="AG94" s="1">
        <f t="shared" si="31"/>
        <v>130.467740483553</v>
      </c>
      <c r="AH94" s="2">
        <f t="shared" si="137"/>
        <v>0.28730276489182</v>
      </c>
      <c r="AI94" s="1">
        <f t="shared" si="33"/>
        <v>1.37326879093005</v>
      </c>
      <c r="AJ94" s="191">
        <f t="shared" si="168"/>
        <v>0</v>
      </c>
      <c r="AK94" s="191">
        <f t="shared" si="169"/>
        <v>0</v>
      </c>
      <c r="AL94" s="191">
        <f t="shared" si="138"/>
        <v>93.062592605642</v>
      </c>
      <c r="AM94" s="20">
        <f t="shared" si="139"/>
        <v>41.5318677313496</v>
      </c>
      <c r="AN94" s="191">
        <f t="shared" si="140"/>
        <v>83.2656459922586</v>
      </c>
      <c r="AO94" s="134">
        <f t="shared" si="141"/>
        <v>96</v>
      </c>
      <c r="AP94" s="64">
        <f t="shared" si="38"/>
        <v>62</v>
      </c>
      <c r="AQ94" s="1">
        <f t="shared" si="167"/>
        <v>91.3806948142436</v>
      </c>
      <c r="AR94" s="20">
        <f t="shared" si="142"/>
        <v>27.306203642574</v>
      </c>
      <c r="AS94" s="1">
        <f t="shared" si="143"/>
        <v>79.309281588183</v>
      </c>
      <c r="AT94" s="134">
        <f t="shared" si="144"/>
        <v>110</v>
      </c>
      <c r="AU94" s="64">
        <f t="shared" si="145"/>
        <v>70</v>
      </c>
      <c r="AV94" s="65">
        <f t="shared" si="146"/>
        <v>45683.8526635494</v>
      </c>
      <c r="AW94" s="65">
        <f t="shared" si="147"/>
        <v>45683.7681469919</v>
      </c>
      <c r="AX94" s="1">
        <f t="shared" si="148"/>
        <v>269</v>
      </c>
      <c r="AY94" s="1">
        <f t="shared" si="149"/>
        <v>-16</v>
      </c>
      <c r="AZ94" s="131">
        <f t="shared" si="150"/>
        <v>563.1</v>
      </c>
      <c r="BA94" s="1">
        <f t="shared" si="151"/>
        <v>570.3</v>
      </c>
      <c r="BB94" s="1">
        <f t="shared" si="49"/>
        <v>42368870.5739349</v>
      </c>
      <c r="BC94" s="1">
        <f t="shared" si="50"/>
        <v>48</v>
      </c>
      <c r="BD94" s="1">
        <f t="shared" si="152"/>
        <v>57479976.5172515</v>
      </c>
      <c r="BE94" s="1">
        <f t="shared" si="153"/>
        <v>61</v>
      </c>
      <c r="BF94" s="20">
        <f t="shared" si="53"/>
        <v>110.37661304866</v>
      </c>
      <c r="BG94" s="1">
        <f t="shared" si="154"/>
        <v>-921.418400314176</v>
      </c>
      <c r="BH94" s="1">
        <f t="shared" si="155"/>
        <v>-342.24437457149</v>
      </c>
      <c r="BI94" s="1">
        <f t="shared" si="156"/>
        <v>185.557559019559</v>
      </c>
      <c r="BJ94" s="1">
        <f t="shared" si="157"/>
        <v>-921.418400314176</v>
      </c>
      <c r="BK94" s="1">
        <f t="shared" si="158"/>
        <v>-342.24437457149</v>
      </c>
      <c r="BL94" s="1">
        <f t="shared" si="159"/>
        <v>185.557559019559</v>
      </c>
      <c r="BM94" s="61">
        <f t="shared" si="160"/>
        <v>22461163.8340843</v>
      </c>
      <c r="BN94" s="61">
        <f t="shared" si="161"/>
        <v>37185402.7204555</v>
      </c>
      <c r="BO94" s="61">
        <f t="shared" si="162"/>
        <v>185.557559019559</v>
      </c>
      <c r="BQ94" s="1" t="str">
        <f t="shared" si="63"/>
        <v>N 10° 41.4' / E 130° 28.1'</v>
      </c>
      <c r="BR94" s="1" t="str">
        <f t="shared" si="64"/>
        <v>52P 525164 186570</v>
      </c>
      <c r="BS94" s="1" t="str">
        <f t="shared" si="65"/>
        <v>52P EG 251865</v>
      </c>
      <c r="BT94" s="1" t="b">
        <f t="shared" si="66"/>
        <v>0</v>
      </c>
      <c r="BU94" s="1" t="str">
        <f t="shared" si="67"/>
        <v>52P</v>
      </c>
      <c r="BV94" s="1">
        <f t="shared" si="68"/>
        <v>52</v>
      </c>
      <c r="BW94" s="1">
        <f t="shared" si="69"/>
        <v>0</v>
      </c>
      <c r="BX94" s="1">
        <f t="shared" si="70"/>
        <v>129</v>
      </c>
      <c r="BY94" s="1">
        <f t="shared" si="163"/>
        <v>25164.7772348183</v>
      </c>
      <c r="BZ94" s="1">
        <f t="shared" si="72"/>
        <v>525164.7772</v>
      </c>
      <c r="CA94" s="1" t="str">
        <f t="shared" si="73"/>
        <v>E</v>
      </c>
      <c r="CB94" s="1" t="str">
        <f t="shared" si="74"/>
        <v>525164</v>
      </c>
      <c r="CC94" s="1" t="str">
        <f t="shared" si="75"/>
        <v>25164</v>
      </c>
      <c r="CD94" s="1">
        <f t="shared" si="164"/>
        <v>186570.175145317</v>
      </c>
      <c r="CE94" s="1">
        <f t="shared" si="77"/>
        <v>186570.1751</v>
      </c>
      <c r="CF94" s="1" t="str">
        <f t="shared" si="78"/>
        <v>G</v>
      </c>
      <c r="CG94" s="1" t="str">
        <f t="shared" si="79"/>
        <v>186570</v>
      </c>
      <c r="CH94" s="1" t="str">
        <f t="shared" si="80"/>
        <v>86570</v>
      </c>
      <c r="CJ94" s="1">
        <f t="shared" si="81"/>
        <v>621</v>
      </c>
      <c r="CK94" s="1" t="str">
        <f t="shared" si="82"/>
        <v>JK</v>
      </c>
      <c r="CL94" s="1">
        <f t="shared" si="83"/>
        <v>4</v>
      </c>
      <c r="CM94" s="1">
        <f t="shared" si="84"/>
        <v>3</v>
      </c>
      <c r="CN94" s="1">
        <f t="shared" si="85"/>
        <v>2</v>
      </c>
      <c r="CO94" s="1">
        <f t="shared" si="86"/>
        <v>2</v>
      </c>
      <c r="CP94" s="1" t="str">
        <f t="shared" si="87"/>
        <v>621JK43</v>
      </c>
      <c r="CR94" s="1" t="e">
        <f t="shared" si="88"/>
        <v>#VALUE!</v>
      </c>
      <c r="CS94" s="1" t="e">
        <f t="shared" si="89"/>
        <v>#VALUE!</v>
      </c>
      <c r="CT94" s="1">
        <f t="shared" si="90"/>
        <v>6</v>
      </c>
      <c r="CU94" s="1">
        <f t="shared" si="91"/>
        <v>1</v>
      </c>
      <c r="CV94" s="131" t="e">
        <f t="shared" si="92"/>
        <v>#VALUE!</v>
      </c>
      <c r="CW94" s="131">
        <v>1111.9</v>
      </c>
      <c r="CX94" s="131">
        <v>1593.3</v>
      </c>
      <c r="CY94" s="131">
        <v>1899.3</v>
      </c>
      <c r="CZ94" s="131">
        <v>2215.8</v>
      </c>
      <c r="DA94" s="131">
        <v>2286</v>
      </c>
      <c r="DC94" s="154">
        <f t="shared" si="93"/>
        <v>637.938300534408</v>
      </c>
      <c r="DD94" s="154">
        <f t="shared" si="94"/>
        <v>185.557559019559</v>
      </c>
      <c r="DE94" s="154">
        <f t="shared" si="95"/>
        <v>747.781923474108</v>
      </c>
      <c r="DF94" s="1">
        <f t="shared" si="96"/>
        <v>48.3800737035439</v>
      </c>
      <c r="DG94" s="1">
        <f t="shared" si="97"/>
        <v>16.2181655803818</v>
      </c>
      <c r="DH94" s="1">
        <f t="shared" si="98"/>
        <v>198</v>
      </c>
      <c r="DI94" s="1">
        <f t="shared" si="165"/>
        <v>212</v>
      </c>
      <c r="DJ94" s="1">
        <f t="shared" si="166"/>
        <v>11</v>
      </c>
      <c r="DK94" s="1">
        <f t="shared" si="101"/>
        <v>198</v>
      </c>
      <c r="DL94" s="1">
        <f t="shared" si="102"/>
        <v>212</v>
      </c>
      <c r="DM94" s="1">
        <f t="shared" si="103"/>
        <v>11</v>
      </c>
    </row>
    <row r="95" customHeight="1" spans="1:117">
      <c r="A95" s="152" t="str">
        <f t="shared" si="170"/>
        <v>Starfarer Wreck 53W</v>
      </c>
      <c r="C95" s="55" t="str">
        <f t="shared" si="5"/>
        <v>N 71° 55.1' / E 136° 43.5'</v>
      </c>
      <c r="D95" s="150" t="str">
        <f t="shared" si="6"/>
        <v>141 m</v>
      </c>
      <c r="E95" s="151">
        <f t="shared" si="117"/>
        <v>579.1</v>
      </c>
      <c r="F95" s="151">
        <f t="shared" si="118"/>
        <v>2410.4</v>
      </c>
      <c r="G95" s="151">
        <f t="shared" si="119"/>
        <v>1568.4</v>
      </c>
      <c r="H95" s="151">
        <f t="shared" si="120"/>
        <v>1919.7</v>
      </c>
      <c r="I95" s="151">
        <f t="shared" si="121"/>
        <v>1929.6</v>
      </c>
      <c r="J95" s="171">
        <f t="shared" si="122"/>
        <v>1556.3</v>
      </c>
      <c r="K95" s="172">
        <f t="shared" si="171"/>
        <v>-226.007572205983</v>
      </c>
      <c r="L95" s="172">
        <f t="shared" si="172"/>
        <v>212.796556926972</v>
      </c>
      <c r="M95" s="173">
        <f t="shared" si="173"/>
        <v>950.747037600446</v>
      </c>
      <c r="N95" s="54">
        <f t="shared" si="123"/>
        <v>0.0993111442810588</v>
      </c>
      <c r="O95" s="55" t="str">
        <f t="shared" si="124"/>
        <v>Morning / Sets in 96m</v>
      </c>
      <c r="P95" s="55" t="str">
        <f t="shared" si="15"/>
        <v>274°M / +19°</v>
      </c>
      <c r="Q95" s="56">
        <f t="shared" si="125"/>
        <v>45683.8446608063</v>
      </c>
      <c r="R95" s="56">
        <f t="shared" si="126"/>
        <v>45683.8503830284</v>
      </c>
      <c r="S95" s="56">
        <f t="shared" si="127"/>
        <v>45683.728371938</v>
      </c>
      <c r="T95" s="56">
        <f t="shared" si="128"/>
        <v>45683.7780275102</v>
      </c>
      <c r="U95" s="180">
        <f t="shared" si="129"/>
        <v>45683.7837497322</v>
      </c>
      <c r="V95" s="55" t="str">
        <f t="shared" si="130"/>
        <v>Sets in 77m</v>
      </c>
      <c r="W95" s="55" t="str">
        <f t="shared" si="131"/>
        <v>290°M / +17°</v>
      </c>
      <c r="X95" s="56">
        <f t="shared" si="132"/>
        <v>45683.8498763173</v>
      </c>
      <c r="Y95" s="180">
        <f t="shared" si="133"/>
        <v>45683.764967153</v>
      </c>
      <c r="Z95" s="55" t="str">
        <f t="shared" si="134"/>
        <v>354°M / -34°</v>
      </c>
      <c r="AA95" s="151">
        <f t="shared" si="135"/>
        <v>1115.4</v>
      </c>
      <c r="AB95" s="150">
        <f t="shared" si="136"/>
        <v>1182.1</v>
      </c>
      <c r="AC95" s="188">
        <v>86</v>
      </c>
      <c r="AD95" s="1" t="b">
        <f t="shared" si="28"/>
        <v>1</v>
      </c>
      <c r="AE95" s="1">
        <f t="shared" si="29"/>
        <v>71.9179730139039</v>
      </c>
      <c r="AF95" s="1">
        <f t="shared" si="30"/>
        <v>136.724475207442</v>
      </c>
      <c r="AG95" s="1">
        <f t="shared" si="31"/>
        <v>136.724475207442</v>
      </c>
      <c r="AH95" s="2">
        <f t="shared" si="137"/>
        <v>0.140853500366006</v>
      </c>
      <c r="AI95" s="1">
        <f t="shared" si="33"/>
        <v>0.961603345471762</v>
      </c>
      <c r="AJ95" s="191">
        <f t="shared" si="168"/>
        <v>0</v>
      </c>
      <c r="AK95" s="191">
        <f t="shared" si="169"/>
        <v>0</v>
      </c>
      <c r="AL95" s="191">
        <f t="shared" si="138"/>
        <v>104.132076142568</v>
      </c>
      <c r="AM95" s="20">
        <f t="shared" si="139"/>
        <v>35.2751330074602</v>
      </c>
      <c r="AN95" s="191">
        <f t="shared" si="140"/>
        <v>22.0371113884577</v>
      </c>
      <c r="AO95" s="134">
        <f t="shared" si="141"/>
        <v>143</v>
      </c>
      <c r="AP95" s="64">
        <f t="shared" si="38"/>
        <v>18</v>
      </c>
      <c r="AQ95" s="1">
        <f t="shared" si="167"/>
        <v>90.9690293687854</v>
      </c>
      <c r="AR95" s="20">
        <f t="shared" si="142"/>
        <v>21.0494689186846</v>
      </c>
      <c r="AS95" s="1">
        <f t="shared" si="143"/>
        <v>18.0810792952682</v>
      </c>
      <c r="AT95" s="134">
        <f t="shared" si="144"/>
        <v>158</v>
      </c>
      <c r="AU95" s="64">
        <f t="shared" si="145"/>
        <v>17</v>
      </c>
      <c r="AV95" s="65">
        <f t="shared" si="146"/>
        <v>45683.8498763173</v>
      </c>
      <c r="AW95" s="65">
        <f t="shared" si="147"/>
        <v>45683.764967153</v>
      </c>
      <c r="AX95" s="1">
        <f t="shared" si="148"/>
        <v>223</v>
      </c>
      <c r="AY95" s="1">
        <f t="shared" si="149"/>
        <v>-34</v>
      </c>
      <c r="AZ95" s="131">
        <f t="shared" si="150"/>
        <v>1115.4</v>
      </c>
      <c r="BA95" s="1">
        <f t="shared" si="151"/>
        <v>1182.1</v>
      </c>
      <c r="BB95" s="1">
        <f t="shared" si="49"/>
        <v>42369299.0151982</v>
      </c>
      <c r="BC95" s="1">
        <f t="shared" si="50"/>
        <v>19</v>
      </c>
      <c r="BD95" s="1">
        <f t="shared" si="152"/>
        <v>57480560.2114046</v>
      </c>
      <c r="BE95" s="1">
        <f t="shared" si="153"/>
        <v>17</v>
      </c>
      <c r="BF95" s="20">
        <f t="shared" si="53"/>
        <v>116.63334777255</v>
      </c>
      <c r="BG95" s="1">
        <f t="shared" si="154"/>
        <v>-277.484171006263</v>
      </c>
      <c r="BH95" s="1">
        <f t="shared" si="155"/>
        <v>-139.155783837337</v>
      </c>
      <c r="BI95" s="1">
        <f t="shared" si="156"/>
        <v>950.747037600446</v>
      </c>
      <c r="BJ95" s="1">
        <f t="shared" si="157"/>
        <v>-277.484171006263</v>
      </c>
      <c r="BK95" s="1">
        <f t="shared" si="158"/>
        <v>-139.155783837337</v>
      </c>
      <c r="BL95" s="1">
        <f t="shared" si="159"/>
        <v>950.747037600446</v>
      </c>
      <c r="BM95" s="61">
        <f t="shared" si="160"/>
        <v>22461807.7683136</v>
      </c>
      <c r="BN95" s="61">
        <f t="shared" si="161"/>
        <v>37185605.8090463</v>
      </c>
      <c r="BO95" s="61">
        <f t="shared" si="162"/>
        <v>950.747037600446</v>
      </c>
      <c r="BQ95" s="1" t="str">
        <f t="shared" si="63"/>
        <v>N 71° 55.1' / E 136° 43.5'</v>
      </c>
      <c r="BR95" s="1" t="str">
        <f t="shared" si="64"/>
        <v>53W 509336 1254836</v>
      </c>
      <c r="BS95" s="1" t="str">
        <f t="shared" si="65"/>
        <v>53W NN 093548</v>
      </c>
      <c r="BT95" s="1" t="b">
        <f t="shared" si="66"/>
        <v>0</v>
      </c>
      <c r="BU95" s="1" t="str">
        <f t="shared" si="67"/>
        <v>53W</v>
      </c>
      <c r="BV95" s="1">
        <f t="shared" si="68"/>
        <v>53</v>
      </c>
      <c r="BW95" s="1">
        <f t="shared" si="69"/>
        <v>0</v>
      </c>
      <c r="BX95" s="1">
        <f t="shared" si="70"/>
        <v>135</v>
      </c>
      <c r="BY95" s="1">
        <f t="shared" si="163"/>
        <v>9336.81828920333</v>
      </c>
      <c r="BZ95" s="1">
        <f t="shared" si="72"/>
        <v>509336.8183</v>
      </c>
      <c r="CA95" s="1" t="str">
        <f t="shared" si="73"/>
        <v>N</v>
      </c>
      <c r="CB95" s="1" t="str">
        <f t="shared" si="74"/>
        <v>509336</v>
      </c>
      <c r="CC95" s="1" t="str">
        <f t="shared" si="75"/>
        <v>09336</v>
      </c>
      <c r="CD95" s="1">
        <f t="shared" si="164"/>
        <v>1254836.91973377</v>
      </c>
      <c r="CE95" s="1">
        <f t="shared" si="77"/>
        <v>1254836.9197</v>
      </c>
      <c r="CF95" s="1" t="str">
        <f t="shared" si="78"/>
        <v>N</v>
      </c>
      <c r="CG95" s="1" t="str">
        <f t="shared" si="79"/>
        <v>1254836</v>
      </c>
      <c r="CH95" s="1" t="str">
        <f t="shared" si="80"/>
        <v>54836</v>
      </c>
      <c r="CJ95" s="1">
        <f t="shared" si="81"/>
        <v>634</v>
      </c>
      <c r="CK95" s="1" t="str">
        <f t="shared" si="82"/>
        <v>PM</v>
      </c>
      <c r="CL95" s="1">
        <f t="shared" si="83"/>
        <v>1</v>
      </c>
      <c r="CM95" s="1">
        <f t="shared" si="84"/>
        <v>3</v>
      </c>
      <c r="CN95" s="1">
        <f t="shared" si="85"/>
        <v>2</v>
      </c>
      <c r="CO95" s="1">
        <f t="shared" si="86"/>
        <v>2</v>
      </c>
      <c r="CP95" s="1" t="str">
        <f t="shared" si="87"/>
        <v>634PM13</v>
      </c>
      <c r="CR95" s="1" t="e">
        <f t="shared" si="88"/>
        <v>#VALUE!</v>
      </c>
      <c r="CS95" s="1" t="e">
        <f t="shared" si="89"/>
        <v>#VALUE!</v>
      </c>
      <c r="CT95" s="1">
        <f t="shared" si="90"/>
        <v>6</v>
      </c>
      <c r="CU95" s="1">
        <f t="shared" si="91"/>
        <v>3</v>
      </c>
      <c r="CV95" s="131" t="e">
        <f t="shared" si="92"/>
        <v>#VALUE!</v>
      </c>
      <c r="CW95" s="131">
        <v>1556.3</v>
      </c>
      <c r="CX95" s="131">
        <v>1568.4</v>
      </c>
      <c r="CY95" s="131">
        <v>1919.7</v>
      </c>
      <c r="CZ95" s="131">
        <v>1929.6</v>
      </c>
      <c r="DA95" s="131">
        <v>2410.4</v>
      </c>
      <c r="DC95" s="154">
        <f t="shared" si="93"/>
        <v>226.007572205983</v>
      </c>
      <c r="DD95" s="154">
        <f t="shared" si="94"/>
        <v>950.747037600446</v>
      </c>
      <c r="DE95" s="154">
        <f t="shared" si="95"/>
        <v>212.796556926972</v>
      </c>
      <c r="DF95" s="1">
        <f t="shared" si="96"/>
        <v>12.2845308314744</v>
      </c>
      <c r="DG95" s="1">
        <f t="shared" si="97"/>
        <v>76.6280790517337</v>
      </c>
      <c r="DH95" s="1">
        <f t="shared" si="98"/>
        <v>274</v>
      </c>
      <c r="DI95" s="1">
        <f t="shared" si="165"/>
        <v>290</v>
      </c>
      <c r="DJ95" s="1">
        <f t="shared" si="166"/>
        <v>354</v>
      </c>
      <c r="DK95" s="1">
        <f t="shared" si="101"/>
        <v>274</v>
      </c>
      <c r="DL95" s="1">
        <f t="shared" si="102"/>
        <v>290</v>
      </c>
      <c r="DM95" s="1">
        <f t="shared" si="103"/>
        <v>354</v>
      </c>
    </row>
    <row r="96" customHeight="1" spans="1:117">
      <c r="A96" s="152" t="str">
        <f t="shared" si="170"/>
        <v>Starfarer Wreck ZBG</v>
      </c>
      <c r="C96" s="55" t="str">
        <f t="shared" si="5"/>
        <v>N 84° 01.3' / E 084° 47.2'</v>
      </c>
      <c r="D96" s="150" t="str">
        <f t="shared" si="6"/>
        <v>783 m</v>
      </c>
      <c r="E96" s="151">
        <f t="shared" si="117"/>
        <v>456.3</v>
      </c>
      <c r="F96" s="151">
        <f t="shared" si="118"/>
        <v>2437.2</v>
      </c>
      <c r="G96" s="151">
        <f t="shared" si="119"/>
        <v>1665.9</v>
      </c>
      <c r="H96" s="151">
        <f t="shared" si="120"/>
        <v>1836.5</v>
      </c>
      <c r="I96" s="151">
        <f t="shared" si="121"/>
        <v>1745.5</v>
      </c>
      <c r="J96" s="171">
        <f t="shared" si="122"/>
        <v>1761</v>
      </c>
      <c r="K96" s="172">
        <f t="shared" si="171"/>
        <v>9.472077956748</v>
      </c>
      <c r="L96" s="172">
        <f t="shared" si="172"/>
        <v>103.799998156201</v>
      </c>
      <c r="M96" s="173">
        <f t="shared" si="173"/>
        <v>995.340544819772</v>
      </c>
      <c r="N96" s="54">
        <f t="shared" si="123"/>
        <v>0.12831297881487</v>
      </c>
      <c r="O96" s="55" t="str">
        <f t="shared" si="124"/>
        <v>Morning / Sets in 152m</v>
      </c>
      <c r="P96" s="55" t="str">
        <f t="shared" si="15"/>
        <v>278°M / +04°</v>
      </c>
      <c r="Q96" s="56">
        <f t="shared" si="125"/>
        <v>45683.8549268372</v>
      </c>
      <c r="R96" s="56">
        <f t="shared" si="126"/>
        <v>45683.8606490593</v>
      </c>
      <c r="S96" s="56">
        <f t="shared" si="127"/>
        <v>45683.7531388862</v>
      </c>
      <c r="T96" s="56">
        <f t="shared" si="128"/>
        <v>45683.8172953756</v>
      </c>
      <c r="U96" s="180">
        <f t="shared" si="129"/>
        <v>45683.8230175977</v>
      </c>
      <c r="V96" s="55" t="str">
        <f t="shared" si="130"/>
        <v>Sets in 113m</v>
      </c>
      <c r="W96" s="55" t="str">
        <f t="shared" si="131"/>
        <v>292°M / +02°</v>
      </c>
      <c r="X96" s="56">
        <f t="shared" si="132"/>
        <v>45683.874020851</v>
      </c>
      <c r="Y96" s="180">
        <f t="shared" si="133"/>
        <v>45683.7903565157</v>
      </c>
      <c r="Z96" s="55" t="str">
        <f t="shared" si="134"/>
        <v>352°M / -38°</v>
      </c>
      <c r="AA96" s="151">
        <f t="shared" si="135"/>
        <v>1227.2</v>
      </c>
      <c r="AB96" s="150">
        <f t="shared" si="136"/>
        <v>1319.5</v>
      </c>
      <c r="AC96" s="188">
        <v>87</v>
      </c>
      <c r="AD96" s="1" t="b">
        <f t="shared" si="28"/>
        <v>1</v>
      </c>
      <c r="AE96" s="1">
        <f t="shared" si="29"/>
        <v>84.0218198649682</v>
      </c>
      <c r="AF96" s="1">
        <f t="shared" si="30"/>
        <v>84.7860195165048</v>
      </c>
      <c r="AG96" s="1">
        <f t="shared" si="31"/>
        <v>84.7860195165048</v>
      </c>
      <c r="AH96" s="2">
        <f t="shared" si="137"/>
        <v>0.783173339843188</v>
      </c>
      <c r="AI96" s="1">
        <f t="shared" si="33"/>
        <v>2.26686108121183</v>
      </c>
      <c r="AJ96" s="191">
        <f t="shared" si="168"/>
        <v>0</v>
      </c>
      <c r="AK96" s="191">
        <f t="shared" si="169"/>
        <v>0</v>
      </c>
      <c r="AL96" s="191">
        <f t="shared" si="138"/>
        <v>134.54176745981</v>
      </c>
      <c r="AM96" s="20">
        <f t="shared" si="139"/>
        <v>87.2135886983978</v>
      </c>
      <c r="AN96" s="191">
        <f t="shared" si="140"/>
        <v>9.93318514564065</v>
      </c>
      <c r="AO96" s="134">
        <f t="shared" si="141"/>
        <v>92</v>
      </c>
      <c r="AP96" s="64">
        <f t="shared" si="38"/>
        <v>0</v>
      </c>
      <c r="AQ96" s="1">
        <f t="shared" si="167"/>
        <v>92.2742871045254</v>
      </c>
      <c r="AR96" s="20">
        <f t="shared" si="142"/>
        <v>72.9879246096222</v>
      </c>
      <c r="AS96" s="1">
        <f t="shared" si="143"/>
        <v>5.97718799715587</v>
      </c>
      <c r="AT96" s="134">
        <f t="shared" si="144"/>
        <v>107</v>
      </c>
      <c r="AU96" s="64">
        <f t="shared" si="145"/>
        <v>2</v>
      </c>
      <c r="AV96" s="65">
        <f t="shared" si="146"/>
        <v>45683.874020851</v>
      </c>
      <c r="AW96" s="65">
        <f t="shared" si="147"/>
        <v>45683.7903565157</v>
      </c>
      <c r="AX96" s="1">
        <f t="shared" si="148"/>
        <v>167</v>
      </c>
      <c r="AY96" s="1">
        <f t="shared" si="149"/>
        <v>-38</v>
      </c>
      <c r="AZ96" s="131">
        <f t="shared" si="150"/>
        <v>1227.2</v>
      </c>
      <c r="BA96" s="1">
        <f t="shared" si="151"/>
        <v>1319.5</v>
      </c>
      <c r="BB96" s="1">
        <f t="shared" si="49"/>
        <v>42369543.7055845</v>
      </c>
      <c r="BC96" s="1">
        <f t="shared" si="50"/>
        <v>4</v>
      </c>
      <c r="BD96" s="1">
        <f t="shared" si="152"/>
        <v>57480819.424569</v>
      </c>
      <c r="BE96" s="1">
        <f t="shared" si="153"/>
        <v>2</v>
      </c>
      <c r="BF96" s="20">
        <f t="shared" si="53"/>
        <v>64.6948920816124</v>
      </c>
      <c r="BG96" s="1">
        <f t="shared" si="154"/>
        <v>-94.2297105400583</v>
      </c>
      <c r="BH96" s="1">
        <f t="shared" si="155"/>
        <v>44.552458176658</v>
      </c>
      <c r="BI96" s="1">
        <f t="shared" si="156"/>
        <v>995.340544819772</v>
      </c>
      <c r="BJ96" s="1">
        <f t="shared" si="157"/>
        <v>-94.2297105400583</v>
      </c>
      <c r="BK96" s="1">
        <f t="shared" si="158"/>
        <v>44.552458176658</v>
      </c>
      <c r="BL96" s="1">
        <f t="shared" si="159"/>
        <v>995.340544819772</v>
      </c>
      <c r="BM96" s="61">
        <f t="shared" si="160"/>
        <v>22461991.0227741</v>
      </c>
      <c r="BN96" s="61">
        <f t="shared" si="161"/>
        <v>37185789.5172883</v>
      </c>
      <c r="BO96" s="61">
        <f t="shared" si="162"/>
        <v>995.340544819772</v>
      </c>
      <c r="BQ96" s="1" t="str">
        <f t="shared" si="63"/>
        <v>N 84° 01.3' / E 084° 47.2'</v>
      </c>
      <c r="BR96" s="1" t="str">
        <f t="shared" si="64"/>
        <v>Z 303377 190566</v>
      </c>
      <c r="BS96" s="1" t="str">
        <f t="shared" si="65"/>
        <v>Z BG 033905</v>
      </c>
      <c r="BT96" s="1" t="b">
        <f t="shared" si="66"/>
        <v>1</v>
      </c>
      <c r="BU96" s="1" t="str">
        <f t="shared" si="67"/>
        <v>Z</v>
      </c>
      <c r="BV96" s="1">
        <f t="shared" si="68"/>
        <v>45</v>
      </c>
      <c r="BW96" s="1">
        <f t="shared" si="69"/>
        <v>90</v>
      </c>
      <c r="BX96" s="1">
        <f t="shared" si="70"/>
        <v>0</v>
      </c>
      <c r="BY96" s="1">
        <f t="shared" si="163"/>
        <v>103377.558443513</v>
      </c>
      <c r="BZ96" s="1">
        <f t="shared" si="72"/>
        <v>303377.5584</v>
      </c>
      <c r="CA96" s="1" t="str">
        <f t="shared" si="73"/>
        <v>B</v>
      </c>
      <c r="CB96" s="1" t="str">
        <f t="shared" si="74"/>
        <v>303377</v>
      </c>
      <c r="CC96" s="1" t="str">
        <f t="shared" si="75"/>
        <v>03377</v>
      </c>
      <c r="CD96" s="1">
        <f t="shared" si="164"/>
        <v>-9433.52899757949</v>
      </c>
      <c r="CE96" s="1">
        <f t="shared" si="77"/>
        <v>190566.471</v>
      </c>
      <c r="CF96" s="1" t="str">
        <f t="shared" si="78"/>
        <v>G</v>
      </c>
      <c r="CG96" s="1" t="str">
        <f t="shared" si="79"/>
        <v>190566</v>
      </c>
      <c r="CH96" s="1" t="str">
        <f t="shared" si="80"/>
        <v>90566</v>
      </c>
      <c r="CJ96" s="1">
        <f t="shared" si="81"/>
        <v>530</v>
      </c>
      <c r="CK96" s="1" t="str">
        <f t="shared" si="82"/>
        <v>QN</v>
      </c>
      <c r="CL96" s="1">
        <f t="shared" si="83"/>
        <v>4</v>
      </c>
      <c r="CM96" s="1">
        <f t="shared" si="84"/>
        <v>7</v>
      </c>
      <c r="CN96" s="1">
        <f t="shared" si="85"/>
        <v>0</v>
      </c>
      <c r="CO96" s="1">
        <f t="shared" si="86"/>
        <v>0</v>
      </c>
      <c r="CP96" s="1" t="str">
        <f t="shared" si="87"/>
        <v>530QN47</v>
      </c>
      <c r="CR96" s="1" t="e">
        <f t="shared" si="88"/>
        <v>#VALUE!</v>
      </c>
      <c r="CS96" s="1" t="e">
        <f t="shared" si="89"/>
        <v>#VALUE!</v>
      </c>
      <c r="CT96" s="1">
        <f t="shared" si="90"/>
        <v>3</v>
      </c>
      <c r="CU96" s="1">
        <f t="shared" si="91"/>
        <v>5</v>
      </c>
      <c r="CV96" s="131" t="e">
        <f t="shared" si="92"/>
        <v>#VALUE!</v>
      </c>
      <c r="CW96" s="131">
        <v>1665.9</v>
      </c>
      <c r="CX96" s="131">
        <v>1745.5</v>
      </c>
      <c r="CY96" s="131">
        <v>1761</v>
      </c>
      <c r="CZ96" s="131">
        <v>1836.5</v>
      </c>
      <c r="DA96" s="131">
        <v>2437.2</v>
      </c>
      <c r="DC96" s="154">
        <f t="shared" si="93"/>
        <v>-9.472077956748</v>
      </c>
      <c r="DD96" s="154">
        <f t="shared" si="94"/>
        <v>995.340544819772</v>
      </c>
      <c r="DE96" s="154">
        <f t="shared" si="95"/>
        <v>103.799998156201</v>
      </c>
      <c r="DF96" s="1">
        <f t="shared" si="96"/>
        <v>5.9533543502247</v>
      </c>
      <c r="DG96" s="1">
        <f t="shared" si="97"/>
        <v>90.5452342023462</v>
      </c>
      <c r="DH96" s="1">
        <f t="shared" si="98"/>
        <v>278</v>
      </c>
      <c r="DI96" s="1">
        <f t="shared" si="165"/>
        <v>292</v>
      </c>
      <c r="DJ96" s="1">
        <f t="shared" si="166"/>
        <v>352</v>
      </c>
      <c r="DK96" s="1">
        <f t="shared" si="101"/>
        <v>278</v>
      </c>
      <c r="DL96" s="1">
        <f t="shared" si="102"/>
        <v>292</v>
      </c>
      <c r="DM96" s="1">
        <f t="shared" si="103"/>
        <v>352</v>
      </c>
    </row>
    <row r="97" customHeight="1" spans="1:117">
      <c r="A97" s="152" t="str">
        <f t="shared" si="170"/>
        <v/>
      </c>
      <c r="C97" s="55" t="str">
        <f t="shared" si="5"/>
        <v/>
      </c>
      <c r="D97" s="150" t="str">
        <f t="shared" si="6"/>
        <v/>
      </c>
      <c r="E97" s="151" t="str">
        <f t="shared" si="117"/>
        <v/>
      </c>
      <c r="F97" s="151" t="str">
        <f t="shared" si="118"/>
        <v/>
      </c>
      <c r="G97" s="151" t="str">
        <f t="shared" si="119"/>
        <v/>
      </c>
      <c r="H97" s="151" t="str">
        <f t="shared" si="120"/>
        <v/>
      </c>
      <c r="I97" s="151" t="str">
        <f t="shared" si="121"/>
        <v/>
      </c>
      <c r="J97" s="171" t="str">
        <f t="shared" si="122"/>
        <v/>
      </c>
      <c r="K97" s="172" t="str">
        <f t="shared" si="171"/>
        <v/>
      </c>
      <c r="L97" s="172" t="str">
        <f t="shared" si="172"/>
        <v/>
      </c>
      <c r="M97" s="173" t="str">
        <f t="shared" si="173"/>
        <v/>
      </c>
      <c r="N97" s="54" t="str">
        <f t="shared" si="123"/>
        <v/>
      </c>
      <c r="O97" s="55" t="str">
        <f t="shared" si="124"/>
        <v/>
      </c>
      <c r="P97" s="55" t="str">
        <f t="shared" si="15"/>
        <v/>
      </c>
      <c r="Q97" s="56" t="str">
        <f t="shared" si="125"/>
        <v/>
      </c>
      <c r="R97" s="56" t="str">
        <f t="shared" si="126"/>
        <v/>
      </c>
      <c r="S97" s="56" t="str">
        <f t="shared" si="127"/>
        <v/>
      </c>
      <c r="T97" s="56" t="str">
        <f t="shared" si="128"/>
        <v/>
      </c>
      <c r="U97" s="180" t="str">
        <f t="shared" si="129"/>
        <v/>
      </c>
      <c r="V97" s="55" t="str">
        <f t="shared" si="130"/>
        <v/>
      </c>
      <c r="W97" s="55" t="str">
        <f t="shared" si="131"/>
        <v/>
      </c>
      <c r="X97" s="56" t="str">
        <f t="shared" si="132"/>
        <v/>
      </c>
      <c r="Y97" s="180" t="str">
        <f t="shared" si="133"/>
        <v/>
      </c>
      <c r="Z97" s="55" t="str">
        <f t="shared" si="134"/>
        <v/>
      </c>
      <c r="AA97" s="55" t="str">
        <f t="shared" si="135"/>
        <v/>
      </c>
      <c r="AB97" s="150" t="str">
        <f t="shared" si="136"/>
        <v/>
      </c>
      <c r="AC97" s="188">
        <v>88</v>
      </c>
      <c r="AD97" s="1" t="b">
        <f t="shared" si="28"/>
        <v>0</v>
      </c>
      <c r="AE97" s="1" t="str">
        <f t="shared" si="29"/>
        <v/>
      </c>
      <c r="AF97" s="1" t="str">
        <f t="shared" si="30"/>
        <v/>
      </c>
      <c r="AG97" s="1" t="str">
        <f t="shared" si="31"/>
        <v/>
      </c>
      <c r="AH97" s="1" t="str">
        <f t="shared" si="137"/>
        <v/>
      </c>
      <c r="AI97" s="1" t="str">
        <f t="shared" si="33"/>
        <v/>
      </c>
      <c r="AJ97" s="191" t="str">
        <f t="shared" si="168"/>
        <v/>
      </c>
      <c r="AK97" s="191" t="str">
        <f t="shared" si="169"/>
        <v/>
      </c>
      <c r="AL97" s="191" t="str">
        <f t="shared" si="138"/>
        <v/>
      </c>
      <c r="AM97" s="1" t="str">
        <f t="shared" si="139"/>
        <v/>
      </c>
      <c r="AN97" s="191" t="str">
        <f t="shared" si="140"/>
        <v/>
      </c>
      <c r="AO97" s="134" t="str">
        <f t="shared" si="141"/>
        <v/>
      </c>
      <c r="AP97" s="64" t="str">
        <f t="shared" si="38"/>
        <v/>
      </c>
      <c r="AQ97" s="1" t="str">
        <f t="shared" si="167"/>
        <v/>
      </c>
      <c r="AR97" s="1" t="str">
        <f t="shared" si="142"/>
        <v/>
      </c>
      <c r="AS97" s="1" t="str">
        <f t="shared" si="143"/>
        <v/>
      </c>
      <c r="AT97" s="134" t="str">
        <f t="shared" si="144"/>
        <v/>
      </c>
      <c r="AU97" s="64" t="str">
        <f t="shared" si="145"/>
        <v/>
      </c>
      <c r="AV97" s="65" t="str">
        <f t="shared" si="146"/>
        <v/>
      </c>
      <c r="AW97" s="65" t="str">
        <f t="shared" si="147"/>
        <v/>
      </c>
      <c r="AX97" s="1" t="str">
        <f t="shared" si="148"/>
        <v/>
      </c>
      <c r="AY97" s="1" t="str">
        <f t="shared" si="149"/>
        <v/>
      </c>
      <c r="AZ97" s="131" t="str">
        <f t="shared" si="150"/>
        <v/>
      </c>
      <c r="BA97" s="1" t="str">
        <f t="shared" si="151"/>
        <v/>
      </c>
      <c r="BB97" s="1" t="str">
        <f t="shared" si="49"/>
        <v/>
      </c>
      <c r="BC97" s="1" t="str">
        <f t="shared" si="50"/>
        <v/>
      </c>
      <c r="BD97" s="1" t="str">
        <f t="shared" si="152"/>
        <v/>
      </c>
      <c r="BE97" s="1" t="str">
        <f t="shared" si="153"/>
        <v/>
      </c>
      <c r="BF97" s="1" t="str">
        <f t="shared" si="53"/>
        <v/>
      </c>
      <c r="BG97" s="1" t="str">
        <f t="shared" si="154"/>
        <v/>
      </c>
      <c r="BH97" s="1" t="str">
        <f t="shared" si="155"/>
        <v/>
      </c>
      <c r="BI97" s="1" t="str">
        <f t="shared" si="156"/>
        <v/>
      </c>
      <c r="BJ97" s="1" t="str">
        <f t="shared" si="157"/>
        <v/>
      </c>
      <c r="BK97" s="1" t="str">
        <f t="shared" si="158"/>
        <v/>
      </c>
      <c r="BL97" s="1" t="str">
        <f t="shared" si="159"/>
        <v/>
      </c>
      <c r="BM97" s="1" t="str">
        <f t="shared" si="160"/>
        <v/>
      </c>
      <c r="BN97" s="1" t="str">
        <f t="shared" si="161"/>
        <v/>
      </c>
      <c r="BO97" s="1" t="str">
        <f t="shared" si="162"/>
        <v/>
      </c>
      <c r="BQ97" s="1" t="str">
        <f t="shared" si="63"/>
        <v/>
      </c>
      <c r="BR97" s="1" t="str">
        <f t="shared" si="64"/>
        <v/>
      </c>
      <c r="BS97" s="1" t="str">
        <f t="shared" si="65"/>
        <v/>
      </c>
      <c r="BT97" s="1" t="str">
        <f t="shared" si="66"/>
        <v/>
      </c>
      <c r="BU97" s="1" t="str">
        <f t="shared" si="67"/>
        <v/>
      </c>
      <c r="BV97" s="1" t="str">
        <f t="shared" si="68"/>
        <v/>
      </c>
      <c r="BW97" s="1" t="str">
        <f t="shared" si="69"/>
        <v/>
      </c>
      <c r="BX97" s="1" t="str">
        <f t="shared" si="70"/>
        <v/>
      </c>
      <c r="BY97" s="1" t="str">
        <f t="shared" si="163"/>
        <v/>
      </c>
      <c r="BZ97" s="1" t="str">
        <f t="shared" si="72"/>
        <v/>
      </c>
      <c r="CA97" s="1" t="str">
        <f t="shared" si="73"/>
        <v/>
      </c>
      <c r="CB97" s="1" t="str">
        <f t="shared" si="74"/>
        <v/>
      </c>
      <c r="CC97" s="1" t="str">
        <f t="shared" si="75"/>
        <v/>
      </c>
      <c r="CD97" s="1" t="str">
        <f t="shared" si="164"/>
        <v/>
      </c>
      <c r="CE97" s="1" t="str">
        <f t="shared" si="77"/>
        <v/>
      </c>
      <c r="CF97" s="1" t="str">
        <f t="shared" si="78"/>
        <v/>
      </c>
      <c r="CG97" s="1" t="str">
        <f t="shared" si="79"/>
        <v/>
      </c>
      <c r="CH97" s="1" t="str">
        <f t="shared" si="80"/>
        <v/>
      </c>
      <c r="CJ97" s="1" t="str">
        <f t="shared" si="81"/>
        <v/>
      </c>
      <c r="CK97" s="1" t="str">
        <f t="shared" si="82"/>
        <v/>
      </c>
      <c r="CL97" s="1" t="str">
        <f t="shared" si="83"/>
        <v/>
      </c>
      <c r="CM97" s="1" t="str">
        <f t="shared" si="84"/>
        <v/>
      </c>
      <c r="CN97" s="1" t="str">
        <f t="shared" si="85"/>
        <v/>
      </c>
      <c r="CO97" s="1" t="str">
        <f t="shared" si="86"/>
        <v/>
      </c>
      <c r="CP97" s="1" t="str">
        <f t="shared" si="87"/>
        <v/>
      </c>
      <c r="CR97" s="1" t="str">
        <f t="shared" si="88"/>
        <v/>
      </c>
      <c r="CS97" s="1" t="str">
        <f t="shared" si="89"/>
        <v/>
      </c>
      <c r="CT97" s="1" t="str">
        <f t="shared" si="90"/>
        <v/>
      </c>
      <c r="CU97" s="1" t="str">
        <f t="shared" si="91"/>
        <v/>
      </c>
      <c r="CV97" s="1" t="str">
        <f t="shared" si="92"/>
        <v/>
      </c>
      <c r="DC97" s="154" t="e">
        <f t="shared" si="93"/>
        <v>#VALUE!</v>
      </c>
      <c r="DD97" s="154" t="str">
        <f t="shared" si="94"/>
        <v/>
      </c>
      <c r="DE97" s="154" t="str">
        <f t="shared" si="95"/>
        <v/>
      </c>
      <c r="DF97" s="1" t="str">
        <f t="shared" si="96"/>
        <v/>
      </c>
      <c r="DG97" s="1" t="str">
        <f t="shared" si="97"/>
        <v/>
      </c>
      <c r="DH97" s="1" t="str">
        <f t="shared" si="98"/>
        <v/>
      </c>
      <c r="DI97" s="1" t="str">
        <f t="shared" si="165"/>
        <v/>
      </c>
      <c r="DJ97" s="1" t="str">
        <f t="shared" si="166"/>
        <v/>
      </c>
      <c r="DK97" s="1" t="str">
        <f t="shared" si="101"/>
        <v/>
      </c>
      <c r="DL97" s="1" t="str">
        <f t="shared" si="102"/>
        <v/>
      </c>
      <c r="DM97" s="1" t="str">
        <f t="shared" si="103"/>
        <v/>
      </c>
    </row>
    <row r="98" customHeight="1" spans="1:117">
      <c r="A98" s="152" t="str">
        <f t="shared" si="170"/>
        <v>Comm Array</v>
      </c>
      <c r="C98" s="55" t="e">
        <f t="shared" si="5"/>
        <v>#DIV/0!</v>
      </c>
      <c r="D98" s="150" t="str">
        <f t="shared" si="6"/>
        <v>-1000000 m</v>
      </c>
      <c r="E98" s="151">
        <f t="shared" si="117"/>
        <v>1439.6</v>
      </c>
      <c r="F98" s="151">
        <f t="shared" si="118"/>
        <v>1439.6</v>
      </c>
      <c r="G98" s="151">
        <f t="shared" si="119"/>
        <v>1439.6</v>
      </c>
      <c r="H98" s="151">
        <f t="shared" si="120"/>
        <v>1439.6</v>
      </c>
      <c r="I98" s="151">
        <f t="shared" si="121"/>
        <v>1439.6</v>
      </c>
      <c r="J98" s="171">
        <f t="shared" si="122"/>
        <v>1439.6</v>
      </c>
      <c r="K98" s="172">
        <f t="shared" si="171"/>
        <v>0</v>
      </c>
      <c r="L98" s="172">
        <f t="shared" si="172"/>
        <v>0</v>
      </c>
      <c r="M98" s="173">
        <f t="shared" si="173"/>
        <v>0</v>
      </c>
      <c r="N98" s="54" t="str">
        <f t="shared" si="123"/>
        <v>Continuous</v>
      </c>
      <c r="O98" s="55" t="e">
        <f t="shared" si="124"/>
        <v>#DIV/0!</v>
      </c>
      <c r="P98" s="55" t="e">
        <f t="shared" si="15"/>
        <v>#DIV/0!</v>
      </c>
      <c r="Q98" s="56" t="str">
        <f t="shared" si="125"/>
        <v/>
      </c>
      <c r="R98" s="56" t="str">
        <f t="shared" si="126"/>
        <v/>
      </c>
      <c r="S98" s="56" t="str">
        <f t="shared" si="127"/>
        <v/>
      </c>
      <c r="T98" s="56" t="str">
        <f t="shared" si="128"/>
        <v/>
      </c>
      <c r="U98" s="180" t="str">
        <f t="shared" si="129"/>
        <v/>
      </c>
      <c r="V98" s="55" t="e">
        <f t="shared" si="130"/>
        <v>#DIV/0!</v>
      </c>
      <c r="W98" s="55" t="e">
        <f t="shared" si="131"/>
        <v>#DIV/0!</v>
      </c>
      <c r="X98" s="56" t="str">
        <f t="shared" si="132"/>
        <v/>
      </c>
      <c r="Y98" s="180" t="str">
        <f t="shared" si="133"/>
        <v/>
      </c>
      <c r="Z98" s="55" t="e">
        <f t="shared" si="134"/>
        <v>#DIV/0!</v>
      </c>
      <c r="AA98" s="55">
        <f t="shared" si="135"/>
        <v>1001.4</v>
      </c>
      <c r="AB98" s="150" t="e">
        <f t="shared" si="136"/>
        <v>#DIV/0!</v>
      </c>
      <c r="AC98" s="188">
        <v>89</v>
      </c>
      <c r="AD98" s="1" t="b">
        <f t="shared" si="28"/>
        <v>1</v>
      </c>
      <c r="AE98" s="1" t="e">
        <f t="shared" si="29"/>
        <v>#DIV/0!</v>
      </c>
      <c r="AF98" s="1" t="e">
        <f t="shared" si="30"/>
        <v>#DIV/0!</v>
      </c>
      <c r="AG98" s="1" t="e">
        <f t="shared" si="31"/>
        <v>#DIV/0!</v>
      </c>
      <c r="AH98" s="1">
        <f t="shared" si="137"/>
        <v>-1000</v>
      </c>
      <c r="AI98" s="1">
        <f t="shared" si="33"/>
        <v>0</v>
      </c>
      <c r="AJ98" s="191">
        <f t="shared" si="168"/>
        <v>0</v>
      </c>
      <c r="AK98" s="191">
        <f t="shared" si="169"/>
        <v>0</v>
      </c>
      <c r="AL98" s="191" t="e">
        <f t="shared" si="138"/>
        <v>#DIV/0!</v>
      </c>
      <c r="AM98" s="1" t="e">
        <f t="shared" si="139"/>
        <v>#DIV/0!</v>
      </c>
      <c r="AN98" s="191">
        <f t="shared" si="140"/>
        <v>90</v>
      </c>
      <c r="AO98" s="134" t="e">
        <f t="shared" si="141"/>
        <v>#DIV/0!</v>
      </c>
      <c r="AP98" s="64" t="e">
        <f t="shared" si="38"/>
        <v>#DIV/0!</v>
      </c>
      <c r="AQ98" s="1" t="e">
        <f t="shared" si="167"/>
        <v>#DIV/0!</v>
      </c>
      <c r="AR98" s="1" t="e">
        <f t="shared" si="142"/>
        <v>#DIV/0!</v>
      </c>
      <c r="AS98" s="1">
        <f t="shared" si="143"/>
        <v>90</v>
      </c>
      <c r="AT98" s="134" t="e">
        <f t="shared" si="144"/>
        <v>#DIV/0!</v>
      </c>
      <c r="AU98" s="64" t="e">
        <f t="shared" si="145"/>
        <v>#DIV/0!</v>
      </c>
      <c r="AV98" s="65" t="e">
        <f t="shared" si="146"/>
        <v>#DIV/0!</v>
      </c>
      <c r="AW98" s="65" t="e">
        <f t="shared" si="147"/>
        <v>#DIV/0!</v>
      </c>
      <c r="AX98" s="1" t="e">
        <f t="shared" si="148"/>
        <v>#DIV/0!</v>
      </c>
      <c r="AY98" s="1" t="e">
        <f t="shared" si="149"/>
        <v>#DIV/0!</v>
      </c>
      <c r="AZ98" s="131">
        <f t="shared" si="150"/>
        <v>1001.4</v>
      </c>
      <c r="BA98" s="1" t="e">
        <f t="shared" si="151"/>
        <v>#DIV/0!</v>
      </c>
      <c r="BB98" s="1">
        <f t="shared" si="49"/>
        <v>42369617.4235177</v>
      </c>
      <c r="BC98" s="1" t="e">
        <f t="shared" si="50"/>
        <v>#DIV/0!</v>
      </c>
      <c r="BD98" s="1">
        <f t="shared" si="152"/>
        <v>57480849.9111489</v>
      </c>
      <c r="BE98" s="1" t="e">
        <f t="shared" si="153"/>
        <v>#DIV/0!</v>
      </c>
      <c r="BF98" s="1" t="e">
        <f t="shared" si="53"/>
        <v>#DIV/0!</v>
      </c>
      <c r="BG98" s="1" t="e">
        <f t="shared" si="154"/>
        <v>#DIV/0!</v>
      </c>
      <c r="BH98" s="1" t="e">
        <f t="shared" si="155"/>
        <v>#DIV/0!</v>
      </c>
      <c r="BI98" s="1" t="e">
        <f t="shared" si="156"/>
        <v>#DIV/0!</v>
      </c>
      <c r="BJ98" s="1" t="e">
        <f t="shared" si="157"/>
        <v>#DIV/0!</v>
      </c>
      <c r="BK98" s="1" t="e">
        <f t="shared" si="158"/>
        <v>#DIV/0!</v>
      </c>
      <c r="BL98" s="1" t="e">
        <f t="shared" si="159"/>
        <v>#DIV/0!</v>
      </c>
      <c r="BM98" s="1" t="e">
        <f t="shared" si="160"/>
        <v>#DIV/0!</v>
      </c>
      <c r="BN98" s="1" t="e">
        <f t="shared" si="161"/>
        <v>#DIV/0!</v>
      </c>
      <c r="BO98" s="1" t="e">
        <f t="shared" si="162"/>
        <v>#DIV/0!</v>
      </c>
      <c r="BQ98" s="1" t="e">
        <f t="shared" si="63"/>
        <v>#DIV/0!</v>
      </c>
      <c r="BR98" s="1" t="e">
        <f t="shared" si="64"/>
        <v>#DIV/0!</v>
      </c>
      <c r="BS98" s="1" t="e">
        <f t="shared" si="65"/>
        <v>#DIV/0!</v>
      </c>
      <c r="BT98" s="1" t="e">
        <f t="shared" si="66"/>
        <v>#DIV/0!</v>
      </c>
      <c r="BU98" s="1" t="e">
        <f t="shared" si="67"/>
        <v>#DIV/0!</v>
      </c>
      <c r="BV98" s="1" t="e">
        <f t="shared" si="68"/>
        <v>#DIV/0!</v>
      </c>
      <c r="BW98" s="1" t="e">
        <f t="shared" si="69"/>
        <v>#DIV/0!</v>
      </c>
      <c r="BX98" s="1" t="e">
        <f t="shared" si="70"/>
        <v>#DIV/0!</v>
      </c>
      <c r="BY98" s="1" t="e">
        <f t="shared" si="163"/>
        <v>#DIV/0!</v>
      </c>
      <c r="BZ98" s="1" t="e">
        <f t="shared" si="72"/>
        <v>#DIV/0!</v>
      </c>
      <c r="CA98" s="1" t="e">
        <f t="shared" si="73"/>
        <v>#DIV/0!</v>
      </c>
      <c r="CB98" s="1" t="e">
        <f t="shared" si="74"/>
        <v>#DIV/0!</v>
      </c>
      <c r="CC98" s="1" t="e">
        <f t="shared" si="75"/>
        <v>#DIV/0!</v>
      </c>
      <c r="CD98" s="1" t="e">
        <f t="shared" si="164"/>
        <v>#DIV/0!</v>
      </c>
      <c r="CE98" s="1" t="e">
        <f t="shared" si="77"/>
        <v>#DIV/0!</v>
      </c>
      <c r="CF98" s="1" t="e">
        <f t="shared" si="78"/>
        <v>#DIV/0!</v>
      </c>
      <c r="CG98" s="1" t="e">
        <f t="shared" si="79"/>
        <v>#DIV/0!</v>
      </c>
      <c r="CH98" s="1" t="e">
        <f t="shared" si="80"/>
        <v>#DIV/0!</v>
      </c>
      <c r="CJ98" s="1" t="e">
        <f t="shared" si="81"/>
        <v>#DIV/0!</v>
      </c>
      <c r="CK98" s="1" t="e">
        <f t="shared" si="82"/>
        <v>#DIV/0!</v>
      </c>
      <c r="CL98" s="1" t="e">
        <f t="shared" si="83"/>
        <v>#DIV/0!</v>
      </c>
      <c r="CM98" s="1" t="e">
        <f t="shared" si="84"/>
        <v>#DIV/0!</v>
      </c>
      <c r="CN98" s="1" t="e">
        <f t="shared" si="85"/>
        <v>#DIV/0!</v>
      </c>
      <c r="CO98" s="1" t="e">
        <f t="shared" si="86"/>
        <v>#DIV/0!</v>
      </c>
      <c r="CP98" s="1" t="e">
        <f t="shared" si="87"/>
        <v>#DIV/0!</v>
      </c>
      <c r="CR98" s="1" t="e">
        <f t="shared" si="88"/>
        <v>#VALUE!</v>
      </c>
      <c r="CS98" s="1" t="e">
        <f t="shared" si="89"/>
        <v>#VALUE!</v>
      </c>
      <c r="CT98" s="1" t="str">
        <f t="shared" si="90"/>
        <v/>
      </c>
      <c r="CU98" s="1" t="str">
        <f t="shared" si="91"/>
        <v/>
      </c>
      <c r="CV98" s="1" t="e">
        <f t="shared" si="92"/>
        <v>#VALUE!</v>
      </c>
      <c r="DC98" s="154">
        <f t="shared" si="93"/>
        <v>0</v>
      </c>
      <c r="DD98" s="154">
        <f t="shared" si="94"/>
        <v>0</v>
      </c>
      <c r="DE98" s="154">
        <f t="shared" si="95"/>
        <v>0</v>
      </c>
      <c r="DF98" s="1" t="e">
        <f t="shared" si="96"/>
        <v>#DIV/0!</v>
      </c>
      <c r="DG98" s="1" t="e">
        <f t="shared" si="97"/>
        <v>#DIV/0!</v>
      </c>
      <c r="DH98" s="1" t="e">
        <f t="shared" si="98"/>
        <v>#DIV/0!</v>
      </c>
      <c r="DI98" s="1" t="e">
        <f t="shared" si="165"/>
        <v>#DIV/0!</v>
      </c>
      <c r="DJ98" s="1" t="e">
        <f t="shared" si="166"/>
        <v>#DIV/0!</v>
      </c>
      <c r="DK98" s="1" t="e">
        <f t="shared" si="101"/>
        <v>#DIV/0!</v>
      </c>
      <c r="DL98" s="1" t="e">
        <f t="shared" si="102"/>
        <v>#DIV/0!</v>
      </c>
      <c r="DM98" s="1" t="e">
        <f t="shared" si="103"/>
        <v>#DIV/0!</v>
      </c>
    </row>
    <row r="99" customHeight="1" spans="1:117">
      <c r="A99" s="152" t="str">
        <f t="shared" si="170"/>
        <v>Comm Array ST4-22</v>
      </c>
      <c r="C99" s="55" t="str">
        <f t="shared" si="5"/>
        <v>N 00° 34.2' / E 054° 39.7'</v>
      </c>
      <c r="D99" s="150" t="str">
        <f t="shared" si="6"/>
        <v>1412.3 km</v>
      </c>
      <c r="E99" s="151">
        <f t="shared" si="117"/>
        <v>2796.9</v>
      </c>
      <c r="F99" s="151">
        <f t="shared" si="118"/>
        <v>2821.5</v>
      </c>
      <c r="G99" s="151">
        <f t="shared" si="119"/>
        <v>1492</v>
      </c>
      <c r="H99" s="151">
        <f t="shared" si="120"/>
        <v>3682</v>
      </c>
      <c r="I99" s="151">
        <f t="shared" si="121"/>
        <v>1968.4</v>
      </c>
      <c r="J99" s="171">
        <f t="shared" si="122"/>
        <v>3450.9</v>
      </c>
      <c r="K99" s="172">
        <f t="shared" si="171"/>
        <v>1395.18702770233</v>
      </c>
      <c r="L99" s="172">
        <f t="shared" si="172"/>
        <v>1967.74453779602</v>
      </c>
      <c r="M99" s="173">
        <f t="shared" si="173"/>
        <v>24</v>
      </c>
      <c r="N99" s="54">
        <f t="shared" si="123"/>
        <v>0.149245147072698</v>
      </c>
      <c r="O99" s="55" t="str">
        <f t="shared" si="124"/>
        <v>Morning / Sets in 188m</v>
      </c>
      <c r="P99" s="55" t="str">
        <f t="shared" si="15"/>
        <v>354°M / -27°</v>
      </c>
      <c r="Q99" s="56">
        <f t="shared" si="125"/>
        <v>45683.8588253179</v>
      </c>
      <c r="R99" s="56">
        <f t="shared" si="126"/>
        <v>45683.86454754</v>
      </c>
      <c r="S99" s="56">
        <f t="shared" si="127"/>
        <v>45683.767503451</v>
      </c>
      <c r="T99" s="56">
        <f t="shared" si="128"/>
        <v>45683.8421260246</v>
      </c>
      <c r="U99" s="180">
        <f t="shared" si="129"/>
        <v>45683.8478482466</v>
      </c>
      <c r="V99" s="55" t="str">
        <f t="shared" si="130"/>
        <v>Sets in 178m</v>
      </c>
      <c r="W99" s="55" t="str">
        <f t="shared" si="131"/>
        <v>359°M / -13°</v>
      </c>
      <c r="X99" s="56">
        <f t="shared" si="132"/>
        <v>45683.8582280937</v>
      </c>
      <c r="Y99" s="180">
        <f t="shared" si="133"/>
        <v>45683.8348784026</v>
      </c>
      <c r="Z99" s="55" t="str">
        <f t="shared" si="134"/>
        <v>347°M / -68°</v>
      </c>
      <c r="AA99" s="151">
        <f t="shared" si="135"/>
        <v>1818</v>
      </c>
      <c r="AB99" s="150">
        <f t="shared" si="136"/>
        <v>755.5</v>
      </c>
      <c r="AC99" s="188">
        <v>90</v>
      </c>
      <c r="AD99" s="1" t="b">
        <f t="shared" si="28"/>
        <v>1</v>
      </c>
      <c r="AE99" s="1">
        <f t="shared" si="29"/>
        <v>0.57004820647196</v>
      </c>
      <c r="AF99" s="1">
        <f t="shared" si="30"/>
        <v>54.6622711926531</v>
      </c>
      <c r="AG99" s="1">
        <f t="shared" si="31"/>
        <v>54.6622711926531</v>
      </c>
      <c r="AH99" s="2">
        <f t="shared" si="137"/>
        <v>1412.28966094351</v>
      </c>
      <c r="AI99" s="1">
        <f t="shared" si="33"/>
        <v>65.5094020797482</v>
      </c>
      <c r="AJ99" s="191">
        <f t="shared" si="168"/>
        <v>0</v>
      </c>
      <c r="AK99" s="191">
        <f t="shared" si="169"/>
        <v>0</v>
      </c>
      <c r="AL99" s="191">
        <f t="shared" si="138"/>
        <v>156.490060923073</v>
      </c>
      <c r="AM99" s="20">
        <f t="shared" si="139"/>
        <v>117.337337022249</v>
      </c>
      <c r="AN99" s="191">
        <f t="shared" si="140"/>
        <v>86.6135174430162</v>
      </c>
      <c r="AO99" s="134">
        <f t="shared" si="141"/>
        <v>85</v>
      </c>
      <c r="AP99" s="64">
        <f t="shared" si="38"/>
        <v>-40</v>
      </c>
      <c r="AQ99" s="1">
        <f t="shared" si="167"/>
        <v>155.516828103062</v>
      </c>
      <c r="AR99" s="20">
        <f t="shared" si="142"/>
        <v>103.111672933474</v>
      </c>
      <c r="AS99" s="1">
        <f t="shared" si="143"/>
        <v>89.4299278700102</v>
      </c>
      <c r="AT99" s="134">
        <f t="shared" si="144"/>
        <v>90</v>
      </c>
      <c r="AU99" s="64">
        <f t="shared" si="145"/>
        <v>-20</v>
      </c>
      <c r="AV99" s="65">
        <f t="shared" si="146"/>
        <v>45683.8582280937</v>
      </c>
      <c r="AW99" s="65">
        <f t="shared" si="147"/>
        <v>45683.8348784026</v>
      </c>
      <c r="AX99" s="1">
        <f t="shared" si="148"/>
        <v>78</v>
      </c>
      <c r="AY99" s="1">
        <f t="shared" si="149"/>
        <v>-68</v>
      </c>
      <c r="AZ99" s="131">
        <f t="shared" si="150"/>
        <v>1818</v>
      </c>
      <c r="BA99" s="1">
        <f t="shared" si="151"/>
        <v>755.5</v>
      </c>
      <c r="BB99" s="1">
        <f t="shared" si="49"/>
        <v>42370720.9194817</v>
      </c>
      <c r="BC99" s="1">
        <f t="shared" si="50"/>
        <v>-27</v>
      </c>
      <c r="BD99" s="1">
        <f t="shared" si="152"/>
        <v>57481397.159341</v>
      </c>
      <c r="BE99" s="1">
        <f t="shared" si="153"/>
        <v>-13</v>
      </c>
      <c r="BF99" s="20">
        <f t="shared" si="53"/>
        <v>34.5711437577607</v>
      </c>
      <c r="BG99" s="1">
        <f t="shared" si="154"/>
        <v>-1368.73563292724</v>
      </c>
      <c r="BH99" s="1">
        <f t="shared" si="155"/>
        <v>1986.23467280435</v>
      </c>
      <c r="BI99" s="1">
        <f t="shared" si="156"/>
        <v>24</v>
      </c>
      <c r="BJ99" s="1">
        <f t="shared" si="157"/>
        <v>-1368.73563292724</v>
      </c>
      <c r="BK99" s="1">
        <f t="shared" si="158"/>
        <v>1986.23467280435</v>
      </c>
      <c r="BL99" s="1">
        <f t="shared" si="159"/>
        <v>24</v>
      </c>
      <c r="BM99" s="61">
        <f t="shared" si="160"/>
        <v>22460716.5168517</v>
      </c>
      <c r="BN99" s="61">
        <f t="shared" si="161"/>
        <v>37187731.1995029</v>
      </c>
      <c r="BO99" s="61">
        <f t="shared" si="162"/>
        <v>24</v>
      </c>
      <c r="BQ99" s="1" t="str">
        <f t="shared" si="63"/>
        <v>N 00° 34.2' / E 054° 39.7'</v>
      </c>
      <c r="BR99" s="1" t="str">
        <f t="shared" si="64"/>
        <v>40N 459205 009953</v>
      </c>
      <c r="BS99" s="1" t="str">
        <f t="shared" si="65"/>
        <v>40N DF 592099</v>
      </c>
      <c r="BT99" s="1" t="b">
        <f t="shared" si="66"/>
        <v>0</v>
      </c>
      <c r="BU99" s="1" t="str">
        <f t="shared" si="67"/>
        <v>40N</v>
      </c>
      <c r="BV99" s="1">
        <f t="shared" si="68"/>
        <v>40</v>
      </c>
      <c r="BW99" s="1">
        <f t="shared" si="69"/>
        <v>0</v>
      </c>
      <c r="BX99" s="1">
        <f t="shared" si="70"/>
        <v>57</v>
      </c>
      <c r="BY99" s="1">
        <f t="shared" si="163"/>
        <v>-40794.0435379618</v>
      </c>
      <c r="BZ99" s="1">
        <f t="shared" si="72"/>
        <v>459205.9565</v>
      </c>
      <c r="CA99" s="1" t="str">
        <f t="shared" si="73"/>
        <v>D</v>
      </c>
      <c r="CB99" s="1" t="str">
        <f t="shared" si="74"/>
        <v>459205</v>
      </c>
      <c r="CC99" s="1" t="str">
        <f t="shared" si="75"/>
        <v>59205</v>
      </c>
      <c r="CD99" s="1">
        <f t="shared" si="164"/>
        <v>9953.52166216233</v>
      </c>
      <c r="CE99" s="1">
        <f t="shared" si="77"/>
        <v>9953.5217</v>
      </c>
      <c r="CF99" s="1" t="str">
        <f t="shared" si="78"/>
        <v>F</v>
      </c>
      <c r="CG99" s="1" t="str">
        <f t="shared" si="79"/>
        <v>009953</v>
      </c>
      <c r="CH99" s="1" t="str">
        <f t="shared" si="80"/>
        <v>09953</v>
      </c>
      <c r="CJ99" s="1">
        <f t="shared" si="81"/>
        <v>470</v>
      </c>
      <c r="CK99" s="1" t="str">
        <f t="shared" si="82"/>
        <v>HP</v>
      </c>
      <c r="CL99" s="1">
        <f t="shared" si="83"/>
        <v>3</v>
      </c>
      <c r="CM99" s="1">
        <f t="shared" si="84"/>
        <v>8</v>
      </c>
      <c r="CN99" s="1">
        <f t="shared" si="85"/>
        <v>1</v>
      </c>
      <c r="CO99" s="1">
        <f t="shared" si="86"/>
        <v>0</v>
      </c>
      <c r="CP99" s="1" t="str">
        <f t="shared" si="87"/>
        <v>470HP38</v>
      </c>
      <c r="CR99" s="1" t="e">
        <f t="shared" si="88"/>
        <v>#VALUE!</v>
      </c>
      <c r="CS99" s="1" t="e">
        <f t="shared" si="89"/>
        <v>#VALUE!</v>
      </c>
      <c r="CT99" s="1">
        <f t="shared" si="90"/>
        <v>5</v>
      </c>
      <c r="CU99" s="1">
        <f t="shared" si="91"/>
        <v>1</v>
      </c>
      <c r="CV99" s="131" t="e">
        <f t="shared" si="92"/>
        <v>#VALUE!</v>
      </c>
      <c r="CW99" s="131">
        <v>1968.4</v>
      </c>
      <c r="CX99" s="131">
        <v>2796.9</v>
      </c>
      <c r="CY99" s="131">
        <v>2821.5</v>
      </c>
      <c r="CZ99" s="131">
        <v>3450.9</v>
      </c>
      <c r="DA99" s="131">
        <v>3682</v>
      </c>
      <c r="DC99" s="154">
        <f t="shared" si="93"/>
        <v>-1395.18702770233</v>
      </c>
      <c r="DD99" s="154">
        <f t="shared" si="94"/>
        <v>24</v>
      </c>
      <c r="DE99" s="154">
        <f t="shared" si="95"/>
        <v>1967.74453779602</v>
      </c>
      <c r="DF99" s="1">
        <f t="shared" si="96"/>
        <v>54.6582719121462</v>
      </c>
      <c r="DG99" s="1">
        <f t="shared" si="97"/>
        <v>179.01449549733</v>
      </c>
      <c r="DH99" s="1">
        <f t="shared" si="98"/>
        <v>354</v>
      </c>
      <c r="DI99" s="1">
        <f t="shared" si="165"/>
        <v>359</v>
      </c>
      <c r="DJ99" s="1">
        <f t="shared" si="166"/>
        <v>347</v>
      </c>
      <c r="DK99" s="1">
        <f t="shared" si="101"/>
        <v>354</v>
      </c>
      <c r="DL99" s="1">
        <f t="shared" si="102"/>
        <v>359</v>
      </c>
      <c r="DM99" s="1">
        <f t="shared" si="103"/>
        <v>347</v>
      </c>
    </row>
    <row r="100" customHeight="1" spans="1:117">
      <c r="A100" s="152" t="str">
        <f t="shared" si="170"/>
        <v/>
      </c>
      <c r="C100" s="55" t="str">
        <f t="shared" si="5"/>
        <v/>
      </c>
      <c r="D100" s="150" t="str">
        <f t="shared" si="6"/>
        <v/>
      </c>
      <c r="E100" s="151" t="str">
        <f t="shared" si="117"/>
        <v/>
      </c>
      <c r="F100" s="151" t="str">
        <f t="shared" si="118"/>
        <v/>
      </c>
      <c r="G100" s="151" t="str">
        <f t="shared" si="119"/>
        <v/>
      </c>
      <c r="H100" s="151" t="str">
        <f t="shared" si="120"/>
        <v/>
      </c>
      <c r="I100" s="151" t="str">
        <f t="shared" si="121"/>
        <v/>
      </c>
      <c r="J100" s="171" t="str">
        <f t="shared" si="122"/>
        <v/>
      </c>
      <c r="K100" s="172" t="str">
        <f t="shared" si="171"/>
        <v/>
      </c>
      <c r="L100" s="172" t="str">
        <f t="shared" si="172"/>
        <v/>
      </c>
      <c r="M100" s="173" t="str">
        <f t="shared" si="173"/>
        <v/>
      </c>
      <c r="N100" s="54" t="str">
        <f t="shared" si="123"/>
        <v/>
      </c>
      <c r="O100" s="55" t="str">
        <f t="shared" si="124"/>
        <v/>
      </c>
      <c r="P100" s="55" t="str">
        <f t="shared" si="15"/>
        <v/>
      </c>
      <c r="Q100" s="56" t="str">
        <f t="shared" si="125"/>
        <v/>
      </c>
      <c r="R100" s="56" t="str">
        <f t="shared" si="126"/>
        <v/>
      </c>
      <c r="S100" s="56" t="str">
        <f t="shared" si="127"/>
        <v/>
      </c>
      <c r="T100" s="56" t="str">
        <f t="shared" si="128"/>
        <v/>
      </c>
      <c r="U100" s="180" t="str">
        <f t="shared" si="129"/>
        <v/>
      </c>
      <c r="V100" s="55" t="str">
        <f t="shared" si="130"/>
        <v/>
      </c>
      <c r="W100" s="55" t="str">
        <f t="shared" si="131"/>
        <v/>
      </c>
      <c r="X100" s="56" t="str">
        <f t="shared" si="132"/>
        <v/>
      </c>
      <c r="Y100" s="180" t="str">
        <f t="shared" si="133"/>
        <v/>
      </c>
      <c r="Z100" s="55" t="str">
        <f t="shared" si="134"/>
        <v/>
      </c>
      <c r="AA100" s="55" t="str">
        <f t="shared" si="135"/>
        <v/>
      </c>
      <c r="AB100" s="150" t="str">
        <f t="shared" si="136"/>
        <v/>
      </c>
      <c r="AC100" s="188">
        <v>91</v>
      </c>
      <c r="AD100" s="1" t="b">
        <f t="shared" si="28"/>
        <v>0</v>
      </c>
      <c r="AE100" s="1" t="str">
        <f t="shared" si="29"/>
        <v/>
      </c>
      <c r="AF100" s="1" t="str">
        <f t="shared" si="30"/>
        <v/>
      </c>
      <c r="AG100" s="1" t="str">
        <f t="shared" si="31"/>
        <v/>
      </c>
      <c r="AH100" s="1" t="str">
        <f t="shared" si="137"/>
        <v/>
      </c>
      <c r="AI100" s="1" t="str">
        <f t="shared" si="33"/>
        <v/>
      </c>
      <c r="AJ100" s="191" t="str">
        <f t="shared" si="168"/>
        <v/>
      </c>
      <c r="AK100" s="191" t="str">
        <f t="shared" si="169"/>
        <v/>
      </c>
      <c r="AL100" s="191" t="str">
        <f t="shared" si="138"/>
        <v/>
      </c>
      <c r="AM100" s="1" t="str">
        <f t="shared" si="139"/>
        <v/>
      </c>
      <c r="AN100" s="191" t="str">
        <f t="shared" si="140"/>
        <v/>
      </c>
      <c r="AO100" s="134" t="str">
        <f t="shared" si="141"/>
        <v/>
      </c>
      <c r="AP100" s="64" t="str">
        <f t="shared" si="38"/>
        <v/>
      </c>
      <c r="AQ100" s="1" t="str">
        <f t="shared" si="167"/>
        <v/>
      </c>
      <c r="AR100" s="1" t="str">
        <f t="shared" si="142"/>
        <v/>
      </c>
      <c r="AS100" s="1" t="str">
        <f t="shared" si="143"/>
        <v/>
      </c>
      <c r="AT100" s="134" t="str">
        <f t="shared" si="144"/>
        <v/>
      </c>
      <c r="AU100" s="64" t="str">
        <f t="shared" si="145"/>
        <v/>
      </c>
      <c r="AV100" s="65" t="str">
        <f t="shared" si="146"/>
        <v/>
      </c>
      <c r="AW100" s="65" t="str">
        <f t="shared" si="147"/>
        <v/>
      </c>
      <c r="AX100" s="1" t="str">
        <f t="shared" si="148"/>
        <v/>
      </c>
      <c r="AY100" s="1" t="str">
        <f t="shared" si="149"/>
        <v/>
      </c>
      <c r="AZ100" s="131" t="str">
        <f t="shared" si="150"/>
        <v/>
      </c>
      <c r="BA100" s="1" t="str">
        <f t="shared" si="151"/>
        <v/>
      </c>
      <c r="BB100" s="1" t="str">
        <f t="shared" si="49"/>
        <v/>
      </c>
      <c r="BC100" s="1" t="str">
        <f t="shared" si="50"/>
        <v/>
      </c>
      <c r="BD100" s="1" t="str">
        <f t="shared" si="152"/>
        <v/>
      </c>
      <c r="BE100" s="1" t="str">
        <f t="shared" si="153"/>
        <v/>
      </c>
      <c r="BF100" s="1" t="str">
        <f t="shared" si="53"/>
        <v/>
      </c>
      <c r="BG100" s="1" t="str">
        <f t="shared" si="154"/>
        <v/>
      </c>
      <c r="BH100" s="1" t="str">
        <f t="shared" si="155"/>
        <v/>
      </c>
      <c r="BI100" s="1" t="str">
        <f t="shared" si="156"/>
        <v/>
      </c>
      <c r="BJ100" s="1" t="str">
        <f t="shared" si="157"/>
        <v/>
      </c>
      <c r="BK100" s="1" t="str">
        <f t="shared" si="158"/>
        <v/>
      </c>
      <c r="BL100" s="1" t="str">
        <f t="shared" si="159"/>
        <v/>
      </c>
      <c r="BM100" s="1" t="str">
        <f t="shared" si="160"/>
        <v/>
      </c>
      <c r="BN100" s="1" t="str">
        <f t="shared" si="161"/>
        <v/>
      </c>
      <c r="BO100" s="1" t="str">
        <f t="shared" si="162"/>
        <v/>
      </c>
      <c r="BQ100" s="1" t="str">
        <f t="shared" si="63"/>
        <v/>
      </c>
      <c r="BR100" s="1" t="str">
        <f t="shared" si="64"/>
        <v/>
      </c>
      <c r="BS100" s="1" t="str">
        <f t="shared" si="65"/>
        <v/>
      </c>
      <c r="BT100" s="1" t="str">
        <f t="shared" si="66"/>
        <v/>
      </c>
      <c r="BU100" s="1" t="str">
        <f t="shared" si="67"/>
        <v/>
      </c>
      <c r="BV100" s="1" t="str">
        <f t="shared" si="68"/>
        <v/>
      </c>
      <c r="BW100" s="1" t="str">
        <f t="shared" si="69"/>
        <v/>
      </c>
      <c r="BX100" s="1" t="str">
        <f t="shared" si="70"/>
        <v/>
      </c>
      <c r="BY100" s="1" t="str">
        <f t="shared" si="163"/>
        <v/>
      </c>
      <c r="BZ100" s="1" t="str">
        <f t="shared" si="72"/>
        <v/>
      </c>
      <c r="CA100" s="1" t="str">
        <f t="shared" si="73"/>
        <v/>
      </c>
      <c r="CB100" s="1" t="str">
        <f t="shared" si="74"/>
        <v/>
      </c>
      <c r="CC100" s="1" t="str">
        <f t="shared" si="75"/>
        <v/>
      </c>
      <c r="CD100" s="1" t="str">
        <f t="shared" si="164"/>
        <v/>
      </c>
      <c r="CE100" s="1" t="str">
        <f t="shared" si="77"/>
        <v/>
      </c>
      <c r="CF100" s="1" t="str">
        <f t="shared" si="78"/>
        <v/>
      </c>
      <c r="CG100" s="1" t="str">
        <f t="shared" si="79"/>
        <v/>
      </c>
      <c r="CH100" s="1" t="str">
        <f t="shared" si="80"/>
        <v/>
      </c>
      <c r="CJ100" s="1" t="str">
        <f t="shared" si="81"/>
        <v/>
      </c>
      <c r="CK100" s="1" t="str">
        <f t="shared" si="82"/>
        <v/>
      </c>
      <c r="CL100" s="1" t="str">
        <f t="shared" si="83"/>
        <v/>
      </c>
      <c r="CM100" s="1" t="str">
        <f t="shared" si="84"/>
        <v/>
      </c>
      <c r="CN100" s="1" t="str">
        <f t="shared" si="85"/>
        <v/>
      </c>
      <c r="CO100" s="1" t="str">
        <f t="shared" si="86"/>
        <v/>
      </c>
      <c r="CP100" s="1" t="str">
        <f t="shared" si="87"/>
        <v/>
      </c>
      <c r="CR100" s="1" t="str">
        <f t="shared" si="88"/>
        <v/>
      </c>
      <c r="CS100" s="1" t="str">
        <f t="shared" si="89"/>
        <v/>
      </c>
      <c r="CT100" s="1" t="str">
        <f t="shared" si="90"/>
        <v/>
      </c>
      <c r="CU100" s="1" t="str">
        <f t="shared" si="91"/>
        <v/>
      </c>
      <c r="CV100" s="1" t="str">
        <f t="shared" si="92"/>
        <v/>
      </c>
      <c r="DC100" s="154" t="e">
        <f t="shared" si="93"/>
        <v>#VALUE!</v>
      </c>
      <c r="DD100" s="154" t="str">
        <f t="shared" si="94"/>
        <v/>
      </c>
      <c r="DE100" s="154" t="str">
        <f t="shared" si="95"/>
        <v/>
      </c>
      <c r="DF100" s="1" t="str">
        <f t="shared" si="96"/>
        <v/>
      </c>
      <c r="DG100" s="1" t="str">
        <f t="shared" si="97"/>
        <v/>
      </c>
      <c r="DH100" s="1" t="str">
        <f t="shared" si="98"/>
        <v/>
      </c>
      <c r="DI100" s="1" t="str">
        <f t="shared" si="165"/>
        <v/>
      </c>
      <c r="DJ100" s="1" t="str">
        <f t="shared" si="166"/>
        <v/>
      </c>
      <c r="DK100" s="1" t="str">
        <f t="shared" si="101"/>
        <v/>
      </c>
      <c r="DL100" s="1" t="str">
        <f t="shared" si="102"/>
        <v/>
      </c>
      <c r="DM100" s="1" t="str">
        <f t="shared" si="103"/>
        <v/>
      </c>
    </row>
    <row r="101" customHeight="1" spans="1:117">
      <c r="A101" s="152" t="str">
        <f t="shared" si="170"/>
        <v>Rivers</v>
      </c>
      <c r="C101" s="55" t="e">
        <f t="shared" si="5"/>
        <v>#DIV/0!</v>
      </c>
      <c r="D101" s="150" t="str">
        <f t="shared" si="6"/>
        <v>-1000000 m</v>
      </c>
      <c r="E101" s="151">
        <f t="shared" si="117"/>
        <v>1439.6</v>
      </c>
      <c r="F101" s="151">
        <f t="shared" si="118"/>
        <v>1439.6</v>
      </c>
      <c r="G101" s="151">
        <f t="shared" si="119"/>
        <v>1439.6</v>
      </c>
      <c r="H101" s="151">
        <f t="shared" si="120"/>
        <v>1439.6</v>
      </c>
      <c r="I101" s="151">
        <f t="shared" si="121"/>
        <v>1439.6</v>
      </c>
      <c r="J101" s="171">
        <f t="shared" si="122"/>
        <v>1439.6</v>
      </c>
      <c r="K101" s="172">
        <f t="shared" si="171"/>
        <v>0</v>
      </c>
      <c r="L101" s="172">
        <f t="shared" si="172"/>
        <v>0</v>
      </c>
      <c r="M101" s="173">
        <f t="shared" si="173"/>
        <v>0</v>
      </c>
      <c r="N101" s="54" t="str">
        <f t="shared" si="123"/>
        <v>Continuous</v>
      </c>
      <c r="O101" s="55" t="e">
        <f t="shared" si="124"/>
        <v>#DIV/0!</v>
      </c>
      <c r="P101" s="55" t="e">
        <f t="shared" si="15"/>
        <v>#DIV/0!</v>
      </c>
      <c r="Q101" s="56" t="str">
        <f t="shared" si="125"/>
        <v/>
      </c>
      <c r="R101" s="56" t="str">
        <f t="shared" si="126"/>
        <v/>
      </c>
      <c r="S101" s="56" t="str">
        <f t="shared" si="127"/>
        <v/>
      </c>
      <c r="T101" s="56" t="str">
        <f t="shared" si="128"/>
        <v/>
      </c>
      <c r="U101" s="180" t="str">
        <f t="shared" si="129"/>
        <v/>
      </c>
      <c r="V101" s="55" t="e">
        <f t="shared" si="130"/>
        <v>#DIV/0!</v>
      </c>
      <c r="W101" s="55" t="e">
        <f t="shared" si="131"/>
        <v>#DIV/0!</v>
      </c>
      <c r="X101" s="56" t="str">
        <f t="shared" si="132"/>
        <v/>
      </c>
      <c r="Y101" s="180" t="str">
        <f t="shared" si="133"/>
        <v/>
      </c>
      <c r="Z101" s="55" t="e">
        <f t="shared" si="134"/>
        <v>#DIV/0!</v>
      </c>
      <c r="AA101" s="55">
        <f t="shared" si="135"/>
        <v>1001.4</v>
      </c>
      <c r="AB101" s="150" t="e">
        <f t="shared" si="136"/>
        <v>#DIV/0!</v>
      </c>
      <c r="AC101" s="188">
        <v>92</v>
      </c>
      <c r="AD101" s="1" t="b">
        <f t="shared" si="28"/>
        <v>1</v>
      </c>
      <c r="AE101" s="1" t="e">
        <f t="shared" si="29"/>
        <v>#DIV/0!</v>
      </c>
      <c r="AF101" s="1" t="e">
        <f t="shared" si="30"/>
        <v>#DIV/0!</v>
      </c>
      <c r="AG101" s="1" t="e">
        <f t="shared" si="31"/>
        <v>#DIV/0!</v>
      </c>
      <c r="AH101" s="1">
        <f t="shared" si="137"/>
        <v>-1000</v>
      </c>
      <c r="AI101" s="1">
        <f t="shared" si="33"/>
        <v>0</v>
      </c>
      <c r="AJ101" s="191">
        <f t="shared" si="168"/>
        <v>0</v>
      </c>
      <c r="AK101" s="191">
        <f t="shared" si="169"/>
        <v>0</v>
      </c>
      <c r="AL101" s="191" t="e">
        <f t="shared" si="138"/>
        <v>#DIV/0!</v>
      </c>
      <c r="AM101" s="1" t="e">
        <f t="shared" si="139"/>
        <v>#DIV/0!</v>
      </c>
      <c r="AN101" s="191">
        <f t="shared" si="140"/>
        <v>90</v>
      </c>
      <c r="AO101" s="134" t="e">
        <f t="shared" si="141"/>
        <v>#DIV/0!</v>
      </c>
      <c r="AP101" s="64" t="e">
        <f t="shared" si="38"/>
        <v>#DIV/0!</v>
      </c>
      <c r="AQ101" s="1" t="e">
        <f t="shared" si="167"/>
        <v>#DIV/0!</v>
      </c>
      <c r="AR101" s="1" t="e">
        <f t="shared" si="142"/>
        <v>#DIV/0!</v>
      </c>
      <c r="AS101" s="1">
        <f t="shared" si="143"/>
        <v>90</v>
      </c>
      <c r="AT101" s="134" t="e">
        <f t="shared" si="144"/>
        <v>#DIV/0!</v>
      </c>
      <c r="AU101" s="64" t="e">
        <f t="shared" si="145"/>
        <v>#DIV/0!</v>
      </c>
      <c r="AV101" s="65" t="e">
        <f t="shared" si="146"/>
        <v>#DIV/0!</v>
      </c>
      <c r="AW101" s="65" t="e">
        <f t="shared" si="147"/>
        <v>#DIV/0!</v>
      </c>
      <c r="AX101" s="1" t="e">
        <f t="shared" si="148"/>
        <v>#DIV/0!</v>
      </c>
      <c r="AY101" s="1" t="e">
        <f t="shared" si="149"/>
        <v>#DIV/0!</v>
      </c>
      <c r="AZ101" s="131">
        <f t="shared" si="150"/>
        <v>1001.4</v>
      </c>
      <c r="BA101" s="1" t="e">
        <f t="shared" si="151"/>
        <v>#DIV/0!</v>
      </c>
      <c r="BB101" s="1">
        <f t="shared" si="49"/>
        <v>42369617.4235177</v>
      </c>
      <c r="BC101" s="1" t="e">
        <f t="shared" si="50"/>
        <v>#DIV/0!</v>
      </c>
      <c r="BD101" s="1">
        <f t="shared" si="152"/>
        <v>57480849.9111489</v>
      </c>
      <c r="BE101" s="1" t="e">
        <f t="shared" si="153"/>
        <v>#DIV/0!</v>
      </c>
      <c r="BF101" s="1" t="e">
        <f t="shared" si="53"/>
        <v>#DIV/0!</v>
      </c>
      <c r="BG101" s="1" t="e">
        <f t="shared" si="154"/>
        <v>#DIV/0!</v>
      </c>
      <c r="BH101" s="1" t="e">
        <f t="shared" si="155"/>
        <v>#DIV/0!</v>
      </c>
      <c r="BI101" s="1" t="e">
        <f t="shared" si="156"/>
        <v>#DIV/0!</v>
      </c>
      <c r="BJ101" s="1" t="e">
        <f t="shared" si="157"/>
        <v>#DIV/0!</v>
      </c>
      <c r="BK101" s="1" t="e">
        <f t="shared" si="158"/>
        <v>#DIV/0!</v>
      </c>
      <c r="BL101" s="1" t="e">
        <f t="shared" si="159"/>
        <v>#DIV/0!</v>
      </c>
      <c r="BM101" s="1" t="e">
        <f t="shared" si="160"/>
        <v>#DIV/0!</v>
      </c>
      <c r="BN101" s="1" t="e">
        <f t="shared" si="161"/>
        <v>#DIV/0!</v>
      </c>
      <c r="BO101" s="1" t="e">
        <f t="shared" si="162"/>
        <v>#DIV/0!</v>
      </c>
      <c r="BQ101" s="1" t="e">
        <f t="shared" si="63"/>
        <v>#DIV/0!</v>
      </c>
      <c r="BR101" s="1" t="e">
        <f t="shared" si="64"/>
        <v>#DIV/0!</v>
      </c>
      <c r="BS101" s="1" t="e">
        <f t="shared" si="65"/>
        <v>#DIV/0!</v>
      </c>
      <c r="BT101" s="1" t="e">
        <f t="shared" si="66"/>
        <v>#DIV/0!</v>
      </c>
      <c r="BU101" s="1" t="e">
        <f t="shared" si="67"/>
        <v>#DIV/0!</v>
      </c>
      <c r="BV101" s="1" t="e">
        <f t="shared" si="68"/>
        <v>#DIV/0!</v>
      </c>
      <c r="BW101" s="1" t="e">
        <f t="shared" si="69"/>
        <v>#DIV/0!</v>
      </c>
      <c r="BX101" s="1" t="e">
        <f t="shared" si="70"/>
        <v>#DIV/0!</v>
      </c>
      <c r="BY101" s="1" t="e">
        <f t="shared" si="163"/>
        <v>#DIV/0!</v>
      </c>
      <c r="BZ101" s="1" t="e">
        <f t="shared" si="72"/>
        <v>#DIV/0!</v>
      </c>
      <c r="CA101" s="1" t="e">
        <f t="shared" si="73"/>
        <v>#DIV/0!</v>
      </c>
      <c r="CB101" s="1" t="e">
        <f t="shared" si="74"/>
        <v>#DIV/0!</v>
      </c>
      <c r="CC101" s="1" t="e">
        <f t="shared" si="75"/>
        <v>#DIV/0!</v>
      </c>
      <c r="CD101" s="1" t="e">
        <f t="shared" si="164"/>
        <v>#DIV/0!</v>
      </c>
      <c r="CE101" s="1" t="e">
        <f t="shared" si="77"/>
        <v>#DIV/0!</v>
      </c>
      <c r="CF101" s="1" t="e">
        <f t="shared" si="78"/>
        <v>#DIV/0!</v>
      </c>
      <c r="CG101" s="1" t="e">
        <f t="shared" si="79"/>
        <v>#DIV/0!</v>
      </c>
      <c r="CH101" s="1" t="e">
        <f t="shared" si="80"/>
        <v>#DIV/0!</v>
      </c>
      <c r="CJ101" s="1" t="e">
        <f t="shared" si="81"/>
        <v>#DIV/0!</v>
      </c>
      <c r="CK101" s="1" t="e">
        <f t="shared" si="82"/>
        <v>#DIV/0!</v>
      </c>
      <c r="CL101" s="1" t="e">
        <f t="shared" si="83"/>
        <v>#DIV/0!</v>
      </c>
      <c r="CM101" s="1" t="e">
        <f t="shared" si="84"/>
        <v>#DIV/0!</v>
      </c>
      <c r="CN101" s="1" t="e">
        <f t="shared" si="85"/>
        <v>#DIV/0!</v>
      </c>
      <c r="CO101" s="1" t="e">
        <f t="shared" si="86"/>
        <v>#DIV/0!</v>
      </c>
      <c r="CP101" s="1" t="e">
        <f t="shared" si="87"/>
        <v>#DIV/0!</v>
      </c>
      <c r="CR101" s="1" t="e">
        <f t="shared" si="88"/>
        <v>#VALUE!</v>
      </c>
      <c r="CS101" s="1" t="e">
        <f t="shared" si="89"/>
        <v>#VALUE!</v>
      </c>
      <c r="CT101" s="1" t="str">
        <f t="shared" si="90"/>
        <v/>
      </c>
      <c r="CU101" s="1" t="str">
        <f t="shared" si="91"/>
        <v/>
      </c>
      <c r="CV101" s="1" t="e">
        <f t="shared" si="92"/>
        <v>#VALUE!</v>
      </c>
      <c r="DC101" s="154">
        <f t="shared" si="93"/>
        <v>0</v>
      </c>
      <c r="DD101" s="154">
        <f t="shared" si="94"/>
        <v>0</v>
      </c>
      <c r="DE101" s="154">
        <f t="shared" si="95"/>
        <v>0</v>
      </c>
      <c r="DF101" s="1" t="e">
        <f t="shared" si="96"/>
        <v>#DIV/0!</v>
      </c>
      <c r="DG101" s="1" t="e">
        <f t="shared" si="97"/>
        <v>#DIV/0!</v>
      </c>
      <c r="DH101" s="1" t="e">
        <f t="shared" si="98"/>
        <v>#DIV/0!</v>
      </c>
      <c r="DI101" s="1" t="e">
        <f t="shared" si="165"/>
        <v>#DIV/0!</v>
      </c>
      <c r="DJ101" s="1" t="e">
        <f t="shared" si="166"/>
        <v>#DIV/0!</v>
      </c>
      <c r="DK101" s="1" t="e">
        <f t="shared" si="101"/>
        <v>#DIV/0!</v>
      </c>
      <c r="DL101" s="1" t="e">
        <f t="shared" si="102"/>
        <v>#DIV/0!</v>
      </c>
      <c r="DM101" s="1" t="e">
        <f t="shared" si="103"/>
        <v>#DIV/0!</v>
      </c>
    </row>
    <row r="102" customHeight="1" spans="1:117">
      <c r="A102" s="152" t="str">
        <f t="shared" si="170"/>
        <v>River 35R</v>
      </c>
      <c r="C102" s="55" t="str">
        <f t="shared" si="5"/>
        <v>N 24° 28.1' / E 027° 46.7'</v>
      </c>
      <c r="D102" s="150" t="str">
        <f t="shared" si="6"/>
        <v>1032 m</v>
      </c>
      <c r="E102" s="151">
        <f t="shared" si="117"/>
        <v>1371.4</v>
      </c>
      <c r="F102" s="151">
        <f t="shared" si="118"/>
        <v>2066</v>
      </c>
      <c r="G102" s="151">
        <f t="shared" si="119"/>
        <v>1360.8</v>
      </c>
      <c r="H102" s="151">
        <f t="shared" si="120"/>
        <v>2072.9</v>
      </c>
      <c r="I102" s="151">
        <f t="shared" si="121"/>
        <v>868</v>
      </c>
      <c r="J102" s="171">
        <f t="shared" si="122"/>
        <v>2322.8</v>
      </c>
      <c r="K102" s="172">
        <f t="shared" si="171"/>
        <v>806.12952788544</v>
      </c>
      <c r="L102" s="172">
        <f t="shared" si="172"/>
        <v>424.64153803191</v>
      </c>
      <c r="M102" s="173">
        <f t="shared" si="173"/>
        <v>414.60756717617</v>
      </c>
      <c r="N102" s="54">
        <f t="shared" si="123"/>
        <v>0.0909321881550578</v>
      </c>
      <c r="O102" s="55" t="str">
        <f t="shared" si="124"/>
        <v>After midnight / Rises in 34m</v>
      </c>
      <c r="P102" s="55" t="str">
        <f t="shared" si="15"/>
        <v>313°M / -45°</v>
      </c>
      <c r="Q102" s="56">
        <f t="shared" si="125"/>
        <v>45683.7291346002</v>
      </c>
      <c r="R102" s="56">
        <f t="shared" si="126"/>
        <v>45683.7348568223</v>
      </c>
      <c r="S102" s="56">
        <f t="shared" si="127"/>
        <v>45683.7803229163</v>
      </c>
      <c r="T102" s="56">
        <f t="shared" si="128"/>
        <v>45683.8257890104</v>
      </c>
      <c r="U102" s="180">
        <f t="shared" si="129"/>
        <v>45683.8315112325</v>
      </c>
      <c r="V102" s="55" t="str">
        <f t="shared" si="130"/>
        <v>Obstructed / Rises in 26m</v>
      </c>
      <c r="W102" s="55" t="str">
        <f t="shared" si="131"/>
        <v>329°M / -36°</v>
      </c>
      <c r="X102" s="56">
        <f t="shared" si="132"/>
        <v>45683.7293785677</v>
      </c>
      <c r="Y102" s="180">
        <f t="shared" si="133"/>
        <v>45683.8177001968</v>
      </c>
      <c r="Z102" s="55" t="str">
        <f t="shared" si="134"/>
        <v>348°M / -34°</v>
      </c>
      <c r="AA102" s="151">
        <f t="shared" si="135"/>
        <v>1119</v>
      </c>
      <c r="AB102" s="150">
        <f t="shared" si="136"/>
        <v>1186</v>
      </c>
      <c r="AC102" s="188">
        <v>93</v>
      </c>
      <c r="AD102" s="1" t="b">
        <f t="shared" si="28"/>
        <v>1</v>
      </c>
      <c r="AE102" s="1">
        <f t="shared" si="29"/>
        <v>24.4677011048078</v>
      </c>
      <c r="AF102" s="1">
        <f t="shared" si="30"/>
        <v>27.7787315922288</v>
      </c>
      <c r="AG102" s="1">
        <f t="shared" si="31"/>
        <v>27.7787315922288</v>
      </c>
      <c r="AH102" s="2">
        <f t="shared" si="137"/>
        <v>1.03181083852212</v>
      </c>
      <c r="AI102" s="1">
        <f t="shared" si="33"/>
        <v>2.60166302448657</v>
      </c>
      <c r="AJ102" s="191">
        <f t="shared" si="168"/>
        <v>0</v>
      </c>
      <c r="AK102" s="191">
        <f t="shared" si="169"/>
        <v>0</v>
      </c>
      <c r="AL102" s="191">
        <f t="shared" si="138"/>
        <v>95.3463743603124</v>
      </c>
      <c r="AM102" s="20">
        <f t="shared" si="139"/>
        <v>144.220876622674</v>
      </c>
      <c r="AN102" s="191">
        <f t="shared" si="140"/>
        <v>69.488162632238</v>
      </c>
      <c r="AO102" s="134">
        <f t="shared" si="141"/>
        <v>56</v>
      </c>
      <c r="AP102" s="64">
        <f t="shared" si="38"/>
        <v>-56</v>
      </c>
      <c r="AQ102" s="1">
        <f t="shared" si="167"/>
        <v>92.6090890478002</v>
      </c>
      <c r="AR102" s="20">
        <f t="shared" si="142"/>
        <v>129.995212533898</v>
      </c>
      <c r="AS102" s="1">
        <f t="shared" si="143"/>
        <v>65.5318856166352</v>
      </c>
      <c r="AT102" s="134">
        <f t="shared" si="144"/>
        <v>71</v>
      </c>
      <c r="AU102" s="64">
        <f t="shared" si="145"/>
        <v>-42</v>
      </c>
      <c r="AV102" s="65">
        <f t="shared" si="146"/>
        <v>45683.7293785677</v>
      </c>
      <c r="AW102" s="65">
        <f t="shared" si="147"/>
        <v>45683.8177001968</v>
      </c>
      <c r="AX102" s="1">
        <f t="shared" si="148"/>
        <v>90</v>
      </c>
      <c r="AY102" s="1">
        <f t="shared" si="149"/>
        <v>-34</v>
      </c>
      <c r="AZ102" s="131">
        <f t="shared" si="150"/>
        <v>1119</v>
      </c>
      <c r="BA102" s="1">
        <f t="shared" si="151"/>
        <v>1186</v>
      </c>
      <c r="BB102" s="1">
        <f t="shared" si="49"/>
        <v>42370326.2435175</v>
      </c>
      <c r="BC102" s="1">
        <f t="shared" si="50"/>
        <v>-45</v>
      </c>
      <c r="BD102" s="1">
        <f t="shared" si="152"/>
        <v>57481435.5242362</v>
      </c>
      <c r="BE102" s="1">
        <f t="shared" si="153"/>
        <v>-36</v>
      </c>
      <c r="BF102" s="20">
        <f t="shared" si="53"/>
        <v>7.68760415733635</v>
      </c>
      <c r="BG102" s="1">
        <f t="shared" si="154"/>
        <v>-121.884027642079</v>
      </c>
      <c r="BH102" s="1">
        <f t="shared" si="155"/>
        <v>902.944923767033</v>
      </c>
      <c r="BI102" s="1">
        <f t="shared" si="156"/>
        <v>414.60756717617</v>
      </c>
      <c r="BJ102" s="1">
        <f t="shared" si="157"/>
        <v>-121.884027642079</v>
      </c>
      <c r="BK102" s="1">
        <f t="shared" si="158"/>
        <v>902.944923767033</v>
      </c>
      <c r="BL102" s="1">
        <f t="shared" si="159"/>
        <v>414.60756717617</v>
      </c>
      <c r="BM102" s="61">
        <f t="shared" si="160"/>
        <v>22461963.368457</v>
      </c>
      <c r="BN102" s="61">
        <f t="shared" si="161"/>
        <v>37186647.9097539</v>
      </c>
      <c r="BO102" s="61">
        <f t="shared" si="162"/>
        <v>414.60756717617</v>
      </c>
      <c r="BQ102" s="1" t="str">
        <f t="shared" si="63"/>
        <v>N 24° 28.1' / E 027° 46.7'</v>
      </c>
      <c r="BR102" s="1" t="str">
        <f t="shared" si="64"/>
        <v>35R 512366 426905</v>
      </c>
      <c r="BS102" s="1" t="str">
        <f t="shared" si="65"/>
        <v>35R NE 123269</v>
      </c>
      <c r="BT102" s="1" t="b">
        <f t="shared" si="66"/>
        <v>0</v>
      </c>
      <c r="BU102" s="1" t="str">
        <f t="shared" si="67"/>
        <v>35R</v>
      </c>
      <c r="BV102" s="1">
        <f t="shared" si="68"/>
        <v>35</v>
      </c>
      <c r="BW102" s="1">
        <f t="shared" si="69"/>
        <v>0</v>
      </c>
      <c r="BX102" s="1">
        <f t="shared" si="70"/>
        <v>27</v>
      </c>
      <c r="BY102" s="1">
        <f t="shared" si="163"/>
        <v>12366.1522528778</v>
      </c>
      <c r="BZ102" s="1">
        <f t="shared" si="72"/>
        <v>512366.1523</v>
      </c>
      <c r="CA102" s="1" t="str">
        <f t="shared" si="73"/>
        <v>N</v>
      </c>
      <c r="CB102" s="1" t="str">
        <f t="shared" si="74"/>
        <v>512366</v>
      </c>
      <c r="CC102" s="1" t="str">
        <f t="shared" si="75"/>
        <v>12366</v>
      </c>
      <c r="CD102" s="1">
        <f t="shared" si="164"/>
        <v>426905.935718048</v>
      </c>
      <c r="CE102" s="1">
        <f t="shared" si="77"/>
        <v>426905.9357</v>
      </c>
      <c r="CF102" s="1" t="str">
        <f t="shared" si="78"/>
        <v>E</v>
      </c>
      <c r="CG102" s="1" t="str">
        <f t="shared" si="79"/>
        <v>426905</v>
      </c>
      <c r="CH102" s="1" t="str">
        <f t="shared" si="80"/>
        <v>26905</v>
      </c>
      <c r="CJ102" s="1">
        <f t="shared" si="81"/>
        <v>416</v>
      </c>
      <c r="CK102" s="1" t="str">
        <f t="shared" si="82"/>
        <v>KN</v>
      </c>
      <c r="CL102" s="1">
        <f t="shared" si="83"/>
        <v>2</v>
      </c>
      <c r="CM102" s="1">
        <f t="shared" si="84"/>
        <v>1</v>
      </c>
      <c r="CN102" s="1">
        <f t="shared" si="85"/>
        <v>0</v>
      </c>
      <c r="CO102" s="1">
        <f t="shared" si="86"/>
        <v>2</v>
      </c>
      <c r="CP102" s="1" t="str">
        <f t="shared" si="87"/>
        <v>416KN21</v>
      </c>
      <c r="CR102" s="1" t="e">
        <f t="shared" si="88"/>
        <v>#VALUE!</v>
      </c>
      <c r="CS102" s="1" t="e">
        <f t="shared" si="89"/>
        <v>#VALUE!</v>
      </c>
      <c r="CT102" s="1">
        <f t="shared" si="90"/>
        <v>3</v>
      </c>
      <c r="CU102" s="1">
        <f t="shared" si="91"/>
        <v>1</v>
      </c>
      <c r="CV102" s="131" t="e">
        <f t="shared" si="92"/>
        <v>#VALUE!</v>
      </c>
      <c r="CW102" s="131">
        <v>1360.8</v>
      </c>
      <c r="CX102" s="131">
        <v>1371.4</v>
      </c>
      <c r="CY102" s="131">
        <v>2066</v>
      </c>
      <c r="CZ102" s="131">
        <v>2072.9</v>
      </c>
      <c r="DA102" s="131">
        <v>2322.8</v>
      </c>
      <c r="DC102" s="154">
        <f t="shared" si="93"/>
        <v>-806.12952788544</v>
      </c>
      <c r="DD102" s="154">
        <f t="shared" si="94"/>
        <v>414.60756717617</v>
      </c>
      <c r="DE102" s="154">
        <f t="shared" si="95"/>
        <v>424.64153803191</v>
      </c>
      <c r="DF102" s="1">
        <f t="shared" si="96"/>
        <v>25.100279476614</v>
      </c>
      <c r="DG102" s="1">
        <f t="shared" si="97"/>
        <v>152.782389542349</v>
      </c>
      <c r="DH102" s="1">
        <f t="shared" si="98"/>
        <v>313</v>
      </c>
      <c r="DI102" s="1">
        <f t="shared" si="165"/>
        <v>329</v>
      </c>
      <c r="DJ102" s="1">
        <f t="shared" si="166"/>
        <v>348</v>
      </c>
      <c r="DK102" s="1">
        <f t="shared" si="101"/>
        <v>313</v>
      </c>
      <c r="DL102" s="1">
        <f t="shared" si="102"/>
        <v>329</v>
      </c>
      <c r="DM102" s="1">
        <f t="shared" si="103"/>
        <v>348</v>
      </c>
    </row>
    <row r="103" customHeight="1" spans="1:117">
      <c r="A103" s="152" t="str">
        <f t="shared" si="170"/>
        <v>River 52M</v>
      </c>
      <c r="C103" s="55" t="str">
        <f t="shared" si="5"/>
        <v>S 00° 04.1' / E 130° 45.1'</v>
      </c>
      <c r="D103" s="150" t="str">
        <f t="shared" si="6"/>
        <v>609 m</v>
      </c>
      <c r="E103" s="151">
        <f t="shared" si="117"/>
        <v>1754.2</v>
      </c>
      <c r="F103" s="151">
        <f t="shared" si="118"/>
        <v>1752.2</v>
      </c>
      <c r="G103" s="151">
        <f t="shared" si="119"/>
        <v>944</v>
      </c>
      <c r="H103" s="151">
        <f t="shared" si="120"/>
        <v>2292.6</v>
      </c>
      <c r="I103" s="151">
        <f t="shared" si="121"/>
        <v>2225.8</v>
      </c>
      <c r="J103" s="171">
        <f t="shared" si="122"/>
        <v>1092.3</v>
      </c>
      <c r="K103" s="172">
        <f t="shared" si="171"/>
        <v>-653.17005538579</v>
      </c>
      <c r="L103" s="172">
        <f t="shared" si="172"/>
        <v>758.01399892978</v>
      </c>
      <c r="M103" s="173">
        <f t="shared" si="173"/>
        <v>-1.19610378766</v>
      </c>
      <c r="N103" s="54">
        <f t="shared" si="123"/>
        <v>0.0886325601723382</v>
      </c>
      <c r="O103" s="55" t="str">
        <f t="shared" si="124"/>
        <v>Morning / Sets in 92m</v>
      </c>
      <c r="P103" s="55" t="str">
        <f t="shared" si="15"/>
        <v>174°M / +49°</v>
      </c>
      <c r="Q103" s="56">
        <f t="shared" si="125"/>
        <v>45683.8528485537</v>
      </c>
      <c r="R103" s="56">
        <f t="shared" si="126"/>
        <v>45683.8585707757</v>
      </c>
      <c r="S103" s="56">
        <f t="shared" si="127"/>
        <v>45683.7312203933</v>
      </c>
      <c r="T103" s="56">
        <f t="shared" si="128"/>
        <v>45683.7755366734</v>
      </c>
      <c r="U103" s="180">
        <f t="shared" si="129"/>
        <v>45683.7812588955</v>
      </c>
      <c r="V103" s="55" t="str">
        <f t="shared" si="130"/>
        <v>Sets in 82m</v>
      </c>
      <c r="W103" s="55" t="str">
        <f t="shared" si="131"/>
        <v>180°M / +63°</v>
      </c>
      <c r="X103" s="56">
        <f t="shared" si="132"/>
        <v>45683.8522302702</v>
      </c>
      <c r="Y103" s="180">
        <f t="shared" si="133"/>
        <v>45683.7683101108</v>
      </c>
      <c r="Z103" s="55" t="str">
        <f t="shared" si="134"/>
        <v>015°M / -17°</v>
      </c>
      <c r="AA103" s="151">
        <f t="shared" si="135"/>
        <v>591.1</v>
      </c>
      <c r="AB103" s="150">
        <f t="shared" si="136"/>
        <v>599.5</v>
      </c>
      <c r="AC103" s="188">
        <v>94</v>
      </c>
      <c r="AD103" s="1" t="b">
        <f t="shared" si="28"/>
        <v>1</v>
      </c>
      <c r="AE103" s="1">
        <f t="shared" si="29"/>
        <v>-0.0684900251992684</v>
      </c>
      <c r="AF103" s="1">
        <f t="shared" si="30"/>
        <v>130.751015380289</v>
      </c>
      <c r="AG103" s="1">
        <f t="shared" si="31"/>
        <v>130.751015380289</v>
      </c>
      <c r="AH103" s="2">
        <f t="shared" si="137"/>
        <v>0.608701986177721</v>
      </c>
      <c r="AI103" s="1">
        <f t="shared" si="33"/>
        <v>1.99861835061636</v>
      </c>
      <c r="AJ103" s="191">
        <f t="shared" si="168"/>
        <v>0</v>
      </c>
      <c r="AK103" s="191">
        <f t="shared" si="169"/>
        <v>0</v>
      </c>
      <c r="AL103" s="191">
        <f t="shared" si="138"/>
        <v>92.9351138927215</v>
      </c>
      <c r="AM103" s="20">
        <f t="shared" si="139"/>
        <v>41.2485928346136</v>
      </c>
      <c r="AN103" s="191">
        <f t="shared" si="140"/>
        <v>85.9750769317374</v>
      </c>
      <c r="AO103" s="134">
        <f t="shared" si="141"/>
        <v>84</v>
      </c>
      <c r="AP103" s="64">
        <f t="shared" si="38"/>
        <v>65</v>
      </c>
      <c r="AQ103" s="1">
        <f t="shared" si="167"/>
        <v>92.00604437393</v>
      </c>
      <c r="AR103" s="20">
        <f t="shared" si="142"/>
        <v>27.022928745838</v>
      </c>
      <c r="AS103" s="1">
        <f t="shared" si="143"/>
        <v>89.9315085891305</v>
      </c>
      <c r="AT103" s="134">
        <f t="shared" si="144"/>
        <v>90</v>
      </c>
      <c r="AU103" s="64">
        <f t="shared" si="145"/>
        <v>80</v>
      </c>
      <c r="AV103" s="65">
        <f t="shared" si="146"/>
        <v>45683.8522302702</v>
      </c>
      <c r="AW103" s="65">
        <f t="shared" si="147"/>
        <v>45683.7683101108</v>
      </c>
      <c r="AX103" s="1">
        <f t="shared" si="148"/>
        <v>285</v>
      </c>
      <c r="AY103" s="1">
        <f t="shared" si="149"/>
        <v>-17</v>
      </c>
      <c r="AZ103" s="131">
        <f t="shared" si="150"/>
        <v>591.1</v>
      </c>
      <c r="BA103" s="1">
        <f t="shared" si="151"/>
        <v>599.5</v>
      </c>
      <c r="BB103" s="1">
        <f t="shared" si="49"/>
        <v>42368866.9909185</v>
      </c>
      <c r="BC103" s="1">
        <f t="shared" si="50"/>
        <v>49</v>
      </c>
      <c r="BD103" s="1">
        <f t="shared" si="152"/>
        <v>57479958.5465629</v>
      </c>
      <c r="BE103" s="1">
        <f t="shared" si="153"/>
        <v>63</v>
      </c>
      <c r="BF103" s="20">
        <f t="shared" si="53"/>
        <v>110.659887945396</v>
      </c>
      <c r="BG103" s="1">
        <f t="shared" si="154"/>
        <v>-936.260153069226</v>
      </c>
      <c r="BH103" s="1">
        <f t="shared" si="155"/>
        <v>-353.03437453169</v>
      </c>
      <c r="BI103" s="1">
        <f t="shared" si="156"/>
        <v>-1.19610378766</v>
      </c>
      <c r="BJ103" s="1">
        <f t="shared" si="157"/>
        <v>-936.260153069226</v>
      </c>
      <c r="BK103" s="1">
        <f t="shared" si="158"/>
        <v>-353.03437453169</v>
      </c>
      <c r="BL103" s="1">
        <f t="shared" si="159"/>
        <v>-1.19610378766</v>
      </c>
      <c r="BM103" s="61">
        <f t="shared" si="160"/>
        <v>22461148.9923315</v>
      </c>
      <c r="BN103" s="61">
        <f t="shared" si="161"/>
        <v>37185391.9304556</v>
      </c>
      <c r="BO103" s="61">
        <f t="shared" si="162"/>
        <v>-1.19610378766</v>
      </c>
      <c r="BQ103" s="1" t="str">
        <f t="shared" si="63"/>
        <v>S 00° 04.1' / E 130° 45.1'</v>
      </c>
      <c r="BR103" s="1" t="str">
        <f t="shared" si="64"/>
        <v>52M 530553 1998804</v>
      </c>
      <c r="BS103" s="1" t="str">
        <f t="shared" si="65"/>
        <v>52M EE 305988</v>
      </c>
      <c r="BT103" s="1" t="b">
        <f t="shared" si="66"/>
        <v>0</v>
      </c>
      <c r="BU103" s="1" t="str">
        <f t="shared" si="67"/>
        <v>52M</v>
      </c>
      <c r="BV103" s="1">
        <f t="shared" si="68"/>
        <v>52</v>
      </c>
      <c r="BW103" s="1">
        <f t="shared" si="69"/>
        <v>0</v>
      </c>
      <c r="BX103" s="1">
        <f t="shared" si="70"/>
        <v>129</v>
      </c>
      <c r="BY103" s="1">
        <f t="shared" si="163"/>
        <v>30553.4938030662</v>
      </c>
      <c r="BZ103" s="1">
        <f t="shared" si="72"/>
        <v>530553.4938</v>
      </c>
      <c r="CA103" s="1" t="str">
        <f t="shared" si="73"/>
        <v>E</v>
      </c>
      <c r="CB103" s="1" t="str">
        <f t="shared" si="74"/>
        <v>530553</v>
      </c>
      <c r="CC103" s="1" t="str">
        <f t="shared" si="75"/>
        <v>30553</v>
      </c>
      <c r="CD103" s="1">
        <f t="shared" si="164"/>
        <v>-1195.45651242617</v>
      </c>
      <c r="CE103" s="1">
        <f t="shared" si="77"/>
        <v>1998804.5435</v>
      </c>
      <c r="CF103" s="1" t="str">
        <f t="shared" si="78"/>
        <v>E</v>
      </c>
      <c r="CG103" s="1" t="str">
        <f t="shared" si="79"/>
        <v>1998804</v>
      </c>
      <c r="CH103" s="1" t="str">
        <f t="shared" si="80"/>
        <v>98804</v>
      </c>
      <c r="CJ103" s="1">
        <f t="shared" si="81"/>
        <v>622</v>
      </c>
      <c r="CK103" s="1" t="str">
        <f t="shared" si="82"/>
        <v>HM</v>
      </c>
      <c r="CL103" s="1">
        <f t="shared" si="83"/>
        <v>2</v>
      </c>
      <c r="CM103" s="1">
        <f t="shared" si="84"/>
        <v>1</v>
      </c>
      <c r="CN103" s="1">
        <f t="shared" si="85"/>
        <v>0</v>
      </c>
      <c r="CO103" s="1">
        <f t="shared" si="86"/>
        <v>2</v>
      </c>
      <c r="CP103" s="1" t="str">
        <f t="shared" si="87"/>
        <v>622HM21</v>
      </c>
      <c r="CR103" s="1" t="e">
        <f t="shared" si="88"/>
        <v>#VALUE!</v>
      </c>
      <c r="CS103" s="1" t="e">
        <f t="shared" si="89"/>
        <v>#VALUE!</v>
      </c>
      <c r="CT103" s="1">
        <f t="shared" si="90"/>
        <v>6</v>
      </c>
      <c r="CU103" s="1">
        <f t="shared" si="91"/>
        <v>2</v>
      </c>
      <c r="CV103" s="131" t="e">
        <f t="shared" si="92"/>
        <v>#VALUE!</v>
      </c>
      <c r="CW103" s="131">
        <v>1092.3</v>
      </c>
      <c r="CX103" s="131">
        <v>1752.2</v>
      </c>
      <c r="CY103" s="131">
        <v>1754.2</v>
      </c>
      <c r="CZ103" s="131">
        <v>2225.8</v>
      </c>
      <c r="DA103" s="131">
        <v>2292.6</v>
      </c>
      <c r="DC103" s="154">
        <f t="shared" si="93"/>
        <v>653.17005538579</v>
      </c>
      <c r="DD103" s="154">
        <f t="shared" si="94"/>
        <v>-1.19610378766</v>
      </c>
      <c r="DE103" s="154">
        <f t="shared" si="95"/>
        <v>758.01399892978</v>
      </c>
      <c r="DF103" s="1">
        <f t="shared" si="96"/>
        <v>49.2489371132452</v>
      </c>
      <c r="DG103" s="1">
        <f t="shared" si="97"/>
        <v>-0.10492156173251</v>
      </c>
      <c r="DH103" s="1">
        <f t="shared" si="98"/>
        <v>174</v>
      </c>
      <c r="DI103" s="1">
        <f t="shared" si="165"/>
        <v>180</v>
      </c>
      <c r="DJ103" s="1">
        <f t="shared" si="166"/>
        <v>15</v>
      </c>
      <c r="DK103" s="1">
        <f t="shared" si="101"/>
        <v>174</v>
      </c>
      <c r="DL103" s="1">
        <f t="shared" si="102"/>
        <v>180</v>
      </c>
      <c r="DM103" s="1">
        <f t="shared" si="103"/>
        <v>15</v>
      </c>
    </row>
    <row r="104" customHeight="1" spans="1:117">
      <c r="A104" s="152" t="str">
        <f t="shared" si="170"/>
        <v>River 53N-625</v>
      </c>
      <c r="C104" s="55" t="str">
        <f t="shared" si="5"/>
        <v>N 01° 07.6' / E 132° 11.5'</v>
      </c>
      <c r="D104" s="150" t="str">
        <f t="shared" si="6"/>
        <v>696 m</v>
      </c>
      <c r="E104" s="151">
        <f t="shared" si="117"/>
        <v>1737</v>
      </c>
      <c r="F104" s="151">
        <f t="shared" si="118"/>
        <v>1769.3</v>
      </c>
      <c r="G104" s="151">
        <f t="shared" si="119"/>
        <v>969.3</v>
      </c>
      <c r="H104" s="151">
        <f t="shared" si="120"/>
        <v>2282.1</v>
      </c>
      <c r="I104" s="151">
        <f t="shared" si="121"/>
        <v>2238</v>
      </c>
      <c r="J104" s="171">
        <f t="shared" si="122"/>
        <v>1067.3</v>
      </c>
      <c r="K104" s="172">
        <f t="shared" si="171"/>
        <v>-671.95912652879</v>
      </c>
      <c r="L104" s="172">
        <f t="shared" si="172"/>
        <v>741.26646720449</v>
      </c>
      <c r="M104" s="173">
        <f t="shared" si="173"/>
        <v>19.68942692564</v>
      </c>
      <c r="N104" s="54">
        <f t="shared" si="123"/>
        <v>0.0888436506769732</v>
      </c>
      <c r="O104" s="55" t="str">
        <f t="shared" si="124"/>
        <v>Morning / Sets in 91m</v>
      </c>
      <c r="P104" s="55" t="str">
        <f t="shared" si="15"/>
        <v>176°M / +50°</v>
      </c>
      <c r="Q104" s="56">
        <f t="shared" si="125"/>
        <v>45683.8520557041</v>
      </c>
      <c r="R104" s="56">
        <f t="shared" si="126"/>
        <v>45683.8577779262</v>
      </c>
      <c r="S104" s="56">
        <f t="shared" si="127"/>
        <v>45683.730533089</v>
      </c>
      <c r="T104" s="56">
        <f t="shared" si="128"/>
        <v>45683.7749549143</v>
      </c>
      <c r="U104" s="180">
        <f t="shared" si="129"/>
        <v>45683.7806771364</v>
      </c>
      <c r="V104" s="55" t="str">
        <f t="shared" si="130"/>
        <v>Sets in 81m</v>
      </c>
      <c r="W104" s="55" t="str">
        <f t="shared" si="131"/>
        <v>184°M / +64°</v>
      </c>
      <c r="X104" s="56">
        <f t="shared" si="132"/>
        <v>45683.8514768656</v>
      </c>
      <c r="Y104" s="180">
        <f t="shared" si="133"/>
        <v>45683.7676889067</v>
      </c>
      <c r="Z104" s="55" t="str">
        <f t="shared" si="134"/>
        <v>014°M / -18°</v>
      </c>
      <c r="AA104" s="151">
        <f t="shared" si="135"/>
        <v>609.5</v>
      </c>
      <c r="AB104" s="150">
        <f t="shared" si="136"/>
        <v>618.7</v>
      </c>
      <c r="AC104" s="188">
        <v>95</v>
      </c>
      <c r="AD104" s="1" t="b">
        <f t="shared" si="28"/>
        <v>1</v>
      </c>
      <c r="AE104" s="1">
        <f t="shared" si="29"/>
        <v>1.12740905809549</v>
      </c>
      <c r="AF104" s="1">
        <f t="shared" si="30"/>
        <v>132.192352635395</v>
      </c>
      <c r="AG104" s="1">
        <f t="shared" si="31"/>
        <v>132.192352635395</v>
      </c>
      <c r="AH104" s="2">
        <f t="shared" si="137"/>
        <v>0.696116041138453</v>
      </c>
      <c r="AI104" s="1">
        <f t="shared" si="33"/>
        <v>2.13723620687113</v>
      </c>
      <c r="AJ104" s="191">
        <f t="shared" si="168"/>
        <v>0</v>
      </c>
      <c r="AK104" s="191">
        <f t="shared" si="169"/>
        <v>0</v>
      </c>
      <c r="AL104" s="191">
        <f t="shared" si="138"/>
        <v>93.1564515146042</v>
      </c>
      <c r="AM104" s="20">
        <f t="shared" si="139"/>
        <v>39.8072555795071</v>
      </c>
      <c r="AN104" s="191">
        <f t="shared" si="140"/>
        <v>87.1710042047539</v>
      </c>
      <c r="AO104" s="134">
        <f t="shared" si="141"/>
        <v>85</v>
      </c>
      <c r="AP104" s="64">
        <f t="shared" si="38"/>
        <v>67</v>
      </c>
      <c r="AQ104" s="1">
        <f t="shared" si="167"/>
        <v>92.1446622301847</v>
      </c>
      <c r="AR104" s="20">
        <f t="shared" si="142"/>
        <v>25.5815914907315</v>
      </c>
      <c r="AS104" s="1">
        <f t="shared" si="143"/>
        <v>88.8725713210672</v>
      </c>
      <c r="AT104" s="134">
        <f t="shared" si="144"/>
        <v>92</v>
      </c>
      <c r="AU104" s="64">
        <f t="shared" si="145"/>
        <v>80</v>
      </c>
      <c r="AV104" s="65">
        <f t="shared" si="146"/>
        <v>45683.8514768656</v>
      </c>
      <c r="AW104" s="65">
        <f t="shared" si="147"/>
        <v>45683.7676889067</v>
      </c>
      <c r="AX104" s="1">
        <f t="shared" si="148"/>
        <v>283</v>
      </c>
      <c r="AY104" s="1">
        <f t="shared" si="149"/>
        <v>-18</v>
      </c>
      <c r="AZ104" s="131">
        <f t="shared" si="150"/>
        <v>609.5</v>
      </c>
      <c r="BA104" s="1">
        <f t="shared" si="151"/>
        <v>618.7</v>
      </c>
      <c r="BB104" s="1">
        <f t="shared" si="49"/>
        <v>42368849.3130855</v>
      </c>
      <c r="BC104" s="1">
        <f t="shared" si="50"/>
        <v>50</v>
      </c>
      <c r="BD104" s="1">
        <f t="shared" si="152"/>
        <v>57479947.4883253</v>
      </c>
      <c r="BE104" s="1">
        <f t="shared" si="153"/>
        <v>64</v>
      </c>
      <c r="BF104" s="20">
        <f t="shared" si="53"/>
        <v>112.101225200503</v>
      </c>
      <c r="BG104" s="1">
        <f t="shared" si="154"/>
        <v>-926.986065208024</v>
      </c>
      <c r="BH104" s="1">
        <f t="shared" si="155"/>
        <v>-376.433099019341</v>
      </c>
      <c r="BI104" s="1">
        <f t="shared" si="156"/>
        <v>19.68942692564</v>
      </c>
      <c r="BJ104" s="1">
        <f t="shared" si="157"/>
        <v>-926.986065208024</v>
      </c>
      <c r="BK104" s="1">
        <f t="shared" si="158"/>
        <v>-376.433099019341</v>
      </c>
      <c r="BL104" s="1">
        <f t="shared" si="159"/>
        <v>19.68942692564</v>
      </c>
      <c r="BM104" s="61">
        <f t="shared" si="160"/>
        <v>22461158.2664194</v>
      </c>
      <c r="BN104" s="61">
        <f t="shared" si="161"/>
        <v>37185368.5317311</v>
      </c>
      <c r="BO104" s="61">
        <f t="shared" si="162"/>
        <v>19.68942692564</v>
      </c>
      <c r="BQ104" s="1" t="str">
        <f t="shared" si="63"/>
        <v>N 01° 07.6' / E 132° 11.5'</v>
      </c>
      <c r="BR104" s="1" t="str">
        <f t="shared" si="64"/>
        <v>53N 451006 019692</v>
      </c>
      <c r="BS104" s="1" t="str">
        <f t="shared" si="65"/>
        <v>53N MA 510196</v>
      </c>
      <c r="BT104" s="1" t="b">
        <f t="shared" si="66"/>
        <v>0</v>
      </c>
      <c r="BU104" s="1" t="str">
        <f t="shared" si="67"/>
        <v>53N</v>
      </c>
      <c r="BV104" s="1">
        <f t="shared" si="68"/>
        <v>53</v>
      </c>
      <c r="BW104" s="1">
        <f t="shared" si="69"/>
        <v>0</v>
      </c>
      <c r="BX104" s="1">
        <f t="shared" si="70"/>
        <v>135</v>
      </c>
      <c r="BY104" s="1">
        <f t="shared" si="163"/>
        <v>-48993.2035653244</v>
      </c>
      <c r="BZ104" s="1">
        <f t="shared" si="72"/>
        <v>451006.7964</v>
      </c>
      <c r="CA104" s="1" t="str">
        <f t="shared" si="73"/>
        <v>M</v>
      </c>
      <c r="CB104" s="1" t="str">
        <f t="shared" si="74"/>
        <v>451006</v>
      </c>
      <c r="CC104" s="1" t="str">
        <f t="shared" si="75"/>
        <v>51006</v>
      </c>
      <c r="CD104" s="1">
        <f t="shared" si="164"/>
        <v>19692.7622022323</v>
      </c>
      <c r="CE104" s="1">
        <f t="shared" si="77"/>
        <v>19692.7622</v>
      </c>
      <c r="CF104" s="1" t="str">
        <f t="shared" si="78"/>
        <v>A</v>
      </c>
      <c r="CG104" s="1" t="str">
        <f t="shared" si="79"/>
        <v>019692</v>
      </c>
      <c r="CH104" s="1" t="str">
        <f t="shared" si="80"/>
        <v>19692</v>
      </c>
      <c r="CJ104" s="1">
        <f t="shared" si="81"/>
        <v>625</v>
      </c>
      <c r="CK104" s="1" t="str">
        <f t="shared" si="82"/>
        <v>HQ</v>
      </c>
      <c r="CL104" s="1">
        <f t="shared" si="83"/>
        <v>3</v>
      </c>
      <c r="CM104" s="1">
        <f t="shared" si="84"/>
        <v>6</v>
      </c>
      <c r="CN104" s="1">
        <f t="shared" si="85"/>
        <v>2</v>
      </c>
      <c r="CO104" s="1">
        <f t="shared" si="86"/>
        <v>1</v>
      </c>
      <c r="CP104" s="1" t="str">
        <f t="shared" si="87"/>
        <v>625HQ36</v>
      </c>
      <c r="CR104" s="1" t="e">
        <f t="shared" si="88"/>
        <v>#VALUE!</v>
      </c>
      <c r="CS104" s="1" t="e">
        <f t="shared" si="89"/>
        <v>#VALUE!</v>
      </c>
      <c r="CT104" s="1">
        <f t="shared" si="90"/>
        <v>6</v>
      </c>
      <c r="CU104" s="1">
        <f t="shared" si="91"/>
        <v>1</v>
      </c>
      <c r="CV104" s="131" t="e">
        <f t="shared" si="92"/>
        <v>#VALUE!</v>
      </c>
      <c r="CW104" s="131">
        <v>1067.3</v>
      </c>
      <c r="CX104" s="131">
        <v>1737</v>
      </c>
      <c r="CY104" s="131">
        <v>1769.3</v>
      </c>
      <c r="CZ104" s="131">
        <v>2238</v>
      </c>
      <c r="DA104" s="131">
        <v>2282.1</v>
      </c>
      <c r="DC104" s="154">
        <f t="shared" si="93"/>
        <v>671.95912652879</v>
      </c>
      <c r="DD104" s="154">
        <f t="shared" si="94"/>
        <v>19.68942692564</v>
      </c>
      <c r="DE104" s="154">
        <f t="shared" si="95"/>
        <v>741.26646720449</v>
      </c>
      <c r="DF104" s="1">
        <f t="shared" si="96"/>
        <v>47.7954131314385</v>
      </c>
      <c r="DG104" s="1">
        <f t="shared" si="97"/>
        <v>1.6783734680898</v>
      </c>
      <c r="DH104" s="1">
        <f t="shared" si="98"/>
        <v>176</v>
      </c>
      <c r="DI104" s="1">
        <f t="shared" si="165"/>
        <v>184</v>
      </c>
      <c r="DJ104" s="1">
        <f t="shared" si="166"/>
        <v>14</v>
      </c>
      <c r="DK104" s="1">
        <f t="shared" si="101"/>
        <v>176</v>
      </c>
      <c r="DL104" s="1">
        <f t="shared" si="102"/>
        <v>184</v>
      </c>
      <c r="DM104" s="1">
        <f t="shared" si="103"/>
        <v>14</v>
      </c>
    </row>
    <row r="105" customHeight="1" spans="1:117">
      <c r="A105" s="152" t="str">
        <f t="shared" si="170"/>
        <v>River 53N-627</v>
      </c>
      <c r="C105" s="55" t="str">
        <f t="shared" si="5"/>
        <v>N 00° 23.5' / E 133° 00.0'</v>
      </c>
      <c r="D105" s="150" t="str">
        <f t="shared" si="6"/>
        <v>421 m</v>
      </c>
      <c r="E105" s="151">
        <f t="shared" si="117"/>
        <v>1747.4</v>
      </c>
      <c r="F105" s="151">
        <f t="shared" si="118"/>
        <v>1758.7</v>
      </c>
      <c r="G105" s="151">
        <f t="shared" si="119"/>
        <v>983.2</v>
      </c>
      <c r="H105" s="151">
        <f t="shared" si="120"/>
        <v>2275.9</v>
      </c>
      <c r="I105" s="151">
        <f t="shared" si="121"/>
        <v>2244.5</v>
      </c>
      <c r="J105" s="171">
        <f t="shared" si="122"/>
        <v>1053</v>
      </c>
      <c r="K105" s="172">
        <f t="shared" si="171"/>
        <v>-682.27331957135</v>
      </c>
      <c r="L105" s="172">
        <f t="shared" si="172"/>
        <v>731.64156839804</v>
      </c>
      <c r="M105" s="173">
        <f t="shared" si="173"/>
        <v>6.84236910808</v>
      </c>
      <c r="N105" s="54">
        <f t="shared" si="123"/>
        <v>0.0883430066580528</v>
      </c>
      <c r="O105" s="55" t="str">
        <f t="shared" si="124"/>
        <v>Morning / Sets in 90m</v>
      </c>
      <c r="P105" s="55" t="str">
        <f t="shared" si="15"/>
        <v>175°M / +51°</v>
      </c>
      <c r="Q105" s="56">
        <f t="shared" si="125"/>
        <v>45683.8519207677</v>
      </c>
      <c r="R105" s="56">
        <f t="shared" si="126"/>
        <v>45683.8576429898</v>
      </c>
      <c r="S105" s="56">
        <f t="shared" si="127"/>
        <v>45683.7301478307</v>
      </c>
      <c r="T105" s="56">
        <f t="shared" si="128"/>
        <v>45683.774319334</v>
      </c>
      <c r="U105" s="180">
        <f t="shared" si="129"/>
        <v>45683.7800415561</v>
      </c>
      <c r="V105" s="55" t="str">
        <f t="shared" si="130"/>
        <v>Sets in 80m</v>
      </c>
      <c r="W105" s="55" t="str">
        <f t="shared" si="131"/>
        <v>181°M / +65°</v>
      </c>
      <c r="X105" s="56">
        <f t="shared" si="132"/>
        <v>45683.8513176671</v>
      </c>
      <c r="Y105" s="180">
        <f t="shared" si="133"/>
        <v>45683.7670775885</v>
      </c>
      <c r="Z105" s="55" t="str">
        <f t="shared" si="134"/>
        <v>014°M / -18°</v>
      </c>
      <c r="AA105" s="151">
        <f t="shared" si="135"/>
        <v>625.3</v>
      </c>
      <c r="AB105" s="150">
        <f t="shared" si="136"/>
        <v>635.4</v>
      </c>
      <c r="AC105" s="188">
        <v>96</v>
      </c>
      <c r="AD105" s="1" t="b">
        <f t="shared" si="28"/>
        <v>1</v>
      </c>
      <c r="AE105" s="1">
        <f t="shared" si="29"/>
        <v>0.391876770377699</v>
      </c>
      <c r="AF105" s="1">
        <f t="shared" si="30"/>
        <v>133.000273076631</v>
      </c>
      <c r="AG105" s="1">
        <f t="shared" si="31"/>
        <v>133.000273076631</v>
      </c>
      <c r="AH105" s="2">
        <f t="shared" si="137"/>
        <v>0.421453799279902</v>
      </c>
      <c r="AI105" s="1">
        <f t="shared" si="33"/>
        <v>1.6631689415753</v>
      </c>
      <c r="AJ105" s="191">
        <f t="shared" si="168"/>
        <v>0</v>
      </c>
      <c r="AK105" s="191">
        <f t="shared" si="169"/>
        <v>0</v>
      </c>
      <c r="AL105" s="191">
        <f t="shared" si="138"/>
        <v>92.6315043752278</v>
      </c>
      <c r="AM105" s="20">
        <f t="shared" si="139"/>
        <v>38.9993351382712</v>
      </c>
      <c r="AN105" s="191">
        <f t="shared" si="140"/>
        <v>86.4354545978131</v>
      </c>
      <c r="AO105" s="134">
        <f t="shared" si="141"/>
        <v>84</v>
      </c>
      <c r="AP105" s="64">
        <f t="shared" si="38"/>
        <v>67</v>
      </c>
      <c r="AQ105" s="1">
        <f t="shared" si="167"/>
        <v>91.6705949648889</v>
      </c>
      <c r="AR105" s="20">
        <f t="shared" si="142"/>
        <v>24.7736710494956</v>
      </c>
      <c r="AS105" s="1">
        <f t="shared" si="143"/>
        <v>89.6081164274567</v>
      </c>
      <c r="AT105" s="134">
        <f t="shared" si="144"/>
        <v>91</v>
      </c>
      <c r="AU105" s="64">
        <f t="shared" si="145"/>
        <v>81</v>
      </c>
      <c r="AV105" s="65">
        <f t="shared" si="146"/>
        <v>45683.8513176671</v>
      </c>
      <c r="AW105" s="65">
        <f t="shared" si="147"/>
        <v>45683.7670775885</v>
      </c>
      <c r="AX105" s="1">
        <f t="shared" si="148"/>
        <v>284</v>
      </c>
      <c r="AY105" s="1">
        <f t="shared" si="149"/>
        <v>-18</v>
      </c>
      <c r="AZ105" s="131">
        <f t="shared" si="150"/>
        <v>625.3</v>
      </c>
      <c r="BA105" s="1">
        <f t="shared" si="151"/>
        <v>635.4</v>
      </c>
      <c r="BB105" s="1">
        <f t="shared" si="49"/>
        <v>42368841.3462668</v>
      </c>
      <c r="BC105" s="1">
        <f t="shared" si="50"/>
        <v>51</v>
      </c>
      <c r="BD105" s="1">
        <f t="shared" si="152"/>
        <v>57479941.5811243</v>
      </c>
      <c r="BE105" s="1">
        <f t="shared" si="153"/>
        <v>65</v>
      </c>
      <c r="BF105" s="20">
        <f t="shared" si="53"/>
        <v>112.909145641739</v>
      </c>
      <c r="BG105" s="1">
        <f t="shared" si="154"/>
        <v>-921.489938414779</v>
      </c>
      <c r="BH105" s="1">
        <f t="shared" si="155"/>
        <v>-389.425937255315</v>
      </c>
      <c r="BI105" s="1">
        <f t="shared" si="156"/>
        <v>6.84236910808</v>
      </c>
      <c r="BJ105" s="1">
        <f t="shared" si="157"/>
        <v>-921.489938414779</v>
      </c>
      <c r="BK105" s="1">
        <f t="shared" si="158"/>
        <v>-389.425937255315</v>
      </c>
      <c r="BL105" s="1">
        <f t="shared" si="159"/>
        <v>6.84236910808</v>
      </c>
      <c r="BM105" s="61">
        <f t="shared" si="160"/>
        <v>22461163.7625462</v>
      </c>
      <c r="BN105" s="61">
        <f t="shared" si="161"/>
        <v>37185355.5388928</v>
      </c>
      <c r="BO105" s="61">
        <f t="shared" si="162"/>
        <v>6.84236910808</v>
      </c>
      <c r="BQ105" s="1" t="str">
        <f t="shared" si="63"/>
        <v>N 00° 23.5' / E 133° 00.0'</v>
      </c>
      <c r="BR105" s="1" t="str">
        <f t="shared" si="64"/>
        <v>53N 465105 006840</v>
      </c>
      <c r="BS105" s="1" t="str">
        <f t="shared" si="65"/>
        <v>53N MA 651068</v>
      </c>
      <c r="BT105" s="1" t="b">
        <f t="shared" si="66"/>
        <v>0</v>
      </c>
      <c r="BU105" s="1" t="str">
        <f t="shared" si="67"/>
        <v>53N</v>
      </c>
      <c r="BV105" s="1">
        <f t="shared" si="68"/>
        <v>53</v>
      </c>
      <c r="BW105" s="1">
        <f t="shared" si="69"/>
        <v>0</v>
      </c>
      <c r="BX105" s="1">
        <f t="shared" si="70"/>
        <v>135</v>
      </c>
      <c r="BY105" s="1">
        <f t="shared" si="163"/>
        <v>-34894.1265747408</v>
      </c>
      <c r="BZ105" s="1">
        <f t="shared" si="72"/>
        <v>465105.8734</v>
      </c>
      <c r="CA105" s="1" t="str">
        <f t="shared" si="73"/>
        <v>M</v>
      </c>
      <c r="CB105" s="1" t="str">
        <f t="shared" si="74"/>
        <v>465105</v>
      </c>
      <c r="CC105" s="1" t="str">
        <f t="shared" si="75"/>
        <v>65105</v>
      </c>
      <c r="CD105" s="1">
        <f t="shared" si="164"/>
        <v>6840.97015561794</v>
      </c>
      <c r="CE105" s="1">
        <f t="shared" si="77"/>
        <v>6840.9702</v>
      </c>
      <c r="CF105" s="1" t="str">
        <f t="shared" si="78"/>
        <v>A</v>
      </c>
      <c r="CG105" s="1" t="str">
        <f t="shared" si="79"/>
        <v>006840</v>
      </c>
      <c r="CH105" s="1" t="str">
        <f t="shared" si="80"/>
        <v>06840</v>
      </c>
      <c r="CJ105" s="1">
        <f t="shared" si="81"/>
        <v>627</v>
      </c>
      <c r="CK105" s="1" t="str">
        <f t="shared" si="82"/>
        <v>HN</v>
      </c>
      <c r="CL105" s="1">
        <f t="shared" si="83"/>
        <v>1</v>
      </c>
      <c r="CM105" s="1">
        <f t="shared" si="84"/>
        <v>4</v>
      </c>
      <c r="CN105" s="1">
        <f t="shared" si="85"/>
        <v>0</v>
      </c>
      <c r="CO105" s="1">
        <f t="shared" si="86"/>
        <v>1</v>
      </c>
      <c r="CP105" s="1" t="str">
        <f t="shared" si="87"/>
        <v>627HN14</v>
      </c>
      <c r="CR105" s="1" t="e">
        <f t="shared" si="88"/>
        <v>#VALUE!</v>
      </c>
      <c r="CS105" s="1" t="e">
        <f t="shared" si="89"/>
        <v>#VALUE!</v>
      </c>
      <c r="CT105" s="1">
        <f t="shared" si="90"/>
        <v>6</v>
      </c>
      <c r="CU105" s="1">
        <f t="shared" si="91"/>
        <v>1</v>
      </c>
      <c r="CV105" s="131" t="e">
        <f t="shared" si="92"/>
        <v>#VALUE!</v>
      </c>
      <c r="CW105" s="131">
        <v>1053</v>
      </c>
      <c r="CX105" s="131">
        <v>1747.4</v>
      </c>
      <c r="CY105" s="131">
        <v>1758.7</v>
      </c>
      <c r="CZ105" s="131">
        <v>2244.5</v>
      </c>
      <c r="DA105" s="131">
        <v>2275.9</v>
      </c>
      <c r="DC105" s="154">
        <f t="shared" si="93"/>
        <v>682.27331957135</v>
      </c>
      <c r="DD105" s="154">
        <f t="shared" si="94"/>
        <v>6.84236910808</v>
      </c>
      <c r="DE105" s="154">
        <f t="shared" si="95"/>
        <v>731.64156839804</v>
      </c>
      <c r="DF105" s="1">
        <f t="shared" si="96"/>
        <v>46.9982898502607</v>
      </c>
      <c r="DG105" s="1">
        <f t="shared" si="97"/>
        <v>0.574587512102782</v>
      </c>
      <c r="DH105" s="1">
        <f t="shared" si="98"/>
        <v>175</v>
      </c>
      <c r="DI105" s="1">
        <f t="shared" si="165"/>
        <v>181</v>
      </c>
      <c r="DJ105" s="1">
        <f t="shared" si="166"/>
        <v>14</v>
      </c>
      <c r="DK105" s="1">
        <f t="shared" si="101"/>
        <v>175</v>
      </c>
      <c r="DL105" s="1">
        <f t="shared" si="102"/>
        <v>181</v>
      </c>
      <c r="DM105" s="1">
        <f t="shared" si="103"/>
        <v>14</v>
      </c>
    </row>
    <row r="106" customHeight="1" spans="1:117">
      <c r="A106" s="152" t="str">
        <f t="shared" si="170"/>
        <v>River 53N-628</v>
      </c>
      <c r="C106" s="55" t="str">
        <f t="shared" si="5"/>
        <v>N 07° 16.0' / E 133° 59.0'</v>
      </c>
      <c r="D106" s="150" t="str">
        <f t="shared" si="6"/>
        <v>1821 m</v>
      </c>
      <c r="E106" s="151">
        <f t="shared" si="117"/>
        <v>1646.6</v>
      </c>
      <c r="F106" s="151">
        <f t="shared" si="118"/>
        <v>1855</v>
      </c>
      <c r="G106" s="151">
        <f t="shared" si="119"/>
        <v>1008.6</v>
      </c>
      <c r="H106" s="151">
        <f t="shared" si="120"/>
        <v>2266</v>
      </c>
      <c r="I106" s="151">
        <f t="shared" si="121"/>
        <v>2250.1</v>
      </c>
      <c r="J106" s="171">
        <f t="shared" si="122"/>
        <v>1043.6</v>
      </c>
      <c r="K106" s="172">
        <f t="shared" si="171"/>
        <v>-690.11601783916</v>
      </c>
      <c r="L106" s="172">
        <f t="shared" si="172"/>
        <v>715.07065117631</v>
      </c>
      <c r="M106" s="173">
        <f t="shared" si="173"/>
        <v>126.72312525077</v>
      </c>
      <c r="N106" s="54">
        <f t="shared" si="123"/>
        <v>0.0905078814185829</v>
      </c>
      <c r="O106" s="55" t="str">
        <f t="shared" si="124"/>
        <v>Morning / Sets in 91m</v>
      </c>
      <c r="P106" s="55" t="str">
        <f t="shared" si="15"/>
        <v>190°M / +52°</v>
      </c>
      <c r="Q106" s="56">
        <f t="shared" si="125"/>
        <v>45683.8503699087</v>
      </c>
      <c r="R106" s="56">
        <f t="shared" si="126"/>
        <v>45683.8560921307</v>
      </c>
      <c r="S106" s="56">
        <f t="shared" si="127"/>
        <v>45683.729679409</v>
      </c>
      <c r="T106" s="56">
        <f t="shared" si="128"/>
        <v>45683.7749333497</v>
      </c>
      <c r="U106" s="180">
        <f t="shared" si="129"/>
        <v>45683.7806555717</v>
      </c>
      <c r="V106" s="55" t="str">
        <f t="shared" si="130"/>
        <v>Sets in 81m</v>
      </c>
      <c r="W106" s="55" t="str">
        <f t="shared" si="131"/>
        <v>203°M / +65°</v>
      </c>
      <c r="X106" s="56">
        <f t="shared" si="132"/>
        <v>45683.8499948422</v>
      </c>
      <c r="Y106" s="180">
        <f t="shared" si="133"/>
        <v>45683.76746357</v>
      </c>
      <c r="Z106" s="55" t="str">
        <f t="shared" si="134"/>
        <v>012°M / -18°</v>
      </c>
      <c r="AA106" s="151">
        <f t="shared" si="135"/>
        <v>623.4</v>
      </c>
      <c r="AB106" s="150">
        <f t="shared" si="136"/>
        <v>632.9</v>
      </c>
      <c r="AC106" s="188">
        <v>97</v>
      </c>
      <c r="AD106" s="1" t="b">
        <f t="shared" si="28"/>
        <v>1</v>
      </c>
      <c r="AE106" s="1">
        <f t="shared" si="29"/>
        <v>7.26697172340181</v>
      </c>
      <c r="AF106" s="1">
        <f t="shared" si="30"/>
        <v>133.982594327282</v>
      </c>
      <c r="AG106" s="1">
        <f t="shared" si="31"/>
        <v>133.982594327282</v>
      </c>
      <c r="AH106" s="2">
        <f t="shared" si="137"/>
        <v>1.82079471590839</v>
      </c>
      <c r="AI106" s="1">
        <f t="shared" si="33"/>
        <v>3.45492719742245</v>
      </c>
      <c r="AJ106" s="191">
        <f t="shared" ref="AJ106:AJ137" si="174">IF(ListMethodCode,_xlfn.IFNA(VLOOKUP(CONCATENATE(BodyName," ",IF(AC106&lt;10,"0",""),AC106),DatabaseOutpost,13,FALSE),""),_xlfn.IFNA(VLOOKUP(CONCATENATE(BodyName," ",IF(AC106&lt;10,"0",""),AC106),DatabaseTime,12,FALSE),""))</f>
        <v>0</v>
      </c>
      <c r="AK106" s="191">
        <f t="shared" ref="AK106:AK137" si="175">IF(ListMethodCode,_xlfn.IFNA(VLOOKUP(CONCATENATE(BodyName," ",IF(AC106&lt;10,"0",""),AC106),DatabaseOutpost,14,FALSE),""),_xlfn.IFNA(VLOOKUP(CONCATENATE(BodyName," ",IF(AC106&lt;10,"0",""),AC106),DatabaseTime,13,FALSE),""))</f>
        <v>0</v>
      </c>
      <c r="AL106" s="191">
        <f t="shared" si="138"/>
        <v>94.9014701986469</v>
      </c>
      <c r="AM106" s="20">
        <f t="shared" si="139"/>
        <v>38.0170138876204</v>
      </c>
      <c r="AN106" s="191">
        <f t="shared" si="140"/>
        <v>86.6892881049052</v>
      </c>
      <c r="AO106" s="134">
        <f t="shared" si="141"/>
        <v>93</v>
      </c>
      <c r="AP106" s="64">
        <f t="shared" si="38"/>
        <v>68</v>
      </c>
      <c r="AQ106" s="1">
        <f t="shared" si="167"/>
        <v>93.462353220736</v>
      </c>
      <c r="AR106" s="20">
        <f t="shared" si="142"/>
        <v>23.7913497988447</v>
      </c>
      <c r="AS106" s="1">
        <f t="shared" si="143"/>
        <v>82.7329019576708</v>
      </c>
      <c r="AT106" s="134">
        <f t="shared" si="144"/>
        <v>106</v>
      </c>
      <c r="AU106" s="64">
        <f t="shared" si="145"/>
        <v>76</v>
      </c>
      <c r="AV106" s="65">
        <f t="shared" si="146"/>
        <v>45683.8499948422</v>
      </c>
      <c r="AW106" s="65">
        <f t="shared" si="147"/>
        <v>45683.76746357</v>
      </c>
      <c r="AX106" s="1">
        <f t="shared" si="148"/>
        <v>275</v>
      </c>
      <c r="AY106" s="1">
        <f t="shared" si="149"/>
        <v>-18</v>
      </c>
      <c r="AZ106" s="131">
        <f t="shared" si="150"/>
        <v>623.4</v>
      </c>
      <c r="BA106" s="1">
        <f t="shared" si="151"/>
        <v>632.9</v>
      </c>
      <c r="BB106" s="1">
        <f t="shared" si="49"/>
        <v>42368827.6277055</v>
      </c>
      <c r="BC106" s="1">
        <f t="shared" si="50"/>
        <v>52</v>
      </c>
      <c r="BD106" s="1">
        <f t="shared" si="152"/>
        <v>57479940.5893026</v>
      </c>
      <c r="BE106" s="1">
        <f t="shared" si="153"/>
        <v>65</v>
      </c>
      <c r="BF106" s="20">
        <f t="shared" si="53"/>
        <v>113.89146689239</v>
      </c>
      <c r="BG106" s="1">
        <f t="shared" si="154"/>
        <v>-908.621482365783</v>
      </c>
      <c r="BH106" s="1">
        <f t="shared" si="155"/>
        <v>-402.48373387666</v>
      </c>
      <c r="BI106" s="1">
        <f t="shared" si="156"/>
        <v>126.72312525077</v>
      </c>
      <c r="BJ106" s="1">
        <f t="shared" si="157"/>
        <v>-908.621482365783</v>
      </c>
      <c r="BK106" s="1">
        <f t="shared" si="158"/>
        <v>-402.48373387666</v>
      </c>
      <c r="BL106" s="1">
        <f t="shared" si="159"/>
        <v>126.72312525077</v>
      </c>
      <c r="BM106" s="61">
        <f t="shared" si="160"/>
        <v>22461176.6310022</v>
      </c>
      <c r="BN106" s="61">
        <f t="shared" si="161"/>
        <v>37185342.4810962</v>
      </c>
      <c r="BO106" s="61">
        <f t="shared" si="162"/>
        <v>126.72312525077</v>
      </c>
      <c r="BQ106" s="1" t="str">
        <f t="shared" si="63"/>
        <v>N 07° 16.0' / E 133° 59.0'</v>
      </c>
      <c r="BR106" s="1" t="str">
        <f t="shared" si="64"/>
        <v>53N 482391 126801</v>
      </c>
      <c r="BS106" s="1" t="str">
        <f t="shared" si="65"/>
        <v>53N MB 823268</v>
      </c>
      <c r="BT106" s="1" t="b">
        <f t="shared" si="66"/>
        <v>0</v>
      </c>
      <c r="BU106" s="1" t="str">
        <f t="shared" si="67"/>
        <v>53N</v>
      </c>
      <c r="BV106" s="1">
        <f t="shared" si="68"/>
        <v>53</v>
      </c>
      <c r="BW106" s="1">
        <f t="shared" si="69"/>
        <v>0</v>
      </c>
      <c r="BX106" s="1">
        <f t="shared" si="70"/>
        <v>135</v>
      </c>
      <c r="BY106" s="1">
        <f t="shared" si="163"/>
        <v>-17608.2955031102</v>
      </c>
      <c r="BZ106" s="1">
        <f t="shared" si="72"/>
        <v>482391.7045</v>
      </c>
      <c r="CA106" s="1" t="str">
        <f t="shared" si="73"/>
        <v>M</v>
      </c>
      <c r="CB106" s="1" t="str">
        <f t="shared" si="74"/>
        <v>482391</v>
      </c>
      <c r="CC106" s="1" t="str">
        <f t="shared" si="75"/>
        <v>82391</v>
      </c>
      <c r="CD106" s="1">
        <f t="shared" si="164"/>
        <v>126801.627104512</v>
      </c>
      <c r="CE106" s="1">
        <f t="shared" si="77"/>
        <v>126801.6271</v>
      </c>
      <c r="CF106" s="1" t="str">
        <f t="shared" si="78"/>
        <v>B</v>
      </c>
      <c r="CG106" s="1" t="str">
        <f t="shared" si="79"/>
        <v>126801</v>
      </c>
      <c r="CH106" s="1" t="str">
        <f t="shared" si="80"/>
        <v>26801</v>
      </c>
      <c r="CJ106" s="1">
        <f t="shared" si="81"/>
        <v>628</v>
      </c>
      <c r="CK106" s="1" t="str">
        <f t="shared" si="82"/>
        <v>JC</v>
      </c>
      <c r="CL106" s="1">
        <f t="shared" si="83"/>
        <v>2</v>
      </c>
      <c r="CM106" s="1">
        <f t="shared" si="84"/>
        <v>9</v>
      </c>
      <c r="CN106" s="1">
        <f t="shared" si="85"/>
        <v>2</v>
      </c>
      <c r="CO106" s="1">
        <f t="shared" si="86"/>
        <v>0</v>
      </c>
      <c r="CP106" s="1" t="str">
        <f t="shared" si="87"/>
        <v>628JC29</v>
      </c>
      <c r="CR106" s="1" t="e">
        <f t="shared" si="88"/>
        <v>#VALUE!</v>
      </c>
      <c r="CS106" s="1" t="e">
        <f t="shared" si="89"/>
        <v>#VALUE!</v>
      </c>
      <c r="CT106" s="1">
        <f t="shared" si="90"/>
        <v>6</v>
      </c>
      <c r="CU106" s="1">
        <f t="shared" si="91"/>
        <v>1</v>
      </c>
      <c r="CV106" s="131" t="e">
        <f t="shared" si="92"/>
        <v>#VALUE!</v>
      </c>
      <c r="CW106" s="131">
        <v>1043.6</v>
      </c>
      <c r="CX106" s="131">
        <v>1646.6</v>
      </c>
      <c r="CY106" s="131">
        <v>1855</v>
      </c>
      <c r="CZ106" s="131">
        <v>2250.1</v>
      </c>
      <c r="DA106" s="131">
        <v>2266</v>
      </c>
      <c r="DC106" s="154">
        <f t="shared" si="93"/>
        <v>690.11601783916</v>
      </c>
      <c r="DD106" s="154">
        <f t="shared" si="94"/>
        <v>126.72312525077</v>
      </c>
      <c r="DE106" s="154">
        <f t="shared" si="95"/>
        <v>715.07065117631</v>
      </c>
      <c r="DF106" s="1">
        <f t="shared" si="96"/>
        <v>45.5425701799507</v>
      </c>
      <c r="DG106" s="1">
        <f t="shared" si="97"/>
        <v>10.4050707264944</v>
      </c>
      <c r="DH106" s="1">
        <f t="shared" si="98"/>
        <v>190</v>
      </c>
      <c r="DI106" s="1">
        <f t="shared" si="165"/>
        <v>203</v>
      </c>
      <c r="DJ106" s="1">
        <f t="shared" si="166"/>
        <v>12</v>
      </c>
      <c r="DK106" s="1">
        <f t="shared" si="101"/>
        <v>190</v>
      </c>
      <c r="DL106" s="1">
        <f t="shared" si="102"/>
        <v>203</v>
      </c>
      <c r="DM106" s="1">
        <f t="shared" si="103"/>
        <v>12</v>
      </c>
    </row>
    <row r="107" customHeight="1" spans="1:117">
      <c r="A107" s="152" t="str">
        <f t="shared" ref="A107:A138" si="176">IF(ListMethodCode,_xlfn.IFNA(VLOOKUP(CONCATENATE(BodyName," ",IF(AC107&lt;10,"0",""),AC107),DatabaseOutpost,3,FALSE),""),_xlfn.IFNA(VLOOKUP(CONCATENATE(BodyName," ",IF(AC107&lt;10,"0",""),AC107),DatabaseTime,2,FALSE),""))</f>
        <v>River 53N-630</v>
      </c>
      <c r="C107" s="55" t="str">
        <f t="shared" si="5"/>
        <v>N 00° 13.7' / E 134° 56.4'</v>
      </c>
      <c r="D107" s="150" t="str">
        <f t="shared" si="6"/>
        <v>911 m</v>
      </c>
      <c r="E107" s="151">
        <f t="shared" si="117"/>
        <v>1750.1</v>
      </c>
      <c r="F107" s="151">
        <f t="shared" si="118"/>
        <v>1756.6</v>
      </c>
      <c r="G107" s="151">
        <f t="shared" si="119"/>
        <v>1017.1</v>
      </c>
      <c r="H107" s="151">
        <f t="shared" si="120"/>
        <v>2261.4</v>
      </c>
      <c r="I107" s="151">
        <f t="shared" si="121"/>
        <v>2260.5</v>
      </c>
      <c r="J107" s="171">
        <f t="shared" si="122"/>
        <v>1019.1</v>
      </c>
      <c r="K107" s="172">
        <f t="shared" ref="K107:K138" si="177">IF(ListMethodCode,_xlfn.IFNA(VLOOKUP(CONCATENATE(BodyName," ",IF(AC107&lt;10,"0",""),AC107),DatabaseOutpost,5,FALSE),""),_xlfn.IFNA(VLOOKUP(CONCATENATE(BodyName," ",IF(AC107&lt;10,"0",""),AC107),DatabaseTime,4,FALSE),""))</f>
        <v>-707.00629584817</v>
      </c>
      <c r="L107" s="172">
        <f t="shared" ref="L107:L138" si="178">IF(ListMethodCode,_xlfn.IFNA(VLOOKUP(CONCATENATE(BodyName," ",IF(AC107&lt;10,"0",""),AC107),DatabaseOutpost,6,FALSE),""),_xlfn.IFNA(VLOOKUP(CONCATENATE(BodyName," ",IF(AC107&lt;10,"0",""),AC107),DatabaseTime,5,FALSE),""))</f>
        <v>708.48388936968</v>
      </c>
      <c r="M107" s="173">
        <f t="shared" ref="M107:M138" si="179">IF(ListMethodCode,_xlfn.IFNA(VLOOKUP(CONCATENATE(BodyName," ",IF(AC107&lt;10,"0",""),AC107),DatabaseOutpost,7,FALSE),""),_xlfn.IFNA(VLOOKUP(CONCATENATE(BodyName," ",IF(AC107&lt;10,"0",""),AC107),DatabaseTime,6,FALSE),""))</f>
        <v>3.99330654078</v>
      </c>
      <c r="N107" s="54">
        <f t="shared" si="123"/>
        <v>0.0890779012539561</v>
      </c>
      <c r="O107" s="55" t="str">
        <f t="shared" si="124"/>
        <v>Morning / Sets in 90m</v>
      </c>
      <c r="P107" s="55" t="str">
        <f t="shared" si="15"/>
        <v>174°M / +53°</v>
      </c>
      <c r="Q107" s="56">
        <f t="shared" si="125"/>
        <v>45683.8506282673</v>
      </c>
      <c r="R107" s="56">
        <f t="shared" si="126"/>
        <v>45683.8563504894</v>
      </c>
      <c r="S107" s="56">
        <f t="shared" si="127"/>
        <v>45683.7292227775</v>
      </c>
      <c r="T107" s="56">
        <f t="shared" si="128"/>
        <v>45683.7737617281</v>
      </c>
      <c r="U107" s="180">
        <f t="shared" si="129"/>
        <v>45683.7794839502</v>
      </c>
      <c r="V107" s="55" t="str">
        <f t="shared" si="130"/>
        <v>Sets in 79m</v>
      </c>
      <c r="W107" s="55" t="str">
        <f t="shared" si="131"/>
        <v>181°M / +67°</v>
      </c>
      <c r="X107" s="56">
        <f t="shared" si="132"/>
        <v>45683.8500197815</v>
      </c>
      <c r="Y107" s="180">
        <f t="shared" si="133"/>
        <v>45683.7665253678</v>
      </c>
      <c r="Z107" s="55" t="str">
        <f t="shared" si="134"/>
        <v>014°M / -19°</v>
      </c>
      <c r="AA107" s="151">
        <f t="shared" si="135"/>
        <v>657.3</v>
      </c>
      <c r="AB107" s="150">
        <f t="shared" si="136"/>
        <v>669</v>
      </c>
      <c r="AC107" s="188">
        <v>98</v>
      </c>
      <c r="AD107" s="1" t="b">
        <f t="shared" si="28"/>
        <v>1</v>
      </c>
      <c r="AE107" s="1">
        <f t="shared" si="29"/>
        <v>0.228591920543915</v>
      </c>
      <c r="AF107" s="1">
        <f t="shared" si="30"/>
        <v>134.940190442327</v>
      </c>
      <c r="AG107" s="1">
        <f t="shared" si="31"/>
        <v>134.940190442327</v>
      </c>
      <c r="AH107" s="2">
        <f t="shared" si="137"/>
        <v>0.91122002027123</v>
      </c>
      <c r="AI107" s="1">
        <f t="shared" si="33"/>
        <v>2.44503134754868</v>
      </c>
      <c r="AJ107" s="191">
        <f t="shared" si="174"/>
        <v>0</v>
      </c>
      <c r="AK107" s="191">
        <f t="shared" si="175"/>
        <v>0</v>
      </c>
      <c r="AL107" s="191">
        <f t="shared" si="138"/>
        <v>93.402073484781</v>
      </c>
      <c r="AM107" s="20">
        <f t="shared" si="139"/>
        <v>37.0594177725752</v>
      </c>
      <c r="AN107" s="191">
        <f t="shared" si="140"/>
        <v>86.2721658539255</v>
      </c>
      <c r="AO107" s="134">
        <f t="shared" si="141"/>
        <v>84</v>
      </c>
      <c r="AP107" s="64">
        <f t="shared" si="38"/>
        <v>69</v>
      </c>
      <c r="AQ107" s="1">
        <f t="shared" si="167"/>
        <v>92.4524573708623</v>
      </c>
      <c r="AR107" s="20">
        <f t="shared" si="142"/>
        <v>22.8337536837996</v>
      </c>
      <c r="AS107" s="1">
        <f t="shared" si="143"/>
        <v>89.7714040580325</v>
      </c>
      <c r="AT107" s="134">
        <f t="shared" si="144"/>
        <v>91</v>
      </c>
      <c r="AU107" s="64">
        <f t="shared" si="145"/>
        <v>83</v>
      </c>
      <c r="AV107" s="65">
        <f t="shared" si="146"/>
        <v>45683.8500197815</v>
      </c>
      <c r="AW107" s="65">
        <f t="shared" si="147"/>
        <v>45683.7665253678</v>
      </c>
      <c r="AX107" s="1">
        <f t="shared" si="148"/>
        <v>284</v>
      </c>
      <c r="AY107" s="1">
        <f t="shared" si="149"/>
        <v>-19</v>
      </c>
      <c r="AZ107" s="131">
        <f t="shared" si="150"/>
        <v>657.3</v>
      </c>
      <c r="BA107" s="1">
        <f t="shared" si="151"/>
        <v>669</v>
      </c>
      <c r="BB107" s="1">
        <f t="shared" si="49"/>
        <v>42368820.3239786</v>
      </c>
      <c r="BC107" s="1">
        <f t="shared" si="50"/>
        <v>53</v>
      </c>
      <c r="BD107" s="1">
        <f t="shared" si="152"/>
        <v>57479927.4452899</v>
      </c>
      <c r="BE107" s="1">
        <f t="shared" si="153"/>
        <v>67</v>
      </c>
      <c r="BF107" s="20">
        <f t="shared" si="53"/>
        <v>114.849063007435</v>
      </c>
      <c r="BG107" s="1">
        <f t="shared" si="154"/>
        <v>-908.237593218467</v>
      </c>
      <c r="BH107" s="1">
        <f t="shared" si="155"/>
        <v>-420.608842191965</v>
      </c>
      <c r="BI107" s="1">
        <f t="shared" si="156"/>
        <v>3.99330654078</v>
      </c>
      <c r="BJ107" s="1">
        <f t="shared" si="157"/>
        <v>-908.237593218467</v>
      </c>
      <c r="BK107" s="1">
        <f t="shared" si="158"/>
        <v>-420.608842191965</v>
      </c>
      <c r="BL107" s="1">
        <f t="shared" si="159"/>
        <v>3.99330654078</v>
      </c>
      <c r="BM107" s="61">
        <f t="shared" si="160"/>
        <v>22461177.0148914</v>
      </c>
      <c r="BN107" s="61">
        <f t="shared" si="161"/>
        <v>37185324.3559879</v>
      </c>
      <c r="BO107" s="61">
        <f t="shared" si="162"/>
        <v>3.99330654078</v>
      </c>
      <c r="BQ107" s="1" t="str">
        <f t="shared" si="63"/>
        <v>N 00° 13.7' / E 134° 56.4'</v>
      </c>
      <c r="BR107" s="1" t="str">
        <f t="shared" si="64"/>
        <v>53N 498956 003988</v>
      </c>
      <c r="BS107" s="1" t="str">
        <f t="shared" si="65"/>
        <v>53N MA 989039</v>
      </c>
      <c r="BT107" s="1" t="b">
        <f t="shared" si="66"/>
        <v>0</v>
      </c>
      <c r="BU107" s="1" t="str">
        <f t="shared" si="67"/>
        <v>53N</v>
      </c>
      <c r="BV107" s="1">
        <f t="shared" si="68"/>
        <v>53</v>
      </c>
      <c r="BW107" s="1">
        <f t="shared" si="69"/>
        <v>0</v>
      </c>
      <c r="BX107" s="1">
        <f t="shared" si="70"/>
        <v>135</v>
      </c>
      <c r="BY107" s="1">
        <f t="shared" si="163"/>
        <v>-1043.44804093665</v>
      </c>
      <c r="BZ107" s="1">
        <f t="shared" si="72"/>
        <v>498956.552</v>
      </c>
      <c r="CA107" s="1" t="str">
        <f t="shared" si="73"/>
        <v>M</v>
      </c>
      <c r="CB107" s="1" t="str">
        <f t="shared" si="74"/>
        <v>498956</v>
      </c>
      <c r="CC107" s="1" t="str">
        <f t="shared" si="75"/>
        <v>98956</v>
      </c>
      <c r="CD107" s="1">
        <f t="shared" si="164"/>
        <v>3988.08795711706</v>
      </c>
      <c r="CE107" s="1">
        <f t="shared" si="77"/>
        <v>3988.088</v>
      </c>
      <c r="CF107" s="1" t="str">
        <f t="shared" si="78"/>
        <v>A</v>
      </c>
      <c r="CG107" s="1" t="str">
        <f t="shared" si="79"/>
        <v>003988</v>
      </c>
      <c r="CH107" s="1" t="str">
        <f t="shared" si="80"/>
        <v>03988</v>
      </c>
      <c r="CJ107" s="1">
        <f t="shared" si="81"/>
        <v>630</v>
      </c>
      <c r="CK107" s="1" t="str">
        <f t="shared" si="82"/>
        <v>HN</v>
      </c>
      <c r="CL107" s="1">
        <f t="shared" si="83"/>
        <v>4</v>
      </c>
      <c r="CM107" s="1">
        <f t="shared" si="84"/>
        <v>3</v>
      </c>
      <c r="CN107" s="1">
        <f t="shared" si="85"/>
        <v>2</v>
      </c>
      <c r="CO107" s="1">
        <f t="shared" si="86"/>
        <v>2</v>
      </c>
      <c r="CP107" s="1" t="str">
        <f t="shared" si="87"/>
        <v>630HN43</v>
      </c>
      <c r="CR107" s="1" t="e">
        <f t="shared" si="88"/>
        <v>#VALUE!</v>
      </c>
      <c r="CS107" s="1" t="e">
        <f t="shared" si="89"/>
        <v>#VALUE!</v>
      </c>
      <c r="CT107" s="1">
        <f t="shared" si="90"/>
        <v>6</v>
      </c>
      <c r="CU107" s="1">
        <f t="shared" si="91"/>
        <v>1</v>
      </c>
      <c r="CV107" s="131" t="e">
        <f t="shared" si="92"/>
        <v>#VALUE!</v>
      </c>
      <c r="CW107" s="131">
        <v>1019.1</v>
      </c>
      <c r="CX107" s="131">
        <v>1750.1</v>
      </c>
      <c r="CY107" s="131">
        <v>1756.6</v>
      </c>
      <c r="CZ107" s="131">
        <v>2260.5</v>
      </c>
      <c r="DA107" s="131">
        <v>2261.4</v>
      </c>
      <c r="DC107" s="154">
        <f t="shared" si="93"/>
        <v>707.00629584817</v>
      </c>
      <c r="DD107" s="154">
        <f t="shared" si="94"/>
        <v>3.99330654078</v>
      </c>
      <c r="DE107" s="154">
        <f t="shared" si="95"/>
        <v>708.48388936968</v>
      </c>
      <c r="DF107" s="1">
        <f t="shared" si="96"/>
        <v>45.0593526025913</v>
      </c>
      <c r="DG107" s="1">
        <f t="shared" si="97"/>
        <v>0.323614060326124</v>
      </c>
      <c r="DH107" s="1">
        <f t="shared" si="98"/>
        <v>174</v>
      </c>
      <c r="DI107" s="1">
        <f t="shared" si="165"/>
        <v>181</v>
      </c>
      <c r="DJ107" s="1">
        <f t="shared" si="166"/>
        <v>14</v>
      </c>
      <c r="DK107" s="1">
        <f t="shared" si="101"/>
        <v>174</v>
      </c>
      <c r="DL107" s="1">
        <f t="shared" si="102"/>
        <v>181</v>
      </c>
      <c r="DM107" s="1">
        <f t="shared" si="103"/>
        <v>14</v>
      </c>
    </row>
    <row r="108" customHeight="1" spans="1:117">
      <c r="A108" s="152" t="str">
        <f t="shared" si="176"/>
        <v>River 53N-633</v>
      </c>
      <c r="C108" s="55" t="str">
        <f t="shared" si="5"/>
        <v>N 00° 39.1' / E 136° 22.4'</v>
      </c>
      <c r="D108" s="150" t="str">
        <f t="shared" si="6"/>
        <v>947 m</v>
      </c>
      <c r="E108" s="151">
        <f t="shared" si="117"/>
        <v>1744</v>
      </c>
      <c r="F108" s="151">
        <f t="shared" si="118"/>
        <v>1762.7</v>
      </c>
      <c r="G108" s="151">
        <f t="shared" si="119"/>
        <v>1042.1</v>
      </c>
      <c r="H108" s="151">
        <f t="shared" si="120"/>
        <v>2250</v>
      </c>
      <c r="I108" s="151">
        <f t="shared" si="121"/>
        <v>2271.6</v>
      </c>
      <c r="J108" s="171">
        <f t="shared" si="122"/>
        <v>994.2</v>
      </c>
      <c r="K108" s="172">
        <f t="shared" si="177"/>
        <v>-724.49010855951</v>
      </c>
      <c r="L108" s="172">
        <f t="shared" si="178"/>
        <v>690.56441334727</v>
      </c>
      <c r="M108" s="173">
        <f t="shared" si="179"/>
        <v>11.37279001968</v>
      </c>
      <c r="N108" s="54">
        <f t="shared" si="123"/>
        <v>0.0891508007077434</v>
      </c>
      <c r="O108" s="55" t="str">
        <f t="shared" si="124"/>
        <v>Morning / Sets in 89m</v>
      </c>
      <c r="P108" s="55" t="str">
        <f t="shared" si="15"/>
        <v>175°M / +54°</v>
      </c>
      <c r="Q108" s="56">
        <f t="shared" si="125"/>
        <v>45683.849908392</v>
      </c>
      <c r="R108" s="56">
        <f t="shared" si="126"/>
        <v>45683.8556306141</v>
      </c>
      <c r="S108" s="56">
        <f t="shared" si="127"/>
        <v>45683.7285393519</v>
      </c>
      <c r="T108" s="56">
        <f t="shared" si="128"/>
        <v>45683.7731147523</v>
      </c>
      <c r="U108" s="180">
        <f t="shared" si="129"/>
        <v>45683.7788369744</v>
      </c>
      <c r="V108" s="55" t="str">
        <f t="shared" si="130"/>
        <v>Sets in 78m</v>
      </c>
      <c r="W108" s="55" t="str">
        <f t="shared" si="131"/>
        <v>182°M / +69°</v>
      </c>
      <c r="X108" s="56">
        <f t="shared" si="132"/>
        <v>45683.8493138382</v>
      </c>
      <c r="Y108" s="180">
        <f t="shared" si="133"/>
        <v>45683.7658644599</v>
      </c>
      <c r="Z108" s="55" t="str">
        <f t="shared" si="134"/>
        <v>013°M / -20°</v>
      </c>
      <c r="AA108" s="151">
        <f t="shared" si="135"/>
        <v>678.7</v>
      </c>
      <c r="AB108" s="150">
        <f t="shared" si="136"/>
        <v>691.7</v>
      </c>
      <c r="AC108" s="188">
        <v>99</v>
      </c>
      <c r="AD108" s="1" t="b">
        <f t="shared" si="28"/>
        <v>1</v>
      </c>
      <c r="AE108" s="1">
        <f t="shared" si="29"/>
        <v>0.651010523203292</v>
      </c>
      <c r="AF108" s="1">
        <f t="shared" si="30"/>
        <v>136.373393621157</v>
      </c>
      <c r="AG108" s="1">
        <f t="shared" si="31"/>
        <v>136.373393621157</v>
      </c>
      <c r="AH108" s="2">
        <f t="shared" si="137"/>
        <v>0.946785166455129</v>
      </c>
      <c r="AI108" s="1">
        <f t="shared" si="33"/>
        <v>2.49225282582452</v>
      </c>
      <c r="AJ108" s="191">
        <f t="shared" si="174"/>
        <v>0</v>
      </c>
      <c r="AK108" s="191">
        <f t="shared" si="175"/>
        <v>0</v>
      </c>
      <c r="AL108" s="191">
        <f t="shared" si="138"/>
        <v>93.4785117488598</v>
      </c>
      <c r="AM108" s="20">
        <f t="shared" si="139"/>
        <v>35.6262145937452</v>
      </c>
      <c r="AN108" s="191">
        <f t="shared" si="140"/>
        <v>86.6945944130003</v>
      </c>
      <c r="AO108" s="134">
        <f t="shared" si="141"/>
        <v>84</v>
      </c>
      <c r="AP108" s="64">
        <f t="shared" si="38"/>
        <v>70</v>
      </c>
      <c r="AQ108" s="1">
        <f t="shared" si="167"/>
        <v>92.4996788491381</v>
      </c>
      <c r="AR108" s="20">
        <f t="shared" si="142"/>
        <v>21.4005505049696</v>
      </c>
      <c r="AS108" s="1">
        <f t="shared" si="143"/>
        <v>89.3489781347065</v>
      </c>
      <c r="AT108" s="134">
        <f t="shared" si="144"/>
        <v>92</v>
      </c>
      <c r="AU108" s="64">
        <f t="shared" si="145"/>
        <v>83</v>
      </c>
      <c r="AV108" s="65">
        <f t="shared" si="146"/>
        <v>45683.8493138382</v>
      </c>
      <c r="AW108" s="65">
        <f t="shared" si="147"/>
        <v>45683.7658644599</v>
      </c>
      <c r="AX108" s="1">
        <f t="shared" si="148"/>
        <v>283</v>
      </c>
      <c r="AY108" s="1">
        <f t="shared" si="149"/>
        <v>-20</v>
      </c>
      <c r="AZ108" s="131">
        <f t="shared" si="150"/>
        <v>678.7</v>
      </c>
      <c r="BA108" s="1">
        <f t="shared" si="151"/>
        <v>691.7</v>
      </c>
      <c r="BB108" s="1">
        <f t="shared" si="49"/>
        <v>42368805.0302341</v>
      </c>
      <c r="BC108" s="1">
        <f t="shared" si="50"/>
        <v>54</v>
      </c>
      <c r="BD108" s="1">
        <f t="shared" si="152"/>
        <v>57479918.03865</v>
      </c>
      <c r="BE108" s="1">
        <f t="shared" si="153"/>
        <v>69</v>
      </c>
      <c r="BF108" s="20">
        <f t="shared" si="53"/>
        <v>116.282266186265</v>
      </c>
      <c r="BG108" s="1">
        <f t="shared" si="154"/>
        <v>-897.414501956367</v>
      </c>
      <c r="BH108" s="1">
        <f t="shared" si="155"/>
        <v>-443.184316126639</v>
      </c>
      <c r="BI108" s="1">
        <f t="shared" si="156"/>
        <v>11.37279001968</v>
      </c>
      <c r="BJ108" s="1">
        <f t="shared" si="157"/>
        <v>-897.414501956367</v>
      </c>
      <c r="BK108" s="1">
        <f t="shared" si="158"/>
        <v>-443.184316126639</v>
      </c>
      <c r="BL108" s="1">
        <f t="shared" si="159"/>
        <v>11.37279001968</v>
      </c>
      <c r="BM108" s="61">
        <f t="shared" si="160"/>
        <v>22461187.8379826</v>
      </c>
      <c r="BN108" s="61">
        <f t="shared" si="161"/>
        <v>37185301.780514</v>
      </c>
      <c r="BO108" s="61">
        <f t="shared" si="162"/>
        <v>11.37279001968</v>
      </c>
      <c r="BQ108" s="1" t="str">
        <f t="shared" si="63"/>
        <v>N 00° 39.1' / E 136° 22.4'</v>
      </c>
      <c r="BR108" s="1" t="str">
        <f t="shared" si="64"/>
        <v>53N 523961 011360</v>
      </c>
      <c r="BS108" s="1" t="str">
        <f t="shared" si="65"/>
        <v>53N NA 239113</v>
      </c>
      <c r="BT108" s="1" t="b">
        <f t="shared" si="66"/>
        <v>0</v>
      </c>
      <c r="BU108" s="1" t="str">
        <f t="shared" si="67"/>
        <v>53N</v>
      </c>
      <c r="BV108" s="1">
        <f t="shared" si="68"/>
        <v>53</v>
      </c>
      <c r="BW108" s="1">
        <f t="shared" si="69"/>
        <v>0</v>
      </c>
      <c r="BX108" s="1">
        <f t="shared" si="70"/>
        <v>135</v>
      </c>
      <c r="BY108" s="1">
        <f t="shared" si="163"/>
        <v>23961.399969926</v>
      </c>
      <c r="BZ108" s="1">
        <f t="shared" si="72"/>
        <v>523961.4</v>
      </c>
      <c r="CA108" s="1" t="str">
        <f t="shared" si="73"/>
        <v>N</v>
      </c>
      <c r="CB108" s="1" t="str">
        <f t="shared" si="74"/>
        <v>523961</v>
      </c>
      <c r="CC108" s="1" t="str">
        <f t="shared" si="75"/>
        <v>23961</v>
      </c>
      <c r="CD108" s="1">
        <f t="shared" si="164"/>
        <v>11360.9956044397</v>
      </c>
      <c r="CE108" s="1">
        <f t="shared" si="77"/>
        <v>11360.9956</v>
      </c>
      <c r="CF108" s="1" t="str">
        <f t="shared" si="78"/>
        <v>A</v>
      </c>
      <c r="CG108" s="1" t="str">
        <f t="shared" si="79"/>
        <v>011360</v>
      </c>
      <c r="CH108" s="1" t="str">
        <f t="shared" si="80"/>
        <v>11360</v>
      </c>
      <c r="CJ108" s="1">
        <f t="shared" si="81"/>
        <v>633</v>
      </c>
      <c r="CK108" s="1" t="str">
        <f t="shared" si="82"/>
        <v>HP</v>
      </c>
      <c r="CL108" s="1">
        <f t="shared" si="83"/>
        <v>4</v>
      </c>
      <c r="CM108" s="1">
        <f t="shared" si="84"/>
        <v>5</v>
      </c>
      <c r="CN108" s="1">
        <f t="shared" si="85"/>
        <v>1</v>
      </c>
      <c r="CO108" s="1">
        <f t="shared" si="86"/>
        <v>1</v>
      </c>
      <c r="CP108" s="1" t="str">
        <f t="shared" si="87"/>
        <v>633HP45</v>
      </c>
      <c r="CR108" s="1" t="e">
        <f t="shared" si="88"/>
        <v>#VALUE!</v>
      </c>
      <c r="CS108" s="1" t="e">
        <f t="shared" si="89"/>
        <v>#VALUE!</v>
      </c>
      <c r="CT108" s="1">
        <f t="shared" si="90"/>
        <v>3</v>
      </c>
      <c r="CU108" s="1">
        <f t="shared" si="91"/>
        <v>1</v>
      </c>
      <c r="CV108" s="131" t="e">
        <f t="shared" si="92"/>
        <v>#VALUE!</v>
      </c>
      <c r="CW108" s="131">
        <v>1042.1</v>
      </c>
      <c r="CX108" s="131">
        <v>1744</v>
      </c>
      <c r="CY108" s="131">
        <v>1762.7</v>
      </c>
      <c r="CZ108" s="131">
        <v>2250</v>
      </c>
      <c r="DA108" s="131">
        <v>2271.6</v>
      </c>
      <c r="DC108" s="154">
        <f t="shared" si="93"/>
        <v>724.49010855951</v>
      </c>
      <c r="DD108" s="154">
        <f t="shared" si="94"/>
        <v>11.37279001968</v>
      </c>
      <c r="DE108" s="154">
        <f t="shared" si="95"/>
        <v>690.56441334727</v>
      </c>
      <c r="DF108" s="1">
        <f t="shared" si="96"/>
        <v>43.6230812279069</v>
      </c>
      <c r="DG108" s="1">
        <f t="shared" si="97"/>
        <v>0.899335059224688</v>
      </c>
      <c r="DH108" s="1">
        <f t="shared" si="98"/>
        <v>175</v>
      </c>
      <c r="DI108" s="1">
        <f t="shared" si="165"/>
        <v>182</v>
      </c>
      <c r="DJ108" s="1">
        <f t="shared" si="166"/>
        <v>13</v>
      </c>
      <c r="DK108" s="1">
        <f t="shared" si="101"/>
        <v>175</v>
      </c>
      <c r="DL108" s="1">
        <f t="shared" si="102"/>
        <v>182</v>
      </c>
      <c r="DM108" s="1">
        <f t="shared" si="103"/>
        <v>13</v>
      </c>
    </row>
    <row r="109" customHeight="1" spans="1:117">
      <c r="A109" s="152" t="str">
        <f t="shared" si="176"/>
        <v>River 53N-635</v>
      </c>
      <c r="C109" s="55" t="str">
        <f t="shared" si="5"/>
        <v>N 00° 02.8' / E 137° 28.2'</v>
      </c>
      <c r="D109" s="150" t="str">
        <f t="shared" si="6"/>
        <v>946 m</v>
      </c>
      <c r="E109" s="151">
        <f t="shared" si="117"/>
        <v>1752.7</v>
      </c>
      <c r="F109" s="151">
        <f t="shared" si="118"/>
        <v>1754</v>
      </c>
      <c r="G109" s="151">
        <f t="shared" si="119"/>
        <v>1061.2</v>
      </c>
      <c r="H109" s="151">
        <f t="shared" si="120"/>
        <v>2241.1</v>
      </c>
      <c r="I109" s="151">
        <f t="shared" si="121"/>
        <v>2279.9</v>
      </c>
      <c r="J109" s="171">
        <f t="shared" si="122"/>
        <v>975</v>
      </c>
      <c r="K109" s="172">
        <f t="shared" si="177"/>
        <v>-737.61605488143</v>
      </c>
      <c r="L109" s="172">
        <f t="shared" si="178"/>
        <v>676.62032420707</v>
      </c>
      <c r="M109" s="173">
        <f t="shared" si="179"/>
        <v>0.80486141263</v>
      </c>
      <c r="N109" s="54">
        <f t="shared" si="123"/>
        <v>0.0891100758181942</v>
      </c>
      <c r="O109" s="55" t="str">
        <f t="shared" si="124"/>
        <v>Morning / Sets in 88m</v>
      </c>
      <c r="P109" s="55" t="str">
        <f t="shared" si="15"/>
        <v>173°M / +55°</v>
      </c>
      <c r="Q109" s="56">
        <f t="shared" si="125"/>
        <v>45683.8494060145</v>
      </c>
      <c r="R109" s="56">
        <f t="shared" si="126"/>
        <v>45683.8551282366</v>
      </c>
      <c r="S109" s="56">
        <f t="shared" si="127"/>
        <v>45683.728016612</v>
      </c>
      <c r="T109" s="56">
        <f t="shared" si="128"/>
        <v>45683.7725716499</v>
      </c>
      <c r="U109" s="180">
        <f t="shared" si="129"/>
        <v>45683.778293872</v>
      </c>
      <c r="V109" s="55" t="str">
        <f t="shared" si="130"/>
        <v>Sets in 77m</v>
      </c>
      <c r="W109" s="55" t="str">
        <f t="shared" si="131"/>
        <v>180°M / +70°</v>
      </c>
      <c r="X109" s="56">
        <f t="shared" si="132"/>
        <v>45683.8487915092</v>
      </c>
      <c r="Y109" s="180">
        <f t="shared" si="133"/>
        <v>45683.7653413091</v>
      </c>
      <c r="Z109" s="55" t="str">
        <f t="shared" si="134"/>
        <v>013°M / -20°</v>
      </c>
      <c r="AA109" s="151">
        <f t="shared" si="135"/>
        <v>698.5</v>
      </c>
      <c r="AB109" s="150">
        <f t="shared" si="136"/>
        <v>712.7</v>
      </c>
      <c r="AC109" s="188">
        <v>100</v>
      </c>
      <c r="AD109" s="1" t="b">
        <f t="shared" si="28"/>
        <v>1</v>
      </c>
      <c r="AE109" s="1">
        <f t="shared" si="29"/>
        <v>0.0460715773003675</v>
      </c>
      <c r="AF109" s="1">
        <f t="shared" si="30"/>
        <v>137.469624893751</v>
      </c>
      <c r="AG109" s="1">
        <f t="shared" si="31"/>
        <v>137.469624893751</v>
      </c>
      <c r="AH109" s="2">
        <f t="shared" si="137"/>
        <v>0.946130094331693</v>
      </c>
      <c r="AI109" s="1">
        <f t="shared" si="33"/>
        <v>2.49139117246006</v>
      </c>
      <c r="AJ109" s="191">
        <f t="shared" si="174"/>
        <v>0</v>
      </c>
      <c r="AK109" s="191">
        <f t="shared" si="175"/>
        <v>0</v>
      </c>
      <c r="AL109" s="191">
        <f t="shared" si="138"/>
        <v>93.4358099218883</v>
      </c>
      <c r="AM109" s="20">
        <f t="shared" si="139"/>
        <v>34.5299833211517</v>
      </c>
      <c r="AN109" s="191">
        <f t="shared" si="140"/>
        <v>86.0896412034566</v>
      </c>
      <c r="AO109" s="134">
        <f t="shared" si="141"/>
        <v>83</v>
      </c>
      <c r="AP109" s="64">
        <f t="shared" si="38"/>
        <v>71</v>
      </c>
      <c r="AQ109" s="1">
        <f t="shared" si="167"/>
        <v>92.4988171957737</v>
      </c>
      <c r="AR109" s="20">
        <f t="shared" si="142"/>
        <v>20.3043192323761</v>
      </c>
      <c r="AS109" s="1">
        <f t="shared" si="143"/>
        <v>89.9539276996047</v>
      </c>
      <c r="AT109" s="134">
        <f t="shared" si="144"/>
        <v>90</v>
      </c>
      <c r="AU109" s="64">
        <f t="shared" si="145"/>
        <v>84</v>
      </c>
      <c r="AV109" s="65">
        <f t="shared" si="146"/>
        <v>45683.8487915092</v>
      </c>
      <c r="AW109" s="65">
        <f t="shared" si="147"/>
        <v>45683.7653413091</v>
      </c>
      <c r="AX109" s="1">
        <f t="shared" si="148"/>
        <v>283</v>
      </c>
      <c r="AY109" s="1">
        <f t="shared" si="149"/>
        <v>-20</v>
      </c>
      <c r="AZ109" s="131">
        <f t="shared" si="150"/>
        <v>698.5</v>
      </c>
      <c r="BA109" s="1">
        <f t="shared" si="151"/>
        <v>712.7</v>
      </c>
      <c r="BB109" s="1">
        <f t="shared" si="49"/>
        <v>42368794.7280773</v>
      </c>
      <c r="BC109" s="1">
        <f t="shared" si="50"/>
        <v>55</v>
      </c>
      <c r="BD109" s="1">
        <f t="shared" si="152"/>
        <v>57479911.1623834</v>
      </c>
      <c r="BE109" s="1">
        <f t="shared" si="153"/>
        <v>70</v>
      </c>
      <c r="BF109" s="20">
        <f t="shared" si="53"/>
        <v>117.378497458858</v>
      </c>
      <c r="BG109" s="1">
        <f t="shared" si="154"/>
        <v>-888.827895904313</v>
      </c>
      <c r="BH109" s="1">
        <f t="shared" si="155"/>
        <v>-460.301508808344</v>
      </c>
      <c r="BI109" s="1">
        <f t="shared" si="156"/>
        <v>0.80486141263</v>
      </c>
      <c r="BJ109" s="1">
        <f t="shared" si="157"/>
        <v>-888.827895904313</v>
      </c>
      <c r="BK109" s="1">
        <f t="shared" si="158"/>
        <v>-460.301508808344</v>
      </c>
      <c r="BL109" s="1">
        <f t="shared" si="159"/>
        <v>0.80486141263</v>
      </c>
      <c r="BM109" s="61">
        <f t="shared" si="160"/>
        <v>22461196.4245887</v>
      </c>
      <c r="BN109" s="61">
        <f t="shared" si="161"/>
        <v>37185284.6633213</v>
      </c>
      <c r="BO109" s="61">
        <f t="shared" si="162"/>
        <v>0.80486141263</v>
      </c>
      <c r="BQ109" s="1" t="str">
        <f t="shared" si="63"/>
        <v>N 00° 02.8' / E 137° 28.2'</v>
      </c>
      <c r="BR109" s="1" t="str">
        <f t="shared" si="64"/>
        <v>53N 543099 000804</v>
      </c>
      <c r="BS109" s="1" t="str">
        <f t="shared" si="65"/>
        <v>53N NA 430008</v>
      </c>
      <c r="BT109" s="1" t="b">
        <f t="shared" si="66"/>
        <v>0</v>
      </c>
      <c r="BU109" s="1" t="str">
        <f t="shared" si="67"/>
        <v>53N</v>
      </c>
      <c r="BV109" s="1">
        <f t="shared" si="68"/>
        <v>53</v>
      </c>
      <c r="BW109" s="1">
        <f t="shared" si="69"/>
        <v>0</v>
      </c>
      <c r="BX109" s="1">
        <f t="shared" si="70"/>
        <v>135</v>
      </c>
      <c r="BY109" s="1">
        <f t="shared" si="163"/>
        <v>43099.1780594792</v>
      </c>
      <c r="BZ109" s="1">
        <f t="shared" si="72"/>
        <v>543099.1781</v>
      </c>
      <c r="CA109" s="1" t="str">
        <f t="shared" si="73"/>
        <v>N</v>
      </c>
      <c r="CB109" s="1" t="str">
        <f t="shared" si="74"/>
        <v>543099</v>
      </c>
      <c r="CC109" s="1" t="str">
        <f t="shared" si="75"/>
        <v>43099</v>
      </c>
      <c r="CD109" s="1">
        <f t="shared" si="164"/>
        <v>804.52631423298</v>
      </c>
      <c r="CE109" s="1">
        <f t="shared" si="77"/>
        <v>804.5263</v>
      </c>
      <c r="CF109" s="1" t="str">
        <f t="shared" si="78"/>
        <v>A</v>
      </c>
      <c r="CG109" s="1" t="str">
        <f t="shared" si="79"/>
        <v>000804</v>
      </c>
      <c r="CH109" s="1" t="str">
        <f t="shared" si="80"/>
        <v>00804</v>
      </c>
      <c r="CJ109" s="1">
        <f t="shared" si="81"/>
        <v>635</v>
      </c>
      <c r="CK109" s="1" t="str">
        <f t="shared" si="82"/>
        <v>HN</v>
      </c>
      <c r="CL109" s="1">
        <f t="shared" si="83"/>
        <v>4</v>
      </c>
      <c r="CM109" s="1">
        <f t="shared" si="84"/>
        <v>9</v>
      </c>
      <c r="CN109" s="1">
        <f t="shared" si="85"/>
        <v>2</v>
      </c>
      <c r="CO109" s="1">
        <f t="shared" si="86"/>
        <v>0</v>
      </c>
      <c r="CP109" s="1" t="str">
        <f t="shared" si="87"/>
        <v>635HN49</v>
      </c>
      <c r="CR109" s="1" t="e">
        <f t="shared" si="88"/>
        <v>#VALUE!</v>
      </c>
      <c r="CS109" s="1" t="e">
        <f t="shared" si="89"/>
        <v>#VALUE!</v>
      </c>
      <c r="CT109" s="1">
        <f t="shared" si="90"/>
        <v>3</v>
      </c>
      <c r="CU109" s="1">
        <f t="shared" si="91"/>
        <v>1</v>
      </c>
      <c r="CV109" s="131" t="e">
        <f t="shared" si="92"/>
        <v>#VALUE!</v>
      </c>
      <c r="CW109" s="131">
        <v>1061.2</v>
      </c>
      <c r="CX109" s="131">
        <v>1752.7</v>
      </c>
      <c r="CY109" s="131">
        <v>1754</v>
      </c>
      <c r="CZ109" s="131">
        <v>2241.1</v>
      </c>
      <c r="DA109" s="131">
        <v>2279.9</v>
      </c>
      <c r="DC109" s="154">
        <f t="shared" si="93"/>
        <v>737.61605488143</v>
      </c>
      <c r="DD109" s="154">
        <f t="shared" si="94"/>
        <v>0.80486141263</v>
      </c>
      <c r="DE109" s="154">
        <f t="shared" si="95"/>
        <v>676.62032420707</v>
      </c>
      <c r="DF109" s="1">
        <f t="shared" si="96"/>
        <v>42.5303581148896</v>
      </c>
      <c r="DG109" s="1">
        <f t="shared" si="97"/>
        <v>0.0625191702773251</v>
      </c>
      <c r="DH109" s="1">
        <f t="shared" si="98"/>
        <v>173</v>
      </c>
      <c r="DI109" s="1">
        <f t="shared" si="165"/>
        <v>180</v>
      </c>
      <c r="DJ109" s="1">
        <f t="shared" si="166"/>
        <v>13</v>
      </c>
      <c r="DK109" s="1">
        <f t="shared" si="101"/>
        <v>173</v>
      </c>
      <c r="DL109" s="1">
        <f t="shared" si="102"/>
        <v>180</v>
      </c>
      <c r="DM109" s="1">
        <f t="shared" si="103"/>
        <v>13</v>
      </c>
    </row>
    <row r="110" customHeight="1" spans="1:117">
      <c r="A110" s="152" t="str">
        <f t="shared" si="176"/>
        <v>River 53N-636</v>
      </c>
      <c r="C110" s="55" t="str">
        <f t="shared" si="5"/>
        <v>N 00° 30.4' / E 137° 43.5'</v>
      </c>
      <c r="D110" s="150" t="str">
        <f t="shared" si="6"/>
        <v>998 m</v>
      </c>
      <c r="E110" s="151">
        <f t="shared" si="117"/>
        <v>1746.1</v>
      </c>
      <c r="F110" s="151">
        <f t="shared" si="118"/>
        <v>1760.7</v>
      </c>
      <c r="G110" s="151">
        <f t="shared" si="119"/>
        <v>1065.7</v>
      </c>
      <c r="H110" s="151">
        <f t="shared" si="120"/>
        <v>2239</v>
      </c>
      <c r="I110" s="151">
        <f t="shared" si="121"/>
        <v>2281.9</v>
      </c>
      <c r="J110" s="171">
        <f t="shared" si="122"/>
        <v>970.6</v>
      </c>
      <c r="K110" s="172">
        <f t="shared" si="177"/>
        <v>-740.63392725701</v>
      </c>
      <c r="L110" s="172">
        <f t="shared" si="178"/>
        <v>673.33522484449</v>
      </c>
      <c r="M110" s="173">
        <f t="shared" si="179"/>
        <v>8.85046959811</v>
      </c>
      <c r="N110" s="54">
        <f t="shared" si="123"/>
        <v>0.0892048292937317</v>
      </c>
      <c r="O110" s="55" t="str">
        <f t="shared" si="124"/>
        <v>Morning / Sets in 88m</v>
      </c>
      <c r="P110" s="55" t="str">
        <f t="shared" si="15"/>
        <v>174°M / +56°</v>
      </c>
      <c r="Q110" s="56">
        <f t="shared" si="125"/>
        <v>45683.8492368759</v>
      </c>
      <c r="R110" s="56">
        <f t="shared" si="126"/>
        <v>45683.854959098</v>
      </c>
      <c r="S110" s="56">
        <f t="shared" si="127"/>
        <v>45683.7278948501</v>
      </c>
      <c r="T110" s="56">
        <f t="shared" si="128"/>
        <v>45683.7724972647</v>
      </c>
      <c r="U110" s="180">
        <f t="shared" si="129"/>
        <v>45683.7782194868</v>
      </c>
      <c r="V110" s="55" t="str">
        <f t="shared" si="130"/>
        <v>Sets in 77m</v>
      </c>
      <c r="W110" s="55" t="str">
        <f t="shared" si="131"/>
        <v>182°M / +70°</v>
      </c>
      <c r="X110" s="56">
        <f t="shared" si="132"/>
        <v>45683.8486375589</v>
      </c>
      <c r="Y110" s="180">
        <f t="shared" si="133"/>
        <v>45683.7652517356</v>
      </c>
      <c r="Z110" s="55" t="str">
        <f t="shared" si="134"/>
        <v>013°M / -20°</v>
      </c>
      <c r="AA110" s="151">
        <f t="shared" si="135"/>
        <v>700.9</v>
      </c>
      <c r="AB110" s="150">
        <f t="shared" si="136"/>
        <v>715.2</v>
      </c>
      <c r="AC110" s="188">
        <v>101</v>
      </c>
      <c r="AD110" s="1" t="b">
        <f t="shared" si="28"/>
        <v>1</v>
      </c>
      <c r="AE110" s="1">
        <f t="shared" si="29"/>
        <v>0.506595510244232</v>
      </c>
      <c r="AF110" s="1">
        <f t="shared" si="30"/>
        <v>137.724970268416</v>
      </c>
      <c r="AG110" s="1">
        <f t="shared" si="31"/>
        <v>137.724970268416</v>
      </c>
      <c r="AH110" s="2">
        <f t="shared" si="137"/>
        <v>0.998136877701086</v>
      </c>
      <c r="AI110" s="1">
        <f t="shared" si="33"/>
        <v>2.5588930857023</v>
      </c>
      <c r="AJ110" s="191">
        <f t="shared" si="174"/>
        <v>0</v>
      </c>
      <c r="AK110" s="191">
        <f t="shared" si="175"/>
        <v>0</v>
      </c>
      <c r="AL110" s="191">
        <f t="shared" si="138"/>
        <v>93.5351630831158</v>
      </c>
      <c r="AM110" s="20">
        <f t="shared" si="139"/>
        <v>34.2746379464867</v>
      </c>
      <c r="AN110" s="191">
        <f t="shared" si="140"/>
        <v>86.550175988799</v>
      </c>
      <c r="AO110" s="134">
        <f t="shared" si="141"/>
        <v>84</v>
      </c>
      <c r="AP110" s="64">
        <f t="shared" si="38"/>
        <v>72</v>
      </c>
      <c r="AQ110" s="1">
        <f t="shared" si="167"/>
        <v>92.5663191090159</v>
      </c>
      <c r="AR110" s="20">
        <f t="shared" si="142"/>
        <v>20.0489738577111</v>
      </c>
      <c r="AS110" s="1">
        <f t="shared" si="143"/>
        <v>89.4933956417462</v>
      </c>
      <c r="AT110" s="134">
        <f t="shared" si="144"/>
        <v>91</v>
      </c>
      <c r="AU110" s="64">
        <f t="shared" si="145"/>
        <v>84</v>
      </c>
      <c r="AV110" s="65">
        <f t="shared" si="146"/>
        <v>45683.8486375589</v>
      </c>
      <c r="AW110" s="65">
        <f t="shared" si="147"/>
        <v>45683.7652517356</v>
      </c>
      <c r="AX110" s="1">
        <f t="shared" si="148"/>
        <v>283</v>
      </c>
      <c r="AY110" s="1">
        <f t="shared" si="149"/>
        <v>-20</v>
      </c>
      <c r="AZ110" s="131">
        <f t="shared" si="150"/>
        <v>700.9</v>
      </c>
      <c r="BA110" s="1">
        <f t="shared" si="151"/>
        <v>715.2</v>
      </c>
      <c r="BB110" s="1">
        <f t="shared" si="49"/>
        <v>42368791.6476538</v>
      </c>
      <c r="BC110" s="1">
        <f t="shared" si="50"/>
        <v>56</v>
      </c>
      <c r="BD110" s="1">
        <f t="shared" si="152"/>
        <v>57479909.6113461</v>
      </c>
      <c r="BE110" s="1">
        <f t="shared" si="153"/>
        <v>70</v>
      </c>
      <c r="BF110" s="20">
        <f t="shared" si="53"/>
        <v>117.633842833523</v>
      </c>
      <c r="BG110" s="1">
        <f t="shared" si="154"/>
        <v>-886.779385403019</v>
      </c>
      <c r="BH110" s="1">
        <f t="shared" si="155"/>
        <v>-464.264214477883</v>
      </c>
      <c r="BI110" s="1">
        <f t="shared" si="156"/>
        <v>8.85046959811</v>
      </c>
      <c r="BJ110" s="1">
        <f t="shared" si="157"/>
        <v>-886.779385403019</v>
      </c>
      <c r="BK110" s="1">
        <f t="shared" si="158"/>
        <v>-464.264214477883</v>
      </c>
      <c r="BL110" s="1">
        <f t="shared" si="159"/>
        <v>8.85046959811</v>
      </c>
      <c r="BM110" s="61">
        <f t="shared" si="160"/>
        <v>22461198.4730992</v>
      </c>
      <c r="BN110" s="61">
        <f t="shared" si="161"/>
        <v>37185280.7006156</v>
      </c>
      <c r="BO110" s="61">
        <f t="shared" si="162"/>
        <v>8.85046959811</v>
      </c>
      <c r="BQ110" s="1" t="str">
        <f t="shared" si="63"/>
        <v>N 00° 30.4' / E 137° 43.5'</v>
      </c>
      <c r="BR110" s="1" t="str">
        <f t="shared" si="64"/>
        <v>53N 547556 008848</v>
      </c>
      <c r="BS110" s="1" t="str">
        <f t="shared" si="65"/>
        <v>53N NA 475088</v>
      </c>
      <c r="BT110" s="1" t="b">
        <f t="shared" si="66"/>
        <v>0</v>
      </c>
      <c r="BU110" s="1" t="str">
        <f t="shared" si="67"/>
        <v>53N</v>
      </c>
      <c r="BV110" s="1">
        <f t="shared" si="68"/>
        <v>53</v>
      </c>
      <c r="BW110" s="1">
        <f t="shared" si="69"/>
        <v>0</v>
      </c>
      <c r="BX110" s="1">
        <f t="shared" si="70"/>
        <v>135</v>
      </c>
      <c r="BY110" s="1">
        <f t="shared" si="163"/>
        <v>47556.749925324</v>
      </c>
      <c r="BZ110" s="1">
        <f t="shared" si="72"/>
        <v>547556.7499</v>
      </c>
      <c r="CA110" s="1" t="str">
        <f t="shared" si="73"/>
        <v>N</v>
      </c>
      <c r="CB110" s="1" t="str">
        <f t="shared" si="74"/>
        <v>547556</v>
      </c>
      <c r="CC110" s="1" t="str">
        <f t="shared" si="75"/>
        <v>47556</v>
      </c>
      <c r="CD110" s="1">
        <f t="shared" si="164"/>
        <v>8848.22753304308</v>
      </c>
      <c r="CE110" s="1">
        <f t="shared" si="77"/>
        <v>8848.2275</v>
      </c>
      <c r="CF110" s="1" t="str">
        <f t="shared" si="78"/>
        <v>A</v>
      </c>
      <c r="CG110" s="1" t="str">
        <f t="shared" si="79"/>
        <v>008848</v>
      </c>
      <c r="CH110" s="1" t="str">
        <f t="shared" si="80"/>
        <v>08848</v>
      </c>
      <c r="CJ110" s="1">
        <f t="shared" si="81"/>
        <v>636</v>
      </c>
      <c r="CK110" s="1" t="str">
        <f t="shared" si="82"/>
        <v>HP</v>
      </c>
      <c r="CL110" s="1">
        <f t="shared" si="83"/>
        <v>3</v>
      </c>
      <c r="CM110" s="1">
        <f t="shared" si="84"/>
        <v>9</v>
      </c>
      <c r="CN110" s="1">
        <f t="shared" si="85"/>
        <v>2</v>
      </c>
      <c r="CO110" s="1">
        <f t="shared" si="86"/>
        <v>0</v>
      </c>
      <c r="CP110" s="1" t="str">
        <f t="shared" si="87"/>
        <v>636HP39</v>
      </c>
      <c r="CR110" s="1" t="e">
        <f t="shared" si="88"/>
        <v>#VALUE!</v>
      </c>
      <c r="CS110" s="1" t="e">
        <f t="shared" si="89"/>
        <v>#VALUE!</v>
      </c>
      <c r="CT110" s="1">
        <f t="shared" si="90"/>
        <v>3</v>
      </c>
      <c r="CU110" s="1">
        <f t="shared" si="91"/>
        <v>1</v>
      </c>
      <c r="CV110" s="131" t="e">
        <f t="shared" si="92"/>
        <v>#VALUE!</v>
      </c>
      <c r="CW110" s="131">
        <v>1065.7</v>
      </c>
      <c r="CX110" s="131">
        <v>1746.1</v>
      </c>
      <c r="CY110" s="131">
        <v>1760.7</v>
      </c>
      <c r="CZ110" s="131">
        <v>2239</v>
      </c>
      <c r="DA110" s="131">
        <v>2281.9</v>
      </c>
      <c r="DC110" s="154">
        <f t="shared" si="93"/>
        <v>740.63392725701</v>
      </c>
      <c r="DD110" s="154">
        <f t="shared" si="94"/>
        <v>8.85046959811</v>
      </c>
      <c r="DE110" s="154">
        <f t="shared" si="95"/>
        <v>673.33522484449</v>
      </c>
      <c r="DF110" s="1">
        <f t="shared" si="96"/>
        <v>42.2729936839577</v>
      </c>
      <c r="DG110" s="1">
        <f t="shared" si="97"/>
        <v>0.684643790327415</v>
      </c>
      <c r="DH110" s="1">
        <f t="shared" si="98"/>
        <v>174</v>
      </c>
      <c r="DI110" s="1">
        <f t="shared" si="165"/>
        <v>182</v>
      </c>
      <c r="DJ110" s="1">
        <f t="shared" si="166"/>
        <v>13</v>
      </c>
      <c r="DK110" s="1">
        <f t="shared" si="101"/>
        <v>174</v>
      </c>
      <c r="DL110" s="1">
        <f t="shared" si="102"/>
        <v>182</v>
      </c>
      <c r="DM110" s="1">
        <f t="shared" si="103"/>
        <v>13</v>
      </c>
    </row>
    <row r="111" customHeight="1" spans="1:117">
      <c r="A111" s="152" t="str">
        <f t="shared" si="176"/>
        <v>River 53P-625</v>
      </c>
      <c r="C111" s="55" t="str">
        <f t="shared" si="5"/>
        <v>N 11° 18.0' / E 132° 21.6'</v>
      </c>
      <c r="D111" s="150" t="str">
        <f t="shared" si="6"/>
        <v>851 m</v>
      </c>
      <c r="E111" s="151">
        <f t="shared" si="117"/>
        <v>1584.1</v>
      </c>
      <c r="F111" s="151">
        <f t="shared" si="118"/>
        <v>1907.6</v>
      </c>
      <c r="G111" s="151">
        <f t="shared" si="119"/>
        <v>993</v>
      </c>
      <c r="H111" s="151">
        <f t="shared" si="120"/>
        <v>2272</v>
      </c>
      <c r="I111" s="151">
        <f t="shared" si="121"/>
        <v>2231.2</v>
      </c>
      <c r="J111" s="171">
        <f t="shared" si="122"/>
        <v>1081.7</v>
      </c>
      <c r="K111" s="172">
        <f t="shared" si="177"/>
        <v>-661.28154028757</v>
      </c>
      <c r="L111" s="172">
        <f t="shared" si="178"/>
        <v>725.22427655367</v>
      </c>
      <c r="M111" s="173">
        <f t="shared" si="179"/>
        <v>196.11160539173</v>
      </c>
      <c r="N111" s="54">
        <f t="shared" si="123"/>
        <v>0.089740057593237</v>
      </c>
      <c r="O111" s="55" t="str">
        <f t="shared" si="124"/>
        <v>Morning / Sets in 92m</v>
      </c>
      <c r="P111" s="55" t="str">
        <f t="shared" si="15"/>
        <v>200°M / +50°</v>
      </c>
      <c r="Q111" s="56">
        <f t="shared" si="125"/>
        <v>45683.8515277914</v>
      </c>
      <c r="R111" s="56">
        <f t="shared" si="126"/>
        <v>45683.8572500135</v>
      </c>
      <c r="S111" s="56">
        <f t="shared" si="127"/>
        <v>45683.7304533798</v>
      </c>
      <c r="T111" s="56">
        <f t="shared" si="128"/>
        <v>45683.7753234085</v>
      </c>
      <c r="U111" s="180">
        <f t="shared" si="129"/>
        <v>45683.7810456306</v>
      </c>
      <c r="V111" s="55" t="str">
        <f t="shared" si="130"/>
        <v>Sets in 81m</v>
      </c>
      <c r="W111" s="55" t="str">
        <f t="shared" si="131"/>
        <v>215°M / +62°</v>
      </c>
      <c r="X111" s="56">
        <f t="shared" si="132"/>
        <v>45683.8512893536</v>
      </c>
      <c r="Y111" s="180">
        <f t="shared" si="133"/>
        <v>45683.7677170002</v>
      </c>
      <c r="Z111" s="55" t="str">
        <f t="shared" si="134"/>
        <v>011°M / -17°</v>
      </c>
      <c r="AA111" s="151">
        <f t="shared" si="135"/>
        <v>594.5</v>
      </c>
      <c r="AB111" s="150">
        <f t="shared" si="136"/>
        <v>602.9</v>
      </c>
      <c r="AC111" s="188">
        <v>102</v>
      </c>
      <c r="AD111" s="1" t="b">
        <f t="shared" si="28"/>
        <v>1</v>
      </c>
      <c r="AE111" s="1">
        <f t="shared" si="29"/>
        <v>11.299921523333</v>
      </c>
      <c r="AF111" s="1">
        <f t="shared" si="30"/>
        <v>132.359509908535</v>
      </c>
      <c r="AG111" s="1">
        <f t="shared" si="31"/>
        <v>132.359509908535</v>
      </c>
      <c r="AH111" s="2">
        <f t="shared" si="137"/>
        <v>0.851281958122286</v>
      </c>
      <c r="AI111" s="1">
        <f t="shared" si="33"/>
        <v>2.36330817602262</v>
      </c>
      <c r="AJ111" s="191">
        <f t="shared" si="174"/>
        <v>0</v>
      </c>
      <c r="AK111" s="191">
        <f t="shared" si="175"/>
        <v>0</v>
      </c>
      <c r="AL111" s="191">
        <f t="shared" si="138"/>
        <v>94.0963733525294</v>
      </c>
      <c r="AM111" s="20">
        <f t="shared" si="139"/>
        <v>39.6400983063676</v>
      </c>
      <c r="AN111" s="191">
        <f t="shared" si="140"/>
        <v>82.6562435457804</v>
      </c>
      <c r="AO111" s="134">
        <f t="shared" si="141"/>
        <v>97</v>
      </c>
      <c r="AP111" s="64">
        <f t="shared" si="38"/>
        <v>64</v>
      </c>
      <c r="AQ111" s="1">
        <f t="shared" si="167"/>
        <v>92.3707341993362</v>
      </c>
      <c r="AR111" s="20">
        <f t="shared" si="142"/>
        <v>25.414434217592</v>
      </c>
      <c r="AS111" s="1">
        <f t="shared" si="143"/>
        <v>78.6998829919557</v>
      </c>
      <c r="AT111" s="134">
        <f t="shared" si="144"/>
        <v>112</v>
      </c>
      <c r="AU111" s="64">
        <f t="shared" si="145"/>
        <v>71</v>
      </c>
      <c r="AV111" s="65">
        <f t="shared" si="146"/>
        <v>45683.8512893536</v>
      </c>
      <c r="AW111" s="65">
        <f t="shared" si="147"/>
        <v>45683.7677170002</v>
      </c>
      <c r="AX111" s="1">
        <f t="shared" si="148"/>
        <v>269</v>
      </c>
      <c r="AY111" s="1">
        <f t="shared" si="149"/>
        <v>-17</v>
      </c>
      <c r="AZ111" s="131">
        <f t="shared" si="150"/>
        <v>594.5</v>
      </c>
      <c r="BA111" s="1">
        <f t="shared" si="151"/>
        <v>602.9</v>
      </c>
      <c r="BB111" s="1">
        <f t="shared" si="49"/>
        <v>42368849.9165225</v>
      </c>
      <c r="BC111" s="1">
        <f t="shared" si="50"/>
        <v>50</v>
      </c>
      <c r="BD111" s="1">
        <f t="shared" si="152"/>
        <v>57479963.4409514</v>
      </c>
      <c r="BE111" s="1">
        <f t="shared" si="153"/>
        <v>62</v>
      </c>
      <c r="BF111" s="20">
        <f t="shared" si="53"/>
        <v>112.268382473642</v>
      </c>
      <c r="BG111" s="1">
        <f t="shared" si="154"/>
        <v>-908.252179424326</v>
      </c>
      <c r="BH111" s="1">
        <f t="shared" si="155"/>
        <v>-371.915992394595</v>
      </c>
      <c r="BI111" s="1">
        <f t="shared" si="156"/>
        <v>196.11160539173</v>
      </c>
      <c r="BJ111" s="1">
        <f t="shared" si="157"/>
        <v>-908.252179424326</v>
      </c>
      <c r="BK111" s="1">
        <f t="shared" si="158"/>
        <v>-371.915992394595</v>
      </c>
      <c r="BL111" s="1">
        <f t="shared" si="159"/>
        <v>196.11160539173</v>
      </c>
      <c r="BM111" s="61">
        <f t="shared" si="160"/>
        <v>22461177.0003052</v>
      </c>
      <c r="BN111" s="61">
        <f t="shared" si="161"/>
        <v>37185373.0488377</v>
      </c>
      <c r="BO111" s="61">
        <f t="shared" si="162"/>
        <v>196.11160539173</v>
      </c>
      <c r="BQ111" s="1" t="str">
        <f t="shared" si="63"/>
        <v>N 11° 18.0' / E 132° 21.6'</v>
      </c>
      <c r="BR111" s="1" t="str">
        <f t="shared" si="64"/>
        <v>53P 454811 197346</v>
      </c>
      <c r="BS111" s="1" t="str">
        <f t="shared" si="65"/>
        <v>53P MB 548973</v>
      </c>
      <c r="BT111" s="1" t="b">
        <f t="shared" si="66"/>
        <v>0</v>
      </c>
      <c r="BU111" s="1" t="str">
        <f t="shared" si="67"/>
        <v>53P</v>
      </c>
      <c r="BV111" s="1">
        <f t="shared" si="68"/>
        <v>53</v>
      </c>
      <c r="BW111" s="1">
        <f t="shared" si="69"/>
        <v>0</v>
      </c>
      <c r="BX111" s="1">
        <f t="shared" si="70"/>
        <v>135</v>
      </c>
      <c r="BY111" s="1">
        <f t="shared" si="163"/>
        <v>-45188.5725919518</v>
      </c>
      <c r="BZ111" s="1">
        <f t="shared" si="72"/>
        <v>454811.4274</v>
      </c>
      <c r="CA111" s="1" t="str">
        <f t="shared" si="73"/>
        <v>M</v>
      </c>
      <c r="CB111" s="1" t="str">
        <f t="shared" si="74"/>
        <v>454811</v>
      </c>
      <c r="CC111" s="1" t="str">
        <f t="shared" si="75"/>
        <v>54811</v>
      </c>
      <c r="CD111" s="1">
        <f t="shared" si="164"/>
        <v>197346.083216891</v>
      </c>
      <c r="CE111" s="1">
        <f t="shared" si="77"/>
        <v>197346.0832</v>
      </c>
      <c r="CF111" s="1" t="str">
        <f t="shared" si="78"/>
        <v>B</v>
      </c>
      <c r="CG111" s="1" t="str">
        <f t="shared" si="79"/>
        <v>197346</v>
      </c>
      <c r="CH111" s="1" t="str">
        <f t="shared" si="80"/>
        <v>97346</v>
      </c>
      <c r="CJ111" s="1">
        <f t="shared" si="81"/>
        <v>625</v>
      </c>
      <c r="CK111" s="1" t="str">
        <f t="shared" si="82"/>
        <v>JL</v>
      </c>
      <c r="CL111" s="1">
        <f t="shared" si="83"/>
        <v>2</v>
      </c>
      <c r="CM111" s="1">
        <f t="shared" si="84"/>
        <v>8</v>
      </c>
      <c r="CN111" s="1">
        <f t="shared" si="85"/>
        <v>1</v>
      </c>
      <c r="CO111" s="1">
        <f t="shared" si="86"/>
        <v>0</v>
      </c>
      <c r="CP111" s="1" t="str">
        <f t="shared" si="87"/>
        <v>625JL28</v>
      </c>
      <c r="CR111" s="1" t="e">
        <f t="shared" si="88"/>
        <v>#VALUE!</v>
      </c>
      <c r="CS111" s="1" t="e">
        <f t="shared" si="89"/>
        <v>#VALUE!</v>
      </c>
      <c r="CT111" s="1">
        <f t="shared" si="90"/>
        <v>6</v>
      </c>
      <c r="CU111" s="1">
        <f t="shared" si="91"/>
        <v>1</v>
      </c>
      <c r="CV111" s="131" t="e">
        <f t="shared" si="92"/>
        <v>#VALUE!</v>
      </c>
      <c r="CW111" s="131">
        <v>1081.7</v>
      </c>
      <c r="CX111" s="131">
        <v>1584.1</v>
      </c>
      <c r="CY111" s="131">
        <v>1907.6</v>
      </c>
      <c r="CZ111" s="131">
        <v>2231.2</v>
      </c>
      <c r="DA111" s="131">
        <v>2272</v>
      </c>
      <c r="DC111" s="154">
        <f t="shared" si="93"/>
        <v>661.28154028757</v>
      </c>
      <c r="DD111" s="154">
        <f t="shared" si="94"/>
        <v>196.11160539173</v>
      </c>
      <c r="DE111" s="154">
        <f t="shared" si="95"/>
        <v>725.22427655367</v>
      </c>
      <c r="DF111" s="1">
        <f t="shared" si="96"/>
        <v>46.436200539225</v>
      </c>
      <c r="DG111" s="1">
        <f t="shared" si="97"/>
        <v>16.5184055351073</v>
      </c>
      <c r="DH111" s="1">
        <f t="shared" si="98"/>
        <v>200</v>
      </c>
      <c r="DI111" s="1">
        <f t="shared" si="165"/>
        <v>215</v>
      </c>
      <c r="DJ111" s="1">
        <f t="shared" si="166"/>
        <v>11</v>
      </c>
      <c r="DK111" s="1">
        <f t="shared" si="101"/>
        <v>200</v>
      </c>
      <c r="DL111" s="1">
        <f t="shared" si="102"/>
        <v>215</v>
      </c>
      <c r="DM111" s="1">
        <f t="shared" si="103"/>
        <v>11</v>
      </c>
    </row>
    <row r="112" customHeight="1" spans="1:117">
      <c r="A112" s="152" t="str">
        <f t="shared" si="176"/>
        <v>River 53P-630</v>
      </c>
      <c r="C112" s="55" t="str">
        <f t="shared" si="5"/>
        <v>N 09° 32.4' / E 134° 38.8'</v>
      </c>
      <c r="D112" s="150" t="str">
        <f t="shared" si="6"/>
        <v>2183 m</v>
      </c>
      <c r="E112" s="151">
        <f t="shared" si="117"/>
        <v>1612</v>
      </c>
      <c r="F112" s="151">
        <f t="shared" si="118"/>
        <v>1885.5</v>
      </c>
      <c r="G112" s="151">
        <f t="shared" si="119"/>
        <v>1025.8</v>
      </c>
      <c r="H112" s="151">
        <f t="shared" si="120"/>
        <v>2258.6</v>
      </c>
      <c r="I112" s="151">
        <f t="shared" si="121"/>
        <v>2253.1</v>
      </c>
      <c r="J112" s="171">
        <f t="shared" si="122"/>
        <v>1037.9</v>
      </c>
      <c r="K112" s="172">
        <f t="shared" si="177"/>
        <v>-694.519747280249</v>
      </c>
      <c r="L112" s="172">
        <f t="shared" si="178"/>
        <v>703.15465518414</v>
      </c>
      <c r="M112" s="173">
        <f t="shared" si="179"/>
        <v>166.0948089991</v>
      </c>
      <c r="N112" s="54">
        <f t="shared" si="123"/>
        <v>0.0909737866806831</v>
      </c>
      <c r="O112" s="55" t="str">
        <f t="shared" si="124"/>
        <v>Morning / Sets in 91m</v>
      </c>
      <c r="P112" s="55" t="str">
        <f t="shared" si="15"/>
        <v>196°M / +53°</v>
      </c>
      <c r="Q112" s="56">
        <f t="shared" si="125"/>
        <v>45683.8498205964</v>
      </c>
      <c r="R112" s="56">
        <f t="shared" si="126"/>
        <v>45683.8555428185</v>
      </c>
      <c r="S112" s="56">
        <f t="shared" si="127"/>
        <v>45683.7293630494</v>
      </c>
      <c r="T112" s="56">
        <f t="shared" si="128"/>
        <v>45683.7748499427</v>
      </c>
      <c r="U112" s="180">
        <f t="shared" si="129"/>
        <v>45683.7805721648</v>
      </c>
      <c r="V112" s="55" t="str">
        <f t="shared" si="130"/>
        <v>Sets in 80m</v>
      </c>
      <c r="W112" s="55" t="str">
        <f t="shared" si="131"/>
        <v>211°M / +65°</v>
      </c>
      <c r="X112" s="56">
        <f t="shared" si="132"/>
        <v>45683.849522138</v>
      </c>
      <c r="Y112" s="180">
        <f t="shared" si="133"/>
        <v>45683.767303555</v>
      </c>
      <c r="Z112" s="55" t="str">
        <f t="shared" si="134"/>
        <v>011°M / -18°</v>
      </c>
      <c r="AA112" s="151">
        <f t="shared" si="135"/>
        <v>632.4</v>
      </c>
      <c r="AB112" s="150">
        <f t="shared" si="136"/>
        <v>642.2</v>
      </c>
      <c r="AC112" s="188">
        <v>103</v>
      </c>
      <c r="AD112" s="1" t="b">
        <f t="shared" si="28"/>
        <v>1</v>
      </c>
      <c r="AE112" s="1">
        <f t="shared" si="29"/>
        <v>9.53981520602463</v>
      </c>
      <c r="AF112" s="1">
        <f t="shared" si="30"/>
        <v>134.646028084845</v>
      </c>
      <c r="AG112" s="1">
        <f t="shared" si="31"/>
        <v>134.646028084845</v>
      </c>
      <c r="AH112" s="2">
        <f t="shared" si="137"/>
        <v>2.18343333233929</v>
      </c>
      <c r="AI112" s="1">
        <f t="shared" si="33"/>
        <v>3.78279554591232</v>
      </c>
      <c r="AJ112" s="191">
        <f t="shared" si="174"/>
        <v>0</v>
      </c>
      <c r="AK112" s="191">
        <f t="shared" si="175"/>
        <v>0</v>
      </c>
      <c r="AL112" s="191">
        <f t="shared" si="138"/>
        <v>95.3899922329005</v>
      </c>
      <c r="AM112" s="20">
        <f t="shared" si="139"/>
        <v>37.3535801300574</v>
      </c>
      <c r="AN112" s="191">
        <f t="shared" si="140"/>
        <v>84.4163909972915</v>
      </c>
      <c r="AO112" s="134">
        <f t="shared" si="141"/>
        <v>96</v>
      </c>
      <c r="AP112" s="64">
        <f t="shared" si="38"/>
        <v>67</v>
      </c>
      <c r="AQ112" s="1">
        <f t="shared" si="167"/>
        <v>93.7902215692259</v>
      </c>
      <c r="AR112" s="20">
        <f t="shared" si="142"/>
        <v>23.1279160412818</v>
      </c>
      <c r="AS112" s="1">
        <f t="shared" si="143"/>
        <v>80.4600192321411</v>
      </c>
      <c r="AT112" s="134">
        <f t="shared" si="144"/>
        <v>111</v>
      </c>
      <c r="AU112" s="64">
        <f t="shared" si="145"/>
        <v>74</v>
      </c>
      <c r="AV112" s="65">
        <f t="shared" si="146"/>
        <v>45683.849522138</v>
      </c>
      <c r="AW112" s="65">
        <f t="shared" si="147"/>
        <v>45683.767303555</v>
      </c>
      <c r="AX112" s="1">
        <f t="shared" si="148"/>
        <v>272</v>
      </c>
      <c r="AY112" s="1">
        <f t="shared" si="149"/>
        <v>-18</v>
      </c>
      <c r="AZ112" s="131">
        <f t="shared" si="150"/>
        <v>632.4</v>
      </c>
      <c r="BA112" s="1">
        <f t="shared" si="151"/>
        <v>642.2</v>
      </c>
      <c r="BB112" s="1">
        <f t="shared" si="49"/>
        <v>42368822.2151521</v>
      </c>
      <c r="BC112" s="1">
        <f t="shared" si="50"/>
        <v>53</v>
      </c>
      <c r="BD112" s="1">
        <f t="shared" si="152"/>
        <v>57479941.0201554</v>
      </c>
      <c r="BE112" s="1">
        <f t="shared" si="153"/>
        <v>65</v>
      </c>
      <c r="BF112" s="20">
        <f t="shared" si="53"/>
        <v>114.554900649953</v>
      </c>
      <c r="BG112" s="1">
        <f t="shared" si="154"/>
        <v>-898.943348904371</v>
      </c>
      <c r="BH112" s="1">
        <f t="shared" si="155"/>
        <v>-410.712799812646</v>
      </c>
      <c r="BI112" s="1">
        <f t="shared" si="156"/>
        <v>166.0948089991</v>
      </c>
      <c r="BJ112" s="1">
        <f t="shared" si="157"/>
        <v>-898.943348904371</v>
      </c>
      <c r="BK112" s="1">
        <f t="shared" si="158"/>
        <v>-410.712799812646</v>
      </c>
      <c r="BL112" s="1">
        <f t="shared" si="159"/>
        <v>166.0948089991</v>
      </c>
      <c r="BM112" s="61">
        <f t="shared" si="160"/>
        <v>22461186.3091357</v>
      </c>
      <c r="BN112" s="61">
        <f t="shared" si="161"/>
        <v>37185334.2520303</v>
      </c>
      <c r="BO112" s="61">
        <f t="shared" si="162"/>
        <v>166.0948089991</v>
      </c>
      <c r="BQ112" s="1" t="str">
        <f t="shared" si="63"/>
        <v>N 09° 32.4' / E 134° 38.8'</v>
      </c>
      <c r="BR112" s="1" t="str">
        <f t="shared" si="64"/>
        <v>53P 493909 166437</v>
      </c>
      <c r="BS112" s="1" t="str">
        <f t="shared" si="65"/>
        <v>53P MB 939664</v>
      </c>
      <c r="BT112" s="1" t="b">
        <f t="shared" si="66"/>
        <v>0</v>
      </c>
      <c r="BU112" s="1" t="str">
        <f t="shared" si="67"/>
        <v>53P</v>
      </c>
      <c r="BV112" s="1">
        <f t="shared" si="68"/>
        <v>53</v>
      </c>
      <c r="BW112" s="1">
        <f t="shared" si="69"/>
        <v>0</v>
      </c>
      <c r="BX112" s="1">
        <f t="shared" si="70"/>
        <v>135</v>
      </c>
      <c r="BY112" s="1">
        <f t="shared" si="163"/>
        <v>-6090.13772092265</v>
      </c>
      <c r="BZ112" s="1">
        <f t="shared" si="72"/>
        <v>493909.8623</v>
      </c>
      <c r="CA112" s="1" t="str">
        <f t="shared" si="73"/>
        <v>M</v>
      </c>
      <c r="CB112" s="1" t="str">
        <f t="shared" si="74"/>
        <v>493909</v>
      </c>
      <c r="CC112" s="1" t="str">
        <f t="shared" si="75"/>
        <v>93909</v>
      </c>
      <c r="CD112" s="1">
        <f t="shared" si="164"/>
        <v>166437.702759852</v>
      </c>
      <c r="CE112" s="1">
        <f t="shared" si="77"/>
        <v>166437.7028</v>
      </c>
      <c r="CF112" s="1" t="str">
        <f t="shared" si="78"/>
        <v>B</v>
      </c>
      <c r="CG112" s="1" t="str">
        <f t="shared" si="79"/>
        <v>166437</v>
      </c>
      <c r="CH112" s="1" t="str">
        <f t="shared" si="80"/>
        <v>66437</v>
      </c>
      <c r="CJ112" s="1">
        <f t="shared" si="81"/>
        <v>630</v>
      </c>
      <c r="CK112" s="1" t="str">
        <f t="shared" si="82"/>
        <v>JH</v>
      </c>
      <c r="CL112" s="1">
        <f t="shared" si="83"/>
        <v>3</v>
      </c>
      <c r="CM112" s="1">
        <f t="shared" si="84"/>
        <v>8</v>
      </c>
      <c r="CN112" s="1">
        <f t="shared" si="85"/>
        <v>1</v>
      </c>
      <c r="CO112" s="1">
        <f t="shared" si="86"/>
        <v>0</v>
      </c>
      <c r="CP112" s="1" t="str">
        <f t="shared" si="87"/>
        <v>630JH38</v>
      </c>
      <c r="CR112" s="1" t="e">
        <f t="shared" si="88"/>
        <v>#VALUE!</v>
      </c>
      <c r="CS112" s="1" t="e">
        <f t="shared" si="89"/>
        <v>#VALUE!</v>
      </c>
      <c r="CT112" s="1">
        <f t="shared" si="90"/>
        <v>6</v>
      </c>
      <c r="CU112" s="1">
        <f t="shared" si="91"/>
        <v>1</v>
      </c>
      <c r="CV112" s="131" t="e">
        <f t="shared" si="92"/>
        <v>#VALUE!</v>
      </c>
      <c r="CW112" s="131">
        <v>1037.9</v>
      </c>
      <c r="CX112" s="131">
        <v>1612</v>
      </c>
      <c r="CY112" s="131">
        <v>1885.5</v>
      </c>
      <c r="CZ112" s="131">
        <v>2253.1</v>
      </c>
      <c r="DA112" s="131">
        <v>2258.6</v>
      </c>
      <c r="DC112" s="154">
        <f t="shared" si="93"/>
        <v>694.519747280249</v>
      </c>
      <c r="DD112" s="154">
        <f t="shared" si="94"/>
        <v>166.0948089991</v>
      </c>
      <c r="DE112" s="154">
        <f t="shared" si="95"/>
        <v>703.15465518414</v>
      </c>
      <c r="DF112" s="1">
        <f t="shared" si="96"/>
        <v>44.5573395705496</v>
      </c>
      <c r="DG112" s="1">
        <f t="shared" si="97"/>
        <v>13.4497075219855</v>
      </c>
      <c r="DH112" s="1">
        <f t="shared" si="98"/>
        <v>196</v>
      </c>
      <c r="DI112" s="1">
        <f t="shared" si="165"/>
        <v>211</v>
      </c>
      <c r="DJ112" s="1">
        <f t="shared" si="166"/>
        <v>11</v>
      </c>
      <c r="DK112" s="1">
        <f t="shared" si="101"/>
        <v>196</v>
      </c>
      <c r="DL112" s="1">
        <f t="shared" si="102"/>
        <v>211</v>
      </c>
      <c r="DM112" s="1">
        <f t="shared" si="103"/>
        <v>11</v>
      </c>
    </row>
    <row r="113" customHeight="1" spans="1:117">
      <c r="A113" s="152" t="str">
        <f t="shared" si="176"/>
        <v>River 53P-631</v>
      </c>
      <c r="C113" s="55" t="str">
        <f t="shared" si="5"/>
        <v>N 12° 38.9' / E 135° 15.0'</v>
      </c>
      <c r="D113" s="150" t="str">
        <f t="shared" si="6"/>
        <v>1020 m</v>
      </c>
      <c r="E113" s="151">
        <f t="shared" si="117"/>
        <v>1563.1</v>
      </c>
      <c r="F113" s="151">
        <f t="shared" si="118"/>
        <v>1925</v>
      </c>
      <c r="G113" s="151">
        <f t="shared" si="119"/>
        <v>1046.3</v>
      </c>
      <c r="H113" s="151">
        <f t="shared" si="120"/>
        <v>2248.2</v>
      </c>
      <c r="I113" s="151">
        <f t="shared" si="121"/>
        <v>2252</v>
      </c>
      <c r="J113" s="171">
        <f t="shared" si="122"/>
        <v>1037.9</v>
      </c>
      <c r="K113" s="172">
        <f t="shared" si="177"/>
        <v>-693.64940424645</v>
      </c>
      <c r="L113" s="172">
        <f t="shared" si="178"/>
        <v>687.63526013252</v>
      </c>
      <c r="M113" s="173">
        <f t="shared" si="179"/>
        <v>219.20152316351</v>
      </c>
      <c r="N113" s="54">
        <f t="shared" si="123"/>
        <v>0.0900461598331311</v>
      </c>
      <c r="O113" s="55" t="str">
        <f t="shared" si="124"/>
        <v>Morning / Sets in 90m</v>
      </c>
      <c r="P113" s="55" t="str">
        <f t="shared" si="15"/>
        <v>202°M / +53°</v>
      </c>
      <c r="Q113" s="56">
        <f t="shared" si="125"/>
        <v>45683.8499966596</v>
      </c>
      <c r="R113" s="56">
        <f t="shared" si="126"/>
        <v>45683.8557188817</v>
      </c>
      <c r="S113" s="56">
        <f t="shared" si="127"/>
        <v>45683.7290752991</v>
      </c>
      <c r="T113" s="56">
        <f t="shared" si="128"/>
        <v>45683.774098379</v>
      </c>
      <c r="U113" s="180">
        <f t="shared" si="129"/>
        <v>45683.7798206011</v>
      </c>
      <c r="V113" s="55" t="str">
        <f t="shared" si="130"/>
        <v>Sets in 79m</v>
      </c>
      <c r="W113" s="55" t="str">
        <f t="shared" si="131"/>
        <v>220°M / +64°</v>
      </c>
      <c r="X113" s="56">
        <f t="shared" si="132"/>
        <v>45683.8498047234</v>
      </c>
      <c r="Y113" s="180">
        <f t="shared" si="133"/>
        <v>45683.7664454691</v>
      </c>
      <c r="Z113" s="55" t="str">
        <f t="shared" si="134"/>
        <v>010°M / -19°</v>
      </c>
      <c r="AA113" s="151">
        <f t="shared" si="135"/>
        <v>642.2</v>
      </c>
      <c r="AB113" s="150">
        <f t="shared" si="136"/>
        <v>653</v>
      </c>
      <c r="AC113" s="188">
        <v>104</v>
      </c>
      <c r="AD113" s="1" t="b">
        <f t="shared" si="28"/>
        <v>1</v>
      </c>
      <c r="AE113" s="1">
        <f t="shared" si="29"/>
        <v>12.6490227408951</v>
      </c>
      <c r="AF113" s="1">
        <f t="shared" si="30"/>
        <v>135.249465520418</v>
      </c>
      <c r="AG113" s="1">
        <f t="shared" si="31"/>
        <v>135.249465520418</v>
      </c>
      <c r="AH113" s="2">
        <f t="shared" si="137"/>
        <v>1.02000716577902</v>
      </c>
      <c r="AI113" s="1">
        <f t="shared" si="33"/>
        <v>2.58675172483241</v>
      </c>
      <c r="AJ113" s="191">
        <f t="shared" si="174"/>
        <v>0</v>
      </c>
      <c r="AK113" s="191">
        <f t="shared" si="175"/>
        <v>0</v>
      </c>
      <c r="AL113" s="191">
        <f t="shared" si="138"/>
        <v>94.4173349322475</v>
      </c>
      <c r="AM113" s="20">
        <f t="shared" si="139"/>
        <v>36.7501426944845</v>
      </c>
      <c r="AN113" s="191">
        <f t="shared" si="140"/>
        <v>81.3071107368292</v>
      </c>
      <c r="AO113" s="134">
        <f t="shared" si="141"/>
        <v>100</v>
      </c>
      <c r="AP113" s="64">
        <f t="shared" si="38"/>
        <v>65</v>
      </c>
      <c r="AQ113" s="1">
        <f t="shared" si="167"/>
        <v>92.594177748146</v>
      </c>
      <c r="AR113" s="20">
        <f t="shared" si="142"/>
        <v>22.5244786057089</v>
      </c>
      <c r="AS113" s="1">
        <f t="shared" si="143"/>
        <v>77.3507587593862</v>
      </c>
      <c r="AT113" s="134">
        <f t="shared" si="144"/>
        <v>118</v>
      </c>
      <c r="AU113" s="64">
        <f t="shared" si="145"/>
        <v>71</v>
      </c>
      <c r="AV113" s="65">
        <f t="shared" si="146"/>
        <v>45683.8498047234</v>
      </c>
      <c r="AW113" s="65">
        <f t="shared" si="147"/>
        <v>45683.7664454691</v>
      </c>
      <c r="AX113" s="1">
        <f t="shared" si="148"/>
        <v>268</v>
      </c>
      <c r="AY113" s="1">
        <f t="shared" si="149"/>
        <v>-19</v>
      </c>
      <c r="AZ113" s="131">
        <f t="shared" si="150"/>
        <v>642.2</v>
      </c>
      <c r="BA113" s="1">
        <f t="shared" si="151"/>
        <v>653</v>
      </c>
      <c r="BB113" s="1">
        <f t="shared" si="49"/>
        <v>42368821.5656056</v>
      </c>
      <c r="BC113" s="1">
        <f t="shared" si="50"/>
        <v>53</v>
      </c>
      <c r="BD113" s="1">
        <f t="shared" si="152"/>
        <v>57479947.6963099</v>
      </c>
      <c r="BE113" s="1">
        <f t="shared" si="153"/>
        <v>64</v>
      </c>
      <c r="BF113" s="20">
        <f t="shared" si="53"/>
        <v>115.158338085526</v>
      </c>
      <c r="BG113" s="1">
        <f t="shared" si="154"/>
        <v>-884.069373236503</v>
      </c>
      <c r="BH113" s="1">
        <f t="shared" si="155"/>
        <v>-415.226552973422</v>
      </c>
      <c r="BI113" s="1">
        <f t="shared" si="156"/>
        <v>219.20152316351</v>
      </c>
      <c r="BJ113" s="1">
        <f t="shared" si="157"/>
        <v>-884.069373236503</v>
      </c>
      <c r="BK113" s="1">
        <f t="shared" si="158"/>
        <v>-415.226552973422</v>
      </c>
      <c r="BL113" s="1">
        <f t="shared" si="159"/>
        <v>219.20152316351</v>
      </c>
      <c r="BM113" s="61">
        <f t="shared" si="160"/>
        <v>22461201.1831114</v>
      </c>
      <c r="BN113" s="61">
        <f t="shared" si="161"/>
        <v>37185329.7382771</v>
      </c>
      <c r="BO113" s="61">
        <f t="shared" si="162"/>
        <v>219.20152316351</v>
      </c>
      <c r="BQ113" s="1" t="str">
        <f t="shared" si="63"/>
        <v>N 12° 38.9' / E 135° 15.0'</v>
      </c>
      <c r="BR113" s="1" t="str">
        <f t="shared" si="64"/>
        <v>53P 504246 220680</v>
      </c>
      <c r="BS113" s="1" t="str">
        <f t="shared" si="65"/>
        <v>53P NC 042206</v>
      </c>
      <c r="BT113" s="1" t="b">
        <f t="shared" si="66"/>
        <v>0</v>
      </c>
      <c r="BU113" s="1" t="str">
        <f t="shared" si="67"/>
        <v>53P</v>
      </c>
      <c r="BV113" s="1">
        <f t="shared" si="68"/>
        <v>53</v>
      </c>
      <c r="BW113" s="1">
        <f t="shared" si="69"/>
        <v>0</v>
      </c>
      <c r="BX113" s="1">
        <f t="shared" si="70"/>
        <v>135</v>
      </c>
      <c r="BY113" s="1">
        <f t="shared" si="163"/>
        <v>4246.63500514173</v>
      </c>
      <c r="BZ113" s="1">
        <f t="shared" si="72"/>
        <v>504246.635</v>
      </c>
      <c r="CA113" s="1" t="str">
        <f t="shared" si="73"/>
        <v>N</v>
      </c>
      <c r="CB113" s="1" t="str">
        <f t="shared" si="74"/>
        <v>504246</v>
      </c>
      <c r="CC113" s="1" t="str">
        <f t="shared" si="75"/>
        <v>04246</v>
      </c>
      <c r="CD113" s="1">
        <f t="shared" si="164"/>
        <v>220680.811594058</v>
      </c>
      <c r="CE113" s="1">
        <f t="shared" si="77"/>
        <v>220680.8116</v>
      </c>
      <c r="CF113" s="1" t="str">
        <f t="shared" si="78"/>
        <v>C</v>
      </c>
      <c r="CG113" s="1" t="str">
        <f t="shared" si="79"/>
        <v>220680</v>
      </c>
      <c r="CH113" s="1" t="str">
        <f t="shared" si="80"/>
        <v>20680</v>
      </c>
      <c r="CJ113" s="1">
        <f t="shared" si="81"/>
        <v>631</v>
      </c>
      <c r="CK113" s="1" t="str">
        <f t="shared" si="82"/>
        <v>JP</v>
      </c>
      <c r="CL113" s="1">
        <f t="shared" si="83"/>
        <v>3</v>
      </c>
      <c r="CM113" s="1">
        <f t="shared" si="84"/>
        <v>6</v>
      </c>
      <c r="CN113" s="1">
        <f t="shared" si="85"/>
        <v>2</v>
      </c>
      <c r="CO113" s="1">
        <f t="shared" si="86"/>
        <v>1</v>
      </c>
      <c r="CP113" s="1" t="str">
        <f t="shared" si="87"/>
        <v>631JP36</v>
      </c>
      <c r="CR113" s="1" t="e">
        <f t="shared" si="88"/>
        <v>#VALUE!</v>
      </c>
      <c r="CS113" s="1" t="e">
        <f t="shared" si="89"/>
        <v>#VALUE!</v>
      </c>
      <c r="CT113" s="1">
        <f t="shared" si="90"/>
        <v>3</v>
      </c>
      <c r="CU113" s="1">
        <f t="shared" si="91"/>
        <v>1</v>
      </c>
      <c r="CV113" s="131" t="e">
        <f t="shared" si="92"/>
        <v>#VALUE!</v>
      </c>
      <c r="CW113" s="131">
        <v>1046.3</v>
      </c>
      <c r="CX113" s="131">
        <v>1563.1</v>
      </c>
      <c r="CY113" s="131">
        <v>1925</v>
      </c>
      <c r="CZ113" s="131">
        <v>2248.2</v>
      </c>
      <c r="DA113" s="131">
        <v>2252</v>
      </c>
      <c r="DC113" s="154">
        <f t="shared" si="93"/>
        <v>693.64940424645</v>
      </c>
      <c r="DD113" s="154">
        <f t="shared" si="94"/>
        <v>219.20152316351</v>
      </c>
      <c r="DE113" s="154">
        <f t="shared" si="95"/>
        <v>687.63526013252</v>
      </c>
      <c r="DF113" s="1">
        <f t="shared" si="96"/>
        <v>43.3879416290283</v>
      </c>
      <c r="DG113" s="1">
        <f t="shared" si="97"/>
        <v>17.5371603675775</v>
      </c>
      <c r="DH113" s="1">
        <f t="shared" si="98"/>
        <v>202</v>
      </c>
      <c r="DI113" s="1">
        <f t="shared" si="165"/>
        <v>220</v>
      </c>
      <c r="DJ113" s="1">
        <f t="shared" si="166"/>
        <v>10</v>
      </c>
      <c r="DK113" s="1">
        <f t="shared" si="101"/>
        <v>202</v>
      </c>
      <c r="DL113" s="1">
        <f t="shared" si="102"/>
        <v>220</v>
      </c>
      <c r="DM113" s="1">
        <f t="shared" si="103"/>
        <v>10</v>
      </c>
    </row>
    <row r="114" customHeight="1" spans="1:117">
      <c r="A114" s="152" t="str">
        <f t="shared" si="176"/>
        <v>River 54M</v>
      </c>
      <c r="C114" s="55" t="str">
        <f t="shared" si="5"/>
        <v>S 00° 19.6' / E 143° 06.0'</v>
      </c>
      <c r="D114" s="150" t="str">
        <f t="shared" si="6"/>
        <v>1765 m</v>
      </c>
      <c r="E114" s="151">
        <f t="shared" si="117"/>
        <v>1758.5</v>
      </c>
      <c r="F114" s="151">
        <f t="shared" si="118"/>
        <v>1749.1</v>
      </c>
      <c r="G114" s="151">
        <f t="shared" si="119"/>
        <v>1159.4</v>
      </c>
      <c r="H114" s="151">
        <f t="shared" si="120"/>
        <v>2192.6</v>
      </c>
      <c r="I114" s="151">
        <f t="shared" si="121"/>
        <v>2320</v>
      </c>
      <c r="J114" s="171">
        <f t="shared" si="122"/>
        <v>877.2</v>
      </c>
      <c r="K114" s="172">
        <f t="shared" si="177"/>
        <v>-801.08808977709</v>
      </c>
      <c r="L114" s="172">
        <f t="shared" si="178"/>
        <v>601.46299101323</v>
      </c>
      <c r="M114" s="173">
        <f t="shared" si="179"/>
        <v>-5.71770008787</v>
      </c>
      <c r="N114" s="54">
        <f t="shared" si="123"/>
        <v>0.0899533334895904</v>
      </c>
      <c r="O114" s="55" t="str">
        <f t="shared" si="124"/>
        <v>Morning / Sets in 85m</v>
      </c>
      <c r="P114" s="55" t="str">
        <f t="shared" si="15"/>
        <v>171°M / +61°</v>
      </c>
      <c r="Q114" s="56">
        <f t="shared" si="125"/>
        <v>45683.8462992919</v>
      </c>
      <c r="R114" s="56">
        <f t="shared" si="126"/>
        <v>45683.852021514</v>
      </c>
      <c r="S114" s="56">
        <f t="shared" si="127"/>
        <v>45683.7253315182</v>
      </c>
      <c r="T114" s="56">
        <f t="shared" si="128"/>
        <v>45683.770308185</v>
      </c>
      <c r="U114" s="180">
        <f t="shared" si="129"/>
        <v>45683.7760304071</v>
      </c>
      <c r="V114" s="55" t="str">
        <f t="shared" si="130"/>
        <v>Sets in 74m</v>
      </c>
      <c r="W114" s="55" t="str">
        <f t="shared" si="131"/>
        <v>179°M / +75°</v>
      </c>
      <c r="X114" s="56">
        <f t="shared" si="132"/>
        <v>45683.8456724819</v>
      </c>
      <c r="Y114" s="180">
        <f t="shared" si="133"/>
        <v>45683.7630901489</v>
      </c>
      <c r="Z114" s="55" t="str">
        <f t="shared" si="134"/>
        <v>012°M / -23°</v>
      </c>
      <c r="AA114" s="151">
        <f t="shared" si="135"/>
        <v>789.3</v>
      </c>
      <c r="AB114" s="150">
        <f t="shared" si="136"/>
        <v>810</v>
      </c>
      <c r="AC114" s="188">
        <v>105</v>
      </c>
      <c r="AD114" s="1" t="b">
        <f t="shared" si="28"/>
        <v>1</v>
      </c>
      <c r="AE114" s="1">
        <f t="shared" si="29"/>
        <v>-0.327024755976979</v>
      </c>
      <c r="AF114" s="1">
        <f t="shared" si="30"/>
        <v>143.100501310062</v>
      </c>
      <c r="AG114" s="1">
        <f t="shared" si="31"/>
        <v>143.100501310062</v>
      </c>
      <c r="AH114" s="2">
        <f t="shared" si="137"/>
        <v>1.76471750385713</v>
      </c>
      <c r="AI114" s="1">
        <f t="shared" si="33"/>
        <v>3.40138769668115</v>
      </c>
      <c r="AJ114" s="191">
        <f t="shared" si="174"/>
        <v>0</v>
      </c>
      <c r="AK114" s="191">
        <f t="shared" si="175"/>
        <v>0</v>
      </c>
      <c r="AL114" s="191">
        <f t="shared" si="138"/>
        <v>94.3200024531628</v>
      </c>
      <c r="AM114" s="20">
        <f t="shared" si="139"/>
        <v>28.8991069048404</v>
      </c>
      <c r="AN114" s="191">
        <f t="shared" si="140"/>
        <v>85.7165359992734</v>
      </c>
      <c r="AO114" s="134">
        <f t="shared" si="141"/>
        <v>81</v>
      </c>
      <c r="AP114" s="64">
        <f t="shared" si="38"/>
        <v>75</v>
      </c>
      <c r="AQ114" s="1">
        <f t="shared" si="167"/>
        <v>93.4088137199948</v>
      </c>
      <c r="AR114" s="20">
        <f t="shared" si="142"/>
        <v>14.6734428160648</v>
      </c>
      <c r="AS114" s="1">
        <f t="shared" si="143"/>
        <v>89.6729695562242</v>
      </c>
      <c r="AT114" s="134">
        <f t="shared" si="144"/>
        <v>89</v>
      </c>
      <c r="AU114" s="64">
        <f t="shared" si="145"/>
        <v>87</v>
      </c>
      <c r="AV114" s="65">
        <f t="shared" si="146"/>
        <v>45683.8456724819</v>
      </c>
      <c r="AW114" s="65">
        <f t="shared" si="147"/>
        <v>45683.7630901489</v>
      </c>
      <c r="AX114" s="1">
        <f t="shared" si="148"/>
        <v>282</v>
      </c>
      <c r="AY114" s="1">
        <f t="shared" si="149"/>
        <v>-23</v>
      </c>
      <c r="AZ114" s="131">
        <f t="shared" si="150"/>
        <v>789.3</v>
      </c>
      <c r="BA114" s="1">
        <f t="shared" si="151"/>
        <v>810</v>
      </c>
      <c r="BB114" s="1">
        <f t="shared" si="49"/>
        <v>42368742.908069</v>
      </c>
      <c r="BC114" s="1">
        <f t="shared" si="50"/>
        <v>61</v>
      </c>
      <c r="BD114" s="1">
        <f t="shared" si="152"/>
        <v>57479880.8350645</v>
      </c>
      <c r="BE114" s="1">
        <f t="shared" si="153"/>
        <v>75</v>
      </c>
      <c r="BF114" s="20">
        <f t="shared" si="53"/>
        <v>123.00937387517</v>
      </c>
      <c r="BG114" s="1">
        <f t="shared" si="154"/>
        <v>-840.047626969239</v>
      </c>
      <c r="BH114" s="1">
        <f t="shared" si="155"/>
        <v>-545.72872525151</v>
      </c>
      <c r="BI114" s="1">
        <f t="shared" si="156"/>
        <v>-5.71770008787</v>
      </c>
      <c r="BJ114" s="1">
        <f t="shared" si="157"/>
        <v>-840.047626969239</v>
      </c>
      <c r="BK114" s="1">
        <f t="shared" si="158"/>
        <v>-545.72872525151</v>
      </c>
      <c r="BL114" s="1">
        <f t="shared" si="159"/>
        <v>-5.71770008787</v>
      </c>
      <c r="BM114" s="61">
        <f t="shared" si="160"/>
        <v>22461245.2048576</v>
      </c>
      <c r="BN114" s="61">
        <f t="shared" si="161"/>
        <v>37185199.2361048</v>
      </c>
      <c r="BO114" s="61">
        <f t="shared" si="162"/>
        <v>-5.71770008787</v>
      </c>
      <c r="BQ114" s="1" t="str">
        <f t="shared" si="63"/>
        <v>S 00° 19.6' / E 143° 06.0'</v>
      </c>
      <c r="BR114" s="1" t="str">
        <f t="shared" si="64"/>
        <v>54M 536653 1994290</v>
      </c>
      <c r="BS114" s="1" t="str">
        <f t="shared" si="65"/>
        <v>54M WE 366942</v>
      </c>
      <c r="BT114" s="1" t="b">
        <f t="shared" si="66"/>
        <v>0</v>
      </c>
      <c r="BU114" s="1" t="str">
        <f t="shared" si="67"/>
        <v>54M</v>
      </c>
      <c r="BV114" s="1">
        <f t="shared" si="68"/>
        <v>54</v>
      </c>
      <c r="BW114" s="1">
        <f t="shared" si="69"/>
        <v>0</v>
      </c>
      <c r="BX114" s="1">
        <f t="shared" si="70"/>
        <v>141</v>
      </c>
      <c r="BY114" s="1">
        <f t="shared" si="163"/>
        <v>36653.6134441461</v>
      </c>
      <c r="BZ114" s="1">
        <f t="shared" si="72"/>
        <v>536653.6134</v>
      </c>
      <c r="CA114" s="1" t="str">
        <f t="shared" si="73"/>
        <v>W</v>
      </c>
      <c r="CB114" s="1" t="str">
        <f t="shared" si="74"/>
        <v>536653</v>
      </c>
      <c r="CC114" s="1" t="str">
        <f t="shared" si="75"/>
        <v>36653</v>
      </c>
      <c r="CD114" s="1">
        <f t="shared" si="164"/>
        <v>-5709.21175330311</v>
      </c>
      <c r="CE114" s="1">
        <f t="shared" si="77"/>
        <v>1994290.7882</v>
      </c>
      <c r="CF114" s="1" t="str">
        <f t="shared" si="78"/>
        <v>E</v>
      </c>
      <c r="CG114" s="1" t="str">
        <f t="shared" si="79"/>
        <v>1994290</v>
      </c>
      <c r="CH114" s="1" t="str">
        <f t="shared" si="80"/>
        <v>94290</v>
      </c>
      <c r="CJ114" s="1">
        <f t="shared" si="81"/>
        <v>647</v>
      </c>
      <c r="CK114" s="1" t="str">
        <f t="shared" si="82"/>
        <v>HM</v>
      </c>
      <c r="CL114" s="1">
        <f t="shared" si="83"/>
        <v>3</v>
      </c>
      <c r="CM114" s="1">
        <f t="shared" si="84"/>
        <v>2</v>
      </c>
      <c r="CN114" s="1">
        <f t="shared" si="85"/>
        <v>1</v>
      </c>
      <c r="CO114" s="1">
        <f t="shared" si="86"/>
        <v>2</v>
      </c>
      <c r="CP114" s="1" t="str">
        <f t="shared" si="87"/>
        <v>647HM32</v>
      </c>
      <c r="CR114" s="1" t="e">
        <f t="shared" si="88"/>
        <v>#VALUE!</v>
      </c>
      <c r="CS114" s="1" t="e">
        <f t="shared" si="89"/>
        <v>#VALUE!</v>
      </c>
      <c r="CT114" s="1">
        <f t="shared" si="90"/>
        <v>3</v>
      </c>
      <c r="CU114" s="1">
        <f t="shared" si="91"/>
        <v>2</v>
      </c>
      <c r="CV114" s="131" t="e">
        <f t="shared" si="92"/>
        <v>#VALUE!</v>
      </c>
      <c r="CW114" s="131">
        <v>1159.4</v>
      </c>
      <c r="CX114" s="131">
        <v>1749.1</v>
      </c>
      <c r="CY114" s="131">
        <v>1758.5</v>
      </c>
      <c r="CZ114" s="131">
        <v>2192.6</v>
      </c>
      <c r="DA114" s="131">
        <v>2320</v>
      </c>
      <c r="DC114" s="154">
        <f t="shared" si="93"/>
        <v>801.08808977709</v>
      </c>
      <c r="DD114" s="154">
        <f t="shared" si="94"/>
        <v>-5.71770008787</v>
      </c>
      <c r="DE114" s="154">
        <f t="shared" si="95"/>
        <v>601.46299101323</v>
      </c>
      <c r="DF114" s="1">
        <f t="shared" si="96"/>
        <v>36.8987979867483</v>
      </c>
      <c r="DG114" s="1">
        <f t="shared" si="97"/>
        <v>-0.40893695082957</v>
      </c>
      <c r="DH114" s="1">
        <f t="shared" si="98"/>
        <v>171</v>
      </c>
      <c r="DI114" s="1">
        <f t="shared" si="165"/>
        <v>179</v>
      </c>
      <c r="DJ114" s="1">
        <f t="shared" si="166"/>
        <v>12</v>
      </c>
      <c r="DK114" s="1">
        <f t="shared" si="101"/>
        <v>171</v>
      </c>
      <c r="DL114" s="1">
        <f t="shared" si="102"/>
        <v>179</v>
      </c>
      <c r="DM114" s="1">
        <f t="shared" si="103"/>
        <v>12</v>
      </c>
    </row>
    <row r="115" customHeight="1" spans="1:117">
      <c r="A115" s="152" t="str">
        <f t="shared" si="176"/>
        <v>River 54N-638</v>
      </c>
      <c r="C115" s="55" t="str">
        <f t="shared" si="5"/>
        <v>N 00° 54.5' / E 138° 56.1'</v>
      </c>
      <c r="D115" s="150" t="str">
        <f t="shared" si="6"/>
        <v>998 m</v>
      </c>
      <c r="E115" s="151">
        <f t="shared" si="117"/>
        <v>1740.3</v>
      </c>
      <c r="F115" s="151">
        <f t="shared" si="118"/>
        <v>1766.4</v>
      </c>
      <c r="G115" s="151">
        <f t="shared" si="119"/>
        <v>1086.9</v>
      </c>
      <c r="H115" s="151">
        <f t="shared" si="120"/>
        <v>2228.8</v>
      </c>
      <c r="I115" s="151">
        <f t="shared" si="121"/>
        <v>2290.7</v>
      </c>
      <c r="J115" s="171">
        <f t="shared" si="122"/>
        <v>949.6</v>
      </c>
      <c r="K115" s="172">
        <f t="shared" si="177"/>
        <v>-754.61837282719</v>
      </c>
      <c r="L115" s="172">
        <f t="shared" si="178"/>
        <v>657.4929587854</v>
      </c>
      <c r="M115" s="173">
        <f t="shared" si="179"/>
        <v>15.87634694054</v>
      </c>
      <c r="N115" s="54">
        <f t="shared" si="123"/>
        <v>0.0892317685367359</v>
      </c>
      <c r="O115" s="55" t="str">
        <f t="shared" si="124"/>
        <v>Morning / Sets in 87m</v>
      </c>
      <c r="P115" s="55" t="str">
        <f t="shared" si="15"/>
        <v>175°M / +57°</v>
      </c>
      <c r="Q115" s="56">
        <f t="shared" si="125"/>
        <v>45683.8486465811</v>
      </c>
      <c r="R115" s="56">
        <f t="shared" si="126"/>
        <v>45683.8543688032</v>
      </c>
      <c r="S115" s="56">
        <f t="shared" si="127"/>
        <v>45683.7273180249</v>
      </c>
      <c r="T115" s="56">
        <f t="shared" si="128"/>
        <v>45683.7719339092</v>
      </c>
      <c r="U115" s="180">
        <f t="shared" si="129"/>
        <v>45683.7776561313</v>
      </c>
      <c r="V115" s="55" t="str">
        <f t="shared" si="130"/>
        <v>Sets in 76m</v>
      </c>
      <c r="W115" s="55" t="str">
        <f t="shared" si="131"/>
        <v>183°M / +71°</v>
      </c>
      <c r="X115" s="56">
        <f t="shared" si="132"/>
        <v>45683.84806053</v>
      </c>
      <c r="Y115" s="180">
        <f t="shared" si="133"/>
        <v>45683.7646751142</v>
      </c>
      <c r="Z115" s="55" t="str">
        <f t="shared" si="134"/>
        <v>013°M / -21°</v>
      </c>
      <c r="AA115" s="151">
        <f t="shared" si="135"/>
        <v>718.8</v>
      </c>
      <c r="AB115" s="150">
        <f t="shared" si="136"/>
        <v>734.4</v>
      </c>
      <c r="AC115" s="188">
        <v>106</v>
      </c>
      <c r="AD115" s="1" t="b">
        <f t="shared" si="28"/>
        <v>1</v>
      </c>
      <c r="AE115" s="1">
        <f t="shared" si="29"/>
        <v>0.908778427544291</v>
      </c>
      <c r="AF115" s="1">
        <f t="shared" si="30"/>
        <v>138.934623074219</v>
      </c>
      <c r="AG115" s="1">
        <f t="shared" si="31"/>
        <v>138.934623074219</v>
      </c>
      <c r="AH115" s="2">
        <f t="shared" si="137"/>
        <v>0.998470454831363</v>
      </c>
      <c r="AI115" s="1">
        <f t="shared" si="33"/>
        <v>2.55932028533167</v>
      </c>
      <c r="AJ115" s="191">
        <f t="shared" si="174"/>
        <v>0</v>
      </c>
      <c r="AK115" s="191">
        <f t="shared" si="175"/>
        <v>0</v>
      </c>
      <c r="AL115" s="191">
        <f t="shared" si="138"/>
        <v>93.5634100570486</v>
      </c>
      <c r="AM115" s="20">
        <f t="shared" si="139"/>
        <v>33.0649851406838</v>
      </c>
      <c r="AN115" s="191">
        <f t="shared" si="140"/>
        <v>86.9523683921593</v>
      </c>
      <c r="AO115" s="134">
        <f t="shared" si="141"/>
        <v>84</v>
      </c>
      <c r="AP115" s="64">
        <f t="shared" si="38"/>
        <v>73</v>
      </c>
      <c r="AQ115" s="1">
        <f t="shared" si="167"/>
        <v>92.5667463086453</v>
      </c>
      <c r="AR115" s="20">
        <f t="shared" si="142"/>
        <v>18.8393210519083</v>
      </c>
      <c r="AS115" s="1">
        <f t="shared" si="143"/>
        <v>89.0912057284864</v>
      </c>
      <c r="AT115" s="134">
        <f t="shared" si="144"/>
        <v>93</v>
      </c>
      <c r="AU115" s="64">
        <f t="shared" si="145"/>
        <v>84</v>
      </c>
      <c r="AV115" s="65">
        <f t="shared" si="146"/>
        <v>45683.84806053</v>
      </c>
      <c r="AW115" s="65">
        <f t="shared" si="147"/>
        <v>45683.7646751142</v>
      </c>
      <c r="AX115" s="1">
        <f t="shared" si="148"/>
        <v>282</v>
      </c>
      <c r="AY115" s="1">
        <f t="shared" si="149"/>
        <v>-21</v>
      </c>
      <c r="AZ115" s="131">
        <f t="shared" si="150"/>
        <v>718.8</v>
      </c>
      <c r="BA115" s="1">
        <f t="shared" si="151"/>
        <v>734.4</v>
      </c>
      <c r="BB115" s="1">
        <f t="shared" si="49"/>
        <v>42368779.5469921</v>
      </c>
      <c r="BC115" s="1">
        <f t="shared" si="50"/>
        <v>57</v>
      </c>
      <c r="BD115" s="1">
        <f t="shared" si="152"/>
        <v>57479902.6583734</v>
      </c>
      <c r="BE115" s="1">
        <f t="shared" si="153"/>
        <v>71</v>
      </c>
      <c r="BF115" s="20">
        <f t="shared" si="53"/>
        <v>118.843495639326</v>
      </c>
      <c r="BG115" s="1">
        <f t="shared" si="154"/>
        <v>-876.705018061584</v>
      </c>
      <c r="BH115" s="1">
        <f t="shared" si="155"/>
        <v>-482.839715398778</v>
      </c>
      <c r="BI115" s="1">
        <f t="shared" si="156"/>
        <v>15.87634694054</v>
      </c>
      <c r="BJ115" s="1">
        <f t="shared" si="157"/>
        <v>-876.705018061584</v>
      </c>
      <c r="BK115" s="1">
        <f t="shared" si="158"/>
        <v>-482.839715398778</v>
      </c>
      <c r="BL115" s="1">
        <f t="shared" si="159"/>
        <v>15.87634694054</v>
      </c>
      <c r="BM115" s="61">
        <f t="shared" si="160"/>
        <v>22461208.5474665</v>
      </c>
      <c r="BN115" s="61">
        <f t="shared" si="161"/>
        <v>37185262.1251147</v>
      </c>
      <c r="BO115" s="61">
        <f t="shared" si="162"/>
        <v>15.87634694054</v>
      </c>
      <c r="BQ115" s="1" t="str">
        <f t="shared" si="63"/>
        <v>N 00° 54.5' / E 138° 56.1'</v>
      </c>
      <c r="BR115" s="1" t="str">
        <f t="shared" si="64"/>
        <v>54N 463963 015865</v>
      </c>
      <c r="BS115" s="1" t="str">
        <f t="shared" si="65"/>
        <v>54N VF 639158</v>
      </c>
      <c r="BT115" s="1" t="b">
        <f t="shared" si="66"/>
        <v>0</v>
      </c>
      <c r="BU115" s="1" t="str">
        <f t="shared" si="67"/>
        <v>54N</v>
      </c>
      <c r="BV115" s="1">
        <f t="shared" si="68"/>
        <v>54</v>
      </c>
      <c r="BW115" s="1">
        <f t="shared" si="69"/>
        <v>0</v>
      </c>
      <c r="BX115" s="1">
        <f t="shared" si="70"/>
        <v>141</v>
      </c>
      <c r="BY115" s="1">
        <f t="shared" si="163"/>
        <v>-36036.4775378936</v>
      </c>
      <c r="BZ115" s="1">
        <f t="shared" si="72"/>
        <v>463963.5225</v>
      </c>
      <c r="CA115" s="1" t="str">
        <f t="shared" si="73"/>
        <v>V</v>
      </c>
      <c r="CB115" s="1" t="str">
        <f t="shared" si="74"/>
        <v>463963</v>
      </c>
      <c r="CC115" s="1" t="str">
        <f t="shared" si="75"/>
        <v>63963</v>
      </c>
      <c r="CD115" s="1">
        <f t="shared" si="164"/>
        <v>15865.1362447822</v>
      </c>
      <c r="CE115" s="1">
        <f t="shared" si="77"/>
        <v>15865.1362</v>
      </c>
      <c r="CF115" s="1" t="str">
        <f t="shared" si="78"/>
        <v>F</v>
      </c>
      <c r="CG115" s="1" t="str">
        <f t="shared" si="79"/>
        <v>015865</v>
      </c>
      <c r="CH115" s="1" t="str">
        <f t="shared" si="80"/>
        <v>15865</v>
      </c>
      <c r="CJ115" s="1">
        <f t="shared" si="81"/>
        <v>638</v>
      </c>
      <c r="CK115" s="1" t="str">
        <f t="shared" si="82"/>
        <v>HP</v>
      </c>
      <c r="CL115" s="1">
        <f t="shared" si="83"/>
        <v>2</v>
      </c>
      <c r="CM115" s="1">
        <f t="shared" si="84"/>
        <v>6</v>
      </c>
      <c r="CN115" s="1">
        <f t="shared" si="85"/>
        <v>2</v>
      </c>
      <c r="CO115" s="1">
        <f t="shared" si="86"/>
        <v>1</v>
      </c>
      <c r="CP115" s="1" t="str">
        <f t="shared" si="87"/>
        <v>638HP26</v>
      </c>
      <c r="CR115" s="1" t="e">
        <f t="shared" si="88"/>
        <v>#VALUE!</v>
      </c>
      <c r="CS115" s="1" t="e">
        <f t="shared" si="89"/>
        <v>#VALUE!</v>
      </c>
      <c r="CT115" s="1">
        <f t="shared" si="90"/>
        <v>3</v>
      </c>
      <c r="CU115" s="1">
        <f t="shared" si="91"/>
        <v>1</v>
      </c>
      <c r="CV115" s="131" t="e">
        <f t="shared" si="92"/>
        <v>#VALUE!</v>
      </c>
      <c r="CW115" s="131">
        <v>1086.9</v>
      </c>
      <c r="CX115" s="131">
        <v>1740.3</v>
      </c>
      <c r="CY115" s="131">
        <v>1766.4</v>
      </c>
      <c r="CZ115" s="131">
        <v>2228.8</v>
      </c>
      <c r="DA115" s="131">
        <v>2290.7</v>
      </c>
      <c r="DC115" s="154">
        <f t="shared" si="93"/>
        <v>754.61837282719</v>
      </c>
      <c r="DD115" s="154">
        <f t="shared" si="94"/>
        <v>15.87634694054</v>
      </c>
      <c r="DE115" s="154">
        <f t="shared" si="95"/>
        <v>657.4929587854</v>
      </c>
      <c r="DF115" s="1">
        <f t="shared" si="96"/>
        <v>41.0590978274547</v>
      </c>
      <c r="DG115" s="1">
        <f t="shared" si="97"/>
        <v>1.20526285602381</v>
      </c>
      <c r="DH115" s="1">
        <f t="shared" si="98"/>
        <v>175</v>
      </c>
      <c r="DI115" s="1">
        <f t="shared" si="165"/>
        <v>183</v>
      </c>
      <c r="DJ115" s="1">
        <f t="shared" si="166"/>
        <v>13</v>
      </c>
      <c r="DK115" s="1">
        <f t="shared" si="101"/>
        <v>175</v>
      </c>
      <c r="DL115" s="1">
        <f t="shared" si="102"/>
        <v>183</v>
      </c>
      <c r="DM115" s="1">
        <f t="shared" si="103"/>
        <v>13</v>
      </c>
    </row>
    <row r="116" customHeight="1" spans="1:117">
      <c r="A116" s="152" t="str">
        <f t="shared" si="176"/>
        <v>River 54N-639</v>
      </c>
      <c r="C116" s="55" t="str">
        <f t="shared" si="5"/>
        <v>N 00° 56.7' / E 139° 16.4'</v>
      </c>
      <c r="D116" s="150" t="str">
        <f t="shared" si="6"/>
        <v>1131 m</v>
      </c>
      <c r="E116" s="151">
        <f t="shared" si="117"/>
        <v>1739.9</v>
      </c>
      <c r="F116" s="151">
        <f t="shared" si="118"/>
        <v>1767</v>
      </c>
      <c r="G116" s="151">
        <f t="shared" si="119"/>
        <v>1092.8</v>
      </c>
      <c r="H116" s="151">
        <f t="shared" si="120"/>
        <v>2226</v>
      </c>
      <c r="I116" s="151">
        <f t="shared" si="121"/>
        <v>2293.2</v>
      </c>
      <c r="J116" s="171">
        <f t="shared" si="122"/>
        <v>943.7</v>
      </c>
      <c r="K116" s="172">
        <f t="shared" si="177"/>
        <v>-758.59063795013</v>
      </c>
      <c r="L116" s="172">
        <f t="shared" si="178"/>
        <v>653.09384087314</v>
      </c>
      <c r="M116" s="173">
        <f t="shared" si="179"/>
        <v>16.50549280405</v>
      </c>
      <c r="N116" s="54">
        <f t="shared" si="123"/>
        <v>0.0893912076163096</v>
      </c>
      <c r="O116" s="55" t="str">
        <f t="shared" si="124"/>
        <v>Morning / Sets in 87m</v>
      </c>
      <c r="P116" s="55" t="str">
        <f t="shared" si="15"/>
        <v>175°M / +57°</v>
      </c>
      <c r="Q116" s="56">
        <f t="shared" si="125"/>
        <v>45683.8484051078</v>
      </c>
      <c r="R116" s="56">
        <f t="shared" si="126"/>
        <v>45683.8541273298</v>
      </c>
      <c r="S116" s="56">
        <f t="shared" si="127"/>
        <v>45683.7271562711</v>
      </c>
      <c r="T116" s="56">
        <f t="shared" si="128"/>
        <v>45683.771851875</v>
      </c>
      <c r="U116" s="180">
        <f t="shared" si="129"/>
        <v>45683.777574097</v>
      </c>
      <c r="V116" s="55" t="str">
        <f t="shared" si="130"/>
        <v>Sets in 76m</v>
      </c>
      <c r="W116" s="55" t="str">
        <f t="shared" si="131"/>
        <v>184°M / +71°</v>
      </c>
      <c r="X116" s="56">
        <f t="shared" si="132"/>
        <v>45683.8478202407</v>
      </c>
      <c r="Y116" s="180">
        <f t="shared" si="133"/>
        <v>45683.7645918959</v>
      </c>
      <c r="Z116" s="55" t="str">
        <f t="shared" si="134"/>
        <v>013°M / -21°</v>
      </c>
      <c r="AA116" s="151">
        <f t="shared" si="135"/>
        <v>724.2</v>
      </c>
      <c r="AB116" s="150">
        <f t="shared" si="136"/>
        <v>740</v>
      </c>
      <c r="AC116" s="188">
        <v>107</v>
      </c>
      <c r="AD116" s="1" t="b">
        <f t="shared" si="28"/>
        <v>1</v>
      </c>
      <c r="AE116" s="1">
        <f t="shared" si="29"/>
        <v>0.944669280034204</v>
      </c>
      <c r="AF116" s="1">
        <f t="shared" si="30"/>
        <v>139.273834913185</v>
      </c>
      <c r="AG116" s="1">
        <f t="shared" si="31"/>
        <v>139.273834913185</v>
      </c>
      <c r="AH116" s="2">
        <f t="shared" si="137"/>
        <v>1.13123628459425</v>
      </c>
      <c r="AI116" s="1">
        <f t="shared" si="33"/>
        <v>2.72401622878725</v>
      </c>
      <c r="AJ116" s="191">
        <f t="shared" si="174"/>
        <v>0</v>
      </c>
      <c r="AK116" s="191">
        <f t="shared" si="175"/>
        <v>0</v>
      </c>
      <c r="AL116" s="191">
        <f t="shared" si="138"/>
        <v>93.7305889018243</v>
      </c>
      <c r="AM116" s="20">
        <f t="shared" si="139"/>
        <v>32.7257733017175</v>
      </c>
      <c r="AN116" s="191">
        <f t="shared" si="140"/>
        <v>86.9882600787039</v>
      </c>
      <c r="AO116" s="134">
        <f t="shared" si="141"/>
        <v>84</v>
      </c>
      <c r="AP116" s="64">
        <f t="shared" si="38"/>
        <v>73</v>
      </c>
      <c r="AQ116" s="1">
        <f t="shared" si="167"/>
        <v>92.7314422521008</v>
      </c>
      <c r="AR116" s="20">
        <f t="shared" si="142"/>
        <v>18.5001092129419</v>
      </c>
      <c r="AS116" s="1">
        <f t="shared" si="143"/>
        <v>89.0553142576218</v>
      </c>
      <c r="AT116" s="134">
        <f t="shared" si="144"/>
        <v>93</v>
      </c>
      <c r="AU116" s="64">
        <f t="shared" si="145"/>
        <v>84</v>
      </c>
      <c r="AV116" s="65">
        <f t="shared" si="146"/>
        <v>45683.8478202407</v>
      </c>
      <c r="AW116" s="65">
        <f t="shared" si="147"/>
        <v>45683.7645918959</v>
      </c>
      <c r="AX116" s="1">
        <f t="shared" si="148"/>
        <v>282</v>
      </c>
      <c r="AY116" s="1">
        <f t="shared" si="149"/>
        <v>-21</v>
      </c>
      <c r="AZ116" s="131">
        <f t="shared" si="150"/>
        <v>724.2</v>
      </c>
      <c r="BA116" s="1">
        <f t="shared" si="151"/>
        <v>740</v>
      </c>
      <c r="BB116" s="1">
        <f t="shared" si="49"/>
        <v>42368776.1901002</v>
      </c>
      <c r="BC116" s="1">
        <f t="shared" si="50"/>
        <v>57</v>
      </c>
      <c r="BD116" s="1">
        <f t="shared" si="152"/>
        <v>57479900.6452403</v>
      </c>
      <c r="BE116" s="1">
        <f t="shared" si="153"/>
        <v>71</v>
      </c>
      <c r="BF116" s="20">
        <f t="shared" si="53"/>
        <v>119.182707478293</v>
      </c>
      <c r="BG116" s="1">
        <f t="shared" si="154"/>
        <v>-873.938127395365</v>
      </c>
      <c r="BH116" s="1">
        <f t="shared" si="155"/>
        <v>-488.081417856384</v>
      </c>
      <c r="BI116" s="1">
        <f t="shared" si="156"/>
        <v>16.50549280405</v>
      </c>
      <c r="BJ116" s="1">
        <f t="shared" si="157"/>
        <v>-873.938127395365</v>
      </c>
      <c r="BK116" s="1">
        <f t="shared" si="158"/>
        <v>-488.081417856384</v>
      </c>
      <c r="BL116" s="1">
        <f t="shared" si="159"/>
        <v>16.50549280405</v>
      </c>
      <c r="BM116" s="61">
        <f t="shared" si="160"/>
        <v>22461211.3143572</v>
      </c>
      <c r="BN116" s="61">
        <f t="shared" si="161"/>
        <v>37185256.8834122</v>
      </c>
      <c r="BO116" s="61">
        <f t="shared" si="162"/>
        <v>16.50549280405</v>
      </c>
      <c r="BQ116" s="1" t="str">
        <f t="shared" si="63"/>
        <v>N 00° 56.7' / E 139° 16.4'</v>
      </c>
      <c r="BR116" s="1" t="str">
        <f t="shared" si="64"/>
        <v>54N 469884 016488</v>
      </c>
      <c r="BS116" s="1" t="str">
        <f t="shared" si="65"/>
        <v>54N VF 698164</v>
      </c>
      <c r="BT116" s="1" t="b">
        <f t="shared" si="66"/>
        <v>0</v>
      </c>
      <c r="BU116" s="1" t="str">
        <f t="shared" si="67"/>
        <v>54N</v>
      </c>
      <c r="BV116" s="1">
        <f t="shared" si="68"/>
        <v>54</v>
      </c>
      <c r="BW116" s="1">
        <f t="shared" si="69"/>
        <v>0</v>
      </c>
      <c r="BX116" s="1">
        <f t="shared" si="70"/>
        <v>141</v>
      </c>
      <c r="BY116" s="1">
        <f t="shared" si="163"/>
        <v>-30115.6737421092</v>
      </c>
      <c r="BZ116" s="1">
        <f t="shared" si="72"/>
        <v>469884.3263</v>
      </c>
      <c r="CA116" s="1" t="str">
        <f t="shared" si="73"/>
        <v>V</v>
      </c>
      <c r="CB116" s="1" t="str">
        <f t="shared" si="74"/>
        <v>469884</v>
      </c>
      <c r="CC116" s="1" t="str">
        <f t="shared" si="75"/>
        <v>69884</v>
      </c>
      <c r="CD116" s="1">
        <f t="shared" si="164"/>
        <v>16488.4752202738</v>
      </c>
      <c r="CE116" s="1">
        <f t="shared" si="77"/>
        <v>16488.4752</v>
      </c>
      <c r="CF116" s="1" t="str">
        <f t="shared" si="78"/>
        <v>F</v>
      </c>
      <c r="CG116" s="1" t="str">
        <f t="shared" si="79"/>
        <v>016488</v>
      </c>
      <c r="CH116" s="1" t="str">
        <f t="shared" si="80"/>
        <v>16488</v>
      </c>
      <c r="CJ116" s="1">
        <f t="shared" si="81"/>
        <v>639</v>
      </c>
      <c r="CK116" s="1" t="str">
        <f t="shared" si="82"/>
        <v>HP</v>
      </c>
      <c r="CL116" s="1">
        <f t="shared" si="83"/>
        <v>2</v>
      </c>
      <c r="CM116" s="1">
        <f t="shared" si="84"/>
        <v>1</v>
      </c>
      <c r="CN116" s="1">
        <f t="shared" si="85"/>
        <v>0</v>
      </c>
      <c r="CO116" s="1">
        <f t="shared" si="86"/>
        <v>2</v>
      </c>
      <c r="CP116" s="1" t="str">
        <f t="shared" si="87"/>
        <v>639HP21</v>
      </c>
      <c r="CR116" s="1" t="e">
        <f t="shared" si="88"/>
        <v>#VALUE!</v>
      </c>
      <c r="CS116" s="1" t="e">
        <f t="shared" si="89"/>
        <v>#VALUE!</v>
      </c>
      <c r="CT116" s="1">
        <f t="shared" si="90"/>
        <v>3</v>
      </c>
      <c r="CU116" s="1">
        <f t="shared" si="91"/>
        <v>1</v>
      </c>
      <c r="CV116" s="131" t="e">
        <f t="shared" si="92"/>
        <v>#VALUE!</v>
      </c>
      <c r="CW116" s="131">
        <v>1092.8</v>
      </c>
      <c r="CX116" s="131">
        <v>1739.9</v>
      </c>
      <c r="CY116" s="131">
        <v>1767</v>
      </c>
      <c r="CZ116" s="131">
        <v>2226</v>
      </c>
      <c r="DA116" s="131">
        <v>2293.2</v>
      </c>
      <c r="DC116" s="154">
        <f t="shared" si="93"/>
        <v>758.59063795013</v>
      </c>
      <c r="DD116" s="154">
        <f t="shared" si="94"/>
        <v>16.50549280405</v>
      </c>
      <c r="DE116" s="154">
        <f t="shared" si="95"/>
        <v>653.09384087314</v>
      </c>
      <c r="DF116" s="1">
        <f t="shared" si="96"/>
        <v>40.7194609424883</v>
      </c>
      <c r="DG116" s="1">
        <f t="shared" si="97"/>
        <v>1.24645076818801</v>
      </c>
      <c r="DH116" s="1">
        <f t="shared" si="98"/>
        <v>175</v>
      </c>
      <c r="DI116" s="1">
        <f t="shared" si="165"/>
        <v>184</v>
      </c>
      <c r="DJ116" s="1">
        <f t="shared" si="166"/>
        <v>13</v>
      </c>
      <c r="DK116" s="1">
        <f t="shared" si="101"/>
        <v>175</v>
      </c>
      <c r="DL116" s="1">
        <f t="shared" si="102"/>
        <v>184</v>
      </c>
      <c r="DM116" s="1">
        <f t="shared" si="103"/>
        <v>13</v>
      </c>
    </row>
    <row r="117" customHeight="1" spans="1:117">
      <c r="A117" s="152" t="str">
        <f t="shared" si="176"/>
        <v>River 54N-642</v>
      </c>
      <c r="C117" s="55" t="str">
        <f t="shared" si="5"/>
        <v>N 00° 41.6' / E 140° 52.9'</v>
      </c>
      <c r="D117" s="150" t="str">
        <f t="shared" si="6"/>
        <v>1505 m</v>
      </c>
      <c r="E117" s="151">
        <f t="shared" si="117"/>
        <v>1743.7</v>
      </c>
      <c r="F117" s="151">
        <f t="shared" si="118"/>
        <v>1763.6</v>
      </c>
      <c r="G117" s="151">
        <f t="shared" si="119"/>
        <v>1120.8</v>
      </c>
      <c r="H117" s="151">
        <f t="shared" si="120"/>
        <v>2212.4</v>
      </c>
      <c r="I117" s="151">
        <f t="shared" si="121"/>
        <v>2304.9</v>
      </c>
      <c r="J117" s="171">
        <f t="shared" si="122"/>
        <v>915.7</v>
      </c>
      <c r="K117" s="172">
        <f t="shared" si="177"/>
        <v>-776.95680492816</v>
      </c>
      <c r="L117" s="172">
        <f t="shared" si="178"/>
        <v>631.82575742003</v>
      </c>
      <c r="M117" s="173">
        <f t="shared" si="179"/>
        <v>12.12209835673</v>
      </c>
      <c r="N117" s="54">
        <f t="shared" si="123"/>
        <v>0.089772942292523</v>
      </c>
      <c r="O117" s="55" t="str">
        <f t="shared" si="124"/>
        <v>Morning / Sets in 86m</v>
      </c>
      <c r="P117" s="55" t="str">
        <f t="shared" si="15"/>
        <v>174°M / +59°</v>
      </c>
      <c r="Q117" s="56">
        <f t="shared" si="125"/>
        <v>45683.8474474832</v>
      </c>
      <c r="R117" s="56">
        <f t="shared" si="126"/>
        <v>45683.8531697053</v>
      </c>
      <c r="S117" s="56">
        <f t="shared" si="127"/>
        <v>45683.726389514</v>
      </c>
      <c r="T117" s="56">
        <f t="shared" si="128"/>
        <v>45683.7712759851</v>
      </c>
      <c r="U117" s="180">
        <f t="shared" si="129"/>
        <v>45683.7769982072</v>
      </c>
      <c r="V117" s="55" t="str">
        <f t="shared" si="130"/>
        <v>Sets in 76m</v>
      </c>
      <c r="W117" s="55" t="str">
        <f t="shared" si="131"/>
        <v>183°M / +73°</v>
      </c>
      <c r="X117" s="56">
        <f t="shared" si="132"/>
        <v>45683.8468543316</v>
      </c>
      <c r="Y117" s="180">
        <f t="shared" si="133"/>
        <v>45683.7640242907</v>
      </c>
      <c r="Z117" s="55" t="str">
        <f t="shared" si="134"/>
        <v>012°M / -22°</v>
      </c>
      <c r="AA117" s="151">
        <f t="shared" si="135"/>
        <v>750.7</v>
      </c>
      <c r="AB117" s="150">
        <f t="shared" si="136"/>
        <v>768.4</v>
      </c>
      <c r="AC117" s="188">
        <v>108</v>
      </c>
      <c r="AD117" s="1" t="b">
        <f t="shared" si="28"/>
        <v>1</v>
      </c>
      <c r="AE117" s="1">
        <f t="shared" si="29"/>
        <v>0.693518170532018</v>
      </c>
      <c r="AF117" s="1">
        <f t="shared" si="30"/>
        <v>140.881791765858</v>
      </c>
      <c r="AG117" s="1">
        <f t="shared" si="31"/>
        <v>140.881791765858</v>
      </c>
      <c r="AH117" s="2">
        <f t="shared" si="137"/>
        <v>1.50517209455268</v>
      </c>
      <c r="AI117" s="1">
        <f t="shared" si="33"/>
        <v>3.14165519349524</v>
      </c>
      <c r="AJ117" s="191">
        <f t="shared" si="174"/>
        <v>0</v>
      </c>
      <c r="AK117" s="191">
        <f t="shared" si="175"/>
        <v>0</v>
      </c>
      <c r="AL117" s="191">
        <f t="shared" si="138"/>
        <v>94.1308543972779</v>
      </c>
      <c r="AM117" s="20">
        <f t="shared" si="139"/>
        <v>31.1178164490447</v>
      </c>
      <c r="AN117" s="191">
        <f t="shared" si="140"/>
        <v>86.7371030237239</v>
      </c>
      <c r="AO117" s="134">
        <f t="shared" si="141"/>
        <v>84</v>
      </c>
      <c r="AP117" s="64">
        <f t="shared" si="38"/>
        <v>74</v>
      </c>
      <c r="AQ117" s="1">
        <f t="shared" si="167"/>
        <v>93.1490812168088</v>
      </c>
      <c r="AR117" s="20">
        <f t="shared" si="142"/>
        <v>16.8921523602691</v>
      </c>
      <c r="AS117" s="1">
        <f t="shared" si="143"/>
        <v>89.3064697613006</v>
      </c>
      <c r="AT117" s="134">
        <f t="shared" si="144"/>
        <v>92</v>
      </c>
      <c r="AU117" s="64">
        <f t="shared" si="145"/>
        <v>85</v>
      </c>
      <c r="AV117" s="65">
        <f t="shared" si="146"/>
        <v>45683.8468543316</v>
      </c>
      <c r="AW117" s="65">
        <f t="shared" si="147"/>
        <v>45683.7640242907</v>
      </c>
      <c r="AX117" s="1">
        <f t="shared" si="148"/>
        <v>282</v>
      </c>
      <c r="AY117" s="1">
        <f t="shared" si="149"/>
        <v>-22</v>
      </c>
      <c r="AZ117" s="131">
        <f t="shared" si="150"/>
        <v>750.7</v>
      </c>
      <c r="BA117" s="1">
        <f t="shared" si="151"/>
        <v>768.4</v>
      </c>
      <c r="BB117" s="1">
        <f t="shared" si="49"/>
        <v>42368761.3012145</v>
      </c>
      <c r="BC117" s="1">
        <f t="shared" si="50"/>
        <v>59</v>
      </c>
      <c r="BD117" s="1">
        <f t="shared" si="152"/>
        <v>57479891.6884654</v>
      </c>
      <c r="BE117" s="1">
        <f t="shared" si="153"/>
        <v>73</v>
      </c>
      <c r="BF117" s="20">
        <f t="shared" si="53"/>
        <v>120.790664330965</v>
      </c>
      <c r="BG117" s="1">
        <f t="shared" si="154"/>
        <v>-860.273301254262</v>
      </c>
      <c r="BH117" s="1">
        <f t="shared" si="155"/>
        <v>-512.635846983668</v>
      </c>
      <c r="BI117" s="1">
        <f t="shared" si="156"/>
        <v>12.12209835673</v>
      </c>
      <c r="BJ117" s="1">
        <f t="shared" si="157"/>
        <v>-860.273301254262</v>
      </c>
      <c r="BK117" s="1">
        <f t="shared" si="158"/>
        <v>-512.635846983668</v>
      </c>
      <c r="BL117" s="1">
        <f t="shared" si="159"/>
        <v>12.12209835673</v>
      </c>
      <c r="BM117" s="61">
        <f t="shared" si="160"/>
        <v>22461224.9791833</v>
      </c>
      <c r="BN117" s="61">
        <f t="shared" si="161"/>
        <v>37185232.3289831</v>
      </c>
      <c r="BO117" s="61">
        <f t="shared" si="162"/>
        <v>12.12209835673</v>
      </c>
      <c r="BQ117" s="1" t="str">
        <f t="shared" si="63"/>
        <v>N 00° 41.6' / E 140° 52.9'</v>
      </c>
      <c r="BR117" s="1" t="str">
        <f t="shared" si="64"/>
        <v>54N 497937 012099</v>
      </c>
      <c r="BS117" s="1" t="str">
        <f t="shared" si="65"/>
        <v>54N VF 979120</v>
      </c>
      <c r="BT117" s="1" t="b">
        <f t="shared" si="66"/>
        <v>0</v>
      </c>
      <c r="BU117" s="1" t="str">
        <f t="shared" si="67"/>
        <v>54N</v>
      </c>
      <c r="BV117" s="1">
        <f t="shared" si="68"/>
        <v>54</v>
      </c>
      <c r="BW117" s="1">
        <f t="shared" si="69"/>
        <v>0</v>
      </c>
      <c r="BX117" s="1">
        <f t="shared" si="70"/>
        <v>141</v>
      </c>
      <c r="BY117" s="1">
        <f t="shared" si="163"/>
        <v>-2062.14802921266</v>
      </c>
      <c r="BZ117" s="1">
        <f t="shared" si="72"/>
        <v>497937.852</v>
      </c>
      <c r="CA117" s="1" t="str">
        <f t="shared" si="73"/>
        <v>V</v>
      </c>
      <c r="CB117" s="1" t="str">
        <f t="shared" si="74"/>
        <v>497937</v>
      </c>
      <c r="CC117" s="1" t="str">
        <f t="shared" si="75"/>
        <v>97937</v>
      </c>
      <c r="CD117" s="1">
        <f t="shared" si="164"/>
        <v>12099.3595757849</v>
      </c>
      <c r="CE117" s="1">
        <f t="shared" si="77"/>
        <v>12099.3596</v>
      </c>
      <c r="CF117" s="1" t="str">
        <f t="shared" si="78"/>
        <v>F</v>
      </c>
      <c r="CG117" s="1" t="str">
        <f t="shared" si="79"/>
        <v>012099</v>
      </c>
      <c r="CH117" s="1" t="str">
        <f t="shared" si="80"/>
        <v>12099</v>
      </c>
      <c r="CJ117" s="1">
        <f t="shared" si="81"/>
        <v>642</v>
      </c>
      <c r="CK117" s="1" t="str">
        <f t="shared" si="82"/>
        <v>HP</v>
      </c>
      <c r="CL117" s="1">
        <f t="shared" si="83"/>
        <v>4</v>
      </c>
      <c r="CM117" s="1">
        <f t="shared" si="84"/>
        <v>2</v>
      </c>
      <c r="CN117" s="1">
        <f t="shared" si="85"/>
        <v>1</v>
      </c>
      <c r="CO117" s="1">
        <f t="shared" si="86"/>
        <v>2</v>
      </c>
      <c r="CP117" s="1" t="str">
        <f t="shared" si="87"/>
        <v>642HP42</v>
      </c>
      <c r="CR117" s="1" t="e">
        <f t="shared" si="88"/>
        <v>#VALUE!</v>
      </c>
      <c r="CS117" s="1" t="e">
        <f t="shared" si="89"/>
        <v>#VALUE!</v>
      </c>
      <c r="CT117" s="1">
        <f t="shared" si="90"/>
        <v>3</v>
      </c>
      <c r="CU117" s="1">
        <f t="shared" si="91"/>
        <v>1</v>
      </c>
      <c r="CV117" s="131" t="e">
        <f t="shared" si="92"/>
        <v>#VALUE!</v>
      </c>
      <c r="CW117" s="131">
        <v>1120.8</v>
      </c>
      <c r="CX117" s="131">
        <v>1743.7</v>
      </c>
      <c r="CY117" s="131">
        <v>1763.6</v>
      </c>
      <c r="CZ117" s="131">
        <v>2212.4</v>
      </c>
      <c r="DA117" s="131">
        <v>2304.9</v>
      </c>
      <c r="DC117" s="154">
        <f t="shared" si="93"/>
        <v>776.95680492816</v>
      </c>
      <c r="DD117" s="154">
        <f t="shared" si="94"/>
        <v>12.12209835673</v>
      </c>
      <c r="DE117" s="154">
        <f t="shared" si="95"/>
        <v>631.82575742003</v>
      </c>
      <c r="DF117" s="1">
        <f t="shared" si="96"/>
        <v>39.1147951445283</v>
      </c>
      <c r="DG117" s="1">
        <f t="shared" si="97"/>
        <v>0.893857576629326</v>
      </c>
      <c r="DH117" s="1">
        <f t="shared" si="98"/>
        <v>174</v>
      </c>
      <c r="DI117" s="1">
        <f t="shared" si="165"/>
        <v>183</v>
      </c>
      <c r="DJ117" s="1">
        <f t="shared" si="166"/>
        <v>12</v>
      </c>
      <c r="DK117" s="1">
        <f t="shared" si="101"/>
        <v>174</v>
      </c>
      <c r="DL117" s="1">
        <f t="shared" si="102"/>
        <v>183</v>
      </c>
      <c r="DM117" s="1">
        <f t="shared" si="103"/>
        <v>12</v>
      </c>
    </row>
    <row r="118" customHeight="1" spans="1:117">
      <c r="A118" s="152" t="str">
        <f t="shared" si="176"/>
        <v>River 54N-647</v>
      </c>
      <c r="C118" s="55" t="str">
        <f t="shared" si="5"/>
        <v>N 00° 20.9' / E 143° 23.7'</v>
      </c>
      <c r="D118" s="150" t="str">
        <f t="shared" si="6"/>
        <v>1126 m</v>
      </c>
      <c r="E118" s="151">
        <f t="shared" si="117"/>
        <v>1748.5</v>
      </c>
      <c r="F118" s="151">
        <f t="shared" si="118"/>
        <v>1758.5</v>
      </c>
      <c r="G118" s="151">
        <f t="shared" si="119"/>
        <v>1164.4</v>
      </c>
      <c r="H118" s="151">
        <f t="shared" si="120"/>
        <v>2189.4</v>
      </c>
      <c r="I118" s="151">
        <f t="shared" si="121"/>
        <v>2321.3</v>
      </c>
      <c r="J118" s="171">
        <f t="shared" si="122"/>
        <v>872.2</v>
      </c>
      <c r="K118" s="172">
        <f t="shared" si="177"/>
        <v>-803.65533737428</v>
      </c>
      <c r="L118" s="172">
        <f t="shared" si="178"/>
        <v>596.95426384438</v>
      </c>
      <c r="M118" s="173">
        <f t="shared" si="179"/>
        <v>6.09849944024</v>
      </c>
      <c r="N118" s="54">
        <f t="shared" si="123"/>
        <v>0.0893460255798533</v>
      </c>
      <c r="O118" s="55" t="str">
        <f t="shared" si="124"/>
        <v>Morning / Sets in 84m</v>
      </c>
      <c r="P118" s="55" t="str">
        <f t="shared" si="15"/>
        <v>173°M / +61°</v>
      </c>
      <c r="Q118" s="56">
        <f t="shared" si="125"/>
        <v>45683.8464624767</v>
      </c>
      <c r="R118" s="56">
        <f t="shared" si="126"/>
        <v>45683.8521846988</v>
      </c>
      <c r="S118" s="56">
        <f t="shared" si="127"/>
        <v>45683.7251910491</v>
      </c>
      <c r="T118" s="56">
        <f t="shared" si="128"/>
        <v>45683.7698640619</v>
      </c>
      <c r="U118" s="180">
        <f t="shared" si="129"/>
        <v>45683.775586284</v>
      </c>
      <c r="V118" s="55" t="str">
        <f t="shared" si="130"/>
        <v>Sets in 74m</v>
      </c>
      <c r="W118" s="55" t="str">
        <f t="shared" si="131"/>
        <v>182°M / +76°</v>
      </c>
      <c r="X118" s="56">
        <f t="shared" si="132"/>
        <v>45683.8458579629</v>
      </c>
      <c r="Y118" s="180">
        <f t="shared" si="133"/>
        <v>45683.7626237296</v>
      </c>
      <c r="Z118" s="55" t="str">
        <f t="shared" si="134"/>
        <v>012°M / -23°</v>
      </c>
      <c r="AA118" s="151">
        <f t="shared" si="135"/>
        <v>791.4</v>
      </c>
      <c r="AB118" s="150">
        <f t="shared" si="136"/>
        <v>812.6</v>
      </c>
      <c r="AC118" s="188">
        <v>109</v>
      </c>
      <c r="AD118" s="1" t="b">
        <f t="shared" si="28"/>
        <v>1</v>
      </c>
      <c r="AE118" s="1">
        <f t="shared" si="29"/>
        <v>0.349027397473446</v>
      </c>
      <c r="AF118" s="1">
        <f t="shared" si="30"/>
        <v>143.395077335292</v>
      </c>
      <c r="AG118" s="1">
        <f t="shared" si="31"/>
        <v>143.395077335292</v>
      </c>
      <c r="AH118" s="2">
        <f t="shared" si="137"/>
        <v>1.12610899305582</v>
      </c>
      <c r="AI118" s="1">
        <f t="shared" si="33"/>
        <v>2.71784176113893</v>
      </c>
      <c r="AJ118" s="191">
        <f t="shared" si="174"/>
        <v>0</v>
      </c>
      <c r="AK118" s="191">
        <f t="shared" si="175"/>
        <v>0</v>
      </c>
      <c r="AL118" s="191">
        <f t="shared" si="138"/>
        <v>93.6832135614776</v>
      </c>
      <c r="AM118" s="20">
        <f t="shared" si="139"/>
        <v>28.6045308796105</v>
      </c>
      <c r="AN118" s="191">
        <f t="shared" si="140"/>
        <v>86.3926041523747</v>
      </c>
      <c r="AO118" s="134">
        <f t="shared" si="141"/>
        <v>82</v>
      </c>
      <c r="AP118" s="64">
        <f t="shared" si="38"/>
        <v>76</v>
      </c>
      <c r="AQ118" s="1">
        <f t="shared" si="167"/>
        <v>92.7252677844525</v>
      </c>
      <c r="AR118" s="20">
        <f t="shared" si="142"/>
        <v>14.3788667908349</v>
      </c>
      <c r="AS118" s="1">
        <f t="shared" si="143"/>
        <v>89.6509664844248</v>
      </c>
      <c r="AT118" s="134">
        <f t="shared" si="144"/>
        <v>91</v>
      </c>
      <c r="AU118" s="64">
        <f t="shared" si="145"/>
        <v>87</v>
      </c>
      <c r="AV118" s="65">
        <f t="shared" si="146"/>
        <v>45683.8458579629</v>
      </c>
      <c r="AW118" s="65">
        <f t="shared" si="147"/>
        <v>45683.7626237296</v>
      </c>
      <c r="AX118" s="1">
        <f t="shared" si="148"/>
        <v>281</v>
      </c>
      <c r="AY118" s="1">
        <f t="shared" si="149"/>
        <v>-23</v>
      </c>
      <c r="AZ118" s="131">
        <f t="shared" si="150"/>
        <v>791.4</v>
      </c>
      <c r="BA118" s="1">
        <f t="shared" si="151"/>
        <v>812.6</v>
      </c>
      <c r="BB118" s="1">
        <f t="shared" si="49"/>
        <v>42368740.1825501</v>
      </c>
      <c r="BC118" s="1">
        <f t="shared" si="50"/>
        <v>61</v>
      </c>
      <c r="BD118" s="1">
        <f t="shared" si="152"/>
        <v>57479880.1640237</v>
      </c>
      <c r="BE118" s="1">
        <f t="shared" si="153"/>
        <v>76</v>
      </c>
      <c r="BF118" s="20">
        <f t="shared" si="53"/>
        <v>123.3039499004</v>
      </c>
      <c r="BG118" s="1">
        <f t="shared" si="154"/>
        <v>-836.695153483384</v>
      </c>
      <c r="BH118" s="1">
        <f t="shared" si="155"/>
        <v>-549.688561414161</v>
      </c>
      <c r="BI118" s="1">
        <f t="shared" si="156"/>
        <v>6.09849944024</v>
      </c>
      <c r="BJ118" s="1">
        <f t="shared" si="157"/>
        <v>-836.695153483384</v>
      </c>
      <c r="BK118" s="1">
        <f t="shared" si="158"/>
        <v>-549.688561414161</v>
      </c>
      <c r="BL118" s="1">
        <f t="shared" si="159"/>
        <v>6.09849944024</v>
      </c>
      <c r="BM118" s="61">
        <f t="shared" si="160"/>
        <v>22461248.5573311</v>
      </c>
      <c r="BN118" s="61">
        <f t="shared" si="161"/>
        <v>37185195.2762687</v>
      </c>
      <c r="BO118" s="61">
        <f t="shared" si="162"/>
        <v>6.09849944024</v>
      </c>
      <c r="BQ118" s="1" t="str">
        <f t="shared" si="63"/>
        <v>N 00° 20.9' / E 143° 23.7'</v>
      </c>
      <c r="BR118" s="1" t="str">
        <f t="shared" si="64"/>
        <v>54N 541796 006094</v>
      </c>
      <c r="BS118" s="1" t="str">
        <f t="shared" si="65"/>
        <v>54N WF 417060</v>
      </c>
      <c r="BT118" s="1" t="b">
        <f t="shared" si="66"/>
        <v>0</v>
      </c>
      <c r="BU118" s="1" t="str">
        <f t="shared" si="67"/>
        <v>54N</v>
      </c>
      <c r="BV118" s="1">
        <f t="shared" si="68"/>
        <v>54</v>
      </c>
      <c r="BW118" s="1">
        <f t="shared" si="69"/>
        <v>0</v>
      </c>
      <c r="BX118" s="1">
        <f t="shared" si="70"/>
        <v>141</v>
      </c>
      <c r="BY118" s="1">
        <f t="shared" si="163"/>
        <v>41796.6627463404</v>
      </c>
      <c r="BZ118" s="1">
        <f t="shared" si="72"/>
        <v>541796.6627</v>
      </c>
      <c r="CA118" s="1" t="str">
        <f t="shared" si="73"/>
        <v>W</v>
      </c>
      <c r="CB118" s="1" t="str">
        <f t="shared" si="74"/>
        <v>541796</v>
      </c>
      <c r="CC118" s="1" t="str">
        <f t="shared" si="75"/>
        <v>41796</v>
      </c>
      <c r="CD118" s="1">
        <f t="shared" si="164"/>
        <v>6094.56452680581</v>
      </c>
      <c r="CE118" s="1">
        <f t="shared" si="77"/>
        <v>6094.5645</v>
      </c>
      <c r="CF118" s="1" t="str">
        <f t="shared" si="78"/>
        <v>F</v>
      </c>
      <c r="CG118" s="1" t="str">
        <f t="shared" si="79"/>
        <v>006094</v>
      </c>
      <c r="CH118" s="1" t="str">
        <f t="shared" si="80"/>
        <v>06094</v>
      </c>
      <c r="CJ118" s="1">
        <f t="shared" si="81"/>
        <v>647</v>
      </c>
      <c r="CK118" s="1" t="str">
        <f t="shared" si="82"/>
        <v>HN</v>
      </c>
      <c r="CL118" s="1">
        <f t="shared" si="83"/>
        <v>2</v>
      </c>
      <c r="CM118" s="1">
        <f t="shared" si="84"/>
        <v>5</v>
      </c>
      <c r="CN118" s="1">
        <f t="shared" si="85"/>
        <v>1</v>
      </c>
      <c r="CO118" s="1">
        <f t="shared" si="86"/>
        <v>1</v>
      </c>
      <c r="CP118" s="1" t="str">
        <f t="shared" si="87"/>
        <v>647HN25</v>
      </c>
      <c r="CR118" s="1" t="e">
        <f t="shared" si="88"/>
        <v>#VALUE!</v>
      </c>
      <c r="CS118" s="1" t="e">
        <f t="shared" si="89"/>
        <v>#VALUE!</v>
      </c>
      <c r="CT118" s="1">
        <f t="shared" si="90"/>
        <v>3</v>
      </c>
      <c r="CU118" s="1">
        <f t="shared" si="91"/>
        <v>1</v>
      </c>
      <c r="CV118" s="131" t="e">
        <f t="shared" si="92"/>
        <v>#VALUE!</v>
      </c>
      <c r="CW118" s="131">
        <v>1164.4</v>
      </c>
      <c r="CX118" s="131">
        <v>1748.5</v>
      </c>
      <c r="CY118" s="131">
        <v>1758.5</v>
      </c>
      <c r="CZ118" s="131">
        <v>2189.4</v>
      </c>
      <c r="DA118" s="131">
        <v>2321.3</v>
      </c>
      <c r="DC118" s="154">
        <f t="shared" si="93"/>
        <v>803.65533737428</v>
      </c>
      <c r="DD118" s="154">
        <f t="shared" si="94"/>
        <v>6.09849944024</v>
      </c>
      <c r="DE118" s="154">
        <f t="shared" si="95"/>
        <v>596.95426384438</v>
      </c>
      <c r="DF118" s="1">
        <f t="shared" si="96"/>
        <v>36.6041330157456</v>
      </c>
      <c r="DG118" s="1">
        <f t="shared" si="97"/>
        <v>0.434777890762702</v>
      </c>
      <c r="DH118" s="1">
        <f t="shared" si="98"/>
        <v>173</v>
      </c>
      <c r="DI118" s="1">
        <f t="shared" si="165"/>
        <v>182</v>
      </c>
      <c r="DJ118" s="1">
        <f t="shared" si="166"/>
        <v>12</v>
      </c>
      <c r="DK118" s="1">
        <f t="shared" si="101"/>
        <v>173</v>
      </c>
      <c r="DL118" s="1">
        <f t="shared" si="102"/>
        <v>182</v>
      </c>
      <c r="DM118" s="1">
        <f t="shared" si="103"/>
        <v>12</v>
      </c>
    </row>
    <row r="119" customHeight="1" spans="1:117">
      <c r="A119" s="152" t="str">
        <f t="shared" si="176"/>
        <v>River 55N</v>
      </c>
      <c r="C119" s="55" t="str">
        <f t="shared" si="5"/>
        <v>N 04° 08.0' / E 145° 17.9'</v>
      </c>
      <c r="D119" s="150" t="str">
        <f t="shared" si="6"/>
        <v>912 m</v>
      </c>
      <c r="E119" s="151">
        <f t="shared" si="117"/>
        <v>1693.1</v>
      </c>
      <c r="F119" s="151">
        <f t="shared" si="118"/>
        <v>1811.6</v>
      </c>
      <c r="G119" s="151">
        <f t="shared" si="119"/>
        <v>1199.1</v>
      </c>
      <c r="H119" s="151">
        <f t="shared" si="120"/>
        <v>2170.4</v>
      </c>
      <c r="I119" s="151">
        <f t="shared" si="121"/>
        <v>2331.8</v>
      </c>
      <c r="J119" s="171">
        <f t="shared" si="122"/>
        <v>843.3</v>
      </c>
      <c r="K119" s="172">
        <f t="shared" si="177"/>
        <v>-820.73159667614</v>
      </c>
      <c r="L119" s="172">
        <f t="shared" si="178"/>
        <v>568.35011354749</v>
      </c>
      <c r="M119" s="173">
        <f t="shared" si="179"/>
        <v>72.12896686881</v>
      </c>
      <c r="N119" s="54">
        <f t="shared" si="123"/>
        <v>0.0893368470752179</v>
      </c>
      <c r="O119" s="55" t="str">
        <f t="shared" si="124"/>
        <v>Morning / Sets in 83m</v>
      </c>
      <c r="P119" s="55" t="str">
        <f t="shared" si="15"/>
        <v>182°M / +63°</v>
      </c>
      <c r="Q119" s="56">
        <f t="shared" si="125"/>
        <v>45683.8455597939</v>
      </c>
      <c r="R119" s="56">
        <f t="shared" si="126"/>
        <v>45683.851282016</v>
      </c>
      <c r="S119" s="56">
        <f t="shared" si="127"/>
        <v>45683.724283777</v>
      </c>
      <c r="T119" s="56">
        <f t="shared" si="128"/>
        <v>45683.7689522006</v>
      </c>
      <c r="U119" s="180">
        <f t="shared" si="129"/>
        <v>45683.7746744227</v>
      </c>
      <c r="V119" s="55" t="str">
        <f t="shared" si="130"/>
        <v>Sets in 72m</v>
      </c>
      <c r="W119" s="55" t="str">
        <f t="shared" si="131"/>
        <v>201°M / +77°</v>
      </c>
      <c r="X119" s="56">
        <f t="shared" si="132"/>
        <v>45683.8450802948</v>
      </c>
      <c r="Y119" s="180">
        <f t="shared" si="133"/>
        <v>45683.7615868536</v>
      </c>
      <c r="Z119" s="55" t="str">
        <f t="shared" si="134"/>
        <v>011°M / -24°</v>
      </c>
      <c r="AA119" s="151">
        <f t="shared" si="135"/>
        <v>811.2</v>
      </c>
      <c r="AB119" s="150">
        <f t="shared" si="136"/>
        <v>834.2</v>
      </c>
      <c r="AC119" s="188">
        <v>110</v>
      </c>
      <c r="AD119" s="1" t="b">
        <f t="shared" si="28"/>
        <v>1</v>
      </c>
      <c r="AE119" s="1">
        <f t="shared" si="29"/>
        <v>4.13250192083891</v>
      </c>
      <c r="AF119" s="1">
        <f t="shared" si="30"/>
        <v>145.297706190787</v>
      </c>
      <c r="AG119" s="1">
        <f t="shared" si="31"/>
        <v>145.297706190787</v>
      </c>
      <c r="AH119" s="2">
        <f t="shared" si="137"/>
        <v>0.911980752340128</v>
      </c>
      <c r="AI119" s="1">
        <f t="shared" si="33"/>
        <v>2.44605097716684</v>
      </c>
      <c r="AJ119" s="191">
        <f t="shared" si="174"/>
        <v>0</v>
      </c>
      <c r="AK119" s="191">
        <f t="shared" si="175"/>
        <v>0</v>
      </c>
      <c r="AL119" s="191">
        <f t="shared" si="138"/>
        <v>93.6735894981311</v>
      </c>
      <c r="AM119" s="20">
        <f t="shared" si="139"/>
        <v>26.701902024116</v>
      </c>
      <c r="AN119" s="191">
        <f t="shared" si="140"/>
        <v>89.8238320047463</v>
      </c>
      <c r="AO119" s="134">
        <f t="shared" si="141"/>
        <v>89</v>
      </c>
      <c r="AP119" s="64">
        <f t="shared" si="38"/>
        <v>80</v>
      </c>
      <c r="AQ119" s="1">
        <f t="shared" si="167"/>
        <v>92.4534770004804</v>
      </c>
      <c r="AR119" s="20">
        <f t="shared" si="142"/>
        <v>12.4762379353403</v>
      </c>
      <c r="AS119" s="1">
        <f t="shared" si="143"/>
        <v>85.8674261733306</v>
      </c>
      <c r="AT119" s="134">
        <f t="shared" si="144"/>
        <v>108</v>
      </c>
      <c r="AU119" s="64">
        <f t="shared" si="145"/>
        <v>84</v>
      </c>
      <c r="AV119" s="65">
        <f t="shared" si="146"/>
        <v>45683.8450802948</v>
      </c>
      <c r="AW119" s="65">
        <f t="shared" si="147"/>
        <v>45683.7615868536</v>
      </c>
      <c r="AX119" s="1">
        <f t="shared" si="148"/>
        <v>278</v>
      </c>
      <c r="AY119" s="1">
        <f t="shared" si="149"/>
        <v>-24</v>
      </c>
      <c r="AZ119" s="131">
        <f t="shared" si="150"/>
        <v>811.2</v>
      </c>
      <c r="BA119" s="1">
        <f t="shared" si="151"/>
        <v>834.2</v>
      </c>
      <c r="BB119" s="1">
        <f t="shared" si="49"/>
        <v>42368722.7281991</v>
      </c>
      <c r="BC119" s="1">
        <f t="shared" si="50"/>
        <v>63</v>
      </c>
      <c r="BD119" s="1">
        <f t="shared" si="152"/>
        <v>57479875.1763225</v>
      </c>
      <c r="BE119" s="1">
        <f t="shared" si="153"/>
        <v>77</v>
      </c>
      <c r="BF119" s="20">
        <f t="shared" si="53"/>
        <v>125.206578755894</v>
      </c>
      <c r="BG119" s="1">
        <f t="shared" si="154"/>
        <v>-815.697577121814</v>
      </c>
      <c r="BH119" s="1">
        <f t="shared" si="155"/>
        <v>-575.551620647196</v>
      </c>
      <c r="BI119" s="1">
        <f t="shared" si="156"/>
        <v>72.12896686881</v>
      </c>
      <c r="BJ119" s="1">
        <f t="shared" si="157"/>
        <v>-815.697577121814</v>
      </c>
      <c r="BK119" s="1">
        <f t="shared" si="158"/>
        <v>-575.551620647196</v>
      </c>
      <c r="BL119" s="1">
        <f t="shared" si="159"/>
        <v>72.12896686881</v>
      </c>
      <c r="BM119" s="61">
        <f t="shared" si="160"/>
        <v>22461269.5549075</v>
      </c>
      <c r="BN119" s="61">
        <f t="shared" si="161"/>
        <v>37185169.4132095</v>
      </c>
      <c r="BO119" s="61">
        <f t="shared" si="162"/>
        <v>72.12896686881</v>
      </c>
      <c r="BQ119" s="1" t="str">
        <f t="shared" si="63"/>
        <v>N 04° 08.0' / E 145° 17.9'</v>
      </c>
      <c r="BR119" s="1" t="str">
        <f t="shared" si="64"/>
        <v>55N 470374 072128</v>
      </c>
      <c r="BS119" s="1" t="str">
        <f t="shared" si="65"/>
        <v>55N DA 703721</v>
      </c>
      <c r="BT119" s="1" t="b">
        <f t="shared" si="66"/>
        <v>0</v>
      </c>
      <c r="BU119" s="1" t="str">
        <f t="shared" si="67"/>
        <v>55N</v>
      </c>
      <c r="BV119" s="1">
        <f t="shared" si="68"/>
        <v>55</v>
      </c>
      <c r="BW119" s="1">
        <f t="shared" si="69"/>
        <v>0</v>
      </c>
      <c r="BX119" s="1">
        <f t="shared" si="70"/>
        <v>147</v>
      </c>
      <c r="BY119" s="1">
        <f t="shared" si="163"/>
        <v>-29625.84632343</v>
      </c>
      <c r="BZ119" s="1">
        <f t="shared" si="72"/>
        <v>470374.1537</v>
      </c>
      <c r="CA119" s="1" t="str">
        <f t="shared" si="73"/>
        <v>D</v>
      </c>
      <c r="CB119" s="1" t="str">
        <f t="shared" si="74"/>
        <v>470374</v>
      </c>
      <c r="CC119" s="1" t="str">
        <f t="shared" si="75"/>
        <v>70374</v>
      </c>
      <c r="CD119" s="1">
        <f t="shared" si="164"/>
        <v>72128.6366634047</v>
      </c>
      <c r="CE119" s="1">
        <f t="shared" si="77"/>
        <v>72128.6367</v>
      </c>
      <c r="CF119" s="1" t="str">
        <f t="shared" si="78"/>
        <v>A</v>
      </c>
      <c r="CG119" s="1" t="str">
        <f t="shared" si="79"/>
        <v>072128</v>
      </c>
      <c r="CH119" s="1" t="str">
        <f t="shared" si="80"/>
        <v>72128</v>
      </c>
      <c r="CJ119" s="1">
        <f t="shared" si="81"/>
        <v>651</v>
      </c>
      <c r="CK119" s="1" t="str">
        <f t="shared" si="82"/>
        <v>HW</v>
      </c>
      <c r="CL119" s="1">
        <f t="shared" si="83"/>
        <v>4</v>
      </c>
      <c r="CM119" s="1">
        <f t="shared" si="84"/>
        <v>4</v>
      </c>
      <c r="CN119" s="1">
        <f t="shared" si="85"/>
        <v>0</v>
      </c>
      <c r="CO119" s="1">
        <f t="shared" si="86"/>
        <v>1</v>
      </c>
      <c r="CP119" s="1" t="str">
        <f t="shared" si="87"/>
        <v>651HW44</v>
      </c>
      <c r="CR119" s="1" t="e">
        <f t="shared" si="88"/>
        <v>#VALUE!</v>
      </c>
      <c r="CS119" s="1" t="e">
        <f t="shared" si="89"/>
        <v>#VALUE!</v>
      </c>
      <c r="CT119" s="1">
        <f t="shared" si="90"/>
        <v>3</v>
      </c>
      <c r="CU119" s="1">
        <f t="shared" si="91"/>
        <v>1</v>
      </c>
      <c r="CV119" s="131" t="e">
        <f t="shared" si="92"/>
        <v>#VALUE!</v>
      </c>
      <c r="CW119" s="131">
        <v>1199.1</v>
      </c>
      <c r="CX119" s="131">
        <v>1693.1</v>
      </c>
      <c r="CY119" s="131">
        <v>1811.6</v>
      </c>
      <c r="CZ119" s="131">
        <v>2170.4</v>
      </c>
      <c r="DA119" s="131">
        <v>2331.8</v>
      </c>
      <c r="DC119" s="154">
        <f t="shared" si="93"/>
        <v>820.73159667614</v>
      </c>
      <c r="DD119" s="154">
        <f t="shared" si="94"/>
        <v>72.12896686881</v>
      </c>
      <c r="DE119" s="154">
        <f t="shared" si="95"/>
        <v>568.35011354749</v>
      </c>
      <c r="DF119" s="1">
        <f t="shared" si="96"/>
        <v>34.5992006688159</v>
      </c>
      <c r="DG119" s="1">
        <f t="shared" si="97"/>
        <v>5.02246381519822</v>
      </c>
      <c r="DH119" s="1">
        <f t="shared" si="98"/>
        <v>182</v>
      </c>
      <c r="DI119" s="1">
        <f t="shared" si="165"/>
        <v>201</v>
      </c>
      <c r="DJ119" s="1">
        <f t="shared" si="166"/>
        <v>11</v>
      </c>
      <c r="DK119" s="1">
        <f t="shared" si="101"/>
        <v>182</v>
      </c>
      <c r="DL119" s="1">
        <f t="shared" si="102"/>
        <v>201</v>
      </c>
      <c r="DM119" s="1">
        <f t="shared" si="103"/>
        <v>11</v>
      </c>
    </row>
    <row r="120" customHeight="1" spans="1:117">
      <c r="A120" s="152" t="str">
        <f t="shared" si="176"/>
        <v/>
      </c>
      <c r="C120" s="55" t="str">
        <f t="shared" si="5"/>
        <v/>
      </c>
      <c r="D120" s="150" t="str">
        <f t="shared" si="6"/>
        <v/>
      </c>
      <c r="E120" s="151" t="str">
        <f t="shared" si="117"/>
        <v/>
      </c>
      <c r="F120" s="151" t="str">
        <f t="shared" si="118"/>
        <v/>
      </c>
      <c r="G120" s="151" t="str">
        <f t="shared" si="119"/>
        <v/>
      </c>
      <c r="H120" s="151" t="str">
        <f t="shared" si="120"/>
        <v/>
      </c>
      <c r="I120" s="151" t="str">
        <f t="shared" si="121"/>
        <v/>
      </c>
      <c r="J120" s="171" t="str">
        <f t="shared" si="122"/>
        <v/>
      </c>
      <c r="K120" s="172" t="str">
        <f t="shared" si="177"/>
        <v/>
      </c>
      <c r="L120" s="172" t="str">
        <f t="shared" si="178"/>
        <v/>
      </c>
      <c r="M120" s="173" t="str">
        <f t="shared" si="179"/>
        <v/>
      </c>
      <c r="N120" s="54" t="str">
        <f t="shared" si="123"/>
        <v/>
      </c>
      <c r="O120" s="55" t="str">
        <f t="shared" si="124"/>
        <v/>
      </c>
      <c r="P120" s="55" t="str">
        <f t="shared" si="15"/>
        <v/>
      </c>
      <c r="Q120" s="56" t="str">
        <f t="shared" si="125"/>
        <v/>
      </c>
      <c r="R120" s="56" t="str">
        <f t="shared" si="126"/>
        <v/>
      </c>
      <c r="S120" s="56" t="str">
        <f t="shared" si="127"/>
        <v/>
      </c>
      <c r="T120" s="56" t="str">
        <f t="shared" si="128"/>
        <v/>
      </c>
      <c r="U120" s="180" t="str">
        <f t="shared" si="129"/>
        <v/>
      </c>
      <c r="V120" s="55" t="str">
        <f t="shared" si="130"/>
        <v/>
      </c>
      <c r="W120" s="55" t="str">
        <f t="shared" si="131"/>
        <v/>
      </c>
      <c r="X120" s="56" t="str">
        <f t="shared" si="132"/>
        <v/>
      </c>
      <c r="Y120" s="180" t="str">
        <f t="shared" si="133"/>
        <v/>
      </c>
      <c r="Z120" s="55" t="str">
        <f t="shared" si="134"/>
        <v/>
      </c>
      <c r="AA120" s="55" t="str">
        <f t="shared" si="135"/>
        <v/>
      </c>
      <c r="AB120" s="150" t="str">
        <f t="shared" si="136"/>
        <v/>
      </c>
      <c r="AC120" s="188">
        <v>111</v>
      </c>
      <c r="AD120" s="1" t="b">
        <f t="shared" si="28"/>
        <v>0</v>
      </c>
      <c r="AE120" s="1" t="str">
        <f t="shared" si="29"/>
        <v/>
      </c>
      <c r="AF120" s="1" t="str">
        <f t="shared" si="30"/>
        <v/>
      </c>
      <c r="AG120" s="1" t="str">
        <f t="shared" si="31"/>
        <v/>
      </c>
      <c r="AH120" s="1" t="str">
        <f t="shared" si="137"/>
        <v/>
      </c>
      <c r="AI120" s="1" t="str">
        <f t="shared" si="33"/>
        <v/>
      </c>
      <c r="AJ120" s="191" t="str">
        <f t="shared" si="174"/>
        <v/>
      </c>
      <c r="AK120" s="191" t="str">
        <f t="shared" si="175"/>
        <v/>
      </c>
      <c r="AL120" s="191" t="str">
        <f t="shared" si="138"/>
        <v/>
      </c>
      <c r="AM120" s="1" t="str">
        <f t="shared" si="139"/>
        <v/>
      </c>
      <c r="AN120" s="191" t="str">
        <f t="shared" si="140"/>
        <v/>
      </c>
      <c r="AO120" s="134" t="str">
        <f t="shared" si="141"/>
        <v/>
      </c>
      <c r="AP120" s="64" t="str">
        <f t="shared" si="38"/>
        <v/>
      </c>
      <c r="AQ120" s="1" t="str">
        <f t="shared" si="167"/>
        <v/>
      </c>
      <c r="AR120" s="1" t="str">
        <f t="shared" si="142"/>
        <v/>
      </c>
      <c r="AS120" s="1" t="str">
        <f t="shared" si="143"/>
        <v/>
      </c>
      <c r="AT120" s="134" t="str">
        <f t="shared" si="144"/>
        <v/>
      </c>
      <c r="AU120" s="64" t="str">
        <f t="shared" si="145"/>
        <v/>
      </c>
      <c r="AV120" s="65" t="str">
        <f t="shared" si="146"/>
        <v/>
      </c>
      <c r="AW120" s="65" t="str">
        <f t="shared" si="147"/>
        <v/>
      </c>
      <c r="AX120" s="1" t="str">
        <f t="shared" si="148"/>
        <v/>
      </c>
      <c r="AY120" s="1" t="str">
        <f t="shared" si="149"/>
        <v/>
      </c>
      <c r="AZ120" s="131" t="str">
        <f t="shared" si="150"/>
        <v/>
      </c>
      <c r="BA120" s="1" t="str">
        <f t="shared" si="151"/>
        <v/>
      </c>
      <c r="BB120" s="1" t="str">
        <f t="shared" si="49"/>
        <v/>
      </c>
      <c r="BC120" s="1" t="str">
        <f t="shared" si="50"/>
        <v/>
      </c>
      <c r="BD120" s="1" t="str">
        <f t="shared" si="152"/>
        <v/>
      </c>
      <c r="BE120" s="1" t="str">
        <f t="shared" si="153"/>
        <v/>
      </c>
      <c r="BF120" s="1" t="str">
        <f t="shared" si="53"/>
        <v/>
      </c>
      <c r="BG120" s="1" t="str">
        <f t="shared" si="154"/>
        <v/>
      </c>
      <c r="BH120" s="1" t="str">
        <f t="shared" si="155"/>
        <v/>
      </c>
      <c r="BI120" s="1" t="str">
        <f t="shared" si="156"/>
        <v/>
      </c>
      <c r="BJ120" s="1" t="str">
        <f t="shared" si="157"/>
        <v/>
      </c>
      <c r="BK120" s="1" t="str">
        <f t="shared" si="158"/>
        <v/>
      </c>
      <c r="BL120" s="1" t="str">
        <f t="shared" si="159"/>
        <v/>
      </c>
      <c r="BM120" s="1" t="str">
        <f t="shared" si="160"/>
        <v/>
      </c>
      <c r="BN120" s="1" t="str">
        <f t="shared" si="161"/>
        <v/>
      </c>
      <c r="BO120" s="1" t="str">
        <f t="shared" si="162"/>
        <v/>
      </c>
      <c r="BQ120" s="1" t="str">
        <f t="shared" si="63"/>
        <v/>
      </c>
      <c r="BR120" s="1" t="str">
        <f t="shared" si="64"/>
        <v/>
      </c>
      <c r="BS120" s="1" t="str">
        <f t="shared" si="65"/>
        <v/>
      </c>
      <c r="BT120" s="1" t="str">
        <f t="shared" si="66"/>
        <v/>
      </c>
      <c r="BU120" s="1" t="str">
        <f t="shared" si="67"/>
        <v/>
      </c>
      <c r="BV120" s="1" t="str">
        <f t="shared" si="68"/>
        <v/>
      </c>
      <c r="BW120" s="1" t="str">
        <f t="shared" si="69"/>
        <v/>
      </c>
      <c r="BX120" s="1" t="str">
        <f t="shared" si="70"/>
        <v/>
      </c>
      <c r="BY120" s="1" t="str">
        <f t="shared" si="163"/>
        <v/>
      </c>
      <c r="BZ120" s="1" t="str">
        <f t="shared" si="72"/>
        <v/>
      </c>
      <c r="CA120" s="1" t="str">
        <f t="shared" si="73"/>
        <v/>
      </c>
      <c r="CB120" s="1" t="str">
        <f t="shared" si="74"/>
        <v/>
      </c>
      <c r="CC120" s="1" t="str">
        <f t="shared" si="75"/>
        <v/>
      </c>
      <c r="CD120" s="1" t="str">
        <f t="shared" si="164"/>
        <v/>
      </c>
      <c r="CE120" s="1" t="str">
        <f t="shared" si="77"/>
        <v/>
      </c>
      <c r="CF120" s="1" t="str">
        <f t="shared" si="78"/>
        <v/>
      </c>
      <c r="CG120" s="1" t="str">
        <f t="shared" si="79"/>
        <v/>
      </c>
      <c r="CH120" s="1" t="str">
        <f t="shared" si="80"/>
        <v/>
      </c>
      <c r="CJ120" s="1" t="str">
        <f t="shared" si="81"/>
        <v/>
      </c>
      <c r="CK120" s="1" t="str">
        <f t="shared" si="82"/>
        <v/>
      </c>
      <c r="CL120" s="1" t="str">
        <f t="shared" si="83"/>
        <v/>
      </c>
      <c r="CM120" s="1" t="str">
        <f t="shared" si="84"/>
        <v/>
      </c>
      <c r="CN120" s="1" t="str">
        <f t="shared" si="85"/>
        <v/>
      </c>
      <c r="CO120" s="1" t="str">
        <f t="shared" si="86"/>
        <v/>
      </c>
      <c r="CP120" s="1" t="str">
        <f t="shared" si="87"/>
        <v/>
      </c>
      <c r="CR120" s="1" t="str">
        <f t="shared" si="88"/>
        <v/>
      </c>
      <c r="CS120" s="1" t="str">
        <f t="shared" si="89"/>
        <v/>
      </c>
      <c r="CT120" s="1" t="str">
        <f t="shared" si="90"/>
        <v/>
      </c>
      <c r="CU120" s="1" t="str">
        <f t="shared" si="91"/>
        <v/>
      </c>
      <c r="CV120" s="1" t="str">
        <f t="shared" si="92"/>
        <v/>
      </c>
      <c r="DC120" s="154" t="e">
        <f t="shared" si="93"/>
        <v>#VALUE!</v>
      </c>
      <c r="DD120" s="154" t="str">
        <f t="shared" si="94"/>
        <v/>
      </c>
      <c r="DE120" s="154" t="str">
        <f t="shared" si="95"/>
        <v/>
      </c>
      <c r="DF120" s="1" t="str">
        <f t="shared" si="96"/>
        <v/>
      </c>
      <c r="DG120" s="1" t="str">
        <f t="shared" si="97"/>
        <v/>
      </c>
      <c r="DH120" s="1" t="str">
        <f t="shared" si="98"/>
        <v/>
      </c>
      <c r="DI120" s="1" t="str">
        <f t="shared" si="165"/>
        <v/>
      </c>
      <c r="DJ120" s="1" t="str">
        <f t="shared" si="166"/>
        <v/>
      </c>
      <c r="DK120" s="1" t="str">
        <f t="shared" si="101"/>
        <v/>
      </c>
      <c r="DL120" s="1" t="str">
        <f t="shared" si="102"/>
        <v/>
      </c>
      <c r="DM120" s="1" t="str">
        <f t="shared" si="103"/>
        <v/>
      </c>
    </row>
    <row r="121" customHeight="1" spans="1:117">
      <c r="A121" s="152" t="str">
        <f t="shared" si="176"/>
        <v>Other Locations</v>
      </c>
      <c r="C121" s="55" t="e">
        <f t="shared" si="5"/>
        <v>#DIV/0!</v>
      </c>
      <c r="D121" s="150" t="str">
        <f t="shared" si="6"/>
        <v>-1000000 m</v>
      </c>
      <c r="E121" s="151">
        <f t="shared" si="117"/>
        <v>1439.6</v>
      </c>
      <c r="F121" s="151">
        <f t="shared" si="118"/>
        <v>1439.6</v>
      </c>
      <c r="G121" s="151">
        <f t="shared" si="119"/>
        <v>1439.6</v>
      </c>
      <c r="H121" s="151">
        <f t="shared" si="120"/>
        <v>1439.6</v>
      </c>
      <c r="I121" s="151">
        <f t="shared" si="121"/>
        <v>1439.6</v>
      </c>
      <c r="J121" s="171">
        <f t="shared" si="122"/>
        <v>1439.6</v>
      </c>
      <c r="K121" s="172">
        <f t="shared" si="177"/>
        <v>0</v>
      </c>
      <c r="L121" s="172">
        <f t="shared" si="178"/>
        <v>0</v>
      </c>
      <c r="M121" s="173">
        <f t="shared" si="179"/>
        <v>0</v>
      </c>
      <c r="N121" s="54" t="str">
        <f t="shared" si="123"/>
        <v>Continuous</v>
      </c>
      <c r="O121" s="55" t="e">
        <f t="shared" si="124"/>
        <v>#DIV/0!</v>
      </c>
      <c r="P121" s="55" t="e">
        <f t="shared" si="15"/>
        <v>#DIV/0!</v>
      </c>
      <c r="Q121" s="56" t="str">
        <f t="shared" si="125"/>
        <v/>
      </c>
      <c r="R121" s="56" t="str">
        <f t="shared" si="126"/>
        <v/>
      </c>
      <c r="S121" s="56" t="str">
        <f t="shared" si="127"/>
        <v/>
      </c>
      <c r="T121" s="56" t="str">
        <f t="shared" si="128"/>
        <v/>
      </c>
      <c r="U121" s="180" t="str">
        <f t="shared" si="129"/>
        <v/>
      </c>
      <c r="V121" s="55" t="e">
        <f t="shared" si="130"/>
        <v>#DIV/0!</v>
      </c>
      <c r="W121" s="55" t="e">
        <f t="shared" si="131"/>
        <v>#DIV/0!</v>
      </c>
      <c r="X121" s="56" t="str">
        <f t="shared" si="132"/>
        <v/>
      </c>
      <c r="Y121" s="180" t="str">
        <f t="shared" si="133"/>
        <v/>
      </c>
      <c r="Z121" s="55" t="e">
        <f t="shared" si="134"/>
        <v>#DIV/0!</v>
      </c>
      <c r="AA121" s="55">
        <f t="shared" si="135"/>
        <v>1001.4</v>
      </c>
      <c r="AB121" s="150" t="e">
        <f t="shared" si="136"/>
        <v>#DIV/0!</v>
      </c>
      <c r="AC121" s="188">
        <v>112</v>
      </c>
      <c r="AD121" s="1" t="b">
        <f t="shared" si="28"/>
        <v>1</v>
      </c>
      <c r="AE121" s="1" t="e">
        <f t="shared" si="29"/>
        <v>#DIV/0!</v>
      </c>
      <c r="AF121" s="1" t="e">
        <f t="shared" si="30"/>
        <v>#DIV/0!</v>
      </c>
      <c r="AG121" s="1" t="e">
        <f t="shared" si="31"/>
        <v>#DIV/0!</v>
      </c>
      <c r="AH121" s="1">
        <f t="shared" si="137"/>
        <v>-1000</v>
      </c>
      <c r="AI121" s="1">
        <f t="shared" si="33"/>
        <v>0</v>
      </c>
      <c r="AJ121" s="191">
        <f t="shared" si="174"/>
        <v>0</v>
      </c>
      <c r="AK121" s="191">
        <f t="shared" si="175"/>
        <v>0</v>
      </c>
      <c r="AL121" s="191" t="e">
        <f t="shared" si="138"/>
        <v>#DIV/0!</v>
      </c>
      <c r="AM121" s="1" t="e">
        <f t="shared" si="139"/>
        <v>#DIV/0!</v>
      </c>
      <c r="AN121" s="191">
        <f t="shared" si="140"/>
        <v>90</v>
      </c>
      <c r="AO121" s="134" t="e">
        <f t="shared" si="141"/>
        <v>#DIV/0!</v>
      </c>
      <c r="AP121" s="64" t="e">
        <f t="shared" si="38"/>
        <v>#DIV/0!</v>
      </c>
      <c r="AQ121" s="1" t="e">
        <f t="shared" si="167"/>
        <v>#DIV/0!</v>
      </c>
      <c r="AR121" s="1" t="e">
        <f t="shared" si="142"/>
        <v>#DIV/0!</v>
      </c>
      <c r="AS121" s="1">
        <f t="shared" si="143"/>
        <v>90</v>
      </c>
      <c r="AT121" s="134" t="e">
        <f t="shared" si="144"/>
        <v>#DIV/0!</v>
      </c>
      <c r="AU121" s="64" t="e">
        <f t="shared" si="145"/>
        <v>#DIV/0!</v>
      </c>
      <c r="AV121" s="65" t="e">
        <f t="shared" si="146"/>
        <v>#DIV/0!</v>
      </c>
      <c r="AW121" s="65" t="e">
        <f t="shared" si="147"/>
        <v>#DIV/0!</v>
      </c>
      <c r="AX121" s="1" t="e">
        <f t="shared" si="148"/>
        <v>#DIV/0!</v>
      </c>
      <c r="AY121" s="1" t="e">
        <f t="shared" si="149"/>
        <v>#DIV/0!</v>
      </c>
      <c r="AZ121" s="131">
        <f t="shared" si="150"/>
        <v>1001.4</v>
      </c>
      <c r="BA121" s="1" t="e">
        <f t="shared" si="151"/>
        <v>#DIV/0!</v>
      </c>
      <c r="BB121" s="1">
        <f t="shared" si="49"/>
        <v>42369617.4235177</v>
      </c>
      <c r="BC121" s="1" t="e">
        <f t="shared" si="50"/>
        <v>#DIV/0!</v>
      </c>
      <c r="BD121" s="1">
        <f t="shared" si="152"/>
        <v>57480849.9111489</v>
      </c>
      <c r="BE121" s="1" t="e">
        <f t="shared" si="153"/>
        <v>#DIV/0!</v>
      </c>
      <c r="BF121" s="1" t="e">
        <f t="shared" si="53"/>
        <v>#DIV/0!</v>
      </c>
      <c r="BG121" s="1" t="e">
        <f t="shared" si="154"/>
        <v>#DIV/0!</v>
      </c>
      <c r="BH121" s="1" t="e">
        <f t="shared" si="155"/>
        <v>#DIV/0!</v>
      </c>
      <c r="BI121" s="1" t="e">
        <f t="shared" si="156"/>
        <v>#DIV/0!</v>
      </c>
      <c r="BJ121" s="1" t="e">
        <f t="shared" si="157"/>
        <v>#DIV/0!</v>
      </c>
      <c r="BK121" s="1" t="e">
        <f t="shared" si="158"/>
        <v>#DIV/0!</v>
      </c>
      <c r="BL121" s="1" t="e">
        <f t="shared" si="159"/>
        <v>#DIV/0!</v>
      </c>
      <c r="BM121" s="1" t="e">
        <f t="shared" si="160"/>
        <v>#DIV/0!</v>
      </c>
      <c r="BN121" s="1" t="e">
        <f t="shared" si="161"/>
        <v>#DIV/0!</v>
      </c>
      <c r="BO121" s="1" t="e">
        <f t="shared" si="162"/>
        <v>#DIV/0!</v>
      </c>
      <c r="BQ121" s="1" t="e">
        <f t="shared" si="63"/>
        <v>#DIV/0!</v>
      </c>
      <c r="BR121" s="1" t="e">
        <f t="shared" si="64"/>
        <v>#DIV/0!</v>
      </c>
      <c r="BS121" s="1" t="e">
        <f t="shared" si="65"/>
        <v>#DIV/0!</v>
      </c>
      <c r="BT121" s="1" t="e">
        <f t="shared" si="66"/>
        <v>#DIV/0!</v>
      </c>
      <c r="BU121" s="1" t="e">
        <f t="shared" si="67"/>
        <v>#DIV/0!</v>
      </c>
      <c r="BV121" s="1" t="e">
        <f t="shared" si="68"/>
        <v>#DIV/0!</v>
      </c>
      <c r="BW121" s="1" t="e">
        <f t="shared" si="69"/>
        <v>#DIV/0!</v>
      </c>
      <c r="BX121" s="1" t="e">
        <f t="shared" si="70"/>
        <v>#DIV/0!</v>
      </c>
      <c r="BY121" s="1" t="e">
        <f t="shared" si="163"/>
        <v>#DIV/0!</v>
      </c>
      <c r="BZ121" s="1" t="e">
        <f t="shared" si="72"/>
        <v>#DIV/0!</v>
      </c>
      <c r="CA121" s="1" t="e">
        <f t="shared" si="73"/>
        <v>#DIV/0!</v>
      </c>
      <c r="CB121" s="1" t="e">
        <f t="shared" si="74"/>
        <v>#DIV/0!</v>
      </c>
      <c r="CC121" s="1" t="e">
        <f t="shared" si="75"/>
        <v>#DIV/0!</v>
      </c>
      <c r="CD121" s="1" t="e">
        <f t="shared" si="164"/>
        <v>#DIV/0!</v>
      </c>
      <c r="CE121" s="1" t="e">
        <f t="shared" si="77"/>
        <v>#DIV/0!</v>
      </c>
      <c r="CF121" s="1" t="e">
        <f t="shared" si="78"/>
        <v>#DIV/0!</v>
      </c>
      <c r="CG121" s="1" t="e">
        <f t="shared" si="79"/>
        <v>#DIV/0!</v>
      </c>
      <c r="CH121" s="1" t="e">
        <f t="shared" si="80"/>
        <v>#DIV/0!</v>
      </c>
      <c r="CJ121" s="1" t="e">
        <f t="shared" si="81"/>
        <v>#DIV/0!</v>
      </c>
      <c r="CK121" s="1" t="e">
        <f t="shared" si="82"/>
        <v>#DIV/0!</v>
      </c>
      <c r="CL121" s="1" t="e">
        <f t="shared" si="83"/>
        <v>#DIV/0!</v>
      </c>
      <c r="CM121" s="1" t="e">
        <f t="shared" si="84"/>
        <v>#DIV/0!</v>
      </c>
      <c r="CN121" s="1" t="e">
        <f t="shared" si="85"/>
        <v>#DIV/0!</v>
      </c>
      <c r="CO121" s="1" t="e">
        <f t="shared" si="86"/>
        <v>#DIV/0!</v>
      </c>
      <c r="CP121" s="1" t="e">
        <f t="shared" si="87"/>
        <v>#DIV/0!</v>
      </c>
      <c r="CR121" s="1" t="e">
        <f t="shared" si="88"/>
        <v>#VALUE!</v>
      </c>
      <c r="CS121" s="1" t="e">
        <f t="shared" si="89"/>
        <v>#VALUE!</v>
      </c>
      <c r="CT121" s="1" t="str">
        <f t="shared" si="90"/>
        <v/>
      </c>
      <c r="CU121" s="1" t="str">
        <f t="shared" si="91"/>
        <v/>
      </c>
      <c r="CV121" s="1" t="e">
        <f t="shared" si="92"/>
        <v>#VALUE!</v>
      </c>
      <c r="DC121" s="154">
        <f t="shared" si="93"/>
        <v>0</v>
      </c>
      <c r="DD121" s="154">
        <f t="shared" si="94"/>
        <v>0</v>
      </c>
      <c r="DE121" s="154">
        <f t="shared" si="95"/>
        <v>0</v>
      </c>
      <c r="DF121" s="1" t="e">
        <f t="shared" si="96"/>
        <v>#DIV/0!</v>
      </c>
      <c r="DG121" s="1" t="e">
        <f t="shared" si="97"/>
        <v>#DIV/0!</v>
      </c>
      <c r="DH121" s="1" t="e">
        <f t="shared" si="98"/>
        <v>#DIV/0!</v>
      </c>
      <c r="DI121" s="1" t="e">
        <f t="shared" si="165"/>
        <v>#DIV/0!</v>
      </c>
      <c r="DJ121" s="1" t="e">
        <f t="shared" si="166"/>
        <v>#DIV/0!</v>
      </c>
      <c r="DK121" s="1" t="e">
        <f t="shared" si="101"/>
        <v>#DIV/0!</v>
      </c>
      <c r="DL121" s="1" t="e">
        <f t="shared" si="102"/>
        <v>#DIV/0!</v>
      </c>
      <c r="DM121" s="1" t="e">
        <f t="shared" si="103"/>
        <v>#DIV/0!</v>
      </c>
    </row>
    <row r="122" customHeight="1" spans="1:117">
      <c r="A122" s="152" t="str">
        <f t="shared" si="176"/>
        <v>Test Facility Octagon</v>
      </c>
      <c r="C122" s="55" t="str">
        <f t="shared" si="5"/>
        <v>N 49° 13.3' / W 013° 44.5'</v>
      </c>
      <c r="D122" s="150" t="str">
        <f t="shared" si="6"/>
        <v>2098 m</v>
      </c>
      <c r="E122" s="151">
        <f t="shared" si="117"/>
        <v>944.3</v>
      </c>
      <c r="F122" s="151">
        <f t="shared" si="118"/>
        <v>2293.8</v>
      </c>
      <c r="G122" s="151">
        <f t="shared" si="119"/>
        <v>1877.3</v>
      </c>
      <c r="H122" s="151">
        <f t="shared" si="120"/>
        <v>1621.4</v>
      </c>
      <c r="I122" s="151">
        <f t="shared" si="121"/>
        <v>1116.3</v>
      </c>
      <c r="J122" s="171">
        <f t="shared" si="122"/>
        <v>2215.2</v>
      </c>
      <c r="K122" s="172">
        <f t="shared" si="177"/>
        <v>635.765</v>
      </c>
      <c r="L122" s="172">
        <f t="shared" si="178"/>
        <v>-155.464</v>
      </c>
      <c r="M122" s="173">
        <f t="shared" si="179"/>
        <v>758.837</v>
      </c>
      <c r="N122" s="54">
        <f t="shared" si="123"/>
        <v>0.0946536057337164</v>
      </c>
      <c r="O122" s="55" t="str">
        <f t="shared" si="124"/>
        <v>Night / Rises in 59m</v>
      </c>
      <c r="P122" s="55" t="str">
        <f t="shared" si="15"/>
        <v>273°M / -37°</v>
      </c>
      <c r="Q122" s="56">
        <f t="shared" si="125"/>
        <v>45683.7470726168</v>
      </c>
      <c r="R122" s="56">
        <f t="shared" si="126"/>
        <v>45683.7527948389</v>
      </c>
      <c r="S122" s="56">
        <f t="shared" si="127"/>
        <v>45683.8001216417</v>
      </c>
      <c r="T122" s="56">
        <f t="shared" si="128"/>
        <v>45683.8474484446</v>
      </c>
      <c r="U122" s="180">
        <f t="shared" si="129"/>
        <v>45683.8531706667</v>
      </c>
      <c r="V122" s="55" t="str">
        <f t="shared" si="130"/>
        <v>Obstructed / Rises in 53m</v>
      </c>
      <c r="W122" s="55" t="str">
        <f t="shared" si="131"/>
        <v>292°M / -40°</v>
      </c>
      <c r="X122" s="56">
        <f t="shared" si="132"/>
        <v>45683.7486497772</v>
      </c>
      <c r="Y122" s="180">
        <f t="shared" si="133"/>
        <v>45683.8380264381</v>
      </c>
      <c r="Z122" s="55" t="str">
        <f t="shared" si="134"/>
        <v>349°M / -48°</v>
      </c>
      <c r="AA122" s="151">
        <f t="shared" si="135"/>
        <v>1499.2</v>
      </c>
      <c r="AB122" s="150">
        <f t="shared" si="136"/>
        <v>1691</v>
      </c>
      <c r="AC122" s="188">
        <v>113</v>
      </c>
      <c r="AD122" s="1" t="b">
        <f t="shared" si="28"/>
        <v>1</v>
      </c>
      <c r="AE122" s="1">
        <f t="shared" si="29"/>
        <v>49.2222307998916</v>
      </c>
      <c r="AF122" s="1">
        <f t="shared" si="30"/>
        <v>-13.7409264946132</v>
      </c>
      <c r="AG122" s="1">
        <f t="shared" si="31"/>
        <v>346.259073505387</v>
      </c>
      <c r="AH122" s="2">
        <f t="shared" si="137"/>
        <v>2.09769139041521</v>
      </c>
      <c r="AI122" s="1">
        <f t="shared" si="33"/>
        <v>3.70791001054995</v>
      </c>
      <c r="AJ122" s="191">
        <f t="shared" si="174"/>
        <v>0</v>
      </c>
      <c r="AK122" s="191">
        <f t="shared" si="175"/>
        <v>0</v>
      </c>
      <c r="AL122" s="191">
        <f t="shared" si="138"/>
        <v>99.2484433724513</v>
      </c>
      <c r="AM122" s="20">
        <f t="shared" si="139"/>
        <v>-174.259465290484</v>
      </c>
      <c r="AN122" s="191">
        <f t="shared" si="140"/>
        <v>44.733144599515</v>
      </c>
      <c r="AO122" s="134">
        <f t="shared" si="141"/>
        <v>353</v>
      </c>
      <c r="AP122" s="64">
        <f t="shared" si="38"/>
        <v>-45</v>
      </c>
      <c r="AQ122" s="1">
        <f t="shared" si="167"/>
        <v>93.7153360338636</v>
      </c>
      <c r="AR122" s="20">
        <f t="shared" si="142"/>
        <v>171.51487062074</v>
      </c>
      <c r="AS122" s="1">
        <f t="shared" si="143"/>
        <v>40.7770127974911</v>
      </c>
      <c r="AT122" s="134">
        <f t="shared" si="144"/>
        <v>11</v>
      </c>
      <c r="AU122" s="64">
        <f t="shared" si="145"/>
        <v>-40</v>
      </c>
      <c r="AV122" s="65">
        <f t="shared" si="146"/>
        <v>45683.7486497772</v>
      </c>
      <c r="AW122" s="65">
        <f t="shared" si="147"/>
        <v>45683.8380264381</v>
      </c>
      <c r="AX122" s="1">
        <f t="shared" si="148"/>
        <v>68</v>
      </c>
      <c r="AY122" s="1">
        <f t="shared" si="149"/>
        <v>-48</v>
      </c>
      <c r="AZ122" s="131">
        <f t="shared" si="150"/>
        <v>1499.2</v>
      </c>
      <c r="BA122" s="1">
        <f t="shared" si="151"/>
        <v>1691</v>
      </c>
      <c r="BB122" s="1">
        <f t="shared" si="49"/>
        <v>42370214.7369744</v>
      </c>
      <c r="BC122" s="1">
        <f t="shared" si="50"/>
        <v>-37</v>
      </c>
      <c r="BD122" s="1">
        <f t="shared" si="152"/>
        <v>57481497.2491408</v>
      </c>
      <c r="BE122" s="1">
        <f t="shared" si="153"/>
        <v>-40</v>
      </c>
      <c r="BF122" s="20">
        <f t="shared" si="53"/>
        <v>-33.8320539295057</v>
      </c>
      <c r="BG122" s="1">
        <f t="shared" si="154"/>
        <v>364.397968167939</v>
      </c>
      <c r="BH122" s="1">
        <f t="shared" si="155"/>
        <v>543.672981962574</v>
      </c>
      <c r="BI122" s="1">
        <f t="shared" si="156"/>
        <v>758.837</v>
      </c>
      <c r="BJ122" s="1">
        <f t="shared" si="157"/>
        <v>364.397968167939</v>
      </c>
      <c r="BK122" s="1">
        <f t="shared" si="158"/>
        <v>543.672981962574</v>
      </c>
      <c r="BL122" s="1">
        <f t="shared" si="159"/>
        <v>758.837</v>
      </c>
      <c r="BM122" s="61">
        <f t="shared" si="160"/>
        <v>22462449.6504528</v>
      </c>
      <c r="BN122" s="61">
        <f t="shared" si="161"/>
        <v>37186288.6378121</v>
      </c>
      <c r="BO122" s="61">
        <f t="shared" si="162"/>
        <v>758.837</v>
      </c>
      <c r="BQ122" s="1" t="str">
        <f t="shared" si="63"/>
        <v>N 49° 13.3' / W 013° 44.5'</v>
      </c>
      <c r="BR122" s="1" t="str">
        <f t="shared" si="64"/>
        <v>28U 514346 858865</v>
      </c>
      <c r="BS122" s="1" t="str">
        <f t="shared" si="65"/>
        <v>28U EP 143588</v>
      </c>
      <c r="BT122" s="1" t="b">
        <f t="shared" si="66"/>
        <v>0</v>
      </c>
      <c r="BU122" s="1" t="str">
        <f t="shared" si="67"/>
        <v>28U</v>
      </c>
      <c r="BV122" s="1">
        <f t="shared" si="68"/>
        <v>28</v>
      </c>
      <c r="BW122" s="1">
        <f t="shared" si="69"/>
        <v>0</v>
      </c>
      <c r="BX122" s="1">
        <f t="shared" si="70"/>
        <v>-15</v>
      </c>
      <c r="BY122" s="1">
        <f t="shared" si="163"/>
        <v>14346.5374403654</v>
      </c>
      <c r="BZ122" s="1">
        <f t="shared" si="72"/>
        <v>514346.5374</v>
      </c>
      <c r="CA122" s="1" t="str">
        <f t="shared" si="73"/>
        <v>E</v>
      </c>
      <c r="CB122" s="1" t="str">
        <f t="shared" si="74"/>
        <v>514346</v>
      </c>
      <c r="CC122" s="1" t="str">
        <f t="shared" si="75"/>
        <v>14346</v>
      </c>
      <c r="CD122" s="1">
        <f t="shared" si="164"/>
        <v>858865.732460428</v>
      </c>
      <c r="CE122" s="1">
        <f t="shared" si="77"/>
        <v>858865.7325</v>
      </c>
      <c r="CF122" s="1" t="str">
        <f t="shared" si="78"/>
        <v>P</v>
      </c>
      <c r="CG122" s="1" t="str">
        <f t="shared" si="79"/>
        <v>858865</v>
      </c>
      <c r="CH122" s="1" t="str">
        <f t="shared" si="80"/>
        <v>58865</v>
      </c>
      <c r="CJ122" s="1">
        <f t="shared" si="81"/>
        <v>333</v>
      </c>
      <c r="CK122" s="1" t="str">
        <f t="shared" si="82"/>
        <v>MQ</v>
      </c>
      <c r="CL122" s="1">
        <f t="shared" si="83"/>
        <v>4</v>
      </c>
      <c r="CM122" s="1">
        <f t="shared" si="84"/>
        <v>1</v>
      </c>
      <c r="CN122" s="1">
        <f t="shared" si="85"/>
        <v>0</v>
      </c>
      <c r="CO122" s="1">
        <f t="shared" si="86"/>
        <v>2</v>
      </c>
      <c r="CP122" s="1" t="str">
        <f t="shared" si="87"/>
        <v>333MQ41</v>
      </c>
      <c r="CR122" s="1" t="e">
        <f t="shared" si="88"/>
        <v>#VALUE!</v>
      </c>
      <c r="CS122" s="1" t="e">
        <f t="shared" si="89"/>
        <v>#VALUE!</v>
      </c>
      <c r="CT122" s="1">
        <f t="shared" si="90"/>
        <v>5</v>
      </c>
      <c r="CU122" s="1">
        <f t="shared" si="91"/>
        <v>4</v>
      </c>
      <c r="CV122" s="131" t="e">
        <f t="shared" si="92"/>
        <v>#VALUE!</v>
      </c>
      <c r="CW122" s="131">
        <v>1116.3</v>
      </c>
      <c r="CX122" s="131">
        <v>1621.4</v>
      </c>
      <c r="CY122" s="131">
        <v>1877.3</v>
      </c>
      <c r="CZ122" s="131">
        <v>2215.2</v>
      </c>
      <c r="DA122" s="131">
        <v>2293.8</v>
      </c>
      <c r="DC122" s="154">
        <f t="shared" si="93"/>
        <v>-635.765</v>
      </c>
      <c r="DD122" s="154">
        <f t="shared" si="94"/>
        <v>758.837</v>
      </c>
      <c r="DE122" s="154">
        <f t="shared" si="95"/>
        <v>-155.464</v>
      </c>
      <c r="DF122" s="1">
        <f t="shared" si="96"/>
        <v>-8.92483277970092</v>
      </c>
      <c r="DG122" s="1">
        <f t="shared" si="97"/>
        <v>129.956779162828</v>
      </c>
      <c r="DH122" s="1">
        <f t="shared" si="98"/>
        <v>273</v>
      </c>
      <c r="DI122" s="1">
        <f t="shared" si="165"/>
        <v>292</v>
      </c>
      <c r="DJ122" s="1">
        <f t="shared" si="166"/>
        <v>349</v>
      </c>
      <c r="DK122" s="1">
        <f t="shared" si="101"/>
        <v>273</v>
      </c>
      <c r="DL122" s="1">
        <f t="shared" si="102"/>
        <v>292</v>
      </c>
      <c r="DM122" s="1">
        <f t="shared" si="103"/>
        <v>349</v>
      </c>
    </row>
    <row r="123" customHeight="1" spans="1:117">
      <c r="A123" s="152" t="str">
        <f t="shared" si="176"/>
        <v>Chestnuts on an open fire</v>
      </c>
      <c r="C123" s="55" t="str">
        <f t="shared" si="5"/>
        <v>N 48° 02.9' / E 038° 50.5'</v>
      </c>
      <c r="D123" s="150" t="str">
        <f t="shared" si="6"/>
        <v>6 m</v>
      </c>
      <c r="E123" s="151">
        <f t="shared" si="117"/>
        <v>965</v>
      </c>
      <c r="F123" s="151">
        <f t="shared" si="118"/>
        <v>2283.4</v>
      </c>
      <c r="G123" s="151">
        <f t="shared" si="119"/>
        <v>1365.8</v>
      </c>
      <c r="H123" s="151">
        <f t="shared" si="120"/>
        <v>2068.7</v>
      </c>
      <c r="I123" s="151">
        <f t="shared" si="121"/>
        <v>1254.3</v>
      </c>
      <c r="J123" s="171">
        <f t="shared" si="122"/>
        <v>2138.1</v>
      </c>
      <c r="K123" s="172">
        <f t="shared" si="177"/>
        <v>520.693326411756</v>
      </c>
      <c r="L123" s="172">
        <f t="shared" si="178"/>
        <v>419.260263867295</v>
      </c>
      <c r="M123" s="173">
        <f t="shared" si="179"/>
        <v>743.713993715584</v>
      </c>
      <c r="N123" s="54">
        <f t="shared" si="123"/>
        <v>0.0911224724198555</v>
      </c>
      <c r="O123" s="55" t="str">
        <f t="shared" si="124"/>
        <v>After midnight / Rises in 26m</v>
      </c>
      <c r="P123" s="55" t="str">
        <f t="shared" si="15"/>
        <v>292°M / -24°</v>
      </c>
      <c r="Q123" s="56">
        <f t="shared" si="125"/>
        <v>45683.7237644504</v>
      </c>
      <c r="R123" s="56">
        <f t="shared" si="126"/>
        <v>45683.7294866725</v>
      </c>
      <c r="S123" s="56">
        <f t="shared" si="127"/>
        <v>45683.7750479087</v>
      </c>
      <c r="T123" s="56">
        <f t="shared" si="128"/>
        <v>45683.8206091449</v>
      </c>
      <c r="U123" s="180">
        <f t="shared" si="129"/>
        <v>45683.826331367</v>
      </c>
      <c r="V123" s="55" t="str">
        <f t="shared" si="130"/>
        <v>Obstructed / Rises in 20m</v>
      </c>
      <c r="W123" s="55" t="str">
        <f t="shared" si="131"/>
        <v>307°M / -19°</v>
      </c>
      <c r="X123" s="56">
        <f t="shared" si="132"/>
        <v>45683.7252526776</v>
      </c>
      <c r="Y123" s="180">
        <f t="shared" si="133"/>
        <v>45683.8112760715</v>
      </c>
      <c r="Z123" s="55" t="str">
        <f t="shared" si="134"/>
        <v>348°M / -31°</v>
      </c>
      <c r="AA123" s="151">
        <f t="shared" si="135"/>
        <v>1044</v>
      </c>
      <c r="AB123" s="150">
        <f t="shared" si="136"/>
        <v>1097.6</v>
      </c>
      <c r="AC123" s="188">
        <v>114</v>
      </c>
      <c r="AD123" s="1" t="b">
        <f t="shared" si="28"/>
        <v>1</v>
      </c>
      <c r="AE123" s="1">
        <f t="shared" si="29"/>
        <v>48.0484019473135</v>
      </c>
      <c r="AF123" s="1">
        <f t="shared" si="30"/>
        <v>38.8408838567156</v>
      </c>
      <c r="AG123" s="1">
        <f t="shared" si="31"/>
        <v>38.8408838567156</v>
      </c>
      <c r="AH123" s="2">
        <f t="shared" si="137"/>
        <v>0.00560672238077586</v>
      </c>
      <c r="AI123" s="1">
        <f t="shared" si="33"/>
        <v>0.191862960667444</v>
      </c>
      <c r="AJ123" s="191">
        <f t="shared" si="174"/>
        <v>0</v>
      </c>
      <c r="AK123" s="191">
        <f t="shared" si="175"/>
        <v>0</v>
      </c>
      <c r="AL123" s="191">
        <f t="shared" si="138"/>
        <v>95.5458957301857</v>
      </c>
      <c r="AM123" s="20">
        <f t="shared" si="139"/>
        <v>133.158724358187</v>
      </c>
      <c r="AN123" s="191">
        <f t="shared" si="140"/>
        <v>45.9069951612955</v>
      </c>
      <c r="AO123" s="134">
        <f t="shared" si="141"/>
        <v>53</v>
      </c>
      <c r="AP123" s="64">
        <f t="shared" si="38"/>
        <v>-31</v>
      </c>
      <c r="AQ123" s="1">
        <f t="shared" si="167"/>
        <v>90.199288983981</v>
      </c>
      <c r="AR123" s="20">
        <f t="shared" si="142"/>
        <v>118.933060269411</v>
      </c>
      <c r="AS123" s="1">
        <f t="shared" si="143"/>
        <v>41.9508567247371</v>
      </c>
      <c r="AT123" s="134">
        <f t="shared" si="144"/>
        <v>68</v>
      </c>
      <c r="AU123" s="64">
        <f t="shared" si="145"/>
        <v>-20</v>
      </c>
      <c r="AV123" s="65">
        <f t="shared" si="146"/>
        <v>45683.7252526776</v>
      </c>
      <c r="AW123" s="65">
        <f t="shared" si="147"/>
        <v>45683.8112760715</v>
      </c>
      <c r="AX123" s="1">
        <f t="shared" si="148"/>
        <v>109</v>
      </c>
      <c r="AY123" s="1">
        <f t="shared" si="149"/>
        <v>-31</v>
      </c>
      <c r="AZ123" s="131">
        <f t="shared" si="150"/>
        <v>1044</v>
      </c>
      <c r="BA123" s="1">
        <f t="shared" si="151"/>
        <v>1097.6</v>
      </c>
      <c r="BB123" s="1">
        <f t="shared" si="49"/>
        <v>42370022.3030667</v>
      </c>
      <c r="BC123" s="1">
        <f t="shared" si="50"/>
        <v>-24</v>
      </c>
      <c r="BD123" s="1">
        <f t="shared" si="152"/>
        <v>57481173.3339122</v>
      </c>
      <c r="BE123" s="1">
        <f t="shared" si="153"/>
        <v>-19</v>
      </c>
      <c r="BF123" s="20">
        <f t="shared" si="53"/>
        <v>18.7497564218232</v>
      </c>
      <c r="BG123" s="1">
        <f t="shared" si="154"/>
        <v>-214.881625091915</v>
      </c>
      <c r="BH123" s="1">
        <f t="shared" si="155"/>
        <v>633.029696164146</v>
      </c>
      <c r="BI123" s="1">
        <f t="shared" si="156"/>
        <v>743.713993715584</v>
      </c>
      <c r="BJ123" s="1">
        <f t="shared" si="157"/>
        <v>-214.881625091915</v>
      </c>
      <c r="BK123" s="1">
        <f t="shared" si="158"/>
        <v>633.029696164146</v>
      </c>
      <c r="BL123" s="1">
        <f t="shared" si="159"/>
        <v>743.713993715584</v>
      </c>
      <c r="BM123" s="61">
        <f t="shared" si="160"/>
        <v>22461870.3708595</v>
      </c>
      <c r="BN123" s="61">
        <f t="shared" si="161"/>
        <v>37186377.9945263</v>
      </c>
      <c r="BO123" s="61">
        <f t="shared" si="162"/>
        <v>743.713993715584</v>
      </c>
      <c r="BQ123" s="1" t="str">
        <f t="shared" si="63"/>
        <v>N 48° 02.9' / E 038° 50.5'</v>
      </c>
      <c r="BR123" s="1" t="str">
        <f t="shared" si="64"/>
        <v>37U 498144 838269</v>
      </c>
      <c r="BS123" s="1" t="str">
        <f t="shared" si="65"/>
        <v>37U DJ 981382</v>
      </c>
      <c r="BT123" s="1" t="b">
        <f t="shared" si="66"/>
        <v>0</v>
      </c>
      <c r="BU123" s="1" t="str">
        <f t="shared" si="67"/>
        <v>37U</v>
      </c>
      <c r="BV123" s="1">
        <f t="shared" si="68"/>
        <v>37</v>
      </c>
      <c r="BW123" s="1">
        <f t="shared" si="69"/>
        <v>0</v>
      </c>
      <c r="BX123" s="1">
        <f t="shared" si="70"/>
        <v>39</v>
      </c>
      <c r="BY123" s="1">
        <f t="shared" si="163"/>
        <v>-1855.75605517073</v>
      </c>
      <c r="BZ123" s="1">
        <f t="shared" si="72"/>
        <v>498144.2439</v>
      </c>
      <c r="CA123" s="1" t="str">
        <f t="shared" si="73"/>
        <v>D</v>
      </c>
      <c r="CB123" s="1" t="str">
        <f t="shared" si="74"/>
        <v>498144</v>
      </c>
      <c r="CC123" s="1" t="str">
        <f t="shared" si="75"/>
        <v>98144</v>
      </c>
      <c r="CD123" s="1">
        <f t="shared" si="164"/>
        <v>838269.28957826</v>
      </c>
      <c r="CE123" s="1">
        <f t="shared" si="77"/>
        <v>838269.2896</v>
      </c>
      <c r="CF123" s="1" t="str">
        <f t="shared" si="78"/>
        <v>J</v>
      </c>
      <c r="CG123" s="1" t="str">
        <f t="shared" si="79"/>
        <v>838269</v>
      </c>
      <c r="CH123" s="1" t="str">
        <f t="shared" si="80"/>
        <v>38269</v>
      </c>
      <c r="CJ123" s="1">
        <f t="shared" si="81"/>
        <v>438</v>
      </c>
      <c r="CK123" s="1" t="str">
        <f t="shared" si="82"/>
        <v>MN</v>
      </c>
      <c r="CL123" s="1">
        <f t="shared" si="83"/>
        <v>4</v>
      </c>
      <c r="CM123" s="1">
        <f t="shared" si="84"/>
        <v>8</v>
      </c>
      <c r="CN123" s="1">
        <f t="shared" si="85"/>
        <v>1</v>
      </c>
      <c r="CO123" s="1">
        <f t="shared" si="86"/>
        <v>0</v>
      </c>
      <c r="CP123" s="1" t="str">
        <f t="shared" si="87"/>
        <v>438MN48</v>
      </c>
      <c r="CR123" s="1" t="e">
        <f t="shared" si="88"/>
        <v>#VALUE!</v>
      </c>
      <c r="CS123" s="1" t="e">
        <f t="shared" si="89"/>
        <v>#VALUE!</v>
      </c>
      <c r="CT123" s="1">
        <f t="shared" si="90"/>
        <v>5</v>
      </c>
      <c r="CU123" s="1">
        <f t="shared" si="91"/>
        <v>3</v>
      </c>
      <c r="CV123" s="131" t="e">
        <f t="shared" si="92"/>
        <v>#VALUE!</v>
      </c>
      <c r="CW123" s="131">
        <v>1254.3</v>
      </c>
      <c r="CX123" s="131">
        <v>1365.8</v>
      </c>
      <c r="CY123" s="131">
        <v>2068.7</v>
      </c>
      <c r="CZ123" s="131">
        <v>2138.1</v>
      </c>
      <c r="DA123" s="131">
        <v>2283.4</v>
      </c>
      <c r="DC123" s="154">
        <f t="shared" si="93"/>
        <v>-520.693326411756</v>
      </c>
      <c r="DD123" s="154">
        <f t="shared" si="94"/>
        <v>743.713993715584</v>
      </c>
      <c r="DE123" s="154">
        <f t="shared" si="95"/>
        <v>419.260263867295</v>
      </c>
      <c r="DF123" s="1">
        <f t="shared" si="96"/>
        <v>24.7877453134798</v>
      </c>
      <c r="DG123" s="1">
        <f t="shared" si="97"/>
        <v>124.996855899678</v>
      </c>
      <c r="DH123" s="1">
        <f t="shared" si="98"/>
        <v>292</v>
      </c>
      <c r="DI123" s="1">
        <f t="shared" si="165"/>
        <v>307</v>
      </c>
      <c r="DJ123" s="1">
        <f t="shared" si="166"/>
        <v>348</v>
      </c>
      <c r="DK123" s="1">
        <f t="shared" si="101"/>
        <v>292</v>
      </c>
      <c r="DL123" s="1">
        <f t="shared" si="102"/>
        <v>307</v>
      </c>
      <c r="DM123" s="1">
        <f t="shared" si="103"/>
        <v>348</v>
      </c>
    </row>
    <row r="124" customHeight="1" spans="1:117">
      <c r="A124" s="152" t="str">
        <f t="shared" si="176"/>
        <v>Lakeside Chairs</v>
      </c>
      <c r="C124" s="55" t="str">
        <f t="shared" si="5"/>
        <v>N 47° 29.1' / E 039° 02.6'</v>
      </c>
      <c r="D124" s="150" t="str">
        <f t="shared" si="6"/>
        <v>9 m</v>
      </c>
      <c r="E124" s="151">
        <f t="shared" si="117"/>
        <v>974.8</v>
      </c>
      <c r="F124" s="151">
        <f t="shared" si="118"/>
        <v>2279.2</v>
      </c>
      <c r="G124" s="151">
        <f t="shared" si="119"/>
        <v>1359</v>
      </c>
      <c r="H124" s="151">
        <f t="shared" si="120"/>
        <v>2073.2</v>
      </c>
      <c r="I124" s="151">
        <f t="shared" si="121"/>
        <v>1249.5</v>
      </c>
      <c r="J124" s="171">
        <f t="shared" si="122"/>
        <v>2140.9</v>
      </c>
      <c r="K124" s="172">
        <f t="shared" si="177"/>
        <v>524.873227220621</v>
      </c>
      <c r="L124" s="172">
        <f t="shared" si="178"/>
        <v>425.682953869917</v>
      </c>
      <c r="M124" s="173">
        <f t="shared" si="179"/>
        <v>737.102441837138</v>
      </c>
      <c r="N124" s="54">
        <f t="shared" si="123"/>
        <v>0.0910880693183398</v>
      </c>
      <c r="O124" s="55" t="str">
        <f t="shared" si="124"/>
        <v>After midnight / Rises in 26m</v>
      </c>
      <c r="P124" s="55" t="str">
        <f t="shared" si="15"/>
        <v>292°M / -24°</v>
      </c>
      <c r="Q124" s="56">
        <f t="shared" si="125"/>
        <v>45683.7236853863</v>
      </c>
      <c r="R124" s="56">
        <f t="shared" si="126"/>
        <v>45683.7294076083</v>
      </c>
      <c r="S124" s="56">
        <f t="shared" si="127"/>
        <v>45683.774951643</v>
      </c>
      <c r="T124" s="56">
        <f t="shared" si="128"/>
        <v>45683.8204956777</v>
      </c>
      <c r="U124" s="180">
        <f t="shared" si="129"/>
        <v>45683.8262178997</v>
      </c>
      <c r="V124" s="55" t="str">
        <f t="shared" si="130"/>
        <v>Obstructed / Rises in 20m</v>
      </c>
      <c r="W124" s="55" t="str">
        <f t="shared" si="131"/>
        <v>307°M / -19°</v>
      </c>
      <c r="X124" s="56">
        <f t="shared" si="132"/>
        <v>45683.7251323366</v>
      </c>
      <c r="Y124" s="180">
        <f t="shared" si="133"/>
        <v>45683.8112038812</v>
      </c>
      <c r="Z124" s="55" t="str">
        <f t="shared" si="134"/>
        <v>348°M / -31°</v>
      </c>
      <c r="AA124" s="151">
        <f t="shared" si="135"/>
        <v>1039.4</v>
      </c>
      <c r="AB124" s="150">
        <f t="shared" si="136"/>
        <v>1092.2</v>
      </c>
      <c r="AC124" s="188">
        <v>115</v>
      </c>
      <c r="AD124" s="1" t="b">
        <f t="shared" si="28"/>
        <v>1</v>
      </c>
      <c r="AE124" s="1">
        <f t="shared" si="29"/>
        <v>47.4846104601567</v>
      </c>
      <c r="AF124" s="1">
        <f t="shared" si="30"/>
        <v>39.0427614210767</v>
      </c>
      <c r="AG124" s="1">
        <f t="shared" si="31"/>
        <v>39.0427614210767</v>
      </c>
      <c r="AH124" s="2">
        <f t="shared" si="137"/>
        <v>0.00894577532596941</v>
      </c>
      <c r="AI124" s="1">
        <f t="shared" si="33"/>
        <v>0.242351105299977</v>
      </c>
      <c r="AJ124" s="191">
        <f t="shared" si="174"/>
        <v>0</v>
      </c>
      <c r="AK124" s="191">
        <f t="shared" si="175"/>
        <v>0</v>
      </c>
      <c r="AL124" s="191">
        <f t="shared" si="138"/>
        <v>95.5098225743228</v>
      </c>
      <c r="AM124" s="20">
        <f t="shared" si="139"/>
        <v>132.956846793826</v>
      </c>
      <c r="AN124" s="191">
        <f t="shared" si="140"/>
        <v>46.4707962470483</v>
      </c>
      <c r="AO124" s="134">
        <f t="shared" si="141"/>
        <v>53</v>
      </c>
      <c r="AP124" s="64">
        <f t="shared" si="38"/>
        <v>-32</v>
      </c>
      <c r="AQ124" s="1">
        <f t="shared" si="167"/>
        <v>90.2497771286136</v>
      </c>
      <c r="AR124" s="20">
        <f t="shared" si="142"/>
        <v>118.73118270505</v>
      </c>
      <c r="AS124" s="1">
        <f t="shared" si="143"/>
        <v>42.5146548022575</v>
      </c>
      <c r="AT124" s="134">
        <f t="shared" si="144"/>
        <v>68</v>
      </c>
      <c r="AU124" s="64">
        <f t="shared" si="145"/>
        <v>-20</v>
      </c>
      <c r="AV124" s="65">
        <f t="shared" si="146"/>
        <v>45683.7251323366</v>
      </c>
      <c r="AW124" s="65">
        <f t="shared" si="147"/>
        <v>45683.8112038812</v>
      </c>
      <c r="AX124" s="1">
        <f t="shared" si="148"/>
        <v>109</v>
      </c>
      <c r="AY124" s="1">
        <f t="shared" si="149"/>
        <v>-31</v>
      </c>
      <c r="AZ124" s="131">
        <f t="shared" si="150"/>
        <v>1039.4</v>
      </c>
      <c r="BA124" s="1">
        <f t="shared" si="151"/>
        <v>1092.2</v>
      </c>
      <c r="BB124" s="1">
        <f t="shared" si="49"/>
        <v>42370025.996779</v>
      </c>
      <c r="BC124" s="1">
        <f t="shared" si="50"/>
        <v>-24</v>
      </c>
      <c r="BD124" s="1">
        <f t="shared" si="152"/>
        <v>57481174.7737745</v>
      </c>
      <c r="BE124" s="1">
        <f t="shared" si="153"/>
        <v>-19</v>
      </c>
      <c r="BF124" s="20">
        <f t="shared" si="53"/>
        <v>18.9516339861842</v>
      </c>
      <c r="BG124" s="1">
        <f t="shared" si="154"/>
        <v>-219.477622523361</v>
      </c>
      <c r="BH124" s="1">
        <f t="shared" si="155"/>
        <v>639.161525030959</v>
      </c>
      <c r="BI124" s="1">
        <f t="shared" si="156"/>
        <v>737.102441837138</v>
      </c>
      <c r="BJ124" s="1">
        <f t="shared" si="157"/>
        <v>-219.477622523361</v>
      </c>
      <c r="BK124" s="1">
        <f t="shared" si="158"/>
        <v>639.161525030959</v>
      </c>
      <c r="BL124" s="1">
        <f t="shared" si="159"/>
        <v>737.102441837138</v>
      </c>
      <c r="BM124" s="61">
        <f t="shared" si="160"/>
        <v>22461865.7748621</v>
      </c>
      <c r="BN124" s="61">
        <f t="shared" si="161"/>
        <v>37186384.1263551</v>
      </c>
      <c r="BO124" s="61">
        <f t="shared" si="162"/>
        <v>737.102441837138</v>
      </c>
      <c r="BQ124" s="1" t="str">
        <f t="shared" si="63"/>
        <v>N 47° 29.1' / E 039° 02.6'</v>
      </c>
      <c r="BR124" s="1" t="str">
        <f t="shared" si="64"/>
        <v>37T 500504 828431</v>
      </c>
      <c r="BS124" s="1" t="str">
        <f t="shared" si="65"/>
        <v>37T EJ 005284</v>
      </c>
      <c r="BT124" s="1" t="b">
        <f t="shared" si="66"/>
        <v>0</v>
      </c>
      <c r="BU124" s="1" t="str">
        <f t="shared" si="67"/>
        <v>37T</v>
      </c>
      <c r="BV124" s="1">
        <f t="shared" si="68"/>
        <v>37</v>
      </c>
      <c r="BW124" s="1">
        <f t="shared" si="69"/>
        <v>0</v>
      </c>
      <c r="BX124" s="1">
        <f t="shared" si="70"/>
        <v>39</v>
      </c>
      <c r="BY124" s="1">
        <f t="shared" si="163"/>
        <v>504.157642135207</v>
      </c>
      <c r="BZ124" s="1">
        <f t="shared" si="72"/>
        <v>500504.1576</v>
      </c>
      <c r="CA124" s="1" t="str">
        <f t="shared" si="73"/>
        <v>E</v>
      </c>
      <c r="CB124" s="1" t="str">
        <f t="shared" si="74"/>
        <v>500504</v>
      </c>
      <c r="CC124" s="1" t="str">
        <f t="shared" si="75"/>
        <v>00504</v>
      </c>
      <c r="CD124" s="1">
        <f t="shared" si="164"/>
        <v>828431.430110396</v>
      </c>
      <c r="CE124" s="1">
        <f t="shared" si="77"/>
        <v>828431.4301</v>
      </c>
      <c r="CF124" s="1" t="str">
        <f t="shared" si="78"/>
        <v>J</v>
      </c>
      <c r="CG124" s="1" t="str">
        <f t="shared" si="79"/>
        <v>828431</v>
      </c>
      <c r="CH124" s="1" t="str">
        <f t="shared" si="80"/>
        <v>28431</v>
      </c>
      <c r="CJ124" s="1">
        <f t="shared" si="81"/>
        <v>439</v>
      </c>
      <c r="CK124" s="1" t="str">
        <f t="shared" si="82"/>
        <v>ML</v>
      </c>
      <c r="CL124" s="1">
        <f t="shared" si="83"/>
        <v>1</v>
      </c>
      <c r="CM124" s="1">
        <f t="shared" si="84"/>
        <v>1</v>
      </c>
      <c r="CN124" s="1">
        <f t="shared" si="85"/>
        <v>0</v>
      </c>
      <c r="CO124" s="1">
        <f t="shared" si="86"/>
        <v>2</v>
      </c>
      <c r="CP124" s="1" t="str">
        <f t="shared" si="87"/>
        <v>439ML11</v>
      </c>
      <c r="CR124" s="1" t="e">
        <f t="shared" si="88"/>
        <v>#VALUE!</v>
      </c>
      <c r="CS124" s="1" t="e">
        <f t="shared" si="89"/>
        <v>#VALUE!</v>
      </c>
      <c r="CT124" s="1">
        <f t="shared" si="90"/>
        <v>5</v>
      </c>
      <c r="CU124" s="1">
        <f t="shared" si="91"/>
        <v>3</v>
      </c>
      <c r="CV124" s="131" t="e">
        <f t="shared" si="92"/>
        <v>#VALUE!</v>
      </c>
      <c r="CW124" s="131">
        <v>1249.5</v>
      </c>
      <c r="CX124" s="131">
        <v>1359</v>
      </c>
      <c r="CY124" s="131">
        <v>2073.2</v>
      </c>
      <c r="CZ124" s="131">
        <v>2140.9</v>
      </c>
      <c r="DA124" s="131">
        <v>2279.2</v>
      </c>
      <c r="DC124" s="154">
        <f t="shared" si="93"/>
        <v>-524.873227220621</v>
      </c>
      <c r="DD124" s="154">
        <f t="shared" si="94"/>
        <v>737.102441837138</v>
      </c>
      <c r="DE124" s="154">
        <f t="shared" si="95"/>
        <v>425.682953869917</v>
      </c>
      <c r="DF124" s="1">
        <f t="shared" si="96"/>
        <v>25.1936587019908</v>
      </c>
      <c r="DG124" s="1">
        <f t="shared" si="97"/>
        <v>125.453769443353</v>
      </c>
      <c r="DH124" s="1">
        <f t="shared" si="98"/>
        <v>292</v>
      </c>
      <c r="DI124" s="1">
        <f t="shared" si="165"/>
        <v>307</v>
      </c>
      <c r="DJ124" s="1">
        <f t="shared" si="166"/>
        <v>348</v>
      </c>
      <c r="DK124" s="1">
        <f t="shared" si="101"/>
        <v>292</v>
      </c>
      <c r="DL124" s="1">
        <f t="shared" si="102"/>
        <v>307</v>
      </c>
      <c r="DM124" s="1">
        <f t="shared" si="103"/>
        <v>348</v>
      </c>
    </row>
    <row r="125" customHeight="1" spans="1:117">
      <c r="A125" s="152" t="str">
        <f t="shared" si="176"/>
        <v>Mountainside Chairs</v>
      </c>
      <c r="C125" s="55" t="str">
        <f t="shared" si="5"/>
        <v>N 48° 52.7' / E 039° 44.1'</v>
      </c>
      <c r="D125" s="150" t="str">
        <f t="shared" si="6"/>
        <v>1827 m</v>
      </c>
      <c r="E125" s="151">
        <f t="shared" si="117"/>
        <v>950.4</v>
      </c>
      <c r="F125" s="151">
        <f t="shared" si="118"/>
        <v>2291.1</v>
      </c>
      <c r="G125" s="151">
        <f t="shared" si="119"/>
        <v>1365.1</v>
      </c>
      <c r="H125" s="151">
        <f t="shared" si="120"/>
        <v>2070.9</v>
      </c>
      <c r="I125" s="151">
        <f t="shared" si="121"/>
        <v>1271.7</v>
      </c>
      <c r="J125" s="171">
        <f t="shared" si="122"/>
        <v>2129.5</v>
      </c>
      <c r="K125" s="172">
        <f t="shared" si="177"/>
        <v>506.681654210353</v>
      </c>
      <c r="L125" s="172">
        <f t="shared" si="178"/>
        <v>421.171165357204</v>
      </c>
      <c r="M125" s="173">
        <f t="shared" si="179"/>
        <v>754.682731680966</v>
      </c>
      <c r="N125" s="54">
        <f t="shared" si="123"/>
        <v>0.0943649097384507</v>
      </c>
      <c r="O125" s="55" t="str">
        <f t="shared" si="124"/>
        <v>After midnight / Rises in 23m</v>
      </c>
      <c r="P125" s="55" t="str">
        <f t="shared" si="15"/>
        <v>291°M / -23°</v>
      </c>
      <c r="Q125" s="56">
        <f t="shared" si="125"/>
        <v>45683.7217170992</v>
      </c>
      <c r="R125" s="56">
        <f t="shared" si="126"/>
        <v>45683.7274393213</v>
      </c>
      <c r="S125" s="56">
        <f t="shared" si="127"/>
        <v>45683.7746217762</v>
      </c>
      <c r="T125" s="56">
        <f t="shared" si="128"/>
        <v>45683.8218042311</v>
      </c>
      <c r="U125" s="180">
        <f t="shared" si="129"/>
        <v>45683.8275264531</v>
      </c>
      <c r="V125" s="55" t="str">
        <f t="shared" si="130"/>
        <v>Obstructed / Rises in 17m</v>
      </c>
      <c r="W125" s="55" t="str">
        <f t="shared" si="131"/>
        <v>306°M / -18°</v>
      </c>
      <c r="X125" s="56">
        <f t="shared" si="132"/>
        <v>45683.7232677155</v>
      </c>
      <c r="Y125" s="180">
        <f t="shared" si="133"/>
        <v>45683.8124087687</v>
      </c>
      <c r="Z125" s="55" t="str">
        <f t="shared" si="134"/>
        <v>348°M / -31°</v>
      </c>
      <c r="AA125" s="151">
        <f t="shared" si="135"/>
        <v>1040.7</v>
      </c>
      <c r="AB125" s="150">
        <f t="shared" si="136"/>
        <v>1092.5</v>
      </c>
      <c r="AC125" s="188">
        <v>116</v>
      </c>
      <c r="AD125" s="1" t="b">
        <f t="shared" si="28"/>
        <v>1</v>
      </c>
      <c r="AE125" s="1">
        <f t="shared" si="29"/>
        <v>48.8776050591497</v>
      </c>
      <c r="AF125" s="1">
        <f t="shared" si="30"/>
        <v>39.7345209530757</v>
      </c>
      <c r="AG125" s="1">
        <f t="shared" si="31"/>
        <v>39.7345209530757</v>
      </c>
      <c r="AH125" s="2">
        <f t="shared" si="137"/>
        <v>1.82706828031451</v>
      </c>
      <c r="AI125" s="1">
        <f t="shared" si="33"/>
        <v>3.46086503826199</v>
      </c>
      <c r="AJ125" s="191">
        <f t="shared" si="174"/>
        <v>0</v>
      </c>
      <c r="AK125" s="191">
        <f t="shared" si="175"/>
        <v>0</v>
      </c>
      <c r="AL125" s="191">
        <f t="shared" si="138"/>
        <v>98.945733001136</v>
      </c>
      <c r="AM125" s="20">
        <f t="shared" si="139"/>
        <v>132.265087261827</v>
      </c>
      <c r="AN125" s="191">
        <f t="shared" si="140"/>
        <v>45.0777763523172</v>
      </c>
      <c r="AO125" s="134">
        <f t="shared" si="141"/>
        <v>53</v>
      </c>
      <c r="AP125" s="64">
        <f t="shared" si="38"/>
        <v>-30</v>
      </c>
      <c r="AQ125" s="1">
        <f t="shared" si="167"/>
        <v>93.4682910615756</v>
      </c>
      <c r="AR125" s="20">
        <f t="shared" si="142"/>
        <v>118.039423173051</v>
      </c>
      <c r="AS125" s="1">
        <f t="shared" si="143"/>
        <v>41.1216426792249</v>
      </c>
      <c r="AT125" s="134">
        <f t="shared" si="144"/>
        <v>68</v>
      </c>
      <c r="AU125" s="64">
        <f t="shared" si="145"/>
        <v>-19</v>
      </c>
      <c r="AV125" s="65">
        <f t="shared" si="146"/>
        <v>45683.7232677155</v>
      </c>
      <c r="AW125" s="65">
        <f t="shared" si="147"/>
        <v>45683.8124087687</v>
      </c>
      <c r="AX125" s="1">
        <f t="shared" si="148"/>
        <v>110</v>
      </c>
      <c r="AY125" s="1">
        <f t="shared" si="149"/>
        <v>-31</v>
      </c>
      <c r="AZ125" s="131">
        <f t="shared" si="150"/>
        <v>1040.7</v>
      </c>
      <c r="BA125" s="1">
        <f t="shared" si="151"/>
        <v>1092.5</v>
      </c>
      <c r="BB125" s="1">
        <f t="shared" si="49"/>
        <v>42370007.4388897</v>
      </c>
      <c r="BC125" s="1">
        <f t="shared" si="50"/>
        <v>-23</v>
      </c>
      <c r="BD125" s="1">
        <f t="shared" si="152"/>
        <v>57481159.6406121</v>
      </c>
      <c r="BE125" s="1">
        <f t="shared" si="153"/>
        <v>-18</v>
      </c>
      <c r="BF125" s="20">
        <f t="shared" si="53"/>
        <v>19.6433935181832</v>
      </c>
      <c r="BG125" s="1">
        <f t="shared" si="154"/>
        <v>-221.489452669277</v>
      </c>
      <c r="BH125" s="1">
        <f t="shared" si="155"/>
        <v>620.527091751802</v>
      </c>
      <c r="BI125" s="1">
        <f t="shared" si="156"/>
        <v>754.682731680966</v>
      </c>
      <c r="BJ125" s="1">
        <f t="shared" si="157"/>
        <v>-221.489452669277</v>
      </c>
      <c r="BK125" s="1">
        <f t="shared" si="158"/>
        <v>620.527091751802</v>
      </c>
      <c r="BL125" s="1">
        <f t="shared" si="159"/>
        <v>754.682731680966</v>
      </c>
      <c r="BM125" s="61">
        <f t="shared" si="160"/>
        <v>22461863.7630319</v>
      </c>
      <c r="BN125" s="61">
        <f t="shared" si="161"/>
        <v>37186365.4919218</v>
      </c>
      <c r="BO125" s="61">
        <f t="shared" si="162"/>
        <v>754.682731680966</v>
      </c>
      <c r="BQ125" s="1" t="str">
        <f t="shared" si="63"/>
        <v>N 48° 52.7' / E 039° 44.1'</v>
      </c>
      <c r="BR125" s="1" t="str">
        <f t="shared" si="64"/>
        <v>37U 508427 852774</v>
      </c>
      <c r="BS125" s="1" t="str">
        <f t="shared" si="65"/>
        <v>37U EJ 084527</v>
      </c>
      <c r="BT125" s="1" t="b">
        <f t="shared" si="66"/>
        <v>0</v>
      </c>
      <c r="BU125" s="1" t="str">
        <f t="shared" si="67"/>
        <v>37U</v>
      </c>
      <c r="BV125" s="1">
        <f t="shared" si="68"/>
        <v>37</v>
      </c>
      <c r="BW125" s="1">
        <f t="shared" si="69"/>
        <v>0</v>
      </c>
      <c r="BX125" s="1">
        <f t="shared" si="70"/>
        <v>39</v>
      </c>
      <c r="BY125" s="1">
        <f t="shared" si="163"/>
        <v>8427.79681914323</v>
      </c>
      <c r="BZ125" s="1">
        <f t="shared" si="72"/>
        <v>508427.7968</v>
      </c>
      <c r="CA125" s="1" t="str">
        <f t="shared" si="73"/>
        <v>E</v>
      </c>
      <c r="CB125" s="1" t="str">
        <f t="shared" si="74"/>
        <v>508427</v>
      </c>
      <c r="CC125" s="1" t="str">
        <f t="shared" si="75"/>
        <v>08427</v>
      </c>
      <c r="CD125" s="1">
        <f t="shared" si="164"/>
        <v>852774.60440103</v>
      </c>
      <c r="CE125" s="1">
        <f t="shared" si="77"/>
        <v>852774.6044</v>
      </c>
      <c r="CF125" s="1" t="str">
        <f t="shared" si="78"/>
        <v>J</v>
      </c>
      <c r="CG125" s="1" t="str">
        <f t="shared" si="79"/>
        <v>852774</v>
      </c>
      <c r="CH125" s="1" t="str">
        <f t="shared" si="80"/>
        <v>52774</v>
      </c>
      <c r="CJ125" s="1">
        <f t="shared" si="81"/>
        <v>440</v>
      </c>
      <c r="CK125" s="1" t="str">
        <f t="shared" si="82"/>
        <v>MP</v>
      </c>
      <c r="CL125" s="1">
        <f t="shared" si="83"/>
        <v>1</v>
      </c>
      <c r="CM125" s="1">
        <f t="shared" si="84"/>
        <v>6</v>
      </c>
      <c r="CN125" s="1">
        <f t="shared" si="85"/>
        <v>2</v>
      </c>
      <c r="CO125" s="1">
        <f t="shared" si="86"/>
        <v>1</v>
      </c>
      <c r="CP125" s="1" t="str">
        <f t="shared" si="87"/>
        <v>440MP16</v>
      </c>
      <c r="CR125" s="1" t="e">
        <f t="shared" si="88"/>
        <v>#VALUE!</v>
      </c>
      <c r="CS125" s="1" t="e">
        <f t="shared" si="89"/>
        <v>#VALUE!</v>
      </c>
      <c r="CT125" s="1">
        <f t="shared" si="90"/>
        <v>5</v>
      </c>
      <c r="CU125" s="1">
        <f t="shared" si="91"/>
        <v>3</v>
      </c>
      <c r="CV125" s="131" t="e">
        <f t="shared" si="92"/>
        <v>#VALUE!</v>
      </c>
      <c r="CW125" s="131">
        <v>1271.7</v>
      </c>
      <c r="CX125" s="131">
        <v>1365.1</v>
      </c>
      <c r="CY125" s="131">
        <v>2070.9</v>
      </c>
      <c r="CZ125" s="131">
        <v>2129.5</v>
      </c>
      <c r="DA125" s="131">
        <v>2291.1</v>
      </c>
      <c r="DC125" s="154">
        <f t="shared" si="93"/>
        <v>-506.681654210353</v>
      </c>
      <c r="DD125" s="154">
        <f t="shared" si="94"/>
        <v>754.682731680966</v>
      </c>
      <c r="DE125" s="154">
        <f t="shared" si="95"/>
        <v>421.171165357204</v>
      </c>
      <c r="DF125" s="1">
        <f t="shared" si="96"/>
        <v>24.8600369806225</v>
      </c>
      <c r="DG125" s="1">
        <f t="shared" si="97"/>
        <v>123.876766104761</v>
      </c>
      <c r="DH125" s="1">
        <f t="shared" si="98"/>
        <v>291</v>
      </c>
      <c r="DI125" s="1">
        <f t="shared" si="165"/>
        <v>306</v>
      </c>
      <c r="DJ125" s="1">
        <f t="shared" si="166"/>
        <v>348</v>
      </c>
      <c r="DK125" s="1">
        <f t="shared" si="101"/>
        <v>291</v>
      </c>
      <c r="DL125" s="1">
        <f t="shared" si="102"/>
        <v>306</v>
      </c>
      <c r="DM125" s="1">
        <f t="shared" si="103"/>
        <v>348</v>
      </c>
    </row>
    <row r="126" customHeight="1" spans="1:117">
      <c r="A126" s="152" t="str">
        <f t="shared" si="176"/>
        <v>Tears of Fire Painting</v>
      </c>
      <c r="C126" s="55" t="str">
        <f t="shared" si="5"/>
        <v>N 48° 21.8' / E 038° 45.9'</v>
      </c>
      <c r="D126" s="150" t="str">
        <f t="shared" si="6"/>
        <v>662 m</v>
      </c>
      <c r="E126" s="151">
        <f t="shared" si="117"/>
        <v>959.4</v>
      </c>
      <c r="F126" s="151">
        <f t="shared" si="118"/>
        <v>2286.3</v>
      </c>
      <c r="G126" s="151">
        <f t="shared" si="119"/>
        <v>1369.4</v>
      </c>
      <c r="H126" s="151">
        <f t="shared" si="120"/>
        <v>2066.9</v>
      </c>
      <c r="I126" s="151">
        <f t="shared" si="121"/>
        <v>1257.5</v>
      </c>
      <c r="J126" s="171">
        <f t="shared" si="122"/>
        <v>2136.9</v>
      </c>
      <c r="K126" s="172">
        <f t="shared" si="177"/>
        <v>518.388064604595</v>
      </c>
      <c r="L126" s="172">
        <f t="shared" si="178"/>
        <v>416.270524745018</v>
      </c>
      <c r="M126" s="173">
        <f t="shared" si="179"/>
        <v>747.875548809016</v>
      </c>
      <c r="N126" s="54">
        <f t="shared" si="123"/>
        <v>0.092974790772695</v>
      </c>
      <c r="O126" s="55" t="str">
        <f t="shared" si="124"/>
        <v>After midnight / Rises in 25m</v>
      </c>
      <c r="P126" s="55" t="str">
        <f t="shared" si="15"/>
        <v>292°M / -24°</v>
      </c>
      <c r="Q126" s="56">
        <f t="shared" si="125"/>
        <v>45683.7228745747</v>
      </c>
      <c r="R126" s="56">
        <f t="shared" si="126"/>
        <v>45683.7285967968</v>
      </c>
      <c r="S126" s="56">
        <f t="shared" si="127"/>
        <v>45683.7750841922</v>
      </c>
      <c r="T126" s="56">
        <f t="shared" si="128"/>
        <v>45683.8215715876</v>
      </c>
      <c r="U126" s="180">
        <f t="shared" si="129"/>
        <v>45683.8272938096</v>
      </c>
      <c r="V126" s="55" t="str">
        <f t="shared" si="130"/>
        <v>Obstructed / Rises in 18m</v>
      </c>
      <c r="W126" s="55" t="str">
        <f t="shared" si="131"/>
        <v>307°M / -19°</v>
      </c>
      <c r="X126" s="56">
        <f t="shared" si="132"/>
        <v>45683.7243863047</v>
      </c>
      <c r="Y126" s="180">
        <f t="shared" si="133"/>
        <v>45683.8122150115</v>
      </c>
      <c r="Z126" s="55" t="str">
        <f t="shared" si="134"/>
        <v>348°M / -31°</v>
      </c>
      <c r="AA126" s="151">
        <f t="shared" si="135"/>
        <v>1046.6</v>
      </c>
      <c r="AB126" s="150">
        <f t="shared" si="136"/>
        <v>1100.2</v>
      </c>
      <c r="AC126" s="188">
        <v>117</v>
      </c>
      <c r="AD126" s="1" t="b">
        <f t="shared" si="28"/>
        <v>1</v>
      </c>
      <c r="AE126" s="1">
        <f t="shared" si="29"/>
        <v>48.3639761291255</v>
      </c>
      <c r="AF126" s="1">
        <f t="shared" si="30"/>
        <v>38.7647941964324</v>
      </c>
      <c r="AG126" s="1">
        <f t="shared" si="31"/>
        <v>38.7647941964324</v>
      </c>
      <c r="AH126" s="2">
        <f t="shared" si="137"/>
        <v>0.662366536474337</v>
      </c>
      <c r="AI126" s="1">
        <f t="shared" si="33"/>
        <v>2.08481247606331</v>
      </c>
      <c r="AJ126" s="191">
        <f t="shared" si="174"/>
        <v>0</v>
      </c>
      <c r="AK126" s="191">
        <f t="shared" si="175"/>
        <v>0</v>
      </c>
      <c r="AL126" s="191">
        <f t="shared" si="138"/>
        <v>97.4881324968096</v>
      </c>
      <c r="AM126" s="20">
        <f t="shared" si="139"/>
        <v>133.23481401847</v>
      </c>
      <c r="AN126" s="191">
        <f t="shared" si="140"/>
        <v>45.5914150225122</v>
      </c>
      <c r="AO126" s="134">
        <f t="shared" si="141"/>
        <v>53</v>
      </c>
      <c r="AP126" s="64">
        <f t="shared" si="38"/>
        <v>-31</v>
      </c>
      <c r="AQ126" s="1">
        <f t="shared" si="167"/>
        <v>92.0922384993769</v>
      </c>
      <c r="AR126" s="20">
        <f t="shared" si="142"/>
        <v>119.009149929694</v>
      </c>
      <c r="AS126" s="1">
        <f t="shared" si="143"/>
        <v>41.6352783948913</v>
      </c>
      <c r="AT126" s="134">
        <f t="shared" si="144"/>
        <v>67</v>
      </c>
      <c r="AU126" s="64">
        <f t="shared" si="145"/>
        <v>-20</v>
      </c>
      <c r="AV126" s="65">
        <f t="shared" si="146"/>
        <v>45683.7243863047</v>
      </c>
      <c r="AW126" s="65">
        <f t="shared" si="147"/>
        <v>45683.8122150115</v>
      </c>
      <c r="AX126" s="1">
        <f t="shared" si="148"/>
        <v>109</v>
      </c>
      <c r="AY126" s="1">
        <f t="shared" si="149"/>
        <v>-31</v>
      </c>
      <c r="AZ126" s="131">
        <f t="shared" si="150"/>
        <v>1046.6</v>
      </c>
      <c r="BA126" s="1">
        <f t="shared" si="151"/>
        <v>1100.2</v>
      </c>
      <c r="BB126" s="1">
        <f t="shared" si="49"/>
        <v>42370020.153706</v>
      </c>
      <c r="BC126" s="1">
        <f t="shared" si="50"/>
        <v>-24</v>
      </c>
      <c r="BD126" s="1">
        <f t="shared" si="152"/>
        <v>57481172.3308556</v>
      </c>
      <c r="BE126" s="1">
        <f t="shared" si="153"/>
        <v>-19</v>
      </c>
      <c r="BF126" s="20">
        <f t="shared" si="53"/>
        <v>18.67366676154</v>
      </c>
      <c r="BG126" s="1">
        <f t="shared" si="154"/>
        <v>-212.865709512852</v>
      </c>
      <c r="BH126" s="1">
        <f t="shared" si="155"/>
        <v>629.837697355105</v>
      </c>
      <c r="BI126" s="1">
        <f t="shared" si="156"/>
        <v>747.875548809016</v>
      </c>
      <c r="BJ126" s="1">
        <f t="shared" si="157"/>
        <v>-212.865709512852</v>
      </c>
      <c r="BK126" s="1">
        <f t="shared" si="158"/>
        <v>629.837697355105</v>
      </c>
      <c r="BL126" s="1">
        <f t="shared" si="159"/>
        <v>747.875548809016</v>
      </c>
      <c r="BM126" s="61">
        <f t="shared" si="160"/>
        <v>22461872.3867751</v>
      </c>
      <c r="BN126" s="61">
        <f t="shared" si="161"/>
        <v>37186374.8025275</v>
      </c>
      <c r="BO126" s="61">
        <f t="shared" si="162"/>
        <v>747.875548809016</v>
      </c>
      <c r="BQ126" s="1" t="str">
        <f t="shared" si="63"/>
        <v>N 48° 21.8' / E 038° 45.9'</v>
      </c>
      <c r="BR126" s="1" t="str">
        <f t="shared" si="64"/>
        <v>37U 497273 843777</v>
      </c>
      <c r="BS126" s="1" t="str">
        <f t="shared" si="65"/>
        <v>37U DJ 972437</v>
      </c>
      <c r="BT126" s="1" t="b">
        <f t="shared" si="66"/>
        <v>0</v>
      </c>
      <c r="BU126" s="1" t="str">
        <f t="shared" si="67"/>
        <v>37U</v>
      </c>
      <c r="BV126" s="1">
        <f t="shared" si="68"/>
        <v>37</v>
      </c>
      <c r="BW126" s="1">
        <f t="shared" si="69"/>
        <v>0</v>
      </c>
      <c r="BX126" s="1">
        <f t="shared" si="70"/>
        <v>39</v>
      </c>
      <c r="BY126" s="1">
        <f t="shared" si="163"/>
        <v>-2726.33159830814</v>
      </c>
      <c r="BZ126" s="1">
        <f t="shared" si="72"/>
        <v>497273.6684</v>
      </c>
      <c r="CA126" s="1" t="str">
        <f t="shared" si="73"/>
        <v>D</v>
      </c>
      <c r="CB126" s="1" t="str">
        <f t="shared" si="74"/>
        <v>497273</v>
      </c>
      <c r="CC126" s="1" t="str">
        <f t="shared" si="75"/>
        <v>97273</v>
      </c>
      <c r="CD126" s="1">
        <f t="shared" si="164"/>
        <v>843777.160877553</v>
      </c>
      <c r="CE126" s="1">
        <f t="shared" si="77"/>
        <v>843777.1609</v>
      </c>
      <c r="CF126" s="1" t="str">
        <f t="shared" si="78"/>
        <v>J</v>
      </c>
      <c r="CG126" s="1" t="str">
        <f t="shared" si="79"/>
        <v>843777</v>
      </c>
      <c r="CH126" s="1" t="str">
        <f t="shared" si="80"/>
        <v>43777</v>
      </c>
      <c r="CJ126" s="1">
        <f t="shared" si="81"/>
        <v>438</v>
      </c>
      <c r="CK126" s="1" t="str">
        <f t="shared" si="82"/>
        <v>MN</v>
      </c>
      <c r="CL126" s="1">
        <f t="shared" si="83"/>
        <v>2</v>
      </c>
      <c r="CM126" s="1">
        <f t="shared" si="84"/>
        <v>4</v>
      </c>
      <c r="CN126" s="1">
        <f t="shared" si="85"/>
        <v>0</v>
      </c>
      <c r="CO126" s="1">
        <f t="shared" si="86"/>
        <v>1</v>
      </c>
      <c r="CP126" s="1" t="str">
        <f t="shared" si="87"/>
        <v>438MN24</v>
      </c>
      <c r="CR126" s="1" t="e">
        <f t="shared" si="88"/>
        <v>#VALUE!</v>
      </c>
      <c r="CS126" s="1" t="e">
        <f t="shared" si="89"/>
        <v>#VALUE!</v>
      </c>
      <c r="CT126" s="1">
        <f t="shared" si="90"/>
        <v>5</v>
      </c>
      <c r="CU126" s="1">
        <f t="shared" si="91"/>
        <v>3</v>
      </c>
      <c r="CV126" s="131" t="e">
        <f t="shared" si="92"/>
        <v>#VALUE!</v>
      </c>
      <c r="CW126" s="131">
        <v>1257.5</v>
      </c>
      <c r="CX126" s="131">
        <v>1369.4</v>
      </c>
      <c r="CY126" s="131">
        <v>2066.9</v>
      </c>
      <c r="CZ126" s="131">
        <v>2136.9</v>
      </c>
      <c r="DA126" s="131">
        <v>2286.3</v>
      </c>
      <c r="DC126" s="154">
        <f t="shared" si="93"/>
        <v>-518.388064604595</v>
      </c>
      <c r="DD126" s="154">
        <f t="shared" si="94"/>
        <v>747.875548809016</v>
      </c>
      <c r="DE126" s="154">
        <f t="shared" si="95"/>
        <v>416.270524745018</v>
      </c>
      <c r="DF126" s="1">
        <f t="shared" si="96"/>
        <v>24.5819909783985</v>
      </c>
      <c r="DG126" s="1">
        <f t="shared" si="97"/>
        <v>124.727668013207</v>
      </c>
      <c r="DH126" s="1">
        <f t="shared" si="98"/>
        <v>292</v>
      </c>
      <c r="DI126" s="1">
        <f t="shared" si="165"/>
        <v>307</v>
      </c>
      <c r="DJ126" s="1">
        <f t="shared" si="166"/>
        <v>348</v>
      </c>
      <c r="DK126" s="1">
        <f t="shared" si="101"/>
        <v>292</v>
      </c>
      <c r="DL126" s="1">
        <f t="shared" si="102"/>
        <v>307</v>
      </c>
      <c r="DM126" s="1">
        <f t="shared" si="103"/>
        <v>348</v>
      </c>
    </row>
    <row r="127" customHeight="1" spans="1:117">
      <c r="A127" s="152" t="str">
        <f t="shared" si="176"/>
        <v/>
      </c>
      <c r="C127" s="55" t="str">
        <f t="shared" si="5"/>
        <v/>
      </c>
      <c r="D127" s="150" t="str">
        <f t="shared" si="6"/>
        <v/>
      </c>
      <c r="E127" s="151" t="str">
        <f t="shared" si="117"/>
        <v/>
      </c>
      <c r="F127" s="151" t="str">
        <f t="shared" si="118"/>
        <v/>
      </c>
      <c r="G127" s="151" t="str">
        <f t="shared" si="119"/>
        <v/>
      </c>
      <c r="H127" s="151" t="str">
        <f t="shared" si="120"/>
        <v/>
      </c>
      <c r="I127" s="151" t="str">
        <f t="shared" si="121"/>
        <v/>
      </c>
      <c r="J127" s="171" t="str">
        <f t="shared" si="122"/>
        <v/>
      </c>
      <c r="K127" s="172" t="str">
        <f t="shared" si="177"/>
        <v/>
      </c>
      <c r="L127" s="172" t="str">
        <f t="shared" si="178"/>
        <v/>
      </c>
      <c r="M127" s="173" t="str">
        <f t="shared" si="179"/>
        <v/>
      </c>
      <c r="N127" s="54" t="str">
        <f t="shared" si="123"/>
        <v/>
      </c>
      <c r="O127" s="55" t="str">
        <f t="shared" si="124"/>
        <v/>
      </c>
      <c r="P127" s="55" t="str">
        <f t="shared" si="15"/>
        <v/>
      </c>
      <c r="Q127" s="56" t="str">
        <f t="shared" si="125"/>
        <v/>
      </c>
      <c r="R127" s="56" t="str">
        <f t="shared" si="126"/>
        <v/>
      </c>
      <c r="S127" s="56" t="str">
        <f t="shared" si="127"/>
        <v/>
      </c>
      <c r="T127" s="56" t="str">
        <f t="shared" si="128"/>
        <v/>
      </c>
      <c r="U127" s="180" t="str">
        <f t="shared" si="129"/>
        <v/>
      </c>
      <c r="V127" s="55" t="str">
        <f t="shared" si="130"/>
        <v/>
      </c>
      <c r="W127" s="55" t="str">
        <f t="shared" si="131"/>
        <v/>
      </c>
      <c r="X127" s="56" t="str">
        <f t="shared" si="132"/>
        <v/>
      </c>
      <c r="Y127" s="180" t="str">
        <f t="shared" si="133"/>
        <v/>
      </c>
      <c r="Z127" s="55" t="str">
        <f t="shared" si="134"/>
        <v/>
      </c>
      <c r="AA127" s="55" t="str">
        <f t="shared" si="135"/>
        <v/>
      </c>
      <c r="AB127" s="150" t="str">
        <f t="shared" si="136"/>
        <v/>
      </c>
      <c r="AC127" s="188">
        <v>118</v>
      </c>
      <c r="AD127" s="1" t="b">
        <f t="shared" si="28"/>
        <v>0</v>
      </c>
      <c r="AE127" s="1" t="str">
        <f t="shared" si="29"/>
        <v/>
      </c>
      <c r="AF127" s="1" t="str">
        <f t="shared" si="30"/>
        <v/>
      </c>
      <c r="AG127" s="1" t="str">
        <f t="shared" si="31"/>
        <v/>
      </c>
      <c r="AH127" s="1" t="str">
        <f t="shared" si="137"/>
        <v/>
      </c>
      <c r="AI127" s="1" t="str">
        <f t="shared" si="33"/>
        <v/>
      </c>
      <c r="AJ127" s="191" t="str">
        <f t="shared" si="174"/>
        <v/>
      </c>
      <c r="AK127" s="191" t="str">
        <f t="shared" si="175"/>
        <v/>
      </c>
      <c r="AL127" s="191" t="str">
        <f t="shared" si="138"/>
        <v/>
      </c>
      <c r="AM127" s="1" t="str">
        <f t="shared" si="139"/>
        <v/>
      </c>
      <c r="AN127" s="191" t="str">
        <f t="shared" si="140"/>
        <v/>
      </c>
      <c r="AO127" s="134" t="str">
        <f t="shared" si="141"/>
        <v/>
      </c>
      <c r="AP127" s="64" t="str">
        <f t="shared" si="38"/>
        <v/>
      </c>
      <c r="AQ127" s="1" t="str">
        <f t="shared" si="167"/>
        <v/>
      </c>
      <c r="AR127" s="1" t="str">
        <f t="shared" si="142"/>
        <v/>
      </c>
      <c r="AS127" s="1" t="str">
        <f t="shared" si="143"/>
        <v/>
      </c>
      <c r="AT127" s="134" t="str">
        <f t="shared" si="144"/>
        <v/>
      </c>
      <c r="AU127" s="64" t="str">
        <f t="shared" si="145"/>
        <v/>
      </c>
      <c r="AV127" s="65" t="str">
        <f t="shared" si="146"/>
        <v/>
      </c>
      <c r="AW127" s="65" t="str">
        <f t="shared" si="147"/>
        <v/>
      </c>
      <c r="AX127" s="1" t="str">
        <f t="shared" si="148"/>
        <v/>
      </c>
      <c r="AY127" s="1" t="str">
        <f t="shared" si="149"/>
        <v/>
      </c>
      <c r="AZ127" s="131" t="str">
        <f t="shared" si="150"/>
        <v/>
      </c>
      <c r="BA127" s="1" t="str">
        <f t="shared" si="151"/>
        <v/>
      </c>
      <c r="BB127" s="1" t="str">
        <f t="shared" si="49"/>
        <v/>
      </c>
      <c r="BC127" s="1" t="str">
        <f t="shared" si="50"/>
        <v/>
      </c>
      <c r="BD127" s="1" t="str">
        <f t="shared" si="152"/>
        <v/>
      </c>
      <c r="BE127" s="1" t="str">
        <f t="shared" si="153"/>
        <v/>
      </c>
      <c r="BF127" s="1" t="str">
        <f t="shared" si="53"/>
        <v/>
      </c>
      <c r="BG127" s="1" t="str">
        <f t="shared" si="154"/>
        <v/>
      </c>
      <c r="BH127" s="1" t="str">
        <f t="shared" si="155"/>
        <v/>
      </c>
      <c r="BI127" s="1" t="str">
        <f t="shared" si="156"/>
        <v/>
      </c>
      <c r="BJ127" s="1" t="str">
        <f t="shared" si="157"/>
        <v/>
      </c>
      <c r="BK127" s="1" t="str">
        <f t="shared" si="158"/>
        <v/>
      </c>
      <c r="BL127" s="1" t="str">
        <f t="shared" si="159"/>
        <v/>
      </c>
      <c r="BM127" s="1" t="str">
        <f t="shared" si="160"/>
        <v/>
      </c>
      <c r="BN127" s="1" t="str">
        <f t="shared" si="161"/>
        <v/>
      </c>
      <c r="BO127" s="1" t="str">
        <f t="shared" si="162"/>
        <v/>
      </c>
      <c r="BQ127" s="1" t="str">
        <f t="shared" si="63"/>
        <v/>
      </c>
      <c r="BR127" s="1" t="str">
        <f t="shared" si="64"/>
        <v/>
      </c>
      <c r="BS127" s="1" t="str">
        <f t="shared" si="65"/>
        <v/>
      </c>
      <c r="BT127" s="1" t="str">
        <f t="shared" si="66"/>
        <v/>
      </c>
      <c r="BU127" s="1" t="str">
        <f t="shared" si="67"/>
        <v/>
      </c>
      <c r="BV127" s="1" t="str">
        <f t="shared" si="68"/>
        <v/>
      </c>
      <c r="BW127" s="1" t="str">
        <f t="shared" si="69"/>
        <v/>
      </c>
      <c r="BX127" s="1" t="str">
        <f t="shared" si="70"/>
        <v/>
      </c>
      <c r="BY127" s="1" t="str">
        <f t="shared" si="163"/>
        <v/>
      </c>
      <c r="BZ127" s="1" t="str">
        <f t="shared" si="72"/>
        <v/>
      </c>
      <c r="CA127" s="1" t="str">
        <f t="shared" si="73"/>
        <v/>
      </c>
      <c r="CB127" s="1" t="str">
        <f t="shared" si="74"/>
        <v/>
      </c>
      <c r="CC127" s="1" t="str">
        <f t="shared" si="75"/>
        <v/>
      </c>
      <c r="CD127" s="1" t="str">
        <f t="shared" si="164"/>
        <v/>
      </c>
      <c r="CE127" s="1" t="str">
        <f t="shared" si="77"/>
        <v/>
      </c>
      <c r="CF127" s="1" t="str">
        <f t="shared" si="78"/>
        <v/>
      </c>
      <c r="CG127" s="1" t="str">
        <f t="shared" si="79"/>
        <v/>
      </c>
      <c r="CH127" s="1" t="str">
        <f t="shared" si="80"/>
        <v/>
      </c>
      <c r="CJ127" s="1" t="str">
        <f t="shared" si="81"/>
        <v/>
      </c>
      <c r="CK127" s="1" t="str">
        <f t="shared" si="82"/>
        <v/>
      </c>
      <c r="CL127" s="1" t="str">
        <f t="shared" si="83"/>
        <v/>
      </c>
      <c r="CM127" s="1" t="str">
        <f t="shared" si="84"/>
        <v/>
      </c>
      <c r="CN127" s="1" t="str">
        <f t="shared" si="85"/>
        <v/>
      </c>
      <c r="CO127" s="1" t="str">
        <f t="shared" si="86"/>
        <v/>
      </c>
      <c r="CP127" s="1" t="str">
        <f t="shared" si="87"/>
        <v/>
      </c>
      <c r="CR127" s="1" t="str">
        <f t="shared" si="88"/>
        <v/>
      </c>
      <c r="CS127" s="1" t="str">
        <f t="shared" si="89"/>
        <v/>
      </c>
      <c r="CT127" s="1" t="str">
        <f t="shared" si="90"/>
        <v/>
      </c>
      <c r="CU127" s="1" t="str">
        <f t="shared" si="91"/>
        <v/>
      </c>
      <c r="CV127" s="1" t="str">
        <f t="shared" si="92"/>
        <v/>
      </c>
      <c r="DC127" s="154" t="e">
        <f t="shared" si="93"/>
        <v>#VALUE!</v>
      </c>
      <c r="DD127" s="154" t="str">
        <f t="shared" si="94"/>
        <v/>
      </c>
      <c r="DE127" s="154" t="str">
        <f t="shared" si="95"/>
        <v/>
      </c>
      <c r="DF127" s="1" t="str">
        <f t="shared" si="96"/>
        <v/>
      </c>
      <c r="DG127" s="1" t="str">
        <f t="shared" si="97"/>
        <v/>
      </c>
      <c r="DH127" s="1" t="str">
        <f t="shared" si="98"/>
        <v/>
      </c>
      <c r="DI127" s="1" t="str">
        <f t="shared" si="165"/>
        <v/>
      </c>
      <c r="DJ127" s="1" t="str">
        <f t="shared" si="166"/>
        <v/>
      </c>
      <c r="DK127" s="1" t="str">
        <f t="shared" si="101"/>
        <v/>
      </c>
      <c r="DL127" s="1" t="str">
        <f t="shared" si="102"/>
        <v/>
      </c>
      <c r="DM127" s="1" t="str">
        <f t="shared" si="103"/>
        <v/>
      </c>
    </row>
    <row r="128" customHeight="1" spans="1:117">
      <c r="A128" s="152" t="str">
        <f t="shared" si="176"/>
        <v>OM-1</v>
      </c>
      <c r="C128" s="55" t="str">
        <f t="shared" si="5"/>
        <v>N 90° 00.0' / E 000° 00.0'</v>
      </c>
      <c r="D128" s="150" t="str">
        <f t="shared" si="6"/>
        <v>439.6 km</v>
      </c>
      <c r="E128" s="151">
        <f t="shared" si="117"/>
        <v>0</v>
      </c>
      <c r="F128" s="151">
        <f t="shared" si="118"/>
        <v>2879.2</v>
      </c>
      <c r="G128" s="151">
        <f t="shared" si="119"/>
        <v>2035.9</v>
      </c>
      <c r="H128" s="151">
        <f t="shared" si="120"/>
        <v>2035.9</v>
      </c>
      <c r="I128" s="151">
        <f t="shared" si="121"/>
        <v>2035.9</v>
      </c>
      <c r="J128" s="171">
        <f t="shared" si="122"/>
        <v>2035.9</v>
      </c>
      <c r="K128" s="172">
        <f t="shared" si="177"/>
        <v>0</v>
      </c>
      <c r="L128" s="172">
        <f t="shared" si="178"/>
        <v>0</v>
      </c>
      <c r="M128" s="173">
        <f t="shared" si="179"/>
        <v>1439.593</v>
      </c>
      <c r="N128" s="54" t="str">
        <f t="shared" si="123"/>
        <v>Continuous</v>
      </c>
      <c r="O128" s="55" t="str">
        <f t="shared" si="124"/>
        <v>Daylight</v>
      </c>
      <c r="P128" s="55" t="str">
        <f t="shared" si="15"/>
        <v>278°M / +04°</v>
      </c>
      <c r="Q128" s="56" t="str">
        <f t="shared" si="125"/>
        <v/>
      </c>
      <c r="R128" s="56" t="str">
        <f t="shared" si="126"/>
        <v/>
      </c>
      <c r="S128" s="56">
        <f t="shared" si="127"/>
        <v>45683.7935692556</v>
      </c>
      <c r="T128" s="56" t="str">
        <f t="shared" si="128"/>
        <v/>
      </c>
      <c r="U128" s="180" t="str">
        <f t="shared" si="129"/>
        <v/>
      </c>
      <c r="V128" s="55" t="str">
        <f t="shared" si="130"/>
        <v>Obstructed / Rises in 15m</v>
      </c>
      <c r="W128" s="55" t="str">
        <f t="shared" si="131"/>
        <v>292°M / -00°</v>
      </c>
      <c r="X128" s="56">
        <f t="shared" si="132"/>
        <v>45683.7219296619</v>
      </c>
      <c r="Y128" s="180">
        <f t="shared" si="133"/>
        <v>45683.8516417811</v>
      </c>
      <c r="Z128" s="55" t="str">
        <f t="shared" si="134"/>
        <v>353°M / -53°</v>
      </c>
      <c r="AA128" s="151">
        <f t="shared" si="135"/>
        <v>1626.6</v>
      </c>
      <c r="AB128" s="150">
        <f t="shared" si="136"/>
        <v>1421.3</v>
      </c>
      <c r="AC128" s="188">
        <v>119</v>
      </c>
      <c r="AD128" s="1" t="b">
        <f t="shared" si="28"/>
        <v>1</v>
      </c>
      <c r="AE128" s="1">
        <f t="shared" si="29"/>
        <v>90</v>
      </c>
      <c r="AF128" s="1">
        <f t="shared" si="30"/>
        <v>0</v>
      </c>
      <c r="AG128" s="1">
        <f t="shared" si="31"/>
        <v>0</v>
      </c>
      <c r="AH128" s="2">
        <f t="shared" si="137"/>
        <v>439.593</v>
      </c>
      <c r="AI128" s="1">
        <f t="shared" si="33"/>
        <v>46.001401316008</v>
      </c>
      <c r="AJ128" s="191">
        <f t="shared" si="174"/>
        <v>0</v>
      </c>
      <c r="AK128" s="191">
        <f t="shared" si="175"/>
        <v>0</v>
      </c>
      <c r="AL128" s="191" t="e">
        <f t="shared" si="138"/>
        <v>#NUM!</v>
      </c>
      <c r="AM128" s="20">
        <f t="shared" si="139"/>
        <v>171.999608214903</v>
      </c>
      <c r="AN128" s="191">
        <f t="shared" si="140"/>
        <v>3.95439596264909</v>
      </c>
      <c r="AO128" s="134">
        <f t="shared" si="141"/>
        <v>8</v>
      </c>
      <c r="AP128" s="64">
        <f t="shared" si="38"/>
        <v>-4</v>
      </c>
      <c r="AQ128" s="1">
        <f t="shared" si="167"/>
        <v>136.008827339322</v>
      </c>
      <c r="AR128" s="20">
        <f t="shared" si="142"/>
        <v>157.773944126127</v>
      </c>
      <c r="AS128" s="1">
        <f t="shared" si="143"/>
        <v>-0.00143495778249303</v>
      </c>
      <c r="AT128" s="134">
        <f t="shared" si="144"/>
        <v>22</v>
      </c>
      <c r="AU128" s="64">
        <f t="shared" si="145"/>
        <v>0</v>
      </c>
      <c r="AV128" s="65">
        <f t="shared" si="146"/>
        <v>45683.7219296619</v>
      </c>
      <c r="AW128" s="65">
        <f t="shared" si="147"/>
        <v>45683.8516417811</v>
      </c>
      <c r="AX128" s="1">
        <f t="shared" si="148"/>
        <v>83</v>
      </c>
      <c r="AY128" s="1">
        <f t="shared" si="149"/>
        <v>-53</v>
      </c>
      <c r="AZ128" s="131">
        <f t="shared" si="150"/>
        <v>1626.6</v>
      </c>
      <c r="BA128" s="1">
        <f t="shared" si="151"/>
        <v>1421.3</v>
      </c>
      <c r="BB128" s="1">
        <f t="shared" si="49"/>
        <v>42369518.1213172</v>
      </c>
      <c r="BC128" s="1">
        <f t="shared" si="50"/>
        <v>4</v>
      </c>
      <c r="BD128" s="1">
        <f t="shared" si="152"/>
        <v>57480849.929176</v>
      </c>
      <c r="BE128" s="1">
        <f t="shared" si="153"/>
        <v>0</v>
      </c>
      <c r="BF128" s="20">
        <f t="shared" si="53"/>
        <v>-20.0911274348925</v>
      </c>
      <c r="BG128" s="1">
        <f t="shared" si="154"/>
        <v>3.02806616738395e-14</v>
      </c>
      <c r="BH128" s="1">
        <f t="shared" si="155"/>
        <v>8.27855178574773e-14</v>
      </c>
      <c r="BI128" s="1">
        <f t="shared" si="156"/>
        <v>1439.593</v>
      </c>
      <c r="BJ128" s="1">
        <f t="shared" si="157"/>
        <v>3.02806616738395e-14</v>
      </c>
      <c r="BK128" s="1">
        <f t="shared" si="158"/>
        <v>8.27855178574773e-14</v>
      </c>
      <c r="BL128" s="1">
        <f t="shared" si="159"/>
        <v>1439.593</v>
      </c>
      <c r="BM128" s="61">
        <f t="shared" si="160"/>
        <v>22462085.2524846</v>
      </c>
      <c r="BN128" s="61">
        <f t="shared" si="161"/>
        <v>37185744.9648301</v>
      </c>
      <c r="BO128" s="61">
        <f t="shared" si="162"/>
        <v>1439.593</v>
      </c>
      <c r="BQ128" s="1" t="str">
        <f t="shared" si="63"/>
        <v>N 90° 00.0' / E 000° 00.0'</v>
      </c>
      <c r="BR128" s="1" t="str">
        <f t="shared" si="64"/>
        <v>Z 200000 200000</v>
      </c>
      <c r="BS128" s="1" t="str">
        <f t="shared" si="65"/>
        <v>Z AH 000000</v>
      </c>
      <c r="BT128" s="1" t="b">
        <f t="shared" si="66"/>
        <v>1</v>
      </c>
      <c r="BU128" s="1" t="str">
        <f t="shared" si="67"/>
        <v>Z</v>
      </c>
      <c r="BV128" s="1">
        <f t="shared" si="68"/>
        <v>31</v>
      </c>
      <c r="BW128" s="1">
        <f t="shared" si="69"/>
        <v>90</v>
      </c>
      <c r="BX128" s="1">
        <f t="shared" si="70"/>
        <v>0</v>
      </c>
      <c r="BY128" s="1">
        <f t="shared" si="163"/>
        <v>0</v>
      </c>
      <c r="BZ128" s="1">
        <f t="shared" si="72"/>
        <v>200000</v>
      </c>
      <c r="CA128" s="1" t="str">
        <f t="shared" si="73"/>
        <v>A</v>
      </c>
      <c r="CB128" s="1" t="str">
        <f t="shared" si="74"/>
        <v>200000</v>
      </c>
      <c r="CC128" s="1" t="str">
        <f t="shared" si="75"/>
        <v>00000</v>
      </c>
      <c r="CD128" s="1">
        <f t="shared" si="164"/>
        <v>0</v>
      </c>
      <c r="CE128" s="1">
        <f t="shared" si="77"/>
        <v>200000</v>
      </c>
      <c r="CF128" s="1" t="str">
        <f t="shared" si="78"/>
        <v>H</v>
      </c>
      <c r="CG128" s="1" t="str">
        <f t="shared" si="79"/>
        <v>200000</v>
      </c>
      <c r="CH128" s="1" t="str">
        <f t="shared" si="80"/>
        <v>00000</v>
      </c>
      <c r="CJ128" s="1">
        <f t="shared" si="81"/>
        <v>1</v>
      </c>
      <c r="CK128" s="1" t="str">
        <f t="shared" si="82"/>
        <v>RA</v>
      </c>
      <c r="CL128" s="1">
        <f t="shared" si="83"/>
        <v>3</v>
      </c>
      <c r="CM128" s="1">
        <f t="shared" si="84"/>
        <v>7</v>
      </c>
      <c r="CN128" s="1">
        <f t="shared" si="85"/>
        <v>0</v>
      </c>
      <c r="CO128" s="1">
        <f t="shared" si="86"/>
        <v>0</v>
      </c>
      <c r="CP128" s="1" t="str">
        <f t="shared" si="87"/>
        <v>001RA37</v>
      </c>
      <c r="CR128" s="1" t="e">
        <f t="shared" si="88"/>
        <v>#VALUE!</v>
      </c>
      <c r="CS128" s="1" t="e">
        <f t="shared" si="89"/>
        <v>#VALUE!</v>
      </c>
      <c r="CT128" s="1">
        <f t="shared" si="90"/>
        <v>3</v>
      </c>
      <c r="CU128" s="1">
        <f t="shared" si="91"/>
        <v>3</v>
      </c>
      <c r="CV128" s="131" t="e">
        <f t="shared" si="92"/>
        <v>#VALUE!</v>
      </c>
      <c r="CW128" s="131">
        <v>2035.9</v>
      </c>
      <c r="CX128" s="131">
        <v>2035.9</v>
      </c>
      <c r="CY128" s="131">
        <v>2035.9</v>
      </c>
      <c r="CZ128" s="131">
        <v>2035.9</v>
      </c>
      <c r="DA128" s="131">
        <v>2879.2</v>
      </c>
      <c r="DC128" s="154">
        <f t="shared" si="93"/>
        <v>0</v>
      </c>
      <c r="DD128" s="154">
        <f t="shared" si="94"/>
        <v>1439.593</v>
      </c>
      <c r="DE128" s="154">
        <f t="shared" si="95"/>
        <v>0</v>
      </c>
      <c r="DF128" s="1">
        <f t="shared" si="96"/>
        <v>0</v>
      </c>
      <c r="DG128" s="1">
        <f t="shared" si="97"/>
        <v>90</v>
      </c>
      <c r="DH128" s="1">
        <f t="shared" si="98"/>
        <v>278</v>
      </c>
      <c r="DI128" s="1">
        <f t="shared" si="165"/>
        <v>292</v>
      </c>
      <c r="DJ128" s="1">
        <f t="shared" si="166"/>
        <v>353</v>
      </c>
      <c r="DK128" s="1">
        <f t="shared" si="101"/>
        <v>278</v>
      </c>
      <c r="DL128" s="1">
        <f t="shared" si="102"/>
        <v>292</v>
      </c>
      <c r="DM128" s="1">
        <f t="shared" si="103"/>
        <v>353</v>
      </c>
    </row>
    <row r="129" customHeight="1" spans="1:117">
      <c r="A129" s="152" t="str">
        <f t="shared" si="176"/>
        <v>OM-2</v>
      </c>
      <c r="C129" s="55" t="str">
        <f t="shared" si="5"/>
        <v>S 90° 00.0' / E 000° 00.0'</v>
      </c>
      <c r="D129" s="150" t="str">
        <f t="shared" si="6"/>
        <v>439.6 km</v>
      </c>
      <c r="E129" s="151">
        <f t="shared" si="117"/>
        <v>2879.2</v>
      </c>
      <c r="F129" s="151">
        <f t="shared" si="118"/>
        <v>0</v>
      </c>
      <c r="G129" s="151">
        <f t="shared" si="119"/>
        <v>2035.9</v>
      </c>
      <c r="H129" s="151">
        <f t="shared" si="120"/>
        <v>2035.9</v>
      </c>
      <c r="I129" s="151">
        <f t="shared" si="121"/>
        <v>2035.9</v>
      </c>
      <c r="J129" s="171">
        <f t="shared" si="122"/>
        <v>2035.9</v>
      </c>
      <c r="K129" s="172">
        <f t="shared" si="177"/>
        <v>0</v>
      </c>
      <c r="L129" s="172">
        <f t="shared" si="178"/>
        <v>0</v>
      </c>
      <c r="M129" s="173">
        <f t="shared" si="179"/>
        <v>-1439.593</v>
      </c>
      <c r="N129" s="54" t="str">
        <f t="shared" si="123"/>
        <v>None</v>
      </c>
      <c r="O129" s="55" t="str">
        <f t="shared" si="124"/>
        <v>Night</v>
      </c>
      <c r="P129" s="55" t="str">
        <f t="shared" si="15"/>
        <v>082°M / -04°</v>
      </c>
      <c r="Q129" s="56" t="str">
        <f t="shared" si="125"/>
        <v/>
      </c>
      <c r="R129" s="56" t="str">
        <f t="shared" si="126"/>
        <v/>
      </c>
      <c r="S129" s="56">
        <f t="shared" si="127"/>
        <v>45683.7935692556</v>
      </c>
      <c r="T129" s="56" t="str">
        <f t="shared" si="128"/>
        <v/>
      </c>
      <c r="U129" s="180" t="str">
        <f t="shared" si="129"/>
        <v/>
      </c>
      <c r="V129" s="55" t="str">
        <f t="shared" si="130"/>
        <v>Obstructed / Rises in 15m</v>
      </c>
      <c r="W129" s="55" t="str">
        <f t="shared" si="131"/>
        <v>068°M / -00°</v>
      </c>
      <c r="X129" s="56">
        <f t="shared" si="132"/>
        <v>45683.7219296619</v>
      </c>
      <c r="Y129" s="180">
        <f t="shared" si="133"/>
        <v>45683.8516417811</v>
      </c>
      <c r="Z129" s="55" t="str">
        <f t="shared" si="134"/>
        <v>007°M / -58°</v>
      </c>
      <c r="AA129" s="151">
        <f t="shared" si="135"/>
        <v>1872.1</v>
      </c>
      <c r="AB129" s="150">
        <f t="shared" si="136"/>
        <v>1720.3</v>
      </c>
      <c r="AC129" s="188">
        <v>120</v>
      </c>
      <c r="AD129" s="1" t="b">
        <f t="shared" si="28"/>
        <v>1</v>
      </c>
      <c r="AE129" s="1">
        <f t="shared" si="29"/>
        <v>-90</v>
      </c>
      <c r="AF129" s="1">
        <f t="shared" si="30"/>
        <v>0</v>
      </c>
      <c r="AG129" s="1">
        <f t="shared" si="31"/>
        <v>0</v>
      </c>
      <c r="AH129" s="2">
        <f t="shared" si="137"/>
        <v>439.593</v>
      </c>
      <c r="AI129" s="1">
        <f t="shared" si="33"/>
        <v>46.001401316008</v>
      </c>
      <c r="AJ129" s="191">
        <f t="shared" si="174"/>
        <v>0</v>
      </c>
      <c r="AK129" s="191">
        <f t="shared" si="175"/>
        <v>0</v>
      </c>
      <c r="AL129" s="191" t="e">
        <f t="shared" si="138"/>
        <v>#NUM!</v>
      </c>
      <c r="AM129" s="20">
        <f t="shared" si="139"/>
        <v>171.999608214903</v>
      </c>
      <c r="AN129" s="191">
        <f t="shared" si="140"/>
        <v>-3.95828016270006</v>
      </c>
      <c r="AO129" s="134">
        <f t="shared" si="141"/>
        <v>172</v>
      </c>
      <c r="AP129" s="64">
        <f t="shared" si="38"/>
        <v>4</v>
      </c>
      <c r="AQ129" s="1">
        <f t="shared" si="167"/>
        <v>136.008827339322</v>
      </c>
      <c r="AR129" s="20">
        <f t="shared" si="142"/>
        <v>157.773944126127</v>
      </c>
      <c r="AS129" s="1">
        <f t="shared" si="143"/>
        <v>-0.00143495778249303</v>
      </c>
      <c r="AT129" s="134">
        <f t="shared" si="144"/>
        <v>158</v>
      </c>
      <c r="AU129" s="64">
        <f t="shared" si="145"/>
        <v>0</v>
      </c>
      <c r="AV129" s="65">
        <f t="shared" si="146"/>
        <v>45683.7219296619</v>
      </c>
      <c r="AW129" s="65">
        <f t="shared" si="147"/>
        <v>45683.8516417811</v>
      </c>
      <c r="AX129" s="1">
        <f t="shared" si="148"/>
        <v>97</v>
      </c>
      <c r="AY129" s="1">
        <f t="shared" si="149"/>
        <v>-58</v>
      </c>
      <c r="AZ129" s="131">
        <f t="shared" si="150"/>
        <v>1872.1</v>
      </c>
      <c r="BA129" s="1">
        <f t="shared" si="151"/>
        <v>1720.3</v>
      </c>
      <c r="BB129" s="1">
        <f t="shared" si="49"/>
        <v>42369716.7743985</v>
      </c>
      <c r="BC129" s="1">
        <f t="shared" si="50"/>
        <v>-4</v>
      </c>
      <c r="BD129" s="1">
        <f t="shared" si="152"/>
        <v>57480849.929176</v>
      </c>
      <c r="BE129" s="1">
        <f t="shared" si="153"/>
        <v>0</v>
      </c>
      <c r="BF129" s="20">
        <f t="shared" si="53"/>
        <v>-20.0911274348925</v>
      </c>
      <c r="BG129" s="1">
        <f t="shared" si="154"/>
        <v>3.02806616738395e-14</v>
      </c>
      <c r="BH129" s="1">
        <f t="shared" si="155"/>
        <v>8.27855178574773e-14</v>
      </c>
      <c r="BI129" s="1">
        <f t="shared" si="156"/>
        <v>-1439.593</v>
      </c>
      <c r="BJ129" s="1">
        <f t="shared" si="157"/>
        <v>3.02806616738395e-14</v>
      </c>
      <c r="BK129" s="1">
        <f t="shared" si="158"/>
        <v>8.27855178574773e-14</v>
      </c>
      <c r="BL129" s="1">
        <f t="shared" si="159"/>
        <v>-1439.593</v>
      </c>
      <c r="BM129" s="61">
        <f t="shared" si="160"/>
        <v>22462085.2524846</v>
      </c>
      <c r="BN129" s="61">
        <f t="shared" si="161"/>
        <v>37185744.9648301</v>
      </c>
      <c r="BO129" s="61">
        <f t="shared" si="162"/>
        <v>-1439.593</v>
      </c>
      <c r="BQ129" s="1" t="str">
        <f t="shared" si="63"/>
        <v>S 90° 00.0' / E 000° 00.0'</v>
      </c>
      <c r="BR129" s="1" t="str">
        <f t="shared" si="64"/>
        <v>B 200000 200000</v>
      </c>
      <c r="BS129" s="1" t="str">
        <f t="shared" si="65"/>
        <v>B AN 000000</v>
      </c>
      <c r="BT129" s="1" t="b">
        <f t="shared" si="66"/>
        <v>1</v>
      </c>
      <c r="BU129" s="1" t="str">
        <f t="shared" si="67"/>
        <v>B</v>
      </c>
      <c r="BV129" s="1">
        <f t="shared" si="68"/>
        <v>31</v>
      </c>
      <c r="BW129" s="1">
        <f t="shared" si="69"/>
        <v>-90</v>
      </c>
      <c r="BX129" s="1">
        <f t="shared" si="70"/>
        <v>0</v>
      </c>
      <c r="BY129" s="1">
        <f t="shared" si="163"/>
        <v>0</v>
      </c>
      <c r="BZ129" s="1">
        <f t="shared" si="72"/>
        <v>200000</v>
      </c>
      <c r="CA129" s="1" t="str">
        <f t="shared" si="73"/>
        <v>A</v>
      </c>
      <c r="CB129" s="1" t="str">
        <f t="shared" si="74"/>
        <v>200000</v>
      </c>
      <c r="CC129" s="1" t="str">
        <f t="shared" si="75"/>
        <v>00000</v>
      </c>
      <c r="CD129" s="1">
        <f t="shared" si="164"/>
        <v>0</v>
      </c>
      <c r="CE129" s="1">
        <f t="shared" si="77"/>
        <v>200000</v>
      </c>
      <c r="CF129" s="1" t="str">
        <f t="shared" si="78"/>
        <v>N</v>
      </c>
      <c r="CG129" s="1" t="str">
        <f t="shared" si="79"/>
        <v>200000</v>
      </c>
      <c r="CH129" s="1" t="str">
        <f t="shared" si="80"/>
        <v>00000</v>
      </c>
      <c r="CJ129" s="1">
        <f t="shared" si="81"/>
        <v>1</v>
      </c>
      <c r="CK129" s="1" t="str">
        <f t="shared" si="82"/>
        <v>AA</v>
      </c>
      <c r="CL129" s="1">
        <f t="shared" si="83"/>
        <v>3</v>
      </c>
      <c r="CM129" s="1">
        <f t="shared" si="84"/>
        <v>7</v>
      </c>
      <c r="CN129" s="1">
        <f t="shared" si="85"/>
        <v>0</v>
      </c>
      <c r="CO129" s="1">
        <f t="shared" si="86"/>
        <v>0</v>
      </c>
      <c r="CP129" s="1" t="str">
        <f t="shared" si="87"/>
        <v>001AA37</v>
      </c>
      <c r="CR129" s="1" t="e">
        <f t="shared" si="88"/>
        <v>#VALUE!</v>
      </c>
      <c r="CS129" s="1" t="e">
        <f t="shared" si="89"/>
        <v>#VALUE!</v>
      </c>
      <c r="CT129" s="1">
        <f t="shared" si="90"/>
        <v>3</v>
      </c>
      <c r="CU129" s="1">
        <f t="shared" si="91"/>
        <v>3</v>
      </c>
      <c r="CV129" s="131" t="e">
        <f t="shared" si="92"/>
        <v>#VALUE!</v>
      </c>
      <c r="CW129" s="131">
        <v>2035.9</v>
      </c>
      <c r="CX129" s="131">
        <v>2035.9</v>
      </c>
      <c r="CY129" s="131">
        <v>2035.9</v>
      </c>
      <c r="CZ129" s="131">
        <v>2035.9</v>
      </c>
      <c r="DA129" s="131">
        <v>2879.2</v>
      </c>
      <c r="DC129" s="154">
        <f t="shared" si="93"/>
        <v>0</v>
      </c>
      <c r="DD129" s="154">
        <f t="shared" si="94"/>
        <v>-1439.593</v>
      </c>
      <c r="DE129" s="154">
        <f t="shared" si="95"/>
        <v>0</v>
      </c>
      <c r="DF129" s="1">
        <f t="shared" si="96"/>
        <v>0</v>
      </c>
      <c r="DG129" s="1">
        <f t="shared" si="97"/>
        <v>-90</v>
      </c>
      <c r="DH129" s="1">
        <f t="shared" si="98"/>
        <v>82</v>
      </c>
      <c r="DI129" s="1">
        <f t="shared" si="165"/>
        <v>68</v>
      </c>
      <c r="DJ129" s="1">
        <f t="shared" si="166"/>
        <v>7</v>
      </c>
      <c r="DK129" s="1">
        <f t="shared" si="101"/>
        <v>82</v>
      </c>
      <c r="DL129" s="1">
        <f t="shared" si="102"/>
        <v>68</v>
      </c>
      <c r="DM129" s="1">
        <f t="shared" si="103"/>
        <v>7</v>
      </c>
    </row>
    <row r="130" customHeight="1" spans="1:117">
      <c r="A130" s="152" t="str">
        <f t="shared" si="176"/>
        <v>OM-3</v>
      </c>
      <c r="C130" s="55" t="str">
        <f t="shared" si="5"/>
        <v>N 00° 00.0' / E 090° 00.0'</v>
      </c>
      <c r="D130" s="150" t="str">
        <f t="shared" si="6"/>
        <v>439.6 km</v>
      </c>
      <c r="E130" s="151">
        <f t="shared" si="117"/>
        <v>2035.9</v>
      </c>
      <c r="F130" s="151">
        <f t="shared" si="118"/>
        <v>2035.9</v>
      </c>
      <c r="G130" s="151">
        <f t="shared" si="119"/>
        <v>0</v>
      </c>
      <c r="H130" s="151">
        <f t="shared" si="120"/>
        <v>2879.2</v>
      </c>
      <c r="I130" s="151">
        <f t="shared" si="121"/>
        <v>2035.9</v>
      </c>
      <c r="J130" s="171">
        <f t="shared" si="122"/>
        <v>2035.9</v>
      </c>
      <c r="K130" s="172">
        <f t="shared" si="177"/>
        <v>0</v>
      </c>
      <c r="L130" s="172">
        <f t="shared" si="178"/>
        <v>1439.593</v>
      </c>
      <c r="M130" s="173">
        <f t="shared" si="179"/>
        <v>0</v>
      </c>
      <c r="N130" s="54">
        <f t="shared" si="123"/>
        <v>0.130602693789064</v>
      </c>
      <c r="O130" s="55" t="str">
        <f t="shared" si="124"/>
        <v>Morning / Sets in 150m</v>
      </c>
      <c r="P130" s="55" t="str">
        <f t="shared" si="15"/>
        <v>176°M / +08°</v>
      </c>
      <c r="Q130" s="56">
        <f t="shared" si="125"/>
        <v>45683.8512956835</v>
      </c>
      <c r="R130" s="56">
        <f t="shared" si="126"/>
        <v>45683.8570179056</v>
      </c>
      <c r="S130" s="56">
        <f t="shared" si="127"/>
        <v>45683.75065259</v>
      </c>
      <c r="T130" s="56">
        <f t="shared" si="128"/>
        <v>45683.8159539369</v>
      </c>
      <c r="U130" s="180">
        <f t="shared" si="129"/>
        <v>45683.821676159</v>
      </c>
      <c r="V130" s="55" t="str">
        <f t="shared" si="130"/>
        <v>Sets in 140m</v>
      </c>
      <c r="W130" s="55" t="str">
        <f t="shared" si="131"/>
        <v>180°M / +22°</v>
      </c>
      <c r="X130" s="56">
        <f t="shared" si="132"/>
        <v>45683.8506796588</v>
      </c>
      <c r="Y130" s="180">
        <f t="shared" si="133"/>
        <v>45683.8087251155</v>
      </c>
      <c r="Z130" s="55" t="str">
        <f t="shared" si="134"/>
        <v>130°M / -67°</v>
      </c>
      <c r="AA130" s="151">
        <f t="shared" si="135"/>
        <v>497.8</v>
      </c>
      <c r="AB130" s="150">
        <f t="shared" si="136"/>
        <v>197</v>
      </c>
      <c r="AC130" s="188">
        <v>121</v>
      </c>
      <c r="AD130" s="1" t="b">
        <f t="shared" si="28"/>
        <v>1</v>
      </c>
      <c r="AE130" s="1">
        <f t="shared" si="29"/>
        <v>0</v>
      </c>
      <c r="AF130" s="1">
        <f t="shared" si="30"/>
        <v>90</v>
      </c>
      <c r="AG130" s="1">
        <f t="shared" si="31"/>
        <v>90</v>
      </c>
      <c r="AH130" s="2">
        <f t="shared" si="137"/>
        <v>439.593</v>
      </c>
      <c r="AI130" s="1">
        <f t="shared" si="33"/>
        <v>46.001401316008</v>
      </c>
      <c r="AJ130" s="191">
        <f t="shared" si="174"/>
        <v>0</v>
      </c>
      <c r="AK130" s="191">
        <f t="shared" si="175"/>
        <v>0</v>
      </c>
      <c r="AL130" s="191">
        <f t="shared" si="138"/>
        <v>136.942633704617</v>
      </c>
      <c r="AM130" s="20">
        <f t="shared" si="139"/>
        <v>81.9996082149025</v>
      </c>
      <c r="AN130" s="191">
        <f t="shared" si="140"/>
        <v>86.0435276080102</v>
      </c>
      <c r="AO130" s="134">
        <f t="shared" si="141"/>
        <v>86</v>
      </c>
      <c r="AP130" s="64">
        <f t="shared" si="38"/>
        <v>12</v>
      </c>
      <c r="AQ130" s="1">
        <f t="shared" si="167"/>
        <v>136.008827339322</v>
      </c>
      <c r="AR130" s="20">
        <f t="shared" si="142"/>
        <v>67.7739441261269</v>
      </c>
      <c r="AS130" s="1">
        <f t="shared" si="143"/>
        <v>90</v>
      </c>
      <c r="AT130" s="134">
        <f t="shared" si="144"/>
        <v>90</v>
      </c>
      <c r="AU130" s="64">
        <f t="shared" si="145"/>
        <v>34</v>
      </c>
      <c r="AV130" s="65">
        <f t="shared" si="146"/>
        <v>45683.8506796588</v>
      </c>
      <c r="AW130" s="65">
        <f t="shared" si="147"/>
        <v>45683.8087251155</v>
      </c>
      <c r="AX130" s="1">
        <f t="shared" si="148"/>
        <v>40</v>
      </c>
      <c r="AY130" s="1">
        <f t="shared" si="149"/>
        <v>-67</v>
      </c>
      <c r="AZ130" s="131">
        <f t="shared" si="150"/>
        <v>497.8</v>
      </c>
      <c r="BA130" s="1">
        <f t="shared" si="151"/>
        <v>197</v>
      </c>
      <c r="BB130" s="1">
        <f t="shared" si="49"/>
        <v>42369417.5626129</v>
      </c>
      <c r="BC130" s="1">
        <f t="shared" si="50"/>
        <v>8</v>
      </c>
      <c r="BD130" s="1">
        <f t="shared" si="152"/>
        <v>57480305.3835612</v>
      </c>
      <c r="BE130" s="1">
        <f t="shared" si="153"/>
        <v>22</v>
      </c>
      <c r="BF130" s="20">
        <f t="shared" si="53"/>
        <v>69.9088725651075</v>
      </c>
      <c r="BG130" s="1">
        <f t="shared" si="154"/>
        <v>-1351.99010710869</v>
      </c>
      <c r="BH130" s="1">
        <f t="shared" si="155"/>
        <v>494.520733568602</v>
      </c>
      <c r="BI130" s="1">
        <f t="shared" si="156"/>
        <v>0</v>
      </c>
      <c r="BJ130" s="1">
        <f t="shared" si="157"/>
        <v>-1351.99010710869</v>
      </c>
      <c r="BK130" s="1">
        <f t="shared" si="158"/>
        <v>494.520733568602</v>
      </c>
      <c r="BL130" s="1">
        <f t="shared" si="159"/>
        <v>0</v>
      </c>
      <c r="BM130" s="61">
        <f t="shared" si="160"/>
        <v>22460733.2623775</v>
      </c>
      <c r="BN130" s="61">
        <f t="shared" si="161"/>
        <v>37186239.4855637</v>
      </c>
      <c r="BO130" s="61">
        <f t="shared" si="162"/>
        <v>0</v>
      </c>
      <c r="BQ130" s="1" t="str">
        <f t="shared" si="63"/>
        <v>N 00° 00.0' / E 090° 00.0'</v>
      </c>
      <c r="BR130" s="1" t="str">
        <f t="shared" si="64"/>
        <v>46N 447637 000000</v>
      </c>
      <c r="BS130" s="1" t="str">
        <f t="shared" si="65"/>
        <v>46N DF 476000</v>
      </c>
      <c r="BT130" s="1" t="b">
        <f t="shared" si="66"/>
        <v>0</v>
      </c>
      <c r="BU130" s="1" t="str">
        <f t="shared" si="67"/>
        <v>46N</v>
      </c>
      <c r="BV130" s="1">
        <f t="shared" si="68"/>
        <v>46</v>
      </c>
      <c r="BW130" s="1">
        <f t="shared" si="69"/>
        <v>0</v>
      </c>
      <c r="BX130" s="1">
        <f t="shared" si="70"/>
        <v>93</v>
      </c>
      <c r="BY130" s="1">
        <f t="shared" si="163"/>
        <v>-52362.8650393366</v>
      </c>
      <c r="BZ130" s="1">
        <f t="shared" si="72"/>
        <v>447637.135</v>
      </c>
      <c r="CA130" s="1" t="str">
        <f t="shared" si="73"/>
        <v>D</v>
      </c>
      <c r="CB130" s="1" t="str">
        <f t="shared" si="74"/>
        <v>447637</v>
      </c>
      <c r="CC130" s="1" t="str">
        <f t="shared" si="75"/>
        <v>47637</v>
      </c>
      <c r="CD130" s="1">
        <f t="shared" si="164"/>
        <v>0</v>
      </c>
      <c r="CE130" s="1">
        <f t="shared" si="77"/>
        <v>0</v>
      </c>
      <c r="CF130" s="1" t="str">
        <f t="shared" si="78"/>
        <v>F</v>
      </c>
      <c r="CG130" s="1" t="str">
        <f t="shared" si="79"/>
        <v>000000</v>
      </c>
      <c r="CH130" s="1" t="str">
        <f t="shared" si="80"/>
        <v>00000</v>
      </c>
      <c r="CJ130" s="1">
        <f t="shared" si="81"/>
        <v>541</v>
      </c>
      <c r="CK130" s="1" t="str">
        <f t="shared" si="82"/>
        <v>HN</v>
      </c>
      <c r="CL130" s="1">
        <f t="shared" si="83"/>
        <v>3</v>
      </c>
      <c r="CM130" s="1">
        <f t="shared" si="84"/>
        <v>7</v>
      </c>
      <c r="CN130" s="1">
        <f t="shared" si="85"/>
        <v>0</v>
      </c>
      <c r="CO130" s="1">
        <f t="shared" si="86"/>
        <v>0</v>
      </c>
      <c r="CP130" s="1" t="str">
        <f t="shared" si="87"/>
        <v>541HN37</v>
      </c>
      <c r="CR130" s="1" t="e">
        <f t="shared" si="88"/>
        <v>#VALUE!</v>
      </c>
      <c r="CS130" s="1" t="e">
        <f t="shared" si="89"/>
        <v>#VALUE!</v>
      </c>
      <c r="CT130" s="1">
        <f t="shared" si="90"/>
        <v>1</v>
      </c>
      <c r="CU130" s="1">
        <f t="shared" si="91"/>
        <v>1</v>
      </c>
      <c r="CV130" s="131" t="e">
        <f t="shared" si="92"/>
        <v>#VALUE!</v>
      </c>
      <c r="CW130" s="131">
        <v>2035.9</v>
      </c>
      <c r="CX130" s="131">
        <v>2035.9</v>
      </c>
      <c r="CY130" s="131">
        <v>2035.9</v>
      </c>
      <c r="CZ130" s="131">
        <v>2035.9</v>
      </c>
      <c r="DA130" s="131">
        <v>2879.2</v>
      </c>
      <c r="DC130" s="154">
        <f t="shared" si="93"/>
        <v>0</v>
      </c>
      <c r="DD130" s="154">
        <f t="shared" si="94"/>
        <v>0</v>
      </c>
      <c r="DE130" s="154">
        <f t="shared" si="95"/>
        <v>1439.593</v>
      </c>
      <c r="DF130" s="1">
        <f t="shared" si="96"/>
        <v>90</v>
      </c>
      <c r="DG130" s="1">
        <f t="shared" si="97"/>
        <v>0</v>
      </c>
      <c r="DH130" s="1">
        <f t="shared" si="98"/>
        <v>176</v>
      </c>
      <c r="DI130" s="1">
        <f t="shared" si="165"/>
        <v>180</v>
      </c>
      <c r="DJ130" s="1">
        <f t="shared" si="166"/>
        <v>130</v>
      </c>
      <c r="DK130" s="1">
        <f t="shared" si="101"/>
        <v>176</v>
      </c>
      <c r="DL130" s="1">
        <f t="shared" si="102"/>
        <v>180</v>
      </c>
      <c r="DM130" s="1">
        <f t="shared" si="103"/>
        <v>130</v>
      </c>
    </row>
    <row r="131" customHeight="1" spans="1:117">
      <c r="A131" s="152" t="str">
        <f t="shared" si="176"/>
        <v>OM-4</v>
      </c>
      <c r="C131" s="55" t="str">
        <f t="shared" si="5"/>
        <v>N 00° 00.0' / W 090° 00.0'</v>
      </c>
      <c r="D131" s="150" t="str">
        <f t="shared" si="6"/>
        <v>439.6 km</v>
      </c>
      <c r="E131" s="151">
        <f t="shared" si="117"/>
        <v>2035.9</v>
      </c>
      <c r="F131" s="151">
        <f t="shared" si="118"/>
        <v>2035.9</v>
      </c>
      <c r="G131" s="151">
        <f t="shared" si="119"/>
        <v>2879.2</v>
      </c>
      <c r="H131" s="151">
        <f t="shared" si="120"/>
        <v>0</v>
      </c>
      <c r="I131" s="151">
        <f t="shared" si="121"/>
        <v>2035.9</v>
      </c>
      <c r="J131" s="171">
        <f t="shared" si="122"/>
        <v>2035.9</v>
      </c>
      <c r="K131" s="172">
        <f t="shared" si="177"/>
        <v>0</v>
      </c>
      <c r="L131" s="172">
        <f t="shared" si="178"/>
        <v>-1439.593</v>
      </c>
      <c r="M131" s="173">
        <f t="shared" si="179"/>
        <v>0</v>
      </c>
      <c r="N131" s="54">
        <f t="shared" si="123"/>
        <v>0.130602693789064</v>
      </c>
      <c r="O131" s="55" t="str">
        <f t="shared" si="124"/>
        <v>Afternoon / Sets in 27m</v>
      </c>
      <c r="P131" s="55" t="str">
        <f t="shared" si="15"/>
        <v>004°M / -08°</v>
      </c>
      <c r="Q131" s="56">
        <f t="shared" si="125"/>
        <v>45683.7654623523</v>
      </c>
      <c r="R131" s="56">
        <f t="shared" si="126"/>
        <v>45683.7711845744</v>
      </c>
      <c r="S131" s="56">
        <f t="shared" si="127"/>
        <v>45683.8364859213</v>
      </c>
      <c r="T131" s="56">
        <f t="shared" si="128"/>
        <v>45683.7301206056</v>
      </c>
      <c r="U131" s="180">
        <f t="shared" si="129"/>
        <v>45683.7358428277</v>
      </c>
      <c r="V131" s="55" t="str">
        <f t="shared" si="130"/>
        <v>Sets in 16m</v>
      </c>
      <c r="W131" s="55" t="str">
        <f t="shared" si="131"/>
        <v>000°M / -22°</v>
      </c>
      <c r="X131" s="56">
        <f t="shared" si="132"/>
        <v>45683.7648463275</v>
      </c>
      <c r="Y131" s="180">
        <f t="shared" si="133"/>
        <v>45683.7228917843</v>
      </c>
      <c r="Z131" s="55" t="str">
        <f t="shared" si="134"/>
        <v>050°M / -85°</v>
      </c>
      <c r="AA131" s="151">
        <f t="shared" si="135"/>
        <v>2429.5</v>
      </c>
      <c r="AB131" s="150">
        <f t="shared" si="136"/>
        <v>2944.6</v>
      </c>
      <c r="AC131" s="188">
        <v>122</v>
      </c>
      <c r="AD131" s="1" t="b">
        <f t="shared" si="28"/>
        <v>1</v>
      </c>
      <c r="AE131" s="1">
        <f t="shared" si="29"/>
        <v>0</v>
      </c>
      <c r="AF131" s="1">
        <f t="shared" si="30"/>
        <v>-90</v>
      </c>
      <c r="AG131" s="1">
        <f t="shared" si="31"/>
        <v>270</v>
      </c>
      <c r="AH131" s="2">
        <f t="shared" si="137"/>
        <v>439.593</v>
      </c>
      <c r="AI131" s="1">
        <f t="shared" si="33"/>
        <v>46.001401316008</v>
      </c>
      <c r="AJ131" s="191">
        <f t="shared" si="174"/>
        <v>0</v>
      </c>
      <c r="AK131" s="191">
        <f t="shared" si="175"/>
        <v>0</v>
      </c>
      <c r="AL131" s="191">
        <f t="shared" si="138"/>
        <v>136.942633704617</v>
      </c>
      <c r="AM131" s="20">
        <f t="shared" si="139"/>
        <v>-98.0003917850975</v>
      </c>
      <c r="AN131" s="191">
        <f t="shared" si="140"/>
        <v>86.0435276080102</v>
      </c>
      <c r="AO131" s="134">
        <f t="shared" si="141"/>
        <v>274</v>
      </c>
      <c r="AP131" s="64">
        <f t="shared" si="38"/>
        <v>-12</v>
      </c>
      <c r="AQ131" s="1">
        <f t="shared" si="167"/>
        <v>136.008827339322</v>
      </c>
      <c r="AR131" s="20">
        <f t="shared" si="142"/>
        <v>-112.226055873873</v>
      </c>
      <c r="AS131" s="1">
        <f t="shared" si="143"/>
        <v>90</v>
      </c>
      <c r="AT131" s="134">
        <f t="shared" si="144"/>
        <v>270</v>
      </c>
      <c r="AU131" s="64">
        <f t="shared" si="145"/>
        <v>-34</v>
      </c>
      <c r="AV131" s="65">
        <f t="shared" si="146"/>
        <v>45683.7648463275</v>
      </c>
      <c r="AW131" s="65">
        <f t="shared" si="147"/>
        <v>45683.7228917843</v>
      </c>
      <c r="AX131" s="1">
        <f t="shared" si="148"/>
        <v>320</v>
      </c>
      <c r="AY131" s="1">
        <f t="shared" si="149"/>
        <v>-85</v>
      </c>
      <c r="AZ131" s="131">
        <f t="shared" si="150"/>
        <v>2429.5</v>
      </c>
      <c r="BA131" s="1">
        <f t="shared" si="151"/>
        <v>2944.6</v>
      </c>
      <c r="BB131" s="1">
        <f t="shared" si="49"/>
        <v>42369817.3323927</v>
      </c>
      <c r="BC131" s="1">
        <f t="shared" si="50"/>
        <v>-8</v>
      </c>
      <c r="BD131" s="1">
        <f t="shared" si="152"/>
        <v>57481394.4696322</v>
      </c>
      <c r="BE131" s="1">
        <f t="shared" si="153"/>
        <v>-22</v>
      </c>
      <c r="BF131" s="20">
        <f t="shared" si="53"/>
        <v>-110.091127434892</v>
      </c>
      <c r="BG131" s="1">
        <f t="shared" si="154"/>
        <v>1351.99010710869</v>
      </c>
      <c r="BH131" s="1">
        <f t="shared" si="155"/>
        <v>-494.520733568602</v>
      </c>
      <c r="BI131" s="1">
        <f t="shared" si="156"/>
        <v>0</v>
      </c>
      <c r="BJ131" s="1">
        <f t="shared" si="157"/>
        <v>1351.99010710869</v>
      </c>
      <c r="BK131" s="1">
        <f t="shared" si="158"/>
        <v>-494.520733568602</v>
      </c>
      <c r="BL131" s="1">
        <f t="shared" si="159"/>
        <v>0</v>
      </c>
      <c r="BM131" s="61">
        <f t="shared" si="160"/>
        <v>22463437.2425917</v>
      </c>
      <c r="BN131" s="61">
        <f t="shared" si="161"/>
        <v>37185250.4440965</v>
      </c>
      <c r="BO131" s="61">
        <f t="shared" si="162"/>
        <v>0</v>
      </c>
      <c r="BQ131" s="1" t="str">
        <f t="shared" si="63"/>
        <v>N 00° 00.0' / W 090° 00.0'</v>
      </c>
      <c r="BR131" s="1" t="str">
        <f t="shared" si="64"/>
        <v>16N 447637 000000</v>
      </c>
      <c r="BS131" s="1" t="str">
        <f t="shared" si="65"/>
        <v>16N DF 476000</v>
      </c>
      <c r="BT131" s="1" t="b">
        <f t="shared" si="66"/>
        <v>0</v>
      </c>
      <c r="BU131" s="1" t="str">
        <f t="shared" si="67"/>
        <v>16N</v>
      </c>
      <c r="BV131" s="1">
        <f t="shared" si="68"/>
        <v>16</v>
      </c>
      <c r="BW131" s="1">
        <f t="shared" si="69"/>
        <v>0</v>
      </c>
      <c r="BX131" s="1">
        <f t="shared" si="70"/>
        <v>-87</v>
      </c>
      <c r="BY131" s="1">
        <f t="shared" si="163"/>
        <v>-52362.8650393366</v>
      </c>
      <c r="BZ131" s="1">
        <f t="shared" si="72"/>
        <v>447637.135</v>
      </c>
      <c r="CA131" s="1" t="str">
        <f t="shared" si="73"/>
        <v>D</v>
      </c>
      <c r="CB131" s="1" t="str">
        <f t="shared" si="74"/>
        <v>447637</v>
      </c>
      <c r="CC131" s="1" t="str">
        <f t="shared" si="75"/>
        <v>47637</v>
      </c>
      <c r="CD131" s="1">
        <f t="shared" si="164"/>
        <v>0</v>
      </c>
      <c r="CE131" s="1">
        <f t="shared" si="77"/>
        <v>0</v>
      </c>
      <c r="CF131" s="1" t="str">
        <f t="shared" si="78"/>
        <v>F</v>
      </c>
      <c r="CG131" s="1" t="str">
        <f t="shared" si="79"/>
        <v>000000</v>
      </c>
      <c r="CH131" s="1" t="str">
        <f t="shared" si="80"/>
        <v>00000</v>
      </c>
      <c r="CJ131" s="1">
        <f t="shared" si="81"/>
        <v>181</v>
      </c>
      <c r="CK131" s="1" t="str">
        <f t="shared" si="82"/>
        <v>HN</v>
      </c>
      <c r="CL131" s="1">
        <f t="shared" si="83"/>
        <v>3</v>
      </c>
      <c r="CM131" s="1">
        <f t="shared" si="84"/>
        <v>7</v>
      </c>
      <c r="CN131" s="1">
        <f t="shared" si="85"/>
        <v>0</v>
      </c>
      <c r="CO131" s="1">
        <f t="shared" si="86"/>
        <v>0</v>
      </c>
      <c r="CP131" s="1" t="str">
        <f t="shared" si="87"/>
        <v>181HN37</v>
      </c>
      <c r="CR131" s="1" t="e">
        <f t="shared" si="88"/>
        <v>#VALUE!</v>
      </c>
      <c r="CS131" s="1" t="e">
        <f t="shared" si="89"/>
        <v>#VALUE!</v>
      </c>
      <c r="CT131" s="1">
        <f t="shared" si="90"/>
        <v>1</v>
      </c>
      <c r="CU131" s="1">
        <f t="shared" si="91"/>
        <v>1</v>
      </c>
      <c r="CV131" s="131" t="e">
        <f t="shared" si="92"/>
        <v>#VALUE!</v>
      </c>
      <c r="CW131" s="131">
        <v>2035.9</v>
      </c>
      <c r="CX131" s="131">
        <v>2035.9</v>
      </c>
      <c r="CY131" s="131">
        <v>2035.9</v>
      </c>
      <c r="CZ131" s="131">
        <v>2035.9</v>
      </c>
      <c r="DA131" s="131">
        <v>2879.2</v>
      </c>
      <c r="DC131" s="154">
        <f t="shared" si="93"/>
        <v>0</v>
      </c>
      <c r="DD131" s="154">
        <f t="shared" si="94"/>
        <v>0</v>
      </c>
      <c r="DE131" s="154">
        <f t="shared" si="95"/>
        <v>-1439.593</v>
      </c>
      <c r="DF131" s="1">
        <f t="shared" si="96"/>
        <v>-90</v>
      </c>
      <c r="DG131" s="1">
        <f t="shared" si="97"/>
        <v>0</v>
      </c>
      <c r="DH131" s="1">
        <f t="shared" si="98"/>
        <v>4</v>
      </c>
      <c r="DI131" s="1">
        <f t="shared" si="165"/>
        <v>0</v>
      </c>
      <c r="DJ131" s="1">
        <f t="shared" si="166"/>
        <v>50</v>
      </c>
      <c r="DK131" s="1">
        <f t="shared" si="101"/>
        <v>4</v>
      </c>
      <c r="DL131" s="1">
        <f t="shared" si="102"/>
        <v>0</v>
      </c>
      <c r="DM131" s="1">
        <f t="shared" si="103"/>
        <v>50</v>
      </c>
    </row>
    <row r="132" customHeight="1" spans="1:117">
      <c r="A132" s="152" t="str">
        <f t="shared" si="176"/>
        <v>OM-5</v>
      </c>
      <c r="C132" s="55" t="str">
        <f t="shared" si="5"/>
        <v>N 00° 00.0' / E 000° 00.0'</v>
      </c>
      <c r="D132" s="150" t="str">
        <f t="shared" si="6"/>
        <v>439.6 km</v>
      </c>
      <c r="E132" s="151">
        <f t="shared" si="117"/>
        <v>2035.9</v>
      </c>
      <c r="F132" s="151">
        <f t="shared" si="118"/>
        <v>2035.9</v>
      </c>
      <c r="G132" s="151">
        <f t="shared" si="119"/>
        <v>2035.9</v>
      </c>
      <c r="H132" s="151">
        <f t="shared" si="120"/>
        <v>2035.9</v>
      </c>
      <c r="I132" s="151">
        <f t="shared" si="121"/>
        <v>0</v>
      </c>
      <c r="J132" s="171">
        <f t="shared" si="122"/>
        <v>2879.2</v>
      </c>
      <c r="K132" s="172">
        <f t="shared" si="177"/>
        <v>1439.593</v>
      </c>
      <c r="L132" s="172">
        <f t="shared" si="178"/>
        <v>0</v>
      </c>
      <c r="M132" s="173">
        <f t="shared" si="179"/>
        <v>0</v>
      </c>
      <c r="N132" s="54">
        <f t="shared" si="123"/>
        <v>0.130602693789064</v>
      </c>
      <c r="O132" s="55" t="str">
        <f t="shared" si="124"/>
        <v>After midnight / Rises in 24m</v>
      </c>
      <c r="P132" s="55" t="str">
        <f t="shared" si="15"/>
        <v>334°M / -81°</v>
      </c>
      <c r="Q132" s="56">
        <f t="shared" si="125"/>
        <v>45683.7225456867</v>
      </c>
      <c r="R132" s="56">
        <f t="shared" si="126"/>
        <v>45683.7282679087</v>
      </c>
      <c r="S132" s="56">
        <f t="shared" si="127"/>
        <v>45683.7935692556</v>
      </c>
      <c r="T132" s="56">
        <f t="shared" si="128"/>
        <v>45683.8588706025</v>
      </c>
      <c r="U132" s="180">
        <f t="shared" si="129"/>
        <v>45683.8645928246</v>
      </c>
      <c r="V132" s="55" t="str">
        <f t="shared" si="130"/>
        <v>Obstructed / Rises in 15m</v>
      </c>
      <c r="W132" s="55" t="str">
        <f t="shared" si="131"/>
        <v>000°M / -68°</v>
      </c>
      <c r="X132" s="56">
        <f t="shared" si="132"/>
        <v>45683.7219296619</v>
      </c>
      <c r="Y132" s="180">
        <f t="shared" si="133"/>
        <v>45683.8516417811</v>
      </c>
      <c r="Z132" s="55" t="str">
        <f t="shared" si="134"/>
        <v>351°M / -58°</v>
      </c>
      <c r="AA132" s="151">
        <f t="shared" si="135"/>
        <v>1855.1</v>
      </c>
      <c r="AB132" s="150">
        <f t="shared" si="136"/>
        <v>1698.2</v>
      </c>
      <c r="AC132" s="188">
        <v>123</v>
      </c>
      <c r="AD132" s="1" t="b">
        <f t="shared" si="28"/>
        <v>1</v>
      </c>
      <c r="AE132" s="1">
        <f t="shared" si="29"/>
        <v>0</v>
      </c>
      <c r="AF132" s="1">
        <f t="shared" si="30"/>
        <v>0</v>
      </c>
      <c r="AG132" s="1">
        <f t="shared" si="31"/>
        <v>0</v>
      </c>
      <c r="AH132" s="2">
        <f t="shared" si="137"/>
        <v>439.593</v>
      </c>
      <c r="AI132" s="1">
        <f t="shared" si="33"/>
        <v>46.001401316008</v>
      </c>
      <c r="AJ132" s="191">
        <f t="shared" si="174"/>
        <v>0</v>
      </c>
      <c r="AK132" s="191">
        <f t="shared" si="175"/>
        <v>0</v>
      </c>
      <c r="AL132" s="191">
        <f t="shared" si="138"/>
        <v>136.942633704617</v>
      </c>
      <c r="AM132" s="20">
        <f t="shared" si="139"/>
        <v>171.999608214903</v>
      </c>
      <c r="AN132" s="191">
        <f t="shared" si="140"/>
        <v>86.0435276080102</v>
      </c>
      <c r="AO132" s="134">
        <f t="shared" si="141"/>
        <v>64</v>
      </c>
      <c r="AP132" s="64">
        <f t="shared" si="38"/>
        <v>-85</v>
      </c>
      <c r="AQ132" s="1">
        <f t="shared" si="167"/>
        <v>136.008827339322</v>
      </c>
      <c r="AR132" s="20">
        <f t="shared" si="142"/>
        <v>157.773944126127</v>
      </c>
      <c r="AS132" s="1">
        <f t="shared" si="143"/>
        <v>90</v>
      </c>
      <c r="AT132" s="134">
        <f t="shared" si="144"/>
        <v>90</v>
      </c>
      <c r="AU132" s="64">
        <f t="shared" si="145"/>
        <v>-83</v>
      </c>
      <c r="AV132" s="65">
        <f t="shared" si="146"/>
        <v>45683.7219296619</v>
      </c>
      <c r="AW132" s="65">
        <f t="shared" si="147"/>
        <v>45683.8516417811</v>
      </c>
      <c r="AX132" s="1">
        <f t="shared" si="148"/>
        <v>81</v>
      </c>
      <c r="AY132" s="1">
        <f t="shared" si="149"/>
        <v>-58</v>
      </c>
      <c r="AZ132" s="131">
        <f t="shared" si="150"/>
        <v>1855.1</v>
      </c>
      <c r="BA132" s="1">
        <f t="shared" si="151"/>
        <v>1698.2</v>
      </c>
      <c r="BB132" s="1">
        <f t="shared" si="49"/>
        <v>42371039.6084378</v>
      </c>
      <c r="BC132" s="1">
        <f t="shared" si="50"/>
        <v>-81</v>
      </c>
      <c r="BD132" s="1">
        <f t="shared" si="152"/>
        <v>57482182.543042</v>
      </c>
      <c r="BE132" s="1">
        <f t="shared" si="153"/>
        <v>-68</v>
      </c>
      <c r="BF132" s="20">
        <f t="shared" si="53"/>
        <v>-20.0911274348925</v>
      </c>
      <c r="BG132" s="1">
        <f t="shared" si="154"/>
        <v>494.520733568602</v>
      </c>
      <c r="BH132" s="1">
        <f t="shared" si="155"/>
        <v>1351.99010710869</v>
      </c>
      <c r="BI132" s="1">
        <f t="shared" si="156"/>
        <v>0</v>
      </c>
      <c r="BJ132" s="1">
        <f t="shared" si="157"/>
        <v>494.520733568602</v>
      </c>
      <c r="BK132" s="1">
        <f t="shared" si="158"/>
        <v>1351.99010710869</v>
      </c>
      <c r="BL132" s="1">
        <f t="shared" si="159"/>
        <v>0</v>
      </c>
      <c r="BM132" s="61">
        <f t="shared" si="160"/>
        <v>22462579.7732182</v>
      </c>
      <c r="BN132" s="61">
        <f t="shared" si="161"/>
        <v>37187096.9549372</v>
      </c>
      <c r="BO132" s="61">
        <f t="shared" si="162"/>
        <v>0</v>
      </c>
      <c r="BQ132" s="1" t="str">
        <f t="shared" si="63"/>
        <v>N 00° 00.0' / E 000° 00.0'</v>
      </c>
      <c r="BR132" s="1" t="str">
        <f t="shared" si="64"/>
        <v>31N 447637 000000</v>
      </c>
      <c r="BS132" s="1" t="str">
        <f t="shared" si="65"/>
        <v>31N DA 476000</v>
      </c>
      <c r="BT132" s="1" t="b">
        <f t="shared" si="66"/>
        <v>0</v>
      </c>
      <c r="BU132" s="1" t="str">
        <f t="shared" si="67"/>
        <v>31N</v>
      </c>
      <c r="BV132" s="1">
        <f t="shared" si="68"/>
        <v>31</v>
      </c>
      <c r="BW132" s="1">
        <f t="shared" si="69"/>
        <v>0</v>
      </c>
      <c r="BX132" s="1">
        <f t="shared" si="70"/>
        <v>3</v>
      </c>
      <c r="BY132" s="1">
        <f t="shared" si="163"/>
        <v>-52362.8650393365</v>
      </c>
      <c r="BZ132" s="1">
        <f t="shared" si="72"/>
        <v>447637.135</v>
      </c>
      <c r="CA132" s="1" t="str">
        <f t="shared" si="73"/>
        <v>D</v>
      </c>
      <c r="CB132" s="1" t="str">
        <f t="shared" si="74"/>
        <v>447637</v>
      </c>
      <c r="CC132" s="1" t="str">
        <f t="shared" si="75"/>
        <v>47637</v>
      </c>
      <c r="CD132" s="1">
        <f t="shared" si="164"/>
        <v>0</v>
      </c>
      <c r="CE132" s="1">
        <f t="shared" si="77"/>
        <v>0</v>
      </c>
      <c r="CF132" s="1" t="str">
        <f t="shared" si="78"/>
        <v>A</v>
      </c>
      <c r="CG132" s="1" t="str">
        <f t="shared" si="79"/>
        <v>000000</v>
      </c>
      <c r="CH132" s="1" t="str">
        <f t="shared" si="80"/>
        <v>00000</v>
      </c>
      <c r="CJ132" s="1">
        <f t="shared" si="81"/>
        <v>361</v>
      </c>
      <c r="CK132" s="1" t="str">
        <f t="shared" si="82"/>
        <v>HN</v>
      </c>
      <c r="CL132" s="1">
        <f t="shared" si="83"/>
        <v>3</v>
      </c>
      <c r="CM132" s="1">
        <f t="shared" si="84"/>
        <v>7</v>
      </c>
      <c r="CN132" s="1">
        <f t="shared" si="85"/>
        <v>0</v>
      </c>
      <c r="CO132" s="1">
        <f t="shared" si="86"/>
        <v>0</v>
      </c>
      <c r="CP132" s="1" t="str">
        <f t="shared" si="87"/>
        <v>361HN37</v>
      </c>
      <c r="CR132" s="1" t="e">
        <f t="shared" si="88"/>
        <v>#VALUE!</v>
      </c>
      <c r="CS132" s="1" t="e">
        <f t="shared" si="89"/>
        <v>#VALUE!</v>
      </c>
      <c r="CT132" s="1">
        <f t="shared" si="90"/>
        <v>1</v>
      </c>
      <c r="CU132" s="1">
        <f t="shared" si="91"/>
        <v>1</v>
      </c>
      <c r="CV132" s="131" t="e">
        <f t="shared" si="92"/>
        <v>#VALUE!</v>
      </c>
      <c r="CW132" s="131">
        <v>2035.9</v>
      </c>
      <c r="CX132" s="131">
        <v>2035.9</v>
      </c>
      <c r="CY132" s="131">
        <v>2035.9</v>
      </c>
      <c r="CZ132" s="131">
        <v>2035.9</v>
      </c>
      <c r="DA132" s="131">
        <v>2879.2</v>
      </c>
      <c r="DC132" s="154">
        <f t="shared" si="93"/>
        <v>-1439.593</v>
      </c>
      <c r="DD132" s="154">
        <f t="shared" si="94"/>
        <v>0</v>
      </c>
      <c r="DE132" s="154">
        <f t="shared" si="95"/>
        <v>0</v>
      </c>
      <c r="DF132" s="1">
        <f t="shared" si="96"/>
        <v>0</v>
      </c>
      <c r="DG132" s="1">
        <f t="shared" si="97"/>
        <v>180</v>
      </c>
      <c r="DH132" s="1">
        <f t="shared" si="98"/>
        <v>334</v>
      </c>
      <c r="DI132" s="1">
        <f t="shared" si="165"/>
        <v>0</v>
      </c>
      <c r="DJ132" s="1">
        <f t="shared" si="166"/>
        <v>351</v>
      </c>
      <c r="DK132" s="1">
        <f t="shared" si="101"/>
        <v>334</v>
      </c>
      <c r="DL132" s="1">
        <f t="shared" si="102"/>
        <v>0</v>
      </c>
      <c r="DM132" s="1">
        <f t="shared" si="103"/>
        <v>351</v>
      </c>
    </row>
    <row r="133" customHeight="1" spans="1:117">
      <c r="A133" s="152" t="str">
        <f t="shared" si="176"/>
        <v>OM-6</v>
      </c>
      <c r="C133" s="55" t="str">
        <f t="shared" si="5"/>
        <v>N 00° 00.0' / E 180° 00.0'</v>
      </c>
      <c r="D133" s="150" t="str">
        <f t="shared" si="6"/>
        <v>439.6 km</v>
      </c>
      <c r="E133" s="151">
        <f t="shared" si="117"/>
        <v>2035.9</v>
      </c>
      <c r="F133" s="151">
        <f t="shared" si="118"/>
        <v>2035.9</v>
      </c>
      <c r="G133" s="151">
        <f t="shared" si="119"/>
        <v>2035.9</v>
      </c>
      <c r="H133" s="151">
        <f t="shared" si="120"/>
        <v>2035.9</v>
      </c>
      <c r="I133" s="151">
        <f t="shared" si="121"/>
        <v>2879.2</v>
      </c>
      <c r="J133" s="171">
        <f t="shared" si="122"/>
        <v>0</v>
      </c>
      <c r="K133" s="172">
        <f t="shared" si="177"/>
        <v>-1439.593</v>
      </c>
      <c r="L133" s="172">
        <f t="shared" si="178"/>
        <v>0</v>
      </c>
      <c r="M133" s="173">
        <f t="shared" si="179"/>
        <v>0</v>
      </c>
      <c r="N133" s="54">
        <f t="shared" si="123"/>
        <v>0.130602693789064</v>
      </c>
      <c r="O133" s="55" t="str">
        <f t="shared" si="124"/>
        <v>Afternoon / Sets in 89m</v>
      </c>
      <c r="P133" s="55" t="str">
        <f t="shared" si="15"/>
        <v>026°M / +81°</v>
      </c>
      <c r="Q133" s="56">
        <f t="shared" si="125"/>
        <v>45683.8083790179</v>
      </c>
      <c r="R133" s="56">
        <f t="shared" si="126"/>
        <v>45683.81410124</v>
      </c>
      <c r="S133" s="56">
        <f t="shared" si="127"/>
        <v>45683.8794025869</v>
      </c>
      <c r="T133" s="56">
        <f t="shared" si="128"/>
        <v>45683.7730372713</v>
      </c>
      <c r="U133" s="180">
        <f t="shared" si="129"/>
        <v>45683.7787594934</v>
      </c>
      <c r="V133" s="55" t="str">
        <f t="shared" si="130"/>
        <v>Sets in 78m</v>
      </c>
      <c r="W133" s="55" t="str">
        <f t="shared" si="131"/>
        <v>000°M / +68°</v>
      </c>
      <c r="X133" s="56">
        <f t="shared" si="132"/>
        <v>45683.8077629932</v>
      </c>
      <c r="Y133" s="180">
        <f t="shared" si="133"/>
        <v>45683.7658084499</v>
      </c>
      <c r="Z133" s="55" t="str">
        <f t="shared" si="134"/>
        <v>009°M / -53°</v>
      </c>
      <c r="AA133" s="151">
        <f t="shared" si="135"/>
        <v>1645.9</v>
      </c>
      <c r="AB133" s="150">
        <f t="shared" si="136"/>
        <v>1443.4</v>
      </c>
      <c r="AC133" s="188">
        <v>124</v>
      </c>
      <c r="AD133" s="1" t="b">
        <f t="shared" si="28"/>
        <v>1</v>
      </c>
      <c r="AE133" s="1">
        <f t="shared" si="29"/>
        <v>0</v>
      </c>
      <c r="AF133" s="1">
        <f t="shared" si="30"/>
        <v>180</v>
      </c>
      <c r="AG133" s="1">
        <f t="shared" si="31"/>
        <v>180</v>
      </c>
      <c r="AH133" s="2">
        <f t="shared" si="137"/>
        <v>439.593</v>
      </c>
      <c r="AI133" s="1">
        <f t="shared" si="33"/>
        <v>46.001401316008</v>
      </c>
      <c r="AJ133" s="191">
        <f t="shared" si="174"/>
        <v>0</v>
      </c>
      <c r="AK133" s="191">
        <f t="shared" si="175"/>
        <v>0</v>
      </c>
      <c r="AL133" s="191">
        <f t="shared" si="138"/>
        <v>136.942633704617</v>
      </c>
      <c r="AM133" s="20">
        <f t="shared" si="139"/>
        <v>-8.00039178509746</v>
      </c>
      <c r="AN133" s="191">
        <f t="shared" si="140"/>
        <v>86.0435276080102</v>
      </c>
      <c r="AO133" s="134">
        <f t="shared" si="141"/>
        <v>296</v>
      </c>
      <c r="AP133" s="64">
        <f t="shared" si="38"/>
        <v>85</v>
      </c>
      <c r="AQ133" s="1">
        <f t="shared" si="167"/>
        <v>136.008827339322</v>
      </c>
      <c r="AR133" s="20">
        <f t="shared" si="142"/>
        <v>-22.2260558738731</v>
      </c>
      <c r="AS133" s="1">
        <f t="shared" si="143"/>
        <v>90</v>
      </c>
      <c r="AT133" s="134">
        <f t="shared" si="144"/>
        <v>270</v>
      </c>
      <c r="AU133" s="64">
        <f t="shared" si="145"/>
        <v>83</v>
      </c>
      <c r="AV133" s="65">
        <f t="shared" si="146"/>
        <v>45683.8077629932</v>
      </c>
      <c r="AW133" s="65">
        <f t="shared" si="147"/>
        <v>45683.7658084499</v>
      </c>
      <c r="AX133" s="1">
        <f t="shared" si="148"/>
        <v>279</v>
      </c>
      <c r="AY133" s="1">
        <f t="shared" si="149"/>
        <v>-53</v>
      </c>
      <c r="AZ133" s="131">
        <f t="shared" si="150"/>
        <v>1645.9</v>
      </c>
      <c r="BA133" s="1">
        <f t="shared" si="151"/>
        <v>1443.4</v>
      </c>
      <c r="BB133" s="1">
        <f t="shared" si="49"/>
        <v>42368195.2397735</v>
      </c>
      <c r="BC133" s="1">
        <f t="shared" si="50"/>
        <v>81</v>
      </c>
      <c r="BD133" s="1">
        <f t="shared" si="152"/>
        <v>57479517.2844146</v>
      </c>
      <c r="BE133" s="1">
        <f t="shared" si="153"/>
        <v>68</v>
      </c>
      <c r="BF133" s="20">
        <f t="shared" si="53"/>
        <v>159.908872565108</v>
      </c>
      <c r="BG133" s="1">
        <f t="shared" si="154"/>
        <v>-494.520733568603</v>
      </c>
      <c r="BH133" s="1">
        <f t="shared" si="155"/>
        <v>-1351.99010710869</v>
      </c>
      <c r="BI133" s="1">
        <f t="shared" si="156"/>
        <v>0</v>
      </c>
      <c r="BJ133" s="1">
        <f t="shared" si="157"/>
        <v>-494.520733568603</v>
      </c>
      <c r="BK133" s="1">
        <f t="shared" si="158"/>
        <v>-1351.99010710869</v>
      </c>
      <c r="BL133" s="1">
        <f t="shared" si="159"/>
        <v>0</v>
      </c>
      <c r="BM133" s="61">
        <f t="shared" si="160"/>
        <v>22461590.731751</v>
      </c>
      <c r="BN133" s="61">
        <f t="shared" si="161"/>
        <v>37184392.974723</v>
      </c>
      <c r="BO133" s="61">
        <f t="shared" si="162"/>
        <v>0</v>
      </c>
      <c r="BQ133" s="1" t="str">
        <f t="shared" si="63"/>
        <v>N 00° 00.0' / E 180° 00.0'</v>
      </c>
      <c r="BR133" s="1" t="str">
        <f t="shared" si="64"/>
        <v>01N 447637 000000</v>
      </c>
      <c r="BS133" s="1" t="str">
        <f t="shared" si="65"/>
        <v>01N DA 476000</v>
      </c>
      <c r="BT133" s="1" t="b">
        <f t="shared" si="66"/>
        <v>0</v>
      </c>
      <c r="BU133" s="1" t="str">
        <f t="shared" si="67"/>
        <v>01N</v>
      </c>
      <c r="BV133" s="1">
        <f t="shared" si="68"/>
        <v>1</v>
      </c>
      <c r="BW133" s="1">
        <f t="shared" si="69"/>
        <v>0</v>
      </c>
      <c r="BX133" s="1">
        <f t="shared" si="70"/>
        <v>-177</v>
      </c>
      <c r="BY133" s="1">
        <f t="shared" si="163"/>
        <v>-52362.8650393371</v>
      </c>
      <c r="BZ133" s="1">
        <f t="shared" si="72"/>
        <v>447637.135</v>
      </c>
      <c r="CA133" s="1" t="str">
        <f t="shared" si="73"/>
        <v>D</v>
      </c>
      <c r="CB133" s="1" t="str">
        <f t="shared" si="74"/>
        <v>447637</v>
      </c>
      <c r="CC133" s="1" t="str">
        <f t="shared" si="75"/>
        <v>47637</v>
      </c>
      <c r="CD133" s="1">
        <f t="shared" si="164"/>
        <v>0</v>
      </c>
      <c r="CE133" s="1">
        <f t="shared" si="77"/>
        <v>0</v>
      </c>
      <c r="CF133" s="1" t="str">
        <f t="shared" si="78"/>
        <v>A</v>
      </c>
      <c r="CG133" s="1" t="str">
        <f t="shared" si="79"/>
        <v>000000</v>
      </c>
      <c r="CH133" s="1" t="str">
        <f t="shared" si="80"/>
        <v>00000</v>
      </c>
      <c r="CJ133" s="1">
        <f t="shared" si="81"/>
        <v>1</v>
      </c>
      <c r="CK133" s="1" t="str">
        <f t="shared" si="82"/>
        <v>HN</v>
      </c>
      <c r="CL133" s="1">
        <f t="shared" si="83"/>
        <v>3</v>
      </c>
      <c r="CM133" s="1">
        <f t="shared" si="84"/>
        <v>7</v>
      </c>
      <c r="CN133" s="1">
        <f t="shared" si="85"/>
        <v>0</v>
      </c>
      <c r="CO133" s="1">
        <f t="shared" si="86"/>
        <v>0</v>
      </c>
      <c r="CP133" s="1" t="str">
        <f t="shared" si="87"/>
        <v>001HN37</v>
      </c>
      <c r="CR133" s="1" t="e">
        <f t="shared" si="88"/>
        <v>#VALUE!</v>
      </c>
      <c r="CS133" s="1" t="e">
        <f t="shared" si="89"/>
        <v>#VALUE!</v>
      </c>
      <c r="CT133" s="1">
        <f t="shared" si="90"/>
        <v>1</v>
      </c>
      <c r="CU133" s="1">
        <f t="shared" si="91"/>
        <v>1</v>
      </c>
      <c r="CV133" s="131" t="e">
        <f t="shared" si="92"/>
        <v>#VALUE!</v>
      </c>
      <c r="CW133" s="131">
        <v>2035.9</v>
      </c>
      <c r="CX133" s="131">
        <v>2035.9</v>
      </c>
      <c r="CY133" s="131">
        <v>2035.9</v>
      </c>
      <c r="CZ133" s="131">
        <v>2035.9</v>
      </c>
      <c r="DA133" s="131">
        <v>2879.2</v>
      </c>
      <c r="DC133" s="154">
        <f t="shared" si="93"/>
        <v>1439.593</v>
      </c>
      <c r="DD133" s="154">
        <f t="shared" si="94"/>
        <v>0</v>
      </c>
      <c r="DE133" s="154">
        <f t="shared" si="95"/>
        <v>0</v>
      </c>
      <c r="DF133" s="1">
        <f t="shared" si="96"/>
        <v>0</v>
      </c>
      <c r="DG133" s="1">
        <f t="shared" si="97"/>
        <v>0</v>
      </c>
      <c r="DH133" s="1">
        <f t="shared" si="98"/>
        <v>26</v>
      </c>
      <c r="DI133" s="1">
        <f t="shared" si="165"/>
        <v>0</v>
      </c>
      <c r="DJ133" s="1">
        <f t="shared" si="166"/>
        <v>9</v>
      </c>
      <c r="DK133" s="1">
        <f t="shared" si="101"/>
        <v>26</v>
      </c>
      <c r="DL133" s="1">
        <f t="shared" si="102"/>
        <v>0</v>
      </c>
      <c r="DM133" s="1">
        <f t="shared" si="103"/>
        <v>9</v>
      </c>
    </row>
    <row r="134" customHeight="1" spans="1:117">
      <c r="A134" s="152" t="str">
        <f t="shared" si="176"/>
        <v/>
      </c>
      <c r="C134" s="55" t="str">
        <f t="shared" si="5"/>
        <v/>
      </c>
      <c r="D134" s="150" t="str">
        <f t="shared" si="6"/>
        <v/>
      </c>
      <c r="E134" s="151" t="str">
        <f t="shared" si="117"/>
        <v/>
      </c>
      <c r="F134" s="151" t="str">
        <f t="shared" si="118"/>
        <v/>
      </c>
      <c r="G134" s="151" t="str">
        <f t="shared" si="119"/>
        <v/>
      </c>
      <c r="H134" s="151" t="str">
        <f t="shared" si="120"/>
        <v/>
      </c>
      <c r="I134" s="151" t="str">
        <f t="shared" si="121"/>
        <v/>
      </c>
      <c r="J134" s="171" t="str">
        <f t="shared" si="122"/>
        <v/>
      </c>
      <c r="K134" s="172" t="str">
        <f t="shared" si="177"/>
        <v/>
      </c>
      <c r="L134" s="172" t="str">
        <f t="shared" si="178"/>
        <v/>
      </c>
      <c r="M134" s="173" t="str">
        <f t="shared" si="179"/>
        <v/>
      </c>
      <c r="N134" s="54" t="str">
        <f t="shared" si="123"/>
        <v/>
      </c>
      <c r="O134" s="55" t="str">
        <f t="shared" si="124"/>
        <v/>
      </c>
      <c r="P134" s="55" t="str">
        <f t="shared" si="15"/>
        <v/>
      </c>
      <c r="Q134" s="56" t="str">
        <f t="shared" si="125"/>
        <v/>
      </c>
      <c r="R134" s="56" t="str">
        <f t="shared" si="126"/>
        <v/>
      </c>
      <c r="S134" s="56" t="str">
        <f t="shared" si="127"/>
        <v/>
      </c>
      <c r="T134" s="56" t="str">
        <f t="shared" si="128"/>
        <v/>
      </c>
      <c r="U134" s="180" t="str">
        <f t="shared" si="129"/>
        <v/>
      </c>
      <c r="V134" s="55" t="str">
        <f t="shared" si="130"/>
        <v/>
      </c>
      <c r="W134" s="55" t="str">
        <f t="shared" si="131"/>
        <v/>
      </c>
      <c r="X134" s="56" t="str">
        <f t="shared" si="132"/>
        <v/>
      </c>
      <c r="Y134" s="180" t="str">
        <f t="shared" si="133"/>
        <v/>
      </c>
      <c r="Z134" s="55" t="str">
        <f t="shared" si="134"/>
        <v/>
      </c>
      <c r="AA134" s="55" t="str">
        <f t="shared" si="135"/>
        <v/>
      </c>
      <c r="AB134" s="150" t="str">
        <f t="shared" si="136"/>
        <v/>
      </c>
      <c r="AC134" s="188">
        <v>125</v>
      </c>
      <c r="AD134" s="1" t="b">
        <f t="shared" si="28"/>
        <v>0</v>
      </c>
      <c r="AE134" s="1" t="str">
        <f t="shared" si="29"/>
        <v/>
      </c>
      <c r="AF134" s="1" t="str">
        <f t="shared" si="30"/>
        <v/>
      </c>
      <c r="AG134" s="1" t="str">
        <f t="shared" si="31"/>
        <v/>
      </c>
      <c r="AH134" s="1" t="str">
        <f t="shared" si="137"/>
        <v/>
      </c>
      <c r="AI134" s="1" t="str">
        <f t="shared" si="33"/>
        <v/>
      </c>
      <c r="AJ134" s="191" t="str">
        <f t="shared" si="174"/>
        <v/>
      </c>
      <c r="AK134" s="191" t="str">
        <f t="shared" si="175"/>
        <v/>
      </c>
      <c r="AL134" s="191" t="str">
        <f t="shared" si="138"/>
        <v/>
      </c>
      <c r="AM134" s="1" t="str">
        <f t="shared" si="139"/>
        <v/>
      </c>
      <c r="AN134" s="191" t="str">
        <f t="shared" si="140"/>
        <v/>
      </c>
      <c r="AO134" s="134" t="str">
        <f t="shared" si="141"/>
        <v/>
      </c>
      <c r="AP134" s="64" t="str">
        <f t="shared" si="38"/>
        <v/>
      </c>
      <c r="AQ134" s="1" t="str">
        <f t="shared" si="167"/>
        <v/>
      </c>
      <c r="AR134" s="1" t="str">
        <f t="shared" si="142"/>
        <v/>
      </c>
      <c r="AS134" s="1" t="str">
        <f t="shared" si="143"/>
        <v/>
      </c>
      <c r="AT134" s="134" t="str">
        <f t="shared" si="144"/>
        <v/>
      </c>
      <c r="AU134" s="64" t="str">
        <f t="shared" si="145"/>
        <v/>
      </c>
      <c r="AV134" s="65" t="str">
        <f t="shared" si="146"/>
        <v/>
      </c>
      <c r="AW134" s="65" t="str">
        <f t="shared" si="147"/>
        <v/>
      </c>
      <c r="AX134" s="1" t="str">
        <f t="shared" si="148"/>
        <v/>
      </c>
      <c r="AY134" s="1" t="str">
        <f t="shared" si="149"/>
        <v/>
      </c>
      <c r="AZ134" s="131" t="str">
        <f t="shared" si="150"/>
        <v/>
      </c>
      <c r="BA134" s="1" t="str">
        <f t="shared" si="151"/>
        <v/>
      </c>
      <c r="BB134" s="1" t="str">
        <f t="shared" si="49"/>
        <v/>
      </c>
      <c r="BC134" s="1" t="str">
        <f t="shared" si="50"/>
        <v/>
      </c>
      <c r="BD134" s="1" t="str">
        <f t="shared" si="152"/>
        <v/>
      </c>
      <c r="BE134" s="1" t="str">
        <f t="shared" si="153"/>
        <v/>
      </c>
      <c r="BF134" s="1" t="str">
        <f t="shared" si="53"/>
        <v/>
      </c>
      <c r="BG134" s="1" t="str">
        <f t="shared" si="154"/>
        <v/>
      </c>
      <c r="BH134" s="1" t="str">
        <f t="shared" si="155"/>
        <v/>
      </c>
      <c r="BI134" s="1" t="str">
        <f t="shared" si="156"/>
        <v/>
      </c>
      <c r="BJ134" s="1" t="str">
        <f t="shared" si="157"/>
        <v/>
      </c>
      <c r="BK134" s="1" t="str">
        <f t="shared" si="158"/>
        <v/>
      </c>
      <c r="BL134" s="1" t="str">
        <f t="shared" si="159"/>
        <v/>
      </c>
      <c r="BM134" s="1" t="str">
        <f t="shared" si="160"/>
        <v/>
      </c>
      <c r="BN134" s="1" t="str">
        <f t="shared" si="161"/>
        <v/>
      </c>
      <c r="BO134" s="1" t="str">
        <f t="shared" si="162"/>
        <v/>
      </c>
      <c r="BQ134" s="1" t="str">
        <f t="shared" si="63"/>
        <v/>
      </c>
      <c r="BR134" s="1" t="str">
        <f t="shared" si="64"/>
        <v/>
      </c>
      <c r="BS134" s="1" t="str">
        <f t="shared" si="65"/>
        <v/>
      </c>
      <c r="BT134" s="1" t="str">
        <f t="shared" si="66"/>
        <v/>
      </c>
      <c r="BU134" s="1" t="str">
        <f t="shared" si="67"/>
        <v/>
      </c>
      <c r="BV134" s="1" t="str">
        <f t="shared" si="68"/>
        <v/>
      </c>
      <c r="BW134" s="1" t="str">
        <f t="shared" si="69"/>
        <v/>
      </c>
      <c r="BX134" s="1" t="str">
        <f t="shared" si="70"/>
        <v/>
      </c>
      <c r="BY134" s="1" t="str">
        <f t="shared" si="163"/>
        <v/>
      </c>
      <c r="BZ134" s="1" t="str">
        <f t="shared" si="72"/>
        <v/>
      </c>
      <c r="CA134" s="1" t="str">
        <f t="shared" si="73"/>
        <v/>
      </c>
      <c r="CB134" s="1" t="str">
        <f t="shared" si="74"/>
        <v/>
      </c>
      <c r="CC134" s="1" t="str">
        <f t="shared" si="75"/>
        <v/>
      </c>
      <c r="CD134" s="1" t="str">
        <f t="shared" si="164"/>
        <v/>
      </c>
      <c r="CE134" s="1" t="str">
        <f t="shared" si="77"/>
        <v/>
      </c>
      <c r="CF134" s="1" t="str">
        <f t="shared" si="78"/>
        <v/>
      </c>
      <c r="CG134" s="1" t="str">
        <f t="shared" si="79"/>
        <v/>
      </c>
      <c r="CH134" s="1" t="str">
        <f t="shared" si="80"/>
        <v/>
      </c>
      <c r="CJ134" s="1" t="str">
        <f t="shared" si="81"/>
        <v/>
      </c>
      <c r="CK134" s="1" t="str">
        <f t="shared" si="82"/>
        <v/>
      </c>
      <c r="CL134" s="1" t="str">
        <f t="shared" si="83"/>
        <v/>
      </c>
      <c r="CM134" s="1" t="str">
        <f t="shared" si="84"/>
        <v/>
      </c>
      <c r="CN134" s="1" t="str">
        <f t="shared" si="85"/>
        <v/>
      </c>
      <c r="CO134" s="1" t="str">
        <f t="shared" si="86"/>
        <v/>
      </c>
      <c r="CP134" s="1" t="str">
        <f t="shared" si="87"/>
        <v/>
      </c>
      <c r="CR134" s="1" t="str">
        <f t="shared" si="88"/>
        <v/>
      </c>
      <c r="CS134" s="1" t="str">
        <f t="shared" si="89"/>
        <v/>
      </c>
      <c r="CT134" s="1" t="str">
        <f t="shared" si="90"/>
        <v/>
      </c>
      <c r="CU134" s="1" t="str">
        <f t="shared" si="91"/>
        <v/>
      </c>
      <c r="CV134" s="1" t="str">
        <f t="shared" si="92"/>
        <v/>
      </c>
      <c r="DC134" s="154" t="e">
        <f t="shared" si="93"/>
        <v>#VALUE!</v>
      </c>
      <c r="DD134" s="154" t="str">
        <f t="shared" si="94"/>
        <v/>
      </c>
      <c r="DE134" s="154" t="str">
        <f t="shared" si="95"/>
        <v/>
      </c>
      <c r="DF134" s="1" t="str">
        <f t="shared" si="96"/>
        <v/>
      </c>
      <c r="DG134" s="1" t="str">
        <f t="shared" si="97"/>
        <v/>
      </c>
      <c r="DH134" s="1" t="str">
        <f t="shared" si="98"/>
        <v/>
      </c>
      <c r="DI134" s="1" t="str">
        <f t="shared" si="165"/>
        <v/>
      </c>
      <c r="DJ134" s="1" t="str">
        <f t="shared" si="166"/>
        <v/>
      </c>
      <c r="DK134" s="1" t="str">
        <f t="shared" si="101"/>
        <v/>
      </c>
      <c r="DL134" s="1" t="str">
        <f t="shared" si="102"/>
        <v/>
      </c>
      <c r="DM134" s="1" t="str">
        <f t="shared" si="103"/>
        <v/>
      </c>
    </row>
    <row r="135" customHeight="1" spans="1:117">
      <c r="A135" s="152" t="str">
        <f t="shared" si="176"/>
        <v/>
      </c>
      <c r="C135" s="55" t="str">
        <f t="shared" si="5"/>
        <v/>
      </c>
      <c r="D135" s="150" t="str">
        <f t="shared" si="6"/>
        <v/>
      </c>
      <c r="E135" s="151" t="str">
        <f t="shared" si="117"/>
        <v/>
      </c>
      <c r="F135" s="151" t="str">
        <f t="shared" si="118"/>
        <v/>
      </c>
      <c r="G135" s="151" t="str">
        <f t="shared" si="119"/>
        <v/>
      </c>
      <c r="H135" s="151" t="str">
        <f t="shared" si="120"/>
        <v/>
      </c>
      <c r="I135" s="151" t="str">
        <f t="shared" si="121"/>
        <v/>
      </c>
      <c r="J135" s="171" t="str">
        <f t="shared" si="122"/>
        <v/>
      </c>
      <c r="K135" s="172" t="str">
        <f t="shared" si="177"/>
        <v/>
      </c>
      <c r="L135" s="172" t="str">
        <f t="shared" si="178"/>
        <v/>
      </c>
      <c r="M135" s="173" t="str">
        <f t="shared" si="179"/>
        <v/>
      </c>
      <c r="N135" s="54" t="str">
        <f t="shared" si="123"/>
        <v/>
      </c>
      <c r="O135" s="55" t="str">
        <f t="shared" si="124"/>
        <v/>
      </c>
      <c r="P135" s="55" t="str">
        <f t="shared" si="15"/>
        <v/>
      </c>
      <c r="Q135" s="56" t="str">
        <f t="shared" si="125"/>
        <v/>
      </c>
      <c r="R135" s="56" t="str">
        <f t="shared" si="126"/>
        <v/>
      </c>
      <c r="S135" s="56" t="str">
        <f t="shared" si="127"/>
        <v/>
      </c>
      <c r="T135" s="56" t="str">
        <f t="shared" si="128"/>
        <v/>
      </c>
      <c r="U135" s="180" t="str">
        <f t="shared" si="129"/>
        <v/>
      </c>
      <c r="V135" s="55" t="str">
        <f t="shared" si="130"/>
        <v/>
      </c>
      <c r="W135" s="55" t="str">
        <f t="shared" si="131"/>
        <v/>
      </c>
      <c r="X135" s="56" t="str">
        <f t="shared" si="132"/>
        <v/>
      </c>
      <c r="Y135" s="180" t="str">
        <f t="shared" si="133"/>
        <v/>
      </c>
      <c r="Z135" s="55" t="str">
        <f t="shared" si="134"/>
        <v/>
      </c>
      <c r="AA135" s="55" t="str">
        <f t="shared" si="135"/>
        <v/>
      </c>
      <c r="AB135" s="150" t="str">
        <f t="shared" si="136"/>
        <v/>
      </c>
      <c r="AC135" s="188">
        <v>126</v>
      </c>
      <c r="AD135" s="1" t="b">
        <f t="shared" si="28"/>
        <v>0</v>
      </c>
      <c r="AE135" s="1" t="str">
        <f t="shared" si="29"/>
        <v/>
      </c>
      <c r="AF135" s="1" t="str">
        <f t="shared" si="30"/>
        <v/>
      </c>
      <c r="AG135" s="1" t="str">
        <f t="shared" si="31"/>
        <v/>
      </c>
      <c r="AH135" s="1" t="str">
        <f t="shared" si="137"/>
        <v/>
      </c>
      <c r="AI135" s="1" t="str">
        <f t="shared" si="33"/>
        <v/>
      </c>
      <c r="AJ135" s="191" t="str">
        <f t="shared" si="174"/>
        <v/>
      </c>
      <c r="AK135" s="191" t="str">
        <f t="shared" si="175"/>
        <v/>
      </c>
      <c r="AL135" s="191" t="str">
        <f t="shared" si="138"/>
        <v/>
      </c>
      <c r="AM135" s="1" t="str">
        <f t="shared" si="139"/>
        <v/>
      </c>
      <c r="AN135" s="191" t="str">
        <f t="shared" si="140"/>
        <v/>
      </c>
      <c r="AO135" s="134" t="str">
        <f t="shared" si="141"/>
        <v/>
      </c>
      <c r="AP135" s="64" t="str">
        <f t="shared" si="38"/>
        <v/>
      </c>
      <c r="AQ135" s="1" t="str">
        <f t="shared" si="167"/>
        <v/>
      </c>
      <c r="AR135" s="1" t="str">
        <f t="shared" si="142"/>
        <v/>
      </c>
      <c r="AS135" s="1" t="str">
        <f t="shared" si="143"/>
        <v/>
      </c>
      <c r="AT135" s="134" t="str">
        <f t="shared" si="144"/>
        <v/>
      </c>
      <c r="AU135" s="64" t="str">
        <f t="shared" si="145"/>
        <v/>
      </c>
      <c r="AV135" s="65" t="str">
        <f t="shared" si="146"/>
        <v/>
      </c>
      <c r="AW135" s="65" t="str">
        <f t="shared" si="147"/>
        <v/>
      </c>
      <c r="AX135" s="1" t="str">
        <f t="shared" si="148"/>
        <v/>
      </c>
      <c r="AY135" s="1" t="str">
        <f t="shared" si="149"/>
        <v/>
      </c>
      <c r="AZ135" s="131" t="str">
        <f t="shared" si="150"/>
        <v/>
      </c>
      <c r="BA135" s="1" t="str">
        <f t="shared" si="151"/>
        <v/>
      </c>
      <c r="BB135" s="1" t="str">
        <f t="shared" si="49"/>
        <v/>
      </c>
      <c r="BC135" s="1" t="str">
        <f t="shared" si="50"/>
        <v/>
      </c>
      <c r="BD135" s="1" t="str">
        <f t="shared" si="152"/>
        <v/>
      </c>
      <c r="BE135" s="1" t="str">
        <f t="shared" si="153"/>
        <v/>
      </c>
      <c r="BF135" s="1" t="str">
        <f t="shared" si="53"/>
        <v/>
      </c>
      <c r="BG135" s="1" t="str">
        <f t="shared" si="154"/>
        <v/>
      </c>
      <c r="BH135" s="1" t="str">
        <f t="shared" si="155"/>
        <v/>
      </c>
      <c r="BI135" s="1" t="str">
        <f t="shared" si="156"/>
        <v/>
      </c>
      <c r="BJ135" s="1" t="str">
        <f t="shared" si="157"/>
        <v/>
      </c>
      <c r="BK135" s="1" t="str">
        <f t="shared" si="158"/>
        <v/>
      </c>
      <c r="BL135" s="1" t="str">
        <f t="shared" si="159"/>
        <v/>
      </c>
      <c r="BM135" s="1" t="str">
        <f t="shared" si="160"/>
        <v/>
      </c>
      <c r="BN135" s="1" t="str">
        <f t="shared" si="161"/>
        <v/>
      </c>
      <c r="BO135" s="1" t="str">
        <f t="shared" si="162"/>
        <v/>
      </c>
      <c r="BQ135" s="1" t="str">
        <f t="shared" si="63"/>
        <v/>
      </c>
      <c r="BR135" s="1" t="str">
        <f t="shared" si="64"/>
        <v/>
      </c>
      <c r="BS135" s="1" t="str">
        <f t="shared" si="65"/>
        <v/>
      </c>
      <c r="BT135" s="1" t="str">
        <f t="shared" si="66"/>
        <v/>
      </c>
      <c r="BU135" s="1" t="str">
        <f t="shared" si="67"/>
        <v/>
      </c>
      <c r="BV135" s="1" t="str">
        <f t="shared" si="68"/>
        <v/>
      </c>
      <c r="BW135" s="1" t="str">
        <f t="shared" si="69"/>
        <v/>
      </c>
      <c r="BX135" s="1" t="str">
        <f t="shared" si="70"/>
        <v/>
      </c>
      <c r="BY135" s="1" t="str">
        <f t="shared" si="163"/>
        <v/>
      </c>
      <c r="BZ135" s="1" t="str">
        <f t="shared" si="72"/>
        <v/>
      </c>
      <c r="CA135" s="1" t="str">
        <f t="shared" si="73"/>
        <v/>
      </c>
      <c r="CB135" s="1" t="str">
        <f t="shared" si="74"/>
        <v/>
      </c>
      <c r="CC135" s="1" t="str">
        <f t="shared" si="75"/>
        <v/>
      </c>
      <c r="CD135" s="1" t="str">
        <f t="shared" si="164"/>
        <v/>
      </c>
      <c r="CE135" s="1" t="str">
        <f t="shared" si="77"/>
        <v/>
      </c>
      <c r="CF135" s="1" t="str">
        <f t="shared" si="78"/>
        <v/>
      </c>
      <c r="CG135" s="1" t="str">
        <f t="shared" si="79"/>
        <v/>
      </c>
      <c r="CH135" s="1" t="str">
        <f t="shared" si="80"/>
        <v/>
      </c>
      <c r="CJ135" s="1" t="str">
        <f t="shared" si="81"/>
        <v/>
      </c>
      <c r="CK135" s="1" t="str">
        <f t="shared" si="82"/>
        <v/>
      </c>
      <c r="CL135" s="1" t="str">
        <f t="shared" si="83"/>
        <v/>
      </c>
      <c r="CM135" s="1" t="str">
        <f t="shared" si="84"/>
        <v/>
      </c>
      <c r="CN135" s="1" t="str">
        <f t="shared" si="85"/>
        <v/>
      </c>
      <c r="CO135" s="1" t="str">
        <f t="shared" si="86"/>
        <v/>
      </c>
      <c r="CP135" s="1" t="str">
        <f t="shared" si="87"/>
        <v/>
      </c>
      <c r="CR135" s="1" t="str">
        <f t="shared" si="88"/>
        <v/>
      </c>
      <c r="CS135" s="1" t="str">
        <f t="shared" si="89"/>
        <v/>
      </c>
      <c r="CT135" s="1" t="str">
        <f t="shared" si="90"/>
        <v/>
      </c>
      <c r="CU135" s="1" t="str">
        <f t="shared" si="91"/>
        <v/>
      </c>
      <c r="CV135" s="1" t="str">
        <f t="shared" si="92"/>
        <v/>
      </c>
      <c r="DC135" s="154" t="e">
        <f t="shared" si="93"/>
        <v>#VALUE!</v>
      </c>
      <c r="DD135" s="154" t="str">
        <f t="shared" si="94"/>
        <v/>
      </c>
      <c r="DE135" s="154" t="str">
        <f t="shared" si="95"/>
        <v/>
      </c>
      <c r="DF135" s="1" t="str">
        <f t="shared" si="96"/>
        <v/>
      </c>
      <c r="DG135" s="1" t="str">
        <f t="shared" si="97"/>
        <v/>
      </c>
      <c r="DH135" s="1" t="str">
        <f t="shared" si="98"/>
        <v/>
      </c>
      <c r="DI135" s="1" t="str">
        <f t="shared" si="165"/>
        <v/>
      </c>
      <c r="DJ135" s="1" t="str">
        <f t="shared" si="166"/>
        <v/>
      </c>
      <c r="DK135" s="1" t="str">
        <f t="shared" si="101"/>
        <v/>
      </c>
      <c r="DL135" s="1" t="str">
        <f t="shared" si="102"/>
        <v/>
      </c>
      <c r="DM135" s="1" t="str">
        <f t="shared" si="103"/>
        <v/>
      </c>
    </row>
    <row r="136" customHeight="1" spans="1:117">
      <c r="A136" s="152" t="str">
        <f t="shared" si="176"/>
        <v/>
      </c>
      <c r="C136" s="55" t="str">
        <f t="shared" si="5"/>
        <v/>
      </c>
      <c r="D136" s="150" t="str">
        <f t="shared" si="6"/>
        <v/>
      </c>
      <c r="E136" s="151" t="str">
        <f t="shared" ref="E136:E199" si="180">IF(AD136,ROUND(SQRT(K136^2+L136^2+(M136-OMRadius)^2),1),"")</f>
        <v/>
      </c>
      <c r="F136" s="151" t="str">
        <f t="shared" ref="F136:F199" si="181">IF(AD136,ROUND(SQRT(K136^2+L136^2+(M136+OMRadius)^2),1),"")</f>
        <v/>
      </c>
      <c r="G136" s="151" t="str">
        <f t="shared" ref="G136:G199" si="182">IF(AD136,ROUND(SQRT(K136^2+(L136-OMRadius)^2+M136^2),1),"")</f>
        <v/>
      </c>
      <c r="H136" s="151" t="str">
        <f t="shared" ref="H136:H199" si="183">IF(AD136,ROUND(SQRT(K136^2+(L136+OMRadius)^2+M136^2),1),"")</f>
        <v/>
      </c>
      <c r="I136" s="151" t="str">
        <f t="shared" ref="I136:I199" si="184">IF(AD136,ROUND(SQRT((K136-OMRadius)^2+L136^2+M136^2),1),"")</f>
        <v/>
      </c>
      <c r="J136" s="171" t="str">
        <f t="shared" ref="J136:J199" si="185">IF(AD136,ROUND(SQRT((K136+OMRadius)^2+L136^2+M136^2),1),"")</f>
        <v/>
      </c>
      <c r="K136" s="172" t="str">
        <f t="shared" si="177"/>
        <v/>
      </c>
      <c r="L136" s="172" t="str">
        <f t="shared" si="178"/>
        <v/>
      </c>
      <c r="M136" s="173" t="str">
        <f t="shared" si="179"/>
        <v/>
      </c>
      <c r="N136" s="54" t="str">
        <f t="shared" ref="N136:N199" si="186">IF(AD136,IF(NOT(Rotation),IF(ABS(AE136)&gt;ABS(90-ABS(sDeclination)),IF(AN136&lt;0,"None","Continuous"),IF(ABS(AM136)&gt;ABS(AL136+18),"None","Continuous")),IFERROR(((2*AL136-AJ136-AK136)/RotationRateAngular)/1440,IF(AN136&gt;0,"Continuous","None"))),"")</f>
        <v/>
      </c>
      <c r="O136" s="55" t="str">
        <f t="shared" ref="O136:O199" si="187">IF(AD136,IF(ABS(AE136)&gt;ABS(90-ABS(sDeclination)),IF(AN136&lt;0,"Night","Daylight"),IF(AM136=0,"Noon",IF(AM136=-(AL136-AK136),"Sunset",IF(AM136=(AL136-AJ136),"Sunrise",IF(AM136=180,"Midnight",IF(AND(AM136&gt;-(AL136-AK136),AM136&lt;0),CONCATENATE("Afternoon",IF(Rotation,CONCATENATE(" / Sets in ",ROUND((T136-TimeLocal)*1440,0),"m"),"")),IF(AND(AM136&gt;0,AM136&lt;(AL136-AJ136)),CONCATENATE("Morning",IF(Rotation,CONCATENATE(" / Sets in ",ROUND((T136-TimeLocal)*1440,0),"m"),"")),IF(AND(AM136&gt;(AL136-AJ136),AM136&lt;(AL136+18)),CONCATENATE("Morning Twilight",IF(Rotation,CONCATENATE(" / Rises in ",ROUND((R136-TimeLocal)*1440,0),"m"),"")),IF(AND(AM136&gt;-(AL136+18),AM136&lt;-(AL136-AK136)),CONCATENATE("Evening Twilight",IF(Rotation,CONCATENATE(" / Rises in ",ROUND((R136-TimeLocal)*1440,0),"m"),"")),IF(AND(AM136&gt;-180,AM136&lt;-(AL136+18)),CONCATENATE("Night",IF(Rotation,CONCATENATE(" / Rises in ",ROUND((R136-TimeLocal)*1440,0),"m"),"")),CONCATENATE("After midnight",IF(Rotation,CONCATENATE(" / Rises in ",ROUND((R136-TimeLocal)*1440,0),"m"),"")))))))))))),"")</f>
        <v/>
      </c>
      <c r="P136" s="55" t="str">
        <f t="shared" si="15"/>
        <v/>
      </c>
      <c r="Q136" s="56" t="str">
        <f t="shared" ref="Q136:Q199" si="188">IF(AD136,IFERROR(IF(AM136&gt;(AL136-AJ136+12),S136-((AL136-AJ136+12)/RotationRateAngular/1440),IF(AM136&gt;0,S136-((AL136-AJ136+12)/RotationRateAngular/1440)+LengthOfDay,S136-((AL136-AJ136+12)/RotationRateAngular/1440))),""),"")</f>
        <v/>
      </c>
      <c r="R136" s="56" t="str">
        <f t="shared" ref="R136:R199" si="189">IF(AD136,IFERROR(IF(AM136&gt;(AL136-AJ136),S136-((AL136-AJ136)/RotationRateAngular/1440),IF(AM136&gt;0,S136-((AL136-AJ136)/RotationRateAngular/1440)+LengthOfDay,S136-((AL136-AJ136)/RotationRateAngular/1440))),""),"")</f>
        <v/>
      </c>
      <c r="S136" s="56" t="str">
        <f t="shared" ref="S136:S199" si="190">IF(AD136,IFERROR(IF(AM136&gt;0,AM136/RotationRateAngular/1440,(360+AM136)/RotationRateAngular/1440)+TimeLocal,""),"")</f>
        <v/>
      </c>
      <c r="T136" s="56" t="str">
        <f t="shared" ref="T136:T199" si="191">IF(AD136,IFERROR(IF(AM136&gt;-(AL136-AK136),IF(AM136&gt;0,S136+((AL136-AK136)/RotationRateAngular/1440),S136+((AL136-AK136)/RotationRateAngular/1440)-LengthOfDay),S136+((AL136-AK136)/RotationRateAngular/1440)),""),"")</f>
        <v/>
      </c>
      <c r="U136" s="180" t="str">
        <f t="shared" ref="U136:U199" si="192">IF(AD136,IFERROR(IF(AM136&gt;-(AL136-AK136+12),IF(AM136&lt;0,S136+((AL136-AK136+12)/RotationRateAngular/1440)-LengthOfDay,S136+((AL136-AK136+12)/RotationRateAngular/1440)),S136+((AL136-AK136+12)/RotationRateAngular/1440)),""),"")</f>
        <v/>
      </c>
      <c r="V136" s="55" t="str">
        <f t="shared" ref="V136:V199" si="193">IF(AND(OffWorldSelected,AD136),IF(AND(AR136&lt;(AQ136-AJ136),AR136&gt;-(AQ136-AK136)),IF(Rotation,CONCATENATE("Sets in ",ROUND((Y136-TimeLocal)*1440,0),"m"),"Clear"),CONCATENATE("Obstructed",IF(Rotation,CONCATENATE(" / Rises in ",ROUND((X136-TimeLocal)*1440,0),"m"),""))),"")</f>
        <v/>
      </c>
      <c r="W136" s="55" t="str">
        <f t="shared" ref="W136:W199" si="194">IF(AND(OffWorldSelected,AD136),CONCATENATE(IF(ABS(DL136)&lt;10,"0",""),IF(ABS(DL136)&lt;100,"0",""),DL136,"°",IF(Y$3,"M","T")," / ",IF(BE136&gt;0,"+","-"),IF(ABS(BE136)&lt;10,"0",""),ABS(BE136),"°"),"")</f>
        <v/>
      </c>
      <c r="X136" s="56" t="str">
        <f t="shared" ref="X136:X199" si="195">IF(AND(OffWorldSelected,AD136),IFERROR(AV136,""),"")</f>
        <v/>
      </c>
      <c r="Y136" s="180" t="str">
        <f t="shared" ref="Y136:Y199" si="196">IF(AND(OffWorldSelected,AD136),IFERROR(AW136,""),"")</f>
        <v/>
      </c>
      <c r="Z136" s="55" t="str">
        <f t="shared" ref="Z136:Z199" si="197">IF(AND(NavTargetSelected,AD136),CONCATENATE(IF(ABS(DM136)&lt;10,"0",""),IF(ABS(DM136)&lt;100,"0",""),DM136,"°",IF(Y$3,"M","T")," / ",IF(AY136&gt;0,"+","-"),IF(ABS(AY136)&lt;10,"0",""),ABS(AY136),"°"),"")</f>
        <v/>
      </c>
      <c r="AA136" s="55" t="str">
        <f t="shared" ref="AA136:AA199" si="198">IF(AND(NavTargetSelected,AD136),AZ136,"")</f>
        <v/>
      </c>
      <c r="AB136" s="150" t="str">
        <f t="shared" ref="AB136:AB199" si="199">IF(AND(NavTargetSelected,AD136),BA136,"")</f>
        <v/>
      </c>
      <c r="AC136" s="188">
        <v>127</v>
      </c>
      <c r="AD136" s="1" t="b">
        <f t="shared" si="28"/>
        <v>0</v>
      </c>
      <c r="AE136" s="1" t="str">
        <f t="shared" si="29"/>
        <v/>
      </c>
      <c r="AF136" s="1" t="str">
        <f t="shared" si="30"/>
        <v/>
      </c>
      <c r="AG136" s="1" t="str">
        <f t="shared" si="31"/>
        <v/>
      </c>
      <c r="AH136" s="1" t="str">
        <f t="shared" ref="AH136:AH199" si="200">IF(AD136,SQRT(K136^2+L136^2+M136^2)-br,"")</f>
        <v/>
      </c>
      <c r="AI136" s="1" t="str">
        <f t="shared" si="33"/>
        <v/>
      </c>
      <c r="AJ136" s="191" t="str">
        <f t="shared" si="174"/>
        <v/>
      </c>
      <c r="AK136" s="191" t="str">
        <f t="shared" si="175"/>
        <v/>
      </c>
      <c r="AL136" s="191" t="str">
        <f t="shared" ref="AL136:AL199" si="201">IF(AD136,DEGREES(ACOS(-TAN(RADIANS(AE136))*TAN(RADIANS(sDeclination))))+sar+AI136,"")</f>
        <v/>
      </c>
      <c r="AM136" s="1" t="str">
        <f t="shared" ref="AM136:AM199" si="202">IF(AD136,IF(MOD(CycleHourAngle-MOD(AG136-sMeridian,360),360)&gt;180,MOD(CycleHourAngle-MOD(AG136-sMeridian,360),360)-360,MOD(CycleHourAngle-MOD(AG136-sMeridian,360),360)),"")</f>
        <v/>
      </c>
      <c r="AN136" s="191" t="str">
        <f t="shared" ref="AN136:AN199" si="203">IF(AD136,IFERROR(DEGREES(ACOS((SQRT(K136^2+L136^2+M136^2)^2+(SQRT(SQRT(K136^2+L136^2+M136^2)^2+SQRT(bsx^2+bsy^2+bsz^2)^2-(2*SQRT(K136^2+L136^2+M136^2)*SQRT(bsx^2+bsy^2+bsz^2)*COS(RADIANS(ABS(sDeclination-AE136))))))^2-SQRT(bsx^2+bsy^2+bsz^2)^2)/(2*SQRT(K136^2+L136^2+M136^2)*(SQRT(SQRT(K136^2+L136^2+M136^2)^2+SQRT(bsx^2+bsy^2+bsz^2)^2-(2*SQRT(K136^2+L136^2+M136^2)*SQRT(bsx^2+bsy^2+bsz^2)*COS(RADIANS(ABS(sDeclination-AE136)))))))))-90,90),"")</f>
        <v/>
      </c>
      <c r="AO136" s="134" t="str">
        <f t="shared" ref="AO136:AO199" si="204">IF(AD136,MOD((ROUND(DEGREES(ATAN2((COS(RADIANS(AE136))*SIN(RADIANS(sDeclination))-SIN(RADIANS(AE136))*COS(RADIANS(sDeclination))*COS(RADIANS(sLongitude-AF136))),(SIN(RADIANS(sLongitude-AF136))*COS(RADIANS(sDeclination))))),0))+360,360),"")</f>
        <v/>
      </c>
      <c r="AP136" s="64" t="str">
        <f t="shared" si="38"/>
        <v/>
      </c>
      <c r="AQ136" s="1" t="str">
        <f t="shared" si="167"/>
        <v/>
      </c>
      <c r="AR136" s="1" t="str">
        <f t="shared" ref="AR136:AR199" si="205">IF(AND(OffWorldSelected,AD136),IF(MOD(CycleHourAngle-MOD(AG136-oMeridian,360),360)&gt;180,MOD(CycleHourAngle-MOD(AG136-oMeridian,360),360)-360,MOD(CycleHourAngle-MOD(AG136-oMeridian,360),360)),"")</f>
        <v/>
      </c>
      <c r="AS136" s="1" t="str">
        <f t="shared" ref="AS136:AS199" si="206">IF(AND(OffWorldSelected,AD136),IFERROR(DEGREES(ACOS((SQRT(K136^2+L136^2+M136^2)^2+(SQRT(SQRT(K136^2+L136^2+M136^2)^2+SQRT(box^2+boy^2+boz^2)^2-(2*SQRT(K136^2+L136^2+M136^2)*SQRT(box^2+boy^2+boz^2)*COS(RADIANS(ABS(oDeclination-AE136))))))^2-SQRT(box^2+boy^2+boz^2)^2)/(2*SQRT(K136^2+L136^2+M136^2)*(SQRT(SQRT(K136^2+L136^2+M136^2)^2+SQRT(box^2+boy^2+boz^2)^2-(2*SQRT(K136^2+L136^2+M136^2)*SQRT(box^2+boy^2+boz^2)*COS(RADIANS(ABS(oDeclination-AE136)))))))))-90,90),"")</f>
        <v/>
      </c>
      <c r="AT136" s="134" t="str">
        <f t="shared" ref="AT136:AT199" si="207">IF(AND(OffWorldSelected,AD136),MOD((ROUND(DEGREES(ATAN2((COS(RADIANS(AE136))*SIN(RADIANS(oDeclination))-SIN(RADIANS(AE136))*COS(RADIANS(oDeclination))*COS(RADIANS(oLongitude-AF136))),(SIN(RADIANS(oLongitude-AF136))*COS(RADIANS(oDeclination))))),0))+360,360),"")</f>
        <v/>
      </c>
      <c r="AU136" s="64" t="str">
        <f t="shared" ref="AU136:AU199" si="208">IF(AND(OffWorldSelected,AD136),ROUND(AS136*COS(RADIANS(ABS(AR136))),0),"")</f>
        <v/>
      </c>
      <c r="AV136" s="65" t="str">
        <f t="shared" ref="AV136:AV199" si="209">IF(AND(OffWorldSelected,AD136),IF(AR136&gt;AQ136-AJ136,(AR136-AQ136-AJ136)/RotationRateAngular/1440,(AR136-AQ136-AJ136+360)/RotationRateAngular/1440)+TimeLocal,"")</f>
        <v/>
      </c>
      <c r="AW136" s="65" t="str">
        <f t="shared" ref="AW136:AW199" si="210">IF(AND(OffWorldSelected,AD136),IF(AR136&gt;-(AQ136-AK136),(AR136+AQ136+AK136)/RotationRateAngular/1440,(AR136+AQ136+AK136+360)/RotationRateAngular/1440)+TimeLocal,"")</f>
        <v/>
      </c>
      <c r="AX136" s="1" t="str">
        <f t="shared" ref="AX136:AX199" si="211">IF(AND(NavTargetSelected,AD136),MOD((ROUND(DEGREES(ATAN2((COS(RADIANS(AE136))*SIN(RADIANS(tLatitude))-SIN(RADIANS(AE136))*COS(RADIANS(tLatitude))*COS(RADIANS(tLongitude-AF136))),(SIN(RADIANS(tLongitude-AF136))*COS(RADIANS(tLatitude))))),0))+360,360),"")</f>
        <v/>
      </c>
      <c r="AY136" s="1" t="str">
        <f t="shared" ref="AY136:AY199" si="212">IF(AND(NavTargetSelected,AD136),ROUND(DEGREES(ACOS(((SQRT(K136^2+L136^2+M136^2))^2+AZ136^2-(SQRT(btx^2+bty^2+btz^2))^2)/(2*SQRT(K136^2+L136^2+M136^2)*AZ136)))-90,0),"")</f>
        <v/>
      </c>
      <c r="AZ136" s="131" t="str">
        <f t="shared" ref="AZ136:AZ199" si="213">IF(AND(NavTargetSelected,AD136),ROUND(SQRT((K136-btx)^2+(L136-bty)^2+(M136-btz)^2),1),"")</f>
        <v/>
      </c>
      <c r="BA136" s="1" t="str">
        <f t="shared" ref="BA136:BA199" si="214">IF(AND(NavTargetSelected,AD136),ROUND((ACOS(SIN(RADIANS(AE136))*SIN(RADIANS(tLatitude))+COS(RADIANS(AE136))*COS(RADIANS(tLatitude))*COS(RADIANS(tLongitude-AF136)))*br),1),"")</f>
        <v/>
      </c>
      <c r="BB136" s="1" t="str">
        <f t="shared" si="49"/>
        <v/>
      </c>
      <c r="BC136" s="1" t="str">
        <f t="shared" si="50"/>
        <v/>
      </c>
      <c r="BD136" s="1" t="str">
        <f t="shared" ref="BD136:BD199" si="215">IF(AND(OffWorldSelected,AD136),SQRT((K136-$AX$4)^2+(L136-$AY$4)^2+(M136-$AZ$4)^2),"")</f>
        <v/>
      </c>
      <c r="BE136" s="1" t="str">
        <f t="shared" ref="BE136:BE199" si="216">IF(AND(OffWorldSelected,AD136),ROUND(DEGREES(ACOS(((SQRT(K136^2+L136^2+M136^2))^2+BD136^2-(SQRT($AX$4^2+$AY$4^2+$AZ$4^2))^2)/(2*SQRT(K136^2+L136^2+M136^2)*BD136)))-90,0),"")</f>
        <v/>
      </c>
      <c r="BF136" s="1" t="str">
        <f t="shared" si="53"/>
        <v/>
      </c>
      <c r="BG136" s="1" t="str">
        <f t="shared" ref="BG136:BG199" si="217">IF(AD136,-(AH136+br)*COS(RADIANS(AE136))*SIN(RADIANS(BF136)),"")</f>
        <v/>
      </c>
      <c r="BH136" s="1" t="str">
        <f t="shared" ref="BH136:BH199" si="218">IF(AD136,(AH136+br)*COS(RADIANS(AE136))*COS(RADIANS(BF136)),"")</f>
        <v/>
      </c>
      <c r="BI136" s="1" t="str">
        <f t="shared" ref="BI136:BI199" si="219">IF(AD136,(AH136+br)*SIN(RADIANS(AE136)),"")</f>
        <v/>
      </c>
      <c r="BJ136" s="1" t="str">
        <f t="shared" ref="BJ136:BJ199" si="220">IF(AD136,((1-(2*qy^2)-(2*qz^2))*(BG136))+(((2*qx*qy)-(2*qz*qw))*(BH136))+(((2*qx*qz)+(2*qy*qw))*(BI136)),"")</f>
        <v/>
      </c>
      <c r="BK136" s="1" t="str">
        <f t="shared" ref="BK136:BK199" si="221">IF(AD136,(((2*qx*qy)+(2*qz*qw))*(BG136))+((1-(2*qx^2)-(2*qz^2))*(BH136))+(((2*qy*qz)-(2*qx*qw))*(BI136)),"")</f>
        <v/>
      </c>
      <c r="BL136" s="1" t="str">
        <f t="shared" ref="BL136:BL199" si="222">IF(AD136,(((2*qx*qz)-(2*qy*qw))*(BG136))+(((2*qy*qz)+(2*qx*qw))*(BH136))+((1-(2*qx^2)-(2*qy^2))*(BI136)),"")</f>
        <v/>
      </c>
      <c r="BM136" s="1" t="str">
        <f t="shared" ref="BM136:BM199" si="223">IF(AD136,BJ136+bx,"")</f>
        <v/>
      </c>
      <c r="BN136" s="1" t="str">
        <f t="shared" ref="BN136:BN199" si="224">IF(AD136,BK136+by,"")</f>
        <v/>
      </c>
      <c r="BO136" s="1" t="str">
        <f t="shared" ref="BO136:BO199" si="225">IF(AD136,BL136+bz,"")</f>
        <v/>
      </c>
      <c r="BQ136" s="1" t="str">
        <f t="shared" si="63"/>
        <v/>
      </c>
      <c r="BR136" s="1" t="str">
        <f t="shared" si="64"/>
        <v/>
      </c>
      <c r="BS136" s="1" t="str">
        <f t="shared" si="65"/>
        <v/>
      </c>
      <c r="BT136" s="1" t="str">
        <f t="shared" si="66"/>
        <v/>
      </c>
      <c r="BU136" s="1" t="str">
        <f t="shared" si="67"/>
        <v/>
      </c>
      <c r="BV136" s="1" t="str">
        <f t="shared" si="68"/>
        <v/>
      </c>
      <c r="BW136" s="1" t="str">
        <f t="shared" si="69"/>
        <v/>
      </c>
      <c r="BX136" s="1" t="str">
        <f t="shared" si="70"/>
        <v/>
      </c>
      <c r="BY136" s="1" t="str">
        <f t="shared" ref="BY136:BY199" si="226">IF(AD136,IF(NOT(BT136),br*$BW$1*ATANH(COS(RADIANS(AE136))*SIN(RADIANS(AF136)-RADIANS(BX136)))*1000,br*(2*$BY$1/(1+SIN(RADIANS(BW136))*SIN(RADIANS(AE136))+COS(RADIANS(BW136))*COS(RADIANS(AE136))*COS(RADIANS(AF136)-RADIANS(BX136))))*COS(RADIANS(AE136))*SIN(RADIANS(AF136)-RADIANS(BX136))*1000),"")</f>
        <v/>
      </c>
      <c r="BZ136" s="1" t="str">
        <f t="shared" si="72"/>
        <v/>
      </c>
      <c r="CA136" s="1" t="str">
        <f t="shared" si="73"/>
        <v/>
      </c>
      <c r="CB136" s="1" t="str">
        <f t="shared" si="74"/>
        <v/>
      </c>
      <c r="CC136" s="1" t="str">
        <f t="shared" si="75"/>
        <v/>
      </c>
      <c r="CD136" s="1" t="str">
        <f t="shared" ref="CD136:CD199" si="227">IF(AD136,IF(NOT(BT136),br*$BW$1*ATAN(TAN(RADIANS(AE136))/COS(RADIANS(AF136)-RADIANS(BX136)))*1000,br*(2*$BY$1/(1+SIN(RADIANS(BW136))*SIN(RADIANS(AE136))+COS(RADIANS(BW136))*COS(RADIANS(AE136))*COS(RADIANS(AF136)-RADIANS(BX136))))*(COS(RADIANS(BW136))*SIN(RADIANS(AE136))-SIN(RADIANS(BW136))*COS(RADIANS(AE136))*COS(RADIANS(AF136)-RADIANS(BX136)))*1000),"")</f>
        <v/>
      </c>
      <c r="CE136" s="1" t="str">
        <f t="shared" si="77"/>
        <v/>
      </c>
      <c r="CF136" s="1" t="str">
        <f t="shared" si="78"/>
        <v/>
      </c>
      <c r="CG136" s="1" t="str">
        <f t="shared" si="79"/>
        <v/>
      </c>
      <c r="CH136" s="1" t="str">
        <f t="shared" si="80"/>
        <v/>
      </c>
      <c r="CJ136" s="1" t="str">
        <f t="shared" si="81"/>
        <v/>
      </c>
      <c r="CK136" s="1" t="str">
        <f t="shared" si="82"/>
        <v/>
      </c>
      <c r="CL136" s="1" t="str">
        <f t="shared" si="83"/>
        <v/>
      </c>
      <c r="CM136" s="1" t="str">
        <f t="shared" si="84"/>
        <v/>
      </c>
      <c r="CN136" s="1" t="str">
        <f t="shared" si="85"/>
        <v/>
      </c>
      <c r="CO136" s="1" t="str">
        <f t="shared" si="86"/>
        <v/>
      </c>
      <c r="CP136" s="1" t="str">
        <f t="shared" si="87"/>
        <v/>
      </c>
      <c r="CR136" s="1" t="str">
        <f t="shared" si="88"/>
        <v/>
      </c>
      <c r="CS136" s="1" t="str">
        <f t="shared" si="89"/>
        <v/>
      </c>
      <c r="CT136" s="1" t="str">
        <f t="shared" si="90"/>
        <v/>
      </c>
      <c r="CU136" s="1" t="str">
        <f t="shared" si="91"/>
        <v/>
      </c>
      <c r="CV136" s="1" t="str">
        <f t="shared" si="92"/>
        <v/>
      </c>
      <c r="DC136" s="154" t="e">
        <f t="shared" si="93"/>
        <v>#VALUE!</v>
      </c>
      <c r="DD136" s="154" t="str">
        <f t="shared" si="94"/>
        <v/>
      </c>
      <c r="DE136" s="154" t="str">
        <f t="shared" si="95"/>
        <v/>
      </c>
      <c r="DF136" s="1" t="str">
        <f t="shared" si="96"/>
        <v/>
      </c>
      <c r="DG136" s="1" t="str">
        <f t="shared" si="97"/>
        <v/>
      </c>
      <c r="DH136" s="1" t="str">
        <f t="shared" si="98"/>
        <v/>
      </c>
      <c r="DI136" s="1" t="str">
        <f t="shared" ref="DI136:DI199" si="228">IF(AND(OffWorldSelected,AD136),MOD((ROUND(DEGREES(ATAN2((COS(RADIANS(DF136))*SIN(RADIANS($DF$4))-SIN(RADIANS(DF136))*COS(RADIANS($DF$4))*COS(RADIANS($DG$4-DG136))),(SIN(RADIANS($DG$4-DG136))*COS(RADIANS($DF$4))))),0))+360,360),"")</f>
        <v/>
      </c>
      <c r="DJ136" s="1" t="str">
        <f t="shared" ref="DJ136:DJ199" si="229">IF(AND(NavTargetSelected,AD136),MOD((ROUND(DEGREES(ATAN2((COS(RADIANS(DF136))*SIN(RADIANS($DF$5))-SIN(RADIANS(DF136))*COS(RADIANS($DF$5))*COS(RADIANS($DG$5-DG136))),(SIN(RADIANS($DG$5-DG136))*COS(RADIANS($DF$5))))),0))+360,360),"")</f>
        <v/>
      </c>
      <c r="DK136" s="1" t="str">
        <f t="shared" si="101"/>
        <v/>
      </c>
      <c r="DL136" s="1" t="str">
        <f t="shared" si="102"/>
        <v/>
      </c>
      <c r="DM136" s="1" t="str">
        <f t="shared" si="103"/>
        <v/>
      </c>
    </row>
    <row r="137" customHeight="1" spans="1:117">
      <c r="A137" s="152" t="str">
        <f t="shared" si="176"/>
        <v/>
      </c>
      <c r="C137" s="55" t="str">
        <f t="shared" si="5"/>
        <v/>
      </c>
      <c r="D137" s="150" t="str">
        <f t="shared" si="6"/>
        <v/>
      </c>
      <c r="E137" s="151" t="str">
        <f t="shared" si="180"/>
        <v/>
      </c>
      <c r="F137" s="151" t="str">
        <f t="shared" si="181"/>
        <v/>
      </c>
      <c r="G137" s="151" t="str">
        <f t="shared" si="182"/>
        <v/>
      </c>
      <c r="H137" s="151" t="str">
        <f t="shared" si="183"/>
        <v/>
      </c>
      <c r="I137" s="151" t="str">
        <f t="shared" si="184"/>
        <v/>
      </c>
      <c r="J137" s="171" t="str">
        <f t="shared" si="185"/>
        <v/>
      </c>
      <c r="K137" s="172" t="str">
        <f t="shared" si="177"/>
        <v/>
      </c>
      <c r="L137" s="172" t="str">
        <f t="shared" si="178"/>
        <v/>
      </c>
      <c r="M137" s="173" t="str">
        <f t="shared" si="179"/>
        <v/>
      </c>
      <c r="N137" s="54" t="str">
        <f t="shared" si="186"/>
        <v/>
      </c>
      <c r="O137" s="55" t="str">
        <f t="shared" si="187"/>
        <v/>
      </c>
      <c r="P137" s="55" t="str">
        <f t="shared" si="15"/>
        <v/>
      </c>
      <c r="Q137" s="56" t="str">
        <f t="shared" si="188"/>
        <v/>
      </c>
      <c r="R137" s="56" t="str">
        <f t="shared" si="189"/>
        <v/>
      </c>
      <c r="S137" s="56" t="str">
        <f t="shared" si="190"/>
        <v/>
      </c>
      <c r="T137" s="56" t="str">
        <f t="shared" si="191"/>
        <v/>
      </c>
      <c r="U137" s="180" t="str">
        <f t="shared" si="192"/>
        <v/>
      </c>
      <c r="V137" s="55" t="str">
        <f t="shared" si="193"/>
        <v/>
      </c>
      <c r="W137" s="55" t="str">
        <f t="shared" si="194"/>
        <v/>
      </c>
      <c r="X137" s="56" t="str">
        <f t="shared" si="195"/>
        <v/>
      </c>
      <c r="Y137" s="180" t="str">
        <f t="shared" si="196"/>
        <v/>
      </c>
      <c r="Z137" s="55" t="str">
        <f t="shared" si="197"/>
        <v/>
      </c>
      <c r="AA137" s="55" t="str">
        <f t="shared" si="198"/>
        <v/>
      </c>
      <c r="AB137" s="150" t="str">
        <f t="shared" si="199"/>
        <v/>
      </c>
      <c r="AC137" s="188">
        <v>128</v>
      </c>
      <c r="AD137" s="1" t="b">
        <f t="shared" si="28"/>
        <v>0</v>
      </c>
      <c r="AE137" s="1" t="str">
        <f t="shared" si="29"/>
        <v/>
      </c>
      <c r="AF137" s="1" t="str">
        <f t="shared" si="30"/>
        <v/>
      </c>
      <c r="AG137" s="1" t="str">
        <f t="shared" si="31"/>
        <v/>
      </c>
      <c r="AH137" s="1" t="str">
        <f t="shared" si="200"/>
        <v/>
      </c>
      <c r="AI137" s="1" t="str">
        <f t="shared" si="33"/>
        <v/>
      </c>
      <c r="AJ137" s="191" t="str">
        <f t="shared" si="174"/>
        <v/>
      </c>
      <c r="AK137" s="191" t="str">
        <f t="shared" si="175"/>
        <v/>
      </c>
      <c r="AL137" s="191" t="str">
        <f t="shared" si="201"/>
        <v/>
      </c>
      <c r="AM137" s="1" t="str">
        <f t="shared" si="202"/>
        <v/>
      </c>
      <c r="AN137" s="191" t="str">
        <f t="shared" si="203"/>
        <v/>
      </c>
      <c r="AO137" s="134" t="str">
        <f t="shared" si="204"/>
        <v/>
      </c>
      <c r="AP137" s="64" t="str">
        <f t="shared" si="38"/>
        <v/>
      </c>
      <c r="AQ137" s="1" t="str">
        <f t="shared" ref="AQ137:AQ200" si="230">IF(AND(OffWorldSelected,AD137),DEGREES(ACOS(-TAN(RADIANS(AE137))*TAN(RADIANS(oDeclination))))+oar+AI137,"")</f>
        <v/>
      </c>
      <c r="AR137" s="1" t="str">
        <f t="shared" si="205"/>
        <v/>
      </c>
      <c r="AS137" s="1" t="str">
        <f t="shared" si="206"/>
        <v/>
      </c>
      <c r="AT137" s="134" t="str">
        <f t="shared" si="207"/>
        <v/>
      </c>
      <c r="AU137" s="64" t="str">
        <f t="shared" si="208"/>
        <v/>
      </c>
      <c r="AV137" s="65" t="str">
        <f t="shared" si="209"/>
        <v/>
      </c>
      <c r="AW137" s="65" t="str">
        <f t="shared" si="210"/>
        <v/>
      </c>
      <c r="AX137" s="1" t="str">
        <f t="shared" si="211"/>
        <v/>
      </c>
      <c r="AY137" s="1" t="str">
        <f t="shared" si="212"/>
        <v/>
      </c>
      <c r="AZ137" s="131" t="str">
        <f t="shared" si="213"/>
        <v/>
      </c>
      <c r="BA137" s="1" t="str">
        <f t="shared" si="214"/>
        <v/>
      </c>
      <c r="BB137" s="1" t="str">
        <f t="shared" si="49"/>
        <v/>
      </c>
      <c r="BC137" s="1" t="str">
        <f t="shared" si="50"/>
        <v/>
      </c>
      <c r="BD137" s="1" t="str">
        <f t="shared" si="215"/>
        <v/>
      </c>
      <c r="BE137" s="1" t="str">
        <f t="shared" si="216"/>
        <v/>
      </c>
      <c r="BF137" s="1" t="str">
        <f t="shared" si="53"/>
        <v/>
      </c>
      <c r="BG137" s="1" t="str">
        <f t="shared" si="217"/>
        <v/>
      </c>
      <c r="BH137" s="1" t="str">
        <f t="shared" si="218"/>
        <v/>
      </c>
      <c r="BI137" s="1" t="str">
        <f t="shared" si="219"/>
        <v/>
      </c>
      <c r="BJ137" s="1" t="str">
        <f t="shared" si="220"/>
        <v/>
      </c>
      <c r="BK137" s="1" t="str">
        <f t="shared" si="221"/>
        <v/>
      </c>
      <c r="BL137" s="1" t="str">
        <f t="shared" si="222"/>
        <v/>
      </c>
      <c r="BM137" s="1" t="str">
        <f t="shared" si="223"/>
        <v/>
      </c>
      <c r="BN137" s="1" t="str">
        <f t="shared" si="224"/>
        <v/>
      </c>
      <c r="BO137" s="1" t="str">
        <f t="shared" si="225"/>
        <v/>
      </c>
      <c r="BQ137" s="1" t="str">
        <f t="shared" si="63"/>
        <v/>
      </c>
      <c r="BR137" s="1" t="str">
        <f t="shared" si="64"/>
        <v/>
      </c>
      <c r="BS137" s="1" t="str">
        <f t="shared" si="65"/>
        <v/>
      </c>
      <c r="BT137" s="1" t="str">
        <f t="shared" si="66"/>
        <v/>
      </c>
      <c r="BU137" s="1" t="str">
        <f t="shared" si="67"/>
        <v/>
      </c>
      <c r="BV137" s="1" t="str">
        <f t="shared" si="68"/>
        <v/>
      </c>
      <c r="BW137" s="1" t="str">
        <f t="shared" si="69"/>
        <v/>
      </c>
      <c r="BX137" s="1" t="str">
        <f t="shared" si="70"/>
        <v/>
      </c>
      <c r="BY137" s="1" t="str">
        <f t="shared" si="226"/>
        <v/>
      </c>
      <c r="BZ137" s="1" t="str">
        <f t="shared" si="72"/>
        <v/>
      </c>
      <c r="CA137" s="1" t="str">
        <f t="shared" si="73"/>
        <v/>
      </c>
      <c r="CB137" s="1" t="str">
        <f t="shared" si="74"/>
        <v/>
      </c>
      <c r="CC137" s="1" t="str">
        <f t="shared" si="75"/>
        <v/>
      </c>
      <c r="CD137" s="1" t="str">
        <f t="shared" si="227"/>
        <v/>
      </c>
      <c r="CE137" s="1" t="str">
        <f t="shared" si="77"/>
        <v/>
      </c>
      <c r="CF137" s="1" t="str">
        <f t="shared" si="78"/>
        <v/>
      </c>
      <c r="CG137" s="1" t="str">
        <f t="shared" si="79"/>
        <v/>
      </c>
      <c r="CH137" s="1" t="str">
        <f t="shared" si="80"/>
        <v/>
      </c>
      <c r="CJ137" s="1" t="str">
        <f t="shared" si="81"/>
        <v/>
      </c>
      <c r="CK137" s="1" t="str">
        <f t="shared" si="82"/>
        <v/>
      </c>
      <c r="CL137" s="1" t="str">
        <f t="shared" si="83"/>
        <v/>
      </c>
      <c r="CM137" s="1" t="str">
        <f t="shared" si="84"/>
        <v/>
      </c>
      <c r="CN137" s="1" t="str">
        <f t="shared" si="85"/>
        <v/>
      </c>
      <c r="CO137" s="1" t="str">
        <f t="shared" si="86"/>
        <v/>
      </c>
      <c r="CP137" s="1" t="str">
        <f t="shared" si="87"/>
        <v/>
      </c>
      <c r="CR137" s="1" t="str">
        <f t="shared" si="88"/>
        <v/>
      </c>
      <c r="CS137" s="1" t="str">
        <f t="shared" si="89"/>
        <v/>
      </c>
      <c r="CT137" s="1" t="str">
        <f t="shared" si="90"/>
        <v/>
      </c>
      <c r="CU137" s="1" t="str">
        <f t="shared" si="91"/>
        <v/>
      </c>
      <c r="CV137" s="1" t="str">
        <f t="shared" si="92"/>
        <v/>
      </c>
      <c r="DC137" s="154" t="e">
        <f t="shared" si="93"/>
        <v>#VALUE!</v>
      </c>
      <c r="DD137" s="154" t="str">
        <f t="shared" si="94"/>
        <v/>
      </c>
      <c r="DE137" s="154" t="str">
        <f t="shared" si="95"/>
        <v/>
      </c>
      <c r="DF137" s="1" t="str">
        <f t="shared" si="96"/>
        <v/>
      </c>
      <c r="DG137" s="1" t="str">
        <f t="shared" si="97"/>
        <v/>
      </c>
      <c r="DH137" s="1" t="str">
        <f t="shared" si="98"/>
        <v/>
      </c>
      <c r="DI137" s="1" t="str">
        <f t="shared" si="228"/>
        <v/>
      </c>
      <c r="DJ137" s="1" t="str">
        <f t="shared" si="229"/>
        <v/>
      </c>
      <c r="DK137" s="1" t="str">
        <f t="shared" si="101"/>
        <v/>
      </c>
      <c r="DL137" s="1" t="str">
        <f t="shared" si="102"/>
        <v/>
      </c>
      <c r="DM137" s="1" t="str">
        <f t="shared" si="103"/>
        <v/>
      </c>
    </row>
    <row r="138" customHeight="1" spans="1:117">
      <c r="A138" s="152" t="str">
        <f t="shared" si="176"/>
        <v/>
      </c>
      <c r="C138" s="55" t="str">
        <f t="shared" si="5"/>
        <v/>
      </c>
      <c r="D138" s="150" t="str">
        <f t="shared" si="6"/>
        <v/>
      </c>
      <c r="E138" s="151" t="str">
        <f t="shared" si="180"/>
        <v/>
      </c>
      <c r="F138" s="151" t="str">
        <f t="shared" si="181"/>
        <v/>
      </c>
      <c r="G138" s="151" t="str">
        <f t="shared" si="182"/>
        <v/>
      </c>
      <c r="H138" s="151" t="str">
        <f t="shared" si="183"/>
        <v/>
      </c>
      <c r="I138" s="151" t="str">
        <f t="shared" si="184"/>
        <v/>
      </c>
      <c r="J138" s="171" t="str">
        <f t="shared" si="185"/>
        <v/>
      </c>
      <c r="K138" s="172" t="str">
        <f t="shared" si="177"/>
        <v/>
      </c>
      <c r="L138" s="172" t="str">
        <f t="shared" si="178"/>
        <v/>
      </c>
      <c r="M138" s="173" t="str">
        <f t="shared" si="179"/>
        <v/>
      </c>
      <c r="N138" s="54" t="str">
        <f t="shared" si="186"/>
        <v/>
      </c>
      <c r="O138" s="55" t="str">
        <f t="shared" si="187"/>
        <v/>
      </c>
      <c r="P138" s="55" t="str">
        <f t="shared" si="15"/>
        <v/>
      </c>
      <c r="Q138" s="56" t="str">
        <f t="shared" si="188"/>
        <v/>
      </c>
      <c r="R138" s="56" t="str">
        <f t="shared" si="189"/>
        <v/>
      </c>
      <c r="S138" s="56" t="str">
        <f t="shared" si="190"/>
        <v/>
      </c>
      <c r="T138" s="56" t="str">
        <f t="shared" si="191"/>
        <v/>
      </c>
      <c r="U138" s="180" t="str">
        <f t="shared" si="192"/>
        <v/>
      </c>
      <c r="V138" s="55" t="str">
        <f t="shared" si="193"/>
        <v/>
      </c>
      <c r="W138" s="55" t="str">
        <f t="shared" si="194"/>
        <v/>
      </c>
      <c r="X138" s="56" t="str">
        <f t="shared" si="195"/>
        <v/>
      </c>
      <c r="Y138" s="180" t="str">
        <f t="shared" si="196"/>
        <v/>
      </c>
      <c r="Z138" s="55" t="str">
        <f t="shared" si="197"/>
        <v/>
      </c>
      <c r="AA138" s="55" t="str">
        <f t="shared" si="198"/>
        <v/>
      </c>
      <c r="AB138" s="150" t="str">
        <f t="shared" si="199"/>
        <v/>
      </c>
      <c r="AC138" s="188">
        <v>129</v>
      </c>
      <c r="AD138" s="1" t="b">
        <f t="shared" si="28"/>
        <v>0</v>
      </c>
      <c r="AE138" s="1" t="str">
        <f t="shared" si="29"/>
        <v/>
      </c>
      <c r="AF138" s="1" t="str">
        <f t="shared" si="30"/>
        <v/>
      </c>
      <c r="AG138" s="1" t="str">
        <f t="shared" si="31"/>
        <v/>
      </c>
      <c r="AH138" s="1" t="str">
        <f t="shared" si="200"/>
        <v/>
      </c>
      <c r="AI138" s="1" t="str">
        <f t="shared" si="33"/>
        <v/>
      </c>
      <c r="AJ138" s="191" t="str">
        <f t="shared" ref="AJ138:AJ169" si="231">IF(ListMethodCode,_xlfn.IFNA(VLOOKUP(CONCATENATE(BodyName," ",IF(AC138&lt;10,"0",""),AC138),DatabaseOutpost,13,FALSE),""),_xlfn.IFNA(VLOOKUP(CONCATENATE(BodyName," ",IF(AC138&lt;10,"0",""),AC138),DatabaseTime,12,FALSE),""))</f>
        <v/>
      </c>
      <c r="AK138" s="191" t="str">
        <f t="shared" ref="AK138:AK169" si="232">IF(ListMethodCode,_xlfn.IFNA(VLOOKUP(CONCATENATE(BodyName," ",IF(AC138&lt;10,"0",""),AC138),DatabaseOutpost,14,FALSE),""),_xlfn.IFNA(VLOOKUP(CONCATENATE(BodyName," ",IF(AC138&lt;10,"0",""),AC138),DatabaseTime,13,FALSE),""))</f>
        <v/>
      </c>
      <c r="AL138" s="191" t="str">
        <f t="shared" si="201"/>
        <v/>
      </c>
      <c r="AM138" s="1" t="str">
        <f t="shared" si="202"/>
        <v/>
      </c>
      <c r="AN138" s="191" t="str">
        <f t="shared" si="203"/>
        <v/>
      </c>
      <c r="AO138" s="134" t="str">
        <f t="shared" si="204"/>
        <v/>
      </c>
      <c r="AP138" s="64" t="str">
        <f t="shared" si="38"/>
        <v/>
      </c>
      <c r="AQ138" s="1" t="str">
        <f t="shared" si="230"/>
        <v/>
      </c>
      <c r="AR138" s="1" t="str">
        <f t="shared" si="205"/>
        <v/>
      </c>
      <c r="AS138" s="1" t="str">
        <f t="shared" si="206"/>
        <v/>
      </c>
      <c r="AT138" s="134" t="str">
        <f t="shared" si="207"/>
        <v/>
      </c>
      <c r="AU138" s="64" t="str">
        <f t="shared" si="208"/>
        <v/>
      </c>
      <c r="AV138" s="65" t="str">
        <f t="shared" si="209"/>
        <v/>
      </c>
      <c r="AW138" s="65" t="str">
        <f t="shared" si="210"/>
        <v/>
      </c>
      <c r="AX138" s="1" t="str">
        <f t="shared" si="211"/>
        <v/>
      </c>
      <c r="AY138" s="1" t="str">
        <f t="shared" si="212"/>
        <v/>
      </c>
      <c r="AZ138" s="131" t="str">
        <f t="shared" si="213"/>
        <v/>
      </c>
      <c r="BA138" s="1" t="str">
        <f t="shared" si="214"/>
        <v/>
      </c>
      <c r="BB138" s="1" t="str">
        <f t="shared" si="49"/>
        <v/>
      </c>
      <c r="BC138" s="1" t="str">
        <f t="shared" si="50"/>
        <v/>
      </c>
      <c r="BD138" s="1" t="str">
        <f t="shared" si="215"/>
        <v/>
      </c>
      <c r="BE138" s="1" t="str">
        <f t="shared" si="216"/>
        <v/>
      </c>
      <c r="BF138" s="1" t="str">
        <f t="shared" si="53"/>
        <v/>
      </c>
      <c r="BG138" s="1" t="str">
        <f t="shared" si="217"/>
        <v/>
      </c>
      <c r="BH138" s="1" t="str">
        <f t="shared" si="218"/>
        <v/>
      </c>
      <c r="BI138" s="1" t="str">
        <f t="shared" si="219"/>
        <v/>
      </c>
      <c r="BJ138" s="1" t="str">
        <f t="shared" si="220"/>
        <v/>
      </c>
      <c r="BK138" s="1" t="str">
        <f t="shared" si="221"/>
        <v/>
      </c>
      <c r="BL138" s="1" t="str">
        <f t="shared" si="222"/>
        <v/>
      </c>
      <c r="BM138" s="1" t="str">
        <f t="shared" si="223"/>
        <v/>
      </c>
      <c r="BN138" s="1" t="str">
        <f t="shared" si="224"/>
        <v/>
      </c>
      <c r="BO138" s="1" t="str">
        <f t="shared" si="225"/>
        <v/>
      </c>
      <c r="BQ138" s="1" t="str">
        <f t="shared" si="63"/>
        <v/>
      </c>
      <c r="BR138" s="1" t="str">
        <f t="shared" si="64"/>
        <v/>
      </c>
      <c r="BS138" s="1" t="str">
        <f t="shared" si="65"/>
        <v/>
      </c>
      <c r="BT138" s="1" t="str">
        <f t="shared" si="66"/>
        <v/>
      </c>
      <c r="BU138" s="1" t="str">
        <f t="shared" si="67"/>
        <v/>
      </c>
      <c r="BV138" s="1" t="str">
        <f t="shared" si="68"/>
        <v/>
      </c>
      <c r="BW138" s="1" t="str">
        <f t="shared" si="69"/>
        <v/>
      </c>
      <c r="BX138" s="1" t="str">
        <f t="shared" si="70"/>
        <v/>
      </c>
      <c r="BY138" s="1" t="str">
        <f t="shared" si="226"/>
        <v/>
      </c>
      <c r="BZ138" s="1" t="str">
        <f t="shared" si="72"/>
        <v/>
      </c>
      <c r="CA138" s="1" t="str">
        <f t="shared" si="73"/>
        <v/>
      </c>
      <c r="CB138" s="1" t="str">
        <f t="shared" si="74"/>
        <v/>
      </c>
      <c r="CC138" s="1" t="str">
        <f t="shared" si="75"/>
        <v/>
      </c>
      <c r="CD138" s="1" t="str">
        <f t="shared" si="227"/>
        <v/>
      </c>
      <c r="CE138" s="1" t="str">
        <f t="shared" si="77"/>
        <v/>
      </c>
      <c r="CF138" s="1" t="str">
        <f t="shared" si="78"/>
        <v/>
      </c>
      <c r="CG138" s="1" t="str">
        <f t="shared" si="79"/>
        <v/>
      </c>
      <c r="CH138" s="1" t="str">
        <f t="shared" si="80"/>
        <v/>
      </c>
      <c r="CJ138" s="1" t="str">
        <f t="shared" si="81"/>
        <v/>
      </c>
      <c r="CK138" s="1" t="str">
        <f t="shared" si="82"/>
        <v/>
      </c>
      <c r="CL138" s="1" t="str">
        <f t="shared" si="83"/>
        <v/>
      </c>
      <c r="CM138" s="1" t="str">
        <f t="shared" si="84"/>
        <v/>
      </c>
      <c r="CN138" s="1" t="str">
        <f t="shared" si="85"/>
        <v/>
      </c>
      <c r="CO138" s="1" t="str">
        <f t="shared" si="86"/>
        <v/>
      </c>
      <c r="CP138" s="1" t="str">
        <f t="shared" si="87"/>
        <v/>
      </c>
      <c r="CR138" s="1" t="str">
        <f t="shared" si="88"/>
        <v/>
      </c>
      <c r="CS138" s="1" t="str">
        <f t="shared" si="89"/>
        <v/>
      </c>
      <c r="CT138" s="1" t="str">
        <f t="shared" si="90"/>
        <v/>
      </c>
      <c r="CU138" s="1" t="str">
        <f t="shared" si="91"/>
        <v/>
      </c>
      <c r="CV138" s="1" t="str">
        <f t="shared" si="92"/>
        <v/>
      </c>
      <c r="DC138" s="154" t="e">
        <f t="shared" si="93"/>
        <v>#VALUE!</v>
      </c>
      <c r="DD138" s="154" t="str">
        <f t="shared" si="94"/>
        <v/>
      </c>
      <c r="DE138" s="154" t="str">
        <f t="shared" si="95"/>
        <v/>
      </c>
      <c r="DF138" s="1" t="str">
        <f t="shared" si="96"/>
        <v/>
      </c>
      <c r="DG138" s="1" t="str">
        <f t="shared" si="97"/>
        <v/>
      </c>
      <c r="DH138" s="1" t="str">
        <f t="shared" si="98"/>
        <v/>
      </c>
      <c r="DI138" s="1" t="str">
        <f t="shared" si="228"/>
        <v/>
      </c>
      <c r="DJ138" s="1" t="str">
        <f t="shared" si="229"/>
        <v/>
      </c>
      <c r="DK138" s="1" t="str">
        <f t="shared" si="101"/>
        <v/>
      </c>
      <c r="DL138" s="1" t="str">
        <f t="shared" si="102"/>
        <v/>
      </c>
      <c r="DM138" s="1" t="str">
        <f t="shared" si="103"/>
        <v/>
      </c>
    </row>
    <row r="139" customHeight="1" spans="1:117">
      <c r="A139" s="152" t="str">
        <f t="shared" ref="A139:A170" si="233">IF(ListMethodCode,_xlfn.IFNA(VLOOKUP(CONCATENATE(BodyName," ",IF(AC139&lt;10,"0",""),AC139),DatabaseOutpost,3,FALSE),""),_xlfn.IFNA(VLOOKUP(CONCATENATE(BodyName," ",IF(AC139&lt;10,"0",""),AC139),DatabaseTime,2,FALSE),""))</f>
        <v/>
      </c>
      <c r="C139" s="55" t="str">
        <f t="shared" si="5"/>
        <v/>
      </c>
      <c r="D139" s="150" t="str">
        <f t="shared" si="6"/>
        <v/>
      </c>
      <c r="E139" s="151" t="str">
        <f t="shared" si="180"/>
        <v/>
      </c>
      <c r="F139" s="151" t="str">
        <f t="shared" si="181"/>
        <v/>
      </c>
      <c r="G139" s="151" t="str">
        <f t="shared" si="182"/>
        <v/>
      </c>
      <c r="H139" s="151" t="str">
        <f t="shared" si="183"/>
        <v/>
      </c>
      <c r="I139" s="151" t="str">
        <f t="shared" si="184"/>
        <v/>
      </c>
      <c r="J139" s="171" t="str">
        <f t="shared" si="185"/>
        <v/>
      </c>
      <c r="K139" s="172" t="str">
        <f t="shared" ref="K139:K170" si="234">IF(ListMethodCode,_xlfn.IFNA(VLOOKUP(CONCATENATE(BodyName," ",IF(AC139&lt;10,"0",""),AC139),DatabaseOutpost,5,FALSE),""),_xlfn.IFNA(VLOOKUP(CONCATENATE(BodyName," ",IF(AC139&lt;10,"0",""),AC139),DatabaseTime,4,FALSE),""))</f>
        <v/>
      </c>
      <c r="L139" s="172" t="str">
        <f t="shared" ref="L139:L170" si="235">IF(ListMethodCode,_xlfn.IFNA(VLOOKUP(CONCATENATE(BodyName," ",IF(AC139&lt;10,"0",""),AC139),DatabaseOutpost,6,FALSE),""),_xlfn.IFNA(VLOOKUP(CONCATENATE(BodyName," ",IF(AC139&lt;10,"0",""),AC139),DatabaseTime,5,FALSE),""))</f>
        <v/>
      </c>
      <c r="M139" s="173" t="str">
        <f t="shared" ref="M139:M170" si="236">IF(ListMethodCode,_xlfn.IFNA(VLOOKUP(CONCATENATE(BodyName," ",IF(AC139&lt;10,"0",""),AC139),DatabaseOutpost,7,FALSE),""),_xlfn.IFNA(VLOOKUP(CONCATENATE(BodyName," ",IF(AC139&lt;10,"0",""),AC139),DatabaseTime,6,FALSE),""))</f>
        <v/>
      </c>
      <c r="N139" s="54" t="str">
        <f t="shared" si="186"/>
        <v/>
      </c>
      <c r="O139" s="55" t="str">
        <f t="shared" si="187"/>
        <v/>
      </c>
      <c r="P139" s="55" t="str">
        <f t="shared" si="15"/>
        <v/>
      </c>
      <c r="Q139" s="56" t="str">
        <f t="shared" si="188"/>
        <v/>
      </c>
      <c r="R139" s="56" t="str">
        <f t="shared" si="189"/>
        <v/>
      </c>
      <c r="S139" s="56" t="str">
        <f t="shared" si="190"/>
        <v/>
      </c>
      <c r="T139" s="56" t="str">
        <f t="shared" si="191"/>
        <v/>
      </c>
      <c r="U139" s="180" t="str">
        <f t="shared" si="192"/>
        <v/>
      </c>
      <c r="V139" s="55" t="str">
        <f t="shared" si="193"/>
        <v/>
      </c>
      <c r="W139" s="55" t="str">
        <f t="shared" si="194"/>
        <v/>
      </c>
      <c r="X139" s="56" t="str">
        <f t="shared" si="195"/>
        <v/>
      </c>
      <c r="Y139" s="180" t="str">
        <f t="shared" si="196"/>
        <v/>
      </c>
      <c r="Z139" s="55" t="str">
        <f t="shared" si="197"/>
        <v/>
      </c>
      <c r="AA139" s="55" t="str">
        <f t="shared" si="198"/>
        <v/>
      </c>
      <c r="AB139" s="150" t="str">
        <f t="shared" si="199"/>
        <v/>
      </c>
      <c r="AC139" s="188">
        <v>130</v>
      </c>
      <c r="AD139" s="1" t="b">
        <f t="shared" si="28"/>
        <v>0</v>
      </c>
      <c r="AE139" s="1" t="str">
        <f t="shared" si="29"/>
        <v/>
      </c>
      <c r="AF139" s="1" t="str">
        <f t="shared" si="30"/>
        <v/>
      </c>
      <c r="AG139" s="1" t="str">
        <f t="shared" si="31"/>
        <v/>
      </c>
      <c r="AH139" s="1" t="str">
        <f t="shared" si="200"/>
        <v/>
      </c>
      <c r="AI139" s="1" t="str">
        <f t="shared" si="33"/>
        <v/>
      </c>
      <c r="AJ139" s="191" t="str">
        <f t="shared" si="231"/>
        <v/>
      </c>
      <c r="AK139" s="191" t="str">
        <f t="shared" si="232"/>
        <v/>
      </c>
      <c r="AL139" s="191" t="str">
        <f t="shared" si="201"/>
        <v/>
      </c>
      <c r="AM139" s="1" t="str">
        <f t="shared" si="202"/>
        <v/>
      </c>
      <c r="AN139" s="191" t="str">
        <f t="shared" si="203"/>
        <v/>
      </c>
      <c r="AO139" s="134" t="str">
        <f t="shared" si="204"/>
        <v/>
      </c>
      <c r="AP139" s="64" t="str">
        <f t="shared" si="38"/>
        <v/>
      </c>
      <c r="AQ139" s="1" t="str">
        <f t="shared" si="230"/>
        <v/>
      </c>
      <c r="AR139" s="1" t="str">
        <f t="shared" si="205"/>
        <v/>
      </c>
      <c r="AS139" s="1" t="str">
        <f t="shared" si="206"/>
        <v/>
      </c>
      <c r="AT139" s="134" t="str">
        <f t="shared" si="207"/>
        <v/>
      </c>
      <c r="AU139" s="64" t="str">
        <f t="shared" si="208"/>
        <v/>
      </c>
      <c r="AV139" s="65" t="str">
        <f t="shared" si="209"/>
        <v/>
      </c>
      <c r="AW139" s="65" t="str">
        <f t="shared" si="210"/>
        <v/>
      </c>
      <c r="AX139" s="1" t="str">
        <f t="shared" si="211"/>
        <v/>
      </c>
      <c r="AY139" s="1" t="str">
        <f t="shared" si="212"/>
        <v/>
      </c>
      <c r="AZ139" s="131" t="str">
        <f t="shared" si="213"/>
        <v/>
      </c>
      <c r="BA139" s="1" t="str">
        <f t="shared" si="214"/>
        <v/>
      </c>
      <c r="BB139" s="1" t="str">
        <f t="shared" si="49"/>
        <v/>
      </c>
      <c r="BC139" s="1" t="str">
        <f t="shared" si="50"/>
        <v/>
      </c>
      <c r="BD139" s="1" t="str">
        <f t="shared" si="215"/>
        <v/>
      </c>
      <c r="BE139" s="1" t="str">
        <f t="shared" si="216"/>
        <v/>
      </c>
      <c r="BF139" s="1" t="str">
        <f t="shared" si="53"/>
        <v/>
      </c>
      <c r="BG139" s="1" t="str">
        <f t="shared" si="217"/>
        <v/>
      </c>
      <c r="BH139" s="1" t="str">
        <f t="shared" si="218"/>
        <v/>
      </c>
      <c r="BI139" s="1" t="str">
        <f t="shared" si="219"/>
        <v/>
      </c>
      <c r="BJ139" s="1" t="str">
        <f t="shared" si="220"/>
        <v/>
      </c>
      <c r="BK139" s="1" t="str">
        <f t="shared" si="221"/>
        <v/>
      </c>
      <c r="BL139" s="1" t="str">
        <f t="shared" si="222"/>
        <v/>
      </c>
      <c r="BM139" s="1" t="str">
        <f t="shared" si="223"/>
        <v/>
      </c>
      <c r="BN139" s="1" t="str">
        <f t="shared" si="224"/>
        <v/>
      </c>
      <c r="BO139" s="1" t="str">
        <f t="shared" si="225"/>
        <v/>
      </c>
      <c r="BQ139" s="1" t="str">
        <f t="shared" si="63"/>
        <v/>
      </c>
      <c r="BR139" s="1" t="str">
        <f t="shared" si="64"/>
        <v/>
      </c>
      <c r="BS139" s="1" t="str">
        <f t="shared" si="65"/>
        <v/>
      </c>
      <c r="BT139" s="1" t="str">
        <f t="shared" si="66"/>
        <v/>
      </c>
      <c r="BU139" s="1" t="str">
        <f t="shared" si="67"/>
        <v/>
      </c>
      <c r="BV139" s="1" t="str">
        <f t="shared" si="68"/>
        <v/>
      </c>
      <c r="BW139" s="1" t="str">
        <f t="shared" si="69"/>
        <v/>
      </c>
      <c r="BX139" s="1" t="str">
        <f t="shared" si="70"/>
        <v/>
      </c>
      <c r="BY139" s="1" t="str">
        <f t="shared" si="226"/>
        <v/>
      </c>
      <c r="BZ139" s="1" t="str">
        <f t="shared" si="72"/>
        <v/>
      </c>
      <c r="CA139" s="1" t="str">
        <f t="shared" si="73"/>
        <v/>
      </c>
      <c r="CB139" s="1" t="str">
        <f t="shared" si="74"/>
        <v/>
      </c>
      <c r="CC139" s="1" t="str">
        <f t="shared" si="75"/>
        <v/>
      </c>
      <c r="CD139" s="1" t="str">
        <f t="shared" si="227"/>
        <v/>
      </c>
      <c r="CE139" s="1" t="str">
        <f t="shared" si="77"/>
        <v/>
      </c>
      <c r="CF139" s="1" t="str">
        <f t="shared" si="78"/>
        <v/>
      </c>
      <c r="CG139" s="1" t="str">
        <f t="shared" si="79"/>
        <v/>
      </c>
      <c r="CH139" s="1" t="str">
        <f t="shared" si="80"/>
        <v/>
      </c>
      <c r="CJ139" s="1" t="str">
        <f t="shared" si="81"/>
        <v/>
      </c>
      <c r="CK139" s="1" t="str">
        <f t="shared" si="82"/>
        <v/>
      </c>
      <c r="CL139" s="1" t="str">
        <f t="shared" si="83"/>
        <v/>
      </c>
      <c r="CM139" s="1" t="str">
        <f t="shared" si="84"/>
        <v/>
      </c>
      <c r="CN139" s="1" t="str">
        <f t="shared" si="85"/>
        <v/>
      </c>
      <c r="CO139" s="1" t="str">
        <f t="shared" si="86"/>
        <v/>
      </c>
      <c r="CP139" s="1" t="str">
        <f t="shared" si="87"/>
        <v/>
      </c>
      <c r="CR139" s="1" t="str">
        <f t="shared" si="88"/>
        <v/>
      </c>
      <c r="CS139" s="1" t="str">
        <f t="shared" si="89"/>
        <v/>
      </c>
      <c r="CT139" s="1" t="str">
        <f t="shared" si="90"/>
        <v/>
      </c>
      <c r="CU139" s="1" t="str">
        <f t="shared" si="91"/>
        <v/>
      </c>
      <c r="CV139" s="1" t="str">
        <f t="shared" si="92"/>
        <v/>
      </c>
      <c r="DC139" s="154" t="e">
        <f t="shared" si="93"/>
        <v>#VALUE!</v>
      </c>
      <c r="DD139" s="154" t="str">
        <f t="shared" si="94"/>
        <v/>
      </c>
      <c r="DE139" s="154" t="str">
        <f t="shared" si="95"/>
        <v/>
      </c>
      <c r="DF139" s="1" t="str">
        <f t="shared" si="96"/>
        <v/>
      </c>
      <c r="DG139" s="1" t="str">
        <f t="shared" si="97"/>
        <v/>
      </c>
      <c r="DH139" s="1" t="str">
        <f t="shared" si="98"/>
        <v/>
      </c>
      <c r="DI139" s="1" t="str">
        <f t="shared" si="228"/>
        <v/>
      </c>
      <c r="DJ139" s="1" t="str">
        <f t="shared" si="229"/>
        <v/>
      </c>
      <c r="DK139" s="1" t="str">
        <f t="shared" si="101"/>
        <v/>
      </c>
      <c r="DL139" s="1" t="str">
        <f t="shared" si="102"/>
        <v/>
      </c>
      <c r="DM139" s="1" t="str">
        <f t="shared" si="103"/>
        <v/>
      </c>
    </row>
    <row r="140" customHeight="1" spans="1:117">
      <c r="A140" s="152" t="str">
        <f t="shared" si="233"/>
        <v/>
      </c>
      <c r="C140" s="55" t="str">
        <f t="shared" si="5"/>
        <v/>
      </c>
      <c r="D140" s="150" t="str">
        <f t="shared" si="6"/>
        <v/>
      </c>
      <c r="E140" s="151" t="str">
        <f t="shared" si="180"/>
        <v/>
      </c>
      <c r="F140" s="151" t="str">
        <f t="shared" si="181"/>
        <v/>
      </c>
      <c r="G140" s="151" t="str">
        <f t="shared" si="182"/>
        <v/>
      </c>
      <c r="H140" s="151" t="str">
        <f t="shared" si="183"/>
        <v/>
      </c>
      <c r="I140" s="151" t="str">
        <f t="shared" si="184"/>
        <v/>
      </c>
      <c r="J140" s="171" t="str">
        <f t="shared" si="185"/>
        <v/>
      </c>
      <c r="K140" s="172" t="str">
        <f t="shared" si="234"/>
        <v/>
      </c>
      <c r="L140" s="172" t="str">
        <f t="shared" si="235"/>
        <v/>
      </c>
      <c r="M140" s="173" t="str">
        <f t="shared" si="236"/>
        <v/>
      </c>
      <c r="N140" s="54" t="str">
        <f t="shared" si="186"/>
        <v/>
      </c>
      <c r="O140" s="55" t="str">
        <f t="shared" si="187"/>
        <v/>
      </c>
      <c r="P140" s="55" t="str">
        <f t="shared" si="15"/>
        <v/>
      </c>
      <c r="Q140" s="56" t="str">
        <f t="shared" si="188"/>
        <v/>
      </c>
      <c r="R140" s="56" t="str">
        <f t="shared" si="189"/>
        <v/>
      </c>
      <c r="S140" s="56" t="str">
        <f t="shared" si="190"/>
        <v/>
      </c>
      <c r="T140" s="56" t="str">
        <f t="shared" si="191"/>
        <v/>
      </c>
      <c r="U140" s="180" t="str">
        <f t="shared" si="192"/>
        <v/>
      </c>
      <c r="V140" s="55" t="str">
        <f t="shared" si="193"/>
        <v/>
      </c>
      <c r="W140" s="55" t="str">
        <f t="shared" si="194"/>
        <v/>
      </c>
      <c r="X140" s="56" t="str">
        <f t="shared" si="195"/>
        <v/>
      </c>
      <c r="Y140" s="180" t="str">
        <f t="shared" si="196"/>
        <v/>
      </c>
      <c r="Z140" s="55" t="str">
        <f t="shared" si="197"/>
        <v/>
      </c>
      <c r="AA140" s="55" t="str">
        <f t="shared" si="198"/>
        <v/>
      </c>
      <c r="AB140" s="150" t="str">
        <f t="shared" si="199"/>
        <v/>
      </c>
      <c r="AC140" s="188">
        <v>131</v>
      </c>
      <c r="AD140" s="1" t="b">
        <f t="shared" si="28"/>
        <v>0</v>
      </c>
      <c r="AE140" s="1" t="str">
        <f t="shared" si="29"/>
        <v/>
      </c>
      <c r="AF140" s="1" t="str">
        <f t="shared" si="30"/>
        <v/>
      </c>
      <c r="AG140" s="1" t="str">
        <f t="shared" si="31"/>
        <v/>
      </c>
      <c r="AH140" s="1" t="str">
        <f t="shared" si="200"/>
        <v/>
      </c>
      <c r="AI140" s="1" t="str">
        <f t="shared" si="33"/>
        <v/>
      </c>
      <c r="AJ140" s="191" t="str">
        <f t="shared" si="231"/>
        <v/>
      </c>
      <c r="AK140" s="191" t="str">
        <f t="shared" si="232"/>
        <v/>
      </c>
      <c r="AL140" s="191" t="str">
        <f t="shared" si="201"/>
        <v/>
      </c>
      <c r="AM140" s="1" t="str">
        <f t="shared" si="202"/>
        <v/>
      </c>
      <c r="AN140" s="191" t="str">
        <f t="shared" si="203"/>
        <v/>
      </c>
      <c r="AO140" s="134" t="str">
        <f t="shared" si="204"/>
        <v/>
      </c>
      <c r="AP140" s="64" t="str">
        <f t="shared" si="38"/>
        <v/>
      </c>
      <c r="AQ140" s="1" t="str">
        <f t="shared" si="230"/>
        <v/>
      </c>
      <c r="AR140" s="1" t="str">
        <f t="shared" si="205"/>
        <v/>
      </c>
      <c r="AS140" s="1" t="str">
        <f t="shared" si="206"/>
        <v/>
      </c>
      <c r="AT140" s="134" t="str">
        <f t="shared" si="207"/>
        <v/>
      </c>
      <c r="AU140" s="64" t="str">
        <f t="shared" si="208"/>
        <v/>
      </c>
      <c r="AV140" s="65" t="str">
        <f t="shared" si="209"/>
        <v/>
      </c>
      <c r="AW140" s="65" t="str">
        <f t="shared" si="210"/>
        <v/>
      </c>
      <c r="AX140" s="1" t="str">
        <f t="shared" si="211"/>
        <v/>
      </c>
      <c r="AY140" s="1" t="str">
        <f t="shared" si="212"/>
        <v/>
      </c>
      <c r="AZ140" s="131" t="str">
        <f t="shared" si="213"/>
        <v/>
      </c>
      <c r="BA140" s="1" t="str">
        <f t="shared" si="214"/>
        <v/>
      </c>
      <c r="BB140" s="1" t="str">
        <f t="shared" si="49"/>
        <v/>
      </c>
      <c r="BC140" s="1" t="str">
        <f t="shared" si="50"/>
        <v/>
      </c>
      <c r="BD140" s="1" t="str">
        <f t="shared" si="215"/>
        <v/>
      </c>
      <c r="BE140" s="1" t="str">
        <f t="shared" si="216"/>
        <v/>
      </c>
      <c r="BF140" s="1" t="str">
        <f t="shared" si="53"/>
        <v/>
      </c>
      <c r="BG140" s="1" t="str">
        <f t="shared" si="217"/>
        <v/>
      </c>
      <c r="BH140" s="1" t="str">
        <f t="shared" si="218"/>
        <v/>
      </c>
      <c r="BI140" s="1" t="str">
        <f t="shared" si="219"/>
        <v/>
      </c>
      <c r="BJ140" s="1" t="str">
        <f t="shared" si="220"/>
        <v/>
      </c>
      <c r="BK140" s="1" t="str">
        <f t="shared" si="221"/>
        <v/>
      </c>
      <c r="BL140" s="1" t="str">
        <f t="shared" si="222"/>
        <v/>
      </c>
      <c r="BM140" s="1" t="str">
        <f t="shared" si="223"/>
        <v/>
      </c>
      <c r="BN140" s="1" t="str">
        <f t="shared" si="224"/>
        <v/>
      </c>
      <c r="BO140" s="1" t="str">
        <f t="shared" si="225"/>
        <v/>
      </c>
      <c r="BQ140" s="1" t="str">
        <f t="shared" si="63"/>
        <v/>
      </c>
      <c r="BR140" s="1" t="str">
        <f t="shared" si="64"/>
        <v/>
      </c>
      <c r="BS140" s="1" t="str">
        <f t="shared" si="65"/>
        <v/>
      </c>
      <c r="BT140" s="1" t="str">
        <f t="shared" si="66"/>
        <v/>
      </c>
      <c r="BU140" s="1" t="str">
        <f t="shared" si="67"/>
        <v/>
      </c>
      <c r="BV140" s="1" t="str">
        <f t="shared" si="68"/>
        <v/>
      </c>
      <c r="BW140" s="1" t="str">
        <f t="shared" si="69"/>
        <v/>
      </c>
      <c r="BX140" s="1" t="str">
        <f t="shared" si="70"/>
        <v/>
      </c>
      <c r="BY140" s="1" t="str">
        <f t="shared" si="226"/>
        <v/>
      </c>
      <c r="BZ140" s="1" t="str">
        <f t="shared" si="72"/>
        <v/>
      </c>
      <c r="CA140" s="1" t="str">
        <f t="shared" si="73"/>
        <v/>
      </c>
      <c r="CB140" s="1" t="str">
        <f t="shared" si="74"/>
        <v/>
      </c>
      <c r="CC140" s="1" t="str">
        <f t="shared" si="75"/>
        <v/>
      </c>
      <c r="CD140" s="1" t="str">
        <f t="shared" si="227"/>
        <v/>
      </c>
      <c r="CE140" s="1" t="str">
        <f t="shared" si="77"/>
        <v/>
      </c>
      <c r="CF140" s="1" t="str">
        <f t="shared" si="78"/>
        <v/>
      </c>
      <c r="CG140" s="1" t="str">
        <f t="shared" si="79"/>
        <v/>
      </c>
      <c r="CH140" s="1" t="str">
        <f t="shared" si="80"/>
        <v/>
      </c>
      <c r="CJ140" s="1" t="str">
        <f t="shared" si="81"/>
        <v/>
      </c>
      <c r="CK140" s="1" t="str">
        <f t="shared" si="82"/>
        <v/>
      </c>
      <c r="CL140" s="1" t="str">
        <f t="shared" si="83"/>
        <v/>
      </c>
      <c r="CM140" s="1" t="str">
        <f t="shared" si="84"/>
        <v/>
      </c>
      <c r="CN140" s="1" t="str">
        <f t="shared" si="85"/>
        <v/>
      </c>
      <c r="CO140" s="1" t="str">
        <f t="shared" si="86"/>
        <v/>
      </c>
      <c r="CP140" s="1" t="str">
        <f t="shared" si="87"/>
        <v/>
      </c>
      <c r="CR140" s="1" t="str">
        <f t="shared" si="88"/>
        <v/>
      </c>
      <c r="CS140" s="1" t="str">
        <f t="shared" si="89"/>
        <v/>
      </c>
      <c r="CT140" s="1" t="str">
        <f t="shared" si="90"/>
        <v/>
      </c>
      <c r="CU140" s="1" t="str">
        <f t="shared" si="91"/>
        <v/>
      </c>
      <c r="CV140" s="1" t="str">
        <f t="shared" si="92"/>
        <v/>
      </c>
      <c r="DC140" s="154" t="e">
        <f t="shared" si="93"/>
        <v>#VALUE!</v>
      </c>
      <c r="DD140" s="154" t="str">
        <f t="shared" si="94"/>
        <v/>
      </c>
      <c r="DE140" s="154" t="str">
        <f t="shared" si="95"/>
        <v/>
      </c>
      <c r="DF140" s="1" t="str">
        <f t="shared" si="96"/>
        <v/>
      </c>
      <c r="DG140" s="1" t="str">
        <f t="shared" si="97"/>
        <v/>
      </c>
      <c r="DH140" s="1" t="str">
        <f t="shared" si="98"/>
        <v/>
      </c>
      <c r="DI140" s="1" t="str">
        <f t="shared" si="228"/>
        <v/>
      </c>
      <c r="DJ140" s="1" t="str">
        <f t="shared" si="229"/>
        <v/>
      </c>
      <c r="DK140" s="1" t="str">
        <f t="shared" si="101"/>
        <v/>
      </c>
      <c r="DL140" s="1" t="str">
        <f t="shared" si="102"/>
        <v/>
      </c>
      <c r="DM140" s="1" t="str">
        <f t="shared" si="103"/>
        <v/>
      </c>
    </row>
    <row r="141" customHeight="1" spans="1:117">
      <c r="A141" s="152" t="str">
        <f t="shared" si="233"/>
        <v/>
      </c>
      <c r="C141" s="55" t="str">
        <f t="shared" si="5"/>
        <v/>
      </c>
      <c r="D141" s="150" t="str">
        <f t="shared" si="6"/>
        <v/>
      </c>
      <c r="E141" s="151" t="str">
        <f t="shared" si="180"/>
        <v/>
      </c>
      <c r="F141" s="151" t="str">
        <f t="shared" si="181"/>
        <v/>
      </c>
      <c r="G141" s="151" t="str">
        <f t="shared" si="182"/>
        <v/>
      </c>
      <c r="H141" s="151" t="str">
        <f t="shared" si="183"/>
        <v/>
      </c>
      <c r="I141" s="151" t="str">
        <f t="shared" si="184"/>
        <v/>
      </c>
      <c r="J141" s="171" t="str">
        <f t="shared" si="185"/>
        <v/>
      </c>
      <c r="K141" s="172" t="str">
        <f t="shared" si="234"/>
        <v/>
      </c>
      <c r="L141" s="172" t="str">
        <f t="shared" si="235"/>
        <v/>
      </c>
      <c r="M141" s="173" t="str">
        <f t="shared" si="236"/>
        <v/>
      </c>
      <c r="N141" s="54" t="str">
        <f t="shared" si="186"/>
        <v/>
      </c>
      <c r="O141" s="55" t="str">
        <f t="shared" si="187"/>
        <v/>
      </c>
      <c r="P141" s="55" t="str">
        <f t="shared" si="15"/>
        <v/>
      </c>
      <c r="Q141" s="56" t="str">
        <f t="shared" si="188"/>
        <v/>
      </c>
      <c r="R141" s="56" t="str">
        <f t="shared" si="189"/>
        <v/>
      </c>
      <c r="S141" s="56" t="str">
        <f t="shared" si="190"/>
        <v/>
      </c>
      <c r="T141" s="56" t="str">
        <f t="shared" si="191"/>
        <v/>
      </c>
      <c r="U141" s="180" t="str">
        <f t="shared" si="192"/>
        <v/>
      </c>
      <c r="V141" s="55" t="str">
        <f t="shared" si="193"/>
        <v/>
      </c>
      <c r="W141" s="55" t="str">
        <f t="shared" si="194"/>
        <v/>
      </c>
      <c r="X141" s="56" t="str">
        <f t="shared" si="195"/>
        <v/>
      </c>
      <c r="Y141" s="180" t="str">
        <f t="shared" si="196"/>
        <v/>
      </c>
      <c r="Z141" s="55" t="str">
        <f t="shared" si="197"/>
        <v/>
      </c>
      <c r="AA141" s="55" t="str">
        <f t="shared" si="198"/>
        <v/>
      </c>
      <c r="AB141" s="150" t="str">
        <f t="shared" si="199"/>
        <v/>
      </c>
      <c r="AC141" s="188">
        <v>132</v>
      </c>
      <c r="AD141" s="1" t="b">
        <f t="shared" si="28"/>
        <v>0</v>
      </c>
      <c r="AE141" s="1" t="str">
        <f t="shared" si="29"/>
        <v/>
      </c>
      <c r="AF141" s="1" t="str">
        <f t="shared" si="30"/>
        <v/>
      </c>
      <c r="AG141" s="1" t="str">
        <f t="shared" si="31"/>
        <v/>
      </c>
      <c r="AH141" s="1" t="str">
        <f t="shared" si="200"/>
        <v/>
      </c>
      <c r="AI141" s="1" t="str">
        <f t="shared" si="33"/>
        <v/>
      </c>
      <c r="AJ141" s="191" t="str">
        <f t="shared" si="231"/>
        <v/>
      </c>
      <c r="AK141" s="191" t="str">
        <f t="shared" si="232"/>
        <v/>
      </c>
      <c r="AL141" s="191" t="str">
        <f t="shared" si="201"/>
        <v/>
      </c>
      <c r="AM141" s="1" t="str">
        <f t="shared" si="202"/>
        <v/>
      </c>
      <c r="AN141" s="191" t="str">
        <f t="shared" si="203"/>
        <v/>
      </c>
      <c r="AO141" s="134" t="str">
        <f t="shared" si="204"/>
        <v/>
      </c>
      <c r="AP141" s="64" t="str">
        <f t="shared" si="38"/>
        <v/>
      </c>
      <c r="AQ141" s="1" t="str">
        <f t="shared" si="230"/>
        <v/>
      </c>
      <c r="AR141" s="1" t="str">
        <f t="shared" si="205"/>
        <v/>
      </c>
      <c r="AS141" s="1" t="str">
        <f t="shared" si="206"/>
        <v/>
      </c>
      <c r="AT141" s="134" t="str">
        <f t="shared" si="207"/>
        <v/>
      </c>
      <c r="AU141" s="64" t="str">
        <f t="shared" si="208"/>
        <v/>
      </c>
      <c r="AV141" s="65" t="str">
        <f t="shared" si="209"/>
        <v/>
      </c>
      <c r="AW141" s="65" t="str">
        <f t="shared" si="210"/>
        <v/>
      </c>
      <c r="AX141" s="1" t="str">
        <f t="shared" si="211"/>
        <v/>
      </c>
      <c r="AY141" s="1" t="str">
        <f t="shared" si="212"/>
        <v/>
      </c>
      <c r="AZ141" s="131" t="str">
        <f t="shared" si="213"/>
        <v/>
      </c>
      <c r="BA141" s="1" t="str">
        <f t="shared" si="214"/>
        <v/>
      </c>
      <c r="BB141" s="1" t="str">
        <f t="shared" si="49"/>
        <v/>
      </c>
      <c r="BC141" s="1" t="str">
        <f t="shared" si="50"/>
        <v/>
      </c>
      <c r="BD141" s="1" t="str">
        <f t="shared" si="215"/>
        <v/>
      </c>
      <c r="BE141" s="1" t="str">
        <f t="shared" si="216"/>
        <v/>
      </c>
      <c r="BF141" s="1" t="str">
        <f t="shared" si="53"/>
        <v/>
      </c>
      <c r="BG141" s="1" t="str">
        <f t="shared" si="217"/>
        <v/>
      </c>
      <c r="BH141" s="1" t="str">
        <f t="shared" si="218"/>
        <v/>
      </c>
      <c r="BI141" s="1" t="str">
        <f t="shared" si="219"/>
        <v/>
      </c>
      <c r="BJ141" s="1" t="str">
        <f t="shared" si="220"/>
        <v/>
      </c>
      <c r="BK141" s="1" t="str">
        <f t="shared" si="221"/>
        <v/>
      </c>
      <c r="BL141" s="1" t="str">
        <f t="shared" si="222"/>
        <v/>
      </c>
      <c r="BM141" s="1" t="str">
        <f t="shared" si="223"/>
        <v/>
      </c>
      <c r="BN141" s="1" t="str">
        <f t="shared" si="224"/>
        <v/>
      </c>
      <c r="BO141" s="1" t="str">
        <f t="shared" si="225"/>
        <v/>
      </c>
      <c r="BQ141" s="1" t="str">
        <f t="shared" si="63"/>
        <v/>
      </c>
      <c r="BR141" s="1" t="str">
        <f t="shared" si="64"/>
        <v/>
      </c>
      <c r="BS141" s="1" t="str">
        <f t="shared" si="65"/>
        <v/>
      </c>
      <c r="BT141" s="1" t="str">
        <f t="shared" si="66"/>
        <v/>
      </c>
      <c r="BU141" s="1" t="str">
        <f t="shared" si="67"/>
        <v/>
      </c>
      <c r="BV141" s="1" t="str">
        <f t="shared" si="68"/>
        <v/>
      </c>
      <c r="BW141" s="1" t="str">
        <f t="shared" si="69"/>
        <v/>
      </c>
      <c r="BX141" s="1" t="str">
        <f t="shared" si="70"/>
        <v/>
      </c>
      <c r="BY141" s="1" t="str">
        <f t="shared" si="226"/>
        <v/>
      </c>
      <c r="BZ141" s="1" t="str">
        <f t="shared" si="72"/>
        <v/>
      </c>
      <c r="CA141" s="1" t="str">
        <f t="shared" si="73"/>
        <v/>
      </c>
      <c r="CB141" s="1" t="str">
        <f t="shared" si="74"/>
        <v/>
      </c>
      <c r="CC141" s="1" t="str">
        <f t="shared" si="75"/>
        <v/>
      </c>
      <c r="CD141" s="1" t="str">
        <f t="shared" si="227"/>
        <v/>
      </c>
      <c r="CE141" s="1" t="str">
        <f t="shared" si="77"/>
        <v/>
      </c>
      <c r="CF141" s="1" t="str">
        <f t="shared" si="78"/>
        <v/>
      </c>
      <c r="CG141" s="1" t="str">
        <f t="shared" si="79"/>
        <v/>
      </c>
      <c r="CH141" s="1" t="str">
        <f t="shared" si="80"/>
        <v/>
      </c>
      <c r="CJ141" s="1" t="str">
        <f t="shared" si="81"/>
        <v/>
      </c>
      <c r="CK141" s="1" t="str">
        <f t="shared" si="82"/>
        <v/>
      </c>
      <c r="CL141" s="1" t="str">
        <f t="shared" si="83"/>
        <v/>
      </c>
      <c r="CM141" s="1" t="str">
        <f t="shared" si="84"/>
        <v/>
      </c>
      <c r="CN141" s="1" t="str">
        <f t="shared" si="85"/>
        <v/>
      </c>
      <c r="CO141" s="1" t="str">
        <f t="shared" si="86"/>
        <v/>
      </c>
      <c r="CP141" s="1" t="str">
        <f t="shared" si="87"/>
        <v/>
      </c>
      <c r="CR141" s="1" t="str">
        <f t="shared" si="88"/>
        <v/>
      </c>
      <c r="CS141" s="1" t="str">
        <f t="shared" si="89"/>
        <v/>
      </c>
      <c r="CT141" s="1" t="str">
        <f t="shared" si="90"/>
        <v/>
      </c>
      <c r="CU141" s="1" t="str">
        <f t="shared" si="91"/>
        <v/>
      </c>
      <c r="CV141" s="1" t="str">
        <f t="shared" si="92"/>
        <v/>
      </c>
      <c r="DC141" s="154" t="e">
        <f t="shared" si="93"/>
        <v>#VALUE!</v>
      </c>
      <c r="DD141" s="154" t="str">
        <f t="shared" si="94"/>
        <v/>
      </c>
      <c r="DE141" s="154" t="str">
        <f t="shared" si="95"/>
        <v/>
      </c>
      <c r="DF141" s="1" t="str">
        <f t="shared" si="96"/>
        <v/>
      </c>
      <c r="DG141" s="1" t="str">
        <f t="shared" si="97"/>
        <v/>
      </c>
      <c r="DH141" s="1" t="str">
        <f t="shared" si="98"/>
        <v/>
      </c>
      <c r="DI141" s="1" t="str">
        <f t="shared" si="228"/>
        <v/>
      </c>
      <c r="DJ141" s="1" t="str">
        <f t="shared" si="229"/>
        <v/>
      </c>
      <c r="DK141" s="1" t="str">
        <f t="shared" si="101"/>
        <v/>
      </c>
      <c r="DL141" s="1" t="str">
        <f t="shared" si="102"/>
        <v/>
      </c>
      <c r="DM141" s="1" t="str">
        <f t="shared" si="103"/>
        <v/>
      </c>
    </row>
    <row r="142" customHeight="1" spans="1:117">
      <c r="A142" s="152" t="str">
        <f t="shared" si="233"/>
        <v/>
      </c>
      <c r="C142" s="55" t="str">
        <f t="shared" si="5"/>
        <v/>
      </c>
      <c r="D142" s="150" t="str">
        <f t="shared" si="6"/>
        <v/>
      </c>
      <c r="E142" s="151" t="str">
        <f t="shared" si="180"/>
        <v/>
      </c>
      <c r="F142" s="151" t="str">
        <f t="shared" si="181"/>
        <v/>
      </c>
      <c r="G142" s="151" t="str">
        <f t="shared" si="182"/>
        <v/>
      </c>
      <c r="H142" s="151" t="str">
        <f t="shared" si="183"/>
        <v/>
      </c>
      <c r="I142" s="151" t="str">
        <f t="shared" si="184"/>
        <v/>
      </c>
      <c r="J142" s="171" t="str">
        <f t="shared" si="185"/>
        <v/>
      </c>
      <c r="K142" s="172" t="str">
        <f t="shared" si="234"/>
        <v/>
      </c>
      <c r="L142" s="172" t="str">
        <f t="shared" si="235"/>
        <v/>
      </c>
      <c r="M142" s="173" t="str">
        <f t="shared" si="236"/>
        <v/>
      </c>
      <c r="N142" s="54" t="str">
        <f t="shared" si="186"/>
        <v/>
      </c>
      <c r="O142" s="55" t="str">
        <f t="shared" si="187"/>
        <v/>
      </c>
      <c r="P142" s="55" t="str">
        <f t="shared" si="15"/>
        <v/>
      </c>
      <c r="Q142" s="56" t="str">
        <f t="shared" si="188"/>
        <v/>
      </c>
      <c r="R142" s="56" t="str">
        <f t="shared" si="189"/>
        <v/>
      </c>
      <c r="S142" s="56" t="str">
        <f t="shared" si="190"/>
        <v/>
      </c>
      <c r="T142" s="56" t="str">
        <f t="shared" si="191"/>
        <v/>
      </c>
      <c r="U142" s="180" t="str">
        <f t="shared" si="192"/>
        <v/>
      </c>
      <c r="V142" s="55" t="str">
        <f t="shared" si="193"/>
        <v/>
      </c>
      <c r="W142" s="55" t="str">
        <f t="shared" si="194"/>
        <v/>
      </c>
      <c r="X142" s="56" t="str">
        <f t="shared" si="195"/>
        <v/>
      </c>
      <c r="Y142" s="180" t="str">
        <f t="shared" si="196"/>
        <v/>
      </c>
      <c r="Z142" s="55" t="str">
        <f t="shared" si="197"/>
        <v/>
      </c>
      <c r="AA142" s="55" t="str">
        <f t="shared" si="198"/>
        <v/>
      </c>
      <c r="AB142" s="150" t="str">
        <f t="shared" si="199"/>
        <v/>
      </c>
      <c r="AC142" s="188">
        <v>133</v>
      </c>
      <c r="AD142" s="1" t="b">
        <f t="shared" si="28"/>
        <v>0</v>
      </c>
      <c r="AE142" s="1" t="str">
        <f t="shared" si="29"/>
        <v/>
      </c>
      <c r="AF142" s="1" t="str">
        <f t="shared" si="30"/>
        <v/>
      </c>
      <c r="AG142" s="1" t="str">
        <f t="shared" si="31"/>
        <v/>
      </c>
      <c r="AH142" s="1" t="str">
        <f t="shared" si="200"/>
        <v/>
      </c>
      <c r="AI142" s="1" t="str">
        <f t="shared" si="33"/>
        <v/>
      </c>
      <c r="AJ142" s="191" t="str">
        <f t="shared" si="231"/>
        <v/>
      </c>
      <c r="AK142" s="191" t="str">
        <f t="shared" si="232"/>
        <v/>
      </c>
      <c r="AL142" s="191" t="str">
        <f t="shared" si="201"/>
        <v/>
      </c>
      <c r="AM142" s="1" t="str">
        <f t="shared" si="202"/>
        <v/>
      </c>
      <c r="AN142" s="191" t="str">
        <f t="shared" si="203"/>
        <v/>
      </c>
      <c r="AO142" s="134" t="str">
        <f t="shared" si="204"/>
        <v/>
      </c>
      <c r="AP142" s="64" t="str">
        <f t="shared" si="38"/>
        <v/>
      </c>
      <c r="AQ142" s="1" t="str">
        <f t="shared" si="230"/>
        <v/>
      </c>
      <c r="AR142" s="1" t="str">
        <f t="shared" si="205"/>
        <v/>
      </c>
      <c r="AS142" s="1" t="str">
        <f t="shared" si="206"/>
        <v/>
      </c>
      <c r="AT142" s="134" t="str">
        <f t="shared" si="207"/>
        <v/>
      </c>
      <c r="AU142" s="64" t="str">
        <f t="shared" si="208"/>
        <v/>
      </c>
      <c r="AV142" s="65" t="str">
        <f t="shared" si="209"/>
        <v/>
      </c>
      <c r="AW142" s="65" t="str">
        <f t="shared" si="210"/>
        <v/>
      </c>
      <c r="AX142" s="1" t="str">
        <f t="shared" si="211"/>
        <v/>
      </c>
      <c r="AY142" s="1" t="str">
        <f t="shared" si="212"/>
        <v/>
      </c>
      <c r="AZ142" s="131" t="str">
        <f t="shared" si="213"/>
        <v/>
      </c>
      <c r="BA142" s="1" t="str">
        <f t="shared" si="214"/>
        <v/>
      </c>
      <c r="BB142" s="1" t="str">
        <f t="shared" si="49"/>
        <v/>
      </c>
      <c r="BC142" s="1" t="str">
        <f t="shared" si="50"/>
        <v/>
      </c>
      <c r="BD142" s="1" t="str">
        <f t="shared" si="215"/>
        <v/>
      </c>
      <c r="BE142" s="1" t="str">
        <f t="shared" si="216"/>
        <v/>
      </c>
      <c r="BF142" s="1" t="str">
        <f t="shared" si="53"/>
        <v/>
      </c>
      <c r="BG142" s="1" t="str">
        <f t="shared" si="217"/>
        <v/>
      </c>
      <c r="BH142" s="1" t="str">
        <f t="shared" si="218"/>
        <v/>
      </c>
      <c r="BI142" s="1" t="str">
        <f t="shared" si="219"/>
        <v/>
      </c>
      <c r="BJ142" s="1" t="str">
        <f t="shared" si="220"/>
        <v/>
      </c>
      <c r="BK142" s="1" t="str">
        <f t="shared" si="221"/>
        <v/>
      </c>
      <c r="BL142" s="1" t="str">
        <f t="shared" si="222"/>
        <v/>
      </c>
      <c r="BM142" s="1" t="str">
        <f t="shared" si="223"/>
        <v/>
      </c>
      <c r="BN142" s="1" t="str">
        <f t="shared" si="224"/>
        <v/>
      </c>
      <c r="BO142" s="1" t="str">
        <f t="shared" si="225"/>
        <v/>
      </c>
      <c r="BQ142" s="1" t="str">
        <f t="shared" si="63"/>
        <v/>
      </c>
      <c r="BR142" s="1" t="str">
        <f t="shared" si="64"/>
        <v/>
      </c>
      <c r="BS142" s="1" t="str">
        <f t="shared" si="65"/>
        <v/>
      </c>
      <c r="BT142" s="1" t="str">
        <f t="shared" si="66"/>
        <v/>
      </c>
      <c r="BU142" s="1" t="str">
        <f t="shared" si="67"/>
        <v/>
      </c>
      <c r="BV142" s="1" t="str">
        <f t="shared" si="68"/>
        <v/>
      </c>
      <c r="BW142" s="1" t="str">
        <f t="shared" si="69"/>
        <v/>
      </c>
      <c r="BX142" s="1" t="str">
        <f t="shared" si="70"/>
        <v/>
      </c>
      <c r="BY142" s="1" t="str">
        <f t="shared" si="226"/>
        <v/>
      </c>
      <c r="BZ142" s="1" t="str">
        <f t="shared" si="72"/>
        <v/>
      </c>
      <c r="CA142" s="1" t="str">
        <f t="shared" si="73"/>
        <v/>
      </c>
      <c r="CB142" s="1" t="str">
        <f t="shared" si="74"/>
        <v/>
      </c>
      <c r="CC142" s="1" t="str">
        <f t="shared" si="75"/>
        <v/>
      </c>
      <c r="CD142" s="1" t="str">
        <f t="shared" si="227"/>
        <v/>
      </c>
      <c r="CE142" s="1" t="str">
        <f t="shared" si="77"/>
        <v/>
      </c>
      <c r="CF142" s="1" t="str">
        <f t="shared" si="78"/>
        <v/>
      </c>
      <c r="CG142" s="1" t="str">
        <f t="shared" si="79"/>
        <v/>
      </c>
      <c r="CH142" s="1" t="str">
        <f t="shared" si="80"/>
        <v/>
      </c>
      <c r="CJ142" s="1" t="str">
        <f t="shared" si="81"/>
        <v/>
      </c>
      <c r="CK142" s="1" t="str">
        <f t="shared" si="82"/>
        <v/>
      </c>
      <c r="CL142" s="1" t="str">
        <f t="shared" si="83"/>
        <v/>
      </c>
      <c r="CM142" s="1" t="str">
        <f t="shared" si="84"/>
        <v/>
      </c>
      <c r="CN142" s="1" t="str">
        <f t="shared" si="85"/>
        <v/>
      </c>
      <c r="CO142" s="1" t="str">
        <f t="shared" si="86"/>
        <v/>
      </c>
      <c r="CP142" s="1" t="str">
        <f t="shared" si="87"/>
        <v/>
      </c>
      <c r="CR142" s="1" t="str">
        <f t="shared" si="88"/>
        <v/>
      </c>
      <c r="CS142" s="1" t="str">
        <f t="shared" si="89"/>
        <v/>
      </c>
      <c r="CT142" s="1" t="str">
        <f t="shared" si="90"/>
        <v/>
      </c>
      <c r="CU142" s="1" t="str">
        <f t="shared" si="91"/>
        <v/>
      </c>
      <c r="CV142" s="1" t="str">
        <f t="shared" si="92"/>
        <v/>
      </c>
      <c r="DC142" s="154" t="e">
        <f t="shared" si="93"/>
        <v>#VALUE!</v>
      </c>
      <c r="DD142" s="154" t="str">
        <f t="shared" si="94"/>
        <v/>
      </c>
      <c r="DE142" s="154" t="str">
        <f t="shared" si="95"/>
        <v/>
      </c>
      <c r="DF142" s="1" t="str">
        <f t="shared" si="96"/>
        <v/>
      </c>
      <c r="DG142" s="1" t="str">
        <f t="shared" si="97"/>
        <v/>
      </c>
      <c r="DH142" s="1" t="str">
        <f t="shared" si="98"/>
        <v/>
      </c>
      <c r="DI142" s="1" t="str">
        <f t="shared" si="228"/>
        <v/>
      </c>
      <c r="DJ142" s="1" t="str">
        <f t="shared" si="229"/>
        <v/>
      </c>
      <c r="DK142" s="1" t="str">
        <f t="shared" si="101"/>
        <v/>
      </c>
      <c r="DL142" s="1" t="str">
        <f t="shared" si="102"/>
        <v/>
      </c>
      <c r="DM142" s="1" t="str">
        <f t="shared" si="103"/>
        <v/>
      </c>
    </row>
    <row r="143" customHeight="1" spans="1:117">
      <c r="A143" s="152" t="str">
        <f t="shared" si="233"/>
        <v/>
      </c>
      <c r="C143" s="55" t="str">
        <f t="shared" si="5"/>
        <v/>
      </c>
      <c r="D143" s="150" t="str">
        <f t="shared" si="6"/>
        <v/>
      </c>
      <c r="E143" s="151" t="str">
        <f t="shared" si="180"/>
        <v/>
      </c>
      <c r="F143" s="151" t="str">
        <f t="shared" si="181"/>
        <v/>
      </c>
      <c r="G143" s="151" t="str">
        <f t="shared" si="182"/>
        <v/>
      </c>
      <c r="H143" s="151" t="str">
        <f t="shared" si="183"/>
        <v/>
      </c>
      <c r="I143" s="151" t="str">
        <f t="shared" si="184"/>
        <v/>
      </c>
      <c r="J143" s="171" t="str">
        <f t="shared" si="185"/>
        <v/>
      </c>
      <c r="K143" s="172" t="str">
        <f t="shared" si="234"/>
        <v/>
      </c>
      <c r="L143" s="172" t="str">
        <f t="shared" si="235"/>
        <v/>
      </c>
      <c r="M143" s="173" t="str">
        <f t="shared" si="236"/>
        <v/>
      </c>
      <c r="N143" s="54" t="str">
        <f t="shared" si="186"/>
        <v/>
      </c>
      <c r="O143" s="55" t="str">
        <f t="shared" si="187"/>
        <v/>
      </c>
      <c r="P143" s="55" t="str">
        <f t="shared" si="15"/>
        <v/>
      </c>
      <c r="Q143" s="56" t="str">
        <f t="shared" si="188"/>
        <v/>
      </c>
      <c r="R143" s="56" t="str">
        <f t="shared" si="189"/>
        <v/>
      </c>
      <c r="S143" s="56" t="str">
        <f t="shared" si="190"/>
        <v/>
      </c>
      <c r="T143" s="56" t="str">
        <f t="shared" si="191"/>
        <v/>
      </c>
      <c r="U143" s="180" t="str">
        <f t="shared" si="192"/>
        <v/>
      </c>
      <c r="V143" s="55" t="str">
        <f t="shared" si="193"/>
        <v/>
      </c>
      <c r="W143" s="55" t="str">
        <f t="shared" si="194"/>
        <v/>
      </c>
      <c r="X143" s="56" t="str">
        <f t="shared" si="195"/>
        <v/>
      </c>
      <c r="Y143" s="180" t="str">
        <f t="shared" si="196"/>
        <v/>
      </c>
      <c r="Z143" s="55" t="str">
        <f t="shared" si="197"/>
        <v/>
      </c>
      <c r="AA143" s="55" t="str">
        <f t="shared" si="198"/>
        <v/>
      </c>
      <c r="AB143" s="150" t="str">
        <f t="shared" si="199"/>
        <v/>
      </c>
      <c r="AC143" s="188">
        <v>134</v>
      </c>
      <c r="AD143" s="1" t="b">
        <f t="shared" si="28"/>
        <v>0</v>
      </c>
      <c r="AE143" s="1" t="str">
        <f t="shared" si="29"/>
        <v/>
      </c>
      <c r="AF143" s="1" t="str">
        <f t="shared" si="30"/>
        <v/>
      </c>
      <c r="AG143" s="1" t="str">
        <f t="shared" si="31"/>
        <v/>
      </c>
      <c r="AH143" s="1" t="str">
        <f t="shared" si="200"/>
        <v/>
      </c>
      <c r="AI143" s="1" t="str">
        <f t="shared" si="33"/>
        <v/>
      </c>
      <c r="AJ143" s="191" t="str">
        <f t="shared" si="231"/>
        <v/>
      </c>
      <c r="AK143" s="191" t="str">
        <f t="shared" si="232"/>
        <v/>
      </c>
      <c r="AL143" s="191" t="str">
        <f t="shared" si="201"/>
        <v/>
      </c>
      <c r="AM143" s="1" t="str">
        <f t="shared" si="202"/>
        <v/>
      </c>
      <c r="AN143" s="191" t="str">
        <f t="shared" si="203"/>
        <v/>
      </c>
      <c r="AO143" s="134" t="str">
        <f t="shared" si="204"/>
        <v/>
      </c>
      <c r="AP143" s="64" t="str">
        <f t="shared" si="38"/>
        <v/>
      </c>
      <c r="AQ143" s="1" t="str">
        <f t="shared" si="230"/>
        <v/>
      </c>
      <c r="AR143" s="1" t="str">
        <f t="shared" si="205"/>
        <v/>
      </c>
      <c r="AS143" s="1" t="str">
        <f t="shared" si="206"/>
        <v/>
      </c>
      <c r="AT143" s="134" t="str">
        <f t="shared" si="207"/>
        <v/>
      </c>
      <c r="AU143" s="64" t="str">
        <f t="shared" si="208"/>
        <v/>
      </c>
      <c r="AV143" s="65" t="str">
        <f t="shared" si="209"/>
        <v/>
      </c>
      <c r="AW143" s="65" t="str">
        <f t="shared" si="210"/>
        <v/>
      </c>
      <c r="AX143" s="1" t="str">
        <f t="shared" si="211"/>
        <v/>
      </c>
      <c r="AY143" s="1" t="str">
        <f t="shared" si="212"/>
        <v/>
      </c>
      <c r="AZ143" s="131" t="str">
        <f t="shared" si="213"/>
        <v/>
      </c>
      <c r="BA143" s="1" t="str">
        <f t="shared" si="214"/>
        <v/>
      </c>
      <c r="BB143" s="1" t="str">
        <f t="shared" si="49"/>
        <v/>
      </c>
      <c r="BC143" s="1" t="str">
        <f t="shared" si="50"/>
        <v/>
      </c>
      <c r="BD143" s="1" t="str">
        <f t="shared" si="215"/>
        <v/>
      </c>
      <c r="BE143" s="1" t="str">
        <f t="shared" si="216"/>
        <v/>
      </c>
      <c r="BF143" s="1" t="str">
        <f t="shared" si="53"/>
        <v/>
      </c>
      <c r="BG143" s="1" t="str">
        <f t="shared" si="217"/>
        <v/>
      </c>
      <c r="BH143" s="1" t="str">
        <f t="shared" si="218"/>
        <v/>
      </c>
      <c r="BI143" s="1" t="str">
        <f t="shared" si="219"/>
        <v/>
      </c>
      <c r="BJ143" s="1" t="str">
        <f t="shared" si="220"/>
        <v/>
      </c>
      <c r="BK143" s="1" t="str">
        <f t="shared" si="221"/>
        <v/>
      </c>
      <c r="BL143" s="1" t="str">
        <f t="shared" si="222"/>
        <v/>
      </c>
      <c r="BM143" s="1" t="str">
        <f t="shared" si="223"/>
        <v/>
      </c>
      <c r="BN143" s="1" t="str">
        <f t="shared" si="224"/>
        <v/>
      </c>
      <c r="BO143" s="1" t="str">
        <f t="shared" si="225"/>
        <v/>
      </c>
      <c r="BQ143" s="1" t="str">
        <f t="shared" si="63"/>
        <v/>
      </c>
      <c r="BR143" s="1" t="str">
        <f t="shared" si="64"/>
        <v/>
      </c>
      <c r="BS143" s="1" t="str">
        <f t="shared" si="65"/>
        <v/>
      </c>
      <c r="BT143" s="1" t="str">
        <f t="shared" si="66"/>
        <v/>
      </c>
      <c r="BU143" s="1" t="str">
        <f t="shared" si="67"/>
        <v/>
      </c>
      <c r="BV143" s="1" t="str">
        <f t="shared" si="68"/>
        <v/>
      </c>
      <c r="BW143" s="1" t="str">
        <f t="shared" si="69"/>
        <v/>
      </c>
      <c r="BX143" s="1" t="str">
        <f t="shared" si="70"/>
        <v/>
      </c>
      <c r="BY143" s="1" t="str">
        <f t="shared" si="226"/>
        <v/>
      </c>
      <c r="BZ143" s="1" t="str">
        <f t="shared" si="72"/>
        <v/>
      </c>
      <c r="CA143" s="1" t="str">
        <f t="shared" si="73"/>
        <v/>
      </c>
      <c r="CB143" s="1" t="str">
        <f t="shared" si="74"/>
        <v/>
      </c>
      <c r="CC143" s="1" t="str">
        <f t="shared" si="75"/>
        <v/>
      </c>
      <c r="CD143" s="1" t="str">
        <f t="shared" si="227"/>
        <v/>
      </c>
      <c r="CE143" s="1" t="str">
        <f t="shared" si="77"/>
        <v/>
      </c>
      <c r="CF143" s="1" t="str">
        <f t="shared" si="78"/>
        <v/>
      </c>
      <c r="CG143" s="1" t="str">
        <f t="shared" si="79"/>
        <v/>
      </c>
      <c r="CH143" s="1" t="str">
        <f t="shared" si="80"/>
        <v/>
      </c>
      <c r="CJ143" s="1" t="str">
        <f t="shared" si="81"/>
        <v/>
      </c>
      <c r="CK143" s="1" t="str">
        <f t="shared" si="82"/>
        <v/>
      </c>
      <c r="CL143" s="1" t="str">
        <f t="shared" si="83"/>
        <v/>
      </c>
      <c r="CM143" s="1" t="str">
        <f t="shared" si="84"/>
        <v/>
      </c>
      <c r="CN143" s="1" t="str">
        <f t="shared" si="85"/>
        <v/>
      </c>
      <c r="CO143" s="1" t="str">
        <f t="shared" si="86"/>
        <v/>
      </c>
      <c r="CP143" s="1" t="str">
        <f t="shared" si="87"/>
        <v/>
      </c>
      <c r="CR143" s="1" t="str">
        <f t="shared" si="88"/>
        <v/>
      </c>
      <c r="CS143" s="1" t="str">
        <f t="shared" si="89"/>
        <v/>
      </c>
      <c r="CT143" s="1" t="str">
        <f t="shared" si="90"/>
        <v/>
      </c>
      <c r="CU143" s="1" t="str">
        <f t="shared" si="91"/>
        <v/>
      </c>
      <c r="CV143" s="1" t="str">
        <f t="shared" si="92"/>
        <v/>
      </c>
      <c r="DC143" s="154" t="e">
        <f t="shared" si="93"/>
        <v>#VALUE!</v>
      </c>
      <c r="DD143" s="154" t="str">
        <f t="shared" si="94"/>
        <v/>
      </c>
      <c r="DE143" s="154" t="str">
        <f t="shared" si="95"/>
        <v/>
      </c>
      <c r="DF143" s="1" t="str">
        <f t="shared" si="96"/>
        <v/>
      </c>
      <c r="DG143" s="1" t="str">
        <f t="shared" si="97"/>
        <v/>
      </c>
      <c r="DH143" s="1" t="str">
        <f t="shared" si="98"/>
        <v/>
      </c>
      <c r="DI143" s="1" t="str">
        <f t="shared" si="228"/>
        <v/>
      </c>
      <c r="DJ143" s="1" t="str">
        <f t="shared" si="229"/>
        <v/>
      </c>
      <c r="DK143" s="1" t="str">
        <f t="shared" si="101"/>
        <v/>
      </c>
      <c r="DL143" s="1" t="str">
        <f t="shared" si="102"/>
        <v/>
      </c>
      <c r="DM143" s="1" t="str">
        <f t="shared" si="103"/>
        <v/>
      </c>
    </row>
    <row r="144" customHeight="1" spans="1:117">
      <c r="A144" s="152" t="str">
        <f t="shared" si="233"/>
        <v/>
      </c>
      <c r="C144" s="55" t="str">
        <f t="shared" si="5"/>
        <v/>
      </c>
      <c r="D144" s="150" t="str">
        <f t="shared" si="6"/>
        <v/>
      </c>
      <c r="E144" s="151" t="str">
        <f t="shared" si="180"/>
        <v/>
      </c>
      <c r="F144" s="151" t="str">
        <f t="shared" si="181"/>
        <v/>
      </c>
      <c r="G144" s="151" t="str">
        <f t="shared" si="182"/>
        <v/>
      </c>
      <c r="H144" s="151" t="str">
        <f t="shared" si="183"/>
        <v/>
      </c>
      <c r="I144" s="151" t="str">
        <f t="shared" si="184"/>
        <v/>
      </c>
      <c r="J144" s="171" t="str">
        <f t="shared" si="185"/>
        <v/>
      </c>
      <c r="K144" s="172" t="str">
        <f t="shared" si="234"/>
        <v/>
      </c>
      <c r="L144" s="172" t="str">
        <f t="shared" si="235"/>
        <v/>
      </c>
      <c r="M144" s="173" t="str">
        <f t="shared" si="236"/>
        <v/>
      </c>
      <c r="N144" s="54" t="str">
        <f t="shared" si="186"/>
        <v/>
      </c>
      <c r="O144" s="55" t="str">
        <f t="shared" si="187"/>
        <v/>
      </c>
      <c r="P144" s="55" t="str">
        <f t="shared" si="15"/>
        <v/>
      </c>
      <c r="Q144" s="56" t="str">
        <f t="shared" si="188"/>
        <v/>
      </c>
      <c r="R144" s="56" t="str">
        <f t="shared" si="189"/>
        <v/>
      </c>
      <c r="S144" s="56" t="str">
        <f t="shared" si="190"/>
        <v/>
      </c>
      <c r="T144" s="56" t="str">
        <f t="shared" si="191"/>
        <v/>
      </c>
      <c r="U144" s="180" t="str">
        <f t="shared" si="192"/>
        <v/>
      </c>
      <c r="V144" s="55" t="str">
        <f t="shared" si="193"/>
        <v/>
      </c>
      <c r="W144" s="55" t="str">
        <f t="shared" si="194"/>
        <v/>
      </c>
      <c r="X144" s="56" t="str">
        <f t="shared" si="195"/>
        <v/>
      </c>
      <c r="Y144" s="180" t="str">
        <f t="shared" si="196"/>
        <v/>
      </c>
      <c r="Z144" s="55" t="str">
        <f t="shared" si="197"/>
        <v/>
      </c>
      <c r="AA144" s="55" t="str">
        <f t="shared" si="198"/>
        <v/>
      </c>
      <c r="AB144" s="150" t="str">
        <f t="shared" si="199"/>
        <v/>
      </c>
      <c r="AC144" s="188">
        <v>135</v>
      </c>
      <c r="AD144" s="1" t="b">
        <f t="shared" si="28"/>
        <v>0</v>
      </c>
      <c r="AE144" s="1" t="str">
        <f t="shared" si="29"/>
        <v/>
      </c>
      <c r="AF144" s="1" t="str">
        <f t="shared" si="30"/>
        <v/>
      </c>
      <c r="AG144" s="1" t="str">
        <f t="shared" si="31"/>
        <v/>
      </c>
      <c r="AH144" s="1" t="str">
        <f t="shared" si="200"/>
        <v/>
      </c>
      <c r="AI144" s="1" t="str">
        <f t="shared" si="33"/>
        <v/>
      </c>
      <c r="AJ144" s="191" t="str">
        <f t="shared" si="231"/>
        <v/>
      </c>
      <c r="AK144" s="191" t="str">
        <f t="shared" si="232"/>
        <v/>
      </c>
      <c r="AL144" s="191" t="str">
        <f t="shared" si="201"/>
        <v/>
      </c>
      <c r="AM144" s="1" t="str">
        <f t="shared" si="202"/>
        <v/>
      </c>
      <c r="AN144" s="191" t="str">
        <f t="shared" si="203"/>
        <v/>
      </c>
      <c r="AO144" s="134" t="str">
        <f t="shared" si="204"/>
        <v/>
      </c>
      <c r="AP144" s="64" t="str">
        <f t="shared" si="38"/>
        <v/>
      </c>
      <c r="AQ144" s="1" t="str">
        <f t="shared" si="230"/>
        <v/>
      </c>
      <c r="AR144" s="1" t="str">
        <f t="shared" si="205"/>
        <v/>
      </c>
      <c r="AS144" s="1" t="str">
        <f t="shared" si="206"/>
        <v/>
      </c>
      <c r="AT144" s="134" t="str">
        <f t="shared" si="207"/>
        <v/>
      </c>
      <c r="AU144" s="64" t="str">
        <f t="shared" si="208"/>
        <v/>
      </c>
      <c r="AV144" s="65" t="str">
        <f t="shared" si="209"/>
        <v/>
      </c>
      <c r="AW144" s="65" t="str">
        <f t="shared" si="210"/>
        <v/>
      </c>
      <c r="AX144" s="1" t="str">
        <f t="shared" si="211"/>
        <v/>
      </c>
      <c r="AY144" s="1" t="str">
        <f t="shared" si="212"/>
        <v/>
      </c>
      <c r="AZ144" s="131" t="str">
        <f t="shared" si="213"/>
        <v/>
      </c>
      <c r="BA144" s="1" t="str">
        <f t="shared" si="214"/>
        <v/>
      </c>
      <c r="BB144" s="1" t="str">
        <f t="shared" si="49"/>
        <v/>
      </c>
      <c r="BC144" s="1" t="str">
        <f t="shared" si="50"/>
        <v/>
      </c>
      <c r="BD144" s="1" t="str">
        <f t="shared" si="215"/>
        <v/>
      </c>
      <c r="BE144" s="1" t="str">
        <f t="shared" si="216"/>
        <v/>
      </c>
      <c r="BF144" s="1" t="str">
        <f t="shared" si="53"/>
        <v/>
      </c>
      <c r="BG144" s="1" t="str">
        <f t="shared" si="217"/>
        <v/>
      </c>
      <c r="BH144" s="1" t="str">
        <f t="shared" si="218"/>
        <v/>
      </c>
      <c r="BI144" s="1" t="str">
        <f t="shared" si="219"/>
        <v/>
      </c>
      <c r="BJ144" s="1" t="str">
        <f t="shared" si="220"/>
        <v/>
      </c>
      <c r="BK144" s="1" t="str">
        <f t="shared" si="221"/>
        <v/>
      </c>
      <c r="BL144" s="1" t="str">
        <f t="shared" si="222"/>
        <v/>
      </c>
      <c r="BM144" s="1" t="str">
        <f t="shared" si="223"/>
        <v/>
      </c>
      <c r="BN144" s="1" t="str">
        <f t="shared" si="224"/>
        <v/>
      </c>
      <c r="BO144" s="1" t="str">
        <f t="shared" si="225"/>
        <v/>
      </c>
      <c r="BQ144" s="1" t="str">
        <f t="shared" si="63"/>
        <v/>
      </c>
      <c r="BR144" s="1" t="str">
        <f t="shared" si="64"/>
        <v/>
      </c>
      <c r="BS144" s="1" t="str">
        <f t="shared" si="65"/>
        <v/>
      </c>
      <c r="BT144" s="1" t="str">
        <f t="shared" si="66"/>
        <v/>
      </c>
      <c r="BU144" s="1" t="str">
        <f t="shared" si="67"/>
        <v/>
      </c>
      <c r="BV144" s="1" t="str">
        <f t="shared" si="68"/>
        <v/>
      </c>
      <c r="BW144" s="1" t="str">
        <f t="shared" si="69"/>
        <v/>
      </c>
      <c r="BX144" s="1" t="str">
        <f t="shared" si="70"/>
        <v/>
      </c>
      <c r="BY144" s="1" t="str">
        <f t="shared" si="226"/>
        <v/>
      </c>
      <c r="BZ144" s="1" t="str">
        <f t="shared" si="72"/>
        <v/>
      </c>
      <c r="CA144" s="1" t="str">
        <f t="shared" si="73"/>
        <v/>
      </c>
      <c r="CB144" s="1" t="str">
        <f t="shared" si="74"/>
        <v/>
      </c>
      <c r="CC144" s="1" t="str">
        <f t="shared" si="75"/>
        <v/>
      </c>
      <c r="CD144" s="1" t="str">
        <f t="shared" si="227"/>
        <v/>
      </c>
      <c r="CE144" s="1" t="str">
        <f t="shared" si="77"/>
        <v/>
      </c>
      <c r="CF144" s="1" t="str">
        <f t="shared" si="78"/>
        <v/>
      </c>
      <c r="CG144" s="1" t="str">
        <f t="shared" si="79"/>
        <v/>
      </c>
      <c r="CH144" s="1" t="str">
        <f t="shared" si="80"/>
        <v/>
      </c>
      <c r="CJ144" s="1" t="str">
        <f t="shared" si="81"/>
        <v/>
      </c>
      <c r="CK144" s="1" t="str">
        <f t="shared" si="82"/>
        <v/>
      </c>
      <c r="CL144" s="1" t="str">
        <f t="shared" si="83"/>
        <v/>
      </c>
      <c r="CM144" s="1" t="str">
        <f t="shared" si="84"/>
        <v/>
      </c>
      <c r="CN144" s="1" t="str">
        <f t="shared" si="85"/>
        <v/>
      </c>
      <c r="CO144" s="1" t="str">
        <f t="shared" si="86"/>
        <v/>
      </c>
      <c r="CP144" s="1" t="str">
        <f t="shared" si="87"/>
        <v/>
      </c>
      <c r="CR144" s="1" t="str">
        <f t="shared" si="88"/>
        <v/>
      </c>
      <c r="CS144" s="1" t="str">
        <f t="shared" si="89"/>
        <v/>
      </c>
      <c r="CT144" s="1" t="str">
        <f t="shared" si="90"/>
        <v/>
      </c>
      <c r="CU144" s="1" t="str">
        <f t="shared" si="91"/>
        <v/>
      </c>
      <c r="CV144" s="1" t="str">
        <f t="shared" si="92"/>
        <v/>
      </c>
      <c r="DC144" s="154" t="e">
        <f t="shared" si="93"/>
        <v>#VALUE!</v>
      </c>
      <c r="DD144" s="154" t="str">
        <f t="shared" si="94"/>
        <v/>
      </c>
      <c r="DE144" s="154" t="str">
        <f t="shared" si="95"/>
        <v/>
      </c>
      <c r="DF144" s="1" t="str">
        <f t="shared" si="96"/>
        <v/>
      </c>
      <c r="DG144" s="1" t="str">
        <f t="shared" si="97"/>
        <v/>
      </c>
      <c r="DH144" s="1" t="str">
        <f t="shared" si="98"/>
        <v/>
      </c>
      <c r="DI144" s="1" t="str">
        <f t="shared" si="228"/>
        <v/>
      </c>
      <c r="DJ144" s="1" t="str">
        <f t="shared" si="229"/>
        <v/>
      </c>
      <c r="DK144" s="1" t="str">
        <f t="shared" si="101"/>
        <v/>
      </c>
      <c r="DL144" s="1" t="str">
        <f t="shared" si="102"/>
        <v/>
      </c>
      <c r="DM144" s="1" t="str">
        <f t="shared" si="103"/>
        <v/>
      </c>
    </row>
    <row r="145" customHeight="1" spans="1:117">
      <c r="A145" s="152" t="str">
        <f t="shared" si="233"/>
        <v/>
      </c>
      <c r="C145" s="55" t="str">
        <f t="shared" si="5"/>
        <v/>
      </c>
      <c r="D145" s="150" t="str">
        <f t="shared" si="6"/>
        <v/>
      </c>
      <c r="E145" s="151" t="str">
        <f t="shared" si="180"/>
        <v/>
      </c>
      <c r="F145" s="151" t="str">
        <f t="shared" si="181"/>
        <v/>
      </c>
      <c r="G145" s="151" t="str">
        <f t="shared" si="182"/>
        <v/>
      </c>
      <c r="H145" s="151" t="str">
        <f t="shared" si="183"/>
        <v/>
      </c>
      <c r="I145" s="151" t="str">
        <f t="shared" si="184"/>
        <v/>
      </c>
      <c r="J145" s="171" t="str">
        <f t="shared" si="185"/>
        <v/>
      </c>
      <c r="K145" s="172" t="str">
        <f t="shared" si="234"/>
        <v/>
      </c>
      <c r="L145" s="172" t="str">
        <f t="shared" si="235"/>
        <v/>
      </c>
      <c r="M145" s="173" t="str">
        <f t="shared" si="236"/>
        <v/>
      </c>
      <c r="N145" s="54" t="str">
        <f t="shared" si="186"/>
        <v/>
      </c>
      <c r="O145" s="55" t="str">
        <f t="shared" si="187"/>
        <v/>
      </c>
      <c r="P145" s="55" t="str">
        <f t="shared" si="15"/>
        <v/>
      </c>
      <c r="Q145" s="56" t="str">
        <f t="shared" si="188"/>
        <v/>
      </c>
      <c r="R145" s="56" t="str">
        <f t="shared" si="189"/>
        <v/>
      </c>
      <c r="S145" s="56" t="str">
        <f t="shared" si="190"/>
        <v/>
      </c>
      <c r="T145" s="56" t="str">
        <f t="shared" si="191"/>
        <v/>
      </c>
      <c r="U145" s="180" t="str">
        <f t="shared" si="192"/>
        <v/>
      </c>
      <c r="V145" s="55" t="str">
        <f t="shared" si="193"/>
        <v/>
      </c>
      <c r="W145" s="55" t="str">
        <f t="shared" si="194"/>
        <v/>
      </c>
      <c r="X145" s="56" t="str">
        <f t="shared" si="195"/>
        <v/>
      </c>
      <c r="Y145" s="180" t="str">
        <f t="shared" si="196"/>
        <v/>
      </c>
      <c r="Z145" s="55" t="str">
        <f t="shared" si="197"/>
        <v/>
      </c>
      <c r="AA145" s="55" t="str">
        <f t="shared" si="198"/>
        <v/>
      </c>
      <c r="AB145" s="150" t="str">
        <f t="shared" si="199"/>
        <v/>
      </c>
      <c r="AC145" s="188">
        <v>136</v>
      </c>
      <c r="AD145" s="1" t="b">
        <f t="shared" si="28"/>
        <v>0</v>
      </c>
      <c r="AE145" s="1" t="str">
        <f t="shared" si="29"/>
        <v/>
      </c>
      <c r="AF145" s="1" t="str">
        <f t="shared" si="30"/>
        <v/>
      </c>
      <c r="AG145" s="1" t="str">
        <f t="shared" si="31"/>
        <v/>
      </c>
      <c r="AH145" s="1" t="str">
        <f t="shared" si="200"/>
        <v/>
      </c>
      <c r="AI145" s="1" t="str">
        <f t="shared" si="33"/>
        <v/>
      </c>
      <c r="AJ145" s="191" t="str">
        <f t="shared" si="231"/>
        <v/>
      </c>
      <c r="AK145" s="191" t="str">
        <f t="shared" si="232"/>
        <v/>
      </c>
      <c r="AL145" s="191" t="str">
        <f t="shared" si="201"/>
        <v/>
      </c>
      <c r="AM145" s="1" t="str">
        <f t="shared" si="202"/>
        <v/>
      </c>
      <c r="AN145" s="191" t="str">
        <f t="shared" si="203"/>
        <v/>
      </c>
      <c r="AO145" s="134" t="str">
        <f t="shared" si="204"/>
        <v/>
      </c>
      <c r="AP145" s="64" t="str">
        <f t="shared" si="38"/>
        <v/>
      </c>
      <c r="AQ145" s="1" t="str">
        <f t="shared" si="230"/>
        <v/>
      </c>
      <c r="AR145" s="1" t="str">
        <f t="shared" si="205"/>
        <v/>
      </c>
      <c r="AS145" s="1" t="str">
        <f t="shared" si="206"/>
        <v/>
      </c>
      <c r="AT145" s="134" t="str">
        <f t="shared" si="207"/>
        <v/>
      </c>
      <c r="AU145" s="64" t="str">
        <f t="shared" si="208"/>
        <v/>
      </c>
      <c r="AV145" s="65" t="str">
        <f t="shared" si="209"/>
        <v/>
      </c>
      <c r="AW145" s="65" t="str">
        <f t="shared" si="210"/>
        <v/>
      </c>
      <c r="AX145" s="1" t="str">
        <f t="shared" si="211"/>
        <v/>
      </c>
      <c r="AY145" s="1" t="str">
        <f t="shared" si="212"/>
        <v/>
      </c>
      <c r="AZ145" s="131" t="str">
        <f t="shared" si="213"/>
        <v/>
      </c>
      <c r="BA145" s="1" t="str">
        <f t="shared" si="214"/>
        <v/>
      </c>
      <c r="BB145" s="1" t="str">
        <f t="shared" si="49"/>
        <v/>
      </c>
      <c r="BC145" s="1" t="str">
        <f t="shared" si="50"/>
        <v/>
      </c>
      <c r="BD145" s="1" t="str">
        <f t="shared" si="215"/>
        <v/>
      </c>
      <c r="BE145" s="1" t="str">
        <f t="shared" si="216"/>
        <v/>
      </c>
      <c r="BF145" s="1" t="str">
        <f t="shared" si="53"/>
        <v/>
      </c>
      <c r="BG145" s="1" t="str">
        <f t="shared" si="217"/>
        <v/>
      </c>
      <c r="BH145" s="1" t="str">
        <f t="shared" si="218"/>
        <v/>
      </c>
      <c r="BI145" s="1" t="str">
        <f t="shared" si="219"/>
        <v/>
      </c>
      <c r="BJ145" s="1" t="str">
        <f t="shared" si="220"/>
        <v/>
      </c>
      <c r="BK145" s="1" t="str">
        <f t="shared" si="221"/>
        <v/>
      </c>
      <c r="BL145" s="1" t="str">
        <f t="shared" si="222"/>
        <v/>
      </c>
      <c r="BM145" s="1" t="str">
        <f t="shared" si="223"/>
        <v/>
      </c>
      <c r="BN145" s="1" t="str">
        <f t="shared" si="224"/>
        <v/>
      </c>
      <c r="BO145" s="1" t="str">
        <f t="shared" si="225"/>
        <v/>
      </c>
      <c r="BQ145" s="1" t="str">
        <f t="shared" si="63"/>
        <v/>
      </c>
      <c r="BR145" s="1" t="str">
        <f t="shared" si="64"/>
        <v/>
      </c>
      <c r="BS145" s="1" t="str">
        <f t="shared" si="65"/>
        <v/>
      </c>
      <c r="BT145" s="1" t="str">
        <f t="shared" si="66"/>
        <v/>
      </c>
      <c r="BU145" s="1" t="str">
        <f t="shared" si="67"/>
        <v/>
      </c>
      <c r="BV145" s="1" t="str">
        <f t="shared" si="68"/>
        <v/>
      </c>
      <c r="BW145" s="1" t="str">
        <f t="shared" si="69"/>
        <v/>
      </c>
      <c r="BX145" s="1" t="str">
        <f t="shared" si="70"/>
        <v/>
      </c>
      <c r="BY145" s="1" t="str">
        <f t="shared" si="226"/>
        <v/>
      </c>
      <c r="BZ145" s="1" t="str">
        <f t="shared" si="72"/>
        <v/>
      </c>
      <c r="CA145" s="1" t="str">
        <f t="shared" si="73"/>
        <v/>
      </c>
      <c r="CB145" s="1" t="str">
        <f t="shared" si="74"/>
        <v/>
      </c>
      <c r="CC145" s="1" t="str">
        <f t="shared" si="75"/>
        <v/>
      </c>
      <c r="CD145" s="1" t="str">
        <f t="shared" si="227"/>
        <v/>
      </c>
      <c r="CE145" s="1" t="str">
        <f t="shared" si="77"/>
        <v/>
      </c>
      <c r="CF145" s="1" t="str">
        <f t="shared" si="78"/>
        <v/>
      </c>
      <c r="CG145" s="1" t="str">
        <f t="shared" si="79"/>
        <v/>
      </c>
      <c r="CH145" s="1" t="str">
        <f t="shared" si="80"/>
        <v/>
      </c>
      <c r="CJ145" s="1" t="str">
        <f t="shared" si="81"/>
        <v/>
      </c>
      <c r="CK145" s="1" t="str">
        <f t="shared" si="82"/>
        <v/>
      </c>
      <c r="CL145" s="1" t="str">
        <f t="shared" si="83"/>
        <v/>
      </c>
      <c r="CM145" s="1" t="str">
        <f t="shared" si="84"/>
        <v/>
      </c>
      <c r="CN145" s="1" t="str">
        <f t="shared" si="85"/>
        <v/>
      </c>
      <c r="CO145" s="1" t="str">
        <f t="shared" si="86"/>
        <v/>
      </c>
      <c r="CP145" s="1" t="str">
        <f t="shared" si="87"/>
        <v/>
      </c>
      <c r="CR145" s="1" t="str">
        <f t="shared" si="88"/>
        <v/>
      </c>
      <c r="CS145" s="1" t="str">
        <f t="shared" si="89"/>
        <v/>
      </c>
      <c r="CT145" s="1" t="str">
        <f t="shared" si="90"/>
        <v/>
      </c>
      <c r="CU145" s="1" t="str">
        <f t="shared" si="91"/>
        <v/>
      </c>
      <c r="CV145" s="1" t="str">
        <f t="shared" si="92"/>
        <v/>
      </c>
      <c r="DC145" s="154" t="e">
        <f t="shared" si="93"/>
        <v>#VALUE!</v>
      </c>
      <c r="DD145" s="154" t="str">
        <f t="shared" si="94"/>
        <v/>
      </c>
      <c r="DE145" s="154" t="str">
        <f t="shared" si="95"/>
        <v/>
      </c>
      <c r="DF145" s="1" t="str">
        <f t="shared" si="96"/>
        <v/>
      </c>
      <c r="DG145" s="1" t="str">
        <f t="shared" si="97"/>
        <v/>
      </c>
      <c r="DH145" s="1" t="str">
        <f t="shared" si="98"/>
        <v/>
      </c>
      <c r="DI145" s="1" t="str">
        <f t="shared" si="228"/>
        <v/>
      </c>
      <c r="DJ145" s="1" t="str">
        <f t="shared" si="229"/>
        <v/>
      </c>
      <c r="DK145" s="1" t="str">
        <f t="shared" si="101"/>
        <v/>
      </c>
      <c r="DL145" s="1" t="str">
        <f t="shared" si="102"/>
        <v/>
      </c>
      <c r="DM145" s="1" t="str">
        <f t="shared" si="103"/>
        <v/>
      </c>
    </row>
    <row r="146" customHeight="1" spans="1:117">
      <c r="A146" s="152" t="str">
        <f t="shared" si="233"/>
        <v/>
      </c>
      <c r="C146" s="55" t="str">
        <f t="shared" si="5"/>
        <v/>
      </c>
      <c r="D146" s="150" t="str">
        <f t="shared" si="6"/>
        <v/>
      </c>
      <c r="E146" s="151" t="str">
        <f t="shared" si="180"/>
        <v/>
      </c>
      <c r="F146" s="151" t="str">
        <f t="shared" si="181"/>
        <v/>
      </c>
      <c r="G146" s="151" t="str">
        <f t="shared" si="182"/>
        <v/>
      </c>
      <c r="H146" s="151" t="str">
        <f t="shared" si="183"/>
        <v/>
      </c>
      <c r="I146" s="151" t="str">
        <f t="shared" si="184"/>
        <v/>
      </c>
      <c r="J146" s="171" t="str">
        <f t="shared" si="185"/>
        <v/>
      </c>
      <c r="K146" s="172" t="str">
        <f t="shared" si="234"/>
        <v/>
      </c>
      <c r="L146" s="172" t="str">
        <f t="shared" si="235"/>
        <v/>
      </c>
      <c r="M146" s="173" t="str">
        <f t="shared" si="236"/>
        <v/>
      </c>
      <c r="N146" s="54" t="str">
        <f t="shared" si="186"/>
        <v/>
      </c>
      <c r="O146" s="55" t="str">
        <f t="shared" si="187"/>
        <v/>
      </c>
      <c r="P146" s="55" t="str">
        <f t="shared" si="15"/>
        <v/>
      </c>
      <c r="Q146" s="56" t="str">
        <f t="shared" si="188"/>
        <v/>
      </c>
      <c r="R146" s="56" t="str">
        <f t="shared" si="189"/>
        <v/>
      </c>
      <c r="S146" s="56" t="str">
        <f t="shared" si="190"/>
        <v/>
      </c>
      <c r="T146" s="56" t="str">
        <f t="shared" si="191"/>
        <v/>
      </c>
      <c r="U146" s="180" t="str">
        <f t="shared" si="192"/>
        <v/>
      </c>
      <c r="V146" s="55" t="str">
        <f t="shared" si="193"/>
        <v/>
      </c>
      <c r="W146" s="55" t="str">
        <f t="shared" si="194"/>
        <v/>
      </c>
      <c r="X146" s="56" t="str">
        <f t="shared" si="195"/>
        <v/>
      </c>
      <c r="Y146" s="180" t="str">
        <f t="shared" si="196"/>
        <v/>
      </c>
      <c r="Z146" s="55" t="str">
        <f t="shared" si="197"/>
        <v/>
      </c>
      <c r="AA146" s="55" t="str">
        <f t="shared" si="198"/>
        <v/>
      </c>
      <c r="AB146" s="150" t="str">
        <f t="shared" si="199"/>
        <v/>
      </c>
      <c r="AC146" s="188">
        <v>137</v>
      </c>
      <c r="AD146" s="1" t="b">
        <f t="shared" si="28"/>
        <v>0</v>
      </c>
      <c r="AE146" s="1" t="str">
        <f t="shared" si="29"/>
        <v/>
      </c>
      <c r="AF146" s="1" t="str">
        <f t="shared" si="30"/>
        <v/>
      </c>
      <c r="AG146" s="1" t="str">
        <f t="shared" si="31"/>
        <v/>
      </c>
      <c r="AH146" s="1" t="str">
        <f t="shared" si="200"/>
        <v/>
      </c>
      <c r="AI146" s="1" t="str">
        <f t="shared" si="33"/>
        <v/>
      </c>
      <c r="AJ146" s="191" t="str">
        <f t="shared" si="231"/>
        <v/>
      </c>
      <c r="AK146" s="191" t="str">
        <f t="shared" si="232"/>
        <v/>
      </c>
      <c r="AL146" s="191" t="str">
        <f t="shared" si="201"/>
        <v/>
      </c>
      <c r="AM146" s="1" t="str">
        <f t="shared" si="202"/>
        <v/>
      </c>
      <c r="AN146" s="191" t="str">
        <f t="shared" si="203"/>
        <v/>
      </c>
      <c r="AO146" s="134" t="str">
        <f t="shared" si="204"/>
        <v/>
      </c>
      <c r="AP146" s="64" t="str">
        <f t="shared" si="38"/>
        <v/>
      </c>
      <c r="AQ146" s="1" t="str">
        <f t="shared" si="230"/>
        <v/>
      </c>
      <c r="AR146" s="1" t="str">
        <f t="shared" si="205"/>
        <v/>
      </c>
      <c r="AS146" s="1" t="str">
        <f t="shared" si="206"/>
        <v/>
      </c>
      <c r="AT146" s="134" t="str">
        <f t="shared" si="207"/>
        <v/>
      </c>
      <c r="AU146" s="64" t="str">
        <f t="shared" si="208"/>
        <v/>
      </c>
      <c r="AV146" s="65" t="str">
        <f t="shared" si="209"/>
        <v/>
      </c>
      <c r="AW146" s="65" t="str">
        <f t="shared" si="210"/>
        <v/>
      </c>
      <c r="AX146" s="1" t="str">
        <f t="shared" si="211"/>
        <v/>
      </c>
      <c r="AY146" s="1" t="str">
        <f t="shared" si="212"/>
        <v/>
      </c>
      <c r="AZ146" s="131" t="str">
        <f t="shared" si="213"/>
        <v/>
      </c>
      <c r="BA146" s="1" t="str">
        <f t="shared" si="214"/>
        <v/>
      </c>
      <c r="BB146" s="1" t="str">
        <f t="shared" si="49"/>
        <v/>
      </c>
      <c r="BC146" s="1" t="str">
        <f t="shared" si="50"/>
        <v/>
      </c>
      <c r="BD146" s="1" t="str">
        <f t="shared" si="215"/>
        <v/>
      </c>
      <c r="BE146" s="1" t="str">
        <f t="shared" si="216"/>
        <v/>
      </c>
      <c r="BF146" s="1" t="str">
        <f t="shared" si="53"/>
        <v/>
      </c>
      <c r="BG146" s="1" t="str">
        <f t="shared" si="217"/>
        <v/>
      </c>
      <c r="BH146" s="1" t="str">
        <f t="shared" si="218"/>
        <v/>
      </c>
      <c r="BI146" s="1" t="str">
        <f t="shared" si="219"/>
        <v/>
      </c>
      <c r="BJ146" s="1" t="str">
        <f t="shared" si="220"/>
        <v/>
      </c>
      <c r="BK146" s="1" t="str">
        <f t="shared" si="221"/>
        <v/>
      </c>
      <c r="BL146" s="1" t="str">
        <f t="shared" si="222"/>
        <v/>
      </c>
      <c r="BM146" s="1" t="str">
        <f t="shared" si="223"/>
        <v/>
      </c>
      <c r="BN146" s="1" t="str">
        <f t="shared" si="224"/>
        <v/>
      </c>
      <c r="BO146" s="1" t="str">
        <f t="shared" si="225"/>
        <v/>
      </c>
      <c r="BQ146" s="1" t="str">
        <f t="shared" si="63"/>
        <v/>
      </c>
      <c r="BR146" s="1" t="str">
        <f t="shared" si="64"/>
        <v/>
      </c>
      <c r="BS146" s="1" t="str">
        <f t="shared" si="65"/>
        <v/>
      </c>
      <c r="BT146" s="1" t="str">
        <f t="shared" si="66"/>
        <v/>
      </c>
      <c r="BU146" s="1" t="str">
        <f t="shared" si="67"/>
        <v/>
      </c>
      <c r="BV146" s="1" t="str">
        <f t="shared" si="68"/>
        <v/>
      </c>
      <c r="BW146" s="1" t="str">
        <f t="shared" si="69"/>
        <v/>
      </c>
      <c r="BX146" s="1" t="str">
        <f t="shared" si="70"/>
        <v/>
      </c>
      <c r="BY146" s="1" t="str">
        <f t="shared" si="226"/>
        <v/>
      </c>
      <c r="BZ146" s="1" t="str">
        <f t="shared" si="72"/>
        <v/>
      </c>
      <c r="CA146" s="1" t="str">
        <f t="shared" si="73"/>
        <v/>
      </c>
      <c r="CB146" s="1" t="str">
        <f t="shared" si="74"/>
        <v/>
      </c>
      <c r="CC146" s="1" t="str">
        <f t="shared" si="75"/>
        <v/>
      </c>
      <c r="CD146" s="1" t="str">
        <f t="shared" si="227"/>
        <v/>
      </c>
      <c r="CE146" s="1" t="str">
        <f t="shared" si="77"/>
        <v/>
      </c>
      <c r="CF146" s="1" t="str">
        <f t="shared" si="78"/>
        <v/>
      </c>
      <c r="CG146" s="1" t="str">
        <f t="shared" si="79"/>
        <v/>
      </c>
      <c r="CH146" s="1" t="str">
        <f t="shared" si="80"/>
        <v/>
      </c>
      <c r="CJ146" s="1" t="str">
        <f t="shared" si="81"/>
        <v/>
      </c>
      <c r="CK146" s="1" t="str">
        <f t="shared" si="82"/>
        <v/>
      </c>
      <c r="CL146" s="1" t="str">
        <f t="shared" si="83"/>
        <v/>
      </c>
      <c r="CM146" s="1" t="str">
        <f t="shared" si="84"/>
        <v/>
      </c>
      <c r="CN146" s="1" t="str">
        <f t="shared" si="85"/>
        <v/>
      </c>
      <c r="CO146" s="1" t="str">
        <f t="shared" si="86"/>
        <v/>
      </c>
      <c r="CP146" s="1" t="str">
        <f t="shared" si="87"/>
        <v/>
      </c>
      <c r="CR146" s="1" t="str">
        <f t="shared" si="88"/>
        <v/>
      </c>
      <c r="CS146" s="1" t="str">
        <f t="shared" si="89"/>
        <v/>
      </c>
      <c r="CT146" s="1" t="str">
        <f t="shared" si="90"/>
        <v/>
      </c>
      <c r="CU146" s="1" t="str">
        <f t="shared" si="91"/>
        <v/>
      </c>
      <c r="CV146" s="1" t="str">
        <f t="shared" si="92"/>
        <v/>
      </c>
      <c r="DC146" s="154" t="e">
        <f t="shared" si="93"/>
        <v>#VALUE!</v>
      </c>
      <c r="DD146" s="154" t="str">
        <f t="shared" si="94"/>
        <v/>
      </c>
      <c r="DE146" s="154" t="str">
        <f t="shared" si="95"/>
        <v/>
      </c>
      <c r="DF146" s="1" t="str">
        <f t="shared" si="96"/>
        <v/>
      </c>
      <c r="DG146" s="1" t="str">
        <f t="shared" si="97"/>
        <v/>
      </c>
      <c r="DH146" s="1" t="str">
        <f t="shared" si="98"/>
        <v/>
      </c>
      <c r="DI146" s="1" t="str">
        <f t="shared" si="228"/>
        <v/>
      </c>
      <c r="DJ146" s="1" t="str">
        <f t="shared" si="229"/>
        <v/>
      </c>
      <c r="DK146" s="1" t="str">
        <f t="shared" si="101"/>
        <v/>
      </c>
      <c r="DL146" s="1" t="str">
        <f t="shared" si="102"/>
        <v/>
      </c>
      <c r="DM146" s="1" t="str">
        <f t="shared" si="103"/>
        <v/>
      </c>
    </row>
    <row r="147" customHeight="1" spans="1:117">
      <c r="A147" s="152" t="str">
        <f t="shared" si="233"/>
        <v/>
      </c>
      <c r="C147" s="55" t="str">
        <f t="shared" si="5"/>
        <v/>
      </c>
      <c r="D147" s="150" t="str">
        <f t="shared" si="6"/>
        <v/>
      </c>
      <c r="E147" s="151" t="str">
        <f t="shared" si="180"/>
        <v/>
      </c>
      <c r="F147" s="151" t="str">
        <f t="shared" si="181"/>
        <v/>
      </c>
      <c r="G147" s="151" t="str">
        <f t="shared" si="182"/>
        <v/>
      </c>
      <c r="H147" s="151" t="str">
        <f t="shared" si="183"/>
        <v/>
      </c>
      <c r="I147" s="151" t="str">
        <f t="shared" si="184"/>
        <v/>
      </c>
      <c r="J147" s="171" t="str">
        <f t="shared" si="185"/>
        <v/>
      </c>
      <c r="K147" s="172" t="str">
        <f t="shared" si="234"/>
        <v/>
      </c>
      <c r="L147" s="172" t="str">
        <f t="shared" si="235"/>
        <v/>
      </c>
      <c r="M147" s="173" t="str">
        <f t="shared" si="236"/>
        <v/>
      </c>
      <c r="N147" s="54" t="str">
        <f t="shared" si="186"/>
        <v/>
      </c>
      <c r="O147" s="55" t="str">
        <f t="shared" si="187"/>
        <v/>
      </c>
      <c r="P147" s="55" t="str">
        <f t="shared" si="15"/>
        <v/>
      </c>
      <c r="Q147" s="56" t="str">
        <f t="shared" si="188"/>
        <v/>
      </c>
      <c r="R147" s="56" t="str">
        <f t="shared" si="189"/>
        <v/>
      </c>
      <c r="S147" s="56" t="str">
        <f t="shared" si="190"/>
        <v/>
      </c>
      <c r="T147" s="56" t="str">
        <f t="shared" si="191"/>
        <v/>
      </c>
      <c r="U147" s="180" t="str">
        <f t="shared" si="192"/>
        <v/>
      </c>
      <c r="V147" s="55" t="str">
        <f t="shared" si="193"/>
        <v/>
      </c>
      <c r="W147" s="55" t="str">
        <f t="shared" si="194"/>
        <v/>
      </c>
      <c r="X147" s="56" t="str">
        <f t="shared" si="195"/>
        <v/>
      </c>
      <c r="Y147" s="180" t="str">
        <f t="shared" si="196"/>
        <v/>
      </c>
      <c r="Z147" s="55" t="str">
        <f t="shared" si="197"/>
        <v/>
      </c>
      <c r="AA147" s="55" t="str">
        <f t="shared" si="198"/>
        <v/>
      </c>
      <c r="AB147" s="150" t="str">
        <f t="shared" si="199"/>
        <v/>
      </c>
      <c r="AC147" s="188">
        <v>138</v>
      </c>
      <c r="AD147" s="1" t="b">
        <f t="shared" si="28"/>
        <v>0</v>
      </c>
      <c r="AE147" s="1" t="str">
        <f t="shared" si="29"/>
        <v/>
      </c>
      <c r="AF147" s="1" t="str">
        <f t="shared" si="30"/>
        <v/>
      </c>
      <c r="AG147" s="1" t="str">
        <f t="shared" si="31"/>
        <v/>
      </c>
      <c r="AH147" s="1" t="str">
        <f t="shared" si="200"/>
        <v/>
      </c>
      <c r="AI147" s="1" t="str">
        <f t="shared" si="33"/>
        <v/>
      </c>
      <c r="AJ147" s="191" t="str">
        <f t="shared" si="231"/>
        <v/>
      </c>
      <c r="AK147" s="191" t="str">
        <f t="shared" si="232"/>
        <v/>
      </c>
      <c r="AL147" s="191" t="str">
        <f t="shared" si="201"/>
        <v/>
      </c>
      <c r="AM147" s="1" t="str">
        <f t="shared" si="202"/>
        <v/>
      </c>
      <c r="AN147" s="191" t="str">
        <f t="shared" si="203"/>
        <v/>
      </c>
      <c r="AO147" s="134" t="str">
        <f t="shared" si="204"/>
        <v/>
      </c>
      <c r="AP147" s="64" t="str">
        <f t="shared" si="38"/>
        <v/>
      </c>
      <c r="AQ147" s="1" t="str">
        <f t="shared" si="230"/>
        <v/>
      </c>
      <c r="AR147" s="1" t="str">
        <f t="shared" si="205"/>
        <v/>
      </c>
      <c r="AS147" s="1" t="str">
        <f t="shared" si="206"/>
        <v/>
      </c>
      <c r="AT147" s="134" t="str">
        <f t="shared" si="207"/>
        <v/>
      </c>
      <c r="AU147" s="64" t="str">
        <f t="shared" si="208"/>
        <v/>
      </c>
      <c r="AV147" s="65" t="str">
        <f t="shared" si="209"/>
        <v/>
      </c>
      <c r="AW147" s="65" t="str">
        <f t="shared" si="210"/>
        <v/>
      </c>
      <c r="AX147" s="1" t="str">
        <f t="shared" si="211"/>
        <v/>
      </c>
      <c r="AY147" s="1" t="str">
        <f t="shared" si="212"/>
        <v/>
      </c>
      <c r="AZ147" s="131" t="str">
        <f t="shared" si="213"/>
        <v/>
      </c>
      <c r="BA147" s="1" t="str">
        <f t="shared" si="214"/>
        <v/>
      </c>
      <c r="BB147" s="1" t="str">
        <f t="shared" si="49"/>
        <v/>
      </c>
      <c r="BC147" s="1" t="str">
        <f t="shared" si="50"/>
        <v/>
      </c>
      <c r="BD147" s="1" t="str">
        <f t="shared" si="215"/>
        <v/>
      </c>
      <c r="BE147" s="1" t="str">
        <f t="shared" si="216"/>
        <v/>
      </c>
      <c r="BF147" s="1" t="str">
        <f t="shared" si="53"/>
        <v/>
      </c>
      <c r="BG147" s="1" t="str">
        <f t="shared" si="217"/>
        <v/>
      </c>
      <c r="BH147" s="1" t="str">
        <f t="shared" si="218"/>
        <v/>
      </c>
      <c r="BI147" s="1" t="str">
        <f t="shared" si="219"/>
        <v/>
      </c>
      <c r="BJ147" s="1" t="str">
        <f t="shared" si="220"/>
        <v/>
      </c>
      <c r="BK147" s="1" t="str">
        <f t="shared" si="221"/>
        <v/>
      </c>
      <c r="BL147" s="1" t="str">
        <f t="shared" si="222"/>
        <v/>
      </c>
      <c r="BM147" s="1" t="str">
        <f t="shared" si="223"/>
        <v/>
      </c>
      <c r="BN147" s="1" t="str">
        <f t="shared" si="224"/>
        <v/>
      </c>
      <c r="BO147" s="1" t="str">
        <f t="shared" si="225"/>
        <v/>
      </c>
      <c r="BQ147" s="1" t="str">
        <f t="shared" si="63"/>
        <v/>
      </c>
      <c r="BR147" s="1" t="str">
        <f t="shared" si="64"/>
        <v/>
      </c>
      <c r="BS147" s="1" t="str">
        <f t="shared" si="65"/>
        <v/>
      </c>
      <c r="BT147" s="1" t="str">
        <f t="shared" si="66"/>
        <v/>
      </c>
      <c r="BU147" s="1" t="str">
        <f t="shared" si="67"/>
        <v/>
      </c>
      <c r="BV147" s="1" t="str">
        <f t="shared" si="68"/>
        <v/>
      </c>
      <c r="BW147" s="1" t="str">
        <f t="shared" si="69"/>
        <v/>
      </c>
      <c r="BX147" s="1" t="str">
        <f t="shared" si="70"/>
        <v/>
      </c>
      <c r="BY147" s="1" t="str">
        <f t="shared" si="226"/>
        <v/>
      </c>
      <c r="BZ147" s="1" t="str">
        <f t="shared" si="72"/>
        <v/>
      </c>
      <c r="CA147" s="1" t="str">
        <f t="shared" si="73"/>
        <v/>
      </c>
      <c r="CB147" s="1" t="str">
        <f t="shared" si="74"/>
        <v/>
      </c>
      <c r="CC147" s="1" t="str">
        <f t="shared" si="75"/>
        <v/>
      </c>
      <c r="CD147" s="1" t="str">
        <f t="shared" si="227"/>
        <v/>
      </c>
      <c r="CE147" s="1" t="str">
        <f t="shared" si="77"/>
        <v/>
      </c>
      <c r="CF147" s="1" t="str">
        <f t="shared" si="78"/>
        <v/>
      </c>
      <c r="CG147" s="1" t="str">
        <f t="shared" si="79"/>
        <v/>
      </c>
      <c r="CH147" s="1" t="str">
        <f t="shared" si="80"/>
        <v/>
      </c>
      <c r="CJ147" s="1" t="str">
        <f t="shared" si="81"/>
        <v/>
      </c>
      <c r="CK147" s="1" t="str">
        <f t="shared" si="82"/>
        <v/>
      </c>
      <c r="CL147" s="1" t="str">
        <f t="shared" si="83"/>
        <v/>
      </c>
      <c r="CM147" s="1" t="str">
        <f t="shared" si="84"/>
        <v/>
      </c>
      <c r="CN147" s="1" t="str">
        <f t="shared" si="85"/>
        <v/>
      </c>
      <c r="CO147" s="1" t="str">
        <f t="shared" si="86"/>
        <v/>
      </c>
      <c r="CP147" s="1" t="str">
        <f t="shared" si="87"/>
        <v/>
      </c>
      <c r="CR147" s="1" t="str">
        <f t="shared" si="88"/>
        <v/>
      </c>
      <c r="CS147" s="1" t="str">
        <f t="shared" si="89"/>
        <v/>
      </c>
      <c r="CT147" s="1" t="str">
        <f t="shared" si="90"/>
        <v/>
      </c>
      <c r="CU147" s="1" t="str">
        <f t="shared" si="91"/>
        <v/>
      </c>
      <c r="CV147" s="1" t="str">
        <f t="shared" si="92"/>
        <v/>
      </c>
      <c r="DC147" s="154" t="e">
        <f t="shared" si="93"/>
        <v>#VALUE!</v>
      </c>
      <c r="DD147" s="154" t="str">
        <f t="shared" si="94"/>
        <v/>
      </c>
      <c r="DE147" s="154" t="str">
        <f t="shared" si="95"/>
        <v/>
      </c>
      <c r="DF147" s="1" t="str">
        <f t="shared" si="96"/>
        <v/>
      </c>
      <c r="DG147" s="1" t="str">
        <f t="shared" si="97"/>
        <v/>
      </c>
      <c r="DH147" s="1" t="str">
        <f t="shared" si="98"/>
        <v/>
      </c>
      <c r="DI147" s="1" t="str">
        <f t="shared" si="228"/>
        <v/>
      </c>
      <c r="DJ147" s="1" t="str">
        <f t="shared" si="229"/>
        <v/>
      </c>
      <c r="DK147" s="1" t="str">
        <f t="shared" si="101"/>
        <v/>
      </c>
      <c r="DL147" s="1" t="str">
        <f t="shared" si="102"/>
        <v/>
      </c>
      <c r="DM147" s="1" t="str">
        <f t="shared" si="103"/>
        <v/>
      </c>
    </row>
    <row r="148" customHeight="1" spans="1:117">
      <c r="A148" s="152" t="str">
        <f t="shared" si="233"/>
        <v/>
      </c>
      <c r="C148" s="55" t="str">
        <f t="shared" si="5"/>
        <v/>
      </c>
      <c r="D148" s="150" t="str">
        <f t="shared" si="6"/>
        <v/>
      </c>
      <c r="E148" s="151" t="str">
        <f t="shared" si="180"/>
        <v/>
      </c>
      <c r="F148" s="151" t="str">
        <f t="shared" si="181"/>
        <v/>
      </c>
      <c r="G148" s="151" t="str">
        <f t="shared" si="182"/>
        <v/>
      </c>
      <c r="H148" s="151" t="str">
        <f t="shared" si="183"/>
        <v/>
      </c>
      <c r="I148" s="151" t="str">
        <f t="shared" si="184"/>
        <v/>
      </c>
      <c r="J148" s="171" t="str">
        <f t="shared" si="185"/>
        <v/>
      </c>
      <c r="K148" s="172" t="str">
        <f t="shared" si="234"/>
        <v/>
      </c>
      <c r="L148" s="172" t="str">
        <f t="shared" si="235"/>
        <v/>
      </c>
      <c r="M148" s="173" t="str">
        <f t="shared" si="236"/>
        <v/>
      </c>
      <c r="N148" s="54" t="str">
        <f t="shared" si="186"/>
        <v/>
      </c>
      <c r="O148" s="55" t="str">
        <f t="shared" si="187"/>
        <v/>
      </c>
      <c r="P148" s="55" t="str">
        <f t="shared" si="15"/>
        <v/>
      </c>
      <c r="Q148" s="56" t="str">
        <f t="shared" si="188"/>
        <v/>
      </c>
      <c r="R148" s="56" t="str">
        <f t="shared" si="189"/>
        <v/>
      </c>
      <c r="S148" s="56" t="str">
        <f t="shared" si="190"/>
        <v/>
      </c>
      <c r="T148" s="56" t="str">
        <f t="shared" si="191"/>
        <v/>
      </c>
      <c r="U148" s="180" t="str">
        <f t="shared" si="192"/>
        <v/>
      </c>
      <c r="V148" s="55" t="str">
        <f t="shared" si="193"/>
        <v/>
      </c>
      <c r="W148" s="55" t="str">
        <f t="shared" si="194"/>
        <v/>
      </c>
      <c r="X148" s="56" t="str">
        <f t="shared" si="195"/>
        <v/>
      </c>
      <c r="Y148" s="180" t="str">
        <f t="shared" si="196"/>
        <v/>
      </c>
      <c r="Z148" s="55" t="str">
        <f t="shared" si="197"/>
        <v/>
      </c>
      <c r="AA148" s="55" t="str">
        <f t="shared" si="198"/>
        <v/>
      </c>
      <c r="AB148" s="150" t="str">
        <f t="shared" si="199"/>
        <v/>
      </c>
      <c r="AC148" s="188">
        <v>139</v>
      </c>
      <c r="AD148" s="1" t="b">
        <f t="shared" si="28"/>
        <v>0</v>
      </c>
      <c r="AE148" s="1" t="str">
        <f t="shared" si="29"/>
        <v/>
      </c>
      <c r="AF148" s="1" t="str">
        <f t="shared" si="30"/>
        <v/>
      </c>
      <c r="AG148" s="1" t="str">
        <f t="shared" si="31"/>
        <v/>
      </c>
      <c r="AH148" s="1" t="str">
        <f t="shared" si="200"/>
        <v/>
      </c>
      <c r="AI148" s="1" t="str">
        <f t="shared" si="33"/>
        <v/>
      </c>
      <c r="AJ148" s="191" t="str">
        <f t="shared" si="231"/>
        <v/>
      </c>
      <c r="AK148" s="191" t="str">
        <f t="shared" si="232"/>
        <v/>
      </c>
      <c r="AL148" s="191" t="str">
        <f t="shared" si="201"/>
        <v/>
      </c>
      <c r="AM148" s="1" t="str">
        <f t="shared" si="202"/>
        <v/>
      </c>
      <c r="AN148" s="191" t="str">
        <f t="shared" si="203"/>
        <v/>
      </c>
      <c r="AO148" s="134" t="str">
        <f t="shared" si="204"/>
        <v/>
      </c>
      <c r="AP148" s="64" t="str">
        <f t="shared" si="38"/>
        <v/>
      </c>
      <c r="AQ148" s="1" t="str">
        <f t="shared" si="230"/>
        <v/>
      </c>
      <c r="AR148" s="1" t="str">
        <f t="shared" si="205"/>
        <v/>
      </c>
      <c r="AS148" s="1" t="str">
        <f t="shared" si="206"/>
        <v/>
      </c>
      <c r="AT148" s="134" t="str">
        <f t="shared" si="207"/>
        <v/>
      </c>
      <c r="AU148" s="64" t="str">
        <f t="shared" si="208"/>
        <v/>
      </c>
      <c r="AV148" s="65" t="str">
        <f t="shared" si="209"/>
        <v/>
      </c>
      <c r="AW148" s="65" t="str">
        <f t="shared" si="210"/>
        <v/>
      </c>
      <c r="AX148" s="1" t="str">
        <f t="shared" si="211"/>
        <v/>
      </c>
      <c r="AY148" s="1" t="str">
        <f t="shared" si="212"/>
        <v/>
      </c>
      <c r="AZ148" s="131" t="str">
        <f t="shared" si="213"/>
        <v/>
      </c>
      <c r="BA148" s="1" t="str">
        <f t="shared" si="214"/>
        <v/>
      </c>
      <c r="BB148" s="1" t="str">
        <f t="shared" si="49"/>
        <v/>
      </c>
      <c r="BC148" s="1" t="str">
        <f t="shared" si="50"/>
        <v/>
      </c>
      <c r="BD148" s="1" t="str">
        <f t="shared" si="215"/>
        <v/>
      </c>
      <c r="BE148" s="1" t="str">
        <f t="shared" si="216"/>
        <v/>
      </c>
      <c r="BF148" s="1" t="str">
        <f t="shared" si="53"/>
        <v/>
      </c>
      <c r="BG148" s="1" t="str">
        <f t="shared" si="217"/>
        <v/>
      </c>
      <c r="BH148" s="1" t="str">
        <f t="shared" si="218"/>
        <v/>
      </c>
      <c r="BI148" s="1" t="str">
        <f t="shared" si="219"/>
        <v/>
      </c>
      <c r="BJ148" s="1" t="str">
        <f t="shared" si="220"/>
        <v/>
      </c>
      <c r="BK148" s="1" t="str">
        <f t="shared" si="221"/>
        <v/>
      </c>
      <c r="BL148" s="1" t="str">
        <f t="shared" si="222"/>
        <v/>
      </c>
      <c r="BM148" s="1" t="str">
        <f t="shared" si="223"/>
        <v/>
      </c>
      <c r="BN148" s="1" t="str">
        <f t="shared" si="224"/>
        <v/>
      </c>
      <c r="BO148" s="1" t="str">
        <f t="shared" si="225"/>
        <v/>
      </c>
      <c r="BQ148" s="1" t="str">
        <f t="shared" si="63"/>
        <v/>
      </c>
      <c r="BR148" s="1" t="str">
        <f t="shared" si="64"/>
        <v/>
      </c>
      <c r="BS148" s="1" t="str">
        <f t="shared" si="65"/>
        <v/>
      </c>
      <c r="BT148" s="1" t="str">
        <f t="shared" si="66"/>
        <v/>
      </c>
      <c r="BU148" s="1" t="str">
        <f t="shared" si="67"/>
        <v/>
      </c>
      <c r="BV148" s="1" t="str">
        <f t="shared" si="68"/>
        <v/>
      </c>
      <c r="BW148" s="1" t="str">
        <f t="shared" si="69"/>
        <v/>
      </c>
      <c r="BX148" s="1" t="str">
        <f t="shared" si="70"/>
        <v/>
      </c>
      <c r="BY148" s="1" t="str">
        <f t="shared" si="226"/>
        <v/>
      </c>
      <c r="BZ148" s="1" t="str">
        <f t="shared" si="72"/>
        <v/>
      </c>
      <c r="CA148" s="1" t="str">
        <f t="shared" si="73"/>
        <v/>
      </c>
      <c r="CB148" s="1" t="str">
        <f t="shared" si="74"/>
        <v/>
      </c>
      <c r="CC148" s="1" t="str">
        <f t="shared" si="75"/>
        <v/>
      </c>
      <c r="CD148" s="1" t="str">
        <f t="shared" si="227"/>
        <v/>
      </c>
      <c r="CE148" s="1" t="str">
        <f t="shared" si="77"/>
        <v/>
      </c>
      <c r="CF148" s="1" t="str">
        <f t="shared" si="78"/>
        <v/>
      </c>
      <c r="CG148" s="1" t="str">
        <f t="shared" si="79"/>
        <v/>
      </c>
      <c r="CH148" s="1" t="str">
        <f t="shared" si="80"/>
        <v/>
      </c>
      <c r="CJ148" s="1" t="str">
        <f t="shared" si="81"/>
        <v/>
      </c>
      <c r="CK148" s="1" t="str">
        <f t="shared" si="82"/>
        <v/>
      </c>
      <c r="CL148" s="1" t="str">
        <f t="shared" si="83"/>
        <v/>
      </c>
      <c r="CM148" s="1" t="str">
        <f t="shared" si="84"/>
        <v/>
      </c>
      <c r="CN148" s="1" t="str">
        <f t="shared" si="85"/>
        <v/>
      </c>
      <c r="CO148" s="1" t="str">
        <f t="shared" si="86"/>
        <v/>
      </c>
      <c r="CP148" s="1" t="str">
        <f t="shared" si="87"/>
        <v/>
      </c>
      <c r="CR148" s="1" t="str">
        <f t="shared" si="88"/>
        <v/>
      </c>
      <c r="CS148" s="1" t="str">
        <f t="shared" si="89"/>
        <v/>
      </c>
      <c r="CT148" s="1" t="str">
        <f t="shared" si="90"/>
        <v/>
      </c>
      <c r="CU148" s="1" t="str">
        <f t="shared" si="91"/>
        <v/>
      </c>
      <c r="CV148" s="1" t="str">
        <f t="shared" si="92"/>
        <v/>
      </c>
      <c r="DC148" s="154" t="e">
        <f t="shared" si="93"/>
        <v>#VALUE!</v>
      </c>
      <c r="DD148" s="154" t="str">
        <f t="shared" si="94"/>
        <v/>
      </c>
      <c r="DE148" s="154" t="str">
        <f t="shared" si="95"/>
        <v/>
      </c>
      <c r="DF148" s="1" t="str">
        <f t="shared" si="96"/>
        <v/>
      </c>
      <c r="DG148" s="1" t="str">
        <f t="shared" si="97"/>
        <v/>
      </c>
      <c r="DH148" s="1" t="str">
        <f t="shared" si="98"/>
        <v/>
      </c>
      <c r="DI148" s="1" t="str">
        <f t="shared" si="228"/>
        <v/>
      </c>
      <c r="DJ148" s="1" t="str">
        <f t="shared" si="229"/>
        <v/>
      </c>
      <c r="DK148" s="1" t="str">
        <f t="shared" si="101"/>
        <v/>
      </c>
      <c r="DL148" s="1" t="str">
        <f t="shared" si="102"/>
        <v/>
      </c>
      <c r="DM148" s="1" t="str">
        <f t="shared" si="103"/>
        <v/>
      </c>
    </row>
    <row r="149" customHeight="1" spans="1:117">
      <c r="A149" s="152" t="str">
        <f t="shared" si="233"/>
        <v/>
      </c>
      <c r="C149" s="55" t="str">
        <f t="shared" si="5"/>
        <v/>
      </c>
      <c r="D149" s="150" t="str">
        <f t="shared" si="6"/>
        <v/>
      </c>
      <c r="E149" s="151" t="str">
        <f t="shared" si="180"/>
        <v/>
      </c>
      <c r="F149" s="151" t="str">
        <f t="shared" si="181"/>
        <v/>
      </c>
      <c r="G149" s="151" t="str">
        <f t="shared" si="182"/>
        <v/>
      </c>
      <c r="H149" s="151" t="str">
        <f t="shared" si="183"/>
        <v/>
      </c>
      <c r="I149" s="151" t="str">
        <f t="shared" si="184"/>
        <v/>
      </c>
      <c r="J149" s="171" t="str">
        <f t="shared" si="185"/>
        <v/>
      </c>
      <c r="K149" s="172" t="str">
        <f t="shared" si="234"/>
        <v/>
      </c>
      <c r="L149" s="172" t="str">
        <f t="shared" si="235"/>
        <v/>
      </c>
      <c r="M149" s="173" t="str">
        <f t="shared" si="236"/>
        <v/>
      </c>
      <c r="N149" s="54" t="str">
        <f t="shared" si="186"/>
        <v/>
      </c>
      <c r="O149" s="55" t="str">
        <f t="shared" si="187"/>
        <v/>
      </c>
      <c r="P149" s="55" t="str">
        <f t="shared" si="15"/>
        <v/>
      </c>
      <c r="Q149" s="56" t="str">
        <f t="shared" si="188"/>
        <v/>
      </c>
      <c r="R149" s="56" t="str">
        <f t="shared" si="189"/>
        <v/>
      </c>
      <c r="S149" s="56" t="str">
        <f t="shared" si="190"/>
        <v/>
      </c>
      <c r="T149" s="56" t="str">
        <f t="shared" si="191"/>
        <v/>
      </c>
      <c r="U149" s="180" t="str">
        <f t="shared" si="192"/>
        <v/>
      </c>
      <c r="V149" s="55" t="str">
        <f t="shared" si="193"/>
        <v/>
      </c>
      <c r="W149" s="55" t="str">
        <f t="shared" si="194"/>
        <v/>
      </c>
      <c r="X149" s="56" t="str">
        <f t="shared" si="195"/>
        <v/>
      </c>
      <c r="Y149" s="180" t="str">
        <f t="shared" si="196"/>
        <v/>
      </c>
      <c r="Z149" s="55" t="str">
        <f t="shared" si="197"/>
        <v/>
      </c>
      <c r="AA149" s="55" t="str">
        <f t="shared" si="198"/>
        <v/>
      </c>
      <c r="AB149" s="150" t="str">
        <f t="shared" si="199"/>
        <v/>
      </c>
      <c r="AC149" s="188">
        <v>140</v>
      </c>
      <c r="AD149" s="1" t="b">
        <f t="shared" si="28"/>
        <v>0</v>
      </c>
      <c r="AE149" s="1" t="str">
        <f t="shared" si="29"/>
        <v/>
      </c>
      <c r="AF149" s="1" t="str">
        <f t="shared" si="30"/>
        <v/>
      </c>
      <c r="AG149" s="1" t="str">
        <f t="shared" si="31"/>
        <v/>
      </c>
      <c r="AH149" s="1" t="str">
        <f t="shared" si="200"/>
        <v/>
      </c>
      <c r="AI149" s="1" t="str">
        <f t="shared" si="33"/>
        <v/>
      </c>
      <c r="AJ149" s="191" t="str">
        <f t="shared" si="231"/>
        <v/>
      </c>
      <c r="AK149" s="191" t="str">
        <f t="shared" si="232"/>
        <v/>
      </c>
      <c r="AL149" s="191" t="str">
        <f t="shared" si="201"/>
        <v/>
      </c>
      <c r="AM149" s="1" t="str">
        <f t="shared" si="202"/>
        <v/>
      </c>
      <c r="AN149" s="191" t="str">
        <f t="shared" si="203"/>
        <v/>
      </c>
      <c r="AO149" s="134" t="str">
        <f t="shared" si="204"/>
        <v/>
      </c>
      <c r="AP149" s="64" t="str">
        <f t="shared" si="38"/>
        <v/>
      </c>
      <c r="AQ149" s="1" t="str">
        <f t="shared" si="230"/>
        <v/>
      </c>
      <c r="AR149" s="1" t="str">
        <f t="shared" si="205"/>
        <v/>
      </c>
      <c r="AS149" s="1" t="str">
        <f t="shared" si="206"/>
        <v/>
      </c>
      <c r="AT149" s="134" t="str">
        <f t="shared" si="207"/>
        <v/>
      </c>
      <c r="AU149" s="64" t="str">
        <f t="shared" si="208"/>
        <v/>
      </c>
      <c r="AV149" s="65" t="str">
        <f t="shared" si="209"/>
        <v/>
      </c>
      <c r="AW149" s="65" t="str">
        <f t="shared" si="210"/>
        <v/>
      </c>
      <c r="AX149" s="1" t="str">
        <f t="shared" si="211"/>
        <v/>
      </c>
      <c r="AY149" s="1" t="str">
        <f t="shared" si="212"/>
        <v/>
      </c>
      <c r="AZ149" s="131" t="str">
        <f t="shared" si="213"/>
        <v/>
      </c>
      <c r="BA149" s="1" t="str">
        <f t="shared" si="214"/>
        <v/>
      </c>
      <c r="BB149" s="1" t="str">
        <f t="shared" si="49"/>
        <v/>
      </c>
      <c r="BC149" s="1" t="str">
        <f t="shared" si="50"/>
        <v/>
      </c>
      <c r="BD149" s="1" t="str">
        <f t="shared" si="215"/>
        <v/>
      </c>
      <c r="BE149" s="1" t="str">
        <f t="shared" si="216"/>
        <v/>
      </c>
      <c r="BF149" s="1" t="str">
        <f t="shared" si="53"/>
        <v/>
      </c>
      <c r="BG149" s="1" t="str">
        <f t="shared" si="217"/>
        <v/>
      </c>
      <c r="BH149" s="1" t="str">
        <f t="shared" si="218"/>
        <v/>
      </c>
      <c r="BI149" s="1" t="str">
        <f t="shared" si="219"/>
        <v/>
      </c>
      <c r="BJ149" s="1" t="str">
        <f t="shared" si="220"/>
        <v/>
      </c>
      <c r="BK149" s="1" t="str">
        <f t="shared" si="221"/>
        <v/>
      </c>
      <c r="BL149" s="1" t="str">
        <f t="shared" si="222"/>
        <v/>
      </c>
      <c r="BM149" s="1" t="str">
        <f t="shared" si="223"/>
        <v/>
      </c>
      <c r="BN149" s="1" t="str">
        <f t="shared" si="224"/>
        <v/>
      </c>
      <c r="BO149" s="1" t="str">
        <f t="shared" si="225"/>
        <v/>
      </c>
      <c r="BQ149" s="1" t="str">
        <f t="shared" si="63"/>
        <v/>
      </c>
      <c r="BR149" s="1" t="str">
        <f t="shared" si="64"/>
        <v/>
      </c>
      <c r="BS149" s="1" t="str">
        <f t="shared" si="65"/>
        <v/>
      </c>
      <c r="BT149" s="1" t="str">
        <f t="shared" si="66"/>
        <v/>
      </c>
      <c r="BU149" s="1" t="str">
        <f t="shared" si="67"/>
        <v/>
      </c>
      <c r="BV149" s="1" t="str">
        <f t="shared" si="68"/>
        <v/>
      </c>
      <c r="BW149" s="1" t="str">
        <f t="shared" si="69"/>
        <v/>
      </c>
      <c r="BX149" s="1" t="str">
        <f t="shared" si="70"/>
        <v/>
      </c>
      <c r="BY149" s="1" t="str">
        <f t="shared" si="226"/>
        <v/>
      </c>
      <c r="BZ149" s="1" t="str">
        <f t="shared" si="72"/>
        <v/>
      </c>
      <c r="CA149" s="1" t="str">
        <f t="shared" si="73"/>
        <v/>
      </c>
      <c r="CB149" s="1" t="str">
        <f t="shared" si="74"/>
        <v/>
      </c>
      <c r="CC149" s="1" t="str">
        <f t="shared" si="75"/>
        <v/>
      </c>
      <c r="CD149" s="1" t="str">
        <f t="shared" si="227"/>
        <v/>
      </c>
      <c r="CE149" s="1" t="str">
        <f t="shared" si="77"/>
        <v/>
      </c>
      <c r="CF149" s="1" t="str">
        <f t="shared" si="78"/>
        <v/>
      </c>
      <c r="CG149" s="1" t="str">
        <f t="shared" si="79"/>
        <v/>
      </c>
      <c r="CH149" s="1" t="str">
        <f t="shared" si="80"/>
        <v/>
      </c>
      <c r="CJ149" s="1" t="str">
        <f t="shared" si="81"/>
        <v/>
      </c>
      <c r="CK149" s="1" t="str">
        <f t="shared" si="82"/>
        <v/>
      </c>
      <c r="CL149" s="1" t="str">
        <f t="shared" si="83"/>
        <v/>
      </c>
      <c r="CM149" s="1" t="str">
        <f t="shared" si="84"/>
        <v/>
      </c>
      <c r="CN149" s="1" t="str">
        <f t="shared" si="85"/>
        <v/>
      </c>
      <c r="CO149" s="1" t="str">
        <f t="shared" si="86"/>
        <v/>
      </c>
      <c r="CP149" s="1" t="str">
        <f t="shared" si="87"/>
        <v/>
      </c>
      <c r="CR149" s="1" t="str">
        <f t="shared" si="88"/>
        <v/>
      </c>
      <c r="CS149" s="1" t="str">
        <f t="shared" si="89"/>
        <v/>
      </c>
      <c r="CT149" s="1" t="str">
        <f t="shared" si="90"/>
        <v/>
      </c>
      <c r="CU149" s="1" t="str">
        <f t="shared" si="91"/>
        <v/>
      </c>
      <c r="CV149" s="1" t="str">
        <f t="shared" si="92"/>
        <v/>
      </c>
      <c r="DC149" s="154" t="e">
        <f t="shared" si="93"/>
        <v>#VALUE!</v>
      </c>
      <c r="DD149" s="154" t="str">
        <f t="shared" si="94"/>
        <v/>
      </c>
      <c r="DE149" s="154" t="str">
        <f t="shared" si="95"/>
        <v/>
      </c>
      <c r="DF149" s="1" t="str">
        <f t="shared" si="96"/>
        <v/>
      </c>
      <c r="DG149" s="1" t="str">
        <f t="shared" si="97"/>
        <v/>
      </c>
      <c r="DH149" s="1" t="str">
        <f t="shared" si="98"/>
        <v/>
      </c>
      <c r="DI149" s="1" t="str">
        <f t="shared" si="228"/>
        <v/>
      </c>
      <c r="DJ149" s="1" t="str">
        <f t="shared" si="229"/>
        <v/>
      </c>
      <c r="DK149" s="1" t="str">
        <f t="shared" si="101"/>
        <v/>
      </c>
      <c r="DL149" s="1" t="str">
        <f t="shared" si="102"/>
        <v/>
      </c>
      <c r="DM149" s="1" t="str">
        <f t="shared" si="103"/>
        <v/>
      </c>
    </row>
    <row r="150" customHeight="1" spans="1:117">
      <c r="A150" s="152" t="str">
        <f t="shared" si="233"/>
        <v/>
      </c>
      <c r="C150" s="55" t="str">
        <f t="shared" si="5"/>
        <v/>
      </c>
      <c r="D150" s="150" t="str">
        <f t="shared" si="6"/>
        <v/>
      </c>
      <c r="E150" s="151" t="str">
        <f t="shared" si="180"/>
        <v/>
      </c>
      <c r="F150" s="151" t="str">
        <f t="shared" si="181"/>
        <v/>
      </c>
      <c r="G150" s="151" t="str">
        <f t="shared" si="182"/>
        <v/>
      </c>
      <c r="H150" s="151" t="str">
        <f t="shared" si="183"/>
        <v/>
      </c>
      <c r="I150" s="151" t="str">
        <f t="shared" si="184"/>
        <v/>
      </c>
      <c r="J150" s="171" t="str">
        <f t="shared" si="185"/>
        <v/>
      </c>
      <c r="K150" s="172" t="str">
        <f t="shared" si="234"/>
        <v/>
      </c>
      <c r="L150" s="172" t="str">
        <f t="shared" si="235"/>
        <v/>
      </c>
      <c r="M150" s="173" t="str">
        <f t="shared" si="236"/>
        <v/>
      </c>
      <c r="N150" s="54" t="str">
        <f t="shared" si="186"/>
        <v/>
      </c>
      <c r="O150" s="55" t="str">
        <f t="shared" si="187"/>
        <v/>
      </c>
      <c r="P150" s="55" t="str">
        <f t="shared" si="15"/>
        <v/>
      </c>
      <c r="Q150" s="56" t="str">
        <f t="shared" si="188"/>
        <v/>
      </c>
      <c r="R150" s="56" t="str">
        <f t="shared" si="189"/>
        <v/>
      </c>
      <c r="S150" s="56" t="str">
        <f t="shared" si="190"/>
        <v/>
      </c>
      <c r="T150" s="56" t="str">
        <f t="shared" si="191"/>
        <v/>
      </c>
      <c r="U150" s="180" t="str">
        <f t="shared" si="192"/>
        <v/>
      </c>
      <c r="V150" s="55" t="str">
        <f t="shared" si="193"/>
        <v/>
      </c>
      <c r="W150" s="55" t="str">
        <f t="shared" si="194"/>
        <v/>
      </c>
      <c r="X150" s="56" t="str">
        <f t="shared" si="195"/>
        <v/>
      </c>
      <c r="Y150" s="180" t="str">
        <f t="shared" si="196"/>
        <v/>
      </c>
      <c r="Z150" s="55" t="str">
        <f t="shared" si="197"/>
        <v/>
      </c>
      <c r="AA150" s="55" t="str">
        <f t="shared" si="198"/>
        <v/>
      </c>
      <c r="AB150" s="150" t="str">
        <f t="shared" si="199"/>
        <v/>
      </c>
      <c r="AC150" s="188">
        <v>141</v>
      </c>
      <c r="AD150" s="1" t="b">
        <f t="shared" si="28"/>
        <v>0</v>
      </c>
      <c r="AE150" s="1" t="str">
        <f t="shared" si="29"/>
        <v/>
      </c>
      <c r="AF150" s="1" t="str">
        <f t="shared" si="30"/>
        <v/>
      </c>
      <c r="AG150" s="1" t="str">
        <f t="shared" si="31"/>
        <v/>
      </c>
      <c r="AH150" s="1" t="str">
        <f t="shared" si="200"/>
        <v/>
      </c>
      <c r="AI150" s="1" t="str">
        <f t="shared" si="33"/>
        <v/>
      </c>
      <c r="AJ150" s="191" t="str">
        <f t="shared" si="231"/>
        <v/>
      </c>
      <c r="AK150" s="191" t="str">
        <f t="shared" si="232"/>
        <v/>
      </c>
      <c r="AL150" s="191" t="str">
        <f t="shared" si="201"/>
        <v/>
      </c>
      <c r="AM150" s="1" t="str">
        <f t="shared" si="202"/>
        <v/>
      </c>
      <c r="AN150" s="191" t="str">
        <f t="shared" si="203"/>
        <v/>
      </c>
      <c r="AO150" s="134" t="str">
        <f t="shared" si="204"/>
        <v/>
      </c>
      <c r="AP150" s="64" t="str">
        <f t="shared" si="38"/>
        <v/>
      </c>
      <c r="AQ150" s="1" t="str">
        <f t="shared" si="230"/>
        <v/>
      </c>
      <c r="AR150" s="1" t="str">
        <f t="shared" si="205"/>
        <v/>
      </c>
      <c r="AS150" s="1" t="str">
        <f t="shared" si="206"/>
        <v/>
      </c>
      <c r="AT150" s="134" t="str">
        <f t="shared" si="207"/>
        <v/>
      </c>
      <c r="AU150" s="64" t="str">
        <f t="shared" si="208"/>
        <v/>
      </c>
      <c r="AV150" s="65" t="str">
        <f t="shared" si="209"/>
        <v/>
      </c>
      <c r="AW150" s="65" t="str">
        <f t="shared" si="210"/>
        <v/>
      </c>
      <c r="AX150" s="1" t="str">
        <f t="shared" si="211"/>
        <v/>
      </c>
      <c r="AY150" s="1" t="str">
        <f t="shared" si="212"/>
        <v/>
      </c>
      <c r="AZ150" s="131" t="str">
        <f t="shared" si="213"/>
        <v/>
      </c>
      <c r="BA150" s="1" t="str">
        <f t="shared" si="214"/>
        <v/>
      </c>
      <c r="BB150" s="1" t="str">
        <f t="shared" si="49"/>
        <v/>
      </c>
      <c r="BC150" s="1" t="str">
        <f t="shared" si="50"/>
        <v/>
      </c>
      <c r="BD150" s="1" t="str">
        <f t="shared" si="215"/>
        <v/>
      </c>
      <c r="BE150" s="1" t="str">
        <f t="shared" si="216"/>
        <v/>
      </c>
      <c r="BF150" s="1" t="str">
        <f t="shared" si="53"/>
        <v/>
      </c>
      <c r="BG150" s="1" t="str">
        <f t="shared" si="217"/>
        <v/>
      </c>
      <c r="BH150" s="1" t="str">
        <f t="shared" si="218"/>
        <v/>
      </c>
      <c r="BI150" s="1" t="str">
        <f t="shared" si="219"/>
        <v/>
      </c>
      <c r="BJ150" s="1" t="str">
        <f t="shared" si="220"/>
        <v/>
      </c>
      <c r="BK150" s="1" t="str">
        <f t="shared" si="221"/>
        <v/>
      </c>
      <c r="BL150" s="1" t="str">
        <f t="shared" si="222"/>
        <v/>
      </c>
      <c r="BM150" s="1" t="str">
        <f t="shared" si="223"/>
        <v/>
      </c>
      <c r="BN150" s="1" t="str">
        <f t="shared" si="224"/>
        <v/>
      </c>
      <c r="BO150" s="1" t="str">
        <f t="shared" si="225"/>
        <v/>
      </c>
      <c r="BQ150" s="1" t="str">
        <f t="shared" si="63"/>
        <v/>
      </c>
      <c r="BR150" s="1" t="str">
        <f t="shared" si="64"/>
        <v/>
      </c>
      <c r="BS150" s="1" t="str">
        <f t="shared" si="65"/>
        <v/>
      </c>
      <c r="BT150" s="1" t="str">
        <f t="shared" si="66"/>
        <v/>
      </c>
      <c r="BU150" s="1" t="str">
        <f t="shared" si="67"/>
        <v/>
      </c>
      <c r="BV150" s="1" t="str">
        <f t="shared" si="68"/>
        <v/>
      </c>
      <c r="BW150" s="1" t="str">
        <f t="shared" si="69"/>
        <v/>
      </c>
      <c r="BX150" s="1" t="str">
        <f t="shared" si="70"/>
        <v/>
      </c>
      <c r="BY150" s="1" t="str">
        <f t="shared" si="226"/>
        <v/>
      </c>
      <c r="BZ150" s="1" t="str">
        <f t="shared" si="72"/>
        <v/>
      </c>
      <c r="CA150" s="1" t="str">
        <f t="shared" si="73"/>
        <v/>
      </c>
      <c r="CB150" s="1" t="str">
        <f t="shared" si="74"/>
        <v/>
      </c>
      <c r="CC150" s="1" t="str">
        <f t="shared" si="75"/>
        <v/>
      </c>
      <c r="CD150" s="1" t="str">
        <f t="shared" si="227"/>
        <v/>
      </c>
      <c r="CE150" s="1" t="str">
        <f t="shared" si="77"/>
        <v/>
      </c>
      <c r="CF150" s="1" t="str">
        <f t="shared" si="78"/>
        <v/>
      </c>
      <c r="CG150" s="1" t="str">
        <f t="shared" si="79"/>
        <v/>
      </c>
      <c r="CH150" s="1" t="str">
        <f t="shared" si="80"/>
        <v/>
      </c>
      <c r="CJ150" s="1" t="str">
        <f t="shared" si="81"/>
        <v/>
      </c>
      <c r="CK150" s="1" t="str">
        <f t="shared" si="82"/>
        <v/>
      </c>
      <c r="CL150" s="1" t="str">
        <f t="shared" si="83"/>
        <v/>
      </c>
      <c r="CM150" s="1" t="str">
        <f t="shared" si="84"/>
        <v/>
      </c>
      <c r="CN150" s="1" t="str">
        <f t="shared" si="85"/>
        <v/>
      </c>
      <c r="CO150" s="1" t="str">
        <f t="shared" si="86"/>
        <v/>
      </c>
      <c r="CP150" s="1" t="str">
        <f t="shared" si="87"/>
        <v/>
      </c>
      <c r="CR150" s="1" t="str">
        <f t="shared" si="88"/>
        <v/>
      </c>
      <c r="CS150" s="1" t="str">
        <f t="shared" si="89"/>
        <v/>
      </c>
      <c r="CT150" s="1" t="str">
        <f t="shared" si="90"/>
        <v/>
      </c>
      <c r="CU150" s="1" t="str">
        <f t="shared" si="91"/>
        <v/>
      </c>
      <c r="CV150" s="1" t="str">
        <f t="shared" si="92"/>
        <v/>
      </c>
      <c r="DC150" s="154" t="e">
        <f t="shared" si="93"/>
        <v>#VALUE!</v>
      </c>
      <c r="DD150" s="154" t="str">
        <f t="shared" si="94"/>
        <v/>
      </c>
      <c r="DE150" s="154" t="str">
        <f t="shared" si="95"/>
        <v/>
      </c>
      <c r="DF150" s="1" t="str">
        <f t="shared" si="96"/>
        <v/>
      </c>
      <c r="DG150" s="1" t="str">
        <f t="shared" si="97"/>
        <v/>
      </c>
      <c r="DH150" s="1" t="str">
        <f t="shared" si="98"/>
        <v/>
      </c>
      <c r="DI150" s="1" t="str">
        <f t="shared" si="228"/>
        <v/>
      </c>
      <c r="DJ150" s="1" t="str">
        <f t="shared" si="229"/>
        <v/>
      </c>
      <c r="DK150" s="1" t="str">
        <f t="shared" si="101"/>
        <v/>
      </c>
      <c r="DL150" s="1" t="str">
        <f t="shared" si="102"/>
        <v/>
      </c>
      <c r="DM150" s="1" t="str">
        <f t="shared" si="103"/>
        <v/>
      </c>
    </row>
    <row r="151" customHeight="1" spans="1:117">
      <c r="A151" s="152" t="str">
        <f t="shared" si="233"/>
        <v/>
      </c>
      <c r="C151" s="55" t="str">
        <f t="shared" si="5"/>
        <v/>
      </c>
      <c r="D151" s="150" t="str">
        <f t="shared" si="6"/>
        <v/>
      </c>
      <c r="E151" s="151" t="str">
        <f t="shared" si="180"/>
        <v/>
      </c>
      <c r="F151" s="151" t="str">
        <f t="shared" si="181"/>
        <v/>
      </c>
      <c r="G151" s="151" t="str">
        <f t="shared" si="182"/>
        <v/>
      </c>
      <c r="H151" s="151" t="str">
        <f t="shared" si="183"/>
        <v/>
      </c>
      <c r="I151" s="151" t="str">
        <f t="shared" si="184"/>
        <v/>
      </c>
      <c r="J151" s="171" t="str">
        <f t="shared" si="185"/>
        <v/>
      </c>
      <c r="K151" s="172" t="str">
        <f t="shared" si="234"/>
        <v/>
      </c>
      <c r="L151" s="172" t="str">
        <f t="shared" si="235"/>
        <v/>
      </c>
      <c r="M151" s="173" t="str">
        <f t="shared" si="236"/>
        <v/>
      </c>
      <c r="N151" s="54" t="str">
        <f t="shared" si="186"/>
        <v/>
      </c>
      <c r="O151" s="55" t="str">
        <f t="shared" si="187"/>
        <v/>
      </c>
      <c r="P151" s="55" t="str">
        <f t="shared" si="15"/>
        <v/>
      </c>
      <c r="Q151" s="56" t="str">
        <f t="shared" si="188"/>
        <v/>
      </c>
      <c r="R151" s="56" t="str">
        <f t="shared" si="189"/>
        <v/>
      </c>
      <c r="S151" s="56" t="str">
        <f t="shared" si="190"/>
        <v/>
      </c>
      <c r="T151" s="56" t="str">
        <f t="shared" si="191"/>
        <v/>
      </c>
      <c r="U151" s="180" t="str">
        <f t="shared" si="192"/>
        <v/>
      </c>
      <c r="V151" s="55" t="str">
        <f t="shared" si="193"/>
        <v/>
      </c>
      <c r="W151" s="55" t="str">
        <f t="shared" si="194"/>
        <v/>
      </c>
      <c r="X151" s="56" t="str">
        <f t="shared" si="195"/>
        <v/>
      </c>
      <c r="Y151" s="180" t="str">
        <f t="shared" si="196"/>
        <v/>
      </c>
      <c r="Z151" s="55" t="str">
        <f t="shared" si="197"/>
        <v/>
      </c>
      <c r="AA151" s="55" t="str">
        <f t="shared" si="198"/>
        <v/>
      </c>
      <c r="AB151" s="150" t="str">
        <f t="shared" si="199"/>
        <v/>
      </c>
      <c r="AC151" s="188">
        <v>142</v>
      </c>
      <c r="AD151" s="1" t="b">
        <f t="shared" si="28"/>
        <v>0</v>
      </c>
      <c r="AE151" s="1" t="str">
        <f t="shared" si="29"/>
        <v/>
      </c>
      <c r="AF151" s="1" t="str">
        <f t="shared" si="30"/>
        <v/>
      </c>
      <c r="AG151" s="1" t="str">
        <f t="shared" si="31"/>
        <v/>
      </c>
      <c r="AH151" s="1" t="str">
        <f t="shared" si="200"/>
        <v/>
      </c>
      <c r="AI151" s="1" t="str">
        <f t="shared" si="33"/>
        <v/>
      </c>
      <c r="AJ151" s="191" t="str">
        <f t="shared" si="231"/>
        <v/>
      </c>
      <c r="AK151" s="191" t="str">
        <f t="shared" si="232"/>
        <v/>
      </c>
      <c r="AL151" s="191" t="str">
        <f t="shared" si="201"/>
        <v/>
      </c>
      <c r="AM151" s="1" t="str">
        <f t="shared" si="202"/>
        <v/>
      </c>
      <c r="AN151" s="191" t="str">
        <f t="shared" si="203"/>
        <v/>
      </c>
      <c r="AO151" s="134" t="str">
        <f t="shared" si="204"/>
        <v/>
      </c>
      <c r="AP151" s="64" t="str">
        <f t="shared" si="38"/>
        <v/>
      </c>
      <c r="AQ151" s="1" t="str">
        <f t="shared" si="230"/>
        <v/>
      </c>
      <c r="AR151" s="1" t="str">
        <f t="shared" si="205"/>
        <v/>
      </c>
      <c r="AS151" s="1" t="str">
        <f t="shared" si="206"/>
        <v/>
      </c>
      <c r="AT151" s="134" t="str">
        <f t="shared" si="207"/>
        <v/>
      </c>
      <c r="AU151" s="64" t="str">
        <f t="shared" si="208"/>
        <v/>
      </c>
      <c r="AV151" s="65" t="str">
        <f t="shared" si="209"/>
        <v/>
      </c>
      <c r="AW151" s="65" t="str">
        <f t="shared" si="210"/>
        <v/>
      </c>
      <c r="AX151" s="1" t="str">
        <f t="shared" si="211"/>
        <v/>
      </c>
      <c r="AY151" s="1" t="str">
        <f t="shared" si="212"/>
        <v/>
      </c>
      <c r="AZ151" s="131" t="str">
        <f t="shared" si="213"/>
        <v/>
      </c>
      <c r="BA151" s="1" t="str">
        <f t="shared" si="214"/>
        <v/>
      </c>
      <c r="BB151" s="1" t="str">
        <f t="shared" si="49"/>
        <v/>
      </c>
      <c r="BC151" s="1" t="str">
        <f t="shared" si="50"/>
        <v/>
      </c>
      <c r="BD151" s="1" t="str">
        <f t="shared" si="215"/>
        <v/>
      </c>
      <c r="BE151" s="1" t="str">
        <f t="shared" si="216"/>
        <v/>
      </c>
      <c r="BF151" s="1" t="str">
        <f t="shared" si="53"/>
        <v/>
      </c>
      <c r="BG151" s="1" t="str">
        <f t="shared" si="217"/>
        <v/>
      </c>
      <c r="BH151" s="1" t="str">
        <f t="shared" si="218"/>
        <v/>
      </c>
      <c r="BI151" s="1" t="str">
        <f t="shared" si="219"/>
        <v/>
      </c>
      <c r="BJ151" s="1" t="str">
        <f t="shared" si="220"/>
        <v/>
      </c>
      <c r="BK151" s="1" t="str">
        <f t="shared" si="221"/>
        <v/>
      </c>
      <c r="BL151" s="1" t="str">
        <f t="shared" si="222"/>
        <v/>
      </c>
      <c r="BM151" s="1" t="str">
        <f t="shared" si="223"/>
        <v/>
      </c>
      <c r="BN151" s="1" t="str">
        <f t="shared" si="224"/>
        <v/>
      </c>
      <c r="BO151" s="1" t="str">
        <f t="shared" si="225"/>
        <v/>
      </c>
      <c r="BQ151" s="1" t="str">
        <f t="shared" si="63"/>
        <v/>
      </c>
      <c r="BR151" s="1" t="str">
        <f t="shared" si="64"/>
        <v/>
      </c>
      <c r="BS151" s="1" t="str">
        <f t="shared" si="65"/>
        <v/>
      </c>
      <c r="BT151" s="1" t="str">
        <f t="shared" si="66"/>
        <v/>
      </c>
      <c r="BU151" s="1" t="str">
        <f t="shared" si="67"/>
        <v/>
      </c>
      <c r="BV151" s="1" t="str">
        <f t="shared" si="68"/>
        <v/>
      </c>
      <c r="BW151" s="1" t="str">
        <f t="shared" si="69"/>
        <v/>
      </c>
      <c r="BX151" s="1" t="str">
        <f t="shared" si="70"/>
        <v/>
      </c>
      <c r="BY151" s="1" t="str">
        <f t="shared" si="226"/>
        <v/>
      </c>
      <c r="BZ151" s="1" t="str">
        <f t="shared" si="72"/>
        <v/>
      </c>
      <c r="CA151" s="1" t="str">
        <f t="shared" si="73"/>
        <v/>
      </c>
      <c r="CB151" s="1" t="str">
        <f t="shared" si="74"/>
        <v/>
      </c>
      <c r="CC151" s="1" t="str">
        <f t="shared" si="75"/>
        <v/>
      </c>
      <c r="CD151" s="1" t="str">
        <f t="shared" si="227"/>
        <v/>
      </c>
      <c r="CE151" s="1" t="str">
        <f t="shared" si="77"/>
        <v/>
      </c>
      <c r="CF151" s="1" t="str">
        <f t="shared" si="78"/>
        <v/>
      </c>
      <c r="CG151" s="1" t="str">
        <f t="shared" si="79"/>
        <v/>
      </c>
      <c r="CH151" s="1" t="str">
        <f t="shared" si="80"/>
        <v/>
      </c>
      <c r="CJ151" s="1" t="str">
        <f t="shared" si="81"/>
        <v/>
      </c>
      <c r="CK151" s="1" t="str">
        <f t="shared" si="82"/>
        <v/>
      </c>
      <c r="CL151" s="1" t="str">
        <f t="shared" si="83"/>
        <v/>
      </c>
      <c r="CM151" s="1" t="str">
        <f t="shared" si="84"/>
        <v/>
      </c>
      <c r="CN151" s="1" t="str">
        <f t="shared" si="85"/>
        <v/>
      </c>
      <c r="CO151" s="1" t="str">
        <f t="shared" si="86"/>
        <v/>
      </c>
      <c r="CP151" s="1" t="str">
        <f t="shared" si="87"/>
        <v/>
      </c>
      <c r="CR151" s="1" t="str">
        <f t="shared" si="88"/>
        <v/>
      </c>
      <c r="CS151" s="1" t="str">
        <f t="shared" si="89"/>
        <v/>
      </c>
      <c r="CT151" s="1" t="str">
        <f t="shared" si="90"/>
        <v/>
      </c>
      <c r="CU151" s="1" t="str">
        <f t="shared" si="91"/>
        <v/>
      </c>
      <c r="CV151" s="1" t="str">
        <f t="shared" si="92"/>
        <v/>
      </c>
      <c r="DC151" s="154" t="e">
        <f t="shared" si="93"/>
        <v>#VALUE!</v>
      </c>
      <c r="DD151" s="154" t="str">
        <f t="shared" si="94"/>
        <v/>
      </c>
      <c r="DE151" s="154" t="str">
        <f t="shared" si="95"/>
        <v/>
      </c>
      <c r="DF151" s="1" t="str">
        <f t="shared" si="96"/>
        <v/>
      </c>
      <c r="DG151" s="1" t="str">
        <f t="shared" si="97"/>
        <v/>
      </c>
      <c r="DH151" s="1" t="str">
        <f t="shared" si="98"/>
        <v/>
      </c>
      <c r="DI151" s="1" t="str">
        <f t="shared" si="228"/>
        <v/>
      </c>
      <c r="DJ151" s="1" t="str">
        <f t="shared" si="229"/>
        <v/>
      </c>
      <c r="DK151" s="1" t="str">
        <f t="shared" si="101"/>
        <v/>
      </c>
      <c r="DL151" s="1" t="str">
        <f t="shared" si="102"/>
        <v/>
      </c>
      <c r="DM151" s="1" t="str">
        <f t="shared" si="103"/>
        <v/>
      </c>
    </row>
    <row r="152" customHeight="1" spans="1:117">
      <c r="A152" s="152" t="str">
        <f t="shared" si="233"/>
        <v/>
      </c>
      <c r="C152" s="55" t="str">
        <f t="shared" si="5"/>
        <v/>
      </c>
      <c r="D152" s="150" t="str">
        <f t="shared" si="6"/>
        <v/>
      </c>
      <c r="E152" s="151" t="str">
        <f t="shared" si="180"/>
        <v/>
      </c>
      <c r="F152" s="151" t="str">
        <f t="shared" si="181"/>
        <v/>
      </c>
      <c r="G152" s="151" t="str">
        <f t="shared" si="182"/>
        <v/>
      </c>
      <c r="H152" s="151" t="str">
        <f t="shared" si="183"/>
        <v/>
      </c>
      <c r="I152" s="151" t="str">
        <f t="shared" si="184"/>
        <v/>
      </c>
      <c r="J152" s="171" t="str">
        <f t="shared" si="185"/>
        <v/>
      </c>
      <c r="K152" s="172" t="str">
        <f t="shared" si="234"/>
        <v/>
      </c>
      <c r="L152" s="172" t="str">
        <f t="shared" si="235"/>
        <v/>
      </c>
      <c r="M152" s="173" t="str">
        <f t="shared" si="236"/>
        <v/>
      </c>
      <c r="N152" s="54" t="str">
        <f t="shared" si="186"/>
        <v/>
      </c>
      <c r="O152" s="55" t="str">
        <f t="shared" si="187"/>
        <v/>
      </c>
      <c r="P152" s="55" t="str">
        <f t="shared" si="15"/>
        <v/>
      </c>
      <c r="Q152" s="56" t="str">
        <f t="shared" si="188"/>
        <v/>
      </c>
      <c r="R152" s="56" t="str">
        <f t="shared" si="189"/>
        <v/>
      </c>
      <c r="S152" s="56" t="str">
        <f t="shared" si="190"/>
        <v/>
      </c>
      <c r="T152" s="56" t="str">
        <f t="shared" si="191"/>
        <v/>
      </c>
      <c r="U152" s="180" t="str">
        <f t="shared" si="192"/>
        <v/>
      </c>
      <c r="V152" s="55" t="str">
        <f t="shared" si="193"/>
        <v/>
      </c>
      <c r="W152" s="55" t="str">
        <f t="shared" si="194"/>
        <v/>
      </c>
      <c r="X152" s="56" t="str">
        <f t="shared" si="195"/>
        <v/>
      </c>
      <c r="Y152" s="180" t="str">
        <f t="shared" si="196"/>
        <v/>
      </c>
      <c r="Z152" s="55" t="str">
        <f t="shared" si="197"/>
        <v/>
      </c>
      <c r="AA152" s="55" t="str">
        <f t="shared" si="198"/>
        <v/>
      </c>
      <c r="AB152" s="150" t="str">
        <f t="shared" si="199"/>
        <v/>
      </c>
      <c r="AC152" s="188">
        <v>143</v>
      </c>
      <c r="AD152" s="1" t="b">
        <f t="shared" si="28"/>
        <v>0</v>
      </c>
      <c r="AE152" s="1" t="str">
        <f t="shared" si="29"/>
        <v/>
      </c>
      <c r="AF152" s="1" t="str">
        <f t="shared" si="30"/>
        <v/>
      </c>
      <c r="AG152" s="1" t="str">
        <f t="shared" si="31"/>
        <v/>
      </c>
      <c r="AH152" s="1" t="str">
        <f t="shared" si="200"/>
        <v/>
      </c>
      <c r="AI152" s="1" t="str">
        <f t="shared" si="33"/>
        <v/>
      </c>
      <c r="AJ152" s="191" t="str">
        <f t="shared" si="231"/>
        <v/>
      </c>
      <c r="AK152" s="191" t="str">
        <f t="shared" si="232"/>
        <v/>
      </c>
      <c r="AL152" s="191" t="str">
        <f t="shared" si="201"/>
        <v/>
      </c>
      <c r="AM152" s="1" t="str">
        <f t="shared" si="202"/>
        <v/>
      </c>
      <c r="AN152" s="191" t="str">
        <f t="shared" si="203"/>
        <v/>
      </c>
      <c r="AO152" s="134" t="str">
        <f t="shared" si="204"/>
        <v/>
      </c>
      <c r="AP152" s="64" t="str">
        <f t="shared" si="38"/>
        <v/>
      </c>
      <c r="AQ152" s="1" t="str">
        <f t="shared" si="230"/>
        <v/>
      </c>
      <c r="AR152" s="1" t="str">
        <f t="shared" si="205"/>
        <v/>
      </c>
      <c r="AS152" s="1" t="str">
        <f t="shared" si="206"/>
        <v/>
      </c>
      <c r="AT152" s="134" t="str">
        <f t="shared" si="207"/>
        <v/>
      </c>
      <c r="AU152" s="64" t="str">
        <f t="shared" si="208"/>
        <v/>
      </c>
      <c r="AV152" s="65" t="str">
        <f t="shared" si="209"/>
        <v/>
      </c>
      <c r="AW152" s="65" t="str">
        <f t="shared" si="210"/>
        <v/>
      </c>
      <c r="AX152" s="1" t="str">
        <f t="shared" si="211"/>
        <v/>
      </c>
      <c r="AY152" s="1" t="str">
        <f t="shared" si="212"/>
        <v/>
      </c>
      <c r="AZ152" s="131" t="str">
        <f t="shared" si="213"/>
        <v/>
      </c>
      <c r="BA152" s="1" t="str">
        <f t="shared" si="214"/>
        <v/>
      </c>
      <c r="BB152" s="1" t="str">
        <f t="shared" si="49"/>
        <v/>
      </c>
      <c r="BC152" s="1" t="str">
        <f t="shared" si="50"/>
        <v/>
      </c>
      <c r="BD152" s="1" t="str">
        <f t="shared" si="215"/>
        <v/>
      </c>
      <c r="BE152" s="1" t="str">
        <f t="shared" si="216"/>
        <v/>
      </c>
      <c r="BF152" s="1" t="str">
        <f t="shared" si="53"/>
        <v/>
      </c>
      <c r="BG152" s="1" t="str">
        <f t="shared" si="217"/>
        <v/>
      </c>
      <c r="BH152" s="1" t="str">
        <f t="shared" si="218"/>
        <v/>
      </c>
      <c r="BI152" s="1" t="str">
        <f t="shared" si="219"/>
        <v/>
      </c>
      <c r="BJ152" s="1" t="str">
        <f t="shared" si="220"/>
        <v/>
      </c>
      <c r="BK152" s="1" t="str">
        <f t="shared" si="221"/>
        <v/>
      </c>
      <c r="BL152" s="1" t="str">
        <f t="shared" si="222"/>
        <v/>
      </c>
      <c r="BM152" s="1" t="str">
        <f t="shared" si="223"/>
        <v/>
      </c>
      <c r="BN152" s="1" t="str">
        <f t="shared" si="224"/>
        <v/>
      </c>
      <c r="BO152" s="1" t="str">
        <f t="shared" si="225"/>
        <v/>
      </c>
      <c r="BQ152" s="1" t="str">
        <f t="shared" si="63"/>
        <v/>
      </c>
      <c r="BR152" s="1" t="str">
        <f t="shared" si="64"/>
        <v/>
      </c>
      <c r="BS152" s="1" t="str">
        <f t="shared" si="65"/>
        <v/>
      </c>
      <c r="BT152" s="1" t="str">
        <f t="shared" si="66"/>
        <v/>
      </c>
      <c r="BU152" s="1" t="str">
        <f t="shared" si="67"/>
        <v/>
      </c>
      <c r="BV152" s="1" t="str">
        <f t="shared" si="68"/>
        <v/>
      </c>
      <c r="BW152" s="1" t="str">
        <f t="shared" si="69"/>
        <v/>
      </c>
      <c r="BX152" s="1" t="str">
        <f t="shared" si="70"/>
        <v/>
      </c>
      <c r="BY152" s="1" t="str">
        <f t="shared" si="226"/>
        <v/>
      </c>
      <c r="BZ152" s="1" t="str">
        <f t="shared" si="72"/>
        <v/>
      </c>
      <c r="CA152" s="1" t="str">
        <f t="shared" si="73"/>
        <v/>
      </c>
      <c r="CB152" s="1" t="str">
        <f t="shared" si="74"/>
        <v/>
      </c>
      <c r="CC152" s="1" t="str">
        <f t="shared" si="75"/>
        <v/>
      </c>
      <c r="CD152" s="1" t="str">
        <f t="shared" si="227"/>
        <v/>
      </c>
      <c r="CE152" s="1" t="str">
        <f t="shared" si="77"/>
        <v/>
      </c>
      <c r="CF152" s="1" t="str">
        <f t="shared" si="78"/>
        <v/>
      </c>
      <c r="CG152" s="1" t="str">
        <f t="shared" si="79"/>
        <v/>
      </c>
      <c r="CH152" s="1" t="str">
        <f t="shared" si="80"/>
        <v/>
      </c>
      <c r="CJ152" s="1" t="str">
        <f t="shared" si="81"/>
        <v/>
      </c>
      <c r="CK152" s="1" t="str">
        <f t="shared" si="82"/>
        <v/>
      </c>
      <c r="CL152" s="1" t="str">
        <f t="shared" si="83"/>
        <v/>
      </c>
      <c r="CM152" s="1" t="str">
        <f t="shared" si="84"/>
        <v/>
      </c>
      <c r="CN152" s="1" t="str">
        <f t="shared" si="85"/>
        <v/>
      </c>
      <c r="CO152" s="1" t="str">
        <f t="shared" si="86"/>
        <v/>
      </c>
      <c r="CP152" s="1" t="str">
        <f t="shared" si="87"/>
        <v/>
      </c>
      <c r="CR152" s="1" t="str">
        <f t="shared" si="88"/>
        <v/>
      </c>
      <c r="CS152" s="1" t="str">
        <f t="shared" si="89"/>
        <v/>
      </c>
      <c r="CT152" s="1" t="str">
        <f t="shared" si="90"/>
        <v/>
      </c>
      <c r="CU152" s="1" t="str">
        <f t="shared" si="91"/>
        <v/>
      </c>
      <c r="CV152" s="1" t="str">
        <f t="shared" si="92"/>
        <v/>
      </c>
      <c r="DC152" s="154" t="e">
        <f t="shared" si="93"/>
        <v>#VALUE!</v>
      </c>
      <c r="DD152" s="154" t="str">
        <f t="shared" si="94"/>
        <v/>
      </c>
      <c r="DE152" s="154" t="str">
        <f t="shared" si="95"/>
        <v/>
      </c>
      <c r="DF152" s="1" t="str">
        <f t="shared" si="96"/>
        <v/>
      </c>
      <c r="DG152" s="1" t="str">
        <f t="shared" si="97"/>
        <v/>
      </c>
      <c r="DH152" s="1" t="str">
        <f t="shared" si="98"/>
        <v/>
      </c>
      <c r="DI152" s="1" t="str">
        <f t="shared" si="228"/>
        <v/>
      </c>
      <c r="DJ152" s="1" t="str">
        <f t="shared" si="229"/>
        <v/>
      </c>
      <c r="DK152" s="1" t="str">
        <f t="shared" si="101"/>
        <v/>
      </c>
      <c r="DL152" s="1" t="str">
        <f t="shared" si="102"/>
        <v/>
      </c>
      <c r="DM152" s="1" t="str">
        <f t="shared" si="103"/>
        <v/>
      </c>
    </row>
    <row r="153" customHeight="1" spans="1:117">
      <c r="A153" s="152" t="str">
        <f t="shared" si="233"/>
        <v/>
      </c>
      <c r="C153" s="55" t="str">
        <f t="shared" si="5"/>
        <v/>
      </c>
      <c r="D153" s="150" t="str">
        <f t="shared" si="6"/>
        <v/>
      </c>
      <c r="E153" s="151" t="str">
        <f t="shared" si="180"/>
        <v/>
      </c>
      <c r="F153" s="151" t="str">
        <f t="shared" si="181"/>
        <v/>
      </c>
      <c r="G153" s="151" t="str">
        <f t="shared" si="182"/>
        <v/>
      </c>
      <c r="H153" s="151" t="str">
        <f t="shared" si="183"/>
        <v/>
      </c>
      <c r="I153" s="151" t="str">
        <f t="shared" si="184"/>
        <v/>
      </c>
      <c r="J153" s="171" t="str">
        <f t="shared" si="185"/>
        <v/>
      </c>
      <c r="K153" s="172" t="str">
        <f t="shared" si="234"/>
        <v/>
      </c>
      <c r="L153" s="172" t="str">
        <f t="shared" si="235"/>
        <v/>
      </c>
      <c r="M153" s="173" t="str">
        <f t="shared" si="236"/>
        <v/>
      </c>
      <c r="N153" s="54" t="str">
        <f t="shared" si="186"/>
        <v/>
      </c>
      <c r="O153" s="55" t="str">
        <f t="shared" si="187"/>
        <v/>
      </c>
      <c r="P153" s="55" t="str">
        <f t="shared" si="15"/>
        <v/>
      </c>
      <c r="Q153" s="56" t="str">
        <f t="shared" si="188"/>
        <v/>
      </c>
      <c r="R153" s="56" t="str">
        <f t="shared" si="189"/>
        <v/>
      </c>
      <c r="S153" s="56" t="str">
        <f t="shared" si="190"/>
        <v/>
      </c>
      <c r="T153" s="56" t="str">
        <f t="shared" si="191"/>
        <v/>
      </c>
      <c r="U153" s="180" t="str">
        <f t="shared" si="192"/>
        <v/>
      </c>
      <c r="V153" s="55" t="str">
        <f t="shared" si="193"/>
        <v/>
      </c>
      <c r="W153" s="55" t="str">
        <f t="shared" si="194"/>
        <v/>
      </c>
      <c r="X153" s="56" t="str">
        <f t="shared" si="195"/>
        <v/>
      </c>
      <c r="Y153" s="180" t="str">
        <f t="shared" si="196"/>
        <v/>
      </c>
      <c r="Z153" s="55" t="str">
        <f t="shared" si="197"/>
        <v/>
      </c>
      <c r="AA153" s="55" t="str">
        <f t="shared" si="198"/>
        <v/>
      </c>
      <c r="AB153" s="150" t="str">
        <f t="shared" si="199"/>
        <v/>
      </c>
      <c r="AC153" s="188">
        <v>144</v>
      </c>
      <c r="AD153" s="1" t="b">
        <f t="shared" si="28"/>
        <v>0</v>
      </c>
      <c r="AE153" s="1" t="str">
        <f t="shared" si="29"/>
        <v/>
      </c>
      <c r="AF153" s="1" t="str">
        <f t="shared" si="30"/>
        <v/>
      </c>
      <c r="AG153" s="1" t="str">
        <f t="shared" si="31"/>
        <v/>
      </c>
      <c r="AH153" s="1" t="str">
        <f t="shared" si="200"/>
        <v/>
      </c>
      <c r="AI153" s="1" t="str">
        <f t="shared" si="33"/>
        <v/>
      </c>
      <c r="AJ153" s="191" t="str">
        <f t="shared" si="231"/>
        <v/>
      </c>
      <c r="AK153" s="191" t="str">
        <f t="shared" si="232"/>
        <v/>
      </c>
      <c r="AL153" s="191" t="str">
        <f t="shared" si="201"/>
        <v/>
      </c>
      <c r="AM153" s="1" t="str">
        <f t="shared" si="202"/>
        <v/>
      </c>
      <c r="AN153" s="191" t="str">
        <f t="shared" si="203"/>
        <v/>
      </c>
      <c r="AO153" s="134" t="str">
        <f t="shared" si="204"/>
        <v/>
      </c>
      <c r="AP153" s="64" t="str">
        <f t="shared" si="38"/>
        <v/>
      </c>
      <c r="AQ153" s="1" t="str">
        <f t="shared" si="230"/>
        <v/>
      </c>
      <c r="AR153" s="1" t="str">
        <f t="shared" si="205"/>
        <v/>
      </c>
      <c r="AS153" s="1" t="str">
        <f t="shared" si="206"/>
        <v/>
      </c>
      <c r="AT153" s="134" t="str">
        <f t="shared" si="207"/>
        <v/>
      </c>
      <c r="AU153" s="64" t="str">
        <f t="shared" si="208"/>
        <v/>
      </c>
      <c r="AV153" s="65" t="str">
        <f t="shared" si="209"/>
        <v/>
      </c>
      <c r="AW153" s="65" t="str">
        <f t="shared" si="210"/>
        <v/>
      </c>
      <c r="AX153" s="1" t="str">
        <f t="shared" si="211"/>
        <v/>
      </c>
      <c r="AY153" s="1" t="str">
        <f t="shared" si="212"/>
        <v/>
      </c>
      <c r="AZ153" s="131" t="str">
        <f t="shared" si="213"/>
        <v/>
      </c>
      <c r="BA153" s="1" t="str">
        <f t="shared" si="214"/>
        <v/>
      </c>
      <c r="BB153" s="1" t="str">
        <f t="shared" si="49"/>
        <v/>
      </c>
      <c r="BC153" s="1" t="str">
        <f t="shared" si="50"/>
        <v/>
      </c>
      <c r="BD153" s="1" t="str">
        <f t="shared" si="215"/>
        <v/>
      </c>
      <c r="BE153" s="1" t="str">
        <f t="shared" si="216"/>
        <v/>
      </c>
      <c r="BF153" s="1" t="str">
        <f t="shared" si="53"/>
        <v/>
      </c>
      <c r="BG153" s="1" t="str">
        <f t="shared" si="217"/>
        <v/>
      </c>
      <c r="BH153" s="1" t="str">
        <f t="shared" si="218"/>
        <v/>
      </c>
      <c r="BI153" s="1" t="str">
        <f t="shared" si="219"/>
        <v/>
      </c>
      <c r="BJ153" s="1" t="str">
        <f t="shared" si="220"/>
        <v/>
      </c>
      <c r="BK153" s="1" t="str">
        <f t="shared" si="221"/>
        <v/>
      </c>
      <c r="BL153" s="1" t="str">
        <f t="shared" si="222"/>
        <v/>
      </c>
      <c r="BM153" s="1" t="str">
        <f t="shared" si="223"/>
        <v/>
      </c>
      <c r="BN153" s="1" t="str">
        <f t="shared" si="224"/>
        <v/>
      </c>
      <c r="BO153" s="1" t="str">
        <f t="shared" si="225"/>
        <v/>
      </c>
      <c r="BQ153" s="1" t="str">
        <f t="shared" si="63"/>
        <v/>
      </c>
      <c r="BR153" s="1" t="str">
        <f t="shared" si="64"/>
        <v/>
      </c>
      <c r="BS153" s="1" t="str">
        <f t="shared" si="65"/>
        <v/>
      </c>
      <c r="BT153" s="1" t="str">
        <f t="shared" si="66"/>
        <v/>
      </c>
      <c r="BU153" s="1" t="str">
        <f t="shared" si="67"/>
        <v/>
      </c>
      <c r="BV153" s="1" t="str">
        <f t="shared" si="68"/>
        <v/>
      </c>
      <c r="BW153" s="1" t="str">
        <f t="shared" si="69"/>
        <v/>
      </c>
      <c r="BX153" s="1" t="str">
        <f t="shared" si="70"/>
        <v/>
      </c>
      <c r="BY153" s="1" t="str">
        <f t="shared" si="226"/>
        <v/>
      </c>
      <c r="BZ153" s="1" t="str">
        <f t="shared" si="72"/>
        <v/>
      </c>
      <c r="CA153" s="1" t="str">
        <f t="shared" si="73"/>
        <v/>
      </c>
      <c r="CB153" s="1" t="str">
        <f t="shared" si="74"/>
        <v/>
      </c>
      <c r="CC153" s="1" t="str">
        <f t="shared" si="75"/>
        <v/>
      </c>
      <c r="CD153" s="1" t="str">
        <f t="shared" si="227"/>
        <v/>
      </c>
      <c r="CE153" s="1" t="str">
        <f t="shared" si="77"/>
        <v/>
      </c>
      <c r="CF153" s="1" t="str">
        <f t="shared" si="78"/>
        <v/>
      </c>
      <c r="CG153" s="1" t="str">
        <f t="shared" si="79"/>
        <v/>
      </c>
      <c r="CH153" s="1" t="str">
        <f t="shared" si="80"/>
        <v/>
      </c>
      <c r="CJ153" s="1" t="str">
        <f t="shared" si="81"/>
        <v/>
      </c>
      <c r="CK153" s="1" t="str">
        <f t="shared" si="82"/>
        <v/>
      </c>
      <c r="CL153" s="1" t="str">
        <f t="shared" si="83"/>
        <v/>
      </c>
      <c r="CM153" s="1" t="str">
        <f t="shared" si="84"/>
        <v/>
      </c>
      <c r="CN153" s="1" t="str">
        <f t="shared" si="85"/>
        <v/>
      </c>
      <c r="CO153" s="1" t="str">
        <f t="shared" si="86"/>
        <v/>
      </c>
      <c r="CP153" s="1" t="str">
        <f t="shared" si="87"/>
        <v/>
      </c>
      <c r="CR153" s="1" t="str">
        <f t="shared" si="88"/>
        <v/>
      </c>
      <c r="CS153" s="1" t="str">
        <f t="shared" si="89"/>
        <v/>
      </c>
      <c r="CT153" s="1" t="str">
        <f t="shared" si="90"/>
        <v/>
      </c>
      <c r="CU153" s="1" t="str">
        <f t="shared" si="91"/>
        <v/>
      </c>
      <c r="CV153" s="1" t="str">
        <f t="shared" si="92"/>
        <v/>
      </c>
      <c r="DC153" s="154" t="e">
        <f t="shared" si="93"/>
        <v>#VALUE!</v>
      </c>
      <c r="DD153" s="154" t="str">
        <f t="shared" si="94"/>
        <v/>
      </c>
      <c r="DE153" s="154" t="str">
        <f t="shared" si="95"/>
        <v/>
      </c>
      <c r="DF153" s="1" t="str">
        <f t="shared" si="96"/>
        <v/>
      </c>
      <c r="DG153" s="1" t="str">
        <f t="shared" si="97"/>
        <v/>
      </c>
      <c r="DH153" s="1" t="str">
        <f t="shared" si="98"/>
        <v/>
      </c>
      <c r="DI153" s="1" t="str">
        <f t="shared" si="228"/>
        <v/>
      </c>
      <c r="DJ153" s="1" t="str">
        <f t="shared" si="229"/>
        <v/>
      </c>
      <c r="DK153" s="1" t="str">
        <f t="shared" si="101"/>
        <v/>
      </c>
      <c r="DL153" s="1" t="str">
        <f t="shared" si="102"/>
        <v/>
      </c>
      <c r="DM153" s="1" t="str">
        <f t="shared" si="103"/>
        <v/>
      </c>
    </row>
    <row r="154" customHeight="1" spans="1:117">
      <c r="A154" s="152" t="str">
        <f t="shared" si="233"/>
        <v/>
      </c>
      <c r="C154" s="55" t="str">
        <f t="shared" si="5"/>
        <v/>
      </c>
      <c r="D154" s="150" t="str">
        <f t="shared" si="6"/>
        <v/>
      </c>
      <c r="E154" s="151" t="str">
        <f t="shared" si="180"/>
        <v/>
      </c>
      <c r="F154" s="151" t="str">
        <f t="shared" si="181"/>
        <v/>
      </c>
      <c r="G154" s="151" t="str">
        <f t="shared" si="182"/>
        <v/>
      </c>
      <c r="H154" s="151" t="str">
        <f t="shared" si="183"/>
        <v/>
      </c>
      <c r="I154" s="151" t="str">
        <f t="shared" si="184"/>
        <v/>
      </c>
      <c r="J154" s="171" t="str">
        <f t="shared" si="185"/>
        <v/>
      </c>
      <c r="K154" s="172" t="str">
        <f t="shared" si="234"/>
        <v/>
      </c>
      <c r="L154" s="172" t="str">
        <f t="shared" si="235"/>
        <v/>
      </c>
      <c r="M154" s="173" t="str">
        <f t="shared" si="236"/>
        <v/>
      </c>
      <c r="N154" s="54" t="str">
        <f t="shared" si="186"/>
        <v/>
      </c>
      <c r="O154" s="55" t="str">
        <f t="shared" si="187"/>
        <v/>
      </c>
      <c r="P154" s="55" t="str">
        <f t="shared" si="15"/>
        <v/>
      </c>
      <c r="Q154" s="56" t="str">
        <f t="shared" si="188"/>
        <v/>
      </c>
      <c r="R154" s="56" t="str">
        <f t="shared" si="189"/>
        <v/>
      </c>
      <c r="S154" s="56" t="str">
        <f t="shared" si="190"/>
        <v/>
      </c>
      <c r="T154" s="56" t="str">
        <f t="shared" si="191"/>
        <v/>
      </c>
      <c r="U154" s="180" t="str">
        <f t="shared" si="192"/>
        <v/>
      </c>
      <c r="V154" s="55" t="str">
        <f t="shared" si="193"/>
        <v/>
      </c>
      <c r="W154" s="55" t="str">
        <f t="shared" si="194"/>
        <v/>
      </c>
      <c r="X154" s="56" t="str">
        <f t="shared" si="195"/>
        <v/>
      </c>
      <c r="Y154" s="180" t="str">
        <f t="shared" si="196"/>
        <v/>
      </c>
      <c r="Z154" s="55" t="str">
        <f t="shared" si="197"/>
        <v/>
      </c>
      <c r="AA154" s="55" t="str">
        <f t="shared" si="198"/>
        <v/>
      </c>
      <c r="AB154" s="150" t="str">
        <f t="shared" si="199"/>
        <v/>
      </c>
      <c r="AC154" s="188">
        <v>145</v>
      </c>
      <c r="AD154" s="1" t="b">
        <f t="shared" si="28"/>
        <v>0</v>
      </c>
      <c r="AE154" s="1" t="str">
        <f t="shared" si="29"/>
        <v/>
      </c>
      <c r="AF154" s="1" t="str">
        <f t="shared" si="30"/>
        <v/>
      </c>
      <c r="AG154" s="1" t="str">
        <f t="shared" si="31"/>
        <v/>
      </c>
      <c r="AH154" s="1" t="str">
        <f t="shared" si="200"/>
        <v/>
      </c>
      <c r="AI154" s="1" t="str">
        <f t="shared" si="33"/>
        <v/>
      </c>
      <c r="AJ154" s="191" t="str">
        <f t="shared" si="231"/>
        <v/>
      </c>
      <c r="AK154" s="191" t="str">
        <f t="shared" si="232"/>
        <v/>
      </c>
      <c r="AL154" s="191" t="str">
        <f t="shared" si="201"/>
        <v/>
      </c>
      <c r="AM154" s="1" t="str">
        <f t="shared" si="202"/>
        <v/>
      </c>
      <c r="AN154" s="191" t="str">
        <f t="shared" si="203"/>
        <v/>
      </c>
      <c r="AO154" s="134" t="str">
        <f t="shared" si="204"/>
        <v/>
      </c>
      <c r="AP154" s="64" t="str">
        <f t="shared" si="38"/>
        <v/>
      </c>
      <c r="AQ154" s="1" t="str">
        <f t="shared" si="230"/>
        <v/>
      </c>
      <c r="AR154" s="1" t="str">
        <f t="shared" si="205"/>
        <v/>
      </c>
      <c r="AS154" s="1" t="str">
        <f t="shared" si="206"/>
        <v/>
      </c>
      <c r="AT154" s="134" t="str">
        <f t="shared" si="207"/>
        <v/>
      </c>
      <c r="AU154" s="64" t="str">
        <f t="shared" si="208"/>
        <v/>
      </c>
      <c r="AV154" s="65" t="str">
        <f t="shared" si="209"/>
        <v/>
      </c>
      <c r="AW154" s="65" t="str">
        <f t="shared" si="210"/>
        <v/>
      </c>
      <c r="AX154" s="1" t="str">
        <f t="shared" si="211"/>
        <v/>
      </c>
      <c r="AY154" s="1" t="str">
        <f t="shared" si="212"/>
        <v/>
      </c>
      <c r="AZ154" s="131" t="str">
        <f t="shared" si="213"/>
        <v/>
      </c>
      <c r="BA154" s="1" t="str">
        <f t="shared" si="214"/>
        <v/>
      </c>
      <c r="BB154" s="1" t="str">
        <f t="shared" si="49"/>
        <v/>
      </c>
      <c r="BC154" s="1" t="str">
        <f t="shared" si="50"/>
        <v/>
      </c>
      <c r="BD154" s="1" t="str">
        <f t="shared" si="215"/>
        <v/>
      </c>
      <c r="BE154" s="1" t="str">
        <f t="shared" si="216"/>
        <v/>
      </c>
      <c r="BF154" s="1" t="str">
        <f t="shared" si="53"/>
        <v/>
      </c>
      <c r="BG154" s="1" t="str">
        <f t="shared" si="217"/>
        <v/>
      </c>
      <c r="BH154" s="1" t="str">
        <f t="shared" si="218"/>
        <v/>
      </c>
      <c r="BI154" s="1" t="str">
        <f t="shared" si="219"/>
        <v/>
      </c>
      <c r="BJ154" s="1" t="str">
        <f t="shared" si="220"/>
        <v/>
      </c>
      <c r="BK154" s="1" t="str">
        <f t="shared" si="221"/>
        <v/>
      </c>
      <c r="BL154" s="1" t="str">
        <f t="shared" si="222"/>
        <v/>
      </c>
      <c r="BM154" s="1" t="str">
        <f t="shared" si="223"/>
        <v/>
      </c>
      <c r="BN154" s="1" t="str">
        <f t="shared" si="224"/>
        <v/>
      </c>
      <c r="BO154" s="1" t="str">
        <f t="shared" si="225"/>
        <v/>
      </c>
      <c r="BQ154" s="1" t="str">
        <f t="shared" si="63"/>
        <v/>
      </c>
      <c r="BR154" s="1" t="str">
        <f t="shared" si="64"/>
        <v/>
      </c>
      <c r="BS154" s="1" t="str">
        <f t="shared" si="65"/>
        <v/>
      </c>
      <c r="BT154" s="1" t="str">
        <f t="shared" si="66"/>
        <v/>
      </c>
      <c r="BU154" s="1" t="str">
        <f t="shared" si="67"/>
        <v/>
      </c>
      <c r="BV154" s="1" t="str">
        <f t="shared" si="68"/>
        <v/>
      </c>
      <c r="BW154" s="1" t="str">
        <f t="shared" si="69"/>
        <v/>
      </c>
      <c r="BX154" s="1" t="str">
        <f t="shared" si="70"/>
        <v/>
      </c>
      <c r="BY154" s="1" t="str">
        <f t="shared" si="226"/>
        <v/>
      </c>
      <c r="BZ154" s="1" t="str">
        <f t="shared" si="72"/>
        <v/>
      </c>
      <c r="CA154" s="1" t="str">
        <f t="shared" si="73"/>
        <v/>
      </c>
      <c r="CB154" s="1" t="str">
        <f t="shared" si="74"/>
        <v/>
      </c>
      <c r="CC154" s="1" t="str">
        <f t="shared" si="75"/>
        <v/>
      </c>
      <c r="CD154" s="1" t="str">
        <f t="shared" si="227"/>
        <v/>
      </c>
      <c r="CE154" s="1" t="str">
        <f t="shared" si="77"/>
        <v/>
      </c>
      <c r="CF154" s="1" t="str">
        <f t="shared" si="78"/>
        <v/>
      </c>
      <c r="CG154" s="1" t="str">
        <f t="shared" si="79"/>
        <v/>
      </c>
      <c r="CH154" s="1" t="str">
        <f t="shared" si="80"/>
        <v/>
      </c>
      <c r="CJ154" s="1" t="str">
        <f t="shared" si="81"/>
        <v/>
      </c>
      <c r="CK154" s="1" t="str">
        <f t="shared" si="82"/>
        <v/>
      </c>
      <c r="CL154" s="1" t="str">
        <f t="shared" si="83"/>
        <v/>
      </c>
      <c r="CM154" s="1" t="str">
        <f t="shared" si="84"/>
        <v/>
      </c>
      <c r="CN154" s="1" t="str">
        <f t="shared" si="85"/>
        <v/>
      </c>
      <c r="CO154" s="1" t="str">
        <f t="shared" si="86"/>
        <v/>
      </c>
      <c r="CP154" s="1" t="str">
        <f t="shared" si="87"/>
        <v/>
      </c>
      <c r="CR154" s="1" t="str">
        <f t="shared" si="88"/>
        <v/>
      </c>
      <c r="CS154" s="1" t="str">
        <f t="shared" si="89"/>
        <v/>
      </c>
      <c r="CT154" s="1" t="str">
        <f t="shared" si="90"/>
        <v/>
      </c>
      <c r="CU154" s="1" t="str">
        <f t="shared" si="91"/>
        <v/>
      </c>
      <c r="CV154" s="1" t="str">
        <f t="shared" si="92"/>
        <v/>
      </c>
      <c r="DC154" s="154" t="e">
        <f t="shared" si="93"/>
        <v>#VALUE!</v>
      </c>
      <c r="DD154" s="154" t="str">
        <f t="shared" si="94"/>
        <v/>
      </c>
      <c r="DE154" s="154" t="str">
        <f t="shared" si="95"/>
        <v/>
      </c>
      <c r="DF154" s="1" t="str">
        <f t="shared" si="96"/>
        <v/>
      </c>
      <c r="DG154" s="1" t="str">
        <f t="shared" si="97"/>
        <v/>
      </c>
      <c r="DH154" s="1" t="str">
        <f t="shared" si="98"/>
        <v/>
      </c>
      <c r="DI154" s="1" t="str">
        <f t="shared" si="228"/>
        <v/>
      </c>
      <c r="DJ154" s="1" t="str">
        <f t="shared" si="229"/>
        <v/>
      </c>
      <c r="DK154" s="1" t="str">
        <f t="shared" si="101"/>
        <v/>
      </c>
      <c r="DL154" s="1" t="str">
        <f t="shared" si="102"/>
        <v/>
      </c>
      <c r="DM154" s="1" t="str">
        <f t="shared" si="103"/>
        <v/>
      </c>
    </row>
    <row r="155" customHeight="1" spans="1:117">
      <c r="A155" s="152" t="str">
        <f t="shared" si="233"/>
        <v/>
      </c>
      <c r="C155" s="55" t="str">
        <f t="shared" si="5"/>
        <v/>
      </c>
      <c r="D155" s="150" t="str">
        <f t="shared" si="6"/>
        <v/>
      </c>
      <c r="E155" s="151" t="str">
        <f t="shared" si="180"/>
        <v/>
      </c>
      <c r="F155" s="151" t="str">
        <f t="shared" si="181"/>
        <v/>
      </c>
      <c r="G155" s="151" t="str">
        <f t="shared" si="182"/>
        <v/>
      </c>
      <c r="H155" s="151" t="str">
        <f t="shared" si="183"/>
        <v/>
      </c>
      <c r="I155" s="151" t="str">
        <f t="shared" si="184"/>
        <v/>
      </c>
      <c r="J155" s="171" t="str">
        <f t="shared" si="185"/>
        <v/>
      </c>
      <c r="K155" s="172" t="str">
        <f t="shared" si="234"/>
        <v/>
      </c>
      <c r="L155" s="172" t="str">
        <f t="shared" si="235"/>
        <v/>
      </c>
      <c r="M155" s="173" t="str">
        <f t="shared" si="236"/>
        <v/>
      </c>
      <c r="N155" s="54" t="str">
        <f t="shared" si="186"/>
        <v/>
      </c>
      <c r="O155" s="55" t="str">
        <f t="shared" si="187"/>
        <v/>
      </c>
      <c r="P155" s="55" t="str">
        <f t="shared" si="15"/>
        <v/>
      </c>
      <c r="Q155" s="56" t="str">
        <f t="shared" si="188"/>
        <v/>
      </c>
      <c r="R155" s="56" t="str">
        <f t="shared" si="189"/>
        <v/>
      </c>
      <c r="S155" s="56" t="str">
        <f t="shared" si="190"/>
        <v/>
      </c>
      <c r="T155" s="56" t="str">
        <f t="shared" si="191"/>
        <v/>
      </c>
      <c r="U155" s="180" t="str">
        <f t="shared" si="192"/>
        <v/>
      </c>
      <c r="V155" s="55" t="str">
        <f t="shared" si="193"/>
        <v/>
      </c>
      <c r="W155" s="55" t="str">
        <f t="shared" si="194"/>
        <v/>
      </c>
      <c r="X155" s="56" t="str">
        <f t="shared" si="195"/>
        <v/>
      </c>
      <c r="Y155" s="180" t="str">
        <f t="shared" si="196"/>
        <v/>
      </c>
      <c r="Z155" s="55" t="str">
        <f t="shared" si="197"/>
        <v/>
      </c>
      <c r="AA155" s="55" t="str">
        <f t="shared" si="198"/>
        <v/>
      </c>
      <c r="AB155" s="150" t="str">
        <f t="shared" si="199"/>
        <v/>
      </c>
      <c r="AC155" s="188">
        <v>146</v>
      </c>
      <c r="AD155" s="1" t="b">
        <f t="shared" si="28"/>
        <v>0</v>
      </c>
      <c r="AE155" s="1" t="str">
        <f t="shared" si="29"/>
        <v/>
      </c>
      <c r="AF155" s="1" t="str">
        <f t="shared" si="30"/>
        <v/>
      </c>
      <c r="AG155" s="1" t="str">
        <f t="shared" si="31"/>
        <v/>
      </c>
      <c r="AH155" s="1" t="str">
        <f t="shared" si="200"/>
        <v/>
      </c>
      <c r="AI155" s="1" t="str">
        <f t="shared" si="33"/>
        <v/>
      </c>
      <c r="AJ155" s="191" t="str">
        <f t="shared" si="231"/>
        <v/>
      </c>
      <c r="AK155" s="191" t="str">
        <f t="shared" si="232"/>
        <v/>
      </c>
      <c r="AL155" s="191" t="str">
        <f t="shared" si="201"/>
        <v/>
      </c>
      <c r="AM155" s="1" t="str">
        <f t="shared" si="202"/>
        <v/>
      </c>
      <c r="AN155" s="191" t="str">
        <f t="shared" si="203"/>
        <v/>
      </c>
      <c r="AO155" s="134" t="str">
        <f t="shared" si="204"/>
        <v/>
      </c>
      <c r="AP155" s="64" t="str">
        <f t="shared" si="38"/>
        <v/>
      </c>
      <c r="AQ155" s="1" t="str">
        <f t="shared" si="230"/>
        <v/>
      </c>
      <c r="AR155" s="1" t="str">
        <f t="shared" si="205"/>
        <v/>
      </c>
      <c r="AS155" s="1" t="str">
        <f t="shared" si="206"/>
        <v/>
      </c>
      <c r="AT155" s="134" t="str">
        <f t="shared" si="207"/>
        <v/>
      </c>
      <c r="AU155" s="64" t="str">
        <f t="shared" si="208"/>
        <v/>
      </c>
      <c r="AV155" s="65" t="str">
        <f t="shared" si="209"/>
        <v/>
      </c>
      <c r="AW155" s="65" t="str">
        <f t="shared" si="210"/>
        <v/>
      </c>
      <c r="AX155" s="1" t="str">
        <f t="shared" si="211"/>
        <v/>
      </c>
      <c r="AY155" s="1" t="str">
        <f t="shared" si="212"/>
        <v/>
      </c>
      <c r="AZ155" s="131" t="str">
        <f t="shared" si="213"/>
        <v/>
      </c>
      <c r="BA155" s="1" t="str">
        <f t="shared" si="214"/>
        <v/>
      </c>
      <c r="BB155" s="1" t="str">
        <f t="shared" si="49"/>
        <v/>
      </c>
      <c r="BC155" s="1" t="str">
        <f t="shared" si="50"/>
        <v/>
      </c>
      <c r="BD155" s="1" t="str">
        <f t="shared" si="215"/>
        <v/>
      </c>
      <c r="BE155" s="1" t="str">
        <f t="shared" si="216"/>
        <v/>
      </c>
      <c r="BF155" s="1" t="str">
        <f t="shared" si="53"/>
        <v/>
      </c>
      <c r="BG155" s="1" t="str">
        <f t="shared" si="217"/>
        <v/>
      </c>
      <c r="BH155" s="1" t="str">
        <f t="shared" si="218"/>
        <v/>
      </c>
      <c r="BI155" s="1" t="str">
        <f t="shared" si="219"/>
        <v/>
      </c>
      <c r="BJ155" s="1" t="str">
        <f t="shared" si="220"/>
        <v/>
      </c>
      <c r="BK155" s="1" t="str">
        <f t="shared" si="221"/>
        <v/>
      </c>
      <c r="BL155" s="1" t="str">
        <f t="shared" si="222"/>
        <v/>
      </c>
      <c r="BM155" s="1" t="str">
        <f t="shared" si="223"/>
        <v/>
      </c>
      <c r="BN155" s="1" t="str">
        <f t="shared" si="224"/>
        <v/>
      </c>
      <c r="BO155" s="1" t="str">
        <f t="shared" si="225"/>
        <v/>
      </c>
      <c r="BQ155" s="1" t="str">
        <f t="shared" si="63"/>
        <v/>
      </c>
      <c r="BR155" s="1" t="str">
        <f t="shared" si="64"/>
        <v/>
      </c>
      <c r="BS155" s="1" t="str">
        <f t="shared" si="65"/>
        <v/>
      </c>
      <c r="BT155" s="1" t="str">
        <f t="shared" si="66"/>
        <v/>
      </c>
      <c r="BU155" s="1" t="str">
        <f t="shared" si="67"/>
        <v/>
      </c>
      <c r="BV155" s="1" t="str">
        <f t="shared" si="68"/>
        <v/>
      </c>
      <c r="BW155" s="1" t="str">
        <f t="shared" si="69"/>
        <v/>
      </c>
      <c r="BX155" s="1" t="str">
        <f t="shared" si="70"/>
        <v/>
      </c>
      <c r="BY155" s="1" t="str">
        <f t="shared" si="226"/>
        <v/>
      </c>
      <c r="BZ155" s="1" t="str">
        <f t="shared" si="72"/>
        <v/>
      </c>
      <c r="CA155" s="1" t="str">
        <f t="shared" si="73"/>
        <v/>
      </c>
      <c r="CB155" s="1" t="str">
        <f t="shared" si="74"/>
        <v/>
      </c>
      <c r="CC155" s="1" t="str">
        <f t="shared" si="75"/>
        <v/>
      </c>
      <c r="CD155" s="1" t="str">
        <f t="shared" si="227"/>
        <v/>
      </c>
      <c r="CE155" s="1" t="str">
        <f t="shared" si="77"/>
        <v/>
      </c>
      <c r="CF155" s="1" t="str">
        <f t="shared" si="78"/>
        <v/>
      </c>
      <c r="CG155" s="1" t="str">
        <f t="shared" si="79"/>
        <v/>
      </c>
      <c r="CH155" s="1" t="str">
        <f t="shared" si="80"/>
        <v/>
      </c>
      <c r="CJ155" s="1" t="str">
        <f t="shared" si="81"/>
        <v/>
      </c>
      <c r="CK155" s="1" t="str">
        <f t="shared" si="82"/>
        <v/>
      </c>
      <c r="CL155" s="1" t="str">
        <f t="shared" si="83"/>
        <v/>
      </c>
      <c r="CM155" s="1" t="str">
        <f t="shared" si="84"/>
        <v/>
      </c>
      <c r="CN155" s="1" t="str">
        <f t="shared" si="85"/>
        <v/>
      </c>
      <c r="CO155" s="1" t="str">
        <f t="shared" si="86"/>
        <v/>
      </c>
      <c r="CP155" s="1" t="str">
        <f t="shared" si="87"/>
        <v/>
      </c>
      <c r="CR155" s="1" t="str">
        <f t="shared" si="88"/>
        <v/>
      </c>
      <c r="CS155" s="1" t="str">
        <f t="shared" si="89"/>
        <v/>
      </c>
      <c r="CT155" s="1" t="str">
        <f t="shared" si="90"/>
        <v/>
      </c>
      <c r="CU155" s="1" t="str">
        <f t="shared" si="91"/>
        <v/>
      </c>
      <c r="CV155" s="1" t="str">
        <f t="shared" si="92"/>
        <v/>
      </c>
      <c r="DC155" s="154" t="e">
        <f t="shared" si="93"/>
        <v>#VALUE!</v>
      </c>
      <c r="DD155" s="154" t="str">
        <f t="shared" si="94"/>
        <v/>
      </c>
      <c r="DE155" s="154" t="str">
        <f t="shared" si="95"/>
        <v/>
      </c>
      <c r="DF155" s="1" t="str">
        <f t="shared" si="96"/>
        <v/>
      </c>
      <c r="DG155" s="1" t="str">
        <f t="shared" si="97"/>
        <v/>
      </c>
      <c r="DH155" s="1" t="str">
        <f t="shared" si="98"/>
        <v/>
      </c>
      <c r="DI155" s="1" t="str">
        <f t="shared" si="228"/>
        <v/>
      </c>
      <c r="DJ155" s="1" t="str">
        <f t="shared" si="229"/>
        <v/>
      </c>
      <c r="DK155" s="1" t="str">
        <f t="shared" si="101"/>
        <v/>
      </c>
      <c r="DL155" s="1" t="str">
        <f t="shared" si="102"/>
        <v/>
      </c>
      <c r="DM155" s="1" t="str">
        <f t="shared" si="103"/>
        <v/>
      </c>
    </row>
    <row r="156" customHeight="1" spans="1:117">
      <c r="A156" s="152" t="str">
        <f t="shared" si="233"/>
        <v/>
      </c>
      <c r="C156" s="55" t="str">
        <f t="shared" si="5"/>
        <v/>
      </c>
      <c r="D156" s="150" t="str">
        <f t="shared" si="6"/>
        <v/>
      </c>
      <c r="E156" s="151" t="str">
        <f t="shared" si="180"/>
        <v/>
      </c>
      <c r="F156" s="151" t="str">
        <f t="shared" si="181"/>
        <v/>
      </c>
      <c r="G156" s="151" t="str">
        <f t="shared" si="182"/>
        <v/>
      </c>
      <c r="H156" s="151" t="str">
        <f t="shared" si="183"/>
        <v/>
      </c>
      <c r="I156" s="151" t="str">
        <f t="shared" si="184"/>
        <v/>
      </c>
      <c r="J156" s="171" t="str">
        <f t="shared" si="185"/>
        <v/>
      </c>
      <c r="K156" s="172" t="str">
        <f t="shared" si="234"/>
        <v/>
      </c>
      <c r="L156" s="172" t="str">
        <f t="shared" si="235"/>
        <v/>
      </c>
      <c r="M156" s="173" t="str">
        <f t="shared" si="236"/>
        <v/>
      </c>
      <c r="N156" s="54" t="str">
        <f t="shared" si="186"/>
        <v/>
      </c>
      <c r="O156" s="55" t="str">
        <f t="shared" si="187"/>
        <v/>
      </c>
      <c r="P156" s="55" t="str">
        <f t="shared" si="15"/>
        <v/>
      </c>
      <c r="Q156" s="56" t="str">
        <f t="shared" si="188"/>
        <v/>
      </c>
      <c r="R156" s="56" t="str">
        <f t="shared" si="189"/>
        <v/>
      </c>
      <c r="S156" s="56" t="str">
        <f t="shared" si="190"/>
        <v/>
      </c>
      <c r="T156" s="56" t="str">
        <f t="shared" si="191"/>
        <v/>
      </c>
      <c r="U156" s="180" t="str">
        <f t="shared" si="192"/>
        <v/>
      </c>
      <c r="V156" s="55" t="str">
        <f t="shared" si="193"/>
        <v/>
      </c>
      <c r="W156" s="55" t="str">
        <f t="shared" si="194"/>
        <v/>
      </c>
      <c r="X156" s="56" t="str">
        <f t="shared" si="195"/>
        <v/>
      </c>
      <c r="Y156" s="180" t="str">
        <f t="shared" si="196"/>
        <v/>
      </c>
      <c r="Z156" s="55" t="str">
        <f t="shared" si="197"/>
        <v/>
      </c>
      <c r="AA156" s="55" t="str">
        <f t="shared" si="198"/>
        <v/>
      </c>
      <c r="AB156" s="150" t="str">
        <f t="shared" si="199"/>
        <v/>
      </c>
      <c r="AC156" s="188">
        <v>147</v>
      </c>
      <c r="AD156" s="1" t="b">
        <f t="shared" si="28"/>
        <v>0</v>
      </c>
      <c r="AE156" s="1" t="str">
        <f t="shared" si="29"/>
        <v/>
      </c>
      <c r="AF156" s="1" t="str">
        <f t="shared" si="30"/>
        <v/>
      </c>
      <c r="AG156" s="1" t="str">
        <f t="shared" si="31"/>
        <v/>
      </c>
      <c r="AH156" s="1" t="str">
        <f t="shared" si="200"/>
        <v/>
      </c>
      <c r="AI156" s="1" t="str">
        <f t="shared" si="33"/>
        <v/>
      </c>
      <c r="AJ156" s="191" t="str">
        <f t="shared" si="231"/>
        <v/>
      </c>
      <c r="AK156" s="191" t="str">
        <f t="shared" si="232"/>
        <v/>
      </c>
      <c r="AL156" s="191" t="str">
        <f t="shared" si="201"/>
        <v/>
      </c>
      <c r="AM156" s="1" t="str">
        <f t="shared" si="202"/>
        <v/>
      </c>
      <c r="AN156" s="191" t="str">
        <f t="shared" si="203"/>
        <v/>
      </c>
      <c r="AO156" s="134" t="str">
        <f t="shared" si="204"/>
        <v/>
      </c>
      <c r="AP156" s="64" t="str">
        <f t="shared" si="38"/>
        <v/>
      </c>
      <c r="AQ156" s="1" t="str">
        <f t="shared" si="230"/>
        <v/>
      </c>
      <c r="AR156" s="1" t="str">
        <f t="shared" si="205"/>
        <v/>
      </c>
      <c r="AS156" s="1" t="str">
        <f t="shared" si="206"/>
        <v/>
      </c>
      <c r="AT156" s="134" t="str">
        <f t="shared" si="207"/>
        <v/>
      </c>
      <c r="AU156" s="64" t="str">
        <f t="shared" si="208"/>
        <v/>
      </c>
      <c r="AV156" s="65" t="str">
        <f t="shared" si="209"/>
        <v/>
      </c>
      <c r="AW156" s="65" t="str">
        <f t="shared" si="210"/>
        <v/>
      </c>
      <c r="AX156" s="1" t="str">
        <f t="shared" si="211"/>
        <v/>
      </c>
      <c r="AY156" s="1" t="str">
        <f t="shared" si="212"/>
        <v/>
      </c>
      <c r="AZ156" s="131" t="str">
        <f t="shared" si="213"/>
        <v/>
      </c>
      <c r="BA156" s="1" t="str">
        <f t="shared" si="214"/>
        <v/>
      </c>
      <c r="BB156" s="1" t="str">
        <f t="shared" si="49"/>
        <v/>
      </c>
      <c r="BC156" s="1" t="str">
        <f t="shared" si="50"/>
        <v/>
      </c>
      <c r="BD156" s="1" t="str">
        <f t="shared" si="215"/>
        <v/>
      </c>
      <c r="BE156" s="1" t="str">
        <f t="shared" si="216"/>
        <v/>
      </c>
      <c r="BF156" s="1" t="str">
        <f t="shared" si="53"/>
        <v/>
      </c>
      <c r="BG156" s="1" t="str">
        <f t="shared" si="217"/>
        <v/>
      </c>
      <c r="BH156" s="1" t="str">
        <f t="shared" si="218"/>
        <v/>
      </c>
      <c r="BI156" s="1" t="str">
        <f t="shared" si="219"/>
        <v/>
      </c>
      <c r="BJ156" s="1" t="str">
        <f t="shared" si="220"/>
        <v/>
      </c>
      <c r="BK156" s="1" t="str">
        <f t="shared" si="221"/>
        <v/>
      </c>
      <c r="BL156" s="1" t="str">
        <f t="shared" si="222"/>
        <v/>
      </c>
      <c r="BM156" s="1" t="str">
        <f t="shared" si="223"/>
        <v/>
      </c>
      <c r="BN156" s="1" t="str">
        <f t="shared" si="224"/>
        <v/>
      </c>
      <c r="BO156" s="1" t="str">
        <f t="shared" si="225"/>
        <v/>
      </c>
      <c r="BQ156" s="1" t="str">
        <f t="shared" si="63"/>
        <v/>
      </c>
      <c r="BR156" s="1" t="str">
        <f t="shared" si="64"/>
        <v/>
      </c>
      <c r="BS156" s="1" t="str">
        <f t="shared" si="65"/>
        <v/>
      </c>
      <c r="BT156" s="1" t="str">
        <f t="shared" si="66"/>
        <v/>
      </c>
      <c r="BU156" s="1" t="str">
        <f t="shared" si="67"/>
        <v/>
      </c>
      <c r="BV156" s="1" t="str">
        <f t="shared" si="68"/>
        <v/>
      </c>
      <c r="BW156" s="1" t="str">
        <f t="shared" si="69"/>
        <v/>
      </c>
      <c r="BX156" s="1" t="str">
        <f t="shared" si="70"/>
        <v/>
      </c>
      <c r="BY156" s="1" t="str">
        <f t="shared" si="226"/>
        <v/>
      </c>
      <c r="BZ156" s="1" t="str">
        <f t="shared" si="72"/>
        <v/>
      </c>
      <c r="CA156" s="1" t="str">
        <f t="shared" si="73"/>
        <v/>
      </c>
      <c r="CB156" s="1" t="str">
        <f t="shared" si="74"/>
        <v/>
      </c>
      <c r="CC156" s="1" t="str">
        <f t="shared" si="75"/>
        <v/>
      </c>
      <c r="CD156" s="1" t="str">
        <f t="shared" si="227"/>
        <v/>
      </c>
      <c r="CE156" s="1" t="str">
        <f t="shared" si="77"/>
        <v/>
      </c>
      <c r="CF156" s="1" t="str">
        <f t="shared" si="78"/>
        <v/>
      </c>
      <c r="CG156" s="1" t="str">
        <f t="shared" si="79"/>
        <v/>
      </c>
      <c r="CH156" s="1" t="str">
        <f t="shared" si="80"/>
        <v/>
      </c>
      <c r="CJ156" s="1" t="str">
        <f t="shared" si="81"/>
        <v/>
      </c>
      <c r="CK156" s="1" t="str">
        <f t="shared" si="82"/>
        <v/>
      </c>
      <c r="CL156" s="1" t="str">
        <f t="shared" si="83"/>
        <v/>
      </c>
      <c r="CM156" s="1" t="str">
        <f t="shared" si="84"/>
        <v/>
      </c>
      <c r="CN156" s="1" t="str">
        <f t="shared" si="85"/>
        <v/>
      </c>
      <c r="CO156" s="1" t="str">
        <f t="shared" si="86"/>
        <v/>
      </c>
      <c r="CP156" s="1" t="str">
        <f t="shared" si="87"/>
        <v/>
      </c>
      <c r="CR156" s="1" t="str">
        <f t="shared" si="88"/>
        <v/>
      </c>
      <c r="CS156" s="1" t="str">
        <f t="shared" si="89"/>
        <v/>
      </c>
      <c r="CT156" s="1" t="str">
        <f t="shared" si="90"/>
        <v/>
      </c>
      <c r="CU156" s="1" t="str">
        <f t="shared" si="91"/>
        <v/>
      </c>
      <c r="CV156" s="1" t="str">
        <f t="shared" si="92"/>
        <v/>
      </c>
      <c r="DC156" s="154" t="e">
        <f t="shared" si="93"/>
        <v>#VALUE!</v>
      </c>
      <c r="DD156" s="154" t="str">
        <f t="shared" si="94"/>
        <v/>
      </c>
      <c r="DE156" s="154" t="str">
        <f t="shared" si="95"/>
        <v/>
      </c>
      <c r="DF156" s="1" t="str">
        <f t="shared" si="96"/>
        <v/>
      </c>
      <c r="DG156" s="1" t="str">
        <f t="shared" si="97"/>
        <v/>
      </c>
      <c r="DH156" s="1" t="str">
        <f t="shared" si="98"/>
        <v/>
      </c>
      <c r="DI156" s="1" t="str">
        <f t="shared" si="228"/>
        <v/>
      </c>
      <c r="DJ156" s="1" t="str">
        <f t="shared" si="229"/>
        <v/>
      </c>
      <c r="DK156" s="1" t="str">
        <f t="shared" si="101"/>
        <v/>
      </c>
      <c r="DL156" s="1" t="str">
        <f t="shared" si="102"/>
        <v/>
      </c>
      <c r="DM156" s="1" t="str">
        <f t="shared" si="103"/>
        <v/>
      </c>
    </row>
    <row r="157" customHeight="1" spans="1:117">
      <c r="A157" s="152" t="str">
        <f t="shared" si="233"/>
        <v/>
      </c>
      <c r="C157" s="55" t="str">
        <f t="shared" si="5"/>
        <v/>
      </c>
      <c r="D157" s="150" t="str">
        <f t="shared" si="6"/>
        <v/>
      </c>
      <c r="E157" s="151" t="str">
        <f t="shared" si="180"/>
        <v/>
      </c>
      <c r="F157" s="151" t="str">
        <f t="shared" si="181"/>
        <v/>
      </c>
      <c r="G157" s="151" t="str">
        <f t="shared" si="182"/>
        <v/>
      </c>
      <c r="H157" s="151" t="str">
        <f t="shared" si="183"/>
        <v/>
      </c>
      <c r="I157" s="151" t="str">
        <f t="shared" si="184"/>
        <v/>
      </c>
      <c r="J157" s="171" t="str">
        <f t="shared" si="185"/>
        <v/>
      </c>
      <c r="K157" s="172" t="str">
        <f t="shared" si="234"/>
        <v/>
      </c>
      <c r="L157" s="172" t="str">
        <f t="shared" si="235"/>
        <v/>
      </c>
      <c r="M157" s="173" t="str">
        <f t="shared" si="236"/>
        <v/>
      </c>
      <c r="N157" s="54" t="str">
        <f t="shared" si="186"/>
        <v/>
      </c>
      <c r="O157" s="55" t="str">
        <f t="shared" si="187"/>
        <v/>
      </c>
      <c r="P157" s="55" t="str">
        <f t="shared" si="15"/>
        <v/>
      </c>
      <c r="Q157" s="56" t="str">
        <f t="shared" si="188"/>
        <v/>
      </c>
      <c r="R157" s="56" t="str">
        <f t="shared" si="189"/>
        <v/>
      </c>
      <c r="S157" s="56" t="str">
        <f t="shared" si="190"/>
        <v/>
      </c>
      <c r="T157" s="56" t="str">
        <f t="shared" si="191"/>
        <v/>
      </c>
      <c r="U157" s="180" t="str">
        <f t="shared" si="192"/>
        <v/>
      </c>
      <c r="V157" s="55" t="str">
        <f t="shared" si="193"/>
        <v/>
      </c>
      <c r="W157" s="55" t="str">
        <f t="shared" si="194"/>
        <v/>
      </c>
      <c r="X157" s="56" t="str">
        <f t="shared" si="195"/>
        <v/>
      </c>
      <c r="Y157" s="180" t="str">
        <f t="shared" si="196"/>
        <v/>
      </c>
      <c r="Z157" s="55" t="str">
        <f t="shared" si="197"/>
        <v/>
      </c>
      <c r="AA157" s="55" t="str">
        <f t="shared" si="198"/>
        <v/>
      </c>
      <c r="AB157" s="150" t="str">
        <f t="shared" si="199"/>
        <v/>
      </c>
      <c r="AC157" s="188">
        <v>148</v>
      </c>
      <c r="AD157" s="1" t="b">
        <f t="shared" si="28"/>
        <v>0</v>
      </c>
      <c r="AE157" s="1" t="str">
        <f t="shared" si="29"/>
        <v/>
      </c>
      <c r="AF157" s="1" t="str">
        <f t="shared" si="30"/>
        <v/>
      </c>
      <c r="AG157" s="1" t="str">
        <f t="shared" si="31"/>
        <v/>
      </c>
      <c r="AH157" s="1" t="str">
        <f t="shared" si="200"/>
        <v/>
      </c>
      <c r="AI157" s="1" t="str">
        <f t="shared" si="33"/>
        <v/>
      </c>
      <c r="AJ157" s="191" t="str">
        <f t="shared" si="231"/>
        <v/>
      </c>
      <c r="AK157" s="191" t="str">
        <f t="shared" si="232"/>
        <v/>
      </c>
      <c r="AL157" s="191" t="str">
        <f t="shared" si="201"/>
        <v/>
      </c>
      <c r="AM157" s="1" t="str">
        <f t="shared" si="202"/>
        <v/>
      </c>
      <c r="AN157" s="191" t="str">
        <f t="shared" si="203"/>
        <v/>
      </c>
      <c r="AO157" s="134" t="str">
        <f t="shared" si="204"/>
        <v/>
      </c>
      <c r="AP157" s="64" t="str">
        <f t="shared" si="38"/>
        <v/>
      </c>
      <c r="AQ157" s="1" t="str">
        <f t="shared" si="230"/>
        <v/>
      </c>
      <c r="AR157" s="1" t="str">
        <f t="shared" si="205"/>
        <v/>
      </c>
      <c r="AS157" s="1" t="str">
        <f t="shared" si="206"/>
        <v/>
      </c>
      <c r="AT157" s="134" t="str">
        <f t="shared" si="207"/>
        <v/>
      </c>
      <c r="AU157" s="64" t="str">
        <f t="shared" si="208"/>
        <v/>
      </c>
      <c r="AV157" s="65" t="str">
        <f t="shared" si="209"/>
        <v/>
      </c>
      <c r="AW157" s="65" t="str">
        <f t="shared" si="210"/>
        <v/>
      </c>
      <c r="AX157" s="1" t="str">
        <f t="shared" si="211"/>
        <v/>
      </c>
      <c r="AY157" s="1" t="str">
        <f t="shared" si="212"/>
        <v/>
      </c>
      <c r="AZ157" s="131" t="str">
        <f t="shared" si="213"/>
        <v/>
      </c>
      <c r="BA157" s="1" t="str">
        <f t="shared" si="214"/>
        <v/>
      </c>
      <c r="BB157" s="1" t="str">
        <f t="shared" si="49"/>
        <v/>
      </c>
      <c r="BC157" s="1" t="str">
        <f t="shared" si="50"/>
        <v/>
      </c>
      <c r="BD157" s="1" t="str">
        <f t="shared" si="215"/>
        <v/>
      </c>
      <c r="BE157" s="1" t="str">
        <f t="shared" si="216"/>
        <v/>
      </c>
      <c r="BF157" s="1" t="str">
        <f t="shared" si="53"/>
        <v/>
      </c>
      <c r="BG157" s="1" t="str">
        <f t="shared" si="217"/>
        <v/>
      </c>
      <c r="BH157" s="1" t="str">
        <f t="shared" si="218"/>
        <v/>
      </c>
      <c r="BI157" s="1" t="str">
        <f t="shared" si="219"/>
        <v/>
      </c>
      <c r="BJ157" s="1" t="str">
        <f t="shared" si="220"/>
        <v/>
      </c>
      <c r="BK157" s="1" t="str">
        <f t="shared" si="221"/>
        <v/>
      </c>
      <c r="BL157" s="1" t="str">
        <f t="shared" si="222"/>
        <v/>
      </c>
      <c r="BM157" s="1" t="str">
        <f t="shared" si="223"/>
        <v/>
      </c>
      <c r="BN157" s="1" t="str">
        <f t="shared" si="224"/>
        <v/>
      </c>
      <c r="BO157" s="1" t="str">
        <f t="shared" si="225"/>
        <v/>
      </c>
      <c r="BQ157" s="1" t="str">
        <f t="shared" si="63"/>
        <v/>
      </c>
      <c r="BR157" s="1" t="str">
        <f t="shared" si="64"/>
        <v/>
      </c>
      <c r="BS157" s="1" t="str">
        <f t="shared" si="65"/>
        <v/>
      </c>
      <c r="BT157" s="1" t="str">
        <f t="shared" si="66"/>
        <v/>
      </c>
      <c r="BU157" s="1" t="str">
        <f t="shared" si="67"/>
        <v/>
      </c>
      <c r="BV157" s="1" t="str">
        <f t="shared" si="68"/>
        <v/>
      </c>
      <c r="BW157" s="1" t="str">
        <f t="shared" si="69"/>
        <v/>
      </c>
      <c r="BX157" s="1" t="str">
        <f t="shared" si="70"/>
        <v/>
      </c>
      <c r="BY157" s="1" t="str">
        <f t="shared" si="226"/>
        <v/>
      </c>
      <c r="BZ157" s="1" t="str">
        <f t="shared" si="72"/>
        <v/>
      </c>
      <c r="CA157" s="1" t="str">
        <f t="shared" si="73"/>
        <v/>
      </c>
      <c r="CB157" s="1" t="str">
        <f t="shared" si="74"/>
        <v/>
      </c>
      <c r="CC157" s="1" t="str">
        <f t="shared" si="75"/>
        <v/>
      </c>
      <c r="CD157" s="1" t="str">
        <f t="shared" si="227"/>
        <v/>
      </c>
      <c r="CE157" s="1" t="str">
        <f t="shared" si="77"/>
        <v/>
      </c>
      <c r="CF157" s="1" t="str">
        <f t="shared" si="78"/>
        <v/>
      </c>
      <c r="CG157" s="1" t="str">
        <f t="shared" si="79"/>
        <v/>
      </c>
      <c r="CH157" s="1" t="str">
        <f t="shared" si="80"/>
        <v/>
      </c>
      <c r="CJ157" s="1" t="str">
        <f t="shared" si="81"/>
        <v/>
      </c>
      <c r="CK157" s="1" t="str">
        <f t="shared" si="82"/>
        <v/>
      </c>
      <c r="CL157" s="1" t="str">
        <f t="shared" si="83"/>
        <v/>
      </c>
      <c r="CM157" s="1" t="str">
        <f t="shared" si="84"/>
        <v/>
      </c>
      <c r="CN157" s="1" t="str">
        <f t="shared" si="85"/>
        <v/>
      </c>
      <c r="CO157" s="1" t="str">
        <f t="shared" si="86"/>
        <v/>
      </c>
      <c r="CP157" s="1" t="str">
        <f t="shared" si="87"/>
        <v/>
      </c>
      <c r="CR157" s="1" t="str">
        <f t="shared" si="88"/>
        <v/>
      </c>
      <c r="CS157" s="1" t="str">
        <f t="shared" si="89"/>
        <v/>
      </c>
      <c r="CT157" s="1" t="str">
        <f t="shared" si="90"/>
        <v/>
      </c>
      <c r="CU157" s="1" t="str">
        <f t="shared" si="91"/>
        <v/>
      </c>
      <c r="CV157" s="1" t="str">
        <f t="shared" si="92"/>
        <v/>
      </c>
      <c r="DC157" s="154" t="e">
        <f t="shared" si="93"/>
        <v>#VALUE!</v>
      </c>
      <c r="DD157" s="154" t="str">
        <f t="shared" si="94"/>
        <v/>
      </c>
      <c r="DE157" s="154" t="str">
        <f t="shared" si="95"/>
        <v/>
      </c>
      <c r="DF157" s="1" t="str">
        <f t="shared" si="96"/>
        <v/>
      </c>
      <c r="DG157" s="1" t="str">
        <f t="shared" si="97"/>
        <v/>
      </c>
      <c r="DH157" s="1" t="str">
        <f t="shared" si="98"/>
        <v/>
      </c>
      <c r="DI157" s="1" t="str">
        <f t="shared" si="228"/>
        <v/>
      </c>
      <c r="DJ157" s="1" t="str">
        <f t="shared" si="229"/>
        <v/>
      </c>
      <c r="DK157" s="1" t="str">
        <f t="shared" si="101"/>
        <v/>
      </c>
      <c r="DL157" s="1" t="str">
        <f t="shared" si="102"/>
        <v/>
      </c>
      <c r="DM157" s="1" t="str">
        <f t="shared" si="103"/>
        <v/>
      </c>
    </row>
    <row r="158" customHeight="1" spans="1:117">
      <c r="A158" s="152" t="str">
        <f t="shared" si="233"/>
        <v/>
      </c>
      <c r="C158" s="55" t="str">
        <f t="shared" si="5"/>
        <v/>
      </c>
      <c r="D158" s="150" t="str">
        <f t="shared" si="6"/>
        <v/>
      </c>
      <c r="E158" s="151" t="str">
        <f t="shared" si="180"/>
        <v/>
      </c>
      <c r="F158" s="151" t="str">
        <f t="shared" si="181"/>
        <v/>
      </c>
      <c r="G158" s="151" t="str">
        <f t="shared" si="182"/>
        <v/>
      </c>
      <c r="H158" s="151" t="str">
        <f t="shared" si="183"/>
        <v/>
      </c>
      <c r="I158" s="151" t="str">
        <f t="shared" si="184"/>
        <v/>
      </c>
      <c r="J158" s="171" t="str">
        <f t="shared" si="185"/>
        <v/>
      </c>
      <c r="K158" s="172" t="str">
        <f t="shared" si="234"/>
        <v/>
      </c>
      <c r="L158" s="172" t="str">
        <f t="shared" si="235"/>
        <v/>
      </c>
      <c r="M158" s="173" t="str">
        <f t="shared" si="236"/>
        <v/>
      </c>
      <c r="N158" s="54" t="str">
        <f t="shared" si="186"/>
        <v/>
      </c>
      <c r="O158" s="55" t="str">
        <f t="shared" si="187"/>
        <v/>
      </c>
      <c r="P158" s="55" t="str">
        <f t="shared" si="15"/>
        <v/>
      </c>
      <c r="Q158" s="56" t="str">
        <f t="shared" si="188"/>
        <v/>
      </c>
      <c r="R158" s="56" t="str">
        <f t="shared" si="189"/>
        <v/>
      </c>
      <c r="S158" s="56" t="str">
        <f t="shared" si="190"/>
        <v/>
      </c>
      <c r="T158" s="56" t="str">
        <f t="shared" si="191"/>
        <v/>
      </c>
      <c r="U158" s="180" t="str">
        <f t="shared" si="192"/>
        <v/>
      </c>
      <c r="V158" s="55" t="str">
        <f t="shared" si="193"/>
        <v/>
      </c>
      <c r="W158" s="55" t="str">
        <f t="shared" si="194"/>
        <v/>
      </c>
      <c r="X158" s="56" t="str">
        <f t="shared" si="195"/>
        <v/>
      </c>
      <c r="Y158" s="180" t="str">
        <f t="shared" si="196"/>
        <v/>
      </c>
      <c r="Z158" s="55" t="str">
        <f t="shared" si="197"/>
        <v/>
      </c>
      <c r="AA158" s="55" t="str">
        <f t="shared" si="198"/>
        <v/>
      </c>
      <c r="AB158" s="150" t="str">
        <f t="shared" si="199"/>
        <v/>
      </c>
      <c r="AC158" s="188">
        <v>149</v>
      </c>
      <c r="AD158" s="1" t="b">
        <f t="shared" si="28"/>
        <v>0</v>
      </c>
      <c r="AE158" s="1" t="str">
        <f t="shared" si="29"/>
        <v/>
      </c>
      <c r="AF158" s="1" t="str">
        <f t="shared" si="30"/>
        <v/>
      </c>
      <c r="AG158" s="1" t="str">
        <f t="shared" si="31"/>
        <v/>
      </c>
      <c r="AH158" s="1" t="str">
        <f t="shared" si="200"/>
        <v/>
      </c>
      <c r="AI158" s="1" t="str">
        <f t="shared" si="33"/>
        <v/>
      </c>
      <c r="AJ158" s="191" t="str">
        <f t="shared" si="231"/>
        <v/>
      </c>
      <c r="AK158" s="191" t="str">
        <f t="shared" si="232"/>
        <v/>
      </c>
      <c r="AL158" s="191" t="str">
        <f t="shared" si="201"/>
        <v/>
      </c>
      <c r="AM158" s="1" t="str">
        <f t="shared" si="202"/>
        <v/>
      </c>
      <c r="AN158" s="191" t="str">
        <f t="shared" si="203"/>
        <v/>
      </c>
      <c r="AO158" s="134" t="str">
        <f t="shared" si="204"/>
        <v/>
      </c>
      <c r="AP158" s="64" t="str">
        <f t="shared" si="38"/>
        <v/>
      </c>
      <c r="AQ158" s="1" t="str">
        <f t="shared" si="230"/>
        <v/>
      </c>
      <c r="AR158" s="1" t="str">
        <f t="shared" si="205"/>
        <v/>
      </c>
      <c r="AS158" s="1" t="str">
        <f t="shared" si="206"/>
        <v/>
      </c>
      <c r="AT158" s="134" t="str">
        <f t="shared" si="207"/>
        <v/>
      </c>
      <c r="AU158" s="64" t="str">
        <f t="shared" si="208"/>
        <v/>
      </c>
      <c r="AV158" s="65" t="str">
        <f t="shared" si="209"/>
        <v/>
      </c>
      <c r="AW158" s="65" t="str">
        <f t="shared" si="210"/>
        <v/>
      </c>
      <c r="AX158" s="1" t="str">
        <f t="shared" si="211"/>
        <v/>
      </c>
      <c r="AY158" s="1" t="str">
        <f t="shared" si="212"/>
        <v/>
      </c>
      <c r="AZ158" s="131" t="str">
        <f t="shared" si="213"/>
        <v/>
      </c>
      <c r="BA158" s="1" t="str">
        <f t="shared" si="214"/>
        <v/>
      </c>
      <c r="BB158" s="1" t="str">
        <f t="shared" si="49"/>
        <v/>
      </c>
      <c r="BC158" s="1" t="str">
        <f t="shared" si="50"/>
        <v/>
      </c>
      <c r="BD158" s="1" t="str">
        <f t="shared" si="215"/>
        <v/>
      </c>
      <c r="BE158" s="1" t="str">
        <f t="shared" si="216"/>
        <v/>
      </c>
      <c r="BF158" s="1" t="str">
        <f t="shared" si="53"/>
        <v/>
      </c>
      <c r="BG158" s="1" t="str">
        <f t="shared" si="217"/>
        <v/>
      </c>
      <c r="BH158" s="1" t="str">
        <f t="shared" si="218"/>
        <v/>
      </c>
      <c r="BI158" s="1" t="str">
        <f t="shared" si="219"/>
        <v/>
      </c>
      <c r="BJ158" s="1" t="str">
        <f t="shared" si="220"/>
        <v/>
      </c>
      <c r="BK158" s="1" t="str">
        <f t="shared" si="221"/>
        <v/>
      </c>
      <c r="BL158" s="1" t="str">
        <f t="shared" si="222"/>
        <v/>
      </c>
      <c r="BM158" s="1" t="str">
        <f t="shared" si="223"/>
        <v/>
      </c>
      <c r="BN158" s="1" t="str">
        <f t="shared" si="224"/>
        <v/>
      </c>
      <c r="BO158" s="1" t="str">
        <f t="shared" si="225"/>
        <v/>
      </c>
      <c r="BQ158" s="1" t="str">
        <f t="shared" si="63"/>
        <v/>
      </c>
      <c r="BR158" s="1" t="str">
        <f t="shared" si="64"/>
        <v/>
      </c>
      <c r="BS158" s="1" t="str">
        <f t="shared" si="65"/>
        <v/>
      </c>
      <c r="BT158" s="1" t="str">
        <f t="shared" si="66"/>
        <v/>
      </c>
      <c r="BU158" s="1" t="str">
        <f t="shared" si="67"/>
        <v/>
      </c>
      <c r="BV158" s="1" t="str">
        <f t="shared" si="68"/>
        <v/>
      </c>
      <c r="BW158" s="1" t="str">
        <f t="shared" si="69"/>
        <v/>
      </c>
      <c r="BX158" s="1" t="str">
        <f t="shared" si="70"/>
        <v/>
      </c>
      <c r="BY158" s="1" t="str">
        <f t="shared" si="226"/>
        <v/>
      </c>
      <c r="BZ158" s="1" t="str">
        <f t="shared" si="72"/>
        <v/>
      </c>
      <c r="CA158" s="1" t="str">
        <f t="shared" si="73"/>
        <v/>
      </c>
      <c r="CB158" s="1" t="str">
        <f t="shared" si="74"/>
        <v/>
      </c>
      <c r="CC158" s="1" t="str">
        <f t="shared" si="75"/>
        <v/>
      </c>
      <c r="CD158" s="1" t="str">
        <f t="shared" si="227"/>
        <v/>
      </c>
      <c r="CE158" s="1" t="str">
        <f t="shared" si="77"/>
        <v/>
      </c>
      <c r="CF158" s="1" t="str">
        <f t="shared" si="78"/>
        <v/>
      </c>
      <c r="CG158" s="1" t="str">
        <f t="shared" si="79"/>
        <v/>
      </c>
      <c r="CH158" s="1" t="str">
        <f t="shared" si="80"/>
        <v/>
      </c>
      <c r="CJ158" s="1" t="str">
        <f t="shared" si="81"/>
        <v/>
      </c>
      <c r="CK158" s="1" t="str">
        <f t="shared" si="82"/>
        <v/>
      </c>
      <c r="CL158" s="1" t="str">
        <f t="shared" si="83"/>
        <v/>
      </c>
      <c r="CM158" s="1" t="str">
        <f t="shared" si="84"/>
        <v/>
      </c>
      <c r="CN158" s="1" t="str">
        <f t="shared" si="85"/>
        <v/>
      </c>
      <c r="CO158" s="1" t="str">
        <f t="shared" si="86"/>
        <v/>
      </c>
      <c r="CP158" s="1" t="str">
        <f t="shared" si="87"/>
        <v/>
      </c>
      <c r="CR158" s="1" t="str">
        <f t="shared" si="88"/>
        <v/>
      </c>
      <c r="CS158" s="1" t="str">
        <f t="shared" si="89"/>
        <v/>
      </c>
      <c r="CT158" s="1" t="str">
        <f t="shared" si="90"/>
        <v/>
      </c>
      <c r="CU158" s="1" t="str">
        <f t="shared" si="91"/>
        <v/>
      </c>
      <c r="CV158" s="1" t="str">
        <f t="shared" si="92"/>
        <v/>
      </c>
      <c r="DC158" s="154" t="e">
        <f t="shared" si="93"/>
        <v>#VALUE!</v>
      </c>
      <c r="DD158" s="154" t="str">
        <f t="shared" si="94"/>
        <v/>
      </c>
      <c r="DE158" s="154" t="str">
        <f t="shared" si="95"/>
        <v/>
      </c>
      <c r="DF158" s="1" t="str">
        <f t="shared" si="96"/>
        <v/>
      </c>
      <c r="DG158" s="1" t="str">
        <f t="shared" si="97"/>
        <v/>
      </c>
      <c r="DH158" s="1" t="str">
        <f t="shared" si="98"/>
        <v/>
      </c>
      <c r="DI158" s="1" t="str">
        <f t="shared" si="228"/>
        <v/>
      </c>
      <c r="DJ158" s="1" t="str">
        <f t="shared" si="229"/>
        <v/>
      </c>
      <c r="DK158" s="1" t="str">
        <f t="shared" si="101"/>
        <v/>
      </c>
      <c r="DL158" s="1" t="str">
        <f t="shared" si="102"/>
        <v/>
      </c>
      <c r="DM158" s="1" t="str">
        <f t="shared" si="103"/>
        <v/>
      </c>
    </row>
    <row r="159" customHeight="1" spans="1:117">
      <c r="A159" s="152" t="str">
        <f t="shared" si="233"/>
        <v/>
      </c>
      <c r="C159" s="55" t="str">
        <f t="shared" si="5"/>
        <v/>
      </c>
      <c r="D159" s="150" t="str">
        <f t="shared" si="6"/>
        <v/>
      </c>
      <c r="E159" s="151" t="str">
        <f t="shared" si="180"/>
        <v/>
      </c>
      <c r="F159" s="151" t="str">
        <f t="shared" si="181"/>
        <v/>
      </c>
      <c r="G159" s="151" t="str">
        <f t="shared" si="182"/>
        <v/>
      </c>
      <c r="H159" s="151" t="str">
        <f t="shared" si="183"/>
        <v/>
      </c>
      <c r="I159" s="151" t="str">
        <f t="shared" si="184"/>
        <v/>
      </c>
      <c r="J159" s="171" t="str">
        <f t="shared" si="185"/>
        <v/>
      </c>
      <c r="K159" s="172" t="str">
        <f t="shared" si="234"/>
        <v/>
      </c>
      <c r="L159" s="172" t="str">
        <f t="shared" si="235"/>
        <v/>
      </c>
      <c r="M159" s="173" t="str">
        <f t="shared" si="236"/>
        <v/>
      </c>
      <c r="N159" s="54" t="str">
        <f t="shared" si="186"/>
        <v/>
      </c>
      <c r="O159" s="55" t="str">
        <f t="shared" si="187"/>
        <v/>
      </c>
      <c r="P159" s="55" t="str">
        <f t="shared" si="15"/>
        <v/>
      </c>
      <c r="Q159" s="56" t="str">
        <f t="shared" si="188"/>
        <v/>
      </c>
      <c r="R159" s="56" t="str">
        <f t="shared" si="189"/>
        <v/>
      </c>
      <c r="S159" s="56" t="str">
        <f t="shared" si="190"/>
        <v/>
      </c>
      <c r="T159" s="56" t="str">
        <f t="shared" si="191"/>
        <v/>
      </c>
      <c r="U159" s="180" t="str">
        <f t="shared" si="192"/>
        <v/>
      </c>
      <c r="V159" s="55" t="str">
        <f t="shared" si="193"/>
        <v/>
      </c>
      <c r="W159" s="55" t="str">
        <f t="shared" si="194"/>
        <v/>
      </c>
      <c r="X159" s="56" t="str">
        <f t="shared" si="195"/>
        <v/>
      </c>
      <c r="Y159" s="180" t="str">
        <f t="shared" si="196"/>
        <v/>
      </c>
      <c r="Z159" s="55" t="str">
        <f t="shared" si="197"/>
        <v/>
      </c>
      <c r="AA159" s="55" t="str">
        <f t="shared" si="198"/>
        <v/>
      </c>
      <c r="AB159" s="150" t="str">
        <f t="shared" si="199"/>
        <v/>
      </c>
      <c r="AC159" s="188">
        <v>150</v>
      </c>
      <c r="AD159" s="1" t="b">
        <f t="shared" si="28"/>
        <v>0</v>
      </c>
      <c r="AE159" s="1" t="str">
        <f t="shared" si="29"/>
        <v/>
      </c>
      <c r="AF159" s="1" t="str">
        <f t="shared" si="30"/>
        <v/>
      </c>
      <c r="AG159" s="1" t="str">
        <f t="shared" si="31"/>
        <v/>
      </c>
      <c r="AH159" s="1" t="str">
        <f t="shared" si="200"/>
        <v/>
      </c>
      <c r="AI159" s="1" t="str">
        <f t="shared" si="33"/>
        <v/>
      </c>
      <c r="AJ159" s="191" t="str">
        <f t="shared" si="231"/>
        <v/>
      </c>
      <c r="AK159" s="191" t="str">
        <f t="shared" si="232"/>
        <v/>
      </c>
      <c r="AL159" s="191" t="str">
        <f t="shared" si="201"/>
        <v/>
      </c>
      <c r="AM159" s="1" t="str">
        <f t="shared" si="202"/>
        <v/>
      </c>
      <c r="AN159" s="191" t="str">
        <f t="shared" si="203"/>
        <v/>
      </c>
      <c r="AO159" s="134" t="str">
        <f t="shared" si="204"/>
        <v/>
      </c>
      <c r="AP159" s="64" t="str">
        <f t="shared" si="38"/>
        <v/>
      </c>
      <c r="AQ159" s="1" t="str">
        <f t="shared" si="230"/>
        <v/>
      </c>
      <c r="AR159" s="1" t="str">
        <f t="shared" si="205"/>
        <v/>
      </c>
      <c r="AS159" s="1" t="str">
        <f t="shared" si="206"/>
        <v/>
      </c>
      <c r="AT159" s="134" t="str">
        <f t="shared" si="207"/>
        <v/>
      </c>
      <c r="AU159" s="64" t="str">
        <f t="shared" si="208"/>
        <v/>
      </c>
      <c r="AV159" s="65" t="str">
        <f t="shared" si="209"/>
        <v/>
      </c>
      <c r="AW159" s="65" t="str">
        <f t="shared" si="210"/>
        <v/>
      </c>
      <c r="AX159" s="1" t="str">
        <f t="shared" si="211"/>
        <v/>
      </c>
      <c r="AY159" s="1" t="str">
        <f t="shared" si="212"/>
        <v/>
      </c>
      <c r="AZ159" s="131" t="str">
        <f t="shared" si="213"/>
        <v/>
      </c>
      <c r="BA159" s="1" t="str">
        <f t="shared" si="214"/>
        <v/>
      </c>
      <c r="BB159" s="1" t="str">
        <f t="shared" si="49"/>
        <v/>
      </c>
      <c r="BC159" s="1" t="str">
        <f t="shared" si="50"/>
        <v/>
      </c>
      <c r="BD159" s="1" t="str">
        <f t="shared" si="215"/>
        <v/>
      </c>
      <c r="BE159" s="1" t="str">
        <f t="shared" si="216"/>
        <v/>
      </c>
      <c r="BF159" s="1" t="str">
        <f t="shared" si="53"/>
        <v/>
      </c>
      <c r="BG159" s="1" t="str">
        <f t="shared" si="217"/>
        <v/>
      </c>
      <c r="BH159" s="1" t="str">
        <f t="shared" si="218"/>
        <v/>
      </c>
      <c r="BI159" s="1" t="str">
        <f t="shared" si="219"/>
        <v/>
      </c>
      <c r="BJ159" s="1" t="str">
        <f t="shared" si="220"/>
        <v/>
      </c>
      <c r="BK159" s="1" t="str">
        <f t="shared" si="221"/>
        <v/>
      </c>
      <c r="BL159" s="1" t="str">
        <f t="shared" si="222"/>
        <v/>
      </c>
      <c r="BM159" s="1" t="str">
        <f t="shared" si="223"/>
        <v/>
      </c>
      <c r="BN159" s="1" t="str">
        <f t="shared" si="224"/>
        <v/>
      </c>
      <c r="BO159" s="1" t="str">
        <f t="shared" si="225"/>
        <v/>
      </c>
      <c r="BQ159" s="1" t="str">
        <f t="shared" si="63"/>
        <v/>
      </c>
      <c r="BR159" s="1" t="str">
        <f t="shared" si="64"/>
        <v/>
      </c>
      <c r="BS159" s="1" t="str">
        <f t="shared" si="65"/>
        <v/>
      </c>
      <c r="BT159" s="1" t="str">
        <f t="shared" si="66"/>
        <v/>
      </c>
      <c r="BU159" s="1" t="str">
        <f t="shared" si="67"/>
        <v/>
      </c>
      <c r="BV159" s="1" t="str">
        <f t="shared" si="68"/>
        <v/>
      </c>
      <c r="BW159" s="1" t="str">
        <f t="shared" si="69"/>
        <v/>
      </c>
      <c r="BX159" s="1" t="str">
        <f t="shared" si="70"/>
        <v/>
      </c>
      <c r="BY159" s="1" t="str">
        <f t="shared" si="226"/>
        <v/>
      </c>
      <c r="BZ159" s="1" t="str">
        <f t="shared" si="72"/>
        <v/>
      </c>
      <c r="CA159" s="1" t="str">
        <f t="shared" si="73"/>
        <v/>
      </c>
      <c r="CB159" s="1" t="str">
        <f t="shared" si="74"/>
        <v/>
      </c>
      <c r="CC159" s="1" t="str">
        <f t="shared" si="75"/>
        <v/>
      </c>
      <c r="CD159" s="1" t="str">
        <f t="shared" si="227"/>
        <v/>
      </c>
      <c r="CE159" s="1" t="str">
        <f t="shared" si="77"/>
        <v/>
      </c>
      <c r="CF159" s="1" t="str">
        <f t="shared" si="78"/>
        <v/>
      </c>
      <c r="CG159" s="1" t="str">
        <f t="shared" si="79"/>
        <v/>
      </c>
      <c r="CH159" s="1" t="str">
        <f t="shared" si="80"/>
        <v/>
      </c>
      <c r="CJ159" s="1" t="str">
        <f t="shared" si="81"/>
        <v/>
      </c>
      <c r="CK159" s="1" t="str">
        <f t="shared" si="82"/>
        <v/>
      </c>
      <c r="CL159" s="1" t="str">
        <f t="shared" si="83"/>
        <v/>
      </c>
      <c r="CM159" s="1" t="str">
        <f t="shared" si="84"/>
        <v/>
      </c>
      <c r="CN159" s="1" t="str">
        <f t="shared" si="85"/>
        <v/>
      </c>
      <c r="CO159" s="1" t="str">
        <f t="shared" si="86"/>
        <v/>
      </c>
      <c r="CP159" s="1" t="str">
        <f t="shared" si="87"/>
        <v/>
      </c>
      <c r="CR159" s="1" t="str">
        <f t="shared" si="88"/>
        <v/>
      </c>
      <c r="CS159" s="1" t="str">
        <f t="shared" si="89"/>
        <v/>
      </c>
      <c r="CT159" s="1" t="str">
        <f t="shared" si="90"/>
        <v/>
      </c>
      <c r="CU159" s="1" t="str">
        <f t="shared" si="91"/>
        <v/>
      </c>
      <c r="CV159" s="1" t="str">
        <f t="shared" si="92"/>
        <v/>
      </c>
      <c r="DC159" s="154" t="e">
        <f t="shared" si="93"/>
        <v>#VALUE!</v>
      </c>
      <c r="DD159" s="154" t="str">
        <f t="shared" si="94"/>
        <v/>
      </c>
      <c r="DE159" s="154" t="str">
        <f t="shared" si="95"/>
        <v/>
      </c>
      <c r="DF159" s="1" t="str">
        <f t="shared" si="96"/>
        <v/>
      </c>
      <c r="DG159" s="1" t="str">
        <f t="shared" si="97"/>
        <v/>
      </c>
      <c r="DH159" s="1" t="str">
        <f t="shared" si="98"/>
        <v/>
      </c>
      <c r="DI159" s="1" t="str">
        <f t="shared" si="228"/>
        <v/>
      </c>
      <c r="DJ159" s="1" t="str">
        <f t="shared" si="229"/>
        <v/>
      </c>
      <c r="DK159" s="1" t="str">
        <f t="shared" si="101"/>
        <v/>
      </c>
      <c r="DL159" s="1" t="str">
        <f t="shared" si="102"/>
        <v/>
      </c>
      <c r="DM159" s="1" t="str">
        <f t="shared" si="103"/>
        <v/>
      </c>
    </row>
    <row r="160" customHeight="1" spans="1:117">
      <c r="A160" s="152" t="str">
        <f t="shared" si="233"/>
        <v/>
      </c>
      <c r="C160" s="55" t="str">
        <f t="shared" si="5"/>
        <v/>
      </c>
      <c r="D160" s="150" t="str">
        <f t="shared" si="6"/>
        <v/>
      </c>
      <c r="E160" s="151" t="str">
        <f t="shared" si="180"/>
        <v/>
      </c>
      <c r="F160" s="151" t="str">
        <f t="shared" si="181"/>
        <v/>
      </c>
      <c r="G160" s="151" t="str">
        <f t="shared" si="182"/>
        <v/>
      </c>
      <c r="H160" s="151" t="str">
        <f t="shared" si="183"/>
        <v/>
      </c>
      <c r="I160" s="151" t="str">
        <f t="shared" si="184"/>
        <v/>
      </c>
      <c r="J160" s="171" t="str">
        <f t="shared" si="185"/>
        <v/>
      </c>
      <c r="K160" s="172" t="str">
        <f t="shared" si="234"/>
        <v/>
      </c>
      <c r="L160" s="172" t="str">
        <f t="shared" si="235"/>
        <v/>
      </c>
      <c r="M160" s="173" t="str">
        <f t="shared" si="236"/>
        <v/>
      </c>
      <c r="N160" s="54" t="str">
        <f t="shared" si="186"/>
        <v/>
      </c>
      <c r="O160" s="55" t="str">
        <f t="shared" si="187"/>
        <v/>
      </c>
      <c r="P160" s="55" t="str">
        <f t="shared" si="15"/>
        <v/>
      </c>
      <c r="Q160" s="56" t="str">
        <f t="shared" si="188"/>
        <v/>
      </c>
      <c r="R160" s="56" t="str">
        <f t="shared" si="189"/>
        <v/>
      </c>
      <c r="S160" s="56" t="str">
        <f t="shared" si="190"/>
        <v/>
      </c>
      <c r="T160" s="56" t="str">
        <f t="shared" si="191"/>
        <v/>
      </c>
      <c r="U160" s="180" t="str">
        <f t="shared" si="192"/>
        <v/>
      </c>
      <c r="V160" s="55" t="str">
        <f t="shared" si="193"/>
        <v/>
      </c>
      <c r="W160" s="55" t="str">
        <f t="shared" si="194"/>
        <v/>
      </c>
      <c r="X160" s="56" t="str">
        <f t="shared" si="195"/>
        <v/>
      </c>
      <c r="Y160" s="180" t="str">
        <f t="shared" si="196"/>
        <v/>
      </c>
      <c r="Z160" s="55" t="str">
        <f t="shared" si="197"/>
        <v/>
      </c>
      <c r="AA160" s="55" t="str">
        <f t="shared" si="198"/>
        <v/>
      </c>
      <c r="AB160" s="150" t="str">
        <f t="shared" si="199"/>
        <v/>
      </c>
      <c r="AC160" s="188">
        <v>151</v>
      </c>
      <c r="AD160" s="1" t="b">
        <f t="shared" si="28"/>
        <v>0</v>
      </c>
      <c r="AE160" s="1" t="str">
        <f t="shared" si="29"/>
        <v/>
      </c>
      <c r="AF160" s="1" t="str">
        <f t="shared" si="30"/>
        <v/>
      </c>
      <c r="AG160" s="1" t="str">
        <f t="shared" si="31"/>
        <v/>
      </c>
      <c r="AH160" s="1" t="str">
        <f t="shared" si="200"/>
        <v/>
      </c>
      <c r="AI160" s="1" t="str">
        <f t="shared" si="33"/>
        <v/>
      </c>
      <c r="AJ160" s="191" t="str">
        <f t="shared" si="231"/>
        <v/>
      </c>
      <c r="AK160" s="191" t="str">
        <f t="shared" si="232"/>
        <v/>
      </c>
      <c r="AL160" s="191" t="str">
        <f t="shared" si="201"/>
        <v/>
      </c>
      <c r="AM160" s="1" t="str">
        <f t="shared" si="202"/>
        <v/>
      </c>
      <c r="AN160" s="191" t="str">
        <f t="shared" si="203"/>
        <v/>
      </c>
      <c r="AO160" s="134" t="str">
        <f t="shared" si="204"/>
        <v/>
      </c>
      <c r="AP160" s="64" t="str">
        <f t="shared" si="38"/>
        <v/>
      </c>
      <c r="AQ160" s="1" t="str">
        <f t="shared" si="230"/>
        <v/>
      </c>
      <c r="AR160" s="1" t="str">
        <f t="shared" si="205"/>
        <v/>
      </c>
      <c r="AS160" s="1" t="str">
        <f t="shared" si="206"/>
        <v/>
      </c>
      <c r="AT160" s="134" t="str">
        <f t="shared" si="207"/>
        <v/>
      </c>
      <c r="AU160" s="64" t="str">
        <f t="shared" si="208"/>
        <v/>
      </c>
      <c r="AV160" s="65" t="str">
        <f t="shared" si="209"/>
        <v/>
      </c>
      <c r="AW160" s="65" t="str">
        <f t="shared" si="210"/>
        <v/>
      </c>
      <c r="AX160" s="1" t="str">
        <f t="shared" si="211"/>
        <v/>
      </c>
      <c r="AY160" s="1" t="str">
        <f t="shared" si="212"/>
        <v/>
      </c>
      <c r="AZ160" s="131" t="str">
        <f t="shared" si="213"/>
        <v/>
      </c>
      <c r="BA160" s="1" t="str">
        <f t="shared" si="214"/>
        <v/>
      </c>
      <c r="BB160" s="1" t="str">
        <f t="shared" si="49"/>
        <v/>
      </c>
      <c r="BC160" s="1" t="str">
        <f t="shared" si="50"/>
        <v/>
      </c>
      <c r="BD160" s="1" t="str">
        <f t="shared" si="215"/>
        <v/>
      </c>
      <c r="BE160" s="1" t="str">
        <f t="shared" si="216"/>
        <v/>
      </c>
      <c r="BF160" s="1" t="str">
        <f t="shared" si="53"/>
        <v/>
      </c>
      <c r="BG160" s="1" t="str">
        <f t="shared" si="217"/>
        <v/>
      </c>
      <c r="BH160" s="1" t="str">
        <f t="shared" si="218"/>
        <v/>
      </c>
      <c r="BI160" s="1" t="str">
        <f t="shared" si="219"/>
        <v/>
      </c>
      <c r="BJ160" s="1" t="str">
        <f t="shared" si="220"/>
        <v/>
      </c>
      <c r="BK160" s="1" t="str">
        <f t="shared" si="221"/>
        <v/>
      </c>
      <c r="BL160" s="1" t="str">
        <f t="shared" si="222"/>
        <v/>
      </c>
      <c r="BM160" s="1" t="str">
        <f t="shared" si="223"/>
        <v/>
      </c>
      <c r="BN160" s="1" t="str">
        <f t="shared" si="224"/>
        <v/>
      </c>
      <c r="BO160" s="1" t="str">
        <f t="shared" si="225"/>
        <v/>
      </c>
      <c r="BQ160" s="1" t="str">
        <f t="shared" si="63"/>
        <v/>
      </c>
      <c r="BR160" s="1" t="str">
        <f t="shared" si="64"/>
        <v/>
      </c>
      <c r="BS160" s="1" t="str">
        <f t="shared" si="65"/>
        <v/>
      </c>
      <c r="BT160" s="1" t="str">
        <f t="shared" si="66"/>
        <v/>
      </c>
      <c r="BU160" s="1" t="str">
        <f t="shared" si="67"/>
        <v/>
      </c>
      <c r="BV160" s="1" t="str">
        <f t="shared" si="68"/>
        <v/>
      </c>
      <c r="BW160" s="1" t="str">
        <f t="shared" si="69"/>
        <v/>
      </c>
      <c r="BX160" s="1" t="str">
        <f t="shared" si="70"/>
        <v/>
      </c>
      <c r="BY160" s="1" t="str">
        <f t="shared" si="226"/>
        <v/>
      </c>
      <c r="BZ160" s="1" t="str">
        <f t="shared" si="72"/>
        <v/>
      </c>
      <c r="CA160" s="1" t="str">
        <f t="shared" si="73"/>
        <v/>
      </c>
      <c r="CB160" s="1" t="str">
        <f t="shared" si="74"/>
        <v/>
      </c>
      <c r="CC160" s="1" t="str">
        <f t="shared" si="75"/>
        <v/>
      </c>
      <c r="CD160" s="1" t="str">
        <f t="shared" si="227"/>
        <v/>
      </c>
      <c r="CE160" s="1" t="str">
        <f t="shared" si="77"/>
        <v/>
      </c>
      <c r="CF160" s="1" t="str">
        <f t="shared" si="78"/>
        <v/>
      </c>
      <c r="CG160" s="1" t="str">
        <f t="shared" si="79"/>
        <v/>
      </c>
      <c r="CH160" s="1" t="str">
        <f t="shared" si="80"/>
        <v/>
      </c>
      <c r="CJ160" s="1" t="str">
        <f t="shared" si="81"/>
        <v/>
      </c>
      <c r="CK160" s="1" t="str">
        <f t="shared" si="82"/>
        <v/>
      </c>
      <c r="CL160" s="1" t="str">
        <f t="shared" si="83"/>
        <v/>
      </c>
      <c r="CM160" s="1" t="str">
        <f t="shared" si="84"/>
        <v/>
      </c>
      <c r="CN160" s="1" t="str">
        <f t="shared" si="85"/>
        <v/>
      </c>
      <c r="CO160" s="1" t="str">
        <f t="shared" si="86"/>
        <v/>
      </c>
      <c r="CP160" s="1" t="str">
        <f t="shared" si="87"/>
        <v/>
      </c>
      <c r="CR160" s="1" t="str">
        <f t="shared" si="88"/>
        <v/>
      </c>
      <c r="CS160" s="1" t="str">
        <f t="shared" si="89"/>
        <v/>
      </c>
      <c r="CT160" s="1" t="str">
        <f t="shared" si="90"/>
        <v/>
      </c>
      <c r="CU160" s="1" t="str">
        <f t="shared" si="91"/>
        <v/>
      </c>
      <c r="CV160" s="1" t="str">
        <f t="shared" si="92"/>
        <v/>
      </c>
      <c r="DC160" s="154" t="e">
        <f t="shared" si="93"/>
        <v>#VALUE!</v>
      </c>
      <c r="DD160" s="154" t="str">
        <f t="shared" si="94"/>
        <v/>
      </c>
      <c r="DE160" s="154" t="str">
        <f t="shared" si="95"/>
        <v/>
      </c>
      <c r="DF160" s="1" t="str">
        <f t="shared" si="96"/>
        <v/>
      </c>
      <c r="DG160" s="1" t="str">
        <f t="shared" si="97"/>
        <v/>
      </c>
      <c r="DH160" s="1" t="str">
        <f t="shared" si="98"/>
        <v/>
      </c>
      <c r="DI160" s="1" t="str">
        <f t="shared" si="228"/>
        <v/>
      </c>
      <c r="DJ160" s="1" t="str">
        <f t="shared" si="229"/>
        <v/>
      </c>
      <c r="DK160" s="1" t="str">
        <f t="shared" si="101"/>
        <v/>
      </c>
      <c r="DL160" s="1" t="str">
        <f t="shared" si="102"/>
        <v/>
      </c>
      <c r="DM160" s="1" t="str">
        <f t="shared" si="103"/>
        <v/>
      </c>
    </row>
    <row r="161" customHeight="1" spans="1:117">
      <c r="A161" s="152" t="str">
        <f t="shared" si="233"/>
        <v/>
      </c>
      <c r="C161" s="55" t="str">
        <f t="shared" si="5"/>
        <v/>
      </c>
      <c r="D161" s="150" t="str">
        <f t="shared" si="6"/>
        <v/>
      </c>
      <c r="E161" s="151" t="str">
        <f t="shared" si="180"/>
        <v/>
      </c>
      <c r="F161" s="151" t="str">
        <f t="shared" si="181"/>
        <v/>
      </c>
      <c r="G161" s="151" t="str">
        <f t="shared" si="182"/>
        <v/>
      </c>
      <c r="H161" s="151" t="str">
        <f t="shared" si="183"/>
        <v/>
      </c>
      <c r="I161" s="151" t="str">
        <f t="shared" si="184"/>
        <v/>
      </c>
      <c r="J161" s="171" t="str">
        <f t="shared" si="185"/>
        <v/>
      </c>
      <c r="K161" s="172" t="str">
        <f t="shared" si="234"/>
        <v/>
      </c>
      <c r="L161" s="172" t="str">
        <f t="shared" si="235"/>
        <v/>
      </c>
      <c r="M161" s="173" t="str">
        <f t="shared" si="236"/>
        <v/>
      </c>
      <c r="N161" s="54" t="str">
        <f t="shared" si="186"/>
        <v/>
      </c>
      <c r="O161" s="55" t="str">
        <f t="shared" si="187"/>
        <v/>
      </c>
      <c r="P161" s="55" t="str">
        <f t="shared" si="15"/>
        <v/>
      </c>
      <c r="Q161" s="56" t="str">
        <f t="shared" si="188"/>
        <v/>
      </c>
      <c r="R161" s="56" t="str">
        <f t="shared" si="189"/>
        <v/>
      </c>
      <c r="S161" s="56" t="str">
        <f t="shared" si="190"/>
        <v/>
      </c>
      <c r="T161" s="56" t="str">
        <f t="shared" si="191"/>
        <v/>
      </c>
      <c r="U161" s="180" t="str">
        <f t="shared" si="192"/>
        <v/>
      </c>
      <c r="V161" s="55" t="str">
        <f t="shared" si="193"/>
        <v/>
      </c>
      <c r="W161" s="55" t="str">
        <f t="shared" si="194"/>
        <v/>
      </c>
      <c r="X161" s="56" t="str">
        <f t="shared" si="195"/>
        <v/>
      </c>
      <c r="Y161" s="180" t="str">
        <f t="shared" si="196"/>
        <v/>
      </c>
      <c r="Z161" s="55" t="str">
        <f t="shared" si="197"/>
        <v/>
      </c>
      <c r="AA161" s="55" t="str">
        <f t="shared" si="198"/>
        <v/>
      </c>
      <c r="AB161" s="150" t="str">
        <f t="shared" si="199"/>
        <v/>
      </c>
      <c r="AC161" s="188">
        <v>152</v>
      </c>
      <c r="AD161" s="1" t="b">
        <f t="shared" si="28"/>
        <v>0</v>
      </c>
      <c r="AE161" s="1" t="str">
        <f t="shared" si="29"/>
        <v/>
      </c>
      <c r="AF161" s="1" t="str">
        <f t="shared" si="30"/>
        <v/>
      </c>
      <c r="AG161" s="1" t="str">
        <f t="shared" si="31"/>
        <v/>
      </c>
      <c r="AH161" s="1" t="str">
        <f t="shared" si="200"/>
        <v/>
      </c>
      <c r="AI161" s="1" t="str">
        <f t="shared" si="33"/>
        <v/>
      </c>
      <c r="AJ161" s="191" t="str">
        <f t="shared" si="231"/>
        <v/>
      </c>
      <c r="AK161" s="191" t="str">
        <f t="shared" si="232"/>
        <v/>
      </c>
      <c r="AL161" s="191" t="str">
        <f t="shared" si="201"/>
        <v/>
      </c>
      <c r="AM161" s="1" t="str">
        <f t="shared" si="202"/>
        <v/>
      </c>
      <c r="AN161" s="191" t="str">
        <f t="shared" si="203"/>
        <v/>
      </c>
      <c r="AO161" s="134" t="str">
        <f t="shared" si="204"/>
        <v/>
      </c>
      <c r="AP161" s="64" t="str">
        <f t="shared" si="38"/>
        <v/>
      </c>
      <c r="AQ161" s="1" t="str">
        <f t="shared" si="230"/>
        <v/>
      </c>
      <c r="AR161" s="1" t="str">
        <f t="shared" si="205"/>
        <v/>
      </c>
      <c r="AS161" s="1" t="str">
        <f t="shared" si="206"/>
        <v/>
      </c>
      <c r="AT161" s="134" t="str">
        <f t="shared" si="207"/>
        <v/>
      </c>
      <c r="AU161" s="64" t="str">
        <f t="shared" si="208"/>
        <v/>
      </c>
      <c r="AV161" s="65" t="str">
        <f t="shared" si="209"/>
        <v/>
      </c>
      <c r="AW161" s="65" t="str">
        <f t="shared" si="210"/>
        <v/>
      </c>
      <c r="AX161" s="1" t="str">
        <f t="shared" si="211"/>
        <v/>
      </c>
      <c r="AY161" s="1" t="str">
        <f t="shared" si="212"/>
        <v/>
      </c>
      <c r="AZ161" s="131" t="str">
        <f t="shared" si="213"/>
        <v/>
      </c>
      <c r="BA161" s="1" t="str">
        <f t="shared" si="214"/>
        <v/>
      </c>
      <c r="BB161" s="1" t="str">
        <f t="shared" si="49"/>
        <v/>
      </c>
      <c r="BC161" s="1" t="str">
        <f t="shared" si="50"/>
        <v/>
      </c>
      <c r="BD161" s="1" t="str">
        <f t="shared" si="215"/>
        <v/>
      </c>
      <c r="BE161" s="1" t="str">
        <f t="shared" si="216"/>
        <v/>
      </c>
      <c r="BF161" s="1" t="str">
        <f t="shared" si="53"/>
        <v/>
      </c>
      <c r="BG161" s="1" t="str">
        <f t="shared" si="217"/>
        <v/>
      </c>
      <c r="BH161" s="1" t="str">
        <f t="shared" si="218"/>
        <v/>
      </c>
      <c r="BI161" s="1" t="str">
        <f t="shared" si="219"/>
        <v/>
      </c>
      <c r="BJ161" s="1" t="str">
        <f t="shared" si="220"/>
        <v/>
      </c>
      <c r="BK161" s="1" t="str">
        <f t="shared" si="221"/>
        <v/>
      </c>
      <c r="BL161" s="1" t="str">
        <f t="shared" si="222"/>
        <v/>
      </c>
      <c r="BM161" s="1" t="str">
        <f t="shared" si="223"/>
        <v/>
      </c>
      <c r="BN161" s="1" t="str">
        <f t="shared" si="224"/>
        <v/>
      </c>
      <c r="BO161" s="1" t="str">
        <f t="shared" si="225"/>
        <v/>
      </c>
      <c r="BQ161" s="1" t="str">
        <f t="shared" si="63"/>
        <v/>
      </c>
      <c r="BR161" s="1" t="str">
        <f t="shared" si="64"/>
        <v/>
      </c>
      <c r="BS161" s="1" t="str">
        <f t="shared" si="65"/>
        <v/>
      </c>
      <c r="BT161" s="1" t="str">
        <f t="shared" si="66"/>
        <v/>
      </c>
      <c r="BU161" s="1" t="str">
        <f t="shared" si="67"/>
        <v/>
      </c>
      <c r="BV161" s="1" t="str">
        <f t="shared" si="68"/>
        <v/>
      </c>
      <c r="BW161" s="1" t="str">
        <f t="shared" si="69"/>
        <v/>
      </c>
      <c r="BX161" s="1" t="str">
        <f t="shared" si="70"/>
        <v/>
      </c>
      <c r="BY161" s="1" t="str">
        <f t="shared" si="226"/>
        <v/>
      </c>
      <c r="BZ161" s="1" t="str">
        <f t="shared" si="72"/>
        <v/>
      </c>
      <c r="CA161" s="1" t="str">
        <f t="shared" si="73"/>
        <v/>
      </c>
      <c r="CB161" s="1" t="str">
        <f t="shared" si="74"/>
        <v/>
      </c>
      <c r="CC161" s="1" t="str">
        <f t="shared" si="75"/>
        <v/>
      </c>
      <c r="CD161" s="1" t="str">
        <f t="shared" si="227"/>
        <v/>
      </c>
      <c r="CE161" s="1" t="str">
        <f t="shared" si="77"/>
        <v/>
      </c>
      <c r="CF161" s="1" t="str">
        <f t="shared" si="78"/>
        <v/>
      </c>
      <c r="CG161" s="1" t="str">
        <f t="shared" si="79"/>
        <v/>
      </c>
      <c r="CH161" s="1" t="str">
        <f t="shared" si="80"/>
        <v/>
      </c>
      <c r="CJ161" s="1" t="str">
        <f t="shared" si="81"/>
        <v/>
      </c>
      <c r="CK161" s="1" t="str">
        <f t="shared" si="82"/>
        <v/>
      </c>
      <c r="CL161" s="1" t="str">
        <f t="shared" si="83"/>
        <v/>
      </c>
      <c r="CM161" s="1" t="str">
        <f t="shared" si="84"/>
        <v/>
      </c>
      <c r="CN161" s="1" t="str">
        <f t="shared" si="85"/>
        <v/>
      </c>
      <c r="CO161" s="1" t="str">
        <f t="shared" si="86"/>
        <v/>
      </c>
      <c r="CP161" s="1" t="str">
        <f t="shared" si="87"/>
        <v/>
      </c>
      <c r="CR161" s="1" t="str">
        <f t="shared" si="88"/>
        <v/>
      </c>
      <c r="CS161" s="1" t="str">
        <f t="shared" si="89"/>
        <v/>
      </c>
      <c r="CT161" s="1" t="str">
        <f t="shared" si="90"/>
        <v/>
      </c>
      <c r="CU161" s="1" t="str">
        <f t="shared" si="91"/>
        <v/>
      </c>
      <c r="CV161" s="1" t="str">
        <f t="shared" si="92"/>
        <v/>
      </c>
      <c r="DC161" s="154" t="e">
        <f t="shared" si="93"/>
        <v>#VALUE!</v>
      </c>
      <c r="DD161" s="154" t="str">
        <f t="shared" si="94"/>
        <v/>
      </c>
      <c r="DE161" s="154" t="str">
        <f t="shared" si="95"/>
        <v/>
      </c>
      <c r="DF161" s="1" t="str">
        <f t="shared" si="96"/>
        <v/>
      </c>
      <c r="DG161" s="1" t="str">
        <f t="shared" si="97"/>
        <v/>
      </c>
      <c r="DH161" s="1" t="str">
        <f t="shared" si="98"/>
        <v/>
      </c>
      <c r="DI161" s="1" t="str">
        <f t="shared" si="228"/>
        <v/>
      </c>
      <c r="DJ161" s="1" t="str">
        <f t="shared" si="229"/>
        <v/>
      </c>
      <c r="DK161" s="1" t="str">
        <f t="shared" si="101"/>
        <v/>
      </c>
      <c r="DL161" s="1" t="str">
        <f t="shared" si="102"/>
        <v/>
      </c>
      <c r="DM161" s="1" t="str">
        <f t="shared" si="103"/>
        <v/>
      </c>
    </row>
    <row r="162" customHeight="1" spans="1:117">
      <c r="A162" s="152" t="str">
        <f t="shared" si="233"/>
        <v/>
      </c>
      <c r="C162" s="55" t="str">
        <f t="shared" si="5"/>
        <v/>
      </c>
      <c r="D162" s="150" t="str">
        <f t="shared" si="6"/>
        <v/>
      </c>
      <c r="E162" s="151" t="str">
        <f t="shared" si="180"/>
        <v/>
      </c>
      <c r="F162" s="151" t="str">
        <f t="shared" si="181"/>
        <v/>
      </c>
      <c r="G162" s="151" t="str">
        <f t="shared" si="182"/>
        <v/>
      </c>
      <c r="H162" s="151" t="str">
        <f t="shared" si="183"/>
        <v/>
      </c>
      <c r="I162" s="151" t="str">
        <f t="shared" si="184"/>
        <v/>
      </c>
      <c r="J162" s="171" t="str">
        <f t="shared" si="185"/>
        <v/>
      </c>
      <c r="K162" s="172" t="str">
        <f t="shared" si="234"/>
        <v/>
      </c>
      <c r="L162" s="172" t="str">
        <f t="shared" si="235"/>
        <v/>
      </c>
      <c r="M162" s="173" t="str">
        <f t="shared" si="236"/>
        <v/>
      </c>
      <c r="N162" s="54" t="str">
        <f t="shared" si="186"/>
        <v/>
      </c>
      <c r="O162" s="55" t="str">
        <f t="shared" si="187"/>
        <v/>
      </c>
      <c r="P162" s="55" t="str">
        <f t="shared" si="15"/>
        <v/>
      </c>
      <c r="Q162" s="56" t="str">
        <f t="shared" si="188"/>
        <v/>
      </c>
      <c r="R162" s="56" t="str">
        <f t="shared" si="189"/>
        <v/>
      </c>
      <c r="S162" s="56" t="str">
        <f t="shared" si="190"/>
        <v/>
      </c>
      <c r="T162" s="56" t="str">
        <f t="shared" si="191"/>
        <v/>
      </c>
      <c r="U162" s="180" t="str">
        <f t="shared" si="192"/>
        <v/>
      </c>
      <c r="V162" s="55" t="str">
        <f t="shared" si="193"/>
        <v/>
      </c>
      <c r="W162" s="55" t="str">
        <f t="shared" si="194"/>
        <v/>
      </c>
      <c r="X162" s="56" t="str">
        <f t="shared" si="195"/>
        <v/>
      </c>
      <c r="Y162" s="180" t="str">
        <f t="shared" si="196"/>
        <v/>
      </c>
      <c r="Z162" s="55" t="str">
        <f t="shared" si="197"/>
        <v/>
      </c>
      <c r="AA162" s="55" t="str">
        <f t="shared" si="198"/>
        <v/>
      </c>
      <c r="AB162" s="150" t="str">
        <f t="shared" si="199"/>
        <v/>
      </c>
      <c r="AC162" s="188">
        <v>153</v>
      </c>
      <c r="AD162" s="1" t="b">
        <f t="shared" si="28"/>
        <v>0</v>
      </c>
      <c r="AE162" s="1" t="str">
        <f t="shared" si="29"/>
        <v/>
      </c>
      <c r="AF162" s="1" t="str">
        <f t="shared" si="30"/>
        <v/>
      </c>
      <c r="AG162" s="1" t="str">
        <f t="shared" si="31"/>
        <v/>
      </c>
      <c r="AH162" s="1" t="str">
        <f t="shared" si="200"/>
        <v/>
      </c>
      <c r="AI162" s="1" t="str">
        <f t="shared" si="33"/>
        <v/>
      </c>
      <c r="AJ162" s="191" t="str">
        <f t="shared" si="231"/>
        <v/>
      </c>
      <c r="AK162" s="191" t="str">
        <f t="shared" si="232"/>
        <v/>
      </c>
      <c r="AL162" s="191" t="str">
        <f t="shared" si="201"/>
        <v/>
      </c>
      <c r="AM162" s="1" t="str">
        <f t="shared" si="202"/>
        <v/>
      </c>
      <c r="AN162" s="191" t="str">
        <f t="shared" si="203"/>
        <v/>
      </c>
      <c r="AO162" s="134" t="str">
        <f t="shared" si="204"/>
        <v/>
      </c>
      <c r="AP162" s="64" t="str">
        <f t="shared" si="38"/>
        <v/>
      </c>
      <c r="AQ162" s="1" t="str">
        <f t="shared" si="230"/>
        <v/>
      </c>
      <c r="AR162" s="1" t="str">
        <f t="shared" si="205"/>
        <v/>
      </c>
      <c r="AS162" s="1" t="str">
        <f t="shared" si="206"/>
        <v/>
      </c>
      <c r="AT162" s="134" t="str">
        <f t="shared" si="207"/>
        <v/>
      </c>
      <c r="AU162" s="64" t="str">
        <f t="shared" si="208"/>
        <v/>
      </c>
      <c r="AV162" s="65" t="str">
        <f t="shared" si="209"/>
        <v/>
      </c>
      <c r="AW162" s="65" t="str">
        <f t="shared" si="210"/>
        <v/>
      </c>
      <c r="AX162" s="1" t="str">
        <f t="shared" si="211"/>
        <v/>
      </c>
      <c r="AY162" s="1" t="str">
        <f t="shared" si="212"/>
        <v/>
      </c>
      <c r="AZ162" s="131" t="str">
        <f t="shared" si="213"/>
        <v/>
      </c>
      <c r="BA162" s="1" t="str">
        <f t="shared" si="214"/>
        <v/>
      </c>
      <c r="BB162" s="1" t="str">
        <f t="shared" si="49"/>
        <v/>
      </c>
      <c r="BC162" s="1" t="str">
        <f t="shared" si="50"/>
        <v/>
      </c>
      <c r="BD162" s="1" t="str">
        <f t="shared" si="215"/>
        <v/>
      </c>
      <c r="BE162" s="1" t="str">
        <f t="shared" si="216"/>
        <v/>
      </c>
      <c r="BF162" s="1" t="str">
        <f t="shared" si="53"/>
        <v/>
      </c>
      <c r="BG162" s="1" t="str">
        <f t="shared" si="217"/>
        <v/>
      </c>
      <c r="BH162" s="1" t="str">
        <f t="shared" si="218"/>
        <v/>
      </c>
      <c r="BI162" s="1" t="str">
        <f t="shared" si="219"/>
        <v/>
      </c>
      <c r="BJ162" s="1" t="str">
        <f t="shared" si="220"/>
        <v/>
      </c>
      <c r="BK162" s="1" t="str">
        <f t="shared" si="221"/>
        <v/>
      </c>
      <c r="BL162" s="1" t="str">
        <f t="shared" si="222"/>
        <v/>
      </c>
      <c r="BM162" s="1" t="str">
        <f t="shared" si="223"/>
        <v/>
      </c>
      <c r="BN162" s="1" t="str">
        <f t="shared" si="224"/>
        <v/>
      </c>
      <c r="BO162" s="1" t="str">
        <f t="shared" si="225"/>
        <v/>
      </c>
      <c r="BQ162" s="1" t="str">
        <f t="shared" si="63"/>
        <v/>
      </c>
      <c r="BR162" s="1" t="str">
        <f t="shared" si="64"/>
        <v/>
      </c>
      <c r="BS162" s="1" t="str">
        <f t="shared" si="65"/>
        <v/>
      </c>
      <c r="BT162" s="1" t="str">
        <f t="shared" si="66"/>
        <v/>
      </c>
      <c r="BU162" s="1" t="str">
        <f t="shared" si="67"/>
        <v/>
      </c>
      <c r="BV162" s="1" t="str">
        <f t="shared" si="68"/>
        <v/>
      </c>
      <c r="BW162" s="1" t="str">
        <f t="shared" si="69"/>
        <v/>
      </c>
      <c r="BX162" s="1" t="str">
        <f t="shared" si="70"/>
        <v/>
      </c>
      <c r="BY162" s="1" t="str">
        <f t="shared" si="226"/>
        <v/>
      </c>
      <c r="BZ162" s="1" t="str">
        <f t="shared" si="72"/>
        <v/>
      </c>
      <c r="CA162" s="1" t="str">
        <f t="shared" si="73"/>
        <v/>
      </c>
      <c r="CB162" s="1" t="str">
        <f t="shared" si="74"/>
        <v/>
      </c>
      <c r="CC162" s="1" t="str">
        <f t="shared" si="75"/>
        <v/>
      </c>
      <c r="CD162" s="1" t="str">
        <f t="shared" si="227"/>
        <v/>
      </c>
      <c r="CE162" s="1" t="str">
        <f t="shared" si="77"/>
        <v/>
      </c>
      <c r="CF162" s="1" t="str">
        <f t="shared" si="78"/>
        <v/>
      </c>
      <c r="CG162" s="1" t="str">
        <f t="shared" si="79"/>
        <v/>
      </c>
      <c r="CH162" s="1" t="str">
        <f t="shared" si="80"/>
        <v/>
      </c>
      <c r="CJ162" s="1" t="str">
        <f t="shared" si="81"/>
        <v/>
      </c>
      <c r="CK162" s="1" t="str">
        <f t="shared" si="82"/>
        <v/>
      </c>
      <c r="CL162" s="1" t="str">
        <f t="shared" si="83"/>
        <v/>
      </c>
      <c r="CM162" s="1" t="str">
        <f t="shared" si="84"/>
        <v/>
      </c>
      <c r="CN162" s="1" t="str">
        <f t="shared" si="85"/>
        <v/>
      </c>
      <c r="CO162" s="1" t="str">
        <f t="shared" si="86"/>
        <v/>
      </c>
      <c r="CP162" s="1" t="str">
        <f t="shared" si="87"/>
        <v/>
      </c>
      <c r="CR162" s="1" t="str">
        <f t="shared" si="88"/>
        <v/>
      </c>
      <c r="CS162" s="1" t="str">
        <f t="shared" si="89"/>
        <v/>
      </c>
      <c r="CT162" s="1" t="str">
        <f t="shared" si="90"/>
        <v/>
      </c>
      <c r="CU162" s="1" t="str">
        <f t="shared" si="91"/>
        <v/>
      </c>
      <c r="CV162" s="1" t="str">
        <f t="shared" si="92"/>
        <v/>
      </c>
      <c r="DC162" s="154" t="e">
        <f t="shared" si="93"/>
        <v>#VALUE!</v>
      </c>
      <c r="DD162" s="154" t="str">
        <f t="shared" si="94"/>
        <v/>
      </c>
      <c r="DE162" s="154" t="str">
        <f t="shared" si="95"/>
        <v/>
      </c>
      <c r="DF162" s="1" t="str">
        <f t="shared" si="96"/>
        <v/>
      </c>
      <c r="DG162" s="1" t="str">
        <f t="shared" si="97"/>
        <v/>
      </c>
      <c r="DH162" s="1" t="str">
        <f t="shared" si="98"/>
        <v/>
      </c>
      <c r="DI162" s="1" t="str">
        <f t="shared" si="228"/>
        <v/>
      </c>
      <c r="DJ162" s="1" t="str">
        <f t="shared" si="229"/>
        <v/>
      </c>
      <c r="DK162" s="1" t="str">
        <f t="shared" si="101"/>
        <v/>
      </c>
      <c r="DL162" s="1" t="str">
        <f t="shared" si="102"/>
        <v/>
      </c>
      <c r="DM162" s="1" t="str">
        <f t="shared" si="103"/>
        <v/>
      </c>
    </row>
    <row r="163" customHeight="1" spans="1:117">
      <c r="A163" s="152" t="str">
        <f t="shared" si="233"/>
        <v/>
      </c>
      <c r="C163" s="55" t="str">
        <f t="shared" si="5"/>
        <v/>
      </c>
      <c r="D163" s="150" t="str">
        <f t="shared" si="6"/>
        <v/>
      </c>
      <c r="E163" s="151" t="str">
        <f t="shared" si="180"/>
        <v/>
      </c>
      <c r="F163" s="151" t="str">
        <f t="shared" si="181"/>
        <v/>
      </c>
      <c r="G163" s="151" t="str">
        <f t="shared" si="182"/>
        <v/>
      </c>
      <c r="H163" s="151" t="str">
        <f t="shared" si="183"/>
        <v/>
      </c>
      <c r="I163" s="151" t="str">
        <f t="shared" si="184"/>
        <v/>
      </c>
      <c r="J163" s="171" t="str">
        <f t="shared" si="185"/>
        <v/>
      </c>
      <c r="K163" s="172" t="str">
        <f t="shared" si="234"/>
        <v/>
      </c>
      <c r="L163" s="172" t="str">
        <f t="shared" si="235"/>
        <v/>
      </c>
      <c r="M163" s="173" t="str">
        <f t="shared" si="236"/>
        <v/>
      </c>
      <c r="N163" s="54" t="str">
        <f t="shared" si="186"/>
        <v/>
      </c>
      <c r="O163" s="55" t="str">
        <f t="shared" si="187"/>
        <v/>
      </c>
      <c r="P163" s="55" t="str">
        <f t="shared" si="15"/>
        <v/>
      </c>
      <c r="Q163" s="56" t="str">
        <f t="shared" si="188"/>
        <v/>
      </c>
      <c r="R163" s="56" t="str">
        <f t="shared" si="189"/>
        <v/>
      </c>
      <c r="S163" s="56" t="str">
        <f t="shared" si="190"/>
        <v/>
      </c>
      <c r="T163" s="56" t="str">
        <f t="shared" si="191"/>
        <v/>
      </c>
      <c r="U163" s="180" t="str">
        <f t="shared" si="192"/>
        <v/>
      </c>
      <c r="V163" s="55" t="str">
        <f t="shared" si="193"/>
        <v/>
      </c>
      <c r="W163" s="55" t="str">
        <f t="shared" si="194"/>
        <v/>
      </c>
      <c r="X163" s="56" t="str">
        <f t="shared" si="195"/>
        <v/>
      </c>
      <c r="Y163" s="180" t="str">
        <f t="shared" si="196"/>
        <v/>
      </c>
      <c r="Z163" s="55" t="str">
        <f t="shared" si="197"/>
        <v/>
      </c>
      <c r="AA163" s="55" t="str">
        <f t="shared" si="198"/>
        <v/>
      </c>
      <c r="AB163" s="150" t="str">
        <f t="shared" si="199"/>
        <v/>
      </c>
      <c r="AC163" s="188">
        <v>154</v>
      </c>
      <c r="AD163" s="1" t="b">
        <f t="shared" si="28"/>
        <v>0</v>
      </c>
      <c r="AE163" s="1" t="str">
        <f t="shared" si="29"/>
        <v/>
      </c>
      <c r="AF163" s="1" t="str">
        <f t="shared" si="30"/>
        <v/>
      </c>
      <c r="AG163" s="1" t="str">
        <f t="shared" si="31"/>
        <v/>
      </c>
      <c r="AH163" s="1" t="str">
        <f t="shared" si="200"/>
        <v/>
      </c>
      <c r="AI163" s="1" t="str">
        <f t="shared" si="33"/>
        <v/>
      </c>
      <c r="AJ163" s="191" t="str">
        <f t="shared" si="231"/>
        <v/>
      </c>
      <c r="AK163" s="191" t="str">
        <f t="shared" si="232"/>
        <v/>
      </c>
      <c r="AL163" s="191" t="str">
        <f t="shared" si="201"/>
        <v/>
      </c>
      <c r="AM163" s="1" t="str">
        <f t="shared" si="202"/>
        <v/>
      </c>
      <c r="AN163" s="191" t="str">
        <f t="shared" si="203"/>
        <v/>
      </c>
      <c r="AO163" s="134" t="str">
        <f t="shared" si="204"/>
        <v/>
      </c>
      <c r="AP163" s="64" t="str">
        <f t="shared" si="38"/>
        <v/>
      </c>
      <c r="AQ163" s="1" t="str">
        <f t="shared" si="230"/>
        <v/>
      </c>
      <c r="AR163" s="1" t="str">
        <f t="shared" si="205"/>
        <v/>
      </c>
      <c r="AS163" s="1" t="str">
        <f t="shared" si="206"/>
        <v/>
      </c>
      <c r="AT163" s="134" t="str">
        <f t="shared" si="207"/>
        <v/>
      </c>
      <c r="AU163" s="64" t="str">
        <f t="shared" si="208"/>
        <v/>
      </c>
      <c r="AV163" s="65" t="str">
        <f t="shared" si="209"/>
        <v/>
      </c>
      <c r="AW163" s="65" t="str">
        <f t="shared" si="210"/>
        <v/>
      </c>
      <c r="AX163" s="1" t="str">
        <f t="shared" si="211"/>
        <v/>
      </c>
      <c r="AY163" s="1" t="str">
        <f t="shared" si="212"/>
        <v/>
      </c>
      <c r="AZ163" s="131" t="str">
        <f t="shared" si="213"/>
        <v/>
      </c>
      <c r="BA163" s="1" t="str">
        <f t="shared" si="214"/>
        <v/>
      </c>
      <c r="BB163" s="1" t="str">
        <f t="shared" si="49"/>
        <v/>
      </c>
      <c r="BC163" s="1" t="str">
        <f t="shared" si="50"/>
        <v/>
      </c>
      <c r="BD163" s="1" t="str">
        <f t="shared" si="215"/>
        <v/>
      </c>
      <c r="BE163" s="1" t="str">
        <f t="shared" si="216"/>
        <v/>
      </c>
      <c r="BF163" s="1" t="str">
        <f t="shared" si="53"/>
        <v/>
      </c>
      <c r="BG163" s="1" t="str">
        <f t="shared" si="217"/>
        <v/>
      </c>
      <c r="BH163" s="1" t="str">
        <f t="shared" si="218"/>
        <v/>
      </c>
      <c r="BI163" s="1" t="str">
        <f t="shared" si="219"/>
        <v/>
      </c>
      <c r="BJ163" s="1" t="str">
        <f t="shared" si="220"/>
        <v/>
      </c>
      <c r="BK163" s="1" t="str">
        <f t="shared" si="221"/>
        <v/>
      </c>
      <c r="BL163" s="1" t="str">
        <f t="shared" si="222"/>
        <v/>
      </c>
      <c r="BM163" s="1" t="str">
        <f t="shared" si="223"/>
        <v/>
      </c>
      <c r="BN163" s="1" t="str">
        <f t="shared" si="224"/>
        <v/>
      </c>
      <c r="BO163" s="1" t="str">
        <f t="shared" si="225"/>
        <v/>
      </c>
      <c r="BQ163" s="1" t="str">
        <f t="shared" si="63"/>
        <v/>
      </c>
      <c r="BR163" s="1" t="str">
        <f t="shared" si="64"/>
        <v/>
      </c>
      <c r="BS163" s="1" t="str">
        <f t="shared" si="65"/>
        <v/>
      </c>
      <c r="BT163" s="1" t="str">
        <f t="shared" si="66"/>
        <v/>
      </c>
      <c r="BU163" s="1" t="str">
        <f t="shared" si="67"/>
        <v/>
      </c>
      <c r="BV163" s="1" t="str">
        <f t="shared" si="68"/>
        <v/>
      </c>
      <c r="BW163" s="1" t="str">
        <f t="shared" si="69"/>
        <v/>
      </c>
      <c r="BX163" s="1" t="str">
        <f t="shared" si="70"/>
        <v/>
      </c>
      <c r="BY163" s="1" t="str">
        <f t="shared" si="226"/>
        <v/>
      </c>
      <c r="BZ163" s="1" t="str">
        <f t="shared" si="72"/>
        <v/>
      </c>
      <c r="CA163" s="1" t="str">
        <f t="shared" si="73"/>
        <v/>
      </c>
      <c r="CB163" s="1" t="str">
        <f t="shared" si="74"/>
        <v/>
      </c>
      <c r="CC163" s="1" t="str">
        <f t="shared" si="75"/>
        <v/>
      </c>
      <c r="CD163" s="1" t="str">
        <f t="shared" si="227"/>
        <v/>
      </c>
      <c r="CE163" s="1" t="str">
        <f t="shared" si="77"/>
        <v/>
      </c>
      <c r="CF163" s="1" t="str">
        <f t="shared" si="78"/>
        <v/>
      </c>
      <c r="CG163" s="1" t="str">
        <f t="shared" si="79"/>
        <v/>
      </c>
      <c r="CH163" s="1" t="str">
        <f t="shared" si="80"/>
        <v/>
      </c>
      <c r="CJ163" s="1" t="str">
        <f t="shared" si="81"/>
        <v/>
      </c>
      <c r="CK163" s="1" t="str">
        <f t="shared" si="82"/>
        <v/>
      </c>
      <c r="CL163" s="1" t="str">
        <f t="shared" si="83"/>
        <v/>
      </c>
      <c r="CM163" s="1" t="str">
        <f t="shared" si="84"/>
        <v/>
      </c>
      <c r="CN163" s="1" t="str">
        <f t="shared" si="85"/>
        <v/>
      </c>
      <c r="CO163" s="1" t="str">
        <f t="shared" si="86"/>
        <v/>
      </c>
      <c r="CP163" s="1" t="str">
        <f t="shared" si="87"/>
        <v/>
      </c>
      <c r="CR163" s="1" t="str">
        <f t="shared" si="88"/>
        <v/>
      </c>
      <c r="CS163" s="1" t="str">
        <f t="shared" si="89"/>
        <v/>
      </c>
      <c r="CT163" s="1" t="str">
        <f t="shared" si="90"/>
        <v/>
      </c>
      <c r="CU163" s="1" t="str">
        <f t="shared" si="91"/>
        <v/>
      </c>
      <c r="CV163" s="1" t="str">
        <f t="shared" si="92"/>
        <v/>
      </c>
      <c r="DC163" s="154" t="e">
        <f t="shared" si="93"/>
        <v>#VALUE!</v>
      </c>
      <c r="DD163" s="154" t="str">
        <f t="shared" si="94"/>
        <v/>
      </c>
      <c r="DE163" s="154" t="str">
        <f t="shared" si="95"/>
        <v/>
      </c>
      <c r="DF163" s="1" t="str">
        <f t="shared" si="96"/>
        <v/>
      </c>
      <c r="DG163" s="1" t="str">
        <f t="shared" si="97"/>
        <v/>
      </c>
      <c r="DH163" s="1" t="str">
        <f t="shared" si="98"/>
        <v/>
      </c>
      <c r="DI163" s="1" t="str">
        <f t="shared" si="228"/>
        <v/>
      </c>
      <c r="DJ163" s="1" t="str">
        <f t="shared" si="229"/>
        <v/>
      </c>
      <c r="DK163" s="1" t="str">
        <f t="shared" si="101"/>
        <v/>
      </c>
      <c r="DL163" s="1" t="str">
        <f t="shared" si="102"/>
        <v/>
      </c>
      <c r="DM163" s="1" t="str">
        <f t="shared" si="103"/>
        <v/>
      </c>
    </row>
    <row r="164" customHeight="1" spans="1:117">
      <c r="A164" s="152" t="str">
        <f t="shared" si="233"/>
        <v/>
      </c>
      <c r="C164" s="55" t="str">
        <f t="shared" si="5"/>
        <v/>
      </c>
      <c r="D164" s="150" t="str">
        <f t="shared" si="6"/>
        <v/>
      </c>
      <c r="E164" s="151" t="str">
        <f t="shared" si="180"/>
        <v/>
      </c>
      <c r="F164" s="151" t="str">
        <f t="shared" si="181"/>
        <v/>
      </c>
      <c r="G164" s="151" t="str">
        <f t="shared" si="182"/>
        <v/>
      </c>
      <c r="H164" s="151" t="str">
        <f t="shared" si="183"/>
        <v/>
      </c>
      <c r="I164" s="151" t="str">
        <f t="shared" si="184"/>
        <v/>
      </c>
      <c r="J164" s="171" t="str">
        <f t="shared" si="185"/>
        <v/>
      </c>
      <c r="K164" s="172" t="str">
        <f t="shared" si="234"/>
        <v/>
      </c>
      <c r="L164" s="172" t="str">
        <f t="shared" si="235"/>
        <v/>
      </c>
      <c r="M164" s="173" t="str">
        <f t="shared" si="236"/>
        <v/>
      </c>
      <c r="N164" s="54" t="str">
        <f t="shared" si="186"/>
        <v/>
      </c>
      <c r="O164" s="55" t="str">
        <f t="shared" si="187"/>
        <v/>
      </c>
      <c r="P164" s="55" t="str">
        <f t="shared" si="15"/>
        <v/>
      </c>
      <c r="Q164" s="56" t="str">
        <f t="shared" si="188"/>
        <v/>
      </c>
      <c r="R164" s="56" t="str">
        <f t="shared" si="189"/>
        <v/>
      </c>
      <c r="S164" s="56" t="str">
        <f t="shared" si="190"/>
        <v/>
      </c>
      <c r="T164" s="56" t="str">
        <f t="shared" si="191"/>
        <v/>
      </c>
      <c r="U164" s="180" t="str">
        <f t="shared" si="192"/>
        <v/>
      </c>
      <c r="V164" s="55" t="str">
        <f t="shared" si="193"/>
        <v/>
      </c>
      <c r="W164" s="55" t="str">
        <f t="shared" si="194"/>
        <v/>
      </c>
      <c r="X164" s="56" t="str">
        <f t="shared" si="195"/>
        <v/>
      </c>
      <c r="Y164" s="180" t="str">
        <f t="shared" si="196"/>
        <v/>
      </c>
      <c r="Z164" s="55" t="str">
        <f t="shared" si="197"/>
        <v/>
      </c>
      <c r="AA164" s="55" t="str">
        <f t="shared" si="198"/>
        <v/>
      </c>
      <c r="AB164" s="150" t="str">
        <f t="shared" si="199"/>
        <v/>
      </c>
      <c r="AC164" s="188">
        <v>155</v>
      </c>
      <c r="AD164" s="1" t="b">
        <f t="shared" si="28"/>
        <v>0</v>
      </c>
      <c r="AE164" s="1" t="str">
        <f t="shared" si="29"/>
        <v/>
      </c>
      <c r="AF164" s="1" t="str">
        <f t="shared" si="30"/>
        <v/>
      </c>
      <c r="AG164" s="1" t="str">
        <f t="shared" si="31"/>
        <v/>
      </c>
      <c r="AH164" s="1" t="str">
        <f t="shared" si="200"/>
        <v/>
      </c>
      <c r="AI164" s="1" t="str">
        <f t="shared" si="33"/>
        <v/>
      </c>
      <c r="AJ164" s="191" t="str">
        <f t="shared" si="231"/>
        <v/>
      </c>
      <c r="AK164" s="191" t="str">
        <f t="shared" si="232"/>
        <v/>
      </c>
      <c r="AL164" s="191" t="str">
        <f t="shared" si="201"/>
        <v/>
      </c>
      <c r="AM164" s="1" t="str">
        <f t="shared" si="202"/>
        <v/>
      </c>
      <c r="AN164" s="191" t="str">
        <f t="shared" si="203"/>
        <v/>
      </c>
      <c r="AO164" s="134" t="str">
        <f t="shared" si="204"/>
        <v/>
      </c>
      <c r="AP164" s="64" t="str">
        <f t="shared" si="38"/>
        <v/>
      </c>
      <c r="AQ164" s="1" t="str">
        <f t="shared" si="230"/>
        <v/>
      </c>
      <c r="AR164" s="1" t="str">
        <f t="shared" si="205"/>
        <v/>
      </c>
      <c r="AS164" s="1" t="str">
        <f t="shared" si="206"/>
        <v/>
      </c>
      <c r="AT164" s="134" t="str">
        <f t="shared" si="207"/>
        <v/>
      </c>
      <c r="AU164" s="64" t="str">
        <f t="shared" si="208"/>
        <v/>
      </c>
      <c r="AV164" s="65" t="str">
        <f t="shared" si="209"/>
        <v/>
      </c>
      <c r="AW164" s="65" t="str">
        <f t="shared" si="210"/>
        <v/>
      </c>
      <c r="AX164" s="1" t="str">
        <f t="shared" si="211"/>
        <v/>
      </c>
      <c r="AY164" s="1" t="str">
        <f t="shared" si="212"/>
        <v/>
      </c>
      <c r="AZ164" s="131" t="str">
        <f t="shared" si="213"/>
        <v/>
      </c>
      <c r="BA164" s="1" t="str">
        <f t="shared" si="214"/>
        <v/>
      </c>
      <c r="BB164" s="1" t="str">
        <f t="shared" si="49"/>
        <v/>
      </c>
      <c r="BC164" s="1" t="str">
        <f t="shared" si="50"/>
        <v/>
      </c>
      <c r="BD164" s="1" t="str">
        <f t="shared" si="215"/>
        <v/>
      </c>
      <c r="BE164" s="1" t="str">
        <f t="shared" si="216"/>
        <v/>
      </c>
      <c r="BF164" s="1" t="str">
        <f t="shared" si="53"/>
        <v/>
      </c>
      <c r="BG164" s="1" t="str">
        <f t="shared" si="217"/>
        <v/>
      </c>
      <c r="BH164" s="1" t="str">
        <f t="shared" si="218"/>
        <v/>
      </c>
      <c r="BI164" s="1" t="str">
        <f t="shared" si="219"/>
        <v/>
      </c>
      <c r="BJ164" s="1" t="str">
        <f t="shared" si="220"/>
        <v/>
      </c>
      <c r="BK164" s="1" t="str">
        <f t="shared" si="221"/>
        <v/>
      </c>
      <c r="BL164" s="1" t="str">
        <f t="shared" si="222"/>
        <v/>
      </c>
      <c r="BM164" s="1" t="str">
        <f t="shared" si="223"/>
        <v/>
      </c>
      <c r="BN164" s="1" t="str">
        <f t="shared" si="224"/>
        <v/>
      </c>
      <c r="BO164" s="1" t="str">
        <f t="shared" si="225"/>
        <v/>
      </c>
      <c r="BQ164" s="1" t="str">
        <f t="shared" si="63"/>
        <v/>
      </c>
      <c r="BR164" s="1" t="str">
        <f t="shared" si="64"/>
        <v/>
      </c>
      <c r="BS164" s="1" t="str">
        <f t="shared" si="65"/>
        <v/>
      </c>
      <c r="BT164" s="1" t="str">
        <f t="shared" si="66"/>
        <v/>
      </c>
      <c r="BU164" s="1" t="str">
        <f t="shared" si="67"/>
        <v/>
      </c>
      <c r="BV164" s="1" t="str">
        <f t="shared" si="68"/>
        <v/>
      </c>
      <c r="BW164" s="1" t="str">
        <f t="shared" si="69"/>
        <v/>
      </c>
      <c r="BX164" s="1" t="str">
        <f t="shared" si="70"/>
        <v/>
      </c>
      <c r="BY164" s="1" t="str">
        <f t="shared" si="226"/>
        <v/>
      </c>
      <c r="BZ164" s="1" t="str">
        <f t="shared" si="72"/>
        <v/>
      </c>
      <c r="CA164" s="1" t="str">
        <f t="shared" si="73"/>
        <v/>
      </c>
      <c r="CB164" s="1" t="str">
        <f t="shared" si="74"/>
        <v/>
      </c>
      <c r="CC164" s="1" t="str">
        <f t="shared" si="75"/>
        <v/>
      </c>
      <c r="CD164" s="1" t="str">
        <f t="shared" si="227"/>
        <v/>
      </c>
      <c r="CE164" s="1" t="str">
        <f t="shared" si="77"/>
        <v/>
      </c>
      <c r="CF164" s="1" t="str">
        <f t="shared" si="78"/>
        <v/>
      </c>
      <c r="CG164" s="1" t="str">
        <f t="shared" si="79"/>
        <v/>
      </c>
      <c r="CH164" s="1" t="str">
        <f t="shared" si="80"/>
        <v/>
      </c>
      <c r="CJ164" s="1" t="str">
        <f t="shared" si="81"/>
        <v/>
      </c>
      <c r="CK164" s="1" t="str">
        <f t="shared" si="82"/>
        <v/>
      </c>
      <c r="CL164" s="1" t="str">
        <f t="shared" si="83"/>
        <v/>
      </c>
      <c r="CM164" s="1" t="str">
        <f t="shared" si="84"/>
        <v/>
      </c>
      <c r="CN164" s="1" t="str">
        <f t="shared" si="85"/>
        <v/>
      </c>
      <c r="CO164" s="1" t="str">
        <f t="shared" si="86"/>
        <v/>
      </c>
      <c r="CP164" s="1" t="str">
        <f t="shared" si="87"/>
        <v/>
      </c>
      <c r="CR164" s="1" t="str">
        <f t="shared" si="88"/>
        <v/>
      </c>
      <c r="CS164" s="1" t="str">
        <f t="shared" si="89"/>
        <v/>
      </c>
      <c r="CT164" s="1" t="str">
        <f t="shared" si="90"/>
        <v/>
      </c>
      <c r="CU164" s="1" t="str">
        <f t="shared" si="91"/>
        <v/>
      </c>
      <c r="CV164" s="1" t="str">
        <f t="shared" si="92"/>
        <v/>
      </c>
      <c r="DC164" s="154" t="e">
        <f t="shared" si="93"/>
        <v>#VALUE!</v>
      </c>
      <c r="DD164" s="154" t="str">
        <f t="shared" si="94"/>
        <v/>
      </c>
      <c r="DE164" s="154" t="str">
        <f t="shared" si="95"/>
        <v/>
      </c>
      <c r="DF164" s="1" t="str">
        <f t="shared" si="96"/>
        <v/>
      </c>
      <c r="DG164" s="1" t="str">
        <f t="shared" si="97"/>
        <v/>
      </c>
      <c r="DH164" s="1" t="str">
        <f t="shared" si="98"/>
        <v/>
      </c>
      <c r="DI164" s="1" t="str">
        <f t="shared" si="228"/>
        <v/>
      </c>
      <c r="DJ164" s="1" t="str">
        <f t="shared" si="229"/>
        <v/>
      </c>
      <c r="DK164" s="1" t="str">
        <f t="shared" si="101"/>
        <v/>
      </c>
      <c r="DL164" s="1" t="str">
        <f t="shared" si="102"/>
        <v/>
      </c>
      <c r="DM164" s="1" t="str">
        <f t="shared" si="103"/>
        <v/>
      </c>
    </row>
    <row r="165" customHeight="1" spans="1:117">
      <c r="A165" s="152" t="str">
        <f t="shared" si="233"/>
        <v/>
      </c>
      <c r="C165" s="55" t="str">
        <f t="shared" si="5"/>
        <v/>
      </c>
      <c r="D165" s="150" t="str">
        <f t="shared" si="6"/>
        <v/>
      </c>
      <c r="E165" s="151" t="str">
        <f t="shared" si="180"/>
        <v/>
      </c>
      <c r="F165" s="151" t="str">
        <f t="shared" si="181"/>
        <v/>
      </c>
      <c r="G165" s="151" t="str">
        <f t="shared" si="182"/>
        <v/>
      </c>
      <c r="H165" s="151" t="str">
        <f t="shared" si="183"/>
        <v/>
      </c>
      <c r="I165" s="151" t="str">
        <f t="shared" si="184"/>
        <v/>
      </c>
      <c r="J165" s="171" t="str">
        <f t="shared" si="185"/>
        <v/>
      </c>
      <c r="K165" s="172" t="str">
        <f t="shared" si="234"/>
        <v/>
      </c>
      <c r="L165" s="172" t="str">
        <f t="shared" si="235"/>
        <v/>
      </c>
      <c r="M165" s="173" t="str">
        <f t="shared" si="236"/>
        <v/>
      </c>
      <c r="N165" s="54" t="str">
        <f t="shared" si="186"/>
        <v/>
      </c>
      <c r="O165" s="55" t="str">
        <f t="shared" si="187"/>
        <v/>
      </c>
      <c r="P165" s="55" t="str">
        <f t="shared" si="15"/>
        <v/>
      </c>
      <c r="Q165" s="56" t="str">
        <f t="shared" si="188"/>
        <v/>
      </c>
      <c r="R165" s="56" t="str">
        <f t="shared" si="189"/>
        <v/>
      </c>
      <c r="S165" s="56" t="str">
        <f t="shared" si="190"/>
        <v/>
      </c>
      <c r="T165" s="56" t="str">
        <f t="shared" si="191"/>
        <v/>
      </c>
      <c r="U165" s="180" t="str">
        <f t="shared" si="192"/>
        <v/>
      </c>
      <c r="V165" s="55" t="str">
        <f t="shared" si="193"/>
        <v/>
      </c>
      <c r="W165" s="55" t="str">
        <f t="shared" si="194"/>
        <v/>
      </c>
      <c r="X165" s="56" t="str">
        <f t="shared" si="195"/>
        <v/>
      </c>
      <c r="Y165" s="180" t="str">
        <f t="shared" si="196"/>
        <v/>
      </c>
      <c r="Z165" s="55" t="str">
        <f t="shared" si="197"/>
        <v/>
      </c>
      <c r="AA165" s="55" t="str">
        <f t="shared" si="198"/>
        <v/>
      </c>
      <c r="AB165" s="150" t="str">
        <f t="shared" si="199"/>
        <v/>
      </c>
      <c r="AC165" s="188">
        <v>156</v>
      </c>
      <c r="AD165" s="1" t="b">
        <f t="shared" si="28"/>
        <v>0</v>
      </c>
      <c r="AE165" s="1" t="str">
        <f t="shared" si="29"/>
        <v/>
      </c>
      <c r="AF165" s="1" t="str">
        <f t="shared" si="30"/>
        <v/>
      </c>
      <c r="AG165" s="1" t="str">
        <f t="shared" si="31"/>
        <v/>
      </c>
      <c r="AH165" s="1" t="str">
        <f t="shared" si="200"/>
        <v/>
      </c>
      <c r="AI165" s="1" t="str">
        <f t="shared" si="33"/>
        <v/>
      </c>
      <c r="AJ165" s="191" t="str">
        <f t="shared" si="231"/>
        <v/>
      </c>
      <c r="AK165" s="191" t="str">
        <f t="shared" si="232"/>
        <v/>
      </c>
      <c r="AL165" s="191" t="str">
        <f t="shared" si="201"/>
        <v/>
      </c>
      <c r="AM165" s="1" t="str">
        <f t="shared" si="202"/>
        <v/>
      </c>
      <c r="AN165" s="191" t="str">
        <f t="shared" si="203"/>
        <v/>
      </c>
      <c r="AO165" s="134" t="str">
        <f t="shared" si="204"/>
        <v/>
      </c>
      <c r="AP165" s="64" t="str">
        <f t="shared" si="38"/>
        <v/>
      </c>
      <c r="AQ165" s="1" t="str">
        <f t="shared" si="230"/>
        <v/>
      </c>
      <c r="AR165" s="1" t="str">
        <f t="shared" si="205"/>
        <v/>
      </c>
      <c r="AS165" s="1" t="str">
        <f t="shared" si="206"/>
        <v/>
      </c>
      <c r="AT165" s="134" t="str">
        <f t="shared" si="207"/>
        <v/>
      </c>
      <c r="AU165" s="64" t="str">
        <f t="shared" si="208"/>
        <v/>
      </c>
      <c r="AV165" s="65" t="str">
        <f t="shared" si="209"/>
        <v/>
      </c>
      <c r="AW165" s="65" t="str">
        <f t="shared" si="210"/>
        <v/>
      </c>
      <c r="AX165" s="1" t="str">
        <f t="shared" si="211"/>
        <v/>
      </c>
      <c r="AY165" s="1" t="str">
        <f t="shared" si="212"/>
        <v/>
      </c>
      <c r="AZ165" s="131" t="str">
        <f t="shared" si="213"/>
        <v/>
      </c>
      <c r="BA165" s="1" t="str">
        <f t="shared" si="214"/>
        <v/>
      </c>
      <c r="BB165" s="1" t="str">
        <f t="shared" si="49"/>
        <v/>
      </c>
      <c r="BC165" s="1" t="str">
        <f t="shared" si="50"/>
        <v/>
      </c>
      <c r="BD165" s="1" t="str">
        <f t="shared" si="215"/>
        <v/>
      </c>
      <c r="BE165" s="1" t="str">
        <f t="shared" si="216"/>
        <v/>
      </c>
      <c r="BF165" s="1" t="str">
        <f t="shared" si="53"/>
        <v/>
      </c>
      <c r="BG165" s="1" t="str">
        <f t="shared" si="217"/>
        <v/>
      </c>
      <c r="BH165" s="1" t="str">
        <f t="shared" si="218"/>
        <v/>
      </c>
      <c r="BI165" s="1" t="str">
        <f t="shared" si="219"/>
        <v/>
      </c>
      <c r="BJ165" s="1" t="str">
        <f t="shared" si="220"/>
        <v/>
      </c>
      <c r="BK165" s="1" t="str">
        <f t="shared" si="221"/>
        <v/>
      </c>
      <c r="BL165" s="1" t="str">
        <f t="shared" si="222"/>
        <v/>
      </c>
      <c r="BM165" s="1" t="str">
        <f t="shared" si="223"/>
        <v/>
      </c>
      <c r="BN165" s="1" t="str">
        <f t="shared" si="224"/>
        <v/>
      </c>
      <c r="BO165" s="1" t="str">
        <f t="shared" si="225"/>
        <v/>
      </c>
      <c r="BQ165" s="1" t="str">
        <f t="shared" si="63"/>
        <v/>
      </c>
      <c r="BR165" s="1" t="str">
        <f t="shared" si="64"/>
        <v/>
      </c>
      <c r="BS165" s="1" t="str">
        <f t="shared" si="65"/>
        <v/>
      </c>
      <c r="BT165" s="1" t="str">
        <f t="shared" si="66"/>
        <v/>
      </c>
      <c r="BU165" s="1" t="str">
        <f t="shared" si="67"/>
        <v/>
      </c>
      <c r="BV165" s="1" t="str">
        <f t="shared" si="68"/>
        <v/>
      </c>
      <c r="BW165" s="1" t="str">
        <f t="shared" si="69"/>
        <v/>
      </c>
      <c r="BX165" s="1" t="str">
        <f t="shared" si="70"/>
        <v/>
      </c>
      <c r="BY165" s="1" t="str">
        <f t="shared" si="226"/>
        <v/>
      </c>
      <c r="BZ165" s="1" t="str">
        <f t="shared" si="72"/>
        <v/>
      </c>
      <c r="CA165" s="1" t="str">
        <f t="shared" si="73"/>
        <v/>
      </c>
      <c r="CB165" s="1" t="str">
        <f t="shared" si="74"/>
        <v/>
      </c>
      <c r="CC165" s="1" t="str">
        <f t="shared" si="75"/>
        <v/>
      </c>
      <c r="CD165" s="1" t="str">
        <f t="shared" si="227"/>
        <v/>
      </c>
      <c r="CE165" s="1" t="str">
        <f t="shared" si="77"/>
        <v/>
      </c>
      <c r="CF165" s="1" t="str">
        <f t="shared" si="78"/>
        <v/>
      </c>
      <c r="CG165" s="1" t="str">
        <f t="shared" si="79"/>
        <v/>
      </c>
      <c r="CH165" s="1" t="str">
        <f t="shared" si="80"/>
        <v/>
      </c>
      <c r="CJ165" s="1" t="str">
        <f t="shared" si="81"/>
        <v/>
      </c>
      <c r="CK165" s="1" t="str">
        <f t="shared" si="82"/>
        <v/>
      </c>
      <c r="CL165" s="1" t="str">
        <f t="shared" si="83"/>
        <v/>
      </c>
      <c r="CM165" s="1" t="str">
        <f t="shared" si="84"/>
        <v/>
      </c>
      <c r="CN165" s="1" t="str">
        <f t="shared" si="85"/>
        <v/>
      </c>
      <c r="CO165" s="1" t="str">
        <f t="shared" si="86"/>
        <v/>
      </c>
      <c r="CP165" s="1" t="str">
        <f t="shared" si="87"/>
        <v/>
      </c>
      <c r="CR165" s="1" t="str">
        <f t="shared" si="88"/>
        <v/>
      </c>
      <c r="CS165" s="1" t="str">
        <f t="shared" si="89"/>
        <v/>
      </c>
      <c r="CT165" s="1" t="str">
        <f t="shared" si="90"/>
        <v/>
      </c>
      <c r="CU165" s="1" t="str">
        <f t="shared" si="91"/>
        <v/>
      </c>
      <c r="CV165" s="1" t="str">
        <f t="shared" si="92"/>
        <v/>
      </c>
      <c r="DC165" s="154" t="e">
        <f t="shared" si="93"/>
        <v>#VALUE!</v>
      </c>
      <c r="DD165" s="154" t="str">
        <f t="shared" si="94"/>
        <v/>
      </c>
      <c r="DE165" s="154" t="str">
        <f t="shared" si="95"/>
        <v/>
      </c>
      <c r="DF165" s="1" t="str">
        <f t="shared" si="96"/>
        <v/>
      </c>
      <c r="DG165" s="1" t="str">
        <f t="shared" si="97"/>
        <v/>
      </c>
      <c r="DH165" s="1" t="str">
        <f t="shared" si="98"/>
        <v/>
      </c>
      <c r="DI165" s="1" t="str">
        <f t="shared" si="228"/>
        <v/>
      </c>
      <c r="DJ165" s="1" t="str">
        <f t="shared" si="229"/>
        <v/>
      </c>
      <c r="DK165" s="1" t="str">
        <f t="shared" si="101"/>
        <v/>
      </c>
      <c r="DL165" s="1" t="str">
        <f t="shared" si="102"/>
        <v/>
      </c>
      <c r="DM165" s="1" t="str">
        <f t="shared" si="103"/>
        <v/>
      </c>
    </row>
    <row r="166" customHeight="1" spans="1:117">
      <c r="A166" s="152" t="str">
        <f t="shared" si="233"/>
        <v/>
      </c>
      <c r="C166" s="55" t="str">
        <f t="shared" si="5"/>
        <v/>
      </c>
      <c r="D166" s="150" t="str">
        <f t="shared" si="6"/>
        <v/>
      </c>
      <c r="E166" s="151" t="str">
        <f t="shared" si="180"/>
        <v/>
      </c>
      <c r="F166" s="151" t="str">
        <f t="shared" si="181"/>
        <v/>
      </c>
      <c r="G166" s="151" t="str">
        <f t="shared" si="182"/>
        <v/>
      </c>
      <c r="H166" s="151" t="str">
        <f t="shared" si="183"/>
        <v/>
      </c>
      <c r="I166" s="151" t="str">
        <f t="shared" si="184"/>
        <v/>
      </c>
      <c r="J166" s="171" t="str">
        <f t="shared" si="185"/>
        <v/>
      </c>
      <c r="K166" s="172" t="str">
        <f t="shared" si="234"/>
        <v/>
      </c>
      <c r="L166" s="172" t="str">
        <f t="shared" si="235"/>
        <v/>
      </c>
      <c r="M166" s="173" t="str">
        <f t="shared" si="236"/>
        <v/>
      </c>
      <c r="N166" s="54" t="str">
        <f t="shared" si="186"/>
        <v/>
      </c>
      <c r="O166" s="55" t="str">
        <f t="shared" si="187"/>
        <v/>
      </c>
      <c r="P166" s="55" t="str">
        <f t="shared" si="15"/>
        <v/>
      </c>
      <c r="Q166" s="56" t="str">
        <f t="shared" si="188"/>
        <v/>
      </c>
      <c r="R166" s="56" t="str">
        <f t="shared" si="189"/>
        <v/>
      </c>
      <c r="S166" s="56" t="str">
        <f t="shared" si="190"/>
        <v/>
      </c>
      <c r="T166" s="56" t="str">
        <f t="shared" si="191"/>
        <v/>
      </c>
      <c r="U166" s="180" t="str">
        <f t="shared" si="192"/>
        <v/>
      </c>
      <c r="V166" s="55" t="str">
        <f t="shared" si="193"/>
        <v/>
      </c>
      <c r="W166" s="55" t="str">
        <f t="shared" si="194"/>
        <v/>
      </c>
      <c r="X166" s="56" t="str">
        <f t="shared" si="195"/>
        <v/>
      </c>
      <c r="Y166" s="180" t="str">
        <f t="shared" si="196"/>
        <v/>
      </c>
      <c r="Z166" s="55" t="str">
        <f t="shared" si="197"/>
        <v/>
      </c>
      <c r="AA166" s="55" t="str">
        <f t="shared" si="198"/>
        <v/>
      </c>
      <c r="AB166" s="150" t="str">
        <f t="shared" si="199"/>
        <v/>
      </c>
      <c r="AC166" s="188">
        <v>157</v>
      </c>
      <c r="AD166" s="1" t="b">
        <f t="shared" si="28"/>
        <v>0</v>
      </c>
      <c r="AE166" s="1" t="str">
        <f t="shared" si="29"/>
        <v/>
      </c>
      <c r="AF166" s="1" t="str">
        <f t="shared" si="30"/>
        <v/>
      </c>
      <c r="AG166" s="1" t="str">
        <f t="shared" si="31"/>
        <v/>
      </c>
      <c r="AH166" s="1" t="str">
        <f t="shared" si="200"/>
        <v/>
      </c>
      <c r="AI166" s="1" t="str">
        <f t="shared" si="33"/>
        <v/>
      </c>
      <c r="AJ166" s="191" t="str">
        <f t="shared" si="231"/>
        <v/>
      </c>
      <c r="AK166" s="191" t="str">
        <f t="shared" si="232"/>
        <v/>
      </c>
      <c r="AL166" s="191" t="str">
        <f t="shared" si="201"/>
        <v/>
      </c>
      <c r="AM166" s="1" t="str">
        <f t="shared" si="202"/>
        <v/>
      </c>
      <c r="AN166" s="191" t="str">
        <f t="shared" si="203"/>
        <v/>
      </c>
      <c r="AO166" s="134" t="str">
        <f t="shared" si="204"/>
        <v/>
      </c>
      <c r="AP166" s="64" t="str">
        <f t="shared" si="38"/>
        <v/>
      </c>
      <c r="AQ166" s="1" t="str">
        <f t="shared" si="230"/>
        <v/>
      </c>
      <c r="AR166" s="1" t="str">
        <f t="shared" si="205"/>
        <v/>
      </c>
      <c r="AS166" s="1" t="str">
        <f t="shared" si="206"/>
        <v/>
      </c>
      <c r="AT166" s="134" t="str">
        <f t="shared" si="207"/>
        <v/>
      </c>
      <c r="AU166" s="64" t="str">
        <f t="shared" si="208"/>
        <v/>
      </c>
      <c r="AV166" s="65" t="str">
        <f t="shared" si="209"/>
        <v/>
      </c>
      <c r="AW166" s="65" t="str">
        <f t="shared" si="210"/>
        <v/>
      </c>
      <c r="AX166" s="1" t="str">
        <f t="shared" si="211"/>
        <v/>
      </c>
      <c r="AY166" s="1" t="str">
        <f t="shared" si="212"/>
        <v/>
      </c>
      <c r="AZ166" s="131" t="str">
        <f t="shared" si="213"/>
        <v/>
      </c>
      <c r="BA166" s="1" t="str">
        <f t="shared" si="214"/>
        <v/>
      </c>
      <c r="BB166" s="1" t="str">
        <f t="shared" si="49"/>
        <v/>
      </c>
      <c r="BC166" s="1" t="str">
        <f t="shared" si="50"/>
        <v/>
      </c>
      <c r="BD166" s="1" t="str">
        <f t="shared" si="215"/>
        <v/>
      </c>
      <c r="BE166" s="1" t="str">
        <f t="shared" si="216"/>
        <v/>
      </c>
      <c r="BF166" s="1" t="str">
        <f t="shared" si="53"/>
        <v/>
      </c>
      <c r="BG166" s="1" t="str">
        <f t="shared" si="217"/>
        <v/>
      </c>
      <c r="BH166" s="1" t="str">
        <f t="shared" si="218"/>
        <v/>
      </c>
      <c r="BI166" s="1" t="str">
        <f t="shared" si="219"/>
        <v/>
      </c>
      <c r="BJ166" s="1" t="str">
        <f t="shared" si="220"/>
        <v/>
      </c>
      <c r="BK166" s="1" t="str">
        <f t="shared" si="221"/>
        <v/>
      </c>
      <c r="BL166" s="1" t="str">
        <f t="shared" si="222"/>
        <v/>
      </c>
      <c r="BM166" s="1" t="str">
        <f t="shared" si="223"/>
        <v/>
      </c>
      <c r="BN166" s="1" t="str">
        <f t="shared" si="224"/>
        <v/>
      </c>
      <c r="BO166" s="1" t="str">
        <f t="shared" si="225"/>
        <v/>
      </c>
      <c r="BQ166" s="1" t="str">
        <f t="shared" si="63"/>
        <v/>
      </c>
      <c r="BR166" s="1" t="str">
        <f t="shared" si="64"/>
        <v/>
      </c>
      <c r="BS166" s="1" t="str">
        <f t="shared" si="65"/>
        <v/>
      </c>
      <c r="BT166" s="1" t="str">
        <f t="shared" si="66"/>
        <v/>
      </c>
      <c r="BU166" s="1" t="str">
        <f t="shared" si="67"/>
        <v/>
      </c>
      <c r="BV166" s="1" t="str">
        <f t="shared" si="68"/>
        <v/>
      </c>
      <c r="BW166" s="1" t="str">
        <f t="shared" si="69"/>
        <v/>
      </c>
      <c r="BX166" s="1" t="str">
        <f t="shared" si="70"/>
        <v/>
      </c>
      <c r="BY166" s="1" t="str">
        <f t="shared" si="226"/>
        <v/>
      </c>
      <c r="BZ166" s="1" t="str">
        <f t="shared" si="72"/>
        <v/>
      </c>
      <c r="CA166" s="1" t="str">
        <f t="shared" si="73"/>
        <v/>
      </c>
      <c r="CB166" s="1" t="str">
        <f t="shared" si="74"/>
        <v/>
      </c>
      <c r="CC166" s="1" t="str">
        <f t="shared" si="75"/>
        <v/>
      </c>
      <c r="CD166" s="1" t="str">
        <f t="shared" si="227"/>
        <v/>
      </c>
      <c r="CE166" s="1" t="str">
        <f t="shared" si="77"/>
        <v/>
      </c>
      <c r="CF166" s="1" t="str">
        <f t="shared" si="78"/>
        <v/>
      </c>
      <c r="CG166" s="1" t="str">
        <f t="shared" si="79"/>
        <v/>
      </c>
      <c r="CH166" s="1" t="str">
        <f t="shared" si="80"/>
        <v/>
      </c>
      <c r="CJ166" s="1" t="str">
        <f t="shared" si="81"/>
        <v/>
      </c>
      <c r="CK166" s="1" t="str">
        <f t="shared" si="82"/>
        <v/>
      </c>
      <c r="CL166" s="1" t="str">
        <f t="shared" si="83"/>
        <v/>
      </c>
      <c r="CM166" s="1" t="str">
        <f t="shared" si="84"/>
        <v/>
      </c>
      <c r="CN166" s="1" t="str">
        <f t="shared" si="85"/>
        <v/>
      </c>
      <c r="CO166" s="1" t="str">
        <f t="shared" si="86"/>
        <v/>
      </c>
      <c r="CP166" s="1" t="str">
        <f t="shared" si="87"/>
        <v/>
      </c>
      <c r="CR166" s="1" t="str">
        <f t="shared" si="88"/>
        <v/>
      </c>
      <c r="CS166" s="1" t="str">
        <f t="shared" si="89"/>
        <v/>
      </c>
      <c r="CT166" s="1" t="str">
        <f t="shared" si="90"/>
        <v/>
      </c>
      <c r="CU166" s="1" t="str">
        <f t="shared" si="91"/>
        <v/>
      </c>
      <c r="CV166" s="1" t="str">
        <f t="shared" si="92"/>
        <v/>
      </c>
      <c r="DC166" s="154" t="e">
        <f t="shared" si="93"/>
        <v>#VALUE!</v>
      </c>
      <c r="DD166" s="154" t="str">
        <f t="shared" si="94"/>
        <v/>
      </c>
      <c r="DE166" s="154" t="str">
        <f t="shared" si="95"/>
        <v/>
      </c>
      <c r="DF166" s="1" t="str">
        <f t="shared" si="96"/>
        <v/>
      </c>
      <c r="DG166" s="1" t="str">
        <f t="shared" si="97"/>
        <v/>
      </c>
      <c r="DH166" s="1" t="str">
        <f t="shared" si="98"/>
        <v/>
      </c>
      <c r="DI166" s="1" t="str">
        <f t="shared" si="228"/>
        <v/>
      </c>
      <c r="DJ166" s="1" t="str">
        <f t="shared" si="229"/>
        <v/>
      </c>
      <c r="DK166" s="1" t="str">
        <f t="shared" si="101"/>
        <v/>
      </c>
      <c r="DL166" s="1" t="str">
        <f t="shared" si="102"/>
        <v/>
      </c>
      <c r="DM166" s="1" t="str">
        <f t="shared" si="103"/>
        <v/>
      </c>
    </row>
    <row r="167" customHeight="1" spans="1:117">
      <c r="A167" s="152" t="str">
        <f t="shared" si="233"/>
        <v/>
      </c>
      <c r="C167" s="55" t="str">
        <f t="shared" si="5"/>
        <v/>
      </c>
      <c r="D167" s="150" t="str">
        <f t="shared" si="6"/>
        <v/>
      </c>
      <c r="E167" s="151" t="str">
        <f t="shared" si="180"/>
        <v/>
      </c>
      <c r="F167" s="151" t="str">
        <f t="shared" si="181"/>
        <v/>
      </c>
      <c r="G167" s="151" t="str">
        <f t="shared" si="182"/>
        <v/>
      </c>
      <c r="H167" s="151" t="str">
        <f t="shared" si="183"/>
        <v/>
      </c>
      <c r="I167" s="151" t="str">
        <f t="shared" si="184"/>
        <v/>
      </c>
      <c r="J167" s="171" t="str">
        <f t="shared" si="185"/>
        <v/>
      </c>
      <c r="K167" s="172" t="str">
        <f t="shared" si="234"/>
        <v/>
      </c>
      <c r="L167" s="172" t="str">
        <f t="shared" si="235"/>
        <v/>
      </c>
      <c r="M167" s="173" t="str">
        <f t="shared" si="236"/>
        <v/>
      </c>
      <c r="N167" s="54" t="str">
        <f t="shared" si="186"/>
        <v/>
      </c>
      <c r="O167" s="55" t="str">
        <f t="shared" si="187"/>
        <v/>
      </c>
      <c r="P167" s="55" t="str">
        <f t="shared" si="15"/>
        <v/>
      </c>
      <c r="Q167" s="56" t="str">
        <f t="shared" si="188"/>
        <v/>
      </c>
      <c r="R167" s="56" t="str">
        <f t="shared" si="189"/>
        <v/>
      </c>
      <c r="S167" s="56" t="str">
        <f t="shared" si="190"/>
        <v/>
      </c>
      <c r="T167" s="56" t="str">
        <f t="shared" si="191"/>
        <v/>
      </c>
      <c r="U167" s="180" t="str">
        <f t="shared" si="192"/>
        <v/>
      </c>
      <c r="V167" s="55" t="str">
        <f t="shared" si="193"/>
        <v/>
      </c>
      <c r="W167" s="55" t="str">
        <f t="shared" si="194"/>
        <v/>
      </c>
      <c r="X167" s="56" t="str">
        <f t="shared" si="195"/>
        <v/>
      </c>
      <c r="Y167" s="180" t="str">
        <f t="shared" si="196"/>
        <v/>
      </c>
      <c r="Z167" s="55" t="str">
        <f t="shared" si="197"/>
        <v/>
      </c>
      <c r="AA167" s="55" t="str">
        <f t="shared" si="198"/>
        <v/>
      </c>
      <c r="AB167" s="150" t="str">
        <f t="shared" si="199"/>
        <v/>
      </c>
      <c r="AC167" s="188">
        <v>158</v>
      </c>
      <c r="AD167" s="1" t="b">
        <f t="shared" si="28"/>
        <v>0</v>
      </c>
      <c r="AE167" s="1" t="str">
        <f t="shared" si="29"/>
        <v/>
      </c>
      <c r="AF167" s="1" t="str">
        <f t="shared" si="30"/>
        <v/>
      </c>
      <c r="AG167" s="1" t="str">
        <f t="shared" si="31"/>
        <v/>
      </c>
      <c r="AH167" s="1" t="str">
        <f t="shared" si="200"/>
        <v/>
      </c>
      <c r="AI167" s="1" t="str">
        <f t="shared" si="33"/>
        <v/>
      </c>
      <c r="AJ167" s="191" t="str">
        <f t="shared" si="231"/>
        <v/>
      </c>
      <c r="AK167" s="191" t="str">
        <f t="shared" si="232"/>
        <v/>
      </c>
      <c r="AL167" s="191" t="str">
        <f t="shared" si="201"/>
        <v/>
      </c>
      <c r="AM167" s="1" t="str">
        <f t="shared" si="202"/>
        <v/>
      </c>
      <c r="AN167" s="191" t="str">
        <f t="shared" si="203"/>
        <v/>
      </c>
      <c r="AO167" s="134" t="str">
        <f t="shared" si="204"/>
        <v/>
      </c>
      <c r="AP167" s="64" t="str">
        <f t="shared" si="38"/>
        <v/>
      </c>
      <c r="AQ167" s="1" t="str">
        <f t="shared" si="230"/>
        <v/>
      </c>
      <c r="AR167" s="1" t="str">
        <f t="shared" si="205"/>
        <v/>
      </c>
      <c r="AS167" s="1" t="str">
        <f t="shared" si="206"/>
        <v/>
      </c>
      <c r="AT167" s="134" t="str">
        <f t="shared" si="207"/>
        <v/>
      </c>
      <c r="AU167" s="64" t="str">
        <f t="shared" si="208"/>
        <v/>
      </c>
      <c r="AV167" s="65" t="str">
        <f t="shared" si="209"/>
        <v/>
      </c>
      <c r="AW167" s="65" t="str">
        <f t="shared" si="210"/>
        <v/>
      </c>
      <c r="AX167" s="1" t="str">
        <f t="shared" si="211"/>
        <v/>
      </c>
      <c r="AY167" s="1" t="str">
        <f t="shared" si="212"/>
        <v/>
      </c>
      <c r="AZ167" s="131" t="str">
        <f t="shared" si="213"/>
        <v/>
      </c>
      <c r="BA167" s="1" t="str">
        <f t="shared" si="214"/>
        <v/>
      </c>
      <c r="BB167" s="1" t="str">
        <f t="shared" si="49"/>
        <v/>
      </c>
      <c r="BC167" s="1" t="str">
        <f t="shared" si="50"/>
        <v/>
      </c>
      <c r="BD167" s="1" t="str">
        <f t="shared" si="215"/>
        <v/>
      </c>
      <c r="BE167" s="1" t="str">
        <f t="shared" si="216"/>
        <v/>
      </c>
      <c r="BF167" s="1" t="str">
        <f t="shared" si="53"/>
        <v/>
      </c>
      <c r="BG167" s="1" t="str">
        <f t="shared" si="217"/>
        <v/>
      </c>
      <c r="BH167" s="1" t="str">
        <f t="shared" si="218"/>
        <v/>
      </c>
      <c r="BI167" s="1" t="str">
        <f t="shared" si="219"/>
        <v/>
      </c>
      <c r="BJ167" s="1" t="str">
        <f t="shared" si="220"/>
        <v/>
      </c>
      <c r="BK167" s="1" t="str">
        <f t="shared" si="221"/>
        <v/>
      </c>
      <c r="BL167" s="1" t="str">
        <f t="shared" si="222"/>
        <v/>
      </c>
      <c r="BM167" s="1" t="str">
        <f t="shared" si="223"/>
        <v/>
      </c>
      <c r="BN167" s="1" t="str">
        <f t="shared" si="224"/>
        <v/>
      </c>
      <c r="BO167" s="1" t="str">
        <f t="shared" si="225"/>
        <v/>
      </c>
      <c r="BQ167" s="1" t="str">
        <f t="shared" si="63"/>
        <v/>
      </c>
      <c r="BR167" s="1" t="str">
        <f t="shared" si="64"/>
        <v/>
      </c>
      <c r="BS167" s="1" t="str">
        <f t="shared" si="65"/>
        <v/>
      </c>
      <c r="BT167" s="1" t="str">
        <f t="shared" si="66"/>
        <v/>
      </c>
      <c r="BU167" s="1" t="str">
        <f t="shared" si="67"/>
        <v/>
      </c>
      <c r="BV167" s="1" t="str">
        <f t="shared" si="68"/>
        <v/>
      </c>
      <c r="BW167" s="1" t="str">
        <f t="shared" si="69"/>
        <v/>
      </c>
      <c r="BX167" s="1" t="str">
        <f t="shared" si="70"/>
        <v/>
      </c>
      <c r="BY167" s="1" t="str">
        <f t="shared" si="226"/>
        <v/>
      </c>
      <c r="BZ167" s="1" t="str">
        <f t="shared" si="72"/>
        <v/>
      </c>
      <c r="CA167" s="1" t="str">
        <f t="shared" si="73"/>
        <v/>
      </c>
      <c r="CB167" s="1" t="str">
        <f t="shared" si="74"/>
        <v/>
      </c>
      <c r="CC167" s="1" t="str">
        <f t="shared" si="75"/>
        <v/>
      </c>
      <c r="CD167" s="1" t="str">
        <f t="shared" si="227"/>
        <v/>
      </c>
      <c r="CE167" s="1" t="str">
        <f t="shared" si="77"/>
        <v/>
      </c>
      <c r="CF167" s="1" t="str">
        <f t="shared" si="78"/>
        <v/>
      </c>
      <c r="CG167" s="1" t="str">
        <f t="shared" si="79"/>
        <v/>
      </c>
      <c r="CH167" s="1" t="str">
        <f t="shared" si="80"/>
        <v/>
      </c>
      <c r="CJ167" s="1" t="str">
        <f t="shared" si="81"/>
        <v/>
      </c>
      <c r="CK167" s="1" t="str">
        <f t="shared" si="82"/>
        <v/>
      </c>
      <c r="CL167" s="1" t="str">
        <f t="shared" si="83"/>
        <v/>
      </c>
      <c r="CM167" s="1" t="str">
        <f t="shared" si="84"/>
        <v/>
      </c>
      <c r="CN167" s="1" t="str">
        <f t="shared" si="85"/>
        <v/>
      </c>
      <c r="CO167" s="1" t="str">
        <f t="shared" si="86"/>
        <v/>
      </c>
      <c r="CP167" s="1" t="str">
        <f t="shared" si="87"/>
        <v/>
      </c>
      <c r="CR167" s="1" t="str">
        <f t="shared" si="88"/>
        <v/>
      </c>
      <c r="CS167" s="1" t="str">
        <f t="shared" si="89"/>
        <v/>
      </c>
      <c r="CT167" s="1" t="str">
        <f t="shared" si="90"/>
        <v/>
      </c>
      <c r="CU167" s="1" t="str">
        <f t="shared" si="91"/>
        <v/>
      </c>
      <c r="CV167" s="1" t="str">
        <f t="shared" si="92"/>
        <v/>
      </c>
      <c r="DC167" s="154" t="e">
        <f t="shared" si="93"/>
        <v>#VALUE!</v>
      </c>
      <c r="DD167" s="154" t="str">
        <f t="shared" si="94"/>
        <v/>
      </c>
      <c r="DE167" s="154" t="str">
        <f t="shared" si="95"/>
        <v/>
      </c>
      <c r="DF167" s="1" t="str">
        <f t="shared" si="96"/>
        <v/>
      </c>
      <c r="DG167" s="1" t="str">
        <f t="shared" si="97"/>
        <v/>
      </c>
      <c r="DH167" s="1" t="str">
        <f t="shared" si="98"/>
        <v/>
      </c>
      <c r="DI167" s="1" t="str">
        <f t="shared" si="228"/>
        <v/>
      </c>
      <c r="DJ167" s="1" t="str">
        <f t="shared" si="229"/>
        <v/>
      </c>
      <c r="DK167" s="1" t="str">
        <f t="shared" si="101"/>
        <v/>
      </c>
      <c r="DL167" s="1" t="str">
        <f t="shared" si="102"/>
        <v/>
      </c>
      <c r="DM167" s="1" t="str">
        <f t="shared" si="103"/>
        <v/>
      </c>
    </row>
    <row r="168" customHeight="1" spans="1:117">
      <c r="A168" s="152" t="str">
        <f t="shared" si="233"/>
        <v/>
      </c>
      <c r="C168" s="55" t="str">
        <f t="shared" si="5"/>
        <v/>
      </c>
      <c r="D168" s="150" t="str">
        <f t="shared" si="6"/>
        <v/>
      </c>
      <c r="E168" s="151" t="str">
        <f t="shared" si="180"/>
        <v/>
      </c>
      <c r="F168" s="151" t="str">
        <f t="shared" si="181"/>
        <v/>
      </c>
      <c r="G168" s="151" t="str">
        <f t="shared" si="182"/>
        <v/>
      </c>
      <c r="H168" s="151" t="str">
        <f t="shared" si="183"/>
        <v/>
      </c>
      <c r="I168" s="151" t="str">
        <f t="shared" si="184"/>
        <v/>
      </c>
      <c r="J168" s="171" t="str">
        <f t="shared" si="185"/>
        <v/>
      </c>
      <c r="K168" s="172" t="str">
        <f t="shared" si="234"/>
        <v/>
      </c>
      <c r="L168" s="172" t="str">
        <f t="shared" si="235"/>
        <v/>
      </c>
      <c r="M168" s="173" t="str">
        <f t="shared" si="236"/>
        <v/>
      </c>
      <c r="N168" s="54" t="str">
        <f t="shared" si="186"/>
        <v/>
      </c>
      <c r="O168" s="55" t="str">
        <f t="shared" si="187"/>
        <v/>
      </c>
      <c r="P168" s="55" t="str">
        <f t="shared" si="15"/>
        <v/>
      </c>
      <c r="Q168" s="56" t="str">
        <f t="shared" si="188"/>
        <v/>
      </c>
      <c r="R168" s="56" t="str">
        <f t="shared" si="189"/>
        <v/>
      </c>
      <c r="S168" s="56" t="str">
        <f t="shared" si="190"/>
        <v/>
      </c>
      <c r="T168" s="56" t="str">
        <f t="shared" si="191"/>
        <v/>
      </c>
      <c r="U168" s="180" t="str">
        <f t="shared" si="192"/>
        <v/>
      </c>
      <c r="V168" s="55" t="str">
        <f t="shared" si="193"/>
        <v/>
      </c>
      <c r="W168" s="55" t="str">
        <f t="shared" si="194"/>
        <v/>
      </c>
      <c r="X168" s="56" t="str">
        <f t="shared" si="195"/>
        <v/>
      </c>
      <c r="Y168" s="180" t="str">
        <f t="shared" si="196"/>
        <v/>
      </c>
      <c r="Z168" s="55" t="str">
        <f t="shared" si="197"/>
        <v/>
      </c>
      <c r="AA168" s="55" t="str">
        <f t="shared" si="198"/>
        <v/>
      </c>
      <c r="AB168" s="150" t="str">
        <f t="shared" si="199"/>
        <v/>
      </c>
      <c r="AC168" s="188">
        <v>159</v>
      </c>
      <c r="AD168" s="1" t="b">
        <f t="shared" si="28"/>
        <v>0</v>
      </c>
      <c r="AE168" s="1" t="str">
        <f t="shared" si="29"/>
        <v/>
      </c>
      <c r="AF168" s="1" t="str">
        <f t="shared" si="30"/>
        <v/>
      </c>
      <c r="AG168" s="1" t="str">
        <f t="shared" si="31"/>
        <v/>
      </c>
      <c r="AH168" s="1" t="str">
        <f t="shared" si="200"/>
        <v/>
      </c>
      <c r="AI168" s="1" t="str">
        <f t="shared" si="33"/>
        <v/>
      </c>
      <c r="AJ168" s="191" t="str">
        <f t="shared" si="231"/>
        <v/>
      </c>
      <c r="AK168" s="191" t="str">
        <f t="shared" si="232"/>
        <v/>
      </c>
      <c r="AL168" s="191" t="str">
        <f t="shared" si="201"/>
        <v/>
      </c>
      <c r="AM168" s="1" t="str">
        <f t="shared" si="202"/>
        <v/>
      </c>
      <c r="AN168" s="191" t="str">
        <f t="shared" si="203"/>
        <v/>
      </c>
      <c r="AO168" s="134" t="str">
        <f t="shared" si="204"/>
        <v/>
      </c>
      <c r="AP168" s="64" t="str">
        <f t="shared" si="38"/>
        <v/>
      </c>
      <c r="AQ168" s="1" t="str">
        <f t="shared" si="230"/>
        <v/>
      </c>
      <c r="AR168" s="1" t="str">
        <f t="shared" si="205"/>
        <v/>
      </c>
      <c r="AS168" s="1" t="str">
        <f t="shared" si="206"/>
        <v/>
      </c>
      <c r="AT168" s="134" t="str">
        <f t="shared" si="207"/>
        <v/>
      </c>
      <c r="AU168" s="64" t="str">
        <f t="shared" si="208"/>
        <v/>
      </c>
      <c r="AV168" s="65" t="str">
        <f t="shared" si="209"/>
        <v/>
      </c>
      <c r="AW168" s="65" t="str">
        <f t="shared" si="210"/>
        <v/>
      </c>
      <c r="AX168" s="1" t="str">
        <f t="shared" si="211"/>
        <v/>
      </c>
      <c r="AY168" s="1" t="str">
        <f t="shared" si="212"/>
        <v/>
      </c>
      <c r="AZ168" s="131" t="str">
        <f t="shared" si="213"/>
        <v/>
      </c>
      <c r="BA168" s="1" t="str">
        <f t="shared" si="214"/>
        <v/>
      </c>
      <c r="BB168" s="1" t="str">
        <f t="shared" si="49"/>
        <v/>
      </c>
      <c r="BC168" s="1" t="str">
        <f t="shared" si="50"/>
        <v/>
      </c>
      <c r="BD168" s="1" t="str">
        <f t="shared" si="215"/>
        <v/>
      </c>
      <c r="BE168" s="1" t="str">
        <f t="shared" si="216"/>
        <v/>
      </c>
      <c r="BF168" s="1" t="str">
        <f t="shared" si="53"/>
        <v/>
      </c>
      <c r="BG168" s="1" t="str">
        <f t="shared" si="217"/>
        <v/>
      </c>
      <c r="BH168" s="1" t="str">
        <f t="shared" si="218"/>
        <v/>
      </c>
      <c r="BI168" s="1" t="str">
        <f t="shared" si="219"/>
        <v/>
      </c>
      <c r="BJ168" s="1" t="str">
        <f t="shared" si="220"/>
        <v/>
      </c>
      <c r="BK168" s="1" t="str">
        <f t="shared" si="221"/>
        <v/>
      </c>
      <c r="BL168" s="1" t="str">
        <f t="shared" si="222"/>
        <v/>
      </c>
      <c r="BM168" s="1" t="str">
        <f t="shared" si="223"/>
        <v/>
      </c>
      <c r="BN168" s="1" t="str">
        <f t="shared" si="224"/>
        <v/>
      </c>
      <c r="BO168" s="1" t="str">
        <f t="shared" si="225"/>
        <v/>
      </c>
      <c r="BQ168" s="1" t="str">
        <f t="shared" si="63"/>
        <v/>
      </c>
      <c r="BR168" s="1" t="str">
        <f t="shared" si="64"/>
        <v/>
      </c>
      <c r="BS168" s="1" t="str">
        <f t="shared" si="65"/>
        <v/>
      </c>
      <c r="BT168" s="1" t="str">
        <f t="shared" si="66"/>
        <v/>
      </c>
      <c r="BU168" s="1" t="str">
        <f t="shared" si="67"/>
        <v/>
      </c>
      <c r="BV168" s="1" t="str">
        <f t="shared" si="68"/>
        <v/>
      </c>
      <c r="BW168" s="1" t="str">
        <f t="shared" si="69"/>
        <v/>
      </c>
      <c r="BX168" s="1" t="str">
        <f t="shared" si="70"/>
        <v/>
      </c>
      <c r="BY168" s="1" t="str">
        <f t="shared" si="226"/>
        <v/>
      </c>
      <c r="BZ168" s="1" t="str">
        <f t="shared" si="72"/>
        <v/>
      </c>
      <c r="CA168" s="1" t="str">
        <f t="shared" si="73"/>
        <v/>
      </c>
      <c r="CB168" s="1" t="str">
        <f t="shared" si="74"/>
        <v/>
      </c>
      <c r="CC168" s="1" t="str">
        <f t="shared" si="75"/>
        <v/>
      </c>
      <c r="CD168" s="1" t="str">
        <f t="shared" si="227"/>
        <v/>
      </c>
      <c r="CE168" s="1" t="str">
        <f t="shared" si="77"/>
        <v/>
      </c>
      <c r="CF168" s="1" t="str">
        <f t="shared" si="78"/>
        <v/>
      </c>
      <c r="CG168" s="1" t="str">
        <f t="shared" si="79"/>
        <v/>
      </c>
      <c r="CH168" s="1" t="str">
        <f t="shared" si="80"/>
        <v/>
      </c>
      <c r="CJ168" s="1" t="str">
        <f t="shared" si="81"/>
        <v/>
      </c>
      <c r="CK168" s="1" t="str">
        <f t="shared" si="82"/>
        <v/>
      </c>
      <c r="CL168" s="1" t="str">
        <f t="shared" si="83"/>
        <v/>
      </c>
      <c r="CM168" s="1" t="str">
        <f t="shared" si="84"/>
        <v/>
      </c>
      <c r="CN168" s="1" t="str">
        <f t="shared" si="85"/>
        <v/>
      </c>
      <c r="CO168" s="1" t="str">
        <f t="shared" si="86"/>
        <v/>
      </c>
      <c r="CP168" s="1" t="str">
        <f t="shared" si="87"/>
        <v/>
      </c>
      <c r="CR168" s="1" t="str">
        <f t="shared" si="88"/>
        <v/>
      </c>
      <c r="CS168" s="1" t="str">
        <f t="shared" si="89"/>
        <v/>
      </c>
      <c r="CT168" s="1" t="str">
        <f t="shared" si="90"/>
        <v/>
      </c>
      <c r="CU168" s="1" t="str">
        <f t="shared" si="91"/>
        <v/>
      </c>
      <c r="CV168" s="1" t="str">
        <f t="shared" si="92"/>
        <v/>
      </c>
      <c r="DC168" s="154" t="e">
        <f t="shared" si="93"/>
        <v>#VALUE!</v>
      </c>
      <c r="DD168" s="154" t="str">
        <f t="shared" si="94"/>
        <v/>
      </c>
      <c r="DE168" s="154" t="str">
        <f t="shared" si="95"/>
        <v/>
      </c>
      <c r="DF168" s="1" t="str">
        <f t="shared" si="96"/>
        <v/>
      </c>
      <c r="DG168" s="1" t="str">
        <f t="shared" si="97"/>
        <v/>
      </c>
      <c r="DH168" s="1" t="str">
        <f t="shared" si="98"/>
        <v/>
      </c>
      <c r="DI168" s="1" t="str">
        <f t="shared" si="228"/>
        <v/>
      </c>
      <c r="DJ168" s="1" t="str">
        <f t="shared" si="229"/>
        <v/>
      </c>
      <c r="DK168" s="1" t="str">
        <f t="shared" si="101"/>
        <v/>
      </c>
      <c r="DL168" s="1" t="str">
        <f t="shared" si="102"/>
        <v/>
      </c>
      <c r="DM168" s="1" t="str">
        <f t="shared" si="103"/>
        <v/>
      </c>
    </row>
    <row r="169" customHeight="1" spans="1:117">
      <c r="A169" s="152" t="str">
        <f t="shared" si="233"/>
        <v/>
      </c>
      <c r="C169" s="55" t="str">
        <f t="shared" si="5"/>
        <v/>
      </c>
      <c r="D169" s="150" t="str">
        <f t="shared" si="6"/>
        <v/>
      </c>
      <c r="E169" s="151" t="str">
        <f t="shared" si="180"/>
        <v/>
      </c>
      <c r="F169" s="151" t="str">
        <f t="shared" si="181"/>
        <v/>
      </c>
      <c r="G169" s="151" t="str">
        <f t="shared" si="182"/>
        <v/>
      </c>
      <c r="H169" s="151" t="str">
        <f t="shared" si="183"/>
        <v/>
      </c>
      <c r="I169" s="151" t="str">
        <f t="shared" si="184"/>
        <v/>
      </c>
      <c r="J169" s="171" t="str">
        <f t="shared" si="185"/>
        <v/>
      </c>
      <c r="K169" s="172" t="str">
        <f t="shared" si="234"/>
        <v/>
      </c>
      <c r="L169" s="172" t="str">
        <f t="shared" si="235"/>
        <v/>
      </c>
      <c r="M169" s="173" t="str">
        <f t="shared" si="236"/>
        <v/>
      </c>
      <c r="N169" s="54" t="str">
        <f t="shared" si="186"/>
        <v/>
      </c>
      <c r="O169" s="55" t="str">
        <f t="shared" si="187"/>
        <v/>
      </c>
      <c r="P169" s="55" t="str">
        <f t="shared" si="15"/>
        <v/>
      </c>
      <c r="Q169" s="56" t="str">
        <f t="shared" si="188"/>
        <v/>
      </c>
      <c r="R169" s="56" t="str">
        <f t="shared" si="189"/>
        <v/>
      </c>
      <c r="S169" s="56" t="str">
        <f t="shared" si="190"/>
        <v/>
      </c>
      <c r="T169" s="56" t="str">
        <f t="shared" si="191"/>
        <v/>
      </c>
      <c r="U169" s="180" t="str">
        <f t="shared" si="192"/>
        <v/>
      </c>
      <c r="V169" s="55" t="str">
        <f t="shared" si="193"/>
        <v/>
      </c>
      <c r="W169" s="55" t="str">
        <f t="shared" si="194"/>
        <v/>
      </c>
      <c r="X169" s="56" t="str">
        <f t="shared" si="195"/>
        <v/>
      </c>
      <c r="Y169" s="180" t="str">
        <f t="shared" si="196"/>
        <v/>
      </c>
      <c r="Z169" s="55" t="str">
        <f t="shared" si="197"/>
        <v/>
      </c>
      <c r="AA169" s="55" t="str">
        <f t="shared" si="198"/>
        <v/>
      </c>
      <c r="AB169" s="150" t="str">
        <f t="shared" si="199"/>
        <v/>
      </c>
      <c r="AC169" s="188">
        <v>160</v>
      </c>
      <c r="AD169" s="1" t="b">
        <f t="shared" si="28"/>
        <v>0</v>
      </c>
      <c r="AE169" s="1" t="str">
        <f t="shared" si="29"/>
        <v/>
      </c>
      <c r="AF169" s="1" t="str">
        <f t="shared" si="30"/>
        <v/>
      </c>
      <c r="AG169" s="1" t="str">
        <f t="shared" si="31"/>
        <v/>
      </c>
      <c r="AH169" s="1" t="str">
        <f t="shared" si="200"/>
        <v/>
      </c>
      <c r="AI169" s="1" t="str">
        <f t="shared" si="33"/>
        <v/>
      </c>
      <c r="AJ169" s="191" t="str">
        <f t="shared" si="231"/>
        <v/>
      </c>
      <c r="AK169" s="191" t="str">
        <f t="shared" si="232"/>
        <v/>
      </c>
      <c r="AL169" s="191" t="str">
        <f t="shared" si="201"/>
        <v/>
      </c>
      <c r="AM169" s="1" t="str">
        <f t="shared" si="202"/>
        <v/>
      </c>
      <c r="AN169" s="191" t="str">
        <f t="shared" si="203"/>
        <v/>
      </c>
      <c r="AO169" s="134" t="str">
        <f t="shared" si="204"/>
        <v/>
      </c>
      <c r="AP169" s="64" t="str">
        <f t="shared" si="38"/>
        <v/>
      </c>
      <c r="AQ169" s="1" t="str">
        <f t="shared" si="230"/>
        <v/>
      </c>
      <c r="AR169" s="1" t="str">
        <f t="shared" si="205"/>
        <v/>
      </c>
      <c r="AS169" s="1" t="str">
        <f t="shared" si="206"/>
        <v/>
      </c>
      <c r="AT169" s="134" t="str">
        <f t="shared" si="207"/>
        <v/>
      </c>
      <c r="AU169" s="64" t="str">
        <f t="shared" si="208"/>
        <v/>
      </c>
      <c r="AV169" s="65" t="str">
        <f t="shared" si="209"/>
        <v/>
      </c>
      <c r="AW169" s="65" t="str">
        <f t="shared" si="210"/>
        <v/>
      </c>
      <c r="AX169" s="1" t="str">
        <f t="shared" si="211"/>
        <v/>
      </c>
      <c r="AY169" s="1" t="str">
        <f t="shared" si="212"/>
        <v/>
      </c>
      <c r="AZ169" s="131" t="str">
        <f t="shared" si="213"/>
        <v/>
      </c>
      <c r="BA169" s="1" t="str">
        <f t="shared" si="214"/>
        <v/>
      </c>
      <c r="BB169" s="1" t="str">
        <f t="shared" si="49"/>
        <v/>
      </c>
      <c r="BC169" s="1" t="str">
        <f t="shared" si="50"/>
        <v/>
      </c>
      <c r="BD169" s="1" t="str">
        <f t="shared" si="215"/>
        <v/>
      </c>
      <c r="BE169" s="1" t="str">
        <f t="shared" si="216"/>
        <v/>
      </c>
      <c r="BF169" s="1" t="str">
        <f t="shared" si="53"/>
        <v/>
      </c>
      <c r="BG169" s="1" t="str">
        <f t="shared" si="217"/>
        <v/>
      </c>
      <c r="BH169" s="1" t="str">
        <f t="shared" si="218"/>
        <v/>
      </c>
      <c r="BI169" s="1" t="str">
        <f t="shared" si="219"/>
        <v/>
      </c>
      <c r="BJ169" s="1" t="str">
        <f t="shared" si="220"/>
        <v/>
      </c>
      <c r="BK169" s="1" t="str">
        <f t="shared" si="221"/>
        <v/>
      </c>
      <c r="BL169" s="1" t="str">
        <f t="shared" si="222"/>
        <v/>
      </c>
      <c r="BM169" s="1" t="str">
        <f t="shared" si="223"/>
        <v/>
      </c>
      <c r="BN169" s="1" t="str">
        <f t="shared" si="224"/>
        <v/>
      </c>
      <c r="BO169" s="1" t="str">
        <f t="shared" si="225"/>
        <v/>
      </c>
      <c r="BQ169" s="1" t="str">
        <f t="shared" si="63"/>
        <v/>
      </c>
      <c r="BR169" s="1" t="str">
        <f t="shared" si="64"/>
        <v/>
      </c>
      <c r="BS169" s="1" t="str">
        <f t="shared" si="65"/>
        <v/>
      </c>
      <c r="BT169" s="1" t="str">
        <f t="shared" si="66"/>
        <v/>
      </c>
      <c r="BU169" s="1" t="str">
        <f t="shared" si="67"/>
        <v/>
      </c>
      <c r="BV169" s="1" t="str">
        <f t="shared" si="68"/>
        <v/>
      </c>
      <c r="BW169" s="1" t="str">
        <f t="shared" si="69"/>
        <v/>
      </c>
      <c r="BX169" s="1" t="str">
        <f t="shared" si="70"/>
        <v/>
      </c>
      <c r="BY169" s="1" t="str">
        <f t="shared" si="226"/>
        <v/>
      </c>
      <c r="BZ169" s="1" t="str">
        <f t="shared" si="72"/>
        <v/>
      </c>
      <c r="CA169" s="1" t="str">
        <f t="shared" si="73"/>
        <v/>
      </c>
      <c r="CB169" s="1" t="str">
        <f t="shared" si="74"/>
        <v/>
      </c>
      <c r="CC169" s="1" t="str">
        <f t="shared" si="75"/>
        <v/>
      </c>
      <c r="CD169" s="1" t="str">
        <f t="shared" si="227"/>
        <v/>
      </c>
      <c r="CE169" s="1" t="str">
        <f t="shared" si="77"/>
        <v/>
      </c>
      <c r="CF169" s="1" t="str">
        <f t="shared" si="78"/>
        <v/>
      </c>
      <c r="CG169" s="1" t="str">
        <f t="shared" si="79"/>
        <v/>
      </c>
      <c r="CH169" s="1" t="str">
        <f t="shared" si="80"/>
        <v/>
      </c>
      <c r="CJ169" s="1" t="str">
        <f t="shared" si="81"/>
        <v/>
      </c>
      <c r="CK169" s="1" t="str">
        <f t="shared" si="82"/>
        <v/>
      </c>
      <c r="CL169" s="1" t="str">
        <f t="shared" si="83"/>
        <v/>
      </c>
      <c r="CM169" s="1" t="str">
        <f t="shared" si="84"/>
        <v/>
      </c>
      <c r="CN169" s="1" t="str">
        <f t="shared" si="85"/>
        <v/>
      </c>
      <c r="CO169" s="1" t="str">
        <f t="shared" si="86"/>
        <v/>
      </c>
      <c r="CP169" s="1" t="str">
        <f t="shared" si="87"/>
        <v/>
      </c>
      <c r="CR169" s="1" t="str">
        <f t="shared" si="88"/>
        <v/>
      </c>
      <c r="CS169" s="1" t="str">
        <f t="shared" si="89"/>
        <v/>
      </c>
      <c r="CT169" s="1" t="str">
        <f t="shared" si="90"/>
        <v/>
      </c>
      <c r="CU169" s="1" t="str">
        <f t="shared" si="91"/>
        <v/>
      </c>
      <c r="CV169" s="1" t="str">
        <f t="shared" si="92"/>
        <v/>
      </c>
      <c r="DC169" s="154" t="e">
        <f t="shared" si="93"/>
        <v>#VALUE!</v>
      </c>
      <c r="DD169" s="154" t="str">
        <f t="shared" si="94"/>
        <v/>
      </c>
      <c r="DE169" s="154" t="str">
        <f t="shared" si="95"/>
        <v/>
      </c>
      <c r="DF169" s="1" t="str">
        <f t="shared" si="96"/>
        <v/>
      </c>
      <c r="DG169" s="1" t="str">
        <f t="shared" si="97"/>
        <v/>
      </c>
      <c r="DH169" s="1" t="str">
        <f t="shared" si="98"/>
        <v/>
      </c>
      <c r="DI169" s="1" t="str">
        <f t="shared" si="228"/>
        <v/>
      </c>
      <c r="DJ169" s="1" t="str">
        <f t="shared" si="229"/>
        <v/>
      </c>
      <c r="DK169" s="1" t="str">
        <f t="shared" si="101"/>
        <v/>
      </c>
      <c r="DL169" s="1" t="str">
        <f t="shared" si="102"/>
        <v/>
      </c>
      <c r="DM169" s="1" t="str">
        <f t="shared" si="103"/>
        <v/>
      </c>
    </row>
    <row r="170" customHeight="1" spans="1:117">
      <c r="A170" s="152" t="str">
        <f t="shared" si="233"/>
        <v/>
      </c>
      <c r="C170" s="55" t="str">
        <f t="shared" si="5"/>
        <v/>
      </c>
      <c r="D170" s="150" t="str">
        <f t="shared" si="6"/>
        <v/>
      </c>
      <c r="E170" s="151" t="str">
        <f t="shared" si="180"/>
        <v/>
      </c>
      <c r="F170" s="151" t="str">
        <f t="shared" si="181"/>
        <v/>
      </c>
      <c r="G170" s="151" t="str">
        <f t="shared" si="182"/>
        <v/>
      </c>
      <c r="H170" s="151" t="str">
        <f t="shared" si="183"/>
        <v/>
      </c>
      <c r="I170" s="151" t="str">
        <f t="shared" si="184"/>
        <v/>
      </c>
      <c r="J170" s="171" t="str">
        <f t="shared" si="185"/>
        <v/>
      </c>
      <c r="K170" s="172" t="str">
        <f t="shared" si="234"/>
        <v/>
      </c>
      <c r="L170" s="172" t="str">
        <f t="shared" si="235"/>
        <v/>
      </c>
      <c r="M170" s="173" t="str">
        <f t="shared" si="236"/>
        <v/>
      </c>
      <c r="N170" s="54" t="str">
        <f t="shared" si="186"/>
        <v/>
      </c>
      <c r="O170" s="55" t="str">
        <f t="shared" si="187"/>
        <v/>
      </c>
      <c r="P170" s="55" t="str">
        <f t="shared" si="15"/>
        <v/>
      </c>
      <c r="Q170" s="56" t="str">
        <f t="shared" si="188"/>
        <v/>
      </c>
      <c r="R170" s="56" t="str">
        <f t="shared" si="189"/>
        <v/>
      </c>
      <c r="S170" s="56" t="str">
        <f t="shared" si="190"/>
        <v/>
      </c>
      <c r="T170" s="56" t="str">
        <f t="shared" si="191"/>
        <v/>
      </c>
      <c r="U170" s="180" t="str">
        <f t="shared" si="192"/>
        <v/>
      </c>
      <c r="V170" s="55" t="str">
        <f t="shared" si="193"/>
        <v/>
      </c>
      <c r="W170" s="55" t="str">
        <f t="shared" si="194"/>
        <v/>
      </c>
      <c r="X170" s="56" t="str">
        <f t="shared" si="195"/>
        <v/>
      </c>
      <c r="Y170" s="180" t="str">
        <f t="shared" si="196"/>
        <v/>
      </c>
      <c r="Z170" s="55" t="str">
        <f t="shared" si="197"/>
        <v/>
      </c>
      <c r="AA170" s="55" t="str">
        <f t="shared" si="198"/>
        <v/>
      </c>
      <c r="AB170" s="150" t="str">
        <f t="shared" si="199"/>
        <v/>
      </c>
      <c r="AC170" s="188">
        <v>161</v>
      </c>
      <c r="AD170" s="1" t="b">
        <f t="shared" si="28"/>
        <v>0</v>
      </c>
      <c r="AE170" s="1" t="str">
        <f t="shared" si="29"/>
        <v/>
      </c>
      <c r="AF170" s="1" t="str">
        <f t="shared" si="30"/>
        <v/>
      </c>
      <c r="AG170" s="1" t="str">
        <f t="shared" si="31"/>
        <v/>
      </c>
      <c r="AH170" s="1" t="str">
        <f t="shared" si="200"/>
        <v/>
      </c>
      <c r="AI170" s="1" t="str">
        <f t="shared" si="33"/>
        <v/>
      </c>
      <c r="AJ170" s="191" t="str">
        <f t="shared" ref="AJ170:AJ201" si="237">IF(ListMethodCode,_xlfn.IFNA(VLOOKUP(CONCATENATE(BodyName," ",IF(AC170&lt;10,"0",""),AC170),DatabaseOutpost,13,FALSE),""),_xlfn.IFNA(VLOOKUP(CONCATENATE(BodyName," ",IF(AC170&lt;10,"0",""),AC170),DatabaseTime,12,FALSE),""))</f>
        <v/>
      </c>
      <c r="AK170" s="191" t="str">
        <f t="shared" ref="AK170:AK201" si="238">IF(ListMethodCode,_xlfn.IFNA(VLOOKUP(CONCATENATE(BodyName," ",IF(AC170&lt;10,"0",""),AC170),DatabaseOutpost,14,FALSE),""),_xlfn.IFNA(VLOOKUP(CONCATENATE(BodyName," ",IF(AC170&lt;10,"0",""),AC170),DatabaseTime,13,FALSE),""))</f>
        <v/>
      </c>
      <c r="AL170" s="191" t="str">
        <f t="shared" si="201"/>
        <v/>
      </c>
      <c r="AM170" s="1" t="str">
        <f t="shared" si="202"/>
        <v/>
      </c>
      <c r="AN170" s="191" t="str">
        <f t="shared" si="203"/>
        <v/>
      </c>
      <c r="AO170" s="134" t="str">
        <f t="shared" si="204"/>
        <v/>
      </c>
      <c r="AP170" s="64" t="str">
        <f t="shared" si="38"/>
        <v/>
      </c>
      <c r="AQ170" s="1" t="str">
        <f t="shared" si="230"/>
        <v/>
      </c>
      <c r="AR170" s="1" t="str">
        <f t="shared" si="205"/>
        <v/>
      </c>
      <c r="AS170" s="1" t="str">
        <f t="shared" si="206"/>
        <v/>
      </c>
      <c r="AT170" s="134" t="str">
        <f t="shared" si="207"/>
        <v/>
      </c>
      <c r="AU170" s="64" t="str">
        <f t="shared" si="208"/>
        <v/>
      </c>
      <c r="AV170" s="65" t="str">
        <f t="shared" si="209"/>
        <v/>
      </c>
      <c r="AW170" s="65" t="str">
        <f t="shared" si="210"/>
        <v/>
      </c>
      <c r="AX170" s="1" t="str">
        <f t="shared" si="211"/>
        <v/>
      </c>
      <c r="AY170" s="1" t="str">
        <f t="shared" si="212"/>
        <v/>
      </c>
      <c r="AZ170" s="131" t="str">
        <f t="shared" si="213"/>
        <v/>
      </c>
      <c r="BA170" s="1" t="str">
        <f t="shared" si="214"/>
        <v/>
      </c>
      <c r="BB170" s="1" t="str">
        <f t="shared" si="49"/>
        <v/>
      </c>
      <c r="BC170" s="1" t="str">
        <f t="shared" si="50"/>
        <v/>
      </c>
      <c r="BD170" s="1" t="str">
        <f t="shared" si="215"/>
        <v/>
      </c>
      <c r="BE170" s="1" t="str">
        <f t="shared" si="216"/>
        <v/>
      </c>
      <c r="BF170" s="1" t="str">
        <f t="shared" si="53"/>
        <v/>
      </c>
      <c r="BG170" s="1" t="str">
        <f t="shared" si="217"/>
        <v/>
      </c>
      <c r="BH170" s="1" t="str">
        <f t="shared" si="218"/>
        <v/>
      </c>
      <c r="BI170" s="1" t="str">
        <f t="shared" si="219"/>
        <v/>
      </c>
      <c r="BJ170" s="1" t="str">
        <f t="shared" si="220"/>
        <v/>
      </c>
      <c r="BK170" s="1" t="str">
        <f t="shared" si="221"/>
        <v/>
      </c>
      <c r="BL170" s="1" t="str">
        <f t="shared" si="222"/>
        <v/>
      </c>
      <c r="BM170" s="1" t="str">
        <f t="shared" si="223"/>
        <v/>
      </c>
      <c r="BN170" s="1" t="str">
        <f t="shared" si="224"/>
        <v/>
      </c>
      <c r="BO170" s="1" t="str">
        <f t="shared" si="225"/>
        <v/>
      </c>
      <c r="BQ170" s="1" t="str">
        <f t="shared" si="63"/>
        <v/>
      </c>
      <c r="BR170" s="1" t="str">
        <f t="shared" si="64"/>
        <v/>
      </c>
      <c r="BS170" s="1" t="str">
        <f t="shared" si="65"/>
        <v/>
      </c>
      <c r="BT170" s="1" t="str">
        <f t="shared" si="66"/>
        <v/>
      </c>
      <c r="BU170" s="1" t="str">
        <f t="shared" si="67"/>
        <v/>
      </c>
      <c r="BV170" s="1" t="str">
        <f t="shared" si="68"/>
        <v/>
      </c>
      <c r="BW170" s="1" t="str">
        <f t="shared" si="69"/>
        <v/>
      </c>
      <c r="BX170" s="1" t="str">
        <f t="shared" si="70"/>
        <v/>
      </c>
      <c r="BY170" s="1" t="str">
        <f t="shared" si="226"/>
        <v/>
      </c>
      <c r="BZ170" s="1" t="str">
        <f t="shared" si="72"/>
        <v/>
      </c>
      <c r="CA170" s="1" t="str">
        <f t="shared" si="73"/>
        <v/>
      </c>
      <c r="CB170" s="1" t="str">
        <f t="shared" si="74"/>
        <v/>
      </c>
      <c r="CC170" s="1" t="str">
        <f t="shared" si="75"/>
        <v/>
      </c>
      <c r="CD170" s="1" t="str">
        <f t="shared" si="227"/>
        <v/>
      </c>
      <c r="CE170" s="1" t="str">
        <f t="shared" si="77"/>
        <v/>
      </c>
      <c r="CF170" s="1" t="str">
        <f t="shared" si="78"/>
        <v/>
      </c>
      <c r="CG170" s="1" t="str">
        <f t="shared" si="79"/>
        <v/>
      </c>
      <c r="CH170" s="1" t="str">
        <f t="shared" si="80"/>
        <v/>
      </c>
      <c r="CJ170" s="1" t="str">
        <f t="shared" si="81"/>
        <v/>
      </c>
      <c r="CK170" s="1" t="str">
        <f t="shared" si="82"/>
        <v/>
      </c>
      <c r="CL170" s="1" t="str">
        <f t="shared" si="83"/>
        <v/>
      </c>
      <c r="CM170" s="1" t="str">
        <f t="shared" si="84"/>
        <v/>
      </c>
      <c r="CN170" s="1" t="str">
        <f t="shared" si="85"/>
        <v/>
      </c>
      <c r="CO170" s="1" t="str">
        <f t="shared" si="86"/>
        <v/>
      </c>
      <c r="CP170" s="1" t="str">
        <f t="shared" si="87"/>
        <v/>
      </c>
      <c r="CR170" s="1" t="str">
        <f t="shared" si="88"/>
        <v/>
      </c>
      <c r="CS170" s="1" t="str">
        <f t="shared" si="89"/>
        <v/>
      </c>
      <c r="CT170" s="1" t="str">
        <f t="shared" si="90"/>
        <v/>
      </c>
      <c r="CU170" s="1" t="str">
        <f t="shared" si="91"/>
        <v/>
      </c>
      <c r="CV170" s="1" t="str">
        <f t="shared" si="92"/>
        <v/>
      </c>
      <c r="DC170" s="154" t="e">
        <f t="shared" si="93"/>
        <v>#VALUE!</v>
      </c>
      <c r="DD170" s="154" t="str">
        <f t="shared" si="94"/>
        <v/>
      </c>
      <c r="DE170" s="154" t="str">
        <f t="shared" si="95"/>
        <v/>
      </c>
      <c r="DF170" s="1" t="str">
        <f t="shared" si="96"/>
        <v/>
      </c>
      <c r="DG170" s="1" t="str">
        <f t="shared" si="97"/>
        <v/>
      </c>
      <c r="DH170" s="1" t="str">
        <f t="shared" si="98"/>
        <v/>
      </c>
      <c r="DI170" s="1" t="str">
        <f t="shared" si="228"/>
        <v/>
      </c>
      <c r="DJ170" s="1" t="str">
        <f t="shared" si="229"/>
        <v/>
      </c>
      <c r="DK170" s="1" t="str">
        <f t="shared" si="101"/>
        <v/>
      </c>
      <c r="DL170" s="1" t="str">
        <f t="shared" si="102"/>
        <v/>
      </c>
      <c r="DM170" s="1" t="str">
        <f t="shared" si="103"/>
        <v/>
      </c>
    </row>
    <row r="171" customHeight="1" spans="1:117">
      <c r="A171" s="152" t="str">
        <f t="shared" ref="A171:A202" si="239">IF(ListMethodCode,_xlfn.IFNA(VLOOKUP(CONCATENATE(BodyName," ",IF(AC171&lt;10,"0",""),AC171),DatabaseOutpost,3,FALSE),""),_xlfn.IFNA(VLOOKUP(CONCATENATE(BodyName," ",IF(AC171&lt;10,"0",""),AC171),DatabaseTime,2,FALSE),""))</f>
        <v/>
      </c>
      <c r="C171" s="55" t="str">
        <f t="shared" si="5"/>
        <v/>
      </c>
      <c r="D171" s="150" t="str">
        <f t="shared" si="6"/>
        <v/>
      </c>
      <c r="E171" s="151" t="str">
        <f t="shared" si="180"/>
        <v/>
      </c>
      <c r="F171" s="151" t="str">
        <f t="shared" si="181"/>
        <v/>
      </c>
      <c r="G171" s="151" t="str">
        <f t="shared" si="182"/>
        <v/>
      </c>
      <c r="H171" s="151" t="str">
        <f t="shared" si="183"/>
        <v/>
      </c>
      <c r="I171" s="151" t="str">
        <f t="shared" si="184"/>
        <v/>
      </c>
      <c r="J171" s="171" t="str">
        <f t="shared" si="185"/>
        <v/>
      </c>
      <c r="K171" s="172" t="str">
        <f t="shared" ref="K171:K202" si="240">IF(ListMethodCode,_xlfn.IFNA(VLOOKUP(CONCATENATE(BodyName," ",IF(AC171&lt;10,"0",""),AC171),DatabaseOutpost,5,FALSE),""),_xlfn.IFNA(VLOOKUP(CONCATENATE(BodyName," ",IF(AC171&lt;10,"0",""),AC171),DatabaseTime,4,FALSE),""))</f>
        <v/>
      </c>
      <c r="L171" s="172" t="str">
        <f t="shared" ref="L171:L202" si="241">IF(ListMethodCode,_xlfn.IFNA(VLOOKUP(CONCATENATE(BodyName," ",IF(AC171&lt;10,"0",""),AC171),DatabaseOutpost,6,FALSE),""),_xlfn.IFNA(VLOOKUP(CONCATENATE(BodyName," ",IF(AC171&lt;10,"0",""),AC171),DatabaseTime,5,FALSE),""))</f>
        <v/>
      </c>
      <c r="M171" s="173" t="str">
        <f t="shared" ref="M171:M202" si="242">IF(ListMethodCode,_xlfn.IFNA(VLOOKUP(CONCATENATE(BodyName," ",IF(AC171&lt;10,"0",""),AC171),DatabaseOutpost,7,FALSE),""),_xlfn.IFNA(VLOOKUP(CONCATENATE(BodyName," ",IF(AC171&lt;10,"0",""),AC171),DatabaseTime,6,FALSE),""))</f>
        <v/>
      </c>
      <c r="N171" s="54" t="str">
        <f t="shared" si="186"/>
        <v/>
      </c>
      <c r="O171" s="55" t="str">
        <f t="shared" si="187"/>
        <v/>
      </c>
      <c r="P171" s="55" t="str">
        <f t="shared" si="15"/>
        <v/>
      </c>
      <c r="Q171" s="56" t="str">
        <f t="shared" si="188"/>
        <v/>
      </c>
      <c r="R171" s="56" t="str">
        <f t="shared" si="189"/>
        <v/>
      </c>
      <c r="S171" s="56" t="str">
        <f t="shared" si="190"/>
        <v/>
      </c>
      <c r="T171" s="56" t="str">
        <f t="shared" si="191"/>
        <v/>
      </c>
      <c r="U171" s="180" t="str">
        <f t="shared" si="192"/>
        <v/>
      </c>
      <c r="V171" s="55" t="str">
        <f t="shared" si="193"/>
        <v/>
      </c>
      <c r="W171" s="55" t="str">
        <f t="shared" si="194"/>
        <v/>
      </c>
      <c r="X171" s="56" t="str">
        <f t="shared" si="195"/>
        <v/>
      </c>
      <c r="Y171" s="180" t="str">
        <f t="shared" si="196"/>
        <v/>
      </c>
      <c r="Z171" s="55" t="str">
        <f t="shared" si="197"/>
        <v/>
      </c>
      <c r="AA171" s="55" t="str">
        <f t="shared" si="198"/>
        <v/>
      </c>
      <c r="AB171" s="150" t="str">
        <f t="shared" si="199"/>
        <v/>
      </c>
      <c r="AC171" s="188">
        <v>162</v>
      </c>
      <c r="AD171" s="1" t="b">
        <f t="shared" si="28"/>
        <v>0</v>
      </c>
      <c r="AE171" s="1" t="str">
        <f t="shared" si="29"/>
        <v/>
      </c>
      <c r="AF171" s="1" t="str">
        <f t="shared" si="30"/>
        <v/>
      </c>
      <c r="AG171" s="1" t="str">
        <f t="shared" si="31"/>
        <v/>
      </c>
      <c r="AH171" s="1" t="str">
        <f t="shared" si="200"/>
        <v/>
      </c>
      <c r="AI171" s="1" t="str">
        <f t="shared" si="33"/>
        <v/>
      </c>
      <c r="AJ171" s="191" t="str">
        <f t="shared" si="237"/>
        <v/>
      </c>
      <c r="AK171" s="191" t="str">
        <f t="shared" si="238"/>
        <v/>
      </c>
      <c r="AL171" s="191" t="str">
        <f t="shared" si="201"/>
        <v/>
      </c>
      <c r="AM171" s="1" t="str">
        <f t="shared" si="202"/>
        <v/>
      </c>
      <c r="AN171" s="191" t="str">
        <f t="shared" si="203"/>
        <v/>
      </c>
      <c r="AO171" s="134" t="str">
        <f t="shared" si="204"/>
        <v/>
      </c>
      <c r="AP171" s="64" t="str">
        <f t="shared" si="38"/>
        <v/>
      </c>
      <c r="AQ171" s="1" t="str">
        <f t="shared" si="230"/>
        <v/>
      </c>
      <c r="AR171" s="1" t="str">
        <f t="shared" si="205"/>
        <v/>
      </c>
      <c r="AS171" s="1" t="str">
        <f t="shared" si="206"/>
        <v/>
      </c>
      <c r="AT171" s="134" t="str">
        <f t="shared" si="207"/>
        <v/>
      </c>
      <c r="AU171" s="64" t="str">
        <f t="shared" si="208"/>
        <v/>
      </c>
      <c r="AV171" s="65" t="str">
        <f t="shared" si="209"/>
        <v/>
      </c>
      <c r="AW171" s="65" t="str">
        <f t="shared" si="210"/>
        <v/>
      </c>
      <c r="AX171" s="1" t="str">
        <f t="shared" si="211"/>
        <v/>
      </c>
      <c r="AY171" s="1" t="str">
        <f t="shared" si="212"/>
        <v/>
      </c>
      <c r="AZ171" s="131" t="str">
        <f t="shared" si="213"/>
        <v/>
      </c>
      <c r="BA171" s="1" t="str">
        <f t="shared" si="214"/>
        <v/>
      </c>
      <c r="BB171" s="1" t="str">
        <f t="shared" si="49"/>
        <v/>
      </c>
      <c r="BC171" s="1" t="str">
        <f t="shared" si="50"/>
        <v/>
      </c>
      <c r="BD171" s="1" t="str">
        <f t="shared" si="215"/>
        <v/>
      </c>
      <c r="BE171" s="1" t="str">
        <f t="shared" si="216"/>
        <v/>
      </c>
      <c r="BF171" s="1" t="str">
        <f t="shared" si="53"/>
        <v/>
      </c>
      <c r="BG171" s="1" t="str">
        <f t="shared" si="217"/>
        <v/>
      </c>
      <c r="BH171" s="1" t="str">
        <f t="shared" si="218"/>
        <v/>
      </c>
      <c r="BI171" s="1" t="str">
        <f t="shared" si="219"/>
        <v/>
      </c>
      <c r="BJ171" s="1" t="str">
        <f t="shared" si="220"/>
        <v/>
      </c>
      <c r="BK171" s="1" t="str">
        <f t="shared" si="221"/>
        <v/>
      </c>
      <c r="BL171" s="1" t="str">
        <f t="shared" si="222"/>
        <v/>
      </c>
      <c r="BM171" s="1" t="str">
        <f t="shared" si="223"/>
        <v/>
      </c>
      <c r="BN171" s="1" t="str">
        <f t="shared" si="224"/>
        <v/>
      </c>
      <c r="BO171" s="1" t="str">
        <f t="shared" si="225"/>
        <v/>
      </c>
      <c r="BQ171" s="1" t="str">
        <f t="shared" si="63"/>
        <v/>
      </c>
      <c r="BR171" s="1" t="str">
        <f t="shared" si="64"/>
        <v/>
      </c>
      <c r="BS171" s="1" t="str">
        <f t="shared" si="65"/>
        <v/>
      </c>
      <c r="BT171" s="1" t="str">
        <f t="shared" si="66"/>
        <v/>
      </c>
      <c r="BU171" s="1" t="str">
        <f t="shared" si="67"/>
        <v/>
      </c>
      <c r="BV171" s="1" t="str">
        <f t="shared" si="68"/>
        <v/>
      </c>
      <c r="BW171" s="1" t="str">
        <f t="shared" si="69"/>
        <v/>
      </c>
      <c r="BX171" s="1" t="str">
        <f t="shared" si="70"/>
        <v/>
      </c>
      <c r="BY171" s="1" t="str">
        <f t="shared" si="226"/>
        <v/>
      </c>
      <c r="BZ171" s="1" t="str">
        <f t="shared" si="72"/>
        <v/>
      </c>
      <c r="CA171" s="1" t="str">
        <f t="shared" si="73"/>
        <v/>
      </c>
      <c r="CB171" s="1" t="str">
        <f t="shared" si="74"/>
        <v/>
      </c>
      <c r="CC171" s="1" t="str">
        <f t="shared" si="75"/>
        <v/>
      </c>
      <c r="CD171" s="1" t="str">
        <f t="shared" si="227"/>
        <v/>
      </c>
      <c r="CE171" s="1" t="str">
        <f t="shared" si="77"/>
        <v/>
      </c>
      <c r="CF171" s="1" t="str">
        <f t="shared" si="78"/>
        <v/>
      </c>
      <c r="CG171" s="1" t="str">
        <f t="shared" si="79"/>
        <v/>
      </c>
      <c r="CH171" s="1" t="str">
        <f t="shared" si="80"/>
        <v/>
      </c>
      <c r="CJ171" s="1" t="str">
        <f t="shared" si="81"/>
        <v/>
      </c>
      <c r="CK171" s="1" t="str">
        <f t="shared" si="82"/>
        <v/>
      </c>
      <c r="CL171" s="1" t="str">
        <f t="shared" si="83"/>
        <v/>
      </c>
      <c r="CM171" s="1" t="str">
        <f t="shared" si="84"/>
        <v/>
      </c>
      <c r="CN171" s="1" t="str">
        <f t="shared" si="85"/>
        <v/>
      </c>
      <c r="CO171" s="1" t="str">
        <f t="shared" si="86"/>
        <v/>
      </c>
      <c r="CP171" s="1" t="str">
        <f t="shared" si="87"/>
        <v/>
      </c>
      <c r="CR171" s="1" t="str">
        <f t="shared" si="88"/>
        <v/>
      </c>
      <c r="CS171" s="1" t="str">
        <f t="shared" si="89"/>
        <v/>
      </c>
      <c r="CT171" s="1" t="str">
        <f t="shared" si="90"/>
        <v/>
      </c>
      <c r="CU171" s="1" t="str">
        <f t="shared" si="91"/>
        <v/>
      </c>
      <c r="CV171" s="1" t="str">
        <f t="shared" si="92"/>
        <v/>
      </c>
      <c r="DC171" s="154" t="e">
        <f t="shared" si="93"/>
        <v>#VALUE!</v>
      </c>
      <c r="DD171" s="154" t="str">
        <f t="shared" si="94"/>
        <v/>
      </c>
      <c r="DE171" s="154" t="str">
        <f t="shared" si="95"/>
        <v/>
      </c>
      <c r="DF171" s="1" t="str">
        <f t="shared" si="96"/>
        <v/>
      </c>
      <c r="DG171" s="1" t="str">
        <f t="shared" si="97"/>
        <v/>
      </c>
      <c r="DH171" s="1" t="str">
        <f t="shared" si="98"/>
        <v/>
      </c>
      <c r="DI171" s="1" t="str">
        <f t="shared" si="228"/>
        <v/>
      </c>
      <c r="DJ171" s="1" t="str">
        <f t="shared" si="229"/>
        <v/>
      </c>
      <c r="DK171" s="1" t="str">
        <f t="shared" si="101"/>
        <v/>
      </c>
      <c r="DL171" s="1" t="str">
        <f t="shared" si="102"/>
        <v/>
      </c>
      <c r="DM171" s="1" t="str">
        <f t="shared" si="103"/>
        <v/>
      </c>
    </row>
    <row r="172" customHeight="1" spans="1:117">
      <c r="A172" s="152" t="str">
        <f t="shared" si="239"/>
        <v/>
      </c>
      <c r="C172" s="55" t="str">
        <f t="shared" si="5"/>
        <v/>
      </c>
      <c r="D172" s="150" t="str">
        <f t="shared" si="6"/>
        <v/>
      </c>
      <c r="E172" s="151" t="str">
        <f t="shared" si="180"/>
        <v/>
      </c>
      <c r="F172" s="151" t="str">
        <f t="shared" si="181"/>
        <v/>
      </c>
      <c r="G172" s="151" t="str">
        <f t="shared" si="182"/>
        <v/>
      </c>
      <c r="H172" s="151" t="str">
        <f t="shared" si="183"/>
        <v/>
      </c>
      <c r="I172" s="151" t="str">
        <f t="shared" si="184"/>
        <v/>
      </c>
      <c r="J172" s="171" t="str">
        <f t="shared" si="185"/>
        <v/>
      </c>
      <c r="K172" s="172" t="str">
        <f t="shared" si="240"/>
        <v/>
      </c>
      <c r="L172" s="172" t="str">
        <f t="shared" si="241"/>
        <v/>
      </c>
      <c r="M172" s="173" t="str">
        <f t="shared" si="242"/>
        <v/>
      </c>
      <c r="N172" s="54" t="str">
        <f t="shared" si="186"/>
        <v/>
      </c>
      <c r="O172" s="55" t="str">
        <f t="shared" si="187"/>
        <v/>
      </c>
      <c r="P172" s="55" t="str">
        <f t="shared" si="15"/>
        <v/>
      </c>
      <c r="Q172" s="56" t="str">
        <f t="shared" si="188"/>
        <v/>
      </c>
      <c r="R172" s="56" t="str">
        <f t="shared" si="189"/>
        <v/>
      </c>
      <c r="S172" s="56" t="str">
        <f t="shared" si="190"/>
        <v/>
      </c>
      <c r="T172" s="56" t="str">
        <f t="shared" si="191"/>
        <v/>
      </c>
      <c r="U172" s="180" t="str">
        <f t="shared" si="192"/>
        <v/>
      </c>
      <c r="V172" s="55" t="str">
        <f t="shared" si="193"/>
        <v/>
      </c>
      <c r="W172" s="55" t="str">
        <f t="shared" si="194"/>
        <v/>
      </c>
      <c r="X172" s="56" t="str">
        <f t="shared" si="195"/>
        <v/>
      </c>
      <c r="Y172" s="180" t="str">
        <f t="shared" si="196"/>
        <v/>
      </c>
      <c r="Z172" s="55" t="str">
        <f t="shared" si="197"/>
        <v/>
      </c>
      <c r="AA172" s="55" t="str">
        <f t="shared" si="198"/>
        <v/>
      </c>
      <c r="AB172" s="150" t="str">
        <f t="shared" si="199"/>
        <v/>
      </c>
      <c r="AC172" s="188">
        <v>163</v>
      </c>
      <c r="AD172" s="1" t="b">
        <f t="shared" si="28"/>
        <v>0</v>
      </c>
      <c r="AE172" s="1" t="str">
        <f t="shared" si="29"/>
        <v/>
      </c>
      <c r="AF172" s="1" t="str">
        <f t="shared" si="30"/>
        <v/>
      </c>
      <c r="AG172" s="1" t="str">
        <f t="shared" si="31"/>
        <v/>
      </c>
      <c r="AH172" s="1" t="str">
        <f t="shared" si="200"/>
        <v/>
      </c>
      <c r="AI172" s="1" t="str">
        <f t="shared" si="33"/>
        <v/>
      </c>
      <c r="AJ172" s="191" t="str">
        <f t="shared" si="237"/>
        <v/>
      </c>
      <c r="AK172" s="191" t="str">
        <f t="shared" si="238"/>
        <v/>
      </c>
      <c r="AL172" s="191" t="str">
        <f t="shared" si="201"/>
        <v/>
      </c>
      <c r="AM172" s="1" t="str">
        <f t="shared" si="202"/>
        <v/>
      </c>
      <c r="AN172" s="191" t="str">
        <f t="shared" si="203"/>
        <v/>
      </c>
      <c r="AO172" s="134" t="str">
        <f t="shared" si="204"/>
        <v/>
      </c>
      <c r="AP172" s="64" t="str">
        <f t="shared" si="38"/>
        <v/>
      </c>
      <c r="AQ172" s="1" t="str">
        <f t="shared" si="230"/>
        <v/>
      </c>
      <c r="AR172" s="1" t="str">
        <f t="shared" si="205"/>
        <v/>
      </c>
      <c r="AS172" s="1" t="str">
        <f t="shared" si="206"/>
        <v/>
      </c>
      <c r="AT172" s="134" t="str">
        <f t="shared" si="207"/>
        <v/>
      </c>
      <c r="AU172" s="64" t="str">
        <f t="shared" si="208"/>
        <v/>
      </c>
      <c r="AV172" s="65" t="str">
        <f t="shared" si="209"/>
        <v/>
      </c>
      <c r="AW172" s="65" t="str">
        <f t="shared" si="210"/>
        <v/>
      </c>
      <c r="AX172" s="1" t="str">
        <f t="shared" si="211"/>
        <v/>
      </c>
      <c r="AY172" s="1" t="str">
        <f t="shared" si="212"/>
        <v/>
      </c>
      <c r="AZ172" s="131" t="str">
        <f t="shared" si="213"/>
        <v/>
      </c>
      <c r="BA172" s="1" t="str">
        <f t="shared" si="214"/>
        <v/>
      </c>
      <c r="BB172" s="1" t="str">
        <f t="shared" si="49"/>
        <v/>
      </c>
      <c r="BC172" s="1" t="str">
        <f t="shared" si="50"/>
        <v/>
      </c>
      <c r="BD172" s="1" t="str">
        <f t="shared" si="215"/>
        <v/>
      </c>
      <c r="BE172" s="1" t="str">
        <f t="shared" si="216"/>
        <v/>
      </c>
      <c r="BF172" s="1" t="str">
        <f t="shared" si="53"/>
        <v/>
      </c>
      <c r="BG172" s="1" t="str">
        <f t="shared" si="217"/>
        <v/>
      </c>
      <c r="BH172" s="1" t="str">
        <f t="shared" si="218"/>
        <v/>
      </c>
      <c r="BI172" s="1" t="str">
        <f t="shared" si="219"/>
        <v/>
      </c>
      <c r="BJ172" s="1" t="str">
        <f t="shared" si="220"/>
        <v/>
      </c>
      <c r="BK172" s="1" t="str">
        <f t="shared" si="221"/>
        <v/>
      </c>
      <c r="BL172" s="1" t="str">
        <f t="shared" si="222"/>
        <v/>
      </c>
      <c r="BM172" s="1" t="str">
        <f t="shared" si="223"/>
        <v/>
      </c>
      <c r="BN172" s="1" t="str">
        <f t="shared" si="224"/>
        <v/>
      </c>
      <c r="BO172" s="1" t="str">
        <f t="shared" si="225"/>
        <v/>
      </c>
      <c r="BQ172" s="1" t="str">
        <f t="shared" si="63"/>
        <v/>
      </c>
      <c r="BR172" s="1" t="str">
        <f t="shared" si="64"/>
        <v/>
      </c>
      <c r="BS172" s="1" t="str">
        <f t="shared" si="65"/>
        <v/>
      </c>
      <c r="BT172" s="1" t="str">
        <f t="shared" si="66"/>
        <v/>
      </c>
      <c r="BU172" s="1" t="str">
        <f t="shared" si="67"/>
        <v/>
      </c>
      <c r="BV172" s="1" t="str">
        <f t="shared" si="68"/>
        <v/>
      </c>
      <c r="BW172" s="1" t="str">
        <f t="shared" si="69"/>
        <v/>
      </c>
      <c r="BX172" s="1" t="str">
        <f t="shared" si="70"/>
        <v/>
      </c>
      <c r="BY172" s="1" t="str">
        <f t="shared" si="226"/>
        <v/>
      </c>
      <c r="BZ172" s="1" t="str">
        <f t="shared" si="72"/>
        <v/>
      </c>
      <c r="CA172" s="1" t="str">
        <f t="shared" si="73"/>
        <v/>
      </c>
      <c r="CB172" s="1" t="str">
        <f t="shared" si="74"/>
        <v/>
      </c>
      <c r="CC172" s="1" t="str">
        <f t="shared" si="75"/>
        <v/>
      </c>
      <c r="CD172" s="1" t="str">
        <f t="shared" si="227"/>
        <v/>
      </c>
      <c r="CE172" s="1" t="str">
        <f t="shared" si="77"/>
        <v/>
      </c>
      <c r="CF172" s="1" t="str">
        <f t="shared" si="78"/>
        <v/>
      </c>
      <c r="CG172" s="1" t="str">
        <f t="shared" si="79"/>
        <v/>
      </c>
      <c r="CH172" s="1" t="str">
        <f t="shared" si="80"/>
        <v/>
      </c>
      <c r="CJ172" s="1" t="str">
        <f t="shared" si="81"/>
        <v/>
      </c>
      <c r="CK172" s="1" t="str">
        <f t="shared" si="82"/>
        <v/>
      </c>
      <c r="CL172" s="1" t="str">
        <f t="shared" si="83"/>
        <v/>
      </c>
      <c r="CM172" s="1" t="str">
        <f t="shared" si="84"/>
        <v/>
      </c>
      <c r="CN172" s="1" t="str">
        <f t="shared" si="85"/>
        <v/>
      </c>
      <c r="CO172" s="1" t="str">
        <f t="shared" si="86"/>
        <v/>
      </c>
      <c r="CP172" s="1" t="str">
        <f t="shared" si="87"/>
        <v/>
      </c>
      <c r="CR172" s="1" t="str">
        <f t="shared" si="88"/>
        <v/>
      </c>
      <c r="CS172" s="1" t="str">
        <f t="shared" si="89"/>
        <v/>
      </c>
      <c r="CT172" s="1" t="str">
        <f t="shared" si="90"/>
        <v/>
      </c>
      <c r="CU172" s="1" t="str">
        <f t="shared" si="91"/>
        <v/>
      </c>
      <c r="CV172" s="1" t="str">
        <f t="shared" si="92"/>
        <v/>
      </c>
      <c r="DC172" s="154" t="e">
        <f t="shared" si="93"/>
        <v>#VALUE!</v>
      </c>
      <c r="DD172" s="154" t="str">
        <f t="shared" si="94"/>
        <v/>
      </c>
      <c r="DE172" s="154" t="str">
        <f t="shared" si="95"/>
        <v/>
      </c>
      <c r="DF172" s="1" t="str">
        <f t="shared" si="96"/>
        <v/>
      </c>
      <c r="DG172" s="1" t="str">
        <f t="shared" si="97"/>
        <v/>
      </c>
      <c r="DH172" s="1" t="str">
        <f t="shared" si="98"/>
        <v/>
      </c>
      <c r="DI172" s="1" t="str">
        <f t="shared" si="228"/>
        <v/>
      </c>
      <c r="DJ172" s="1" t="str">
        <f t="shared" si="229"/>
        <v/>
      </c>
      <c r="DK172" s="1" t="str">
        <f t="shared" si="101"/>
        <v/>
      </c>
      <c r="DL172" s="1" t="str">
        <f t="shared" si="102"/>
        <v/>
      </c>
      <c r="DM172" s="1" t="str">
        <f t="shared" si="103"/>
        <v/>
      </c>
    </row>
    <row r="173" customHeight="1" spans="1:117">
      <c r="A173" s="152" t="str">
        <f t="shared" si="239"/>
        <v/>
      </c>
      <c r="C173" s="55" t="str">
        <f t="shared" si="5"/>
        <v/>
      </c>
      <c r="D173" s="150" t="str">
        <f t="shared" si="6"/>
        <v/>
      </c>
      <c r="E173" s="151" t="str">
        <f t="shared" si="180"/>
        <v/>
      </c>
      <c r="F173" s="151" t="str">
        <f t="shared" si="181"/>
        <v/>
      </c>
      <c r="G173" s="151" t="str">
        <f t="shared" si="182"/>
        <v/>
      </c>
      <c r="H173" s="151" t="str">
        <f t="shared" si="183"/>
        <v/>
      </c>
      <c r="I173" s="151" t="str">
        <f t="shared" si="184"/>
        <v/>
      </c>
      <c r="J173" s="171" t="str">
        <f t="shared" si="185"/>
        <v/>
      </c>
      <c r="K173" s="172" t="str">
        <f t="shared" si="240"/>
        <v/>
      </c>
      <c r="L173" s="172" t="str">
        <f t="shared" si="241"/>
        <v/>
      </c>
      <c r="M173" s="173" t="str">
        <f t="shared" si="242"/>
        <v/>
      </c>
      <c r="N173" s="54" t="str">
        <f t="shared" si="186"/>
        <v/>
      </c>
      <c r="O173" s="55" t="str">
        <f t="shared" si="187"/>
        <v/>
      </c>
      <c r="P173" s="55" t="str">
        <f t="shared" si="15"/>
        <v/>
      </c>
      <c r="Q173" s="56" t="str">
        <f t="shared" si="188"/>
        <v/>
      </c>
      <c r="R173" s="56" t="str">
        <f t="shared" si="189"/>
        <v/>
      </c>
      <c r="S173" s="56" t="str">
        <f t="shared" si="190"/>
        <v/>
      </c>
      <c r="T173" s="56" t="str">
        <f t="shared" si="191"/>
        <v/>
      </c>
      <c r="U173" s="180" t="str">
        <f t="shared" si="192"/>
        <v/>
      </c>
      <c r="V173" s="55" t="str">
        <f t="shared" si="193"/>
        <v/>
      </c>
      <c r="W173" s="55" t="str">
        <f t="shared" si="194"/>
        <v/>
      </c>
      <c r="X173" s="56" t="str">
        <f t="shared" si="195"/>
        <v/>
      </c>
      <c r="Y173" s="180" t="str">
        <f t="shared" si="196"/>
        <v/>
      </c>
      <c r="Z173" s="55" t="str">
        <f t="shared" si="197"/>
        <v/>
      </c>
      <c r="AA173" s="55" t="str">
        <f t="shared" si="198"/>
        <v/>
      </c>
      <c r="AB173" s="150" t="str">
        <f t="shared" si="199"/>
        <v/>
      </c>
      <c r="AC173" s="188">
        <v>164</v>
      </c>
      <c r="AD173" s="1" t="b">
        <f t="shared" si="28"/>
        <v>0</v>
      </c>
      <c r="AE173" s="1" t="str">
        <f t="shared" si="29"/>
        <v/>
      </c>
      <c r="AF173" s="1" t="str">
        <f t="shared" si="30"/>
        <v/>
      </c>
      <c r="AG173" s="1" t="str">
        <f t="shared" si="31"/>
        <v/>
      </c>
      <c r="AH173" s="1" t="str">
        <f t="shared" si="200"/>
        <v/>
      </c>
      <c r="AI173" s="1" t="str">
        <f t="shared" si="33"/>
        <v/>
      </c>
      <c r="AJ173" s="191" t="str">
        <f t="shared" si="237"/>
        <v/>
      </c>
      <c r="AK173" s="191" t="str">
        <f t="shared" si="238"/>
        <v/>
      </c>
      <c r="AL173" s="191" t="str">
        <f t="shared" si="201"/>
        <v/>
      </c>
      <c r="AM173" s="1" t="str">
        <f t="shared" si="202"/>
        <v/>
      </c>
      <c r="AN173" s="191" t="str">
        <f t="shared" si="203"/>
        <v/>
      </c>
      <c r="AO173" s="134" t="str">
        <f t="shared" si="204"/>
        <v/>
      </c>
      <c r="AP173" s="64" t="str">
        <f t="shared" si="38"/>
        <v/>
      </c>
      <c r="AQ173" s="1" t="str">
        <f t="shared" si="230"/>
        <v/>
      </c>
      <c r="AR173" s="1" t="str">
        <f t="shared" si="205"/>
        <v/>
      </c>
      <c r="AS173" s="1" t="str">
        <f t="shared" si="206"/>
        <v/>
      </c>
      <c r="AT173" s="134" t="str">
        <f t="shared" si="207"/>
        <v/>
      </c>
      <c r="AU173" s="64" t="str">
        <f t="shared" si="208"/>
        <v/>
      </c>
      <c r="AV173" s="65" t="str">
        <f t="shared" si="209"/>
        <v/>
      </c>
      <c r="AW173" s="65" t="str">
        <f t="shared" si="210"/>
        <v/>
      </c>
      <c r="AX173" s="1" t="str">
        <f t="shared" si="211"/>
        <v/>
      </c>
      <c r="AY173" s="1" t="str">
        <f t="shared" si="212"/>
        <v/>
      </c>
      <c r="AZ173" s="131" t="str">
        <f t="shared" si="213"/>
        <v/>
      </c>
      <c r="BA173" s="1" t="str">
        <f t="shared" si="214"/>
        <v/>
      </c>
      <c r="BB173" s="1" t="str">
        <f t="shared" si="49"/>
        <v/>
      </c>
      <c r="BC173" s="1" t="str">
        <f t="shared" si="50"/>
        <v/>
      </c>
      <c r="BD173" s="1" t="str">
        <f t="shared" si="215"/>
        <v/>
      </c>
      <c r="BE173" s="1" t="str">
        <f t="shared" si="216"/>
        <v/>
      </c>
      <c r="BF173" s="1" t="str">
        <f t="shared" si="53"/>
        <v/>
      </c>
      <c r="BG173" s="1" t="str">
        <f t="shared" si="217"/>
        <v/>
      </c>
      <c r="BH173" s="1" t="str">
        <f t="shared" si="218"/>
        <v/>
      </c>
      <c r="BI173" s="1" t="str">
        <f t="shared" si="219"/>
        <v/>
      </c>
      <c r="BJ173" s="1" t="str">
        <f t="shared" si="220"/>
        <v/>
      </c>
      <c r="BK173" s="1" t="str">
        <f t="shared" si="221"/>
        <v/>
      </c>
      <c r="BL173" s="1" t="str">
        <f t="shared" si="222"/>
        <v/>
      </c>
      <c r="BM173" s="1" t="str">
        <f t="shared" si="223"/>
        <v/>
      </c>
      <c r="BN173" s="1" t="str">
        <f t="shared" si="224"/>
        <v/>
      </c>
      <c r="BO173" s="1" t="str">
        <f t="shared" si="225"/>
        <v/>
      </c>
      <c r="BQ173" s="1" t="str">
        <f t="shared" si="63"/>
        <v/>
      </c>
      <c r="BR173" s="1" t="str">
        <f t="shared" si="64"/>
        <v/>
      </c>
      <c r="BS173" s="1" t="str">
        <f t="shared" si="65"/>
        <v/>
      </c>
      <c r="BT173" s="1" t="str">
        <f t="shared" si="66"/>
        <v/>
      </c>
      <c r="BU173" s="1" t="str">
        <f t="shared" si="67"/>
        <v/>
      </c>
      <c r="BV173" s="1" t="str">
        <f t="shared" si="68"/>
        <v/>
      </c>
      <c r="BW173" s="1" t="str">
        <f t="shared" si="69"/>
        <v/>
      </c>
      <c r="BX173" s="1" t="str">
        <f t="shared" si="70"/>
        <v/>
      </c>
      <c r="BY173" s="1" t="str">
        <f t="shared" si="226"/>
        <v/>
      </c>
      <c r="BZ173" s="1" t="str">
        <f t="shared" si="72"/>
        <v/>
      </c>
      <c r="CA173" s="1" t="str">
        <f t="shared" si="73"/>
        <v/>
      </c>
      <c r="CB173" s="1" t="str">
        <f t="shared" si="74"/>
        <v/>
      </c>
      <c r="CC173" s="1" t="str">
        <f t="shared" si="75"/>
        <v/>
      </c>
      <c r="CD173" s="1" t="str">
        <f t="shared" si="227"/>
        <v/>
      </c>
      <c r="CE173" s="1" t="str">
        <f t="shared" si="77"/>
        <v/>
      </c>
      <c r="CF173" s="1" t="str">
        <f t="shared" si="78"/>
        <v/>
      </c>
      <c r="CG173" s="1" t="str">
        <f t="shared" si="79"/>
        <v/>
      </c>
      <c r="CH173" s="1" t="str">
        <f t="shared" si="80"/>
        <v/>
      </c>
      <c r="CJ173" s="1" t="str">
        <f t="shared" si="81"/>
        <v/>
      </c>
      <c r="CK173" s="1" t="str">
        <f t="shared" si="82"/>
        <v/>
      </c>
      <c r="CL173" s="1" t="str">
        <f t="shared" si="83"/>
        <v/>
      </c>
      <c r="CM173" s="1" t="str">
        <f t="shared" si="84"/>
        <v/>
      </c>
      <c r="CN173" s="1" t="str">
        <f t="shared" si="85"/>
        <v/>
      </c>
      <c r="CO173" s="1" t="str">
        <f t="shared" si="86"/>
        <v/>
      </c>
      <c r="CP173" s="1" t="str">
        <f t="shared" si="87"/>
        <v/>
      </c>
      <c r="CR173" s="1" t="str">
        <f t="shared" si="88"/>
        <v/>
      </c>
      <c r="CS173" s="1" t="str">
        <f t="shared" si="89"/>
        <v/>
      </c>
      <c r="CT173" s="1" t="str">
        <f t="shared" si="90"/>
        <v/>
      </c>
      <c r="CU173" s="1" t="str">
        <f t="shared" si="91"/>
        <v/>
      </c>
      <c r="CV173" s="1" t="str">
        <f t="shared" si="92"/>
        <v/>
      </c>
      <c r="DC173" s="154" t="e">
        <f t="shared" si="93"/>
        <v>#VALUE!</v>
      </c>
      <c r="DD173" s="154" t="str">
        <f t="shared" si="94"/>
        <v/>
      </c>
      <c r="DE173" s="154" t="str">
        <f t="shared" si="95"/>
        <v/>
      </c>
      <c r="DF173" s="1" t="str">
        <f t="shared" si="96"/>
        <v/>
      </c>
      <c r="DG173" s="1" t="str">
        <f t="shared" si="97"/>
        <v/>
      </c>
      <c r="DH173" s="1" t="str">
        <f t="shared" si="98"/>
        <v/>
      </c>
      <c r="DI173" s="1" t="str">
        <f t="shared" si="228"/>
        <v/>
      </c>
      <c r="DJ173" s="1" t="str">
        <f t="shared" si="229"/>
        <v/>
      </c>
      <c r="DK173" s="1" t="str">
        <f t="shared" si="101"/>
        <v/>
      </c>
      <c r="DL173" s="1" t="str">
        <f t="shared" si="102"/>
        <v/>
      </c>
      <c r="DM173" s="1" t="str">
        <f t="shared" si="103"/>
        <v/>
      </c>
    </row>
    <row r="174" customHeight="1" spans="1:117">
      <c r="A174" s="152" t="str">
        <f t="shared" si="239"/>
        <v/>
      </c>
      <c r="C174" s="55" t="str">
        <f t="shared" si="5"/>
        <v/>
      </c>
      <c r="D174" s="150" t="str">
        <f t="shared" si="6"/>
        <v/>
      </c>
      <c r="E174" s="151" t="str">
        <f t="shared" si="180"/>
        <v/>
      </c>
      <c r="F174" s="151" t="str">
        <f t="shared" si="181"/>
        <v/>
      </c>
      <c r="G174" s="151" t="str">
        <f t="shared" si="182"/>
        <v/>
      </c>
      <c r="H174" s="151" t="str">
        <f t="shared" si="183"/>
        <v/>
      </c>
      <c r="I174" s="151" t="str">
        <f t="shared" si="184"/>
        <v/>
      </c>
      <c r="J174" s="171" t="str">
        <f t="shared" si="185"/>
        <v/>
      </c>
      <c r="K174" s="172" t="str">
        <f t="shared" si="240"/>
        <v/>
      </c>
      <c r="L174" s="172" t="str">
        <f t="shared" si="241"/>
        <v/>
      </c>
      <c r="M174" s="173" t="str">
        <f t="shared" si="242"/>
        <v/>
      </c>
      <c r="N174" s="54" t="str">
        <f t="shared" si="186"/>
        <v/>
      </c>
      <c r="O174" s="55" t="str">
        <f t="shared" si="187"/>
        <v/>
      </c>
      <c r="P174" s="55" t="str">
        <f t="shared" si="15"/>
        <v/>
      </c>
      <c r="Q174" s="56" t="str">
        <f t="shared" si="188"/>
        <v/>
      </c>
      <c r="R174" s="56" t="str">
        <f t="shared" si="189"/>
        <v/>
      </c>
      <c r="S174" s="56" t="str">
        <f t="shared" si="190"/>
        <v/>
      </c>
      <c r="T174" s="56" t="str">
        <f t="shared" si="191"/>
        <v/>
      </c>
      <c r="U174" s="180" t="str">
        <f t="shared" si="192"/>
        <v/>
      </c>
      <c r="V174" s="55" t="str">
        <f t="shared" si="193"/>
        <v/>
      </c>
      <c r="W174" s="55" t="str">
        <f t="shared" si="194"/>
        <v/>
      </c>
      <c r="X174" s="56" t="str">
        <f t="shared" si="195"/>
        <v/>
      </c>
      <c r="Y174" s="180" t="str">
        <f t="shared" si="196"/>
        <v/>
      </c>
      <c r="Z174" s="55" t="str">
        <f t="shared" si="197"/>
        <v/>
      </c>
      <c r="AA174" s="55" t="str">
        <f t="shared" si="198"/>
        <v/>
      </c>
      <c r="AB174" s="150" t="str">
        <f t="shared" si="199"/>
        <v/>
      </c>
      <c r="AC174" s="188">
        <v>165</v>
      </c>
      <c r="AD174" s="1" t="b">
        <f t="shared" si="28"/>
        <v>0</v>
      </c>
      <c r="AE174" s="1" t="str">
        <f t="shared" si="29"/>
        <v/>
      </c>
      <c r="AF174" s="1" t="str">
        <f t="shared" si="30"/>
        <v/>
      </c>
      <c r="AG174" s="1" t="str">
        <f t="shared" si="31"/>
        <v/>
      </c>
      <c r="AH174" s="1" t="str">
        <f t="shared" si="200"/>
        <v/>
      </c>
      <c r="AI174" s="1" t="str">
        <f t="shared" si="33"/>
        <v/>
      </c>
      <c r="AJ174" s="191" t="str">
        <f t="shared" si="237"/>
        <v/>
      </c>
      <c r="AK174" s="191" t="str">
        <f t="shared" si="238"/>
        <v/>
      </c>
      <c r="AL174" s="191" t="str">
        <f t="shared" si="201"/>
        <v/>
      </c>
      <c r="AM174" s="1" t="str">
        <f t="shared" si="202"/>
        <v/>
      </c>
      <c r="AN174" s="191" t="str">
        <f t="shared" si="203"/>
        <v/>
      </c>
      <c r="AO174" s="134" t="str">
        <f t="shared" si="204"/>
        <v/>
      </c>
      <c r="AP174" s="64" t="str">
        <f t="shared" si="38"/>
        <v/>
      </c>
      <c r="AQ174" s="1" t="str">
        <f t="shared" si="230"/>
        <v/>
      </c>
      <c r="AR174" s="1" t="str">
        <f t="shared" si="205"/>
        <v/>
      </c>
      <c r="AS174" s="1" t="str">
        <f t="shared" si="206"/>
        <v/>
      </c>
      <c r="AT174" s="134" t="str">
        <f t="shared" si="207"/>
        <v/>
      </c>
      <c r="AU174" s="64" t="str">
        <f t="shared" si="208"/>
        <v/>
      </c>
      <c r="AV174" s="65" t="str">
        <f t="shared" si="209"/>
        <v/>
      </c>
      <c r="AW174" s="65" t="str">
        <f t="shared" si="210"/>
        <v/>
      </c>
      <c r="AX174" s="1" t="str">
        <f t="shared" si="211"/>
        <v/>
      </c>
      <c r="AY174" s="1" t="str">
        <f t="shared" si="212"/>
        <v/>
      </c>
      <c r="AZ174" s="131" t="str">
        <f t="shared" si="213"/>
        <v/>
      </c>
      <c r="BA174" s="1" t="str">
        <f t="shared" si="214"/>
        <v/>
      </c>
      <c r="BB174" s="1" t="str">
        <f t="shared" si="49"/>
        <v/>
      </c>
      <c r="BC174" s="1" t="str">
        <f t="shared" si="50"/>
        <v/>
      </c>
      <c r="BD174" s="1" t="str">
        <f t="shared" si="215"/>
        <v/>
      </c>
      <c r="BE174" s="1" t="str">
        <f t="shared" si="216"/>
        <v/>
      </c>
      <c r="BF174" s="1" t="str">
        <f t="shared" si="53"/>
        <v/>
      </c>
      <c r="BG174" s="1" t="str">
        <f t="shared" si="217"/>
        <v/>
      </c>
      <c r="BH174" s="1" t="str">
        <f t="shared" si="218"/>
        <v/>
      </c>
      <c r="BI174" s="1" t="str">
        <f t="shared" si="219"/>
        <v/>
      </c>
      <c r="BJ174" s="1" t="str">
        <f t="shared" si="220"/>
        <v/>
      </c>
      <c r="BK174" s="1" t="str">
        <f t="shared" si="221"/>
        <v/>
      </c>
      <c r="BL174" s="1" t="str">
        <f t="shared" si="222"/>
        <v/>
      </c>
      <c r="BM174" s="1" t="str">
        <f t="shared" si="223"/>
        <v/>
      </c>
      <c r="BN174" s="1" t="str">
        <f t="shared" si="224"/>
        <v/>
      </c>
      <c r="BO174" s="1" t="str">
        <f t="shared" si="225"/>
        <v/>
      </c>
      <c r="BQ174" s="1" t="str">
        <f t="shared" si="63"/>
        <v/>
      </c>
      <c r="BR174" s="1" t="str">
        <f t="shared" si="64"/>
        <v/>
      </c>
      <c r="BS174" s="1" t="str">
        <f t="shared" si="65"/>
        <v/>
      </c>
      <c r="BT174" s="1" t="str">
        <f t="shared" si="66"/>
        <v/>
      </c>
      <c r="BU174" s="1" t="str">
        <f t="shared" si="67"/>
        <v/>
      </c>
      <c r="BV174" s="1" t="str">
        <f t="shared" si="68"/>
        <v/>
      </c>
      <c r="BW174" s="1" t="str">
        <f t="shared" si="69"/>
        <v/>
      </c>
      <c r="BX174" s="1" t="str">
        <f t="shared" si="70"/>
        <v/>
      </c>
      <c r="BY174" s="1" t="str">
        <f t="shared" si="226"/>
        <v/>
      </c>
      <c r="BZ174" s="1" t="str">
        <f t="shared" si="72"/>
        <v/>
      </c>
      <c r="CA174" s="1" t="str">
        <f t="shared" si="73"/>
        <v/>
      </c>
      <c r="CB174" s="1" t="str">
        <f t="shared" si="74"/>
        <v/>
      </c>
      <c r="CC174" s="1" t="str">
        <f t="shared" si="75"/>
        <v/>
      </c>
      <c r="CD174" s="1" t="str">
        <f t="shared" si="227"/>
        <v/>
      </c>
      <c r="CE174" s="1" t="str">
        <f t="shared" si="77"/>
        <v/>
      </c>
      <c r="CF174" s="1" t="str">
        <f t="shared" si="78"/>
        <v/>
      </c>
      <c r="CG174" s="1" t="str">
        <f t="shared" si="79"/>
        <v/>
      </c>
      <c r="CH174" s="1" t="str">
        <f t="shared" si="80"/>
        <v/>
      </c>
      <c r="CJ174" s="1" t="str">
        <f t="shared" si="81"/>
        <v/>
      </c>
      <c r="CK174" s="1" t="str">
        <f t="shared" si="82"/>
        <v/>
      </c>
      <c r="CL174" s="1" t="str">
        <f t="shared" si="83"/>
        <v/>
      </c>
      <c r="CM174" s="1" t="str">
        <f t="shared" si="84"/>
        <v/>
      </c>
      <c r="CN174" s="1" t="str">
        <f t="shared" si="85"/>
        <v/>
      </c>
      <c r="CO174" s="1" t="str">
        <f t="shared" si="86"/>
        <v/>
      </c>
      <c r="CP174" s="1" t="str">
        <f t="shared" si="87"/>
        <v/>
      </c>
      <c r="CR174" s="1" t="str">
        <f t="shared" si="88"/>
        <v/>
      </c>
      <c r="CS174" s="1" t="str">
        <f t="shared" si="89"/>
        <v/>
      </c>
      <c r="CT174" s="1" t="str">
        <f t="shared" si="90"/>
        <v/>
      </c>
      <c r="CU174" s="1" t="str">
        <f t="shared" si="91"/>
        <v/>
      </c>
      <c r="CV174" s="1" t="str">
        <f t="shared" si="92"/>
        <v/>
      </c>
      <c r="DC174" s="154" t="e">
        <f t="shared" si="93"/>
        <v>#VALUE!</v>
      </c>
      <c r="DD174" s="154" t="str">
        <f t="shared" si="94"/>
        <v/>
      </c>
      <c r="DE174" s="154" t="str">
        <f t="shared" si="95"/>
        <v/>
      </c>
      <c r="DF174" s="1" t="str">
        <f t="shared" si="96"/>
        <v/>
      </c>
      <c r="DG174" s="1" t="str">
        <f t="shared" si="97"/>
        <v/>
      </c>
      <c r="DH174" s="1" t="str">
        <f t="shared" si="98"/>
        <v/>
      </c>
      <c r="DI174" s="1" t="str">
        <f t="shared" si="228"/>
        <v/>
      </c>
      <c r="DJ174" s="1" t="str">
        <f t="shared" si="229"/>
        <v/>
      </c>
      <c r="DK174" s="1" t="str">
        <f t="shared" si="101"/>
        <v/>
      </c>
      <c r="DL174" s="1" t="str">
        <f t="shared" si="102"/>
        <v/>
      </c>
      <c r="DM174" s="1" t="str">
        <f t="shared" si="103"/>
        <v/>
      </c>
    </row>
    <row r="175" customHeight="1" spans="1:117">
      <c r="A175" s="152" t="str">
        <f t="shared" si="239"/>
        <v/>
      </c>
      <c r="C175" s="55" t="str">
        <f t="shared" si="5"/>
        <v/>
      </c>
      <c r="D175" s="150" t="str">
        <f t="shared" si="6"/>
        <v/>
      </c>
      <c r="E175" s="151" t="str">
        <f t="shared" si="180"/>
        <v/>
      </c>
      <c r="F175" s="151" t="str">
        <f t="shared" si="181"/>
        <v/>
      </c>
      <c r="G175" s="151" t="str">
        <f t="shared" si="182"/>
        <v/>
      </c>
      <c r="H175" s="151" t="str">
        <f t="shared" si="183"/>
        <v/>
      </c>
      <c r="I175" s="151" t="str">
        <f t="shared" si="184"/>
        <v/>
      </c>
      <c r="J175" s="171" t="str">
        <f t="shared" si="185"/>
        <v/>
      </c>
      <c r="K175" s="172" t="str">
        <f t="shared" si="240"/>
        <v/>
      </c>
      <c r="L175" s="172" t="str">
        <f t="shared" si="241"/>
        <v/>
      </c>
      <c r="M175" s="173" t="str">
        <f t="shared" si="242"/>
        <v/>
      </c>
      <c r="N175" s="54" t="str">
        <f t="shared" si="186"/>
        <v/>
      </c>
      <c r="O175" s="55" t="str">
        <f t="shared" si="187"/>
        <v/>
      </c>
      <c r="P175" s="55" t="str">
        <f t="shared" si="15"/>
        <v/>
      </c>
      <c r="Q175" s="56" t="str">
        <f t="shared" si="188"/>
        <v/>
      </c>
      <c r="R175" s="56" t="str">
        <f t="shared" si="189"/>
        <v/>
      </c>
      <c r="S175" s="56" t="str">
        <f t="shared" si="190"/>
        <v/>
      </c>
      <c r="T175" s="56" t="str">
        <f t="shared" si="191"/>
        <v/>
      </c>
      <c r="U175" s="180" t="str">
        <f t="shared" si="192"/>
        <v/>
      </c>
      <c r="V175" s="55" t="str">
        <f t="shared" si="193"/>
        <v/>
      </c>
      <c r="W175" s="55" t="str">
        <f t="shared" si="194"/>
        <v/>
      </c>
      <c r="X175" s="56" t="str">
        <f t="shared" si="195"/>
        <v/>
      </c>
      <c r="Y175" s="180" t="str">
        <f t="shared" si="196"/>
        <v/>
      </c>
      <c r="Z175" s="55" t="str">
        <f t="shared" si="197"/>
        <v/>
      </c>
      <c r="AA175" s="55" t="str">
        <f t="shared" si="198"/>
        <v/>
      </c>
      <c r="AB175" s="150" t="str">
        <f t="shared" si="199"/>
        <v/>
      </c>
      <c r="AC175" s="188">
        <v>166</v>
      </c>
      <c r="AD175" s="1" t="b">
        <f t="shared" si="28"/>
        <v>0</v>
      </c>
      <c r="AE175" s="1" t="str">
        <f t="shared" si="29"/>
        <v/>
      </c>
      <c r="AF175" s="1" t="str">
        <f t="shared" si="30"/>
        <v/>
      </c>
      <c r="AG175" s="1" t="str">
        <f t="shared" si="31"/>
        <v/>
      </c>
      <c r="AH175" s="1" t="str">
        <f t="shared" si="200"/>
        <v/>
      </c>
      <c r="AI175" s="1" t="str">
        <f t="shared" si="33"/>
        <v/>
      </c>
      <c r="AJ175" s="191" t="str">
        <f t="shared" si="237"/>
        <v/>
      </c>
      <c r="AK175" s="191" t="str">
        <f t="shared" si="238"/>
        <v/>
      </c>
      <c r="AL175" s="191" t="str">
        <f t="shared" si="201"/>
        <v/>
      </c>
      <c r="AM175" s="1" t="str">
        <f t="shared" si="202"/>
        <v/>
      </c>
      <c r="AN175" s="191" t="str">
        <f t="shared" si="203"/>
        <v/>
      </c>
      <c r="AO175" s="134" t="str">
        <f t="shared" si="204"/>
        <v/>
      </c>
      <c r="AP175" s="64" t="str">
        <f t="shared" si="38"/>
        <v/>
      </c>
      <c r="AQ175" s="1" t="str">
        <f t="shared" si="230"/>
        <v/>
      </c>
      <c r="AR175" s="1" t="str">
        <f t="shared" si="205"/>
        <v/>
      </c>
      <c r="AS175" s="1" t="str">
        <f t="shared" si="206"/>
        <v/>
      </c>
      <c r="AT175" s="134" t="str">
        <f t="shared" si="207"/>
        <v/>
      </c>
      <c r="AU175" s="64" t="str">
        <f t="shared" si="208"/>
        <v/>
      </c>
      <c r="AV175" s="65" t="str">
        <f t="shared" si="209"/>
        <v/>
      </c>
      <c r="AW175" s="65" t="str">
        <f t="shared" si="210"/>
        <v/>
      </c>
      <c r="AX175" s="1" t="str">
        <f t="shared" si="211"/>
        <v/>
      </c>
      <c r="AY175" s="1" t="str">
        <f t="shared" si="212"/>
        <v/>
      </c>
      <c r="AZ175" s="131" t="str">
        <f t="shared" si="213"/>
        <v/>
      </c>
      <c r="BA175" s="1" t="str">
        <f t="shared" si="214"/>
        <v/>
      </c>
      <c r="BB175" s="1" t="str">
        <f t="shared" si="49"/>
        <v/>
      </c>
      <c r="BC175" s="1" t="str">
        <f t="shared" si="50"/>
        <v/>
      </c>
      <c r="BD175" s="1" t="str">
        <f t="shared" si="215"/>
        <v/>
      </c>
      <c r="BE175" s="1" t="str">
        <f t="shared" si="216"/>
        <v/>
      </c>
      <c r="BF175" s="1" t="str">
        <f t="shared" si="53"/>
        <v/>
      </c>
      <c r="BG175" s="1" t="str">
        <f t="shared" si="217"/>
        <v/>
      </c>
      <c r="BH175" s="1" t="str">
        <f t="shared" si="218"/>
        <v/>
      </c>
      <c r="BI175" s="1" t="str">
        <f t="shared" si="219"/>
        <v/>
      </c>
      <c r="BJ175" s="1" t="str">
        <f t="shared" si="220"/>
        <v/>
      </c>
      <c r="BK175" s="1" t="str">
        <f t="shared" si="221"/>
        <v/>
      </c>
      <c r="BL175" s="1" t="str">
        <f t="shared" si="222"/>
        <v/>
      </c>
      <c r="BM175" s="1" t="str">
        <f t="shared" si="223"/>
        <v/>
      </c>
      <c r="BN175" s="1" t="str">
        <f t="shared" si="224"/>
        <v/>
      </c>
      <c r="BO175" s="1" t="str">
        <f t="shared" si="225"/>
        <v/>
      </c>
      <c r="BQ175" s="1" t="str">
        <f t="shared" si="63"/>
        <v/>
      </c>
      <c r="BR175" s="1" t="str">
        <f t="shared" si="64"/>
        <v/>
      </c>
      <c r="BS175" s="1" t="str">
        <f t="shared" si="65"/>
        <v/>
      </c>
      <c r="BT175" s="1" t="str">
        <f t="shared" si="66"/>
        <v/>
      </c>
      <c r="BU175" s="1" t="str">
        <f t="shared" si="67"/>
        <v/>
      </c>
      <c r="BV175" s="1" t="str">
        <f t="shared" si="68"/>
        <v/>
      </c>
      <c r="BW175" s="1" t="str">
        <f t="shared" si="69"/>
        <v/>
      </c>
      <c r="BX175" s="1" t="str">
        <f t="shared" si="70"/>
        <v/>
      </c>
      <c r="BY175" s="1" t="str">
        <f t="shared" si="226"/>
        <v/>
      </c>
      <c r="BZ175" s="1" t="str">
        <f t="shared" si="72"/>
        <v/>
      </c>
      <c r="CA175" s="1" t="str">
        <f t="shared" si="73"/>
        <v/>
      </c>
      <c r="CB175" s="1" t="str">
        <f t="shared" si="74"/>
        <v/>
      </c>
      <c r="CC175" s="1" t="str">
        <f t="shared" si="75"/>
        <v/>
      </c>
      <c r="CD175" s="1" t="str">
        <f t="shared" si="227"/>
        <v/>
      </c>
      <c r="CE175" s="1" t="str">
        <f t="shared" si="77"/>
        <v/>
      </c>
      <c r="CF175" s="1" t="str">
        <f t="shared" si="78"/>
        <v/>
      </c>
      <c r="CG175" s="1" t="str">
        <f t="shared" si="79"/>
        <v/>
      </c>
      <c r="CH175" s="1" t="str">
        <f t="shared" si="80"/>
        <v/>
      </c>
      <c r="CJ175" s="1" t="str">
        <f t="shared" si="81"/>
        <v/>
      </c>
      <c r="CK175" s="1" t="str">
        <f t="shared" si="82"/>
        <v/>
      </c>
      <c r="CL175" s="1" t="str">
        <f t="shared" si="83"/>
        <v/>
      </c>
      <c r="CM175" s="1" t="str">
        <f t="shared" si="84"/>
        <v/>
      </c>
      <c r="CN175" s="1" t="str">
        <f t="shared" si="85"/>
        <v/>
      </c>
      <c r="CO175" s="1" t="str">
        <f t="shared" si="86"/>
        <v/>
      </c>
      <c r="CP175" s="1" t="str">
        <f t="shared" si="87"/>
        <v/>
      </c>
      <c r="CR175" s="1" t="str">
        <f t="shared" si="88"/>
        <v/>
      </c>
      <c r="CS175" s="1" t="str">
        <f t="shared" si="89"/>
        <v/>
      </c>
      <c r="CT175" s="1" t="str">
        <f t="shared" si="90"/>
        <v/>
      </c>
      <c r="CU175" s="1" t="str">
        <f t="shared" si="91"/>
        <v/>
      </c>
      <c r="CV175" s="1" t="str">
        <f t="shared" si="92"/>
        <v/>
      </c>
      <c r="DC175" s="154" t="e">
        <f t="shared" si="93"/>
        <v>#VALUE!</v>
      </c>
      <c r="DD175" s="154" t="str">
        <f t="shared" si="94"/>
        <v/>
      </c>
      <c r="DE175" s="154" t="str">
        <f t="shared" si="95"/>
        <v/>
      </c>
      <c r="DF175" s="1" t="str">
        <f t="shared" si="96"/>
        <v/>
      </c>
      <c r="DG175" s="1" t="str">
        <f t="shared" si="97"/>
        <v/>
      </c>
      <c r="DH175" s="1" t="str">
        <f t="shared" si="98"/>
        <v/>
      </c>
      <c r="DI175" s="1" t="str">
        <f t="shared" si="228"/>
        <v/>
      </c>
      <c r="DJ175" s="1" t="str">
        <f t="shared" si="229"/>
        <v/>
      </c>
      <c r="DK175" s="1" t="str">
        <f t="shared" si="101"/>
        <v/>
      </c>
      <c r="DL175" s="1" t="str">
        <f t="shared" si="102"/>
        <v/>
      </c>
      <c r="DM175" s="1" t="str">
        <f t="shared" si="103"/>
        <v/>
      </c>
    </row>
    <row r="176" customHeight="1" spans="1:117">
      <c r="A176" s="152" t="str">
        <f t="shared" si="239"/>
        <v/>
      </c>
      <c r="C176" s="55" t="str">
        <f t="shared" si="5"/>
        <v/>
      </c>
      <c r="D176" s="150" t="str">
        <f t="shared" si="6"/>
        <v/>
      </c>
      <c r="E176" s="151" t="str">
        <f t="shared" si="180"/>
        <v/>
      </c>
      <c r="F176" s="151" t="str">
        <f t="shared" si="181"/>
        <v/>
      </c>
      <c r="G176" s="151" t="str">
        <f t="shared" si="182"/>
        <v/>
      </c>
      <c r="H176" s="151" t="str">
        <f t="shared" si="183"/>
        <v/>
      </c>
      <c r="I176" s="151" t="str">
        <f t="shared" si="184"/>
        <v/>
      </c>
      <c r="J176" s="171" t="str">
        <f t="shared" si="185"/>
        <v/>
      </c>
      <c r="K176" s="172" t="str">
        <f t="shared" si="240"/>
        <v/>
      </c>
      <c r="L176" s="172" t="str">
        <f t="shared" si="241"/>
        <v/>
      </c>
      <c r="M176" s="173" t="str">
        <f t="shared" si="242"/>
        <v/>
      </c>
      <c r="N176" s="54" t="str">
        <f t="shared" si="186"/>
        <v/>
      </c>
      <c r="O176" s="55" t="str">
        <f t="shared" si="187"/>
        <v/>
      </c>
      <c r="P176" s="55" t="str">
        <f t="shared" si="15"/>
        <v/>
      </c>
      <c r="Q176" s="56" t="str">
        <f t="shared" si="188"/>
        <v/>
      </c>
      <c r="R176" s="56" t="str">
        <f t="shared" si="189"/>
        <v/>
      </c>
      <c r="S176" s="56" t="str">
        <f t="shared" si="190"/>
        <v/>
      </c>
      <c r="T176" s="56" t="str">
        <f t="shared" si="191"/>
        <v/>
      </c>
      <c r="U176" s="180" t="str">
        <f t="shared" si="192"/>
        <v/>
      </c>
      <c r="V176" s="55" t="str">
        <f t="shared" si="193"/>
        <v/>
      </c>
      <c r="W176" s="55" t="str">
        <f t="shared" si="194"/>
        <v/>
      </c>
      <c r="X176" s="56" t="str">
        <f t="shared" si="195"/>
        <v/>
      </c>
      <c r="Y176" s="180" t="str">
        <f t="shared" si="196"/>
        <v/>
      </c>
      <c r="Z176" s="55" t="str">
        <f t="shared" si="197"/>
        <v/>
      </c>
      <c r="AA176" s="55" t="str">
        <f t="shared" si="198"/>
        <v/>
      </c>
      <c r="AB176" s="150" t="str">
        <f t="shared" si="199"/>
        <v/>
      </c>
      <c r="AC176" s="188">
        <v>167</v>
      </c>
      <c r="AD176" s="1" t="b">
        <f t="shared" si="28"/>
        <v>0</v>
      </c>
      <c r="AE176" s="1" t="str">
        <f t="shared" si="29"/>
        <v/>
      </c>
      <c r="AF176" s="1" t="str">
        <f t="shared" si="30"/>
        <v/>
      </c>
      <c r="AG176" s="1" t="str">
        <f t="shared" si="31"/>
        <v/>
      </c>
      <c r="AH176" s="1" t="str">
        <f t="shared" si="200"/>
        <v/>
      </c>
      <c r="AI176" s="1" t="str">
        <f t="shared" si="33"/>
        <v/>
      </c>
      <c r="AJ176" s="191" t="str">
        <f t="shared" si="237"/>
        <v/>
      </c>
      <c r="AK176" s="191" t="str">
        <f t="shared" si="238"/>
        <v/>
      </c>
      <c r="AL176" s="191" t="str">
        <f t="shared" si="201"/>
        <v/>
      </c>
      <c r="AM176" s="1" t="str">
        <f t="shared" si="202"/>
        <v/>
      </c>
      <c r="AN176" s="191" t="str">
        <f t="shared" si="203"/>
        <v/>
      </c>
      <c r="AO176" s="134" t="str">
        <f t="shared" si="204"/>
        <v/>
      </c>
      <c r="AP176" s="64" t="str">
        <f t="shared" si="38"/>
        <v/>
      </c>
      <c r="AQ176" s="1" t="str">
        <f t="shared" si="230"/>
        <v/>
      </c>
      <c r="AR176" s="1" t="str">
        <f t="shared" si="205"/>
        <v/>
      </c>
      <c r="AS176" s="1" t="str">
        <f t="shared" si="206"/>
        <v/>
      </c>
      <c r="AT176" s="134" t="str">
        <f t="shared" si="207"/>
        <v/>
      </c>
      <c r="AU176" s="64" t="str">
        <f t="shared" si="208"/>
        <v/>
      </c>
      <c r="AV176" s="65" t="str">
        <f t="shared" si="209"/>
        <v/>
      </c>
      <c r="AW176" s="65" t="str">
        <f t="shared" si="210"/>
        <v/>
      </c>
      <c r="AX176" s="1" t="str">
        <f t="shared" si="211"/>
        <v/>
      </c>
      <c r="AY176" s="1" t="str">
        <f t="shared" si="212"/>
        <v/>
      </c>
      <c r="AZ176" s="131" t="str">
        <f t="shared" si="213"/>
        <v/>
      </c>
      <c r="BA176" s="1" t="str">
        <f t="shared" si="214"/>
        <v/>
      </c>
      <c r="BB176" s="1" t="str">
        <f t="shared" si="49"/>
        <v/>
      </c>
      <c r="BC176" s="1" t="str">
        <f t="shared" si="50"/>
        <v/>
      </c>
      <c r="BD176" s="1" t="str">
        <f t="shared" si="215"/>
        <v/>
      </c>
      <c r="BE176" s="1" t="str">
        <f t="shared" si="216"/>
        <v/>
      </c>
      <c r="BF176" s="1" t="str">
        <f t="shared" si="53"/>
        <v/>
      </c>
      <c r="BG176" s="1" t="str">
        <f t="shared" si="217"/>
        <v/>
      </c>
      <c r="BH176" s="1" t="str">
        <f t="shared" si="218"/>
        <v/>
      </c>
      <c r="BI176" s="1" t="str">
        <f t="shared" si="219"/>
        <v/>
      </c>
      <c r="BJ176" s="1" t="str">
        <f t="shared" si="220"/>
        <v/>
      </c>
      <c r="BK176" s="1" t="str">
        <f t="shared" si="221"/>
        <v/>
      </c>
      <c r="BL176" s="1" t="str">
        <f t="shared" si="222"/>
        <v/>
      </c>
      <c r="BM176" s="1" t="str">
        <f t="shared" si="223"/>
        <v/>
      </c>
      <c r="BN176" s="1" t="str">
        <f t="shared" si="224"/>
        <v/>
      </c>
      <c r="BO176" s="1" t="str">
        <f t="shared" si="225"/>
        <v/>
      </c>
      <c r="BQ176" s="1" t="str">
        <f t="shared" si="63"/>
        <v/>
      </c>
      <c r="BR176" s="1" t="str">
        <f t="shared" si="64"/>
        <v/>
      </c>
      <c r="BS176" s="1" t="str">
        <f t="shared" si="65"/>
        <v/>
      </c>
      <c r="BT176" s="1" t="str">
        <f t="shared" si="66"/>
        <v/>
      </c>
      <c r="BU176" s="1" t="str">
        <f t="shared" si="67"/>
        <v/>
      </c>
      <c r="BV176" s="1" t="str">
        <f t="shared" si="68"/>
        <v/>
      </c>
      <c r="BW176" s="1" t="str">
        <f t="shared" si="69"/>
        <v/>
      </c>
      <c r="BX176" s="1" t="str">
        <f t="shared" si="70"/>
        <v/>
      </c>
      <c r="BY176" s="1" t="str">
        <f t="shared" si="226"/>
        <v/>
      </c>
      <c r="BZ176" s="1" t="str">
        <f t="shared" si="72"/>
        <v/>
      </c>
      <c r="CA176" s="1" t="str">
        <f t="shared" si="73"/>
        <v/>
      </c>
      <c r="CB176" s="1" t="str">
        <f t="shared" si="74"/>
        <v/>
      </c>
      <c r="CC176" s="1" t="str">
        <f t="shared" si="75"/>
        <v/>
      </c>
      <c r="CD176" s="1" t="str">
        <f t="shared" si="227"/>
        <v/>
      </c>
      <c r="CE176" s="1" t="str">
        <f t="shared" si="77"/>
        <v/>
      </c>
      <c r="CF176" s="1" t="str">
        <f t="shared" si="78"/>
        <v/>
      </c>
      <c r="CG176" s="1" t="str">
        <f t="shared" si="79"/>
        <v/>
      </c>
      <c r="CH176" s="1" t="str">
        <f t="shared" si="80"/>
        <v/>
      </c>
      <c r="CJ176" s="1" t="str">
        <f t="shared" si="81"/>
        <v/>
      </c>
      <c r="CK176" s="1" t="str">
        <f t="shared" si="82"/>
        <v/>
      </c>
      <c r="CL176" s="1" t="str">
        <f t="shared" si="83"/>
        <v/>
      </c>
      <c r="CM176" s="1" t="str">
        <f t="shared" si="84"/>
        <v/>
      </c>
      <c r="CN176" s="1" t="str">
        <f t="shared" si="85"/>
        <v/>
      </c>
      <c r="CO176" s="1" t="str">
        <f t="shared" si="86"/>
        <v/>
      </c>
      <c r="CP176" s="1" t="str">
        <f t="shared" si="87"/>
        <v/>
      </c>
      <c r="CR176" s="1" t="str">
        <f t="shared" si="88"/>
        <v/>
      </c>
      <c r="CS176" s="1" t="str">
        <f t="shared" si="89"/>
        <v/>
      </c>
      <c r="CT176" s="1" t="str">
        <f t="shared" si="90"/>
        <v/>
      </c>
      <c r="CU176" s="1" t="str">
        <f t="shared" si="91"/>
        <v/>
      </c>
      <c r="CV176" s="1" t="str">
        <f t="shared" si="92"/>
        <v/>
      </c>
      <c r="DC176" s="154" t="e">
        <f t="shared" si="93"/>
        <v>#VALUE!</v>
      </c>
      <c r="DD176" s="154" t="str">
        <f t="shared" si="94"/>
        <v/>
      </c>
      <c r="DE176" s="154" t="str">
        <f t="shared" si="95"/>
        <v/>
      </c>
      <c r="DF176" s="1" t="str">
        <f t="shared" si="96"/>
        <v/>
      </c>
      <c r="DG176" s="1" t="str">
        <f t="shared" si="97"/>
        <v/>
      </c>
      <c r="DH176" s="1" t="str">
        <f t="shared" si="98"/>
        <v/>
      </c>
      <c r="DI176" s="1" t="str">
        <f t="shared" si="228"/>
        <v/>
      </c>
      <c r="DJ176" s="1" t="str">
        <f t="shared" si="229"/>
        <v/>
      </c>
      <c r="DK176" s="1" t="str">
        <f t="shared" si="101"/>
        <v/>
      </c>
      <c r="DL176" s="1" t="str">
        <f t="shared" si="102"/>
        <v/>
      </c>
      <c r="DM176" s="1" t="str">
        <f t="shared" si="103"/>
        <v/>
      </c>
    </row>
    <row r="177" customHeight="1" spans="1:117">
      <c r="A177" s="152" t="str">
        <f t="shared" si="239"/>
        <v/>
      </c>
      <c r="C177" s="55" t="str">
        <f t="shared" si="5"/>
        <v/>
      </c>
      <c r="D177" s="150" t="str">
        <f t="shared" si="6"/>
        <v/>
      </c>
      <c r="E177" s="151" t="str">
        <f t="shared" si="180"/>
        <v/>
      </c>
      <c r="F177" s="151" t="str">
        <f t="shared" si="181"/>
        <v/>
      </c>
      <c r="G177" s="151" t="str">
        <f t="shared" si="182"/>
        <v/>
      </c>
      <c r="H177" s="151" t="str">
        <f t="shared" si="183"/>
        <v/>
      </c>
      <c r="I177" s="151" t="str">
        <f t="shared" si="184"/>
        <v/>
      </c>
      <c r="J177" s="171" t="str">
        <f t="shared" si="185"/>
        <v/>
      </c>
      <c r="K177" s="172" t="str">
        <f t="shared" si="240"/>
        <v/>
      </c>
      <c r="L177" s="172" t="str">
        <f t="shared" si="241"/>
        <v/>
      </c>
      <c r="M177" s="173" t="str">
        <f t="shared" si="242"/>
        <v/>
      </c>
      <c r="N177" s="54" t="str">
        <f t="shared" si="186"/>
        <v/>
      </c>
      <c r="O177" s="55" t="str">
        <f t="shared" si="187"/>
        <v/>
      </c>
      <c r="P177" s="55" t="str">
        <f t="shared" si="15"/>
        <v/>
      </c>
      <c r="Q177" s="56" t="str">
        <f t="shared" si="188"/>
        <v/>
      </c>
      <c r="R177" s="56" t="str">
        <f t="shared" si="189"/>
        <v/>
      </c>
      <c r="S177" s="56" t="str">
        <f t="shared" si="190"/>
        <v/>
      </c>
      <c r="T177" s="56" t="str">
        <f t="shared" si="191"/>
        <v/>
      </c>
      <c r="U177" s="180" t="str">
        <f t="shared" si="192"/>
        <v/>
      </c>
      <c r="V177" s="55" t="str">
        <f t="shared" si="193"/>
        <v/>
      </c>
      <c r="W177" s="55" t="str">
        <f t="shared" si="194"/>
        <v/>
      </c>
      <c r="X177" s="56" t="str">
        <f t="shared" si="195"/>
        <v/>
      </c>
      <c r="Y177" s="180" t="str">
        <f t="shared" si="196"/>
        <v/>
      </c>
      <c r="Z177" s="55" t="str">
        <f t="shared" si="197"/>
        <v/>
      </c>
      <c r="AA177" s="55" t="str">
        <f t="shared" si="198"/>
        <v/>
      </c>
      <c r="AB177" s="150" t="str">
        <f t="shared" si="199"/>
        <v/>
      </c>
      <c r="AC177" s="188">
        <v>168</v>
      </c>
      <c r="AD177" s="1" t="b">
        <f t="shared" si="28"/>
        <v>0</v>
      </c>
      <c r="AE177" s="1" t="str">
        <f t="shared" si="29"/>
        <v/>
      </c>
      <c r="AF177" s="1" t="str">
        <f t="shared" si="30"/>
        <v/>
      </c>
      <c r="AG177" s="1" t="str">
        <f t="shared" si="31"/>
        <v/>
      </c>
      <c r="AH177" s="1" t="str">
        <f t="shared" si="200"/>
        <v/>
      </c>
      <c r="AI177" s="1" t="str">
        <f t="shared" si="33"/>
        <v/>
      </c>
      <c r="AJ177" s="191" t="str">
        <f t="shared" si="237"/>
        <v/>
      </c>
      <c r="AK177" s="191" t="str">
        <f t="shared" si="238"/>
        <v/>
      </c>
      <c r="AL177" s="191" t="str">
        <f t="shared" si="201"/>
        <v/>
      </c>
      <c r="AM177" s="1" t="str">
        <f t="shared" si="202"/>
        <v/>
      </c>
      <c r="AN177" s="191" t="str">
        <f t="shared" si="203"/>
        <v/>
      </c>
      <c r="AO177" s="134" t="str">
        <f t="shared" si="204"/>
        <v/>
      </c>
      <c r="AP177" s="64" t="str">
        <f t="shared" si="38"/>
        <v/>
      </c>
      <c r="AQ177" s="1" t="str">
        <f t="shared" si="230"/>
        <v/>
      </c>
      <c r="AR177" s="1" t="str">
        <f t="shared" si="205"/>
        <v/>
      </c>
      <c r="AS177" s="1" t="str">
        <f t="shared" si="206"/>
        <v/>
      </c>
      <c r="AT177" s="134" t="str">
        <f t="shared" si="207"/>
        <v/>
      </c>
      <c r="AU177" s="64" t="str">
        <f t="shared" si="208"/>
        <v/>
      </c>
      <c r="AV177" s="65" t="str">
        <f t="shared" si="209"/>
        <v/>
      </c>
      <c r="AW177" s="65" t="str">
        <f t="shared" si="210"/>
        <v/>
      </c>
      <c r="AX177" s="1" t="str">
        <f t="shared" si="211"/>
        <v/>
      </c>
      <c r="AY177" s="1" t="str">
        <f t="shared" si="212"/>
        <v/>
      </c>
      <c r="AZ177" s="131" t="str">
        <f t="shared" si="213"/>
        <v/>
      </c>
      <c r="BA177" s="1" t="str">
        <f t="shared" si="214"/>
        <v/>
      </c>
      <c r="BB177" s="1" t="str">
        <f t="shared" si="49"/>
        <v/>
      </c>
      <c r="BC177" s="1" t="str">
        <f t="shared" si="50"/>
        <v/>
      </c>
      <c r="BD177" s="1" t="str">
        <f t="shared" si="215"/>
        <v/>
      </c>
      <c r="BE177" s="1" t="str">
        <f t="shared" si="216"/>
        <v/>
      </c>
      <c r="BF177" s="1" t="str">
        <f t="shared" si="53"/>
        <v/>
      </c>
      <c r="BG177" s="1" t="str">
        <f t="shared" si="217"/>
        <v/>
      </c>
      <c r="BH177" s="1" t="str">
        <f t="shared" si="218"/>
        <v/>
      </c>
      <c r="BI177" s="1" t="str">
        <f t="shared" si="219"/>
        <v/>
      </c>
      <c r="BJ177" s="1" t="str">
        <f t="shared" si="220"/>
        <v/>
      </c>
      <c r="BK177" s="1" t="str">
        <f t="shared" si="221"/>
        <v/>
      </c>
      <c r="BL177" s="1" t="str">
        <f t="shared" si="222"/>
        <v/>
      </c>
      <c r="BM177" s="1" t="str">
        <f t="shared" si="223"/>
        <v/>
      </c>
      <c r="BN177" s="1" t="str">
        <f t="shared" si="224"/>
        <v/>
      </c>
      <c r="BO177" s="1" t="str">
        <f t="shared" si="225"/>
        <v/>
      </c>
      <c r="BQ177" s="1" t="str">
        <f t="shared" si="63"/>
        <v/>
      </c>
      <c r="BR177" s="1" t="str">
        <f t="shared" si="64"/>
        <v/>
      </c>
      <c r="BS177" s="1" t="str">
        <f t="shared" si="65"/>
        <v/>
      </c>
      <c r="BT177" s="1" t="str">
        <f t="shared" si="66"/>
        <v/>
      </c>
      <c r="BU177" s="1" t="str">
        <f t="shared" si="67"/>
        <v/>
      </c>
      <c r="BV177" s="1" t="str">
        <f t="shared" si="68"/>
        <v/>
      </c>
      <c r="BW177" s="1" t="str">
        <f t="shared" si="69"/>
        <v/>
      </c>
      <c r="BX177" s="1" t="str">
        <f t="shared" si="70"/>
        <v/>
      </c>
      <c r="BY177" s="1" t="str">
        <f t="shared" si="226"/>
        <v/>
      </c>
      <c r="BZ177" s="1" t="str">
        <f t="shared" si="72"/>
        <v/>
      </c>
      <c r="CA177" s="1" t="str">
        <f t="shared" si="73"/>
        <v/>
      </c>
      <c r="CB177" s="1" t="str">
        <f t="shared" si="74"/>
        <v/>
      </c>
      <c r="CC177" s="1" t="str">
        <f t="shared" si="75"/>
        <v/>
      </c>
      <c r="CD177" s="1" t="str">
        <f t="shared" si="227"/>
        <v/>
      </c>
      <c r="CE177" s="1" t="str">
        <f t="shared" si="77"/>
        <v/>
      </c>
      <c r="CF177" s="1" t="str">
        <f t="shared" si="78"/>
        <v/>
      </c>
      <c r="CG177" s="1" t="str">
        <f t="shared" si="79"/>
        <v/>
      </c>
      <c r="CH177" s="1" t="str">
        <f t="shared" si="80"/>
        <v/>
      </c>
      <c r="CJ177" s="1" t="str">
        <f t="shared" si="81"/>
        <v/>
      </c>
      <c r="CK177" s="1" t="str">
        <f t="shared" si="82"/>
        <v/>
      </c>
      <c r="CL177" s="1" t="str">
        <f t="shared" si="83"/>
        <v/>
      </c>
      <c r="CM177" s="1" t="str">
        <f t="shared" si="84"/>
        <v/>
      </c>
      <c r="CN177" s="1" t="str">
        <f t="shared" si="85"/>
        <v/>
      </c>
      <c r="CO177" s="1" t="str">
        <f t="shared" si="86"/>
        <v/>
      </c>
      <c r="CP177" s="1" t="str">
        <f t="shared" si="87"/>
        <v/>
      </c>
      <c r="CR177" s="1" t="str">
        <f t="shared" si="88"/>
        <v/>
      </c>
      <c r="CS177" s="1" t="str">
        <f t="shared" si="89"/>
        <v/>
      </c>
      <c r="CT177" s="1" t="str">
        <f t="shared" si="90"/>
        <v/>
      </c>
      <c r="CU177" s="1" t="str">
        <f t="shared" si="91"/>
        <v/>
      </c>
      <c r="CV177" s="1" t="str">
        <f t="shared" si="92"/>
        <v/>
      </c>
      <c r="DC177" s="154" t="e">
        <f t="shared" si="93"/>
        <v>#VALUE!</v>
      </c>
      <c r="DD177" s="154" t="str">
        <f t="shared" si="94"/>
        <v/>
      </c>
      <c r="DE177" s="154" t="str">
        <f t="shared" si="95"/>
        <v/>
      </c>
      <c r="DF177" s="1" t="str">
        <f t="shared" si="96"/>
        <v/>
      </c>
      <c r="DG177" s="1" t="str">
        <f t="shared" si="97"/>
        <v/>
      </c>
      <c r="DH177" s="1" t="str">
        <f t="shared" si="98"/>
        <v/>
      </c>
      <c r="DI177" s="1" t="str">
        <f t="shared" si="228"/>
        <v/>
      </c>
      <c r="DJ177" s="1" t="str">
        <f t="shared" si="229"/>
        <v/>
      </c>
      <c r="DK177" s="1" t="str">
        <f t="shared" si="101"/>
        <v/>
      </c>
      <c r="DL177" s="1" t="str">
        <f t="shared" si="102"/>
        <v/>
      </c>
      <c r="DM177" s="1" t="str">
        <f t="shared" si="103"/>
        <v/>
      </c>
    </row>
    <row r="178" customHeight="1" spans="1:117">
      <c r="A178" s="152" t="str">
        <f t="shared" si="239"/>
        <v/>
      </c>
      <c r="C178" s="55" t="str">
        <f t="shared" si="5"/>
        <v/>
      </c>
      <c r="D178" s="150" t="str">
        <f t="shared" si="6"/>
        <v/>
      </c>
      <c r="E178" s="151" t="str">
        <f t="shared" si="180"/>
        <v/>
      </c>
      <c r="F178" s="151" t="str">
        <f t="shared" si="181"/>
        <v/>
      </c>
      <c r="G178" s="151" t="str">
        <f t="shared" si="182"/>
        <v/>
      </c>
      <c r="H178" s="151" t="str">
        <f t="shared" si="183"/>
        <v/>
      </c>
      <c r="I178" s="151" t="str">
        <f t="shared" si="184"/>
        <v/>
      </c>
      <c r="J178" s="171" t="str">
        <f t="shared" si="185"/>
        <v/>
      </c>
      <c r="K178" s="172" t="str">
        <f t="shared" si="240"/>
        <v/>
      </c>
      <c r="L178" s="172" t="str">
        <f t="shared" si="241"/>
        <v/>
      </c>
      <c r="M178" s="173" t="str">
        <f t="shared" si="242"/>
        <v/>
      </c>
      <c r="N178" s="54" t="str">
        <f t="shared" si="186"/>
        <v/>
      </c>
      <c r="O178" s="55" t="str">
        <f t="shared" si="187"/>
        <v/>
      </c>
      <c r="P178" s="55" t="str">
        <f t="shared" si="15"/>
        <v/>
      </c>
      <c r="Q178" s="56" t="str">
        <f t="shared" si="188"/>
        <v/>
      </c>
      <c r="R178" s="56" t="str">
        <f t="shared" si="189"/>
        <v/>
      </c>
      <c r="S178" s="56" t="str">
        <f t="shared" si="190"/>
        <v/>
      </c>
      <c r="T178" s="56" t="str">
        <f t="shared" si="191"/>
        <v/>
      </c>
      <c r="U178" s="180" t="str">
        <f t="shared" si="192"/>
        <v/>
      </c>
      <c r="V178" s="55" t="str">
        <f t="shared" si="193"/>
        <v/>
      </c>
      <c r="W178" s="55" t="str">
        <f t="shared" si="194"/>
        <v/>
      </c>
      <c r="X178" s="56" t="str">
        <f t="shared" si="195"/>
        <v/>
      </c>
      <c r="Y178" s="180" t="str">
        <f t="shared" si="196"/>
        <v/>
      </c>
      <c r="Z178" s="55" t="str">
        <f t="shared" si="197"/>
        <v/>
      </c>
      <c r="AA178" s="55" t="str">
        <f t="shared" si="198"/>
        <v/>
      </c>
      <c r="AB178" s="150" t="str">
        <f t="shared" si="199"/>
        <v/>
      </c>
      <c r="AC178" s="188">
        <v>169</v>
      </c>
      <c r="AD178" s="1" t="b">
        <f t="shared" si="28"/>
        <v>0</v>
      </c>
      <c r="AE178" s="1" t="str">
        <f t="shared" si="29"/>
        <v/>
      </c>
      <c r="AF178" s="1" t="str">
        <f t="shared" si="30"/>
        <v/>
      </c>
      <c r="AG178" s="1" t="str">
        <f t="shared" si="31"/>
        <v/>
      </c>
      <c r="AH178" s="1" t="str">
        <f t="shared" si="200"/>
        <v/>
      </c>
      <c r="AI178" s="1" t="str">
        <f t="shared" si="33"/>
        <v/>
      </c>
      <c r="AJ178" s="191" t="str">
        <f t="shared" si="237"/>
        <v/>
      </c>
      <c r="AK178" s="191" t="str">
        <f t="shared" si="238"/>
        <v/>
      </c>
      <c r="AL178" s="191" t="str">
        <f t="shared" si="201"/>
        <v/>
      </c>
      <c r="AM178" s="1" t="str">
        <f t="shared" si="202"/>
        <v/>
      </c>
      <c r="AN178" s="191" t="str">
        <f t="shared" si="203"/>
        <v/>
      </c>
      <c r="AO178" s="134" t="str">
        <f t="shared" si="204"/>
        <v/>
      </c>
      <c r="AP178" s="64" t="str">
        <f t="shared" si="38"/>
        <v/>
      </c>
      <c r="AQ178" s="1" t="str">
        <f t="shared" si="230"/>
        <v/>
      </c>
      <c r="AR178" s="1" t="str">
        <f t="shared" si="205"/>
        <v/>
      </c>
      <c r="AS178" s="1" t="str">
        <f t="shared" si="206"/>
        <v/>
      </c>
      <c r="AT178" s="134" t="str">
        <f t="shared" si="207"/>
        <v/>
      </c>
      <c r="AU178" s="64" t="str">
        <f t="shared" si="208"/>
        <v/>
      </c>
      <c r="AV178" s="65" t="str">
        <f t="shared" si="209"/>
        <v/>
      </c>
      <c r="AW178" s="65" t="str">
        <f t="shared" si="210"/>
        <v/>
      </c>
      <c r="AX178" s="1" t="str">
        <f t="shared" si="211"/>
        <v/>
      </c>
      <c r="AY178" s="1" t="str">
        <f t="shared" si="212"/>
        <v/>
      </c>
      <c r="AZ178" s="131" t="str">
        <f t="shared" si="213"/>
        <v/>
      </c>
      <c r="BA178" s="1" t="str">
        <f t="shared" si="214"/>
        <v/>
      </c>
      <c r="BB178" s="1" t="str">
        <f t="shared" si="49"/>
        <v/>
      </c>
      <c r="BC178" s="1" t="str">
        <f t="shared" si="50"/>
        <v/>
      </c>
      <c r="BD178" s="1" t="str">
        <f t="shared" si="215"/>
        <v/>
      </c>
      <c r="BE178" s="1" t="str">
        <f t="shared" si="216"/>
        <v/>
      </c>
      <c r="BF178" s="1" t="str">
        <f t="shared" si="53"/>
        <v/>
      </c>
      <c r="BG178" s="1" t="str">
        <f t="shared" si="217"/>
        <v/>
      </c>
      <c r="BH178" s="1" t="str">
        <f t="shared" si="218"/>
        <v/>
      </c>
      <c r="BI178" s="1" t="str">
        <f t="shared" si="219"/>
        <v/>
      </c>
      <c r="BJ178" s="1" t="str">
        <f t="shared" si="220"/>
        <v/>
      </c>
      <c r="BK178" s="1" t="str">
        <f t="shared" si="221"/>
        <v/>
      </c>
      <c r="BL178" s="1" t="str">
        <f t="shared" si="222"/>
        <v/>
      </c>
      <c r="BM178" s="1" t="str">
        <f t="shared" si="223"/>
        <v/>
      </c>
      <c r="BN178" s="1" t="str">
        <f t="shared" si="224"/>
        <v/>
      </c>
      <c r="BO178" s="1" t="str">
        <f t="shared" si="225"/>
        <v/>
      </c>
      <c r="BQ178" s="1" t="str">
        <f t="shared" si="63"/>
        <v/>
      </c>
      <c r="BR178" s="1" t="str">
        <f t="shared" si="64"/>
        <v/>
      </c>
      <c r="BS178" s="1" t="str">
        <f t="shared" si="65"/>
        <v/>
      </c>
      <c r="BT178" s="1" t="str">
        <f t="shared" si="66"/>
        <v/>
      </c>
      <c r="BU178" s="1" t="str">
        <f t="shared" si="67"/>
        <v/>
      </c>
      <c r="BV178" s="1" t="str">
        <f t="shared" si="68"/>
        <v/>
      </c>
      <c r="BW178" s="1" t="str">
        <f t="shared" si="69"/>
        <v/>
      </c>
      <c r="BX178" s="1" t="str">
        <f t="shared" si="70"/>
        <v/>
      </c>
      <c r="BY178" s="1" t="str">
        <f t="shared" si="226"/>
        <v/>
      </c>
      <c r="BZ178" s="1" t="str">
        <f t="shared" si="72"/>
        <v/>
      </c>
      <c r="CA178" s="1" t="str">
        <f t="shared" si="73"/>
        <v/>
      </c>
      <c r="CB178" s="1" t="str">
        <f t="shared" si="74"/>
        <v/>
      </c>
      <c r="CC178" s="1" t="str">
        <f t="shared" si="75"/>
        <v/>
      </c>
      <c r="CD178" s="1" t="str">
        <f t="shared" si="227"/>
        <v/>
      </c>
      <c r="CE178" s="1" t="str">
        <f t="shared" si="77"/>
        <v/>
      </c>
      <c r="CF178" s="1" t="str">
        <f t="shared" si="78"/>
        <v/>
      </c>
      <c r="CG178" s="1" t="str">
        <f t="shared" si="79"/>
        <v/>
      </c>
      <c r="CH178" s="1" t="str">
        <f t="shared" si="80"/>
        <v/>
      </c>
      <c r="CJ178" s="1" t="str">
        <f t="shared" si="81"/>
        <v/>
      </c>
      <c r="CK178" s="1" t="str">
        <f t="shared" si="82"/>
        <v/>
      </c>
      <c r="CL178" s="1" t="str">
        <f t="shared" si="83"/>
        <v/>
      </c>
      <c r="CM178" s="1" t="str">
        <f t="shared" si="84"/>
        <v/>
      </c>
      <c r="CN178" s="1" t="str">
        <f t="shared" si="85"/>
        <v/>
      </c>
      <c r="CO178" s="1" t="str">
        <f t="shared" si="86"/>
        <v/>
      </c>
      <c r="CP178" s="1" t="str">
        <f t="shared" si="87"/>
        <v/>
      </c>
      <c r="CR178" s="1" t="str">
        <f t="shared" si="88"/>
        <v/>
      </c>
      <c r="CS178" s="1" t="str">
        <f t="shared" si="89"/>
        <v/>
      </c>
      <c r="CT178" s="1" t="str">
        <f t="shared" si="90"/>
        <v/>
      </c>
      <c r="CU178" s="1" t="str">
        <f t="shared" si="91"/>
        <v/>
      </c>
      <c r="CV178" s="1" t="str">
        <f t="shared" si="92"/>
        <v/>
      </c>
      <c r="DC178" s="154" t="e">
        <f t="shared" si="93"/>
        <v>#VALUE!</v>
      </c>
      <c r="DD178" s="154" t="str">
        <f t="shared" si="94"/>
        <v/>
      </c>
      <c r="DE178" s="154" t="str">
        <f t="shared" si="95"/>
        <v/>
      </c>
      <c r="DF178" s="1" t="str">
        <f t="shared" si="96"/>
        <v/>
      </c>
      <c r="DG178" s="1" t="str">
        <f t="shared" si="97"/>
        <v/>
      </c>
      <c r="DH178" s="1" t="str">
        <f t="shared" si="98"/>
        <v/>
      </c>
      <c r="DI178" s="1" t="str">
        <f t="shared" si="228"/>
        <v/>
      </c>
      <c r="DJ178" s="1" t="str">
        <f t="shared" si="229"/>
        <v/>
      </c>
      <c r="DK178" s="1" t="str">
        <f t="shared" si="101"/>
        <v/>
      </c>
      <c r="DL178" s="1" t="str">
        <f t="shared" si="102"/>
        <v/>
      </c>
      <c r="DM178" s="1" t="str">
        <f t="shared" si="103"/>
        <v/>
      </c>
    </row>
    <row r="179" customHeight="1" spans="1:117">
      <c r="A179" s="152" t="str">
        <f t="shared" si="239"/>
        <v/>
      </c>
      <c r="C179" s="55" t="str">
        <f t="shared" si="5"/>
        <v/>
      </c>
      <c r="D179" s="150" t="str">
        <f t="shared" si="6"/>
        <v/>
      </c>
      <c r="E179" s="151" t="str">
        <f t="shared" si="180"/>
        <v/>
      </c>
      <c r="F179" s="151" t="str">
        <f t="shared" si="181"/>
        <v/>
      </c>
      <c r="G179" s="151" t="str">
        <f t="shared" si="182"/>
        <v/>
      </c>
      <c r="H179" s="151" t="str">
        <f t="shared" si="183"/>
        <v/>
      </c>
      <c r="I179" s="151" t="str">
        <f t="shared" si="184"/>
        <v/>
      </c>
      <c r="J179" s="171" t="str">
        <f t="shared" si="185"/>
        <v/>
      </c>
      <c r="K179" s="172" t="str">
        <f t="shared" si="240"/>
        <v/>
      </c>
      <c r="L179" s="172" t="str">
        <f t="shared" si="241"/>
        <v/>
      </c>
      <c r="M179" s="173" t="str">
        <f t="shared" si="242"/>
        <v/>
      </c>
      <c r="N179" s="54" t="str">
        <f t="shared" si="186"/>
        <v/>
      </c>
      <c r="O179" s="55" t="str">
        <f t="shared" si="187"/>
        <v/>
      </c>
      <c r="P179" s="55" t="str">
        <f t="shared" si="15"/>
        <v/>
      </c>
      <c r="Q179" s="56" t="str">
        <f t="shared" si="188"/>
        <v/>
      </c>
      <c r="R179" s="56" t="str">
        <f t="shared" si="189"/>
        <v/>
      </c>
      <c r="S179" s="56" t="str">
        <f t="shared" si="190"/>
        <v/>
      </c>
      <c r="T179" s="56" t="str">
        <f t="shared" si="191"/>
        <v/>
      </c>
      <c r="U179" s="180" t="str">
        <f t="shared" si="192"/>
        <v/>
      </c>
      <c r="V179" s="55" t="str">
        <f t="shared" si="193"/>
        <v/>
      </c>
      <c r="W179" s="55" t="str">
        <f t="shared" si="194"/>
        <v/>
      </c>
      <c r="X179" s="56" t="str">
        <f t="shared" si="195"/>
        <v/>
      </c>
      <c r="Y179" s="180" t="str">
        <f t="shared" si="196"/>
        <v/>
      </c>
      <c r="Z179" s="55" t="str">
        <f t="shared" si="197"/>
        <v/>
      </c>
      <c r="AA179" s="55" t="str">
        <f t="shared" si="198"/>
        <v/>
      </c>
      <c r="AB179" s="150" t="str">
        <f t="shared" si="199"/>
        <v/>
      </c>
      <c r="AC179" s="188">
        <v>170</v>
      </c>
      <c r="AD179" s="1" t="b">
        <f t="shared" si="28"/>
        <v>0</v>
      </c>
      <c r="AE179" s="1" t="str">
        <f t="shared" si="29"/>
        <v/>
      </c>
      <c r="AF179" s="1" t="str">
        <f t="shared" si="30"/>
        <v/>
      </c>
      <c r="AG179" s="1" t="str">
        <f t="shared" si="31"/>
        <v/>
      </c>
      <c r="AH179" s="1" t="str">
        <f t="shared" si="200"/>
        <v/>
      </c>
      <c r="AI179" s="1" t="str">
        <f t="shared" si="33"/>
        <v/>
      </c>
      <c r="AJ179" s="191" t="str">
        <f t="shared" si="237"/>
        <v/>
      </c>
      <c r="AK179" s="191" t="str">
        <f t="shared" si="238"/>
        <v/>
      </c>
      <c r="AL179" s="191" t="str">
        <f t="shared" si="201"/>
        <v/>
      </c>
      <c r="AM179" s="1" t="str">
        <f t="shared" si="202"/>
        <v/>
      </c>
      <c r="AN179" s="191" t="str">
        <f t="shared" si="203"/>
        <v/>
      </c>
      <c r="AO179" s="134" t="str">
        <f t="shared" si="204"/>
        <v/>
      </c>
      <c r="AP179" s="64" t="str">
        <f t="shared" si="38"/>
        <v/>
      </c>
      <c r="AQ179" s="1" t="str">
        <f t="shared" si="230"/>
        <v/>
      </c>
      <c r="AR179" s="1" t="str">
        <f t="shared" si="205"/>
        <v/>
      </c>
      <c r="AS179" s="1" t="str">
        <f t="shared" si="206"/>
        <v/>
      </c>
      <c r="AT179" s="134" t="str">
        <f t="shared" si="207"/>
        <v/>
      </c>
      <c r="AU179" s="64" t="str">
        <f t="shared" si="208"/>
        <v/>
      </c>
      <c r="AV179" s="65" t="str">
        <f t="shared" si="209"/>
        <v/>
      </c>
      <c r="AW179" s="65" t="str">
        <f t="shared" si="210"/>
        <v/>
      </c>
      <c r="AX179" s="1" t="str">
        <f t="shared" si="211"/>
        <v/>
      </c>
      <c r="AY179" s="1" t="str">
        <f t="shared" si="212"/>
        <v/>
      </c>
      <c r="AZ179" s="131" t="str">
        <f t="shared" si="213"/>
        <v/>
      </c>
      <c r="BA179" s="1" t="str">
        <f t="shared" si="214"/>
        <v/>
      </c>
      <c r="BB179" s="1" t="str">
        <f t="shared" si="49"/>
        <v/>
      </c>
      <c r="BC179" s="1" t="str">
        <f t="shared" si="50"/>
        <v/>
      </c>
      <c r="BD179" s="1" t="str">
        <f t="shared" si="215"/>
        <v/>
      </c>
      <c r="BE179" s="1" t="str">
        <f t="shared" si="216"/>
        <v/>
      </c>
      <c r="BF179" s="1" t="str">
        <f t="shared" si="53"/>
        <v/>
      </c>
      <c r="BG179" s="1" t="str">
        <f t="shared" si="217"/>
        <v/>
      </c>
      <c r="BH179" s="1" t="str">
        <f t="shared" si="218"/>
        <v/>
      </c>
      <c r="BI179" s="1" t="str">
        <f t="shared" si="219"/>
        <v/>
      </c>
      <c r="BJ179" s="1" t="str">
        <f t="shared" si="220"/>
        <v/>
      </c>
      <c r="BK179" s="1" t="str">
        <f t="shared" si="221"/>
        <v/>
      </c>
      <c r="BL179" s="1" t="str">
        <f t="shared" si="222"/>
        <v/>
      </c>
      <c r="BM179" s="1" t="str">
        <f t="shared" si="223"/>
        <v/>
      </c>
      <c r="BN179" s="1" t="str">
        <f t="shared" si="224"/>
        <v/>
      </c>
      <c r="BO179" s="1" t="str">
        <f t="shared" si="225"/>
        <v/>
      </c>
      <c r="BQ179" s="1" t="str">
        <f t="shared" si="63"/>
        <v/>
      </c>
      <c r="BR179" s="1" t="str">
        <f t="shared" si="64"/>
        <v/>
      </c>
      <c r="BS179" s="1" t="str">
        <f t="shared" si="65"/>
        <v/>
      </c>
      <c r="BT179" s="1" t="str">
        <f t="shared" si="66"/>
        <v/>
      </c>
      <c r="BU179" s="1" t="str">
        <f t="shared" si="67"/>
        <v/>
      </c>
      <c r="BV179" s="1" t="str">
        <f t="shared" si="68"/>
        <v/>
      </c>
      <c r="BW179" s="1" t="str">
        <f t="shared" si="69"/>
        <v/>
      </c>
      <c r="BX179" s="1" t="str">
        <f t="shared" si="70"/>
        <v/>
      </c>
      <c r="BY179" s="1" t="str">
        <f t="shared" si="226"/>
        <v/>
      </c>
      <c r="BZ179" s="1" t="str">
        <f t="shared" si="72"/>
        <v/>
      </c>
      <c r="CA179" s="1" t="str">
        <f t="shared" si="73"/>
        <v/>
      </c>
      <c r="CB179" s="1" t="str">
        <f t="shared" si="74"/>
        <v/>
      </c>
      <c r="CC179" s="1" t="str">
        <f t="shared" si="75"/>
        <v/>
      </c>
      <c r="CD179" s="1" t="str">
        <f t="shared" si="227"/>
        <v/>
      </c>
      <c r="CE179" s="1" t="str">
        <f t="shared" si="77"/>
        <v/>
      </c>
      <c r="CF179" s="1" t="str">
        <f t="shared" si="78"/>
        <v/>
      </c>
      <c r="CG179" s="1" t="str">
        <f t="shared" si="79"/>
        <v/>
      </c>
      <c r="CH179" s="1" t="str">
        <f t="shared" si="80"/>
        <v/>
      </c>
      <c r="CJ179" s="1" t="str">
        <f t="shared" si="81"/>
        <v/>
      </c>
      <c r="CK179" s="1" t="str">
        <f t="shared" si="82"/>
        <v/>
      </c>
      <c r="CL179" s="1" t="str">
        <f t="shared" si="83"/>
        <v/>
      </c>
      <c r="CM179" s="1" t="str">
        <f t="shared" si="84"/>
        <v/>
      </c>
      <c r="CN179" s="1" t="str">
        <f t="shared" si="85"/>
        <v/>
      </c>
      <c r="CO179" s="1" t="str">
        <f t="shared" si="86"/>
        <v/>
      </c>
      <c r="CP179" s="1" t="str">
        <f t="shared" si="87"/>
        <v/>
      </c>
      <c r="CR179" s="1" t="str">
        <f t="shared" si="88"/>
        <v/>
      </c>
      <c r="CS179" s="1" t="str">
        <f t="shared" si="89"/>
        <v/>
      </c>
      <c r="CT179" s="1" t="str">
        <f t="shared" si="90"/>
        <v/>
      </c>
      <c r="CU179" s="1" t="str">
        <f t="shared" si="91"/>
        <v/>
      </c>
      <c r="CV179" s="1" t="str">
        <f t="shared" si="92"/>
        <v/>
      </c>
      <c r="DC179" s="154" t="e">
        <f t="shared" si="93"/>
        <v>#VALUE!</v>
      </c>
      <c r="DD179" s="154" t="str">
        <f t="shared" si="94"/>
        <v/>
      </c>
      <c r="DE179" s="154" t="str">
        <f t="shared" si="95"/>
        <v/>
      </c>
      <c r="DF179" s="1" t="str">
        <f t="shared" si="96"/>
        <v/>
      </c>
      <c r="DG179" s="1" t="str">
        <f t="shared" si="97"/>
        <v/>
      </c>
      <c r="DH179" s="1" t="str">
        <f t="shared" si="98"/>
        <v/>
      </c>
      <c r="DI179" s="1" t="str">
        <f t="shared" si="228"/>
        <v/>
      </c>
      <c r="DJ179" s="1" t="str">
        <f t="shared" si="229"/>
        <v/>
      </c>
      <c r="DK179" s="1" t="str">
        <f t="shared" si="101"/>
        <v/>
      </c>
      <c r="DL179" s="1" t="str">
        <f t="shared" si="102"/>
        <v/>
      </c>
      <c r="DM179" s="1" t="str">
        <f t="shared" si="103"/>
        <v/>
      </c>
    </row>
    <row r="180" customHeight="1" spans="1:117">
      <c r="A180" s="152" t="str">
        <f t="shared" si="239"/>
        <v/>
      </c>
      <c r="C180" s="55" t="str">
        <f t="shared" si="5"/>
        <v/>
      </c>
      <c r="D180" s="150" t="str">
        <f t="shared" si="6"/>
        <v/>
      </c>
      <c r="E180" s="151" t="str">
        <f t="shared" si="180"/>
        <v/>
      </c>
      <c r="F180" s="151" t="str">
        <f t="shared" si="181"/>
        <v/>
      </c>
      <c r="G180" s="151" t="str">
        <f t="shared" si="182"/>
        <v/>
      </c>
      <c r="H180" s="151" t="str">
        <f t="shared" si="183"/>
        <v/>
      </c>
      <c r="I180" s="151" t="str">
        <f t="shared" si="184"/>
        <v/>
      </c>
      <c r="J180" s="171" t="str">
        <f t="shared" si="185"/>
        <v/>
      </c>
      <c r="K180" s="172" t="str">
        <f t="shared" si="240"/>
        <v/>
      </c>
      <c r="L180" s="172" t="str">
        <f t="shared" si="241"/>
        <v/>
      </c>
      <c r="M180" s="173" t="str">
        <f t="shared" si="242"/>
        <v/>
      </c>
      <c r="N180" s="54" t="str">
        <f t="shared" si="186"/>
        <v/>
      </c>
      <c r="O180" s="55" t="str">
        <f t="shared" si="187"/>
        <v/>
      </c>
      <c r="P180" s="55" t="str">
        <f t="shared" si="15"/>
        <v/>
      </c>
      <c r="Q180" s="56" t="str">
        <f t="shared" si="188"/>
        <v/>
      </c>
      <c r="R180" s="56" t="str">
        <f t="shared" si="189"/>
        <v/>
      </c>
      <c r="S180" s="56" t="str">
        <f t="shared" si="190"/>
        <v/>
      </c>
      <c r="T180" s="56" t="str">
        <f t="shared" si="191"/>
        <v/>
      </c>
      <c r="U180" s="180" t="str">
        <f t="shared" si="192"/>
        <v/>
      </c>
      <c r="V180" s="55" t="str">
        <f t="shared" si="193"/>
        <v/>
      </c>
      <c r="W180" s="55" t="str">
        <f t="shared" si="194"/>
        <v/>
      </c>
      <c r="X180" s="56" t="str">
        <f t="shared" si="195"/>
        <v/>
      </c>
      <c r="Y180" s="180" t="str">
        <f t="shared" si="196"/>
        <v/>
      </c>
      <c r="Z180" s="55" t="str">
        <f t="shared" si="197"/>
        <v/>
      </c>
      <c r="AA180" s="55" t="str">
        <f t="shared" si="198"/>
        <v/>
      </c>
      <c r="AB180" s="150" t="str">
        <f t="shared" si="199"/>
        <v/>
      </c>
      <c r="AC180" s="188">
        <v>171</v>
      </c>
      <c r="AD180" s="1" t="b">
        <f t="shared" si="28"/>
        <v>0</v>
      </c>
      <c r="AE180" s="1" t="str">
        <f t="shared" si="29"/>
        <v/>
      </c>
      <c r="AF180" s="1" t="str">
        <f t="shared" si="30"/>
        <v/>
      </c>
      <c r="AG180" s="1" t="str">
        <f t="shared" si="31"/>
        <v/>
      </c>
      <c r="AH180" s="1" t="str">
        <f t="shared" si="200"/>
        <v/>
      </c>
      <c r="AI180" s="1" t="str">
        <f t="shared" si="33"/>
        <v/>
      </c>
      <c r="AJ180" s="191" t="str">
        <f t="shared" si="237"/>
        <v/>
      </c>
      <c r="AK180" s="191" t="str">
        <f t="shared" si="238"/>
        <v/>
      </c>
      <c r="AL180" s="191" t="str">
        <f t="shared" si="201"/>
        <v/>
      </c>
      <c r="AM180" s="1" t="str">
        <f t="shared" si="202"/>
        <v/>
      </c>
      <c r="AN180" s="191" t="str">
        <f t="shared" si="203"/>
        <v/>
      </c>
      <c r="AO180" s="134" t="str">
        <f t="shared" si="204"/>
        <v/>
      </c>
      <c r="AP180" s="64" t="str">
        <f t="shared" si="38"/>
        <v/>
      </c>
      <c r="AQ180" s="1" t="str">
        <f t="shared" si="230"/>
        <v/>
      </c>
      <c r="AR180" s="1" t="str">
        <f t="shared" si="205"/>
        <v/>
      </c>
      <c r="AS180" s="1" t="str">
        <f t="shared" si="206"/>
        <v/>
      </c>
      <c r="AT180" s="134" t="str">
        <f t="shared" si="207"/>
        <v/>
      </c>
      <c r="AU180" s="64" t="str">
        <f t="shared" si="208"/>
        <v/>
      </c>
      <c r="AV180" s="65" t="str">
        <f t="shared" si="209"/>
        <v/>
      </c>
      <c r="AW180" s="65" t="str">
        <f t="shared" si="210"/>
        <v/>
      </c>
      <c r="AX180" s="1" t="str">
        <f t="shared" si="211"/>
        <v/>
      </c>
      <c r="AY180" s="1" t="str">
        <f t="shared" si="212"/>
        <v/>
      </c>
      <c r="AZ180" s="131" t="str">
        <f t="shared" si="213"/>
        <v/>
      </c>
      <c r="BA180" s="1" t="str">
        <f t="shared" si="214"/>
        <v/>
      </c>
      <c r="BB180" s="1" t="str">
        <f t="shared" si="49"/>
        <v/>
      </c>
      <c r="BC180" s="1" t="str">
        <f t="shared" si="50"/>
        <v/>
      </c>
      <c r="BD180" s="1" t="str">
        <f t="shared" si="215"/>
        <v/>
      </c>
      <c r="BE180" s="1" t="str">
        <f t="shared" si="216"/>
        <v/>
      </c>
      <c r="BF180" s="1" t="str">
        <f t="shared" si="53"/>
        <v/>
      </c>
      <c r="BG180" s="1" t="str">
        <f t="shared" si="217"/>
        <v/>
      </c>
      <c r="BH180" s="1" t="str">
        <f t="shared" si="218"/>
        <v/>
      </c>
      <c r="BI180" s="1" t="str">
        <f t="shared" si="219"/>
        <v/>
      </c>
      <c r="BJ180" s="1" t="str">
        <f t="shared" si="220"/>
        <v/>
      </c>
      <c r="BK180" s="1" t="str">
        <f t="shared" si="221"/>
        <v/>
      </c>
      <c r="BL180" s="1" t="str">
        <f t="shared" si="222"/>
        <v/>
      </c>
      <c r="BM180" s="1" t="str">
        <f t="shared" si="223"/>
        <v/>
      </c>
      <c r="BN180" s="1" t="str">
        <f t="shared" si="224"/>
        <v/>
      </c>
      <c r="BO180" s="1" t="str">
        <f t="shared" si="225"/>
        <v/>
      </c>
      <c r="BQ180" s="1" t="str">
        <f t="shared" si="63"/>
        <v/>
      </c>
      <c r="BR180" s="1" t="str">
        <f t="shared" si="64"/>
        <v/>
      </c>
      <c r="BS180" s="1" t="str">
        <f t="shared" si="65"/>
        <v/>
      </c>
      <c r="BT180" s="1" t="str">
        <f t="shared" si="66"/>
        <v/>
      </c>
      <c r="BU180" s="1" t="str">
        <f t="shared" si="67"/>
        <v/>
      </c>
      <c r="BV180" s="1" t="str">
        <f t="shared" si="68"/>
        <v/>
      </c>
      <c r="BW180" s="1" t="str">
        <f t="shared" si="69"/>
        <v/>
      </c>
      <c r="BX180" s="1" t="str">
        <f t="shared" si="70"/>
        <v/>
      </c>
      <c r="BY180" s="1" t="str">
        <f t="shared" si="226"/>
        <v/>
      </c>
      <c r="BZ180" s="1" t="str">
        <f t="shared" si="72"/>
        <v/>
      </c>
      <c r="CA180" s="1" t="str">
        <f t="shared" si="73"/>
        <v/>
      </c>
      <c r="CB180" s="1" t="str">
        <f t="shared" si="74"/>
        <v/>
      </c>
      <c r="CC180" s="1" t="str">
        <f t="shared" si="75"/>
        <v/>
      </c>
      <c r="CD180" s="1" t="str">
        <f t="shared" si="227"/>
        <v/>
      </c>
      <c r="CE180" s="1" t="str">
        <f t="shared" si="77"/>
        <v/>
      </c>
      <c r="CF180" s="1" t="str">
        <f t="shared" si="78"/>
        <v/>
      </c>
      <c r="CG180" s="1" t="str">
        <f t="shared" si="79"/>
        <v/>
      </c>
      <c r="CH180" s="1" t="str">
        <f t="shared" si="80"/>
        <v/>
      </c>
      <c r="CJ180" s="1" t="str">
        <f t="shared" si="81"/>
        <v/>
      </c>
      <c r="CK180" s="1" t="str">
        <f t="shared" si="82"/>
        <v/>
      </c>
      <c r="CL180" s="1" t="str">
        <f t="shared" si="83"/>
        <v/>
      </c>
      <c r="CM180" s="1" t="str">
        <f t="shared" si="84"/>
        <v/>
      </c>
      <c r="CN180" s="1" t="str">
        <f t="shared" si="85"/>
        <v/>
      </c>
      <c r="CO180" s="1" t="str">
        <f t="shared" si="86"/>
        <v/>
      </c>
      <c r="CP180" s="1" t="str">
        <f t="shared" si="87"/>
        <v/>
      </c>
      <c r="CR180" s="1" t="str">
        <f t="shared" si="88"/>
        <v/>
      </c>
      <c r="CS180" s="1" t="str">
        <f t="shared" si="89"/>
        <v/>
      </c>
      <c r="CT180" s="1" t="str">
        <f t="shared" si="90"/>
        <v/>
      </c>
      <c r="CU180" s="1" t="str">
        <f t="shared" si="91"/>
        <v/>
      </c>
      <c r="CV180" s="1" t="str">
        <f t="shared" si="92"/>
        <v/>
      </c>
      <c r="DC180" s="154" t="e">
        <f t="shared" si="93"/>
        <v>#VALUE!</v>
      </c>
      <c r="DD180" s="154" t="str">
        <f t="shared" si="94"/>
        <v/>
      </c>
      <c r="DE180" s="154" t="str">
        <f t="shared" si="95"/>
        <v/>
      </c>
      <c r="DF180" s="1" t="str">
        <f t="shared" si="96"/>
        <v/>
      </c>
      <c r="DG180" s="1" t="str">
        <f t="shared" si="97"/>
        <v/>
      </c>
      <c r="DH180" s="1" t="str">
        <f t="shared" si="98"/>
        <v/>
      </c>
      <c r="DI180" s="1" t="str">
        <f t="shared" si="228"/>
        <v/>
      </c>
      <c r="DJ180" s="1" t="str">
        <f t="shared" si="229"/>
        <v/>
      </c>
      <c r="DK180" s="1" t="str">
        <f t="shared" si="101"/>
        <v/>
      </c>
      <c r="DL180" s="1" t="str">
        <f t="shared" si="102"/>
        <v/>
      </c>
      <c r="DM180" s="1" t="str">
        <f t="shared" si="103"/>
        <v/>
      </c>
    </row>
    <row r="181" customHeight="1" spans="1:117">
      <c r="A181" s="152" t="str">
        <f t="shared" si="239"/>
        <v/>
      </c>
      <c r="C181" s="55" t="str">
        <f t="shared" si="5"/>
        <v/>
      </c>
      <c r="D181" s="150" t="str">
        <f t="shared" si="6"/>
        <v/>
      </c>
      <c r="E181" s="151" t="str">
        <f t="shared" si="180"/>
        <v/>
      </c>
      <c r="F181" s="151" t="str">
        <f t="shared" si="181"/>
        <v/>
      </c>
      <c r="G181" s="151" t="str">
        <f t="shared" si="182"/>
        <v/>
      </c>
      <c r="H181" s="151" t="str">
        <f t="shared" si="183"/>
        <v/>
      </c>
      <c r="I181" s="151" t="str">
        <f t="shared" si="184"/>
        <v/>
      </c>
      <c r="J181" s="171" t="str">
        <f t="shared" si="185"/>
        <v/>
      </c>
      <c r="K181" s="172" t="str">
        <f t="shared" si="240"/>
        <v/>
      </c>
      <c r="L181" s="172" t="str">
        <f t="shared" si="241"/>
        <v/>
      </c>
      <c r="M181" s="173" t="str">
        <f t="shared" si="242"/>
        <v/>
      </c>
      <c r="N181" s="54" t="str">
        <f t="shared" si="186"/>
        <v/>
      </c>
      <c r="O181" s="55" t="str">
        <f t="shared" si="187"/>
        <v/>
      </c>
      <c r="P181" s="55" t="str">
        <f t="shared" si="15"/>
        <v/>
      </c>
      <c r="Q181" s="56" t="str">
        <f t="shared" si="188"/>
        <v/>
      </c>
      <c r="R181" s="56" t="str">
        <f t="shared" si="189"/>
        <v/>
      </c>
      <c r="S181" s="56" t="str">
        <f t="shared" si="190"/>
        <v/>
      </c>
      <c r="T181" s="56" t="str">
        <f t="shared" si="191"/>
        <v/>
      </c>
      <c r="U181" s="180" t="str">
        <f t="shared" si="192"/>
        <v/>
      </c>
      <c r="V181" s="55" t="str">
        <f t="shared" si="193"/>
        <v/>
      </c>
      <c r="W181" s="55" t="str">
        <f t="shared" si="194"/>
        <v/>
      </c>
      <c r="X181" s="56" t="str">
        <f t="shared" si="195"/>
        <v/>
      </c>
      <c r="Y181" s="180" t="str">
        <f t="shared" si="196"/>
        <v/>
      </c>
      <c r="Z181" s="55" t="str">
        <f t="shared" si="197"/>
        <v/>
      </c>
      <c r="AA181" s="55" t="str">
        <f t="shared" si="198"/>
        <v/>
      </c>
      <c r="AB181" s="150" t="str">
        <f t="shared" si="199"/>
        <v/>
      </c>
      <c r="AC181" s="188">
        <v>172</v>
      </c>
      <c r="AD181" s="1" t="b">
        <f t="shared" si="28"/>
        <v>0</v>
      </c>
      <c r="AE181" s="1" t="str">
        <f t="shared" si="29"/>
        <v/>
      </c>
      <c r="AF181" s="1" t="str">
        <f t="shared" si="30"/>
        <v/>
      </c>
      <c r="AG181" s="1" t="str">
        <f t="shared" si="31"/>
        <v/>
      </c>
      <c r="AH181" s="1" t="str">
        <f t="shared" si="200"/>
        <v/>
      </c>
      <c r="AI181" s="1" t="str">
        <f t="shared" si="33"/>
        <v/>
      </c>
      <c r="AJ181" s="191" t="str">
        <f t="shared" si="237"/>
        <v/>
      </c>
      <c r="AK181" s="191" t="str">
        <f t="shared" si="238"/>
        <v/>
      </c>
      <c r="AL181" s="191" t="str">
        <f t="shared" si="201"/>
        <v/>
      </c>
      <c r="AM181" s="1" t="str">
        <f t="shared" si="202"/>
        <v/>
      </c>
      <c r="AN181" s="191" t="str">
        <f t="shared" si="203"/>
        <v/>
      </c>
      <c r="AO181" s="134" t="str">
        <f t="shared" si="204"/>
        <v/>
      </c>
      <c r="AP181" s="64" t="str">
        <f t="shared" si="38"/>
        <v/>
      </c>
      <c r="AQ181" s="1" t="str">
        <f t="shared" si="230"/>
        <v/>
      </c>
      <c r="AR181" s="1" t="str">
        <f t="shared" si="205"/>
        <v/>
      </c>
      <c r="AS181" s="1" t="str">
        <f t="shared" si="206"/>
        <v/>
      </c>
      <c r="AT181" s="134" t="str">
        <f t="shared" si="207"/>
        <v/>
      </c>
      <c r="AU181" s="64" t="str">
        <f t="shared" si="208"/>
        <v/>
      </c>
      <c r="AV181" s="65" t="str">
        <f t="shared" si="209"/>
        <v/>
      </c>
      <c r="AW181" s="65" t="str">
        <f t="shared" si="210"/>
        <v/>
      </c>
      <c r="AX181" s="1" t="str">
        <f t="shared" si="211"/>
        <v/>
      </c>
      <c r="AY181" s="1" t="str">
        <f t="shared" si="212"/>
        <v/>
      </c>
      <c r="AZ181" s="131" t="str">
        <f t="shared" si="213"/>
        <v/>
      </c>
      <c r="BA181" s="1" t="str">
        <f t="shared" si="214"/>
        <v/>
      </c>
      <c r="BB181" s="1" t="str">
        <f t="shared" si="49"/>
        <v/>
      </c>
      <c r="BC181" s="1" t="str">
        <f t="shared" si="50"/>
        <v/>
      </c>
      <c r="BD181" s="1" t="str">
        <f t="shared" si="215"/>
        <v/>
      </c>
      <c r="BE181" s="1" t="str">
        <f t="shared" si="216"/>
        <v/>
      </c>
      <c r="BF181" s="1" t="str">
        <f t="shared" si="53"/>
        <v/>
      </c>
      <c r="BG181" s="1" t="str">
        <f t="shared" si="217"/>
        <v/>
      </c>
      <c r="BH181" s="1" t="str">
        <f t="shared" si="218"/>
        <v/>
      </c>
      <c r="BI181" s="1" t="str">
        <f t="shared" si="219"/>
        <v/>
      </c>
      <c r="BJ181" s="1" t="str">
        <f t="shared" si="220"/>
        <v/>
      </c>
      <c r="BK181" s="1" t="str">
        <f t="shared" si="221"/>
        <v/>
      </c>
      <c r="BL181" s="1" t="str">
        <f t="shared" si="222"/>
        <v/>
      </c>
      <c r="BM181" s="1" t="str">
        <f t="shared" si="223"/>
        <v/>
      </c>
      <c r="BN181" s="1" t="str">
        <f t="shared" si="224"/>
        <v/>
      </c>
      <c r="BO181" s="1" t="str">
        <f t="shared" si="225"/>
        <v/>
      </c>
      <c r="BQ181" s="1" t="str">
        <f t="shared" si="63"/>
        <v/>
      </c>
      <c r="BR181" s="1" t="str">
        <f t="shared" si="64"/>
        <v/>
      </c>
      <c r="BS181" s="1" t="str">
        <f t="shared" si="65"/>
        <v/>
      </c>
      <c r="BT181" s="1" t="str">
        <f t="shared" si="66"/>
        <v/>
      </c>
      <c r="BU181" s="1" t="str">
        <f t="shared" si="67"/>
        <v/>
      </c>
      <c r="BV181" s="1" t="str">
        <f t="shared" si="68"/>
        <v/>
      </c>
      <c r="BW181" s="1" t="str">
        <f t="shared" si="69"/>
        <v/>
      </c>
      <c r="BX181" s="1" t="str">
        <f t="shared" si="70"/>
        <v/>
      </c>
      <c r="BY181" s="1" t="str">
        <f t="shared" si="226"/>
        <v/>
      </c>
      <c r="BZ181" s="1" t="str">
        <f t="shared" si="72"/>
        <v/>
      </c>
      <c r="CA181" s="1" t="str">
        <f t="shared" si="73"/>
        <v/>
      </c>
      <c r="CB181" s="1" t="str">
        <f t="shared" si="74"/>
        <v/>
      </c>
      <c r="CC181" s="1" t="str">
        <f t="shared" si="75"/>
        <v/>
      </c>
      <c r="CD181" s="1" t="str">
        <f t="shared" si="227"/>
        <v/>
      </c>
      <c r="CE181" s="1" t="str">
        <f t="shared" si="77"/>
        <v/>
      </c>
      <c r="CF181" s="1" t="str">
        <f t="shared" si="78"/>
        <v/>
      </c>
      <c r="CG181" s="1" t="str">
        <f t="shared" si="79"/>
        <v/>
      </c>
      <c r="CH181" s="1" t="str">
        <f t="shared" si="80"/>
        <v/>
      </c>
      <c r="CJ181" s="1" t="str">
        <f t="shared" si="81"/>
        <v/>
      </c>
      <c r="CK181" s="1" t="str">
        <f t="shared" si="82"/>
        <v/>
      </c>
      <c r="CL181" s="1" t="str">
        <f t="shared" si="83"/>
        <v/>
      </c>
      <c r="CM181" s="1" t="str">
        <f t="shared" si="84"/>
        <v/>
      </c>
      <c r="CN181" s="1" t="str">
        <f t="shared" si="85"/>
        <v/>
      </c>
      <c r="CO181" s="1" t="str">
        <f t="shared" si="86"/>
        <v/>
      </c>
      <c r="CP181" s="1" t="str">
        <f t="shared" si="87"/>
        <v/>
      </c>
      <c r="CR181" s="1" t="str">
        <f t="shared" si="88"/>
        <v/>
      </c>
      <c r="CS181" s="1" t="str">
        <f t="shared" si="89"/>
        <v/>
      </c>
      <c r="CT181" s="1" t="str">
        <f t="shared" si="90"/>
        <v/>
      </c>
      <c r="CU181" s="1" t="str">
        <f t="shared" si="91"/>
        <v/>
      </c>
      <c r="CV181" s="1" t="str">
        <f t="shared" si="92"/>
        <v/>
      </c>
      <c r="DC181" s="154" t="e">
        <f t="shared" si="93"/>
        <v>#VALUE!</v>
      </c>
      <c r="DD181" s="154" t="str">
        <f t="shared" si="94"/>
        <v/>
      </c>
      <c r="DE181" s="154" t="str">
        <f t="shared" si="95"/>
        <v/>
      </c>
      <c r="DF181" s="1" t="str">
        <f t="shared" si="96"/>
        <v/>
      </c>
      <c r="DG181" s="1" t="str">
        <f t="shared" si="97"/>
        <v/>
      </c>
      <c r="DH181" s="1" t="str">
        <f t="shared" si="98"/>
        <v/>
      </c>
      <c r="DI181" s="1" t="str">
        <f t="shared" si="228"/>
        <v/>
      </c>
      <c r="DJ181" s="1" t="str">
        <f t="shared" si="229"/>
        <v/>
      </c>
      <c r="DK181" s="1" t="str">
        <f t="shared" si="101"/>
        <v/>
      </c>
      <c r="DL181" s="1" t="str">
        <f t="shared" si="102"/>
        <v/>
      </c>
      <c r="DM181" s="1" t="str">
        <f t="shared" si="103"/>
        <v/>
      </c>
    </row>
    <row r="182" customHeight="1" spans="1:117">
      <c r="A182" s="152" t="str">
        <f t="shared" si="239"/>
        <v/>
      </c>
      <c r="C182" s="55" t="str">
        <f t="shared" si="5"/>
        <v/>
      </c>
      <c r="D182" s="150" t="str">
        <f t="shared" si="6"/>
        <v/>
      </c>
      <c r="E182" s="151" t="str">
        <f t="shared" si="180"/>
        <v/>
      </c>
      <c r="F182" s="151" t="str">
        <f t="shared" si="181"/>
        <v/>
      </c>
      <c r="G182" s="151" t="str">
        <f t="shared" si="182"/>
        <v/>
      </c>
      <c r="H182" s="151" t="str">
        <f t="shared" si="183"/>
        <v/>
      </c>
      <c r="I182" s="151" t="str">
        <f t="shared" si="184"/>
        <v/>
      </c>
      <c r="J182" s="171" t="str">
        <f t="shared" si="185"/>
        <v/>
      </c>
      <c r="K182" s="172" t="str">
        <f t="shared" si="240"/>
        <v/>
      </c>
      <c r="L182" s="172" t="str">
        <f t="shared" si="241"/>
        <v/>
      </c>
      <c r="M182" s="173" t="str">
        <f t="shared" si="242"/>
        <v/>
      </c>
      <c r="N182" s="54" t="str">
        <f t="shared" si="186"/>
        <v/>
      </c>
      <c r="O182" s="55" t="str">
        <f t="shared" si="187"/>
        <v/>
      </c>
      <c r="P182" s="55" t="str">
        <f t="shared" si="15"/>
        <v/>
      </c>
      <c r="Q182" s="56" t="str">
        <f t="shared" si="188"/>
        <v/>
      </c>
      <c r="R182" s="56" t="str">
        <f t="shared" si="189"/>
        <v/>
      </c>
      <c r="S182" s="56" t="str">
        <f t="shared" si="190"/>
        <v/>
      </c>
      <c r="T182" s="56" t="str">
        <f t="shared" si="191"/>
        <v/>
      </c>
      <c r="U182" s="180" t="str">
        <f t="shared" si="192"/>
        <v/>
      </c>
      <c r="V182" s="55" t="str">
        <f t="shared" si="193"/>
        <v/>
      </c>
      <c r="W182" s="55" t="str">
        <f t="shared" si="194"/>
        <v/>
      </c>
      <c r="X182" s="56" t="str">
        <f t="shared" si="195"/>
        <v/>
      </c>
      <c r="Y182" s="180" t="str">
        <f t="shared" si="196"/>
        <v/>
      </c>
      <c r="Z182" s="55" t="str">
        <f t="shared" si="197"/>
        <v/>
      </c>
      <c r="AA182" s="55" t="str">
        <f t="shared" si="198"/>
        <v/>
      </c>
      <c r="AB182" s="150" t="str">
        <f t="shared" si="199"/>
        <v/>
      </c>
      <c r="AC182" s="188">
        <v>173</v>
      </c>
      <c r="AD182" s="1" t="b">
        <f t="shared" si="28"/>
        <v>0</v>
      </c>
      <c r="AE182" s="1" t="str">
        <f t="shared" si="29"/>
        <v/>
      </c>
      <c r="AF182" s="1" t="str">
        <f t="shared" si="30"/>
        <v/>
      </c>
      <c r="AG182" s="1" t="str">
        <f t="shared" si="31"/>
        <v/>
      </c>
      <c r="AH182" s="1" t="str">
        <f t="shared" si="200"/>
        <v/>
      </c>
      <c r="AI182" s="1" t="str">
        <f t="shared" si="33"/>
        <v/>
      </c>
      <c r="AJ182" s="191" t="str">
        <f t="shared" si="237"/>
        <v/>
      </c>
      <c r="AK182" s="191" t="str">
        <f t="shared" si="238"/>
        <v/>
      </c>
      <c r="AL182" s="191" t="str">
        <f t="shared" si="201"/>
        <v/>
      </c>
      <c r="AM182" s="1" t="str">
        <f t="shared" si="202"/>
        <v/>
      </c>
      <c r="AN182" s="191" t="str">
        <f t="shared" si="203"/>
        <v/>
      </c>
      <c r="AO182" s="134" t="str">
        <f t="shared" si="204"/>
        <v/>
      </c>
      <c r="AP182" s="64" t="str">
        <f t="shared" si="38"/>
        <v/>
      </c>
      <c r="AQ182" s="1" t="str">
        <f t="shared" si="230"/>
        <v/>
      </c>
      <c r="AR182" s="1" t="str">
        <f t="shared" si="205"/>
        <v/>
      </c>
      <c r="AS182" s="1" t="str">
        <f t="shared" si="206"/>
        <v/>
      </c>
      <c r="AT182" s="134" t="str">
        <f t="shared" si="207"/>
        <v/>
      </c>
      <c r="AU182" s="64" t="str">
        <f t="shared" si="208"/>
        <v/>
      </c>
      <c r="AV182" s="65" t="str">
        <f t="shared" si="209"/>
        <v/>
      </c>
      <c r="AW182" s="65" t="str">
        <f t="shared" si="210"/>
        <v/>
      </c>
      <c r="AX182" s="1" t="str">
        <f t="shared" si="211"/>
        <v/>
      </c>
      <c r="AY182" s="1" t="str">
        <f t="shared" si="212"/>
        <v/>
      </c>
      <c r="AZ182" s="131" t="str">
        <f t="shared" si="213"/>
        <v/>
      </c>
      <c r="BA182" s="1" t="str">
        <f t="shared" si="214"/>
        <v/>
      </c>
      <c r="BB182" s="1" t="str">
        <f t="shared" si="49"/>
        <v/>
      </c>
      <c r="BC182" s="1" t="str">
        <f t="shared" si="50"/>
        <v/>
      </c>
      <c r="BD182" s="1" t="str">
        <f t="shared" si="215"/>
        <v/>
      </c>
      <c r="BE182" s="1" t="str">
        <f t="shared" si="216"/>
        <v/>
      </c>
      <c r="BF182" s="1" t="str">
        <f t="shared" si="53"/>
        <v/>
      </c>
      <c r="BG182" s="1" t="str">
        <f t="shared" si="217"/>
        <v/>
      </c>
      <c r="BH182" s="1" t="str">
        <f t="shared" si="218"/>
        <v/>
      </c>
      <c r="BI182" s="1" t="str">
        <f t="shared" si="219"/>
        <v/>
      </c>
      <c r="BJ182" s="1" t="str">
        <f t="shared" si="220"/>
        <v/>
      </c>
      <c r="BK182" s="1" t="str">
        <f t="shared" si="221"/>
        <v/>
      </c>
      <c r="BL182" s="1" t="str">
        <f t="shared" si="222"/>
        <v/>
      </c>
      <c r="BM182" s="1" t="str">
        <f t="shared" si="223"/>
        <v/>
      </c>
      <c r="BN182" s="1" t="str">
        <f t="shared" si="224"/>
        <v/>
      </c>
      <c r="BO182" s="1" t="str">
        <f t="shared" si="225"/>
        <v/>
      </c>
      <c r="BQ182" s="1" t="str">
        <f t="shared" si="63"/>
        <v/>
      </c>
      <c r="BR182" s="1" t="str">
        <f t="shared" si="64"/>
        <v/>
      </c>
      <c r="BS182" s="1" t="str">
        <f t="shared" si="65"/>
        <v/>
      </c>
      <c r="BT182" s="1" t="str">
        <f t="shared" si="66"/>
        <v/>
      </c>
      <c r="BU182" s="1" t="str">
        <f t="shared" si="67"/>
        <v/>
      </c>
      <c r="BV182" s="1" t="str">
        <f t="shared" si="68"/>
        <v/>
      </c>
      <c r="BW182" s="1" t="str">
        <f t="shared" si="69"/>
        <v/>
      </c>
      <c r="BX182" s="1" t="str">
        <f t="shared" si="70"/>
        <v/>
      </c>
      <c r="BY182" s="1" t="str">
        <f t="shared" si="226"/>
        <v/>
      </c>
      <c r="BZ182" s="1" t="str">
        <f t="shared" si="72"/>
        <v/>
      </c>
      <c r="CA182" s="1" t="str">
        <f t="shared" si="73"/>
        <v/>
      </c>
      <c r="CB182" s="1" t="str">
        <f t="shared" si="74"/>
        <v/>
      </c>
      <c r="CC182" s="1" t="str">
        <f t="shared" si="75"/>
        <v/>
      </c>
      <c r="CD182" s="1" t="str">
        <f t="shared" si="227"/>
        <v/>
      </c>
      <c r="CE182" s="1" t="str">
        <f t="shared" si="77"/>
        <v/>
      </c>
      <c r="CF182" s="1" t="str">
        <f t="shared" si="78"/>
        <v/>
      </c>
      <c r="CG182" s="1" t="str">
        <f t="shared" si="79"/>
        <v/>
      </c>
      <c r="CH182" s="1" t="str">
        <f t="shared" si="80"/>
        <v/>
      </c>
      <c r="CJ182" s="1" t="str">
        <f t="shared" si="81"/>
        <v/>
      </c>
      <c r="CK182" s="1" t="str">
        <f t="shared" si="82"/>
        <v/>
      </c>
      <c r="CL182" s="1" t="str">
        <f t="shared" si="83"/>
        <v/>
      </c>
      <c r="CM182" s="1" t="str">
        <f t="shared" si="84"/>
        <v/>
      </c>
      <c r="CN182" s="1" t="str">
        <f t="shared" si="85"/>
        <v/>
      </c>
      <c r="CO182" s="1" t="str">
        <f t="shared" si="86"/>
        <v/>
      </c>
      <c r="CP182" s="1" t="str">
        <f t="shared" si="87"/>
        <v/>
      </c>
      <c r="CR182" s="1" t="str">
        <f t="shared" si="88"/>
        <v/>
      </c>
      <c r="CS182" s="1" t="str">
        <f t="shared" si="89"/>
        <v/>
      </c>
      <c r="CT182" s="1" t="str">
        <f t="shared" si="90"/>
        <v/>
      </c>
      <c r="CU182" s="1" t="str">
        <f t="shared" si="91"/>
        <v/>
      </c>
      <c r="CV182" s="1" t="str">
        <f t="shared" si="92"/>
        <v/>
      </c>
      <c r="DC182" s="154" t="e">
        <f t="shared" si="93"/>
        <v>#VALUE!</v>
      </c>
      <c r="DD182" s="154" t="str">
        <f t="shared" si="94"/>
        <v/>
      </c>
      <c r="DE182" s="154" t="str">
        <f t="shared" si="95"/>
        <v/>
      </c>
      <c r="DF182" s="1" t="str">
        <f t="shared" si="96"/>
        <v/>
      </c>
      <c r="DG182" s="1" t="str">
        <f t="shared" si="97"/>
        <v/>
      </c>
      <c r="DH182" s="1" t="str">
        <f t="shared" si="98"/>
        <v/>
      </c>
      <c r="DI182" s="1" t="str">
        <f t="shared" si="228"/>
        <v/>
      </c>
      <c r="DJ182" s="1" t="str">
        <f t="shared" si="229"/>
        <v/>
      </c>
      <c r="DK182" s="1" t="str">
        <f t="shared" si="101"/>
        <v/>
      </c>
      <c r="DL182" s="1" t="str">
        <f t="shared" si="102"/>
        <v/>
      </c>
      <c r="DM182" s="1" t="str">
        <f t="shared" si="103"/>
        <v/>
      </c>
    </row>
    <row r="183" customHeight="1" spans="1:117">
      <c r="A183" s="152" t="str">
        <f t="shared" si="239"/>
        <v/>
      </c>
      <c r="C183" s="55" t="str">
        <f t="shared" si="5"/>
        <v/>
      </c>
      <c r="D183" s="150" t="str">
        <f t="shared" si="6"/>
        <v/>
      </c>
      <c r="E183" s="151" t="str">
        <f t="shared" si="180"/>
        <v/>
      </c>
      <c r="F183" s="151" t="str">
        <f t="shared" si="181"/>
        <v/>
      </c>
      <c r="G183" s="151" t="str">
        <f t="shared" si="182"/>
        <v/>
      </c>
      <c r="H183" s="151" t="str">
        <f t="shared" si="183"/>
        <v/>
      </c>
      <c r="I183" s="151" t="str">
        <f t="shared" si="184"/>
        <v/>
      </c>
      <c r="J183" s="171" t="str">
        <f t="shared" si="185"/>
        <v/>
      </c>
      <c r="K183" s="172" t="str">
        <f t="shared" si="240"/>
        <v/>
      </c>
      <c r="L183" s="172" t="str">
        <f t="shared" si="241"/>
        <v/>
      </c>
      <c r="M183" s="173" t="str">
        <f t="shared" si="242"/>
        <v/>
      </c>
      <c r="N183" s="54" t="str">
        <f t="shared" si="186"/>
        <v/>
      </c>
      <c r="O183" s="55" t="str">
        <f t="shared" si="187"/>
        <v/>
      </c>
      <c r="P183" s="55" t="str">
        <f t="shared" si="15"/>
        <v/>
      </c>
      <c r="Q183" s="56" t="str">
        <f t="shared" si="188"/>
        <v/>
      </c>
      <c r="R183" s="56" t="str">
        <f t="shared" si="189"/>
        <v/>
      </c>
      <c r="S183" s="56" t="str">
        <f t="shared" si="190"/>
        <v/>
      </c>
      <c r="T183" s="56" t="str">
        <f t="shared" si="191"/>
        <v/>
      </c>
      <c r="U183" s="180" t="str">
        <f t="shared" si="192"/>
        <v/>
      </c>
      <c r="V183" s="55" t="str">
        <f t="shared" si="193"/>
        <v/>
      </c>
      <c r="W183" s="55" t="str">
        <f t="shared" si="194"/>
        <v/>
      </c>
      <c r="X183" s="56" t="str">
        <f t="shared" si="195"/>
        <v/>
      </c>
      <c r="Y183" s="180" t="str">
        <f t="shared" si="196"/>
        <v/>
      </c>
      <c r="Z183" s="55" t="str">
        <f t="shared" si="197"/>
        <v/>
      </c>
      <c r="AA183" s="55" t="str">
        <f t="shared" si="198"/>
        <v/>
      </c>
      <c r="AB183" s="150" t="str">
        <f t="shared" si="199"/>
        <v/>
      </c>
      <c r="AC183" s="188">
        <v>174</v>
      </c>
      <c r="AD183" s="1" t="b">
        <f t="shared" si="28"/>
        <v>0</v>
      </c>
      <c r="AE183" s="1" t="str">
        <f t="shared" si="29"/>
        <v/>
      </c>
      <c r="AF183" s="1" t="str">
        <f t="shared" si="30"/>
        <v/>
      </c>
      <c r="AG183" s="1" t="str">
        <f t="shared" si="31"/>
        <v/>
      </c>
      <c r="AH183" s="1" t="str">
        <f t="shared" si="200"/>
        <v/>
      </c>
      <c r="AI183" s="1" t="str">
        <f t="shared" si="33"/>
        <v/>
      </c>
      <c r="AJ183" s="191" t="str">
        <f t="shared" si="237"/>
        <v/>
      </c>
      <c r="AK183" s="191" t="str">
        <f t="shared" si="238"/>
        <v/>
      </c>
      <c r="AL183" s="191" t="str">
        <f t="shared" si="201"/>
        <v/>
      </c>
      <c r="AM183" s="1" t="str">
        <f t="shared" si="202"/>
        <v/>
      </c>
      <c r="AN183" s="191" t="str">
        <f t="shared" si="203"/>
        <v/>
      </c>
      <c r="AO183" s="134" t="str">
        <f t="shared" si="204"/>
        <v/>
      </c>
      <c r="AP183" s="64" t="str">
        <f t="shared" si="38"/>
        <v/>
      </c>
      <c r="AQ183" s="1" t="str">
        <f t="shared" si="230"/>
        <v/>
      </c>
      <c r="AR183" s="1" t="str">
        <f t="shared" si="205"/>
        <v/>
      </c>
      <c r="AS183" s="1" t="str">
        <f t="shared" si="206"/>
        <v/>
      </c>
      <c r="AT183" s="134" t="str">
        <f t="shared" si="207"/>
        <v/>
      </c>
      <c r="AU183" s="64" t="str">
        <f t="shared" si="208"/>
        <v/>
      </c>
      <c r="AV183" s="65" t="str">
        <f t="shared" si="209"/>
        <v/>
      </c>
      <c r="AW183" s="65" t="str">
        <f t="shared" si="210"/>
        <v/>
      </c>
      <c r="AX183" s="1" t="str">
        <f t="shared" si="211"/>
        <v/>
      </c>
      <c r="AY183" s="1" t="str">
        <f t="shared" si="212"/>
        <v/>
      </c>
      <c r="AZ183" s="131" t="str">
        <f t="shared" si="213"/>
        <v/>
      </c>
      <c r="BA183" s="1" t="str">
        <f t="shared" si="214"/>
        <v/>
      </c>
      <c r="BB183" s="1" t="str">
        <f t="shared" si="49"/>
        <v/>
      </c>
      <c r="BC183" s="1" t="str">
        <f t="shared" si="50"/>
        <v/>
      </c>
      <c r="BD183" s="1" t="str">
        <f t="shared" si="215"/>
        <v/>
      </c>
      <c r="BE183" s="1" t="str">
        <f t="shared" si="216"/>
        <v/>
      </c>
      <c r="BF183" s="1" t="str">
        <f t="shared" si="53"/>
        <v/>
      </c>
      <c r="BG183" s="1" t="str">
        <f t="shared" si="217"/>
        <v/>
      </c>
      <c r="BH183" s="1" t="str">
        <f t="shared" si="218"/>
        <v/>
      </c>
      <c r="BI183" s="1" t="str">
        <f t="shared" si="219"/>
        <v/>
      </c>
      <c r="BJ183" s="1" t="str">
        <f t="shared" si="220"/>
        <v/>
      </c>
      <c r="BK183" s="1" t="str">
        <f t="shared" si="221"/>
        <v/>
      </c>
      <c r="BL183" s="1" t="str">
        <f t="shared" si="222"/>
        <v/>
      </c>
      <c r="BM183" s="1" t="str">
        <f t="shared" si="223"/>
        <v/>
      </c>
      <c r="BN183" s="1" t="str">
        <f t="shared" si="224"/>
        <v/>
      </c>
      <c r="BO183" s="1" t="str">
        <f t="shared" si="225"/>
        <v/>
      </c>
      <c r="BQ183" s="1" t="str">
        <f t="shared" si="63"/>
        <v/>
      </c>
      <c r="BR183" s="1" t="str">
        <f t="shared" si="64"/>
        <v/>
      </c>
      <c r="BS183" s="1" t="str">
        <f t="shared" si="65"/>
        <v/>
      </c>
      <c r="BT183" s="1" t="str">
        <f t="shared" si="66"/>
        <v/>
      </c>
      <c r="BU183" s="1" t="str">
        <f t="shared" si="67"/>
        <v/>
      </c>
      <c r="BV183" s="1" t="str">
        <f t="shared" si="68"/>
        <v/>
      </c>
      <c r="BW183" s="1" t="str">
        <f t="shared" si="69"/>
        <v/>
      </c>
      <c r="BX183" s="1" t="str">
        <f t="shared" si="70"/>
        <v/>
      </c>
      <c r="BY183" s="1" t="str">
        <f t="shared" si="226"/>
        <v/>
      </c>
      <c r="BZ183" s="1" t="str">
        <f t="shared" si="72"/>
        <v/>
      </c>
      <c r="CA183" s="1" t="str">
        <f t="shared" si="73"/>
        <v/>
      </c>
      <c r="CB183" s="1" t="str">
        <f t="shared" si="74"/>
        <v/>
      </c>
      <c r="CC183" s="1" t="str">
        <f t="shared" si="75"/>
        <v/>
      </c>
      <c r="CD183" s="1" t="str">
        <f t="shared" si="227"/>
        <v/>
      </c>
      <c r="CE183" s="1" t="str">
        <f t="shared" si="77"/>
        <v/>
      </c>
      <c r="CF183" s="1" t="str">
        <f t="shared" si="78"/>
        <v/>
      </c>
      <c r="CG183" s="1" t="str">
        <f t="shared" si="79"/>
        <v/>
      </c>
      <c r="CH183" s="1" t="str">
        <f t="shared" si="80"/>
        <v/>
      </c>
      <c r="CJ183" s="1" t="str">
        <f t="shared" si="81"/>
        <v/>
      </c>
      <c r="CK183" s="1" t="str">
        <f t="shared" si="82"/>
        <v/>
      </c>
      <c r="CL183" s="1" t="str">
        <f t="shared" si="83"/>
        <v/>
      </c>
      <c r="CM183" s="1" t="str">
        <f t="shared" si="84"/>
        <v/>
      </c>
      <c r="CN183" s="1" t="str">
        <f t="shared" si="85"/>
        <v/>
      </c>
      <c r="CO183" s="1" t="str">
        <f t="shared" si="86"/>
        <v/>
      </c>
      <c r="CP183" s="1" t="str">
        <f t="shared" si="87"/>
        <v/>
      </c>
      <c r="CR183" s="1" t="str">
        <f t="shared" si="88"/>
        <v/>
      </c>
      <c r="CS183" s="1" t="str">
        <f t="shared" si="89"/>
        <v/>
      </c>
      <c r="CT183" s="1" t="str">
        <f t="shared" si="90"/>
        <v/>
      </c>
      <c r="CU183" s="1" t="str">
        <f t="shared" si="91"/>
        <v/>
      </c>
      <c r="CV183" s="1" t="str">
        <f t="shared" si="92"/>
        <v/>
      </c>
      <c r="DC183" s="154" t="e">
        <f t="shared" si="93"/>
        <v>#VALUE!</v>
      </c>
      <c r="DD183" s="154" t="str">
        <f t="shared" si="94"/>
        <v/>
      </c>
      <c r="DE183" s="154" t="str">
        <f t="shared" si="95"/>
        <v/>
      </c>
      <c r="DF183" s="1" t="str">
        <f t="shared" si="96"/>
        <v/>
      </c>
      <c r="DG183" s="1" t="str">
        <f t="shared" si="97"/>
        <v/>
      </c>
      <c r="DH183" s="1" t="str">
        <f t="shared" si="98"/>
        <v/>
      </c>
      <c r="DI183" s="1" t="str">
        <f t="shared" si="228"/>
        <v/>
      </c>
      <c r="DJ183" s="1" t="str">
        <f t="shared" si="229"/>
        <v/>
      </c>
      <c r="DK183" s="1" t="str">
        <f t="shared" si="101"/>
        <v/>
      </c>
      <c r="DL183" s="1" t="str">
        <f t="shared" si="102"/>
        <v/>
      </c>
      <c r="DM183" s="1" t="str">
        <f t="shared" si="103"/>
        <v/>
      </c>
    </row>
    <row r="184" customHeight="1" spans="1:117">
      <c r="A184" s="152" t="str">
        <f t="shared" si="239"/>
        <v/>
      </c>
      <c r="C184" s="55" t="str">
        <f t="shared" si="5"/>
        <v/>
      </c>
      <c r="D184" s="150" t="str">
        <f t="shared" si="6"/>
        <v/>
      </c>
      <c r="E184" s="151" t="str">
        <f t="shared" si="180"/>
        <v/>
      </c>
      <c r="F184" s="151" t="str">
        <f t="shared" si="181"/>
        <v/>
      </c>
      <c r="G184" s="151" t="str">
        <f t="shared" si="182"/>
        <v/>
      </c>
      <c r="H184" s="151" t="str">
        <f t="shared" si="183"/>
        <v/>
      </c>
      <c r="I184" s="151" t="str">
        <f t="shared" si="184"/>
        <v/>
      </c>
      <c r="J184" s="171" t="str">
        <f t="shared" si="185"/>
        <v/>
      </c>
      <c r="K184" s="172" t="str">
        <f t="shared" si="240"/>
        <v/>
      </c>
      <c r="L184" s="172" t="str">
        <f t="shared" si="241"/>
        <v/>
      </c>
      <c r="M184" s="173" t="str">
        <f t="shared" si="242"/>
        <v/>
      </c>
      <c r="N184" s="54" t="str">
        <f t="shared" si="186"/>
        <v/>
      </c>
      <c r="O184" s="55" t="str">
        <f t="shared" si="187"/>
        <v/>
      </c>
      <c r="P184" s="55" t="str">
        <f t="shared" si="15"/>
        <v/>
      </c>
      <c r="Q184" s="56" t="str">
        <f t="shared" si="188"/>
        <v/>
      </c>
      <c r="R184" s="56" t="str">
        <f t="shared" si="189"/>
        <v/>
      </c>
      <c r="S184" s="56" t="str">
        <f t="shared" si="190"/>
        <v/>
      </c>
      <c r="T184" s="56" t="str">
        <f t="shared" si="191"/>
        <v/>
      </c>
      <c r="U184" s="180" t="str">
        <f t="shared" si="192"/>
        <v/>
      </c>
      <c r="V184" s="55" t="str">
        <f t="shared" si="193"/>
        <v/>
      </c>
      <c r="W184" s="55" t="str">
        <f t="shared" si="194"/>
        <v/>
      </c>
      <c r="X184" s="56" t="str">
        <f t="shared" si="195"/>
        <v/>
      </c>
      <c r="Y184" s="180" t="str">
        <f t="shared" si="196"/>
        <v/>
      </c>
      <c r="Z184" s="55" t="str">
        <f t="shared" si="197"/>
        <v/>
      </c>
      <c r="AA184" s="55" t="str">
        <f t="shared" si="198"/>
        <v/>
      </c>
      <c r="AB184" s="150" t="str">
        <f t="shared" si="199"/>
        <v/>
      </c>
      <c r="AC184" s="188">
        <v>175</v>
      </c>
      <c r="AD184" s="1" t="b">
        <f t="shared" si="28"/>
        <v>0</v>
      </c>
      <c r="AE184" s="1" t="str">
        <f t="shared" si="29"/>
        <v/>
      </c>
      <c r="AF184" s="1" t="str">
        <f t="shared" si="30"/>
        <v/>
      </c>
      <c r="AG184" s="1" t="str">
        <f t="shared" si="31"/>
        <v/>
      </c>
      <c r="AH184" s="1" t="str">
        <f t="shared" si="200"/>
        <v/>
      </c>
      <c r="AI184" s="1" t="str">
        <f t="shared" si="33"/>
        <v/>
      </c>
      <c r="AJ184" s="191" t="str">
        <f t="shared" si="237"/>
        <v/>
      </c>
      <c r="AK184" s="191" t="str">
        <f t="shared" si="238"/>
        <v/>
      </c>
      <c r="AL184" s="191" t="str">
        <f t="shared" si="201"/>
        <v/>
      </c>
      <c r="AM184" s="1" t="str">
        <f t="shared" si="202"/>
        <v/>
      </c>
      <c r="AN184" s="191" t="str">
        <f t="shared" si="203"/>
        <v/>
      </c>
      <c r="AO184" s="134" t="str">
        <f t="shared" si="204"/>
        <v/>
      </c>
      <c r="AP184" s="64" t="str">
        <f t="shared" si="38"/>
        <v/>
      </c>
      <c r="AQ184" s="1" t="str">
        <f t="shared" si="230"/>
        <v/>
      </c>
      <c r="AR184" s="1" t="str">
        <f t="shared" si="205"/>
        <v/>
      </c>
      <c r="AS184" s="1" t="str">
        <f t="shared" si="206"/>
        <v/>
      </c>
      <c r="AT184" s="134" t="str">
        <f t="shared" si="207"/>
        <v/>
      </c>
      <c r="AU184" s="64" t="str">
        <f t="shared" si="208"/>
        <v/>
      </c>
      <c r="AV184" s="65" t="str">
        <f t="shared" si="209"/>
        <v/>
      </c>
      <c r="AW184" s="65" t="str">
        <f t="shared" si="210"/>
        <v/>
      </c>
      <c r="AX184" s="1" t="str">
        <f t="shared" si="211"/>
        <v/>
      </c>
      <c r="AY184" s="1" t="str">
        <f t="shared" si="212"/>
        <v/>
      </c>
      <c r="AZ184" s="131" t="str">
        <f t="shared" si="213"/>
        <v/>
      </c>
      <c r="BA184" s="1" t="str">
        <f t="shared" si="214"/>
        <v/>
      </c>
      <c r="BB184" s="1" t="str">
        <f t="shared" si="49"/>
        <v/>
      </c>
      <c r="BC184" s="1" t="str">
        <f t="shared" si="50"/>
        <v/>
      </c>
      <c r="BD184" s="1" t="str">
        <f t="shared" si="215"/>
        <v/>
      </c>
      <c r="BE184" s="1" t="str">
        <f t="shared" si="216"/>
        <v/>
      </c>
      <c r="BF184" s="1" t="str">
        <f t="shared" si="53"/>
        <v/>
      </c>
      <c r="BG184" s="1" t="str">
        <f t="shared" si="217"/>
        <v/>
      </c>
      <c r="BH184" s="1" t="str">
        <f t="shared" si="218"/>
        <v/>
      </c>
      <c r="BI184" s="1" t="str">
        <f t="shared" si="219"/>
        <v/>
      </c>
      <c r="BJ184" s="1" t="str">
        <f t="shared" si="220"/>
        <v/>
      </c>
      <c r="BK184" s="1" t="str">
        <f t="shared" si="221"/>
        <v/>
      </c>
      <c r="BL184" s="1" t="str">
        <f t="shared" si="222"/>
        <v/>
      </c>
      <c r="BM184" s="1" t="str">
        <f t="shared" si="223"/>
        <v/>
      </c>
      <c r="BN184" s="1" t="str">
        <f t="shared" si="224"/>
        <v/>
      </c>
      <c r="BO184" s="1" t="str">
        <f t="shared" si="225"/>
        <v/>
      </c>
      <c r="BQ184" s="1" t="str">
        <f t="shared" si="63"/>
        <v/>
      </c>
      <c r="BR184" s="1" t="str">
        <f t="shared" si="64"/>
        <v/>
      </c>
      <c r="BS184" s="1" t="str">
        <f t="shared" si="65"/>
        <v/>
      </c>
      <c r="BT184" s="1" t="str">
        <f t="shared" si="66"/>
        <v/>
      </c>
      <c r="BU184" s="1" t="str">
        <f t="shared" si="67"/>
        <v/>
      </c>
      <c r="BV184" s="1" t="str">
        <f t="shared" si="68"/>
        <v/>
      </c>
      <c r="BW184" s="1" t="str">
        <f t="shared" si="69"/>
        <v/>
      </c>
      <c r="BX184" s="1" t="str">
        <f t="shared" si="70"/>
        <v/>
      </c>
      <c r="BY184" s="1" t="str">
        <f t="shared" si="226"/>
        <v/>
      </c>
      <c r="BZ184" s="1" t="str">
        <f t="shared" si="72"/>
        <v/>
      </c>
      <c r="CA184" s="1" t="str">
        <f t="shared" si="73"/>
        <v/>
      </c>
      <c r="CB184" s="1" t="str">
        <f t="shared" si="74"/>
        <v/>
      </c>
      <c r="CC184" s="1" t="str">
        <f t="shared" si="75"/>
        <v/>
      </c>
      <c r="CD184" s="1" t="str">
        <f t="shared" si="227"/>
        <v/>
      </c>
      <c r="CE184" s="1" t="str">
        <f t="shared" si="77"/>
        <v/>
      </c>
      <c r="CF184" s="1" t="str">
        <f t="shared" si="78"/>
        <v/>
      </c>
      <c r="CG184" s="1" t="str">
        <f t="shared" si="79"/>
        <v/>
      </c>
      <c r="CH184" s="1" t="str">
        <f t="shared" si="80"/>
        <v/>
      </c>
      <c r="CJ184" s="1" t="str">
        <f t="shared" si="81"/>
        <v/>
      </c>
      <c r="CK184" s="1" t="str">
        <f t="shared" si="82"/>
        <v/>
      </c>
      <c r="CL184" s="1" t="str">
        <f t="shared" si="83"/>
        <v/>
      </c>
      <c r="CM184" s="1" t="str">
        <f t="shared" si="84"/>
        <v/>
      </c>
      <c r="CN184" s="1" t="str">
        <f t="shared" si="85"/>
        <v/>
      </c>
      <c r="CO184" s="1" t="str">
        <f t="shared" si="86"/>
        <v/>
      </c>
      <c r="CP184" s="1" t="str">
        <f t="shared" si="87"/>
        <v/>
      </c>
      <c r="CR184" s="1" t="str">
        <f t="shared" si="88"/>
        <v/>
      </c>
      <c r="CS184" s="1" t="str">
        <f t="shared" si="89"/>
        <v/>
      </c>
      <c r="CT184" s="1" t="str">
        <f t="shared" si="90"/>
        <v/>
      </c>
      <c r="CU184" s="1" t="str">
        <f t="shared" si="91"/>
        <v/>
      </c>
      <c r="CV184" s="1" t="str">
        <f t="shared" si="92"/>
        <v/>
      </c>
      <c r="DC184" s="154" t="e">
        <f t="shared" si="93"/>
        <v>#VALUE!</v>
      </c>
      <c r="DD184" s="154" t="str">
        <f t="shared" si="94"/>
        <v/>
      </c>
      <c r="DE184" s="154" t="str">
        <f t="shared" si="95"/>
        <v/>
      </c>
      <c r="DF184" s="1" t="str">
        <f t="shared" si="96"/>
        <v/>
      </c>
      <c r="DG184" s="1" t="str">
        <f t="shared" si="97"/>
        <v/>
      </c>
      <c r="DH184" s="1" t="str">
        <f t="shared" si="98"/>
        <v/>
      </c>
      <c r="DI184" s="1" t="str">
        <f t="shared" si="228"/>
        <v/>
      </c>
      <c r="DJ184" s="1" t="str">
        <f t="shared" si="229"/>
        <v/>
      </c>
      <c r="DK184" s="1" t="str">
        <f t="shared" si="101"/>
        <v/>
      </c>
      <c r="DL184" s="1" t="str">
        <f t="shared" si="102"/>
        <v/>
      </c>
      <c r="DM184" s="1" t="str">
        <f t="shared" si="103"/>
        <v/>
      </c>
    </row>
    <row r="185" customHeight="1" spans="1:117">
      <c r="A185" s="152" t="str">
        <f t="shared" si="239"/>
        <v/>
      </c>
      <c r="C185" s="55" t="str">
        <f t="shared" si="5"/>
        <v/>
      </c>
      <c r="D185" s="150" t="str">
        <f t="shared" si="6"/>
        <v/>
      </c>
      <c r="E185" s="151" t="str">
        <f t="shared" si="180"/>
        <v/>
      </c>
      <c r="F185" s="151" t="str">
        <f t="shared" si="181"/>
        <v/>
      </c>
      <c r="G185" s="151" t="str">
        <f t="shared" si="182"/>
        <v/>
      </c>
      <c r="H185" s="151" t="str">
        <f t="shared" si="183"/>
        <v/>
      </c>
      <c r="I185" s="151" t="str">
        <f t="shared" si="184"/>
        <v/>
      </c>
      <c r="J185" s="171" t="str">
        <f t="shared" si="185"/>
        <v/>
      </c>
      <c r="K185" s="172" t="str">
        <f t="shared" si="240"/>
        <v/>
      </c>
      <c r="L185" s="172" t="str">
        <f t="shared" si="241"/>
        <v/>
      </c>
      <c r="M185" s="173" t="str">
        <f t="shared" si="242"/>
        <v/>
      </c>
      <c r="N185" s="54" t="str">
        <f t="shared" si="186"/>
        <v/>
      </c>
      <c r="O185" s="55" t="str">
        <f t="shared" si="187"/>
        <v/>
      </c>
      <c r="P185" s="55" t="str">
        <f t="shared" si="15"/>
        <v/>
      </c>
      <c r="Q185" s="56" t="str">
        <f t="shared" si="188"/>
        <v/>
      </c>
      <c r="R185" s="56" t="str">
        <f t="shared" si="189"/>
        <v/>
      </c>
      <c r="S185" s="56" t="str">
        <f t="shared" si="190"/>
        <v/>
      </c>
      <c r="T185" s="56" t="str">
        <f t="shared" si="191"/>
        <v/>
      </c>
      <c r="U185" s="180" t="str">
        <f t="shared" si="192"/>
        <v/>
      </c>
      <c r="V185" s="55" t="str">
        <f t="shared" si="193"/>
        <v/>
      </c>
      <c r="W185" s="55" t="str">
        <f t="shared" si="194"/>
        <v/>
      </c>
      <c r="X185" s="56" t="str">
        <f t="shared" si="195"/>
        <v/>
      </c>
      <c r="Y185" s="180" t="str">
        <f t="shared" si="196"/>
        <v/>
      </c>
      <c r="Z185" s="55" t="str">
        <f t="shared" si="197"/>
        <v/>
      </c>
      <c r="AA185" s="55" t="str">
        <f t="shared" si="198"/>
        <v/>
      </c>
      <c r="AB185" s="150" t="str">
        <f t="shared" si="199"/>
        <v/>
      </c>
      <c r="AC185" s="188">
        <v>176</v>
      </c>
      <c r="AD185" s="1" t="b">
        <f t="shared" si="28"/>
        <v>0</v>
      </c>
      <c r="AE185" s="1" t="str">
        <f t="shared" si="29"/>
        <v/>
      </c>
      <c r="AF185" s="1" t="str">
        <f t="shared" si="30"/>
        <v/>
      </c>
      <c r="AG185" s="1" t="str">
        <f t="shared" si="31"/>
        <v/>
      </c>
      <c r="AH185" s="1" t="str">
        <f t="shared" si="200"/>
        <v/>
      </c>
      <c r="AI185" s="1" t="str">
        <f t="shared" si="33"/>
        <v/>
      </c>
      <c r="AJ185" s="191" t="str">
        <f t="shared" si="237"/>
        <v/>
      </c>
      <c r="AK185" s="191" t="str">
        <f t="shared" si="238"/>
        <v/>
      </c>
      <c r="AL185" s="191" t="str">
        <f t="shared" si="201"/>
        <v/>
      </c>
      <c r="AM185" s="1" t="str">
        <f t="shared" si="202"/>
        <v/>
      </c>
      <c r="AN185" s="191" t="str">
        <f t="shared" si="203"/>
        <v/>
      </c>
      <c r="AO185" s="134" t="str">
        <f t="shared" si="204"/>
        <v/>
      </c>
      <c r="AP185" s="64" t="str">
        <f t="shared" si="38"/>
        <v/>
      </c>
      <c r="AQ185" s="1" t="str">
        <f t="shared" si="230"/>
        <v/>
      </c>
      <c r="AR185" s="1" t="str">
        <f t="shared" si="205"/>
        <v/>
      </c>
      <c r="AS185" s="1" t="str">
        <f t="shared" si="206"/>
        <v/>
      </c>
      <c r="AT185" s="134" t="str">
        <f t="shared" si="207"/>
        <v/>
      </c>
      <c r="AU185" s="64" t="str">
        <f t="shared" si="208"/>
        <v/>
      </c>
      <c r="AV185" s="65" t="str">
        <f t="shared" si="209"/>
        <v/>
      </c>
      <c r="AW185" s="65" t="str">
        <f t="shared" si="210"/>
        <v/>
      </c>
      <c r="AX185" s="1" t="str">
        <f t="shared" si="211"/>
        <v/>
      </c>
      <c r="AY185" s="1" t="str">
        <f t="shared" si="212"/>
        <v/>
      </c>
      <c r="AZ185" s="131" t="str">
        <f t="shared" si="213"/>
        <v/>
      </c>
      <c r="BA185" s="1" t="str">
        <f t="shared" si="214"/>
        <v/>
      </c>
      <c r="BB185" s="1" t="str">
        <f t="shared" si="49"/>
        <v/>
      </c>
      <c r="BC185" s="1" t="str">
        <f t="shared" si="50"/>
        <v/>
      </c>
      <c r="BD185" s="1" t="str">
        <f t="shared" si="215"/>
        <v/>
      </c>
      <c r="BE185" s="1" t="str">
        <f t="shared" si="216"/>
        <v/>
      </c>
      <c r="BF185" s="1" t="str">
        <f t="shared" si="53"/>
        <v/>
      </c>
      <c r="BG185" s="1" t="str">
        <f t="shared" si="217"/>
        <v/>
      </c>
      <c r="BH185" s="1" t="str">
        <f t="shared" si="218"/>
        <v/>
      </c>
      <c r="BI185" s="1" t="str">
        <f t="shared" si="219"/>
        <v/>
      </c>
      <c r="BJ185" s="1" t="str">
        <f t="shared" si="220"/>
        <v/>
      </c>
      <c r="BK185" s="1" t="str">
        <f t="shared" si="221"/>
        <v/>
      </c>
      <c r="BL185" s="1" t="str">
        <f t="shared" si="222"/>
        <v/>
      </c>
      <c r="BM185" s="1" t="str">
        <f t="shared" si="223"/>
        <v/>
      </c>
      <c r="BN185" s="1" t="str">
        <f t="shared" si="224"/>
        <v/>
      </c>
      <c r="BO185" s="1" t="str">
        <f t="shared" si="225"/>
        <v/>
      </c>
      <c r="BQ185" s="1" t="str">
        <f t="shared" si="63"/>
        <v/>
      </c>
      <c r="BR185" s="1" t="str">
        <f t="shared" si="64"/>
        <v/>
      </c>
      <c r="BS185" s="1" t="str">
        <f t="shared" si="65"/>
        <v/>
      </c>
      <c r="BT185" s="1" t="str">
        <f t="shared" si="66"/>
        <v/>
      </c>
      <c r="BU185" s="1" t="str">
        <f t="shared" si="67"/>
        <v/>
      </c>
      <c r="BV185" s="1" t="str">
        <f t="shared" si="68"/>
        <v/>
      </c>
      <c r="BW185" s="1" t="str">
        <f t="shared" si="69"/>
        <v/>
      </c>
      <c r="BX185" s="1" t="str">
        <f t="shared" si="70"/>
        <v/>
      </c>
      <c r="BY185" s="1" t="str">
        <f t="shared" si="226"/>
        <v/>
      </c>
      <c r="BZ185" s="1" t="str">
        <f t="shared" si="72"/>
        <v/>
      </c>
      <c r="CA185" s="1" t="str">
        <f t="shared" si="73"/>
        <v/>
      </c>
      <c r="CB185" s="1" t="str">
        <f t="shared" si="74"/>
        <v/>
      </c>
      <c r="CC185" s="1" t="str">
        <f t="shared" si="75"/>
        <v/>
      </c>
      <c r="CD185" s="1" t="str">
        <f t="shared" si="227"/>
        <v/>
      </c>
      <c r="CE185" s="1" t="str">
        <f t="shared" si="77"/>
        <v/>
      </c>
      <c r="CF185" s="1" t="str">
        <f t="shared" si="78"/>
        <v/>
      </c>
      <c r="CG185" s="1" t="str">
        <f t="shared" si="79"/>
        <v/>
      </c>
      <c r="CH185" s="1" t="str">
        <f t="shared" si="80"/>
        <v/>
      </c>
      <c r="CJ185" s="1" t="str">
        <f t="shared" si="81"/>
        <v/>
      </c>
      <c r="CK185" s="1" t="str">
        <f t="shared" si="82"/>
        <v/>
      </c>
      <c r="CL185" s="1" t="str">
        <f t="shared" si="83"/>
        <v/>
      </c>
      <c r="CM185" s="1" t="str">
        <f t="shared" si="84"/>
        <v/>
      </c>
      <c r="CN185" s="1" t="str">
        <f t="shared" si="85"/>
        <v/>
      </c>
      <c r="CO185" s="1" t="str">
        <f t="shared" si="86"/>
        <v/>
      </c>
      <c r="CP185" s="1" t="str">
        <f t="shared" si="87"/>
        <v/>
      </c>
      <c r="CR185" s="1" t="str">
        <f t="shared" si="88"/>
        <v/>
      </c>
      <c r="CS185" s="1" t="str">
        <f t="shared" si="89"/>
        <v/>
      </c>
      <c r="CT185" s="1" t="str">
        <f t="shared" si="90"/>
        <v/>
      </c>
      <c r="CU185" s="1" t="str">
        <f t="shared" si="91"/>
        <v/>
      </c>
      <c r="CV185" s="1" t="str">
        <f t="shared" si="92"/>
        <v/>
      </c>
      <c r="DC185" s="154" t="e">
        <f t="shared" si="93"/>
        <v>#VALUE!</v>
      </c>
      <c r="DD185" s="154" t="str">
        <f t="shared" si="94"/>
        <v/>
      </c>
      <c r="DE185" s="154" t="str">
        <f t="shared" si="95"/>
        <v/>
      </c>
      <c r="DF185" s="1" t="str">
        <f t="shared" si="96"/>
        <v/>
      </c>
      <c r="DG185" s="1" t="str">
        <f t="shared" si="97"/>
        <v/>
      </c>
      <c r="DH185" s="1" t="str">
        <f t="shared" si="98"/>
        <v/>
      </c>
      <c r="DI185" s="1" t="str">
        <f t="shared" si="228"/>
        <v/>
      </c>
      <c r="DJ185" s="1" t="str">
        <f t="shared" si="229"/>
        <v/>
      </c>
      <c r="DK185" s="1" t="str">
        <f t="shared" si="101"/>
        <v/>
      </c>
      <c r="DL185" s="1" t="str">
        <f t="shared" si="102"/>
        <v/>
      </c>
      <c r="DM185" s="1" t="str">
        <f t="shared" si="103"/>
        <v/>
      </c>
    </row>
    <row r="186" customHeight="1" spans="1:117">
      <c r="A186" s="152" t="str">
        <f t="shared" si="239"/>
        <v/>
      </c>
      <c r="C186" s="55" t="str">
        <f t="shared" si="5"/>
        <v/>
      </c>
      <c r="D186" s="150" t="str">
        <f t="shared" si="6"/>
        <v/>
      </c>
      <c r="E186" s="151" t="str">
        <f t="shared" si="180"/>
        <v/>
      </c>
      <c r="F186" s="151" t="str">
        <f t="shared" si="181"/>
        <v/>
      </c>
      <c r="G186" s="151" t="str">
        <f t="shared" si="182"/>
        <v/>
      </c>
      <c r="H186" s="151" t="str">
        <f t="shared" si="183"/>
        <v/>
      </c>
      <c r="I186" s="151" t="str">
        <f t="shared" si="184"/>
        <v/>
      </c>
      <c r="J186" s="171" t="str">
        <f t="shared" si="185"/>
        <v/>
      </c>
      <c r="K186" s="172" t="str">
        <f t="shared" si="240"/>
        <v/>
      </c>
      <c r="L186" s="172" t="str">
        <f t="shared" si="241"/>
        <v/>
      </c>
      <c r="M186" s="173" t="str">
        <f t="shared" si="242"/>
        <v/>
      </c>
      <c r="N186" s="54" t="str">
        <f t="shared" si="186"/>
        <v/>
      </c>
      <c r="O186" s="55" t="str">
        <f t="shared" si="187"/>
        <v/>
      </c>
      <c r="P186" s="55" t="str">
        <f t="shared" si="15"/>
        <v/>
      </c>
      <c r="Q186" s="56" t="str">
        <f t="shared" si="188"/>
        <v/>
      </c>
      <c r="R186" s="56" t="str">
        <f t="shared" si="189"/>
        <v/>
      </c>
      <c r="S186" s="56" t="str">
        <f t="shared" si="190"/>
        <v/>
      </c>
      <c r="T186" s="56" t="str">
        <f t="shared" si="191"/>
        <v/>
      </c>
      <c r="U186" s="180" t="str">
        <f t="shared" si="192"/>
        <v/>
      </c>
      <c r="V186" s="55" t="str">
        <f t="shared" si="193"/>
        <v/>
      </c>
      <c r="W186" s="55" t="str">
        <f t="shared" si="194"/>
        <v/>
      </c>
      <c r="X186" s="56" t="str">
        <f t="shared" si="195"/>
        <v/>
      </c>
      <c r="Y186" s="180" t="str">
        <f t="shared" si="196"/>
        <v/>
      </c>
      <c r="Z186" s="55" t="str">
        <f t="shared" si="197"/>
        <v/>
      </c>
      <c r="AA186" s="55" t="str">
        <f t="shared" si="198"/>
        <v/>
      </c>
      <c r="AB186" s="150" t="str">
        <f t="shared" si="199"/>
        <v/>
      </c>
      <c r="AC186" s="188">
        <v>177</v>
      </c>
      <c r="AD186" s="1" t="b">
        <f t="shared" si="28"/>
        <v>0</v>
      </c>
      <c r="AE186" s="1" t="str">
        <f t="shared" si="29"/>
        <v/>
      </c>
      <c r="AF186" s="1" t="str">
        <f t="shared" si="30"/>
        <v/>
      </c>
      <c r="AG186" s="1" t="str">
        <f t="shared" si="31"/>
        <v/>
      </c>
      <c r="AH186" s="1" t="str">
        <f t="shared" si="200"/>
        <v/>
      </c>
      <c r="AI186" s="1" t="str">
        <f t="shared" si="33"/>
        <v/>
      </c>
      <c r="AJ186" s="191" t="str">
        <f t="shared" si="237"/>
        <v/>
      </c>
      <c r="AK186" s="191" t="str">
        <f t="shared" si="238"/>
        <v/>
      </c>
      <c r="AL186" s="191" t="str">
        <f t="shared" si="201"/>
        <v/>
      </c>
      <c r="AM186" s="1" t="str">
        <f t="shared" si="202"/>
        <v/>
      </c>
      <c r="AN186" s="191" t="str">
        <f t="shared" si="203"/>
        <v/>
      </c>
      <c r="AO186" s="134" t="str">
        <f t="shared" si="204"/>
        <v/>
      </c>
      <c r="AP186" s="64" t="str">
        <f t="shared" si="38"/>
        <v/>
      </c>
      <c r="AQ186" s="1" t="str">
        <f t="shared" si="230"/>
        <v/>
      </c>
      <c r="AR186" s="1" t="str">
        <f t="shared" si="205"/>
        <v/>
      </c>
      <c r="AS186" s="1" t="str">
        <f t="shared" si="206"/>
        <v/>
      </c>
      <c r="AT186" s="134" t="str">
        <f t="shared" si="207"/>
        <v/>
      </c>
      <c r="AU186" s="64" t="str">
        <f t="shared" si="208"/>
        <v/>
      </c>
      <c r="AV186" s="65" t="str">
        <f t="shared" si="209"/>
        <v/>
      </c>
      <c r="AW186" s="65" t="str">
        <f t="shared" si="210"/>
        <v/>
      </c>
      <c r="AX186" s="1" t="str">
        <f t="shared" si="211"/>
        <v/>
      </c>
      <c r="AY186" s="1" t="str">
        <f t="shared" si="212"/>
        <v/>
      </c>
      <c r="AZ186" s="131" t="str">
        <f t="shared" si="213"/>
        <v/>
      </c>
      <c r="BA186" s="1" t="str">
        <f t="shared" si="214"/>
        <v/>
      </c>
      <c r="BB186" s="1" t="str">
        <f t="shared" si="49"/>
        <v/>
      </c>
      <c r="BC186" s="1" t="str">
        <f t="shared" si="50"/>
        <v/>
      </c>
      <c r="BD186" s="1" t="str">
        <f t="shared" si="215"/>
        <v/>
      </c>
      <c r="BE186" s="1" t="str">
        <f t="shared" si="216"/>
        <v/>
      </c>
      <c r="BF186" s="1" t="str">
        <f t="shared" si="53"/>
        <v/>
      </c>
      <c r="BG186" s="1" t="str">
        <f t="shared" si="217"/>
        <v/>
      </c>
      <c r="BH186" s="1" t="str">
        <f t="shared" si="218"/>
        <v/>
      </c>
      <c r="BI186" s="1" t="str">
        <f t="shared" si="219"/>
        <v/>
      </c>
      <c r="BJ186" s="1" t="str">
        <f t="shared" si="220"/>
        <v/>
      </c>
      <c r="BK186" s="1" t="str">
        <f t="shared" si="221"/>
        <v/>
      </c>
      <c r="BL186" s="1" t="str">
        <f t="shared" si="222"/>
        <v/>
      </c>
      <c r="BM186" s="1" t="str">
        <f t="shared" si="223"/>
        <v/>
      </c>
      <c r="BN186" s="1" t="str">
        <f t="shared" si="224"/>
        <v/>
      </c>
      <c r="BO186" s="1" t="str">
        <f t="shared" si="225"/>
        <v/>
      </c>
      <c r="BQ186" s="1" t="str">
        <f t="shared" si="63"/>
        <v/>
      </c>
      <c r="BR186" s="1" t="str">
        <f t="shared" si="64"/>
        <v/>
      </c>
      <c r="BS186" s="1" t="str">
        <f t="shared" si="65"/>
        <v/>
      </c>
      <c r="BT186" s="1" t="str">
        <f t="shared" si="66"/>
        <v/>
      </c>
      <c r="BU186" s="1" t="str">
        <f t="shared" si="67"/>
        <v/>
      </c>
      <c r="BV186" s="1" t="str">
        <f t="shared" si="68"/>
        <v/>
      </c>
      <c r="BW186" s="1" t="str">
        <f t="shared" si="69"/>
        <v/>
      </c>
      <c r="BX186" s="1" t="str">
        <f t="shared" si="70"/>
        <v/>
      </c>
      <c r="BY186" s="1" t="str">
        <f t="shared" si="226"/>
        <v/>
      </c>
      <c r="BZ186" s="1" t="str">
        <f t="shared" si="72"/>
        <v/>
      </c>
      <c r="CA186" s="1" t="str">
        <f t="shared" si="73"/>
        <v/>
      </c>
      <c r="CB186" s="1" t="str">
        <f t="shared" si="74"/>
        <v/>
      </c>
      <c r="CC186" s="1" t="str">
        <f t="shared" si="75"/>
        <v/>
      </c>
      <c r="CD186" s="1" t="str">
        <f t="shared" si="227"/>
        <v/>
      </c>
      <c r="CE186" s="1" t="str">
        <f t="shared" si="77"/>
        <v/>
      </c>
      <c r="CF186" s="1" t="str">
        <f t="shared" si="78"/>
        <v/>
      </c>
      <c r="CG186" s="1" t="str">
        <f t="shared" si="79"/>
        <v/>
      </c>
      <c r="CH186" s="1" t="str">
        <f t="shared" si="80"/>
        <v/>
      </c>
      <c r="CJ186" s="1" t="str">
        <f t="shared" si="81"/>
        <v/>
      </c>
      <c r="CK186" s="1" t="str">
        <f t="shared" si="82"/>
        <v/>
      </c>
      <c r="CL186" s="1" t="str">
        <f t="shared" si="83"/>
        <v/>
      </c>
      <c r="CM186" s="1" t="str">
        <f t="shared" si="84"/>
        <v/>
      </c>
      <c r="CN186" s="1" t="str">
        <f t="shared" si="85"/>
        <v/>
      </c>
      <c r="CO186" s="1" t="str">
        <f t="shared" si="86"/>
        <v/>
      </c>
      <c r="CP186" s="1" t="str">
        <f t="shared" si="87"/>
        <v/>
      </c>
      <c r="CR186" s="1" t="str">
        <f t="shared" si="88"/>
        <v/>
      </c>
      <c r="CS186" s="1" t="str">
        <f t="shared" si="89"/>
        <v/>
      </c>
      <c r="CT186" s="1" t="str">
        <f t="shared" si="90"/>
        <v/>
      </c>
      <c r="CU186" s="1" t="str">
        <f t="shared" si="91"/>
        <v/>
      </c>
      <c r="CV186" s="1" t="str">
        <f t="shared" si="92"/>
        <v/>
      </c>
      <c r="DC186" s="154" t="e">
        <f t="shared" si="93"/>
        <v>#VALUE!</v>
      </c>
      <c r="DD186" s="154" t="str">
        <f t="shared" si="94"/>
        <v/>
      </c>
      <c r="DE186" s="154" t="str">
        <f t="shared" si="95"/>
        <v/>
      </c>
      <c r="DF186" s="1" t="str">
        <f t="shared" si="96"/>
        <v/>
      </c>
      <c r="DG186" s="1" t="str">
        <f t="shared" si="97"/>
        <v/>
      </c>
      <c r="DH186" s="1" t="str">
        <f t="shared" si="98"/>
        <v/>
      </c>
      <c r="DI186" s="1" t="str">
        <f t="shared" si="228"/>
        <v/>
      </c>
      <c r="DJ186" s="1" t="str">
        <f t="shared" si="229"/>
        <v/>
      </c>
      <c r="DK186" s="1" t="str">
        <f t="shared" si="101"/>
        <v/>
      </c>
      <c r="DL186" s="1" t="str">
        <f t="shared" si="102"/>
        <v/>
      </c>
      <c r="DM186" s="1" t="str">
        <f t="shared" si="103"/>
        <v/>
      </c>
    </row>
    <row r="187" customHeight="1" spans="1:117">
      <c r="A187" s="152" t="str">
        <f t="shared" si="239"/>
        <v/>
      </c>
      <c r="C187" s="55" t="str">
        <f t="shared" si="5"/>
        <v/>
      </c>
      <c r="D187" s="150" t="str">
        <f t="shared" si="6"/>
        <v/>
      </c>
      <c r="E187" s="151" t="str">
        <f t="shared" si="180"/>
        <v/>
      </c>
      <c r="F187" s="151" t="str">
        <f t="shared" si="181"/>
        <v/>
      </c>
      <c r="G187" s="151" t="str">
        <f t="shared" si="182"/>
        <v/>
      </c>
      <c r="H187" s="151" t="str">
        <f t="shared" si="183"/>
        <v/>
      </c>
      <c r="I187" s="151" t="str">
        <f t="shared" si="184"/>
        <v/>
      </c>
      <c r="J187" s="171" t="str">
        <f t="shared" si="185"/>
        <v/>
      </c>
      <c r="K187" s="172" t="str">
        <f t="shared" si="240"/>
        <v/>
      </c>
      <c r="L187" s="172" t="str">
        <f t="shared" si="241"/>
        <v/>
      </c>
      <c r="M187" s="173" t="str">
        <f t="shared" si="242"/>
        <v/>
      </c>
      <c r="N187" s="54" t="str">
        <f t="shared" si="186"/>
        <v/>
      </c>
      <c r="O187" s="55" t="str">
        <f t="shared" si="187"/>
        <v/>
      </c>
      <c r="P187" s="55" t="str">
        <f t="shared" si="15"/>
        <v/>
      </c>
      <c r="Q187" s="56" t="str">
        <f t="shared" si="188"/>
        <v/>
      </c>
      <c r="R187" s="56" t="str">
        <f t="shared" si="189"/>
        <v/>
      </c>
      <c r="S187" s="56" t="str">
        <f t="shared" si="190"/>
        <v/>
      </c>
      <c r="T187" s="56" t="str">
        <f t="shared" si="191"/>
        <v/>
      </c>
      <c r="U187" s="180" t="str">
        <f t="shared" si="192"/>
        <v/>
      </c>
      <c r="V187" s="55" t="str">
        <f t="shared" si="193"/>
        <v/>
      </c>
      <c r="W187" s="55" t="str">
        <f t="shared" si="194"/>
        <v/>
      </c>
      <c r="X187" s="56" t="str">
        <f t="shared" si="195"/>
        <v/>
      </c>
      <c r="Y187" s="180" t="str">
        <f t="shared" si="196"/>
        <v/>
      </c>
      <c r="Z187" s="55" t="str">
        <f t="shared" si="197"/>
        <v/>
      </c>
      <c r="AA187" s="55" t="str">
        <f t="shared" si="198"/>
        <v/>
      </c>
      <c r="AB187" s="150" t="str">
        <f t="shared" si="199"/>
        <v/>
      </c>
      <c r="AC187" s="188">
        <v>178</v>
      </c>
      <c r="AD187" s="1" t="b">
        <f t="shared" si="28"/>
        <v>0</v>
      </c>
      <c r="AE187" s="1" t="str">
        <f t="shared" si="29"/>
        <v/>
      </c>
      <c r="AF187" s="1" t="str">
        <f t="shared" si="30"/>
        <v/>
      </c>
      <c r="AG187" s="1" t="str">
        <f t="shared" si="31"/>
        <v/>
      </c>
      <c r="AH187" s="1" t="str">
        <f t="shared" si="200"/>
        <v/>
      </c>
      <c r="AI187" s="1" t="str">
        <f t="shared" si="33"/>
        <v/>
      </c>
      <c r="AJ187" s="191" t="str">
        <f t="shared" si="237"/>
        <v/>
      </c>
      <c r="AK187" s="191" t="str">
        <f t="shared" si="238"/>
        <v/>
      </c>
      <c r="AL187" s="191" t="str">
        <f t="shared" si="201"/>
        <v/>
      </c>
      <c r="AM187" s="1" t="str">
        <f t="shared" si="202"/>
        <v/>
      </c>
      <c r="AN187" s="191" t="str">
        <f t="shared" si="203"/>
        <v/>
      </c>
      <c r="AO187" s="134" t="str">
        <f t="shared" si="204"/>
        <v/>
      </c>
      <c r="AP187" s="64" t="str">
        <f t="shared" si="38"/>
        <v/>
      </c>
      <c r="AQ187" s="1" t="str">
        <f t="shared" si="230"/>
        <v/>
      </c>
      <c r="AR187" s="1" t="str">
        <f t="shared" si="205"/>
        <v/>
      </c>
      <c r="AS187" s="1" t="str">
        <f t="shared" si="206"/>
        <v/>
      </c>
      <c r="AT187" s="134" t="str">
        <f t="shared" si="207"/>
        <v/>
      </c>
      <c r="AU187" s="64" t="str">
        <f t="shared" si="208"/>
        <v/>
      </c>
      <c r="AV187" s="65" t="str">
        <f t="shared" si="209"/>
        <v/>
      </c>
      <c r="AW187" s="65" t="str">
        <f t="shared" si="210"/>
        <v/>
      </c>
      <c r="AX187" s="1" t="str">
        <f t="shared" si="211"/>
        <v/>
      </c>
      <c r="AY187" s="1" t="str">
        <f t="shared" si="212"/>
        <v/>
      </c>
      <c r="AZ187" s="131" t="str">
        <f t="shared" si="213"/>
        <v/>
      </c>
      <c r="BA187" s="1" t="str">
        <f t="shared" si="214"/>
        <v/>
      </c>
      <c r="BB187" s="1" t="str">
        <f t="shared" si="49"/>
        <v/>
      </c>
      <c r="BC187" s="1" t="str">
        <f t="shared" si="50"/>
        <v/>
      </c>
      <c r="BD187" s="1" t="str">
        <f t="shared" si="215"/>
        <v/>
      </c>
      <c r="BE187" s="1" t="str">
        <f t="shared" si="216"/>
        <v/>
      </c>
      <c r="BF187" s="1" t="str">
        <f t="shared" si="53"/>
        <v/>
      </c>
      <c r="BG187" s="1" t="str">
        <f t="shared" si="217"/>
        <v/>
      </c>
      <c r="BH187" s="1" t="str">
        <f t="shared" si="218"/>
        <v/>
      </c>
      <c r="BI187" s="1" t="str">
        <f t="shared" si="219"/>
        <v/>
      </c>
      <c r="BJ187" s="1" t="str">
        <f t="shared" si="220"/>
        <v/>
      </c>
      <c r="BK187" s="1" t="str">
        <f t="shared" si="221"/>
        <v/>
      </c>
      <c r="BL187" s="1" t="str">
        <f t="shared" si="222"/>
        <v/>
      </c>
      <c r="BM187" s="1" t="str">
        <f t="shared" si="223"/>
        <v/>
      </c>
      <c r="BN187" s="1" t="str">
        <f t="shared" si="224"/>
        <v/>
      </c>
      <c r="BO187" s="1" t="str">
        <f t="shared" si="225"/>
        <v/>
      </c>
      <c r="BQ187" s="1" t="str">
        <f t="shared" si="63"/>
        <v/>
      </c>
      <c r="BR187" s="1" t="str">
        <f t="shared" si="64"/>
        <v/>
      </c>
      <c r="BS187" s="1" t="str">
        <f t="shared" si="65"/>
        <v/>
      </c>
      <c r="BT187" s="1" t="str">
        <f t="shared" si="66"/>
        <v/>
      </c>
      <c r="BU187" s="1" t="str">
        <f t="shared" si="67"/>
        <v/>
      </c>
      <c r="BV187" s="1" t="str">
        <f t="shared" si="68"/>
        <v/>
      </c>
      <c r="BW187" s="1" t="str">
        <f t="shared" si="69"/>
        <v/>
      </c>
      <c r="BX187" s="1" t="str">
        <f t="shared" si="70"/>
        <v/>
      </c>
      <c r="BY187" s="1" t="str">
        <f t="shared" si="226"/>
        <v/>
      </c>
      <c r="BZ187" s="1" t="str">
        <f t="shared" si="72"/>
        <v/>
      </c>
      <c r="CA187" s="1" t="str">
        <f t="shared" si="73"/>
        <v/>
      </c>
      <c r="CB187" s="1" t="str">
        <f t="shared" si="74"/>
        <v/>
      </c>
      <c r="CC187" s="1" t="str">
        <f t="shared" si="75"/>
        <v/>
      </c>
      <c r="CD187" s="1" t="str">
        <f t="shared" si="227"/>
        <v/>
      </c>
      <c r="CE187" s="1" t="str">
        <f t="shared" si="77"/>
        <v/>
      </c>
      <c r="CF187" s="1" t="str">
        <f t="shared" si="78"/>
        <v/>
      </c>
      <c r="CG187" s="1" t="str">
        <f t="shared" si="79"/>
        <v/>
      </c>
      <c r="CH187" s="1" t="str">
        <f t="shared" si="80"/>
        <v/>
      </c>
      <c r="CJ187" s="1" t="str">
        <f t="shared" si="81"/>
        <v/>
      </c>
      <c r="CK187" s="1" t="str">
        <f t="shared" si="82"/>
        <v/>
      </c>
      <c r="CL187" s="1" t="str">
        <f t="shared" si="83"/>
        <v/>
      </c>
      <c r="CM187" s="1" t="str">
        <f t="shared" si="84"/>
        <v/>
      </c>
      <c r="CN187" s="1" t="str">
        <f t="shared" si="85"/>
        <v/>
      </c>
      <c r="CO187" s="1" t="str">
        <f t="shared" si="86"/>
        <v/>
      </c>
      <c r="CP187" s="1" t="str">
        <f t="shared" si="87"/>
        <v/>
      </c>
      <c r="CR187" s="1" t="str">
        <f t="shared" si="88"/>
        <v/>
      </c>
      <c r="CS187" s="1" t="str">
        <f t="shared" si="89"/>
        <v/>
      </c>
      <c r="CT187" s="1" t="str">
        <f t="shared" si="90"/>
        <v/>
      </c>
      <c r="CU187" s="1" t="str">
        <f t="shared" si="91"/>
        <v/>
      </c>
      <c r="CV187" s="1" t="str">
        <f t="shared" si="92"/>
        <v/>
      </c>
      <c r="DC187" s="154" t="e">
        <f t="shared" si="93"/>
        <v>#VALUE!</v>
      </c>
      <c r="DD187" s="154" t="str">
        <f t="shared" si="94"/>
        <v/>
      </c>
      <c r="DE187" s="154" t="str">
        <f t="shared" si="95"/>
        <v/>
      </c>
      <c r="DF187" s="1" t="str">
        <f t="shared" si="96"/>
        <v/>
      </c>
      <c r="DG187" s="1" t="str">
        <f t="shared" si="97"/>
        <v/>
      </c>
      <c r="DH187" s="1" t="str">
        <f t="shared" si="98"/>
        <v/>
      </c>
      <c r="DI187" s="1" t="str">
        <f t="shared" si="228"/>
        <v/>
      </c>
      <c r="DJ187" s="1" t="str">
        <f t="shared" si="229"/>
        <v/>
      </c>
      <c r="DK187" s="1" t="str">
        <f t="shared" si="101"/>
        <v/>
      </c>
      <c r="DL187" s="1" t="str">
        <f t="shared" si="102"/>
        <v/>
      </c>
      <c r="DM187" s="1" t="str">
        <f t="shared" si="103"/>
        <v/>
      </c>
    </row>
    <row r="188" customHeight="1" spans="1:117">
      <c r="A188" s="152" t="str">
        <f t="shared" si="239"/>
        <v/>
      </c>
      <c r="C188" s="55" t="str">
        <f t="shared" si="5"/>
        <v/>
      </c>
      <c r="D188" s="150" t="str">
        <f t="shared" si="6"/>
        <v/>
      </c>
      <c r="E188" s="151" t="str">
        <f t="shared" si="180"/>
        <v/>
      </c>
      <c r="F188" s="151" t="str">
        <f t="shared" si="181"/>
        <v/>
      </c>
      <c r="G188" s="151" t="str">
        <f t="shared" si="182"/>
        <v/>
      </c>
      <c r="H188" s="151" t="str">
        <f t="shared" si="183"/>
        <v/>
      </c>
      <c r="I188" s="151" t="str">
        <f t="shared" si="184"/>
        <v/>
      </c>
      <c r="J188" s="171" t="str">
        <f t="shared" si="185"/>
        <v/>
      </c>
      <c r="K188" s="172" t="str">
        <f t="shared" si="240"/>
        <v/>
      </c>
      <c r="L188" s="172" t="str">
        <f t="shared" si="241"/>
        <v/>
      </c>
      <c r="M188" s="173" t="str">
        <f t="shared" si="242"/>
        <v/>
      </c>
      <c r="N188" s="54" t="str">
        <f t="shared" si="186"/>
        <v/>
      </c>
      <c r="O188" s="55" t="str">
        <f t="shared" si="187"/>
        <v/>
      </c>
      <c r="P188" s="55" t="str">
        <f t="shared" si="15"/>
        <v/>
      </c>
      <c r="Q188" s="56" t="str">
        <f t="shared" si="188"/>
        <v/>
      </c>
      <c r="R188" s="56" t="str">
        <f t="shared" si="189"/>
        <v/>
      </c>
      <c r="S188" s="56" t="str">
        <f t="shared" si="190"/>
        <v/>
      </c>
      <c r="T188" s="56" t="str">
        <f t="shared" si="191"/>
        <v/>
      </c>
      <c r="U188" s="180" t="str">
        <f t="shared" si="192"/>
        <v/>
      </c>
      <c r="V188" s="55" t="str">
        <f t="shared" si="193"/>
        <v/>
      </c>
      <c r="W188" s="55" t="str">
        <f t="shared" si="194"/>
        <v/>
      </c>
      <c r="X188" s="56" t="str">
        <f t="shared" si="195"/>
        <v/>
      </c>
      <c r="Y188" s="180" t="str">
        <f t="shared" si="196"/>
        <v/>
      </c>
      <c r="Z188" s="55" t="str">
        <f t="shared" si="197"/>
        <v/>
      </c>
      <c r="AA188" s="55" t="str">
        <f t="shared" si="198"/>
        <v/>
      </c>
      <c r="AB188" s="150" t="str">
        <f t="shared" si="199"/>
        <v/>
      </c>
      <c r="AC188" s="188">
        <v>179</v>
      </c>
      <c r="AD188" s="1" t="b">
        <f t="shared" si="28"/>
        <v>0</v>
      </c>
      <c r="AE188" s="1" t="str">
        <f t="shared" si="29"/>
        <v/>
      </c>
      <c r="AF188" s="1" t="str">
        <f t="shared" si="30"/>
        <v/>
      </c>
      <c r="AG188" s="1" t="str">
        <f t="shared" si="31"/>
        <v/>
      </c>
      <c r="AH188" s="1" t="str">
        <f t="shared" si="200"/>
        <v/>
      </c>
      <c r="AI188" s="1" t="str">
        <f t="shared" si="33"/>
        <v/>
      </c>
      <c r="AJ188" s="191" t="str">
        <f t="shared" si="237"/>
        <v/>
      </c>
      <c r="AK188" s="191" t="str">
        <f t="shared" si="238"/>
        <v/>
      </c>
      <c r="AL188" s="191" t="str">
        <f t="shared" si="201"/>
        <v/>
      </c>
      <c r="AM188" s="1" t="str">
        <f t="shared" si="202"/>
        <v/>
      </c>
      <c r="AN188" s="191" t="str">
        <f t="shared" si="203"/>
        <v/>
      </c>
      <c r="AO188" s="134" t="str">
        <f t="shared" si="204"/>
        <v/>
      </c>
      <c r="AP188" s="64" t="str">
        <f t="shared" si="38"/>
        <v/>
      </c>
      <c r="AQ188" s="1" t="str">
        <f t="shared" si="230"/>
        <v/>
      </c>
      <c r="AR188" s="1" t="str">
        <f t="shared" si="205"/>
        <v/>
      </c>
      <c r="AS188" s="1" t="str">
        <f t="shared" si="206"/>
        <v/>
      </c>
      <c r="AT188" s="134" t="str">
        <f t="shared" si="207"/>
        <v/>
      </c>
      <c r="AU188" s="64" t="str">
        <f t="shared" si="208"/>
        <v/>
      </c>
      <c r="AV188" s="65" t="str">
        <f t="shared" si="209"/>
        <v/>
      </c>
      <c r="AW188" s="65" t="str">
        <f t="shared" si="210"/>
        <v/>
      </c>
      <c r="AX188" s="1" t="str">
        <f t="shared" si="211"/>
        <v/>
      </c>
      <c r="AY188" s="1" t="str">
        <f t="shared" si="212"/>
        <v/>
      </c>
      <c r="AZ188" s="131" t="str">
        <f t="shared" si="213"/>
        <v/>
      </c>
      <c r="BA188" s="1" t="str">
        <f t="shared" si="214"/>
        <v/>
      </c>
      <c r="BB188" s="1" t="str">
        <f t="shared" si="49"/>
        <v/>
      </c>
      <c r="BC188" s="1" t="str">
        <f t="shared" si="50"/>
        <v/>
      </c>
      <c r="BD188" s="1" t="str">
        <f t="shared" si="215"/>
        <v/>
      </c>
      <c r="BE188" s="1" t="str">
        <f t="shared" si="216"/>
        <v/>
      </c>
      <c r="BF188" s="1" t="str">
        <f t="shared" si="53"/>
        <v/>
      </c>
      <c r="BG188" s="1" t="str">
        <f t="shared" si="217"/>
        <v/>
      </c>
      <c r="BH188" s="1" t="str">
        <f t="shared" si="218"/>
        <v/>
      </c>
      <c r="BI188" s="1" t="str">
        <f t="shared" si="219"/>
        <v/>
      </c>
      <c r="BJ188" s="1" t="str">
        <f t="shared" si="220"/>
        <v/>
      </c>
      <c r="BK188" s="1" t="str">
        <f t="shared" si="221"/>
        <v/>
      </c>
      <c r="BL188" s="1" t="str">
        <f t="shared" si="222"/>
        <v/>
      </c>
      <c r="BM188" s="1" t="str">
        <f t="shared" si="223"/>
        <v/>
      </c>
      <c r="BN188" s="1" t="str">
        <f t="shared" si="224"/>
        <v/>
      </c>
      <c r="BO188" s="1" t="str">
        <f t="shared" si="225"/>
        <v/>
      </c>
      <c r="BQ188" s="1" t="str">
        <f t="shared" si="63"/>
        <v/>
      </c>
      <c r="BR188" s="1" t="str">
        <f t="shared" si="64"/>
        <v/>
      </c>
      <c r="BS188" s="1" t="str">
        <f t="shared" si="65"/>
        <v/>
      </c>
      <c r="BT188" s="1" t="str">
        <f t="shared" si="66"/>
        <v/>
      </c>
      <c r="BU188" s="1" t="str">
        <f t="shared" si="67"/>
        <v/>
      </c>
      <c r="BV188" s="1" t="str">
        <f t="shared" si="68"/>
        <v/>
      </c>
      <c r="BW188" s="1" t="str">
        <f t="shared" si="69"/>
        <v/>
      </c>
      <c r="BX188" s="1" t="str">
        <f t="shared" si="70"/>
        <v/>
      </c>
      <c r="BY188" s="1" t="str">
        <f t="shared" si="226"/>
        <v/>
      </c>
      <c r="BZ188" s="1" t="str">
        <f t="shared" si="72"/>
        <v/>
      </c>
      <c r="CA188" s="1" t="str">
        <f t="shared" si="73"/>
        <v/>
      </c>
      <c r="CB188" s="1" t="str">
        <f t="shared" si="74"/>
        <v/>
      </c>
      <c r="CC188" s="1" t="str">
        <f t="shared" si="75"/>
        <v/>
      </c>
      <c r="CD188" s="1" t="str">
        <f t="shared" si="227"/>
        <v/>
      </c>
      <c r="CE188" s="1" t="str">
        <f t="shared" si="77"/>
        <v/>
      </c>
      <c r="CF188" s="1" t="str">
        <f t="shared" si="78"/>
        <v/>
      </c>
      <c r="CG188" s="1" t="str">
        <f t="shared" si="79"/>
        <v/>
      </c>
      <c r="CH188" s="1" t="str">
        <f t="shared" si="80"/>
        <v/>
      </c>
      <c r="CJ188" s="1" t="str">
        <f t="shared" si="81"/>
        <v/>
      </c>
      <c r="CK188" s="1" t="str">
        <f t="shared" si="82"/>
        <v/>
      </c>
      <c r="CL188" s="1" t="str">
        <f t="shared" si="83"/>
        <v/>
      </c>
      <c r="CM188" s="1" t="str">
        <f t="shared" si="84"/>
        <v/>
      </c>
      <c r="CN188" s="1" t="str">
        <f t="shared" si="85"/>
        <v/>
      </c>
      <c r="CO188" s="1" t="str">
        <f t="shared" si="86"/>
        <v/>
      </c>
      <c r="CP188" s="1" t="str">
        <f t="shared" si="87"/>
        <v/>
      </c>
      <c r="CR188" s="1" t="str">
        <f t="shared" si="88"/>
        <v/>
      </c>
      <c r="CS188" s="1" t="str">
        <f t="shared" si="89"/>
        <v/>
      </c>
      <c r="CT188" s="1" t="str">
        <f t="shared" si="90"/>
        <v/>
      </c>
      <c r="CU188" s="1" t="str">
        <f t="shared" si="91"/>
        <v/>
      </c>
      <c r="CV188" s="1" t="str">
        <f t="shared" si="92"/>
        <v/>
      </c>
      <c r="DC188" s="154" t="e">
        <f t="shared" si="93"/>
        <v>#VALUE!</v>
      </c>
      <c r="DD188" s="154" t="str">
        <f t="shared" si="94"/>
        <v/>
      </c>
      <c r="DE188" s="154" t="str">
        <f t="shared" si="95"/>
        <v/>
      </c>
      <c r="DF188" s="1" t="str">
        <f t="shared" si="96"/>
        <v/>
      </c>
      <c r="DG188" s="1" t="str">
        <f t="shared" si="97"/>
        <v/>
      </c>
      <c r="DH188" s="1" t="str">
        <f t="shared" si="98"/>
        <v/>
      </c>
      <c r="DI188" s="1" t="str">
        <f t="shared" si="228"/>
        <v/>
      </c>
      <c r="DJ188" s="1" t="str">
        <f t="shared" si="229"/>
        <v/>
      </c>
      <c r="DK188" s="1" t="str">
        <f t="shared" si="101"/>
        <v/>
      </c>
      <c r="DL188" s="1" t="str">
        <f t="shared" si="102"/>
        <v/>
      </c>
      <c r="DM188" s="1" t="str">
        <f t="shared" si="103"/>
        <v/>
      </c>
    </row>
    <row r="189" customHeight="1" spans="1:117">
      <c r="A189" s="152" t="str">
        <f t="shared" si="239"/>
        <v/>
      </c>
      <c r="C189" s="55" t="str">
        <f t="shared" si="5"/>
        <v/>
      </c>
      <c r="D189" s="150" t="str">
        <f t="shared" si="6"/>
        <v/>
      </c>
      <c r="E189" s="151" t="str">
        <f t="shared" si="180"/>
        <v/>
      </c>
      <c r="F189" s="151" t="str">
        <f t="shared" si="181"/>
        <v/>
      </c>
      <c r="G189" s="151" t="str">
        <f t="shared" si="182"/>
        <v/>
      </c>
      <c r="H189" s="151" t="str">
        <f t="shared" si="183"/>
        <v/>
      </c>
      <c r="I189" s="151" t="str">
        <f t="shared" si="184"/>
        <v/>
      </c>
      <c r="J189" s="171" t="str">
        <f t="shared" si="185"/>
        <v/>
      </c>
      <c r="K189" s="172" t="str">
        <f t="shared" si="240"/>
        <v/>
      </c>
      <c r="L189" s="172" t="str">
        <f t="shared" si="241"/>
        <v/>
      </c>
      <c r="M189" s="173" t="str">
        <f t="shared" si="242"/>
        <v/>
      </c>
      <c r="N189" s="54" t="str">
        <f t="shared" si="186"/>
        <v/>
      </c>
      <c r="O189" s="55" t="str">
        <f t="shared" si="187"/>
        <v/>
      </c>
      <c r="P189" s="55" t="str">
        <f t="shared" si="15"/>
        <v/>
      </c>
      <c r="Q189" s="56" t="str">
        <f t="shared" si="188"/>
        <v/>
      </c>
      <c r="R189" s="56" t="str">
        <f t="shared" si="189"/>
        <v/>
      </c>
      <c r="S189" s="56" t="str">
        <f t="shared" si="190"/>
        <v/>
      </c>
      <c r="T189" s="56" t="str">
        <f t="shared" si="191"/>
        <v/>
      </c>
      <c r="U189" s="180" t="str">
        <f t="shared" si="192"/>
        <v/>
      </c>
      <c r="V189" s="55" t="str">
        <f t="shared" si="193"/>
        <v/>
      </c>
      <c r="W189" s="55" t="str">
        <f t="shared" si="194"/>
        <v/>
      </c>
      <c r="X189" s="56" t="str">
        <f t="shared" si="195"/>
        <v/>
      </c>
      <c r="Y189" s="180" t="str">
        <f t="shared" si="196"/>
        <v/>
      </c>
      <c r="Z189" s="55" t="str">
        <f t="shared" si="197"/>
        <v/>
      </c>
      <c r="AA189" s="55" t="str">
        <f t="shared" si="198"/>
        <v/>
      </c>
      <c r="AB189" s="150" t="str">
        <f t="shared" si="199"/>
        <v/>
      </c>
      <c r="AC189" s="188">
        <v>180</v>
      </c>
      <c r="AD189" s="1" t="b">
        <f t="shared" si="28"/>
        <v>0</v>
      </c>
      <c r="AE189" s="1" t="str">
        <f t="shared" si="29"/>
        <v/>
      </c>
      <c r="AF189" s="1" t="str">
        <f t="shared" si="30"/>
        <v/>
      </c>
      <c r="AG189" s="1" t="str">
        <f t="shared" si="31"/>
        <v/>
      </c>
      <c r="AH189" s="1" t="str">
        <f t="shared" si="200"/>
        <v/>
      </c>
      <c r="AI189" s="1" t="str">
        <f t="shared" si="33"/>
        <v/>
      </c>
      <c r="AJ189" s="191" t="str">
        <f t="shared" si="237"/>
        <v/>
      </c>
      <c r="AK189" s="191" t="str">
        <f t="shared" si="238"/>
        <v/>
      </c>
      <c r="AL189" s="191" t="str">
        <f t="shared" si="201"/>
        <v/>
      </c>
      <c r="AM189" s="1" t="str">
        <f t="shared" si="202"/>
        <v/>
      </c>
      <c r="AN189" s="191" t="str">
        <f t="shared" si="203"/>
        <v/>
      </c>
      <c r="AO189" s="134" t="str">
        <f t="shared" si="204"/>
        <v/>
      </c>
      <c r="AP189" s="64" t="str">
        <f t="shared" si="38"/>
        <v/>
      </c>
      <c r="AQ189" s="1" t="str">
        <f t="shared" si="230"/>
        <v/>
      </c>
      <c r="AR189" s="1" t="str">
        <f t="shared" si="205"/>
        <v/>
      </c>
      <c r="AS189" s="1" t="str">
        <f t="shared" si="206"/>
        <v/>
      </c>
      <c r="AT189" s="134" t="str">
        <f t="shared" si="207"/>
        <v/>
      </c>
      <c r="AU189" s="64" t="str">
        <f t="shared" si="208"/>
        <v/>
      </c>
      <c r="AV189" s="65" t="str">
        <f t="shared" si="209"/>
        <v/>
      </c>
      <c r="AW189" s="65" t="str">
        <f t="shared" si="210"/>
        <v/>
      </c>
      <c r="AX189" s="1" t="str">
        <f t="shared" si="211"/>
        <v/>
      </c>
      <c r="AY189" s="1" t="str">
        <f t="shared" si="212"/>
        <v/>
      </c>
      <c r="AZ189" s="131" t="str">
        <f t="shared" si="213"/>
        <v/>
      </c>
      <c r="BA189" s="1" t="str">
        <f t="shared" si="214"/>
        <v/>
      </c>
      <c r="BB189" s="1" t="str">
        <f t="shared" si="49"/>
        <v/>
      </c>
      <c r="BC189" s="1" t="str">
        <f t="shared" si="50"/>
        <v/>
      </c>
      <c r="BD189" s="1" t="str">
        <f t="shared" si="215"/>
        <v/>
      </c>
      <c r="BE189" s="1" t="str">
        <f t="shared" si="216"/>
        <v/>
      </c>
      <c r="BF189" s="1" t="str">
        <f t="shared" si="53"/>
        <v/>
      </c>
      <c r="BG189" s="1" t="str">
        <f t="shared" si="217"/>
        <v/>
      </c>
      <c r="BH189" s="1" t="str">
        <f t="shared" si="218"/>
        <v/>
      </c>
      <c r="BI189" s="1" t="str">
        <f t="shared" si="219"/>
        <v/>
      </c>
      <c r="BJ189" s="1" t="str">
        <f t="shared" si="220"/>
        <v/>
      </c>
      <c r="BK189" s="1" t="str">
        <f t="shared" si="221"/>
        <v/>
      </c>
      <c r="BL189" s="1" t="str">
        <f t="shared" si="222"/>
        <v/>
      </c>
      <c r="BM189" s="1" t="str">
        <f t="shared" si="223"/>
        <v/>
      </c>
      <c r="BN189" s="1" t="str">
        <f t="shared" si="224"/>
        <v/>
      </c>
      <c r="BO189" s="1" t="str">
        <f t="shared" si="225"/>
        <v/>
      </c>
      <c r="BQ189" s="1" t="str">
        <f t="shared" si="63"/>
        <v/>
      </c>
      <c r="BR189" s="1" t="str">
        <f t="shared" si="64"/>
        <v/>
      </c>
      <c r="BS189" s="1" t="str">
        <f t="shared" si="65"/>
        <v/>
      </c>
      <c r="BT189" s="1" t="str">
        <f t="shared" si="66"/>
        <v/>
      </c>
      <c r="BU189" s="1" t="str">
        <f t="shared" si="67"/>
        <v/>
      </c>
      <c r="BV189" s="1" t="str">
        <f t="shared" si="68"/>
        <v/>
      </c>
      <c r="BW189" s="1" t="str">
        <f t="shared" si="69"/>
        <v/>
      </c>
      <c r="BX189" s="1" t="str">
        <f t="shared" si="70"/>
        <v/>
      </c>
      <c r="BY189" s="1" t="str">
        <f t="shared" si="226"/>
        <v/>
      </c>
      <c r="BZ189" s="1" t="str">
        <f t="shared" si="72"/>
        <v/>
      </c>
      <c r="CA189" s="1" t="str">
        <f t="shared" si="73"/>
        <v/>
      </c>
      <c r="CB189" s="1" t="str">
        <f t="shared" si="74"/>
        <v/>
      </c>
      <c r="CC189" s="1" t="str">
        <f t="shared" si="75"/>
        <v/>
      </c>
      <c r="CD189" s="1" t="str">
        <f t="shared" si="227"/>
        <v/>
      </c>
      <c r="CE189" s="1" t="str">
        <f t="shared" si="77"/>
        <v/>
      </c>
      <c r="CF189" s="1" t="str">
        <f t="shared" si="78"/>
        <v/>
      </c>
      <c r="CG189" s="1" t="str">
        <f t="shared" si="79"/>
        <v/>
      </c>
      <c r="CH189" s="1" t="str">
        <f t="shared" si="80"/>
        <v/>
      </c>
      <c r="CJ189" s="1" t="str">
        <f t="shared" si="81"/>
        <v/>
      </c>
      <c r="CK189" s="1" t="str">
        <f t="shared" si="82"/>
        <v/>
      </c>
      <c r="CL189" s="1" t="str">
        <f t="shared" si="83"/>
        <v/>
      </c>
      <c r="CM189" s="1" t="str">
        <f t="shared" si="84"/>
        <v/>
      </c>
      <c r="CN189" s="1" t="str">
        <f t="shared" si="85"/>
        <v/>
      </c>
      <c r="CO189" s="1" t="str">
        <f t="shared" si="86"/>
        <v/>
      </c>
      <c r="CP189" s="1" t="str">
        <f t="shared" si="87"/>
        <v/>
      </c>
      <c r="CR189" s="1" t="str">
        <f t="shared" si="88"/>
        <v/>
      </c>
      <c r="CS189" s="1" t="str">
        <f t="shared" si="89"/>
        <v/>
      </c>
      <c r="CT189" s="1" t="str">
        <f t="shared" si="90"/>
        <v/>
      </c>
      <c r="CU189" s="1" t="str">
        <f t="shared" si="91"/>
        <v/>
      </c>
      <c r="CV189" s="1" t="str">
        <f t="shared" si="92"/>
        <v/>
      </c>
      <c r="DC189" s="154" t="e">
        <f t="shared" si="93"/>
        <v>#VALUE!</v>
      </c>
      <c r="DD189" s="154" t="str">
        <f t="shared" si="94"/>
        <v/>
      </c>
      <c r="DE189" s="154" t="str">
        <f t="shared" si="95"/>
        <v/>
      </c>
      <c r="DF189" s="1" t="str">
        <f t="shared" si="96"/>
        <v/>
      </c>
      <c r="DG189" s="1" t="str">
        <f t="shared" si="97"/>
        <v/>
      </c>
      <c r="DH189" s="1" t="str">
        <f t="shared" si="98"/>
        <v/>
      </c>
      <c r="DI189" s="1" t="str">
        <f t="shared" si="228"/>
        <v/>
      </c>
      <c r="DJ189" s="1" t="str">
        <f t="shared" si="229"/>
        <v/>
      </c>
      <c r="DK189" s="1" t="str">
        <f t="shared" si="101"/>
        <v/>
      </c>
      <c r="DL189" s="1" t="str">
        <f t="shared" si="102"/>
        <v/>
      </c>
      <c r="DM189" s="1" t="str">
        <f t="shared" si="103"/>
        <v/>
      </c>
    </row>
    <row r="190" customHeight="1" spans="1:117">
      <c r="A190" s="152" t="str">
        <f t="shared" si="239"/>
        <v/>
      </c>
      <c r="C190" s="55" t="str">
        <f t="shared" si="5"/>
        <v/>
      </c>
      <c r="D190" s="150" t="str">
        <f t="shared" si="6"/>
        <v/>
      </c>
      <c r="E190" s="151" t="str">
        <f t="shared" si="180"/>
        <v/>
      </c>
      <c r="F190" s="151" t="str">
        <f t="shared" si="181"/>
        <v/>
      </c>
      <c r="G190" s="151" t="str">
        <f t="shared" si="182"/>
        <v/>
      </c>
      <c r="H190" s="151" t="str">
        <f t="shared" si="183"/>
        <v/>
      </c>
      <c r="I190" s="151" t="str">
        <f t="shared" si="184"/>
        <v/>
      </c>
      <c r="J190" s="171" t="str">
        <f t="shared" si="185"/>
        <v/>
      </c>
      <c r="K190" s="172" t="str">
        <f t="shared" si="240"/>
        <v/>
      </c>
      <c r="L190" s="172" t="str">
        <f t="shared" si="241"/>
        <v/>
      </c>
      <c r="M190" s="173" t="str">
        <f t="shared" si="242"/>
        <v/>
      </c>
      <c r="N190" s="54" t="str">
        <f t="shared" si="186"/>
        <v/>
      </c>
      <c r="O190" s="55" t="str">
        <f t="shared" si="187"/>
        <v/>
      </c>
      <c r="P190" s="55" t="str">
        <f t="shared" si="15"/>
        <v/>
      </c>
      <c r="Q190" s="56" t="str">
        <f t="shared" si="188"/>
        <v/>
      </c>
      <c r="R190" s="56" t="str">
        <f t="shared" si="189"/>
        <v/>
      </c>
      <c r="S190" s="56" t="str">
        <f t="shared" si="190"/>
        <v/>
      </c>
      <c r="T190" s="56" t="str">
        <f t="shared" si="191"/>
        <v/>
      </c>
      <c r="U190" s="180" t="str">
        <f t="shared" si="192"/>
        <v/>
      </c>
      <c r="V190" s="55" t="str">
        <f t="shared" si="193"/>
        <v/>
      </c>
      <c r="W190" s="55" t="str">
        <f t="shared" si="194"/>
        <v/>
      </c>
      <c r="X190" s="56" t="str">
        <f t="shared" si="195"/>
        <v/>
      </c>
      <c r="Y190" s="180" t="str">
        <f t="shared" si="196"/>
        <v/>
      </c>
      <c r="Z190" s="55" t="str">
        <f t="shared" si="197"/>
        <v/>
      </c>
      <c r="AA190" s="55" t="str">
        <f t="shared" si="198"/>
        <v/>
      </c>
      <c r="AB190" s="150" t="str">
        <f t="shared" si="199"/>
        <v/>
      </c>
      <c r="AC190" s="188">
        <v>181</v>
      </c>
      <c r="AD190" s="1" t="b">
        <f t="shared" si="28"/>
        <v>0</v>
      </c>
      <c r="AE190" s="1" t="str">
        <f t="shared" si="29"/>
        <v/>
      </c>
      <c r="AF190" s="1" t="str">
        <f t="shared" si="30"/>
        <v/>
      </c>
      <c r="AG190" s="1" t="str">
        <f t="shared" si="31"/>
        <v/>
      </c>
      <c r="AH190" s="1" t="str">
        <f t="shared" si="200"/>
        <v/>
      </c>
      <c r="AI190" s="1" t="str">
        <f t="shared" si="33"/>
        <v/>
      </c>
      <c r="AJ190" s="191" t="str">
        <f t="shared" si="237"/>
        <v/>
      </c>
      <c r="AK190" s="191" t="str">
        <f t="shared" si="238"/>
        <v/>
      </c>
      <c r="AL190" s="191" t="str">
        <f t="shared" si="201"/>
        <v/>
      </c>
      <c r="AM190" s="1" t="str">
        <f t="shared" si="202"/>
        <v/>
      </c>
      <c r="AN190" s="191" t="str">
        <f t="shared" si="203"/>
        <v/>
      </c>
      <c r="AO190" s="134" t="str">
        <f t="shared" si="204"/>
        <v/>
      </c>
      <c r="AP190" s="64" t="str">
        <f t="shared" si="38"/>
        <v/>
      </c>
      <c r="AQ190" s="1" t="str">
        <f t="shared" si="230"/>
        <v/>
      </c>
      <c r="AR190" s="1" t="str">
        <f t="shared" si="205"/>
        <v/>
      </c>
      <c r="AS190" s="1" t="str">
        <f t="shared" si="206"/>
        <v/>
      </c>
      <c r="AT190" s="134" t="str">
        <f t="shared" si="207"/>
        <v/>
      </c>
      <c r="AU190" s="64" t="str">
        <f t="shared" si="208"/>
        <v/>
      </c>
      <c r="AV190" s="65" t="str">
        <f t="shared" si="209"/>
        <v/>
      </c>
      <c r="AW190" s="65" t="str">
        <f t="shared" si="210"/>
        <v/>
      </c>
      <c r="AX190" s="1" t="str">
        <f t="shared" si="211"/>
        <v/>
      </c>
      <c r="AY190" s="1" t="str">
        <f t="shared" si="212"/>
        <v/>
      </c>
      <c r="AZ190" s="131" t="str">
        <f t="shared" si="213"/>
        <v/>
      </c>
      <c r="BA190" s="1" t="str">
        <f t="shared" si="214"/>
        <v/>
      </c>
      <c r="BB190" s="1" t="str">
        <f t="shared" si="49"/>
        <v/>
      </c>
      <c r="BC190" s="1" t="str">
        <f t="shared" si="50"/>
        <v/>
      </c>
      <c r="BD190" s="1" t="str">
        <f t="shared" si="215"/>
        <v/>
      </c>
      <c r="BE190" s="1" t="str">
        <f t="shared" si="216"/>
        <v/>
      </c>
      <c r="BF190" s="1" t="str">
        <f t="shared" si="53"/>
        <v/>
      </c>
      <c r="BG190" s="1" t="str">
        <f t="shared" si="217"/>
        <v/>
      </c>
      <c r="BH190" s="1" t="str">
        <f t="shared" si="218"/>
        <v/>
      </c>
      <c r="BI190" s="1" t="str">
        <f t="shared" si="219"/>
        <v/>
      </c>
      <c r="BJ190" s="1" t="str">
        <f t="shared" si="220"/>
        <v/>
      </c>
      <c r="BK190" s="1" t="str">
        <f t="shared" si="221"/>
        <v/>
      </c>
      <c r="BL190" s="1" t="str">
        <f t="shared" si="222"/>
        <v/>
      </c>
      <c r="BM190" s="1" t="str">
        <f t="shared" si="223"/>
        <v/>
      </c>
      <c r="BN190" s="1" t="str">
        <f t="shared" si="224"/>
        <v/>
      </c>
      <c r="BO190" s="1" t="str">
        <f t="shared" si="225"/>
        <v/>
      </c>
      <c r="BQ190" s="1" t="str">
        <f t="shared" si="63"/>
        <v/>
      </c>
      <c r="BR190" s="1" t="str">
        <f t="shared" si="64"/>
        <v/>
      </c>
      <c r="BS190" s="1" t="str">
        <f t="shared" si="65"/>
        <v/>
      </c>
      <c r="BT190" s="1" t="str">
        <f t="shared" si="66"/>
        <v/>
      </c>
      <c r="BU190" s="1" t="str">
        <f t="shared" si="67"/>
        <v/>
      </c>
      <c r="BV190" s="1" t="str">
        <f t="shared" si="68"/>
        <v/>
      </c>
      <c r="BW190" s="1" t="str">
        <f t="shared" si="69"/>
        <v/>
      </c>
      <c r="BX190" s="1" t="str">
        <f t="shared" si="70"/>
        <v/>
      </c>
      <c r="BY190" s="1" t="str">
        <f t="shared" si="226"/>
        <v/>
      </c>
      <c r="BZ190" s="1" t="str">
        <f t="shared" si="72"/>
        <v/>
      </c>
      <c r="CA190" s="1" t="str">
        <f t="shared" si="73"/>
        <v/>
      </c>
      <c r="CB190" s="1" t="str">
        <f t="shared" si="74"/>
        <v/>
      </c>
      <c r="CC190" s="1" t="str">
        <f t="shared" si="75"/>
        <v/>
      </c>
      <c r="CD190" s="1" t="str">
        <f t="shared" si="227"/>
        <v/>
      </c>
      <c r="CE190" s="1" t="str">
        <f t="shared" si="77"/>
        <v/>
      </c>
      <c r="CF190" s="1" t="str">
        <f t="shared" si="78"/>
        <v/>
      </c>
      <c r="CG190" s="1" t="str">
        <f t="shared" si="79"/>
        <v/>
      </c>
      <c r="CH190" s="1" t="str">
        <f t="shared" si="80"/>
        <v/>
      </c>
      <c r="CJ190" s="1" t="str">
        <f t="shared" si="81"/>
        <v/>
      </c>
      <c r="CK190" s="1" t="str">
        <f t="shared" si="82"/>
        <v/>
      </c>
      <c r="CL190" s="1" t="str">
        <f t="shared" si="83"/>
        <v/>
      </c>
      <c r="CM190" s="1" t="str">
        <f t="shared" si="84"/>
        <v/>
      </c>
      <c r="CN190" s="1" t="str">
        <f t="shared" si="85"/>
        <v/>
      </c>
      <c r="CO190" s="1" t="str">
        <f t="shared" si="86"/>
        <v/>
      </c>
      <c r="CP190" s="1" t="str">
        <f t="shared" si="87"/>
        <v/>
      </c>
      <c r="CR190" s="1" t="str">
        <f t="shared" si="88"/>
        <v/>
      </c>
      <c r="CS190" s="1" t="str">
        <f t="shared" si="89"/>
        <v/>
      </c>
      <c r="CT190" s="1" t="str">
        <f t="shared" si="90"/>
        <v/>
      </c>
      <c r="CU190" s="1" t="str">
        <f t="shared" si="91"/>
        <v/>
      </c>
      <c r="CV190" s="1" t="str">
        <f t="shared" si="92"/>
        <v/>
      </c>
      <c r="DC190" s="154" t="e">
        <f t="shared" si="93"/>
        <v>#VALUE!</v>
      </c>
      <c r="DD190" s="154" t="str">
        <f t="shared" si="94"/>
        <v/>
      </c>
      <c r="DE190" s="154" t="str">
        <f t="shared" si="95"/>
        <v/>
      </c>
      <c r="DF190" s="1" t="str">
        <f t="shared" si="96"/>
        <v/>
      </c>
      <c r="DG190" s="1" t="str">
        <f t="shared" si="97"/>
        <v/>
      </c>
      <c r="DH190" s="1" t="str">
        <f t="shared" si="98"/>
        <v/>
      </c>
      <c r="DI190" s="1" t="str">
        <f t="shared" si="228"/>
        <v/>
      </c>
      <c r="DJ190" s="1" t="str">
        <f t="shared" si="229"/>
        <v/>
      </c>
      <c r="DK190" s="1" t="str">
        <f t="shared" si="101"/>
        <v/>
      </c>
      <c r="DL190" s="1" t="str">
        <f t="shared" si="102"/>
        <v/>
      </c>
      <c r="DM190" s="1" t="str">
        <f t="shared" si="103"/>
        <v/>
      </c>
    </row>
    <row r="191" customHeight="1" spans="1:117">
      <c r="A191" s="152" t="str">
        <f t="shared" si="239"/>
        <v/>
      </c>
      <c r="C191" s="55" t="str">
        <f t="shared" si="5"/>
        <v/>
      </c>
      <c r="D191" s="150" t="str">
        <f t="shared" si="6"/>
        <v/>
      </c>
      <c r="E191" s="151" t="str">
        <f t="shared" si="180"/>
        <v/>
      </c>
      <c r="F191" s="151" t="str">
        <f t="shared" si="181"/>
        <v/>
      </c>
      <c r="G191" s="151" t="str">
        <f t="shared" si="182"/>
        <v/>
      </c>
      <c r="H191" s="151" t="str">
        <f t="shared" si="183"/>
        <v/>
      </c>
      <c r="I191" s="151" t="str">
        <f t="shared" si="184"/>
        <v/>
      </c>
      <c r="J191" s="171" t="str">
        <f t="shared" si="185"/>
        <v/>
      </c>
      <c r="K191" s="172" t="str">
        <f t="shared" si="240"/>
        <v/>
      </c>
      <c r="L191" s="172" t="str">
        <f t="shared" si="241"/>
        <v/>
      </c>
      <c r="M191" s="173" t="str">
        <f t="shared" si="242"/>
        <v/>
      </c>
      <c r="N191" s="54" t="str">
        <f t="shared" si="186"/>
        <v/>
      </c>
      <c r="O191" s="55" t="str">
        <f t="shared" si="187"/>
        <v/>
      </c>
      <c r="P191" s="55" t="str">
        <f t="shared" si="15"/>
        <v/>
      </c>
      <c r="Q191" s="56" t="str">
        <f t="shared" si="188"/>
        <v/>
      </c>
      <c r="R191" s="56" t="str">
        <f t="shared" si="189"/>
        <v/>
      </c>
      <c r="S191" s="56" t="str">
        <f t="shared" si="190"/>
        <v/>
      </c>
      <c r="T191" s="56" t="str">
        <f t="shared" si="191"/>
        <v/>
      </c>
      <c r="U191" s="180" t="str">
        <f t="shared" si="192"/>
        <v/>
      </c>
      <c r="V191" s="55" t="str">
        <f t="shared" si="193"/>
        <v/>
      </c>
      <c r="W191" s="55" t="str">
        <f t="shared" si="194"/>
        <v/>
      </c>
      <c r="X191" s="56" t="str">
        <f t="shared" si="195"/>
        <v/>
      </c>
      <c r="Y191" s="180" t="str">
        <f t="shared" si="196"/>
        <v/>
      </c>
      <c r="Z191" s="55" t="str">
        <f t="shared" si="197"/>
        <v/>
      </c>
      <c r="AA191" s="55" t="str">
        <f t="shared" si="198"/>
        <v/>
      </c>
      <c r="AB191" s="150" t="str">
        <f t="shared" si="199"/>
        <v/>
      </c>
      <c r="AC191" s="188">
        <v>182</v>
      </c>
      <c r="AD191" s="1" t="b">
        <f t="shared" si="28"/>
        <v>0</v>
      </c>
      <c r="AE191" s="1" t="str">
        <f t="shared" si="29"/>
        <v/>
      </c>
      <c r="AF191" s="1" t="str">
        <f t="shared" si="30"/>
        <v/>
      </c>
      <c r="AG191" s="1" t="str">
        <f t="shared" si="31"/>
        <v/>
      </c>
      <c r="AH191" s="1" t="str">
        <f t="shared" si="200"/>
        <v/>
      </c>
      <c r="AI191" s="1" t="str">
        <f t="shared" si="33"/>
        <v/>
      </c>
      <c r="AJ191" s="191" t="str">
        <f t="shared" si="237"/>
        <v/>
      </c>
      <c r="AK191" s="191" t="str">
        <f t="shared" si="238"/>
        <v/>
      </c>
      <c r="AL191" s="191" t="str">
        <f t="shared" si="201"/>
        <v/>
      </c>
      <c r="AM191" s="1" t="str">
        <f t="shared" si="202"/>
        <v/>
      </c>
      <c r="AN191" s="191" t="str">
        <f t="shared" si="203"/>
        <v/>
      </c>
      <c r="AO191" s="134" t="str">
        <f t="shared" si="204"/>
        <v/>
      </c>
      <c r="AP191" s="64" t="str">
        <f t="shared" si="38"/>
        <v/>
      </c>
      <c r="AQ191" s="1" t="str">
        <f t="shared" si="230"/>
        <v/>
      </c>
      <c r="AR191" s="1" t="str">
        <f t="shared" si="205"/>
        <v/>
      </c>
      <c r="AS191" s="1" t="str">
        <f t="shared" si="206"/>
        <v/>
      </c>
      <c r="AT191" s="134" t="str">
        <f t="shared" si="207"/>
        <v/>
      </c>
      <c r="AU191" s="64" t="str">
        <f t="shared" si="208"/>
        <v/>
      </c>
      <c r="AV191" s="65" t="str">
        <f t="shared" si="209"/>
        <v/>
      </c>
      <c r="AW191" s="65" t="str">
        <f t="shared" si="210"/>
        <v/>
      </c>
      <c r="AX191" s="1" t="str">
        <f t="shared" si="211"/>
        <v/>
      </c>
      <c r="AY191" s="1" t="str">
        <f t="shared" si="212"/>
        <v/>
      </c>
      <c r="AZ191" s="131" t="str">
        <f t="shared" si="213"/>
        <v/>
      </c>
      <c r="BA191" s="1" t="str">
        <f t="shared" si="214"/>
        <v/>
      </c>
      <c r="BB191" s="1" t="str">
        <f t="shared" si="49"/>
        <v/>
      </c>
      <c r="BC191" s="1" t="str">
        <f t="shared" si="50"/>
        <v/>
      </c>
      <c r="BD191" s="1" t="str">
        <f t="shared" si="215"/>
        <v/>
      </c>
      <c r="BE191" s="1" t="str">
        <f t="shared" si="216"/>
        <v/>
      </c>
      <c r="BF191" s="1" t="str">
        <f t="shared" si="53"/>
        <v/>
      </c>
      <c r="BG191" s="1" t="str">
        <f t="shared" si="217"/>
        <v/>
      </c>
      <c r="BH191" s="1" t="str">
        <f t="shared" si="218"/>
        <v/>
      </c>
      <c r="BI191" s="1" t="str">
        <f t="shared" si="219"/>
        <v/>
      </c>
      <c r="BJ191" s="1" t="str">
        <f t="shared" si="220"/>
        <v/>
      </c>
      <c r="BK191" s="1" t="str">
        <f t="shared" si="221"/>
        <v/>
      </c>
      <c r="BL191" s="1" t="str">
        <f t="shared" si="222"/>
        <v/>
      </c>
      <c r="BM191" s="1" t="str">
        <f t="shared" si="223"/>
        <v/>
      </c>
      <c r="BN191" s="1" t="str">
        <f t="shared" si="224"/>
        <v/>
      </c>
      <c r="BO191" s="1" t="str">
        <f t="shared" si="225"/>
        <v/>
      </c>
      <c r="BQ191" s="1" t="str">
        <f t="shared" si="63"/>
        <v/>
      </c>
      <c r="BR191" s="1" t="str">
        <f t="shared" si="64"/>
        <v/>
      </c>
      <c r="BS191" s="1" t="str">
        <f t="shared" si="65"/>
        <v/>
      </c>
      <c r="BT191" s="1" t="str">
        <f t="shared" si="66"/>
        <v/>
      </c>
      <c r="BU191" s="1" t="str">
        <f t="shared" si="67"/>
        <v/>
      </c>
      <c r="BV191" s="1" t="str">
        <f t="shared" si="68"/>
        <v/>
      </c>
      <c r="BW191" s="1" t="str">
        <f t="shared" si="69"/>
        <v/>
      </c>
      <c r="BX191" s="1" t="str">
        <f t="shared" si="70"/>
        <v/>
      </c>
      <c r="BY191" s="1" t="str">
        <f t="shared" si="226"/>
        <v/>
      </c>
      <c r="BZ191" s="1" t="str">
        <f t="shared" si="72"/>
        <v/>
      </c>
      <c r="CA191" s="1" t="str">
        <f t="shared" si="73"/>
        <v/>
      </c>
      <c r="CB191" s="1" t="str">
        <f t="shared" si="74"/>
        <v/>
      </c>
      <c r="CC191" s="1" t="str">
        <f t="shared" si="75"/>
        <v/>
      </c>
      <c r="CD191" s="1" t="str">
        <f t="shared" si="227"/>
        <v/>
      </c>
      <c r="CE191" s="1" t="str">
        <f t="shared" si="77"/>
        <v/>
      </c>
      <c r="CF191" s="1" t="str">
        <f t="shared" si="78"/>
        <v/>
      </c>
      <c r="CG191" s="1" t="str">
        <f t="shared" si="79"/>
        <v/>
      </c>
      <c r="CH191" s="1" t="str">
        <f t="shared" si="80"/>
        <v/>
      </c>
      <c r="CJ191" s="1" t="str">
        <f t="shared" si="81"/>
        <v/>
      </c>
      <c r="CK191" s="1" t="str">
        <f t="shared" si="82"/>
        <v/>
      </c>
      <c r="CL191" s="1" t="str">
        <f t="shared" si="83"/>
        <v/>
      </c>
      <c r="CM191" s="1" t="str">
        <f t="shared" si="84"/>
        <v/>
      </c>
      <c r="CN191" s="1" t="str">
        <f t="shared" si="85"/>
        <v/>
      </c>
      <c r="CO191" s="1" t="str">
        <f t="shared" si="86"/>
        <v/>
      </c>
      <c r="CP191" s="1" t="str">
        <f t="shared" si="87"/>
        <v/>
      </c>
      <c r="CR191" s="1" t="str">
        <f t="shared" si="88"/>
        <v/>
      </c>
      <c r="CS191" s="1" t="str">
        <f t="shared" si="89"/>
        <v/>
      </c>
      <c r="CT191" s="1" t="str">
        <f t="shared" si="90"/>
        <v/>
      </c>
      <c r="CU191" s="1" t="str">
        <f t="shared" si="91"/>
        <v/>
      </c>
      <c r="CV191" s="1" t="str">
        <f t="shared" si="92"/>
        <v/>
      </c>
      <c r="DC191" s="154" t="e">
        <f t="shared" si="93"/>
        <v>#VALUE!</v>
      </c>
      <c r="DD191" s="154" t="str">
        <f t="shared" si="94"/>
        <v/>
      </c>
      <c r="DE191" s="154" t="str">
        <f t="shared" si="95"/>
        <v/>
      </c>
      <c r="DF191" s="1" t="str">
        <f t="shared" si="96"/>
        <v/>
      </c>
      <c r="DG191" s="1" t="str">
        <f t="shared" si="97"/>
        <v/>
      </c>
      <c r="DH191" s="1" t="str">
        <f t="shared" si="98"/>
        <v/>
      </c>
      <c r="DI191" s="1" t="str">
        <f t="shared" si="228"/>
        <v/>
      </c>
      <c r="DJ191" s="1" t="str">
        <f t="shared" si="229"/>
        <v/>
      </c>
      <c r="DK191" s="1" t="str">
        <f t="shared" si="101"/>
        <v/>
      </c>
      <c r="DL191" s="1" t="str">
        <f t="shared" si="102"/>
        <v/>
      </c>
      <c r="DM191" s="1" t="str">
        <f t="shared" si="103"/>
        <v/>
      </c>
    </row>
    <row r="192" customHeight="1" spans="1:117">
      <c r="A192" s="152" t="str">
        <f t="shared" si="239"/>
        <v/>
      </c>
      <c r="C192" s="55" t="str">
        <f t="shared" si="5"/>
        <v/>
      </c>
      <c r="D192" s="150" t="str">
        <f t="shared" si="6"/>
        <v/>
      </c>
      <c r="E192" s="151" t="str">
        <f t="shared" si="180"/>
        <v/>
      </c>
      <c r="F192" s="151" t="str">
        <f t="shared" si="181"/>
        <v/>
      </c>
      <c r="G192" s="151" t="str">
        <f t="shared" si="182"/>
        <v/>
      </c>
      <c r="H192" s="151" t="str">
        <f t="shared" si="183"/>
        <v/>
      </c>
      <c r="I192" s="151" t="str">
        <f t="shared" si="184"/>
        <v/>
      </c>
      <c r="J192" s="171" t="str">
        <f t="shared" si="185"/>
        <v/>
      </c>
      <c r="K192" s="172" t="str">
        <f t="shared" si="240"/>
        <v/>
      </c>
      <c r="L192" s="172" t="str">
        <f t="shared" si="241"/>
        <v/>
      </c>
      <c r="M192" s="173" t="str">
        <f t="shared" si="242"/>
        <v/>
      </c>
      <c r="N192" s="54" t="str">
        <f t="shared" si="186"/>
        <v/>
      </c>
      <c r="O192" s="55" t="str">
        <f t="shared" si="187"/>
        <v/>
      </c>
      <c r="P192" s="55" t="str">
        <f t="shared" si="15"/>
        <v/>
      </c>
      <c r="Q192" s="56" t="str">
        <f t="shared" si="188"/>
        <v/>
      </c>
      <c r="R192" s="56" t="str">
        <f t="shared" si="189"/>
        <v/>
      </c>
      <c r="S192" s="56" t="str">
        <f t="shared" si="190"/>
        <v/>
      </c>
      <c r="T192" s="56" t="str">
        <f t="shared" si="191"/>
        <v/>
      </c>
      <c r="U192" s="180" t="str">
        <f t="shared" si="192"/>
        <v/>
      </c>
      <c r="V192" s="55" t="str">
        <f t="shared" si="193"/>
        <v/>
      </c>
      <c r="W192" s="55" t="str">
        <f t="shared" si="194"/>
        <v/>
      </c>
      <c r="X192" s="56" t="str">
        <f t="shared" si="195"/>
        <v/>
      </c>
      <c r="Y192" s="180" t="str">
        <f t="shared" si="196"/>
        <v/>
      </c>
      <c r="Z192" s="55" t="str">
        <f t="shared" si="197"/>
        <v/>
      </c>
      <c r="AA192" s="55" t="str">
        <f t="shared" si="198"/>
        <v/>
      </c>
      <c r="AB192" s="150" t="str">
        <f t="shared" si="199"/>
        <v/>
      </c>
      <c r="AC192" s="188">
        <v>183</v>
      </c>
      <c r="AD192" s="1" t="b">
        <f t="shared" si="28"/>
        <v>0</v>
      </c>
      <c r="AE192" s="1" t="str">
        <f t="shared" si="29"/>
        <v/>
      </c>
      <c r="AF192" s="1" t="str">
        <f t="shared" si="30"/>
        <v/>
      </c>
      <c r="AG192" s="1" t="str">
        <f t="shared" si="31"/>
        <v/>
      </c>
      <c r="AH192" s="1" t="str">
        <f t="shared" si="200"/>
        <v/>
      </c>
      <c r="AI192" s="1" t="str">
        <f t="shared" si="33"/>
        <v/>
      </c>
      <c r="AJ192" s="191" t="str">
        <f t="shared" si="237"/>
        <v/>
      </c>
      <c r="AK192" s="191" t="str">
        <f t="shared" si="238"/>
        <v/>
      </c>
      <c r="AL192" s="191" t="str">
        <f t="shared" si="201"/>
        <v/>
      </c>
      <c r="AM192" s="1" t="str">
        <f t="shared" si="202"/>
        <v/>
      </c>
      <c r="AN192" s="191" t="str">
        <f t="shared" si="203"/>
        <v/>
      </c>
      <c r="AO192" s="134" t="str">
        <f t="shared" si="204"/>
        <v/>
      </c>
      <c r="AP192" s="64" t="str">
        <f t="shared" si="38"/>
        <v/>
      </c>
      <c r="AQ192" s="1" t="str">
        <f t="shared" si="230"/>
        <v/>
      </c>
      <c r="AR192" s="1" t="str">
        <f t="shared" si="205"/>
        <v/>
      </c>
      <c r="AS192" s="1" t="str">
        <f t="shared" si="206"/>
        <v/>
      </c>
      <c r="AT192" s="134" t="str">
        <f t="shared" si="207"/>
        <v/>
      </c>
      <c r="AU192" s="64" t="str">
        <f t="shared" si="208"/>
        <v/>
      </c>
      <c r="AV192" s="65" t="str">
        <f t="shared" si="209"/>
        <v/>
      </c>
      <c r="AW192" s="65" t="str">
        <f t="shared" si="210"/>
        <v/>
      </c>
      <c r="AX192" s="1" t="str">
        <f t="shared" si="211"/>
        <v/>
      </c>
      <c r="AY192" s="1" t="str">
        <f t="shared" si="212"/>
        <v/>
      </c>
      <c r="AZ192" s="131" t="str">
        <f t="shared" si="213"/>
        <v/>
      </c>
      <c r="BA192" s="1" t="str">
        <f t="shared" si="214"/>
        <v/>
      </c>
      <c r="BB192" s="1" t="str">
        <f t="shared" si="49"/>
        <v/>
      </c>
      <c r="BC192" s="1" t="str">
        <f t="shared" si="50"/>
        <v/>
      </c>
      <c r="BD192" s="1" t="str">
        <f t="shared" si="215"/>
        <v/>
      </c>
      <c r="BE192" s="1" t="str">
        <f t="shared" si="216"/>
        <v/>
      </c>
      <c r="BF192" s="1" t="str">
        <f t="shared" si="53"/>
        <v/>
      </c>
      <c r="BG192" s="1" t="str">
        <f t="shared" si="217"/>
        <v/>
      </c>
      <c r="BH192" s="1" t="str">
        <f t="shared" si="218"/>
        <v/>
      </c>
      <c r="BI192" s="1" t="str">
        <f t="shared" si="219"/>
        <v/>
      </c>
      <c r="BJ192" s="1" t="str">
        <f t="shared" si="220"/>
        <v/>
      </c>
      <c r="BK192" s="1" t="str">
        <f t="shared" si="221"/>
        <v/>
      </c>
      <c r="BL192" s="1" t="str">
        <f t="shared" si="222"/>
        <v/>
      </c>
      <c r="BM192" s="1" t="str">
        <f t="shared" si="223"/>
        <v/>
      </c>
      <c r="BN192" s="1" t="str">
        <f t="shared" si="224"/>
        <v/>
      </c>
      <c r="BO192" s="1" t="str">
        <f t="shared" si="225"/>
        <v/>
      </c>
      <c r="BQ192" s="1" t="str">
        <f t="shared" si="63"/>
        <v/>
      </c>
      <c r="BR192" s="1" t="str">
        <f t="shared" si="64"/>
        <v/>
      </c>
      <c r="BS192" s="1" t="str">
        <f t="shared" si="65"/>
        <v/>
      </c>
      <c r="BT192" s="1" t="str">
        <f t="shared" si="66"/>
        <v/>
      </c>
      <c r="BU192" s="1" t="str">
        <f t="shared" si="67"/>
        <v/>
      </c>
      <c r="BV192" s="1" t="str">
        <f t="shared" si="68"/>
        <v/>
      </c>
      <c r="BW192" s="1" t="str">
        <f t="shared" si="69"/>
        <v/>
      </c>
      <c r="BX192" s="1" t="str">
        <f t="shared" si="70"/>
        <v/>
      </c>
      <c r="BY192" s="1" t="str">
        <f t="shared" si="226"/>
        <v/>
      </c>
      <c r="BZ192" s="1" t="str">
        <f t="shared" si="72"/>
        <v/>
      </c>
      <c r="CA192" s="1" t="str">
        <f t="shared" si="73"/>
        <v/>
      </c>
      <c r="CB192" s="1" t="str">
        <f t="shared" si="74"/>
        <v/>
      </c>
      <c r="CC192" s="1" t="str">
        <f t="shared" si="75"/>
        <v/>
      </c>
      <c r="CD192" s="1" t="str">
        <f t="shared" si="227"/>
        <v/>
      </c>
      <c r="CE192" s="1" t="str">
        <f t="shared" si="77"/>
        <v/>
      </c>
      <c r="CF192" s="1" t="str">
        <f t="shared" si="78"/>
        <v/>
      </c>
      <c r="CG192" s="1" t="str">
        <f t="shared" si="79"/>
        <v/>
      </c>
      <c r="CH192" s="1" t="str">
        <f t="shared" si="80"/>
        <v/>
      </c>
      <c r="CJ192" s="1" t="str">
        <f t="shared" si="81"/>
        <v/>
      </c>
      <c r="CK192" s="1" t="str">
        <f t="shared" si="82"/>
        <v/>
      </c>
      <c r="CL192" s="1" t="str">
        <f t="shared" si="83"/>
        <v/>
      </c>
      <c r="CM192" s="1" t="str">
        <f t="shared" si="84"/>
        <v/>
      </c>
      <c r="CN192" s="1" t="str">
        <f t="shared" si="85"/>
        <v/>
      </c>
      <c r="CO192" s="1" t="str">
        <f t="shared" si="86"/>
        <v/>
      </c>
      <c r="CP192" s="1" t="str">
        <f t="shared" si="87"/>
        <v/>
      </c>
      <c r="CR192" s="1" t="str">
        <f t="shared" si="88"/>
        <v/>
      </c>
      <c r="CS192" s="1" t="str">
        <f t="shared" si="89"/>
        <v/>
      </c>
      <c r="CT192" s="1" t="str">
        <f t="shared" si="90"/>
        <v/>
      </c>
      <c r="CU192" s="1" t="str">
        <f t="shared" si="91"/>
        <v/>
      </c>
      <c r="CV192" s="1" t="str">
        <f t="shared" si="92"/>
        <v/>
      </c>
      <c r="DC192" s="154" t="e">
        <f t="shared" si="93"/>
        <v>#VALUE!</v>
      </c>
      <c r="DD192" s="154" t="str">
        <f t="shared" si="94"/>
        <v/>
      </c>
      <c r="DE192" s="154" t="str">
        <f t="shared" si="95"/>
        <v/>
      </c>
      <c r="DF192" s="1" t="str">
        <f t="shared" si="96"/>
        <v/>
      </c>
      <c r="DG192" s="1" t="str">
        <f t="shared" si="97"/>
        <v/>
      </c>
      <c r="DH192" s="1" t="str">
        <f t="shared" si="98"/>
        <v/>
      </c>
      <c r="DI192" s="1" t="str">
        <f t="shared" si="228"/>
        <v/>
      </c>
      <c r="DJ192" s="1" t="str">
        <f t="shared" si="229"/>
        <v/>
      </c>
      <c r="DK192" s="1" t="str">
        <f t="shared" si="101"/>
        <v/>
      </c>
      <c r="DL192" s="1" t="str">
        <f t="shared" si="102"/>
        <v/>
      </c>
      <c r="DM192" s="1" t="str">
        <f t="shared" si="103"/>
        <v/>
      </c>
    </row>
    <row r="193" customHeight="1" spans="1:117">
      <c r="A193" s="152" t="str">
        <f t="shared" si="239"/>
        <v/>
      </c>
      <c r="C193" s="55" t="str">
        <f t="shared" si="5"/>
        <v/>
      </c>
      <c r="D193" s="150" t="str">
        <f t="shared" si="6"/>
        <v/>
      </c>
      <c r="E193" s="151" t="str">
        <f t="shared" si="180"/>
        <v/>
      </c>
      <c r="F193" s="151" t="str">
        <f t="shared" si="181"/>
        <v/>
      </c>
      <c r="G193" s="151" t="str">
        <f t="shared" si="182"/>
        <v/>
      </c>
      <c r="H193" s="151" t="str">
        <f t="shared" si="183"/>
        <v/>
      </c>
      <c r="I193" s="151" t="str">
        <f t="shared" si="184"/>
        <v/>
      </c>
      <c r="J193" s="171" t="str">
        <f t="shared" si="185"/>
        <v/>
      </c>
      <c r="K193" s="172" t="str">
        <f t="shared" si="240"/>
        <v/>
      </c>
      <c r="L193" s="172" t="str">
        <f t="shared" si="241"/>
        <v/>
      </c>
      <c r="M193" s="173" t="str">
        <f t="shared" si="242"/>
        <v/>
      </c>
      <c r="N193" s="54" t="str">
        <f t="shared" si="186"/>
        <v/>
      </c>
      <c r="O193" s="55" t="str">
        <f t="shared" si="187"/>
        <v/>
      </c>
      <c r="P193" s="55" t="str">
        <f t="shared" si="15"/>
        <v/>
      </c>
      <c r="Q193" s="56" t="str">
        <f t="shared" si="188"/>
        <v/>
      </c>
      <c r="R193" s="56" t="str">
        <f t="shared" si="189"/>
        <v/>
      </c>
      <c r="S193" s="56" t="str">
        <f t="shared" si="190"/>
        <v/>
      </c>
      <c r="T193" s="56" t="str">
        <f t="shared" si="191"/>
        <v/>
      </c>
      <c r="U193" s="180" t="str">
        <f t="shared" si="192"/>
        <v/>
      </c>
      <c r="V193" s="55" t="str">
        <f t="shared" si="193"/>
        <v/>
      </c>
      <c r="W193" s="55" t="str">
        <f t="shared" si="194"/>
        <v/>
      </c>
      <c r="X193" s="56" t="str">
        <f t="shared" si="195"/>
        <v/>
      </c>
      <c r="Y193" s="180" t="str">
        <f t="shared" si="196"/>
        <v/>
      </c>
      <c r="Z193" s="55" t="str">
        <f t="shared" si="197"/>
        <v/>
      </c>
      <c r="AA193" s="55" t="str">
        <f t="shared" si="198"/>
        <v/>
      </c>
      <c r="AB193" s="150" t="str">
        <f t="shared" si="199"/>
        <v/>
      </c>
      <c r="AC193" s="188">
        <v>184</v>
      </c>
      <c r="AD193" s="1" t="b">
        <f t="shared" si="28"/>
        <v>0</v>
      </c>
      <c r="AE193" s="1" t="str">
        <f t="shared" si="29"/>
        <v/>
      </c>
      <c r="AF193" s="1" t="str">
        <f t="shared" si="30"/>
        <v/>
      </c>
      <c r="AG193" s="1" t="str">
        <f t="shared" si="31"/>
        <v/>
      </c>
      <c r="AH193" s="1" t="str">
        <f t="shared" si="200"/>
        <v/>
      </c>
      <c r="AI193" s="1" t="str">
        <f t="shared" si="33"/>
        <v/>
      </c>
      <c r="AJ193" s="191" t="str">
        <f t="shared" si="237"/>
        <v/>
      </c>
      <c r="AK193" s="191" t="str">
        <f t="shared" si="238"/>
        <v/>
      </c>
      <c r="AL193" s="191" t="str">
        <f t="shared" si="201"/>
        <v/>
      </c>
      <c r="AM193" s="1" t="str">
        <f t="shared" si="202"/>
        <v/>
      </c>
      <c r="AN193" s="191" t="str">
        <f t="shared" si="203"/>
        <v/>
      </c>
      <c r="AO193" s="134" t="str">
        <f t="shared" si="204"/>
        <v/>
      </c>
      <c r="AP193" s="64" t="str">
        <f t="shared" si="38"/>
        <v/>
      </c>
      <c r="AQ193" s="1" t="str">
        <f t="shared" si="230"/>
        <v/>
      </c>
      <c r="AR193" s="1" t="str">
        <f t="shared" si="205"/>
        <v/>
      </c>
      <c r="AS193" s="1" t="str">
        <f t="shared" si="206"/>
        <v/>
      </c>
      <c r="AT193" s="134" t="str">
        <f t="shared" si="207"/>
        <v/>
      </c>
      <c r="AU193" s="64" t="str">
        <f t="shared" si="208"/>
        <v/>
      </c>
      <c r="AV193" s="65" t="str">
        <f t="shared" si="209"/>
        <v/>
      </c>
      <c r="AW193" s="65" t="str">
        <f t="shared" si="210"/>
        <v/>
      </c>
      <c r="AX193" s="1" t="str">
        <f t="shared" si="211"/>
        <v/>
      </c>
      <c r="AY193" s="1" t="str">
        <f t="shared" si="212"/>
        <v/>
      </c>
      <c r="AZ193" s="131" t="str">
        <f t="shared" si="213"/>
        <v/>
      </c>
      <c r="BA193" s="1" t="str">
        <f t="shared" si="214"/>
        <v/>
      </c>
      <c r="BB193" s="1" t="str">
        <f t="shared" si="49"/>
        <v/>
      </c>
      <c r="BC193" s="1" t="str">
        <f t="shared" si="50"/>
        <v/>
      </c>
      <c r="BD193" s="1" t="str">
        <f t="shared" si="215"/>
        <v/>
      </c>
      <c r="BE193" s="1" t="str">
        <f t="shared" si="216"/>
        <v/>
      </c>
      <c r="BF193" s="1" t="str">
        <f t="shared" si="53"/>
        <v/>
      </c>
      <c r="BG193" s="1" t="str">
        <f t="shared" si="217"/>
        <v/>
      </c>
      <c r="BH193" s="1" t="str">
        <f t="shared" si="218"/>
        <v/>
      </c>
      <c r="BI193" s="1" t="str">
        <f t="shared" si="219"/>
        <v/>
      </c>
      <c r="BJ193" s="1" t="str">
        <f t="shared" si="220"/>
        <v/>
      </c>
      <c r="BK193" s="1" t="str">
        <f t="shared" si="221"/>
        <v/>
      </c>
      <c r="BL193" s="1" t="str">
        <f t="shared" si="222"/>
        <v/>
      </c>
      <c r="BM193" s="1" t="str">
        <f t="shared" si="223"/>
        <v/>
      </c>
      <c r="BN193" s="1" t="str">
        <f t="shared" si="224"/>
        <v/>
      </c>
      <c r="BO193" s="1" t="str">
        <f t="shared" si="225"/>
        <v/>
      </c>
      <c r="BQ193" s="1" t="str">
        <f t="shared" si="63"/>
        <v/>
      </c>
      <c r="BR193" s="1" t="str">
        <f t="shared" si="64"/>
        <v/>
      </c>
      <c r="BS193" s="1" t="str">
        <f t="shared" si="65"/>
        <v/>
      </c>
      <c r="BT193" s="1" t="str">
        <f t="shared" si="66"/>
        <v/>
      </c>
      <c r="BU193" s="1" t="str">
        <f t="shared" si="67"/>
        <v/>
      </c>
      <c r="BV193" s="1" t="str">
        <f t="shared" si="68"/>
        <v/>
      </c>
      <c r="BW193" s="1" t="str">
        <f t="shared" si="69"/>
        <v/>
      </c>
      <c r="BX193" s="1" t="str">
        <f t="shared" si="70"/>
        <v/>
      </c>
      <c r="BY193" s="1" t="str">
        <f t="shared" si="226"/>
        <v/>
      </c>
      <c r="BZ193" s="1" t="str">
        <f t="shared" si="72"/>
        <v/>
      </c>
      <c r="CA193" s="1" t="str">
        <f t="shared" si="73"/>
        <v/>
      </c>
      <c r="CB193" s="1" t="str">
        <f t="shared" si="74"/>
        <v/>
      </c>
      <c r="CC193" s="1" t="str">
        <f t="shared" si="75"/>
        <v/>
      </c>
      <c r="CD193" s="1" t="str">
        <f t="shared" si="227"/>
        <v/>
      </c>
      <c r="CE193" s="1" t="str">
        <f t="shared" si="77"/>
        <v/>
      </c>
      <c r="CF193" s="1" t="str">
        <f t="shared" si="78"/>
        <v/>
      </c>
      <c r="CG193" s="1" t="str">
        <f t="shared" si="79"/>
        <v/>
      </c>
      <c r="CH193" s="1" t="str">
        <f t="shared" si="80"/>
        <v/>
      </c>
      <c r="CJ193" s="1" t="str">
        <f t="shared" si="81"/>
        <v/>
      </c>
      <c r="CK193" s="1" t="str">
        <f t="shared" si="82"/>
        <v/>
      </c>
      <c r="CL193" s="1" t="str">
        <f t="shared" si="83"/>
        <v/>
      </c>
      <c r="CM193" s="1" t="str">
        <f t="shared" si="84"/>
        <v/>
      </c>
      <c r="CN193" s="1" t="str">
        <f t="shared" si="85"/>
        <v/>
      </c>
      <c r="CO193" s="1" t="str">
        <f t="shared" si="86"/>
        <v/>
      </c>
      <c r="CP193" s="1" t="str">
        <f t="shared" si="87"/>
        <v/>
      </c>
      <c r="CR193" s="1" t="str">
        <f t="shared" si="88"/>
        <v/>
      </c>
      <c r="CS193" s="1" t="str">
        <f t="shared" si="89"/>
        <v/>
      </c>
      <c r="CT193" s="1" t="str">
        <f t="shared" si="90"/>
        <v/>
      </c>
      <c r="CU193" s="1" t="str">
        <f t="shared" si="91"/>
        <v/>
      </c>
      <c r="CV193" s="1" t="str">
        <f t="shared" si="92"/>
        <v/>
      </c>
      <c r="DC193" s="154" t="e">
        <f t="shared" si="93"/>
        <v>#VALUE!</v>
      </c>
      <c r="DD193" s="154" t="str">
        <f t="shared" si="94"/>
        <v/>
      </c>
      <c r="DE193" s="154" t="str">
        <f t="shared" si="95"/>
        <v/>
      </c>
      <c r="DF193" s="1" t="str">
        <f t="shared" si="96"/>
        <v/>
      </c>
      <c r="DG193" s="1" t="str">
        <f t="shared" si="97"/>
        <v/>
      </c>
      <c r="DH193" s="1" t="str">
        <f t="shared" si="98"/>
        <v/>
      </c>
      <c r="DI193" s="1" t="str">
        <f t="shared" si="228"/>
        <v/>
      </c>
      <c r="DJ193" s="1" t="str">
        <f t="shared" si="229"/>
        <v/>
      </c>
      <c r="DK193" s="1" t="str">
        <f t="shared" si="101"/>
        <v/>
      </c>
      <c r="DL193" s="1" t="str">
        <f t="shared" si="102"/>
        <v/>
      </c>
      <c r="DM193" s="1" t="str">
        <f t="shared" si="103"/>
        <v/>
      </c>
    </row>
    <row r="194" customHeight="1" spans="1:117">
      <c r="A194" s="152" t="str">
        <f t="shared" si="239"/>
        <v/>
      </c>
      <c r="C194" s="55" t="str">
        <f t="shared" si="5"/>
        <v/>
      </c>
      <c r="D194" s="150" t="str">
        <f t="shared" si="6"/>
        <v/>
      </c>
      <c r="E194" s="151" t="str">
        <f t="shared" si="180"/>
        <v/>
      </c>
      <c r="F194" s="151" t="str">
        <f t="shared" si="181"/>
        <v/>
      </c>
      <c r="G194" s="151" t="str">
        <f t="shared" si="182"/>
        <v/>
      </c>
      <c r="H194" s="151" t="str">
        <f t="shared" si="183"/>
        <v/>
      </c>
      <c r="I194" s="151" t="str">
        <f t="shared" si="184"/>
        <v/>
      </c>
      <c r="J194" s="171" t="str">
        <f t="shared" si="185"/>
        <v/>
      </c>
      <c r="K194" s="172" t="str">
        <f t="shared" si="240"/>
        <v/>
      </c>
      <c r="L194" s="172" t="str">
        <f t="shared" si="241"/>
        <v/>
      </c>
      <c r="M194" s="173" t="str">
        <f t="shared" si="242"/>
        <v/>
      </c>
      <c r="N194" s="54" t="str">
        <f t="shared" si="186"/>
        <v/>
      </c>
      <c r="O194" s="55" t="str">
        <f t="shared" si="187"/>
        <v/>
      </c>
      <c r="P194" s="55" t="str">
        <f t="shared" si="15"/>
        <v/>
      </c>
      <c r="Q194" s="56" t="str">
        <f t="shared" si="188"/>
        <v/>
      </c>
      <c r="R194" s="56" t="str">
        <f t="shared" si="189"/>
        <v/>
      </c>
      <c r="S194" s="56" t="str">
        <f t="shared" si="190"/>
        <v/>
      </c>
      <c r="T194" s="56" t="str">
        <f t="shared" si="191"/>
        <v/>
      </c>
      <c r="U194" s="180" t="str">
        <f t="shared" si="192"/>
        <v/>
      </c>
      <c r="V194" s="55" t="str">
        <f t="shared" si="193"/>
        <v/>
      </c>
      <c r="W194" s="55" t="str">
        <f t="shared" si="194"/>
        <v/>
      </c>
      <c r="X194" s="56" t="str">
        <f t="shared" si="195"/>
        <v/>
      </c>
      <c r="Y194" s="180" t="str">
        <f t="shared" si="196"/>
        <v/>
      </c>
      <c r="Z194" s="55" t="str">
        <f t="shared" si="197"/>
        <v/>
      </c>
      <c r="AA194" s="55" t="str">
        <f t="shared" si="198"/>
        <v/>
      </c>
      <c r="AB194" s="150" t="str">
        <f t="shared" si="199"/>
        <v/>
      </c>
      <c r="AC194" s="188">
        <v>185</v>
      </c>
      <c r="AD194" s="1" t="b">
        <f t="shared" si="28"/>
        <v>0</v>
      </c>
      <c r="AE194" s="1" t="str">
        <f t="shared" si="29"/>
        <v/>
      </c>
      <c r="AF194" s="1" t="str">
        <f t="shared" si="30"/>
        <v/>
      </c>
      <c r="AG194" s="1" t="str">
        <f t="shared" si="31"/>
        <v/>
      </c>
      <c r="AH194" s="1" t="str">
        <f t="shared" si="200"/>
        <v/>
      </c>
      <c r="AI194" s="1" t="str">
        <f t="shared" si="33"/>
        <v/>
      </c>
      <c r="AJ194" s="191" t="str">
        <f t="shared" si="237"/>
        <v/>
      </c>
      <c r="AK194" s="191" t="str">
        <f t="shared" si="238"/>
        <v/>
      </c>
      <c r="AL194" s="191" t="str">
        <f t="shared" si="201"/>
        <v/>
      </c>
      <c r="AM194" s="1" t="str">
        <f t="shared" si="202"/>
        <v/>
      </c>
      <c r="AN194" s="191" t="str">
        <f t="shared" si="203"/>
        <v/>
      </c>
      <c r="AO194" s="134" t="str">
        <f t="shared" si="204"/>
        <v/>
      </c>
      <c r="AP194" s="64" t="str">
        <f t="shared" si="38"/>
        <v/>
      </c>
      <c r="AQ194" s="1" t="str">
        <f t="shared" si="230"/>
        <v/>
      </c>
      <c r="AR194" s="1" t="str">
        <f t="shared" si="205"/>
        <v/>
      </c>
      <c r="AS194" s="1" t="str">
        <f t="shared" si="206"/>
        <v/>
      </c>
      <c r="AT194" s="134" t="str">
        <f t="shared" si="207"/>
        <v/>
      </c>
      <c r="AU194" s="64" t="str">
        <f t="shared" si="208"/>
        <v/>
      </c>
      <c r="AV194" s="65" t="str">
        <f t="shared" si="209"/>
        <v/>
      </c>
      <c r="AW194" s="65" t="str">
        <f t="shared" si="210"/>
        <v/>
      </c>
      <c r="AX194" s="1" t="str">
        <f t="shared" si="211"/>
        <v/>
      </c>
      <c r="AY194" s="1" t="str">
        <f t="shared" si="212"/>
        <v/>
      </c>
      <c r="AZ194" s="131" t="str">
        <f t="shared" si="213"/>
        <v/>
      </c>
      <c r="BA194" s="1" t="str">
        <f t="shared" si="214"/>
        <v/>
      </c>
      <c r="BB194" s="1" t="str">
        <f t="shared" si="49"/>
        <v/>
      </c>
      <c r="BC194" s="1" t="str">
        <f t="shared" si="50"/>
        <v/>
      </c>
      <c r="BD194" s="1" t="str">
        <f t="shared" si="215"/>
        <v/>
      </c>
      <c r="BE194" s="1" t="str">
        <f t="shared" si="216"/>
        <v/>
      </c>
      <c r="BF194" s="1" t="str">
        <f t="shared" si="53"/>
        <v/>
      </c>
      <c r="BG194" s="1" t="str">
        <f t="shared" si="217"/>
        <v/>
      </c>
      <c r="BH194" s="1" t="str">
        <f t="shared" si="218"/>
        <v/>
      </c>
      <c r="BI194" s="1" t="str">
        <f t="shared" si="219"/>
        <v/>
      </c>
      <c r="BJ194" s="1" t="str">
        <f t="shared" si="220"/>
        <v/>
      </c>
      <c r="BK194" s="1" t="str">
        <f t="shared" si="221"/>
        <v/>
      </c>
      <c r="BL194" s="1" t="str">
        <f t="shared" si="222"/>
        <v/>
      </c>
      <c r="BM194" s="1" t="str">
        <f t="shared" si="223"/>
        <v/>
      </c>
      <c r="BN194" s="1" t="str">
        <f t="shared" si="224"/>
        <v/>
      </c>
      <c r="BO194" s="1" t="str">
        <f t="shared" si="225"/>
        <v/>
      </c>
      <c r="BQ194" s="1" t="str">
        <f t="shared" si="63"/>
        <v/>
      </c>
      <c r="BR194" s="1" t="str">
        <f t="shared" si="64"/>
        <v/>
      </c>
      <c r="BS194" s="1" t="str">
        <f t="shared" si="65"/>
        <v/>
      </c>
      <c r="BT194" s="1" t="str">
        <f t="shared" si="66"/>
        <v/>
      </c>
      <c r="BU194" s="1" t="str">
        <f t="shared" si="67"/>
        <v/>
      </c>
      <c r="BV194" s="1" t="str">
        <f t="shared" si="68"/>
        <v/>
      </c>
      <c r="BW194" s="1" t="str">
        <f t="shared" si="69"/>
        <v/>
      </c>
      <c r="BX194" s="1" t="str">
        <f t="shared" si="70"/>
        <v/>
      </c>
      <c r="BY194" s="1" t="str">
        <f t="shared" si="226"/>
        <v/>
      </c>
      <c r="BZ194" s="1" t="str">
        <f t="shared" si="72"/>
        <v/>
      </c>
      <c r="CA194" s="1" t="str">
        <f t="shared" si="73"/>
        <v/>
      </c>
      <c r="CB194" s="1" t="str">
        <f t="shared" si="74"/>
        <v/>
      </c>
      <c r="CC194" s="1" t="str">
        <f t="shared" si="75"/>
        <v/>
      </c>
      <c r="CD194" s="1" t="str">
        <f t="shared" si="227"/>
        <v/>
      </c>
      <c r="CE194" s="1" t="str">
        <f t="shared" si="77"/>
        <v/>
      </c>
      <c r="CF194" s="1" t="str">
        <f t="shared" si="78"/>
        <v/>
      </c>
      <c r="CG194" s="1" t="str">
        <f t="shared" si="79"/>
        <v/>
      </c>
      <c r="CH194" s="1" t="str">
        <f t="shared" si="80"/>
        <v/>
      </c>
      <c r="CJ194" s="1" t="str">
        <f t="shared" si="81"/>
        <v/>
      </c>
      <c r="CK194" s="1" t="str">
        <f t="shared" si="82"/>
        <v/>
      </c>
      <c r="CL194" s="1" t="str">
        <f t="shared" si="83"/>
        <v/>
      </c>
      <c r="CM194" s="1" t="str">
        <f t="shared" si="84"/>
        <v/>
      </c>
      <c r="CN194" s="1" t="str">
        <f t="shared" si="85"/>
        <v/>
      </c>
      <c r="CO194" s="1" t="str">
        <f t="shared" si="86"/>
        <v/>
      </c>
      <c r="CP194" s="1" t="str">
        <f t="shared" si="87"/>
        <v/>
      </c>
      <c r="CR194" s="1" t="str">
        <f t="shared" si="88"/>
        <v/>
      </c>
      <c r="CS194" s="1" t="str">
        <f t="shared" si="89"/>
        <v/>
      </c>
      <c r="CT194" s="1" t="str">
        <f t="shared" si="90"/>
        <v/>
      </c>
      <c r="CU194" s="1" t="str">
        <f t="shared" si="91"/>
        <v/>
      </c>
      <c r="CV194" s="1" t="str">
        <f t="shared" si="92"/>
        <v/>
      </c>
      <c r="DC194" s="154" t="e">
        <f t="shared" si="93"/>
        <v>#VALUE!</v>
      </c>
      <c r="DD194" s="154" t="str">
        <f t="shared" si="94"/>
        <v/>
      </c>
      <c r="DE194" s="154" t="str">
        <f t="shared" si="95"/>
        <v/>
      </c>
      <c r="DF194" s="1" t="str">
        <f t="shared" si="96"/>
        <v/>
      </c>
      <c r="DG194" s="1" t="str">
        <f t="shared" si="97"/>
        <v/>
      </c>
      <c r="DH194" s="1" t="str">
        <f t="shared" si="98"/>
        <v/>
      </c>
      <c r="DI194" s="1" t="str">
        <f t="shared" si="228"/>
        <v/>
      </c>
      <c r="DJ194" s="1" t="str">
        <f t="shared" si="229"/>
        <v/>
      </c>
      <c r="DK194" s="1" t="str">
        <f t="shared" si="101"/>
        <v/>
      </c>
      <c r="DL194" s="1" t="str">
        <f t="shared" si="102"/>
        <v/>
      </c>
      <c r="DM194" s="1" t="str">
        <f t="shared" si="103"/>
        <v/>
      </c>
    </row>
    <row r="195" customHeight="1" spans="1:117">
      <c r="A195" s="152" t="str">
        <f t="shared" si="239"/>
        <v/>
      </c>
      <c r="C195" s="55" t="str">
        <f t="shared" si="5"/>
        <v/>
      </c>
      <c r="D195" s="150" t="str">
        <f t="shared" si="6"/>
        <v/>
      </c>
      <c r="E195" s="151" t="str">
        <f t="shared" si="180"/>
        <v/>
      </c>
      <c r="F195" s="151" t="str">
        <f t="shared" si="181"/>
        <v/>
      </c>
      <c r="G195" s="151" t="str">
        <f t="shared" si="182"/>
        <v/>
      </c>
      <c r="H195" s="151" t="str">
        <f t="shared" si="183"/>
        <v/>
      </c>
      <c r="I195" s="151" t="str">
        <f t="shared" si="184"/>
        <v/>
      </c>
      <c r="J195" s="171" t="str">
        <f t="shared" si="185"/>
        <v/>
      </c>
      <c r="K195" s="172" t="str">
        <f t="shared" si="240"/>
        <v/>
      </c>
      <c r="L195" s="172" t="str">
        <f t="shared" si="241"/>
        <v/>
      </c>
      <c r="M195" s="173" t="str">
        <f t="shared" si="242"/>
        <v/>
      </c>
      <c r="N195" s="54" t="str">
        <f t="shared" si="186"/>
        <v/>
      </c>
      <c r="O195" s="55" t="str">
        <f t="shared" si="187"/>
        <v/>
      </c>
      <c r="P195" s="55" t="str">
        <f t="shared" si="15"/>
        <v/>
      </c>
      <c r="Q195" s="56" t="str">
        <f t="shared" si="188"/>
        <v/>
      </c>
      <c r="R195" s="56" t="str">
        <f t="shared" si="189"/>
        <v/>
      </c>
      <c r="S195" s="56" t="str">
        <f t="shared" si="190"/>
        <v/>
      </c>
      <c r="T195" s="56" t="str">
        <f t="shared" si="191"/>
        <v/>
      </c>
      <c r="U195" s="180" t="str">
        <f t="shared" si="192"/>
        <v/>
      </c>
      <c r="V195" s="55" t="str">
        <f t="shared" si="193"/>
        <v/>
      </c>
      <c r="W195" s="55" t="str">
        <f t="shared" si="194"/>
        <v/>
      </c>
      <c r="X195" s="56" t="str">
        <f t="shared" si="195"/>
        <v/>
      </c>
      <c r="Y195" s="180" t="str">
        <f t="shared" si="196"/>
        <v/>
      </c>
      <c r="Z195" s="55" t="str">
        <f t="shared" si="197"/>
        <v/>
      </c>
      <c r="AA195" s="55" t="str">
        <f t="shared" si="198"/>
        <v/>
      </c>
      <c r="AB195" s="150" t="str">
        <f t="shared" si="199"/>
        <v/>
      </c>
      <c r="AC195" s="188">
        <v>186</v>
      </c>
      <c r="AD195" s="1" t="b">
        <f t="shared" si="28"/>
        <v>0</v>
      </c>
      <c r="AE195" s="1" t="str">
        <f t="shared" si="29"/>
        <v/>
      </c>
      <c r="AF195" s="1" t="str">
        <f t="shared" si="30"/>
        <v/>
      </c>
      <c r="AG195" s="1" t="str">
        <f t="shared" si="31"/>
        <v/>
      </c>
      <c r="AH195" s="1" t="str">
        <f t="shared" si="200"/>
        <v/>
      </c>
      <c r="AI195" s="1" t="str">
        <f t="shared" si="33"/>
        <v/>
      </c>
      <c r="AJ195" s="191" t="str">
        <f t="shared" si="237"/>
        <v/>
      </c>
      <c r="AK195" s="191" t="str">
        <f t="shared" si="238"/>
        <v/>
      </c>
      <c r="AL195" s="191" t="str">
        <f t="shared" si="201"/>
        <v/>
      </c>
      <c r="AM195" s="1" t="str">
        <f t="shared" si="202"/>
        <v/>
      </c>
      <c r="AN195" s="191" t="str">
        <f t="shared" si="203"/>
        <v/>
      </c>
      <c r="AO195" s="134" t="str">
        <f t="shared" si="204"/>
        <v/>
      </c>
      <c r="AP195" s="64" t="str">
        <f t="shared" si="38"/>
        <v/>
      </c>
      <c r="AQ195" s="1" t="str">
        <f t="shared" si="230"/>
        <v/>
      </c>
      <c r="AR195" s="1" t="str">
        <f t="shared" si="205"/>
        <v/>
      </c>
      <c r="AS195" s="1" t="str">
        <f t="shared" si="206"/>
        <v/>
      </c>
      <c r="AT195" s="134" t="str">
        <f t="shared" si="207"/>
        <v/>
      </c>
      <c r="AU195" s="64" t="str">
        <f t="shared" si="208"/>
        <v/>
      </c>
      <c r="AV195" s="65" t="str">
        <f t="shared" si="209"/>
        <v/>
      </c>
      <c r="AW195" s="65" t="str">
        <f t="shared" si="210"/>
        <v/>
      </c>
      <c r="AX195" s="1" t="str">
        <f t="shared" si="211"/>
        <v/>
      </c>
      <c r="AY195" s="1" t="str">
        <f t="shared" si="212"/>
        <v/>
      </c>
      <c r="AZ195" s="131" t="str">
        <f t="shared" si="213"/>
        <v/>
      </c>
      <c r="BA195" s="1" t="str">
        <f t="shared" si="214"/>
        <v/>
      </c>
      <c r="BB195" s="1" t="str">
        <f t="shared" si="49"/>
        <v/>
      </c>
      <c r="BC195" s="1" t="str">
        <f t="shared" si="50"/>
        <v/>
      </c>
      <c r="BD195" s="1" t="str">
        <f t="shared" si="215"/>
        <v/>
      </c>
      <c r="BE195" s="1" t="str">
        <f t="shared" si="216"/>
        <v/>
      </c>
      <c r="BF195" s="1" t="str">
        <f t="shared" si="53"/>
        <v/>
      </c>
      <c r="BG195" s="1" t="str">
        <f t="shared" si="217"/>
        <v/>
      </c>
      <c r="BH195" s="1" t="str">
        <f t="shared" si="218"/>
        <v/>
      </c>
      <c r="BI195" s="1" t="str">
        <f t="shared" si="219"/>
        <v/>
      </c>
      <c r="BJ195" s="1" t="str">
        <f t="shared" si="220"/>
        <v/>
      </c>
      <c r="BK195" s="1" t="str">
        <f t="shared" si="221"/>
        <v/>
      </c>
      <c r="BL195" s="1" t="str">
        <f t="shared" si="222"/>
        <v/>
      </c>
      <c r="BM195" s="1" t="str">
        <f t="shared" si="223"/>
        <v/>
      </c>
      <c r="BN195" s="1" t="str">
        <f t="shared" si="224"/>
        <v/>
      </c>
      <c r="BO195" s="1" t="str">
        <f t="shared" si="225"/>
        <v/>
      </c>
      <c r="BQ195" s="1" t="str">
        <f t="shared" si="63"/>
        <v/>
      </c>
      <c r="BR195" s="1" t="str">
        <f t="shared" si="64"/>
        <v/>
      </c>
      <c r="BS195" s="1" t="str">
        <f t="shared" si="65"/>
        <v/>
      </c>
      <c r="BT195" s="1" t="str">
        <f t="shared" si="66"/>
        <v/>
      </c>
      <c r="BU195" s="1" t="str">
        <f t="shared" si="67"/>
        <v/>
      </c>
      <c r="BV195" s="1" t="str">
        <f t="shared" si="68"/>
        <v/>
      </c>
      <c r="BW195" s="1" t="str">
        <f t="shared" si="69"/>
        <v/>
      </c>
      <c r="BX195" s="1" t="str">
        <f t="shared" si="70"/>
        <v/>
      </c>
      <c r="BY195" s="1" t="str">
        <f t="shared" si="226"/>
        <v/>
      </c>
      <c r="BZ195" s="1" t="str">
        <f t="shared" si="72"/>
        <v/>
      </c>
      <c r="CA195" s="1" t="str">
        <f t="shared" si="73"/>
        <v/>
      </c>
      <c r="CB195" s="1" t="str">
        <f t="shared" si="74"/>
        <v/>
      </c>
      <c r="CC195" s="1" t="str">
        <f t="shared" si="75"/>
        <v/>
      </c>
      <c r="CD195" s="1" t="str">
        <f t="shared" si="227"/>
        <v/>
      </c>
      <c r="CE195" s="1" t="str">
        <f t="shared" si="77"/>
        <v/>
      </c>
      <c r="CF195" s="1" t="str">
        <f t="shared" si="78"/>
        <v/>
      </c>
      <c r="CG195" s="1" t="str">
        <f t="shared" si="79"/>
        <v/>
      </c>
      <c r="CH195" s="1" t="str">
        <f t="shared" si="80"/>
        <v/>
      </c>
      <c r="CJ195" s="1" t="str">
        <f t="shared" si="81"/>
        <v/>
      </c>
      <c r="CK195" s="1" t="str">
        <f t="shared" si="82"/>
        <v/>
      </c>
      <c r="CL195" s="1" t="str">
        <f t="shared" si="83"/>
        <v/>
      </c>
      <c r="CM195" s="1" t="str">
        <f t="shared" si="84"/>
        <v/>
      </c>
      <c r="CN195" s="1" t="str">
        <f t="shared" si="85"/>
        <v/>
      </c>
      <c r="CO195" s="1" t="str">
        <f t="shared" si="86"/>
        <v/>
      </c>
      <c r="CP195" s="1" t="str">
        <f t="shared" si="87"/>
        <v/>
      </c>
      <c r="CR195" s="1" t="str">
        <f t="shared" si="88"/>
        <v/>
      </c>
      <c r="CS195" s="1" t="str">
        <f t="shared" si="89"/>
        <v/>
      </c>
      <c r="CT195" s="1" t="str">
        <f t="shared" si="90"/>
        <v/>
      </c>
      <c r="CU195" s="1" t="str">
        <f t="shared" si="91"/>
        <v/>
      </c>
      <c r="CV195" s="1" t="str">
        <f t="shared" si="92"/>
        <v/>
      </c>
      <c r="DC195" s="154" t="e">
        <f t="shared" si="93"/>
        <v>#VALUE!</v>
      </c>
      <c r="DD195" s="154" t="str">
        <f t="shared" si="94"/>
        <v/>
      </c>
      <c r="DE195" s="154" t="str">
        <f t="shared" si="95"/>
        <v/>
      </c>
      <c r="DF195" s="1" t="str">
        <f t="shared" si="96"/>
        <v/>
      </c>
      <c r="DG195" s="1" t="str">
        <f t="shared" si="97"/>
        <v/>
      </c>
      <c r="DH195" s="1" t="str">
        <f t="shared" si="98"/>
        <v/>
      </c>
      <c r="DI195" s="1" t="str">
        <f t="shared" si="228"/>
        <v/>
      </c>
      <c r="DJ195" s="1" t="str">
        <f t="shared" si="229"/>
        <v/>
      </c>
      <c r="DK195" s="1" t="str">
        <f t="shared" si="101"/>
        <v/>
      </c>
      <c r="DL195" s="1" t="str">
        <f t="shared" si="102"/>
        <v/>
      </c>
      <c r="DM195" s="1" t="str">
        <f t="shared" si="103"/>
        <v/>
      </c>
    </row>
    <row r="196" customHeight="1" spans="1:117">
      <c r="A196" s="152" t="str">
        <f t="shared" si="239"/>
        <v/>
      </c>
      <c r="C196" s="55" t="str">
        <f t="shared" si="5"/>
        <v/>
      </c>
      <c r="D196" s="150" t="str">
        <f t="shared" si="6"/>
        <v/>
      </c>
      <c r="E196" s="151" t="str">
        <f t="shared" si="180"/>
        <v/>
      </c>
      <c r="F196" s="151" t="str">
        <f t="shared" si="181"/>
        <v/>
      </c>
      <c r="G196" s="151" t="str">
        <f t="shared" si="182"/>
        <v/>
      </c>
      <c r="H196" s="151" t="str">
        <f t="shared" si="183"/>
        <v/>
      </c>
      <c r="I196" s="151" t="str">
        <f t="shared" si="184"/>
        <v/>
      </c>
      <c r="J196" s="171" t="str">
        <f t="shared" si="185"/>
        <v/>
      </c>
      <c r="K196" s="172" t="str">
        <f t="shared" si="240"/>
        <v/>
      </c>
      <c r="L196" s="172" t="str">
        <f t="shared" si="241"/>
        <v/>
      </c>
      <c r="M196" s="173" t="str">
        <f t="shared" si="242"/>
        <v/>
      </c>
      <c r="N196" s="54" t="str">
        <f t="shared" si="186"/>
        <v/>
      </c>
      <c r="O196" s="55" t="str">
        <f t="shared" si="187"/>
        <v/>
      </c>
      <c r="P196" s="55" t="str">
        <f t="shared" si="15"/>
        <v/>
      </c>
      <c r="Q196" s="56" t="str">
        <f t="shared" si="188"/>
        <v/>
      </c>
      <c r="R196" s="56" t="str">
        <f t="shared" si="189"/>
        <v/>
      </c>
      <c r="S196" s="56" t="str">
        <f t="shared" si="190"/>
        <v/>
      </c>
      <c r="T196" s="56" t="str">
        <f t="shared" si="191"/>
        <v/>
      </c>
      <c r="U196" s="180" t="str">
        <f t="shared" si="192"/>
        <v/>
      </c>
      <c r="V196" s="55" t="str">
        <f t="shared" si="193"/>
        <v/>
      </c>
      <c r="W196" s="55" t="str">
        <f t="shared" si="194"/>
        <v/>
      </c>
      <c r="X196" s="56" t="str">
        <f t="shared" si="195"/>
        <v/>
      </c>
      <c r="Y196" s="180" t="str">
        <f t="shared" si="196"/>
        <v/>
      </c>
      <c r="Z196" s="55" t="str">
        <f t="shared" si="197"/>
        <v/>
      </c>
      <c r="AA196" s="55" t="str">
        <f t="shared" si="198"/>
        <v/>
      </c>
      <c r="AB196" s="150" t="str">
        <f t="shared" si="199"/>
        <v/>
      </c>
      <c r="AC196" s="188">
        <v>187</v>
      </c>
      <c r="AD196" s="1" t="b">
        <f t="shared" si="28"/>
        <v>0</v>
      </c>
      <c r="AE196" s="1" t="str">
        <f t="shared" si="29"/>
        <v/>
      </c>
      <c r="AF196" s="1" t="str">
        <f t="shared" si="30"/>
        <v/>
      </c>
      <c r="AG196" s="1" t="str">
        <f t="shared" si="31"/>
        <v/>
      </c>
      <c r="AH196" s="1" t="str">
        <f t="shared" si="200"/>
        <v/>
      </c>
      <c r="AI196" s="1" t="str">
        <f t="shared" si="33"/>
        <v/>
      </c>
      <c r="AJ196" s="191" t="str">
        <f t="shared" si="237"/>
        <v/>
      </c>
      <c r="AK196" s="191" t="str">
        <f t="shared" si="238"/>
        <v/>
      </c>
      <c r="AL196" s="191" t="str">
        <f t="shared" si="201"/>
        <v/>
      </c>
      <c r="AM196" s="1" t="str">
        <f t="shared" si="202"/>
        <v/>
      </c>
      <c r="AN196" s="191" t="str">
        <f t="shared" si="203"/>
        <v/>
      </c>
      <c r="AO196" s="134" t="str">
        <f t="shared" si="204"/>
        <v/>
      </c>
      <c r="AP196" s="64" t="str">
        <f t="shared" si="38"/>
        <v/>
      </c>
      <c r="AQ196" s="1" t="str">
        <f t="shared" si="230"/>
        <v/>
      </c>
      <c r="AR196" s="1" t="str">
        <f t="shared" si="205"/>
        <v/>
      </c>
      <c r="AS196" s="1" t="str">
        <f t="shared" si="206"/>
        <v/>
      </c>
      <c r="AT196" s="134" t="str">
        <f t="shared" si="207"/>
        <v/>
      </c>
      <c r="AU196" s="64" t="str">
        <f t="shared" si="208"/>
        <v/>
      </c>
      <c r="AV196" s="65" t="str">
        <f t="shared" si="209"/>
        <v/>
      </c>
      <c r="AW196" s="65" t="str">
        <f t="shared" si="210"/>
        <v/>
      </c>
      <c r="AX196" s="1" t="str">
        <f t="shared" si="211"/>
        <v/>
      </c>
      <c r="AY196" s="1" t="str">
        <f t="shared" si="212"/>
        <v/>
      </c>
      <c r="AZ196" s="131" t="str">
        <f t="shared" si="213"/>
        <v/>
      </c>
      <c r="BA196" s="1" t="str">
        <f t="shared" si="214"/>
        <v/>
      </c>
      <c r="BB196" s="1" t="str">
        <f t="shared" si="49"/>
        <v/>
      </c>
      <c r="BC196" s="1" t="str">
        <f t="shared" si="50"/>
        <v/>
      </c>
      <c r="BD196" s="1" t="str">
        <f t="shared" si="215"/>
        <v/>
      </c>
      <c r="BE196" s="1" t="str">
        <f t="shared" si="216"/>
        <v/>
      </c>
      <c r="BF196" s="1" t="str">
        <f t="shared" si="53"/>
        <v/>
      </c>
      <c r="BG196" s="1" t="str">
        <f t="shared" si="217"/>
        <v/>
      </c>
      <c r="BH196" s="1" t="str">
        <f t="shared" si="218"/>
        <v/>
      </c>
      <c r="BI196" s="1" t="str">
        <f t="shared" si="219"/>
        <v/>
      </c>
      <c r="BJ196" s="1" t="str">
        <f t="shared" si="220"/>
        <v/>
      </c>
      <c r="BK196" s="1" t="str">
        <f t="shared" si="221"/>
        <v/>
      </c>
      <c r="BL196" s="1" t="str">
        <f t="shared" si="222"/>
        <v/>
      </c>
      <c r="BM196" s="1" t="str">
        <f t="shared" si="223"/>
        <v/>
      </c>
      <c r="BN196" s="1" t="str">
        <f t="shared" si="224"/>
        <v/>
      </c>
      <c r="BO196" s="1" t="str">
        <f t="shared" si="225"/>
        <v/>
      </c>
      <c r="BQ196" s="1" t="str">
        <f t="shared" si="63"/>
        <v/>
      </c>
      <c r="BR196" s="1" t="str">
        <f t="shared" si="64"/>
        <v/>
      </c>
      <c r="BS196" s="1" t="str">
        <f t="shared" si="65"/>
        <v/>
      </c>
      <c r="BT196" s="1" t="str">
        <f t="shared" si="66"/>
        <v/>
      </c>
      <c r="BU196" s="1" t="str">
        <f t="shared" si="67"/>
        <v/>
      </c>
      <c r="BV196" s="1" t="str">
        <f t="shared" si="68"/>
        <v/>
      </c>
      <c r="BW196" s="1" t="str">
        <f t="shared" si="69"/>
        <v/>
      </c>
      <c r="BX196" s="1" t="str">
        <f t="shared" si="70"/>
        <v/>
      </c>
      <c r="BY196" s="1" t="str">
        <f t="shared" si="226"/>
        <v/>
      </c>
      <c r="BZ196" s="1" t="str">
        <f t="shared" si="72"/>
        <v/>
      </c>
      <c r="CA196" s="1" t="str">
        <f t="shared" si="73"/>
        <v/>
      </c>
      <c r="CB196" s="1" t="str">
        <f t="shared" si="74"/>
        <v/>
      </c>
      <c r="CC196" s="1" t="str">
        <f t="shared" si="75"/>
        <v/>
      </c>
      <c r="CD196" s="1" t="str">
        <f t="shared" si="227"/>
        <v/>
      </c>
      <c r="CE196" s="1" t="str">
        <f t="shared" si="77"/>
        <v/>
      </c>
      <c r="CF196" s="1" t="str">
        <f t="shared" si="78"/>
        <v/>
      </c>
      <c r="CG196" s="1" t="str">
        <f t="shared" si="79"/>
        <v/>
      </c>
      <c r="CH196" s="1" t="str">
        <f t="shared" si="80"/>
        <v/>
      </c>
      <c r="CJ196" s="1" t="str">
        <f t="shared" si="81"/>
        <v/>
      </c>
      <c r="CK196" s="1" t="str">
        <f t="shared" si="82"/>
        <v/>
      </c>
      <c r="CL196" s="1" t="str">
        <f t="shared" si="83"/>
        <v/>
      </c>
      <c r="CM196" s="1" t="str">
        <f t="shared" si="84"/>
        <v/>
      </c>
      <c r="CN196" s="1" t="str">
        <f t="shared" si="85"/>
        <v/>
      </c>
      <c r="CO196" s="1" t="str">
        <f t="shared" si="86"/>
        <v/>
      </c>
      <c r="CP196" s="1" t="str">
        <f t="shared" si="87"/>
        <v/>
      </c>
      <c r="CR196" s="1" t="str">
        <f t="shared" si="88"/>
        <v/>
      </c>
      <c r="CS196" s="1" t="str">
        <f t="shared" si="89"/>
        <v/>
      </c>
      <c r="CT196" s="1" t="str">
        <f t="shared" si="90"/>
        <v/>
      </c>
      <c r="CU196" s="1" t="str">
        <f t="shared" si="91"/>
        <v/>
      </c>
      <c r="CV196" s="1" t="str">
        <f t="shared" si="92"/>
        <v/>
      </c>
      <c r="DC196" s="154" t="e">
        <f t="shared" si="93"/>
        <v>#VALUE!</v>
      </c>
      <c r="DD196" s="154" t="str">
        <f t="shared" si="94"/>
        <v/>
      </c>
      <c r="DE196" s="154" t="str">
        <f t="shared" si="95"/>
        <v/>
      </c>
      <c r="DF196" s="1" t="str">
        <f t="shared" si="96"/>
        <v/>
      </c>
      <c r="DG196" s="1" t="str">
        <f t="shared" si="97"/>
        <v/>
      </c>
      <c r="DH196" s="1" t="str">
        <f t="shared" si="98"/>
        <v/>
      </c>
      <c r="DI196" s="1" t="str">
        <f t="shared" si="228"/>
        <v/>
      </c>
      <c r="DJ196" s="1" t="str">
        <f t="shared" si="229"/>
        <v/>
      </c>
      <c r="DK196" s="1" t="str">
        <f t="shared" si="101"/>
        <v/>
      </c>
      <c r="DL196" s="1" t="str">
        <f t="shared" si="102"/>
        <v/>
      </c>
      <c r="DM196" s="1" t="str">
        <f t="shared" si="103"/>
        <v/>
      </c>
    </row>
    <row r="197" customHeight="1" spans="1:117">
      <c r="A197" s="152" t="str">
        <f t="shared" si="239"/>
        <v/>
      </c>
      <c r="C197" s="55" t="str">
        <f t="shared" si="5"/>
        <v/>
      </c>
      <c r="D197" s="150" t="str">
        <f t="shared" si="6"/>
        <v/>
      </c>
      <c r="E197" s="151" t="str">
        <f t="shared" si="180"/>
        <v/>
      </c>
      <c r="F197" s="151" t="str">
        <f t="shared" si="181"/>
        <v/>
      </c>
      <c r="G197" s="151" t="str">
        <f t="shared" si="182"/>
        <v/>
      </c>
      <c r="H197" s="151" t="str">
        <f t="shared" si="183"/>
        <v/>
      </c>
      <c r="I197" s="151" t="str">
        <f t="shared" si="184"/>
        <v/>
      </c>
      <c r="J197" s="171" t="str">
        <f t="shared" si="185"/>
        <v/>
      </c>
      <c r="K197" s="172" t="str">
        <f t="shared" si="240"/>
        <v/>
      </c>
      <c r="L197" s="172" t="str">
        <f t="shared" si="241"/>
        <v/>
      </c>
      <c r="M197" s="173" t="str">
        <f t="shared" si="242"/>
        <v/>
      </c>
      <c r="N197" s="54" t="str">
        <f t="shared" si="186"/>
        <v/>
      </c>
      <c r="O197" s="55" t="str">
        <f t="shared" si="187"/>
        <v/>
      </c>
      <c r="P197" s="55" t="str">
        <f t="shared" si="15"/>
        <v/>
      </c>
      <c r="Q197" s="56" t="str">
        <f t="shared" si="188"/>
        <v/>
      </c>
      <c r="R197" s="56" t="str">
        <f t="shared" si="189"/>
        <v/>
      </c>
      <c r="S197" s="56" t="str">
        <f t="shared" si="190"/>
        <v/>
      </c>
      <c r="T197" s="56" t="str">
        <f t="shared" si="191"/>
        <v/>
      </c>
      <c r="U197" s="180" t="str">
        <f t="shared" si="192"/>
        <v/>
      </c>
      <c r="V197" s="55" t="str">
        <f t="shared" si="193"/>
        <v/>
      </c>
      <c r="W197" s="55" t="str">
        <f t="shared" si="194"/>
        <v/>
      </c>
      <c r="X197" s="56" t="str">
        <f t="shared" si="195"/>
        <v/>
      </c>
      <c r="Y197" s="180" t="str">
        <f t="shared" si="196"/>
        <v/>
      </c>
      <c r="Z197" s="55" t="str">
        <f t="shared" si="197"/>
        <v/>
      </c>
      <c r="AA197" s="55" t="str">
        <f t="shared" si="198"/>
        <v/>
      </c>
      <c r="AB197" s="150" t="str">
        <f t="shared" si="199"/>
        <v/>
      </c>
      <c r="AC197" s="188">
        <v>188</v>
      </c>
      <c r="AD197" s="1" t="b">
        <f t="shared" si="28"/>
        <v>0</v>
      </c>
      <c r="AE197" s="1" t="str">
        <f t="shared" si="29"/>
        <v/>
      </c>
      <c r="AF197" s="1" t="str">
        <f t="shared" si="30"/>
        <v/>
      </c>
      <c r="AG197" s="1" t="str">
        <f t="shared" si="31"/>
        <v/>
      </c>
      <c r="AH197" s="1" t="str">
        <f t="shared" si="200"/>
        <v/>
      </c>
      <c r="AI197" s="1" t="str">
        <f t="shared" si="33"/>
        <v/>
      </c>
      <c r="AJ197" s="191" t="str">
        <f t="shared" si="237"/>
        <v/>
      </c>
      <c r="AK197" s="191" t="str">
        <f t="shared" si="238"/>
        <v/>
      </c>
      <c r="AL197" s="191" t="str">
        <f t="shared" si="201"/>
        <v/>
      </c>
      <c r="AM197" s="1" t="str">
        <f t="shared" si="202"/>
        <v/>
      </c>
      <c r="AN197" s="191" t="str">
        <f t="shared" si="203"/>
        <v/>
      </c>
      <c r="AO197" s="134" t="str">
        <f t="shared" si="204"/>
        <v/>
      </c>
      <c r="AP197" s="64" t="str">
        <f t="shared" si="38"/>
        <v/>
      </c>
      <c r="AQ197" s="1" t="str">
        <f t="shared" si="230"/>
        <v/>
      </c>
      <c r="AR197" s="1" t="str">
        <f t="shared" si="205"/>
        <v/>
      </c>
      <c r="AS197" s="1" t="str">
        <f t="shared" si="206"/>
        <v/>
      </c>
      <c r="AT197" s="134" t="str">
        <f t="shared" si="207"/>
        <v/>
      </c>
      <c r="AU197" s="64" t="str">
        <f t="shared" si="208"/>
        <v/>
      </c>
      <c r="AV197" s="65" t="str">
        <f t="shared" si="209"/>
        <v/>
      </c>
      <c r="AW197" s="65" t="str">
        <f t="shared" si="210"/>
        <v/>
      </c>
      <c r="AX197" s="1" t="str">
        <f t="shared" si="211"/>
        <v/>
      </c>
      <c r="AY197" s="1" t="str">
        <f t="shared" si="212"/>
        <v/>
      </c>
      <c r="AZ197" s="131" t="str">
        <f t="shared" si="213"/>
        <v/>
      </c>
      <c r="BA197" s="1" t="str">
        <f t="shared" si="214"/>
        <v/>
      </c>
      <c r="BB197" s="1" t="str">
        <f t="shared" si="49"/>
        <v/>
      </c>
      <c r="BC197" s="1" t="str">
        <f t="shared" si="50"/>
        <v/>
      </c>
      <c r="BD197" s="1" t="str">
        <f t="shared" si="215"/>
        <v/>
      </c>
      <c r="BE197" s="1" t="str">
        <f t="shared" si="216"/>
        <v/>
      </c>
      <c r="BF197" s="1" t="str">
        <f t="shared" si="53"/>
        <v/>
      </c>
      <c r="BG197" s="1" t="str">
        <f t="shared" si="217"/>
        <v/>
      </c>
      <c r="BH197" s="1" t="str">
        <f t="shared" si="218"/>
        <v/>
      </c>
      <c r="BI197" s="1" t="str">
        <f t="shared" si="219"/>
        <v/>
      </c>
      <c r="BJ197" s="1" t="str">
        <f t="shared" si="220"/>
        <v/>
      </c>
      <c r="BK197" s="1" t="str">
        <f t="shared" si="221"/>
        <v/>
      </c>
      <c r="BL197" s="1" t="str">
        <f t="shared" si="222"/>
        <v/>
      </c>
      <c r="BM197" s="1" t="str">
        <f t="shared" si="223"/>
        <v/>
      </c>
      <c r="BN197" s="1" t="str">
        <f t="shared" si="224"/>
        <v/>
      </c>
      <c r="BO197" s="1" t="str">
        <f t="shared" si="225"/>
        <v/>
      </c>
      <c r="BQ197" s="1" t="str">
        <f t="shared" si="63"/>
        <v/>
      </c>
      <c r="BR197" s="1" t="str">
        <f t="shared" si="64"/>
        <v/>
      </c>
      <c r="BS197" s="1" t="str">
        <f t="shared" si="65"/>
        <v/>
      </c>
      <c r="BT197" s="1" t="str">
        <f t="shared" si="66"/>
        <v/>
      </c>
      <c r="BU197" s="1" t="str">
        <f t="shared" si="67"/>
        <v/>
      </c>
      <c r="BV197" s="1" t="str">
        <f t="shared" si="68"/>
        <v/>
      </c>
      <c r="BW197" s="1" t="str">
        <f t="shared" si="69"/>
        <v/>
      </c>
      <c r="BX197" s="1" t="str">
        <f t="shared" si="70"/>
        <v/>
      </c>
      <c r="BY197" s="1" t="str">
        <f t="shared" si="226"/>
        <v/>
      </c>
      <c r="BZ197" s="1" t="str">
        <f t="shared" si="72"/>
        <v/>
      </c>
      <c r="CA197" s="1" t="str">
        <f t="shared" si="73"/>
        <v/>
      </c>
      <c r="CB197" s="1" t="str">
        <f t="shared" si="74"/>
        <v/>
      </c>
      <c r="CC197" s="1" t="str">
        <f t="shared" si="75"/>
        <v/>
      </c>
      <c r="CD197" s="1" t="str">
        <f t="shared" si="227"/>
        <v/>
      </c>
      <c r="CE197" s="1" t="str">
        <f t="shared" si="77"/>
        <v/>
      </c>
      <c r="CF197" s="1" t="str">
        <f t="shared" si="78"/>
        <v/>
      </c>
      <c r="CG197" s="1" t="str">
        <f t="shared" si="79"/>
        <v/>
      </c>
      <c r="CH197" s="1" t="str">
        <f t="shared" si="80"/>
        <v/>
      </c>
      <c r="CJ197" s="1" t="str">
        <f t="shared" si="81"/>
        <v/>
      </c>
      <c r="CK197" s="1" t="str">
        <f t="shared" si="82"/>
        <v/>
      </c>
      <c r="CL197" s="1" t="str">
        <f t="shared" si="83"/>
        <v/>
      </c>
      <c r="CM197" s="1" t="str">
        <f t="shared" si="84"/>
        <v/>
      </c>
      <c r="CN197" s="1" t="str">
        <f t="shared" si="85"/>
        <v/>
      </c>
      <c r="CO197" s="1" t="str">
        <f t="shared" si="86"/>
        <v/>
      </c>
      <c r="CP197" s="1" t="str">
        <f t="shared" si="87"/>
        <v/>
      </c>
      <c r="CR197" s="1" t="str">
        <f t="shared" si="88"/>
        <v/>
      </c>
      <c r="CS197" s="1" t="str">
        <f t="shared" si="89"/>
        <v/>
      </c>
      <c r="CT197" s="1" t="str">
        <f t="shared" si="90"/>
        <v/>
      </c>
      <c r="CU197" s="1" t="str">
        <f t="shared" si="91"/>
        <v/>
      </c>
      <c r="CV197" s="1" t="str">
        <f t="shared" si="92"/>
        <v/>
      </c>
      <c r="DC197" s="154" t="e">
        <f t="shared" si="93"/>
        <v>#VALUE!</v>
      </c>
      <c r="DD197" s="154" t="str">
        <f t="shared" si="94"/>
        <v/>
      </c>
      <c r="DE197" s="154" t="str">
        <f t="shared" si="95"/>
        <v/>
      </c>
      <c r="DF197" s="1" t="str">
        <f t="shared" si="96"/>
        <v/>
      </c>
      <c r="DG197" s="1" t="str">
        <f t="shared" si="97"/>
        <v/>
      </c>
      <c r="DH197" s="1" t="str">
        <f t="shared" si="98"/>
        <v/>
      </c>
      <c r="DI197" s="1" t="str">
        <f t="shared" si="228"/>
        <v/>
      </c>
      <c r="DJ197" s="1" t="str">
        <f t="shared" si="229"/>
        <v/>
      </c>
      <c r="DK197" s="1" t="str">
        <f t="shared" si="101"/>
        <v/>
      </c>
      <c r="DL197" s="1" t="str">
        <f t="shared" si="102"/>
        <v/>
      </c>
      <c r="DM197" s="1" t="str">
        <f t="shared" si="103"/>
        <v/>
      </c>
    </row>
    <row r="198" customHeight="1" spans="1:117">
      <c r="A198" s="152" t="str">
        <f t="shared" si="239"/>
        <v/>
      </c>
      <c r="C198" s="55" t="str">
        <f t="shared" si="5"/>
        <v/>
      </c>
      <c r="D198" s="150" t="str">
        <f t="shared" si="6"/>
        <v/>
      </c>
      <c r="E198" s="151" t="str">
        <f t="shared" si="180"/>
        <v/>
      </c>
      <c r="F198" s="151" t="str">
        <f t="shared" si="181"/>
        <v/>
      </c>
      <c r="G198" s="151" t="str">
        <f t="shared" si="182"/>
        <v/>
      </c>
      <c r="H198" s="151" t="str">
        <f t="shared" si="183"/>
        <v/>
      </c>
      <c r="I198" s="151" t="str">
        <f t="shared" si="184"/>
        <v/>
      </c>
      <c r="J198" s="171" t="str">
        <f t="shared" si="185"/>
        <v/>
      </c>
      <c r="K198" s="172" t="str">
        <f t="shared" si="240"/>
        <v/>
      </c>
      <c r="L198" s="172" t="str">
        <f t="shared" si="241"/>
        <v/>
      </c>
      <c r="M198" s="173" t="str">
        <f t="shared" si="242"/>
        <v/>
      </c>
      <c r="N198" s="54" t="str">
        <f t="shared" si="186"/>
        <v/>
      </c>
      <c r="O198" s="55" t="str">
        <f t="shared" si="187"/>
        <v/>
      </c>
      <c r="P198" s="55" t="str">
        <f t="shared" si="15"/>
        <v/>
      </c>
      <c r="Q198" s="56" t="str">
        <f t="shared" si="188"/>
        <v/>
      </c>
      <c r="R198" s="56" t="str">
        <f t="shared" si="189"/>
        <v/>
      </c>
      <c r="S198" s="56" t="str">
        <f t="shared" si="190"/>
        <v/>
      </c>
      <c r="T198" s="56" t="str">
        <f t="shared" si="191"/>
        <v/>
      </c>
      <c r="U198" s="180" t="str">
        <f t="shared" si="192"/>
        <v/>
      </c>
      <c r="V198" s="55" t="str">
        <f t="shared" si="193"/>
        <v/>
      </c>
      <c r="W198" s="55" t="str">
        <f t="shared" si="194"/>
        <v/>
      </c>
      <c r="X198" s="56" t="str">
        <f t="shared" si="195"/>
        <v/>
      </c>
      <c r="Y198" s="180" t="str">
        <f t="shared" si="196"/>
        <v/>
      </c>
      <c r="Z198" s="55" t="str">
        <f t="shared" si="197"/>
        <v/>
      </c>
      <c r="AA198" s="55" t="str">
        <f t="shared" si="198"/>
        <v/>
      </c>
      <c r="AB198" s="150" t="str">
        <f t="shared" si="199"/>
        <v/>
      </c>
      <c r="AC198" s="188">
        <v>189</v>
      </c>
      <c r="AD198" s="1" t="b">
        <f t="shared" si="28"/>
        <v>0</v>
      </c>
      <c r="AE198" s="1" t="str">
        <f t="shared" si="29"/>
        <v/>
      </c>
      <c r="AF198" s="1" t="str">
        <f t="shared" si="30"/>
        <v/>
      </c>
      <c r="AG198" s="1" t="str">
        <f t="shared" si="31"/>
        <v/>
      </c>
      <c r="AH198" s="1" t="str">
        <f t="shared" si="200"/>
        <v/>
      </c>
      <c r="AI198" s="1" t="str">
        <f t="shared" si="33"/>
        <v/>
      </c>
      <c r="AJ198" s="191" t="str">
        <f t="shared" si="237"/>
        <v/>
      </c>
      <c r="AK198" s="191" t="str">
        <f t="shared" si="238"/>
        <v/>
      </c>
      <c r="AL198" s="191" t="str">
        <f t="shared" si="201"/>
        <v/>
      </c>
      <c r="AM198" s="1" t="str">
        <f t="shared" si="202"/>
        <v/>
      </c>
      <c r="AN198" s="191" t="str">
        <f t="shared" si="203"/>
        <v/>
      </c>
      <c r="AO198" s="134" t="str">
        <f t="shared" si="204"/>
        <v/>
      </c>
      <c r="AP198" s="64" t="str">
        <f t="shared" si="38"/>
        <v/>
      </c>
      <c r="AQ198" s="1" t="str">
        <f t="shared" si="230"/>
        <v/>
      </c>
      <c r="AR198" s="1" t="str">
        <f t="shared" si="205"/>
        <v/>
      </c>
      <c r="AS198" s="1" t="str">
        <f t="shared" si="206"/>
        <v/>
      </c>
      <c r="AT198" s="134" t="str">
        <f t="shared" si="207"/>
        <v/>
      </c>
      <c r="AU198" s="64" t="str">
        <f t="shared" si="208"/>
        <v/>
      </c>
      <c r="AV198" s="65" t="str">
        <f t="shared" si="209"/>
        <v/>
      </c>
      <c r="AW198" s="65" t="str">
        <f t="shared" si="210"/>
        <v/>
      </c>
      <c r="AX198" s="1" t="str">
        <f t="shared" si="211"/>
        <v/>
      </c>
      <c r="AY198" s="1" t="str">
        <f t="shared" si="212"/>
        <v/>
      </c>
      <c r="AZ198" s="131" t="str">
        <f t="shared" si="213"/>
        <v/>
      </c>
      <c r="BA198" s="1" t="str">
        <f t="shared" si="214"/>
        <v/>
      </c>
      <c r="BB198" s="1" t="str">
        <f t="shared" si="49"/>
        <v/>
      </c>
      <c r="BC198" s="1" t="str">
        <f t="shared" si="50"/>
        <v/>
      </c>
      <c r="BD198" s="1" t="str">
        <f t="shared" si="215"/>
        <v/>
      </c>
      <c r="BE198" s="1" t="str">
        <f t="shared" si="216"/>
        <v/>
      </c>
      <c r="BF198" s="1" t="str">
        <f t="shared" si="53"/>
        <v/>
      </c>
      <c r="BG198" s="1" t="str">
        <f t="shared" si="217"/>
        <v/>
      </c>
      <c r="BH198" s="1" t="str">
        <f t="shared" si="218"/>
        <v/>
      </c>
      <c r="BI198" s="1" t="str">
        <f t="shared" si="219"/>
        <v/>
      </c>
      <c r="BJ198" s="1" t="str">
        <f t="shared" si="220"/>
        <v/>
      </c>
      <c r="BK198" s="1" t="str">
        <f t="shared" si="221"/>
        <v/>
      </c>
      <c r="BL198" s="1" t="str">
        <f t="shared" si="222"/>
        <v/>
      </c>
      <c r="BM198" s="1" t="str">
        <f t="shared" si="223"/>
        <v/>
      </c>
      <c r="BN198" s="1" t="str">
        <f t="shared" si="224"/>
        <v/>
      </c>
      <c r="BO198" s="1" t="str">
        <f t="shared" si="225"/>
        <v/>
      </c>
      <c r="BQ198" s="1" t="str">
        <f t="shared" si="63"/>
        <v/>
      </c>
      <c r="BR198" s="1" t="str">
        <f t="shared" si="64"/>
        <v/>
      </c>
      <c r="BS198" s="1" t="str">
        <f t="shared" si="65"/>
        <v/>
      </c>
      <c r="BT198" s="1" t="str">
        <f t="shared" si="66"/>
        <v/>
      </c>
      <c r="BU198" s="1" t="str">
        <f t="shared" si="67"/>
        <v/>
      </c>
      <c r="BV198" s="1" t="str">
        <f t="shared" si="68"/>
        <v/>
      </c>
      <c r="BW198" s="1" t="str">
        <f t="shared" si="69"/>
        <v/>
      </c>
      <c r="BX198" s="1" t="str">
        <f t="shared" si="70"/>
        <v/>
      </c>
      <c r="BY198" s="1" t="str">
        <f t="shared" si="226"/>
        <v/>
      </c>
      <c r="BZ198" s="1" t="str">
        <f t="shared" si="72"/>
        <v/>
      </c>
      <c r="CA198" s="1" t="str">
        <f t="shared" si="73"/>
        <v/>
      </c>
      <c r="CB198" s="1" t="str">
        <f t="shared" si="74"/>
        <v/>
      </c>
      <c r="CC198" s="1" t="str">
        <f t="shared" si="75"/>
        <v/>
      </c>
      <c r="CD198" s="1" t="str">
        <f t="shared" si="227"/>
        <v/>
      </c>
      <c r="CE198" s="1" t="str">
        <f t="shared" si="77"/>
        <v/>
      </c>
      <c r="CF198" s="1" t="str">
        <f t="shared" si="78"/>
        <v/>
      </c>
      <c r="CG198" s="1" t="str">
        <f t="shared" si="79"/>
        <v/>
      </c>
      <c r="CH198" s="1" t="str">
        <f t="shared" si="80"/>
        <v/>
      </c>
      <c r="CJ198" s="1" t="str">
        <f t="shared" si="81"/>
        <v/>
      </c>
      <c r="CK198" s="1" t="str">
        <f t="shared" si="82"/>
        <v/>
      </c>
      <c r="CL198" s="1" t="str">
        <f t="shared" si="83"/>
        <v/>
      </c>
      <c r="CM198" s="1" t="str">
        <f t="shared" si="84"/>
        <v/>
      </c>
      <c r="CN198" s="1" t="str">
        <f t="shared" si="85"/>
        <v/>
      </c>
      <c r="CO198" s="1" t="str">
        <f t="shared" si="86"/>
        <v/>
      </c>
      <c r="CP198" s="1" t="str">
        <f t="shared" si="87"/>
        <v/>
      </c>
      <c r="CR198" s="1" t="str">
        <f t="shared" si="88"/>
        <v/>
      </c>
      <c r="CS198" s="1" t="str">
        <f t="shared" si="89"/>
        <v/>
      </c>
      <c r="CT198" s="1" t="str">
        <f t="shared" si="90"/>
        <v/>
      </c>
      <c r="CU198" s="1" t="str">
        <f t="shared" si="91"/>
        <v/>
      </c>
      <c r="CV198" s="1" t="str">
        <f t="shared" si="92"/>
        <v/>
      </c>
      <c r="DC198" s="154" t="e">
        <f t="shared" si="93"/>
        <v>#VALUE!</v>
      </c>
      <c r="DD198" s="154" t="str">
        <f t="shared" si="94"/>
        <v/>
      </c>
      <c r="DE198" s="154" t="str">
        <f t="shared" si="95"/>
        <v/>
      </c>
      <c r="DF198" s="1" t="str">
        <f t="shared" si="96"/>
        <v/>
      </c>
      <c r="DG198" s="1" t="str">
        <f t="shared" si="97"/>
        <v/>
      </c>
      <c r="DH198" s="1" t="str">
        <f t="shared" si="98"/>
        <v/>
      </c>
      <c r="DI198" s="1" t="str">
        <f t="shared" si="228"/>
        <v/>
      </c>
      <c r="DJ198" s="1" t="str">
        <f t="shared" si="229"/>
        <v/>
      </c>
      <c r="DK198" s="1" t="str">
        <f t="shared" si="101"/>
        <v/>
      </c>
      <c r="DL198" s="1" t="str">
        <f t="shared" si="102"/>
        <v/>
      </c>
      <c r="DM198" s="1" t="str">
        <f t="shared" si="103"/>
        <v/>
      </c>
    </row>
    <row r="199" customHeight="1" spans="1:117">
      <c r="A199" s="152" t="str">
        <f t="shared" si="239"/>
        <v/>
      </c>
      <c r="C199" s="55" t="str">
        <f t="shared" si="5"/>
        <v/>
      </c>
      <c r="D199" s="150" t="str">
        <f t="shared" si="6"/>
        <v/>
      </c>
      <c r="E199" s="151" t="str">
        <f t="shared" si="180"/>
        <v/>
      </c>
      <c r="F199" s="151" t="str">
        <f t="shared" si="181"/>
        <v/>
      </c>
      <c r="G199" s="151" t="str">
        <f t="shared" si="182"/>
        <v/>
      </c>
      <c r="H199" s="151" t="str">
        <f t="shared" si="183"/>
        <v/>
      </c>
      <c r="I199" s="151" t="str">
        <f t="shared" si="184"/>
        <v/>
      </c>
      <c r="J199" s="171" t="str">
        <f t="shared" si="185"/>
        <v/>
      </c>
      <c r="K199" s="172" t="str">
        <f t="shared" si="240"/>
        <v/>
      </c>
      <c r="L199" s="172" t="str">
        <f t="shared" si="241"/>
        <v/>
      </c>
      <c r="M199" s="173" t="str">
        <f t="shared" si="242"/>
        <v/>
      </c>
      <c r="N199" s="54" t="str">
        <f t="shared" si="186"/>
        <v/>
      </c>
      <c r="O199" s="55" t="str">
        <f t="shared" si="187"/>
        <v/>
      </c>
      <c r="P199" s="55" t="str">
        <f t="shared" si="15"/>
        <v/>
      </c>
      <c r="Q199" s="56" t="str">
        <f t="shared" si="188"/>
        <v/>
      </c>
      <c r="R199" s="56" t="str">
        <f t="shared" si="189"/>
        <v/>
      </c>
      <c r="S199" s="56" t="str">
        <f t="shared" si="190"/>
        <v/>
      </c>
      <c r="T199" s="56" t="str">
        <f t="shared" si="191"/>
        <v/>
      </c>
      <c r="U199" s="180" t="str">
        <f t="shared" si="192"/>
        <v/>
      </c>
      <c r="V199" s="55" t="str">
        <f t="shared" si="193"/>
        <v/>
      </c>
      <c r="W199" s="55" t="str">
        <f t="shared" si="194"/>
        <v/>
      </c>
      <c r="X199" s="56" t="str">
        <f t="shared" si="195"/>
        <v/>
      </c>
      <c r="Y199" s="180" t="str">
        <f t="shared" si="196"/>
        <v/>
      </c>
      <c r="Z199" s="55" t="str">
        <f t="shared" si="197"/>
        <v/>
      </c>
      <c r="AA199" s="55" t="str">
        <f t="shared" si="198"/>
        <v/>
      </c>
      <c r="AB199" s="150" t="str">
        <f t="shared" si="199"/>
        <v/>
      </c>
      <c r="AC199" s="188">
        <v>190</v>
      </c>
      <c r="AD199" s="1" t="b">
        <f t="shared" si="28"/>
        <v>0</v>
      </c>
      <c r="AE199" s="1" t="str">
        <f t="shared" si="29"/>
        <v/>
      </c>
      <c r="AF199" s="1" t="str">
        <f t="shared" si="30"/>
        <v/>
      </c>
      <c r="AG199" s="1" t="str">
        <f t="shared" si="31"/>
        <v/>
      </c>
      <c r="AH199" s="1" t="str">
        <f t="shared" si="200"/>
        <v/>
      </c>
      <c r="AI199" s="1" t="str">
        <f t="shared" si="33"/>
        <v/>
      </c>
      <c r="AJ199" s="191" t="str">
        <f t="shared" si="237"/>
        <v/>
      </c>
      <c r="AK199" s="191" t="str">
        <f t="shared" si="238"/>
        <v/>
      </c>
      <c r="AL199" s="191" t="str">
        <f t="shared" si="201"/>
        <v/>
      </c>
      <c r="AM199" s="1" t="str">
        <f t="shared" si="202"/>
        <v/>
      </c>
      <c r="AN199" s="191" t="str">
        <f t="shared" si="203"/>
        <v/>
      </c>
      <c r="AO199" s="134" t="str">
        <f t="shared" si="204"/>
        <v/>
      </c>
      <c r="AP199" s="64" t="str">
        <f t="shared" si="38"/>
        <v/>
      </c>
      <c r="AQ199" s="1" t="str">
        <f t="shared" si="230"/>
        <v/>
      </c>
      <c r="AR199" s="1" t="str">
        <f t="shared" si="205"/>
        <v/>
      </c>
      <c r="AS199" s="1" t="str">
        <f t="shared" si="206"/>
        <v/>
      </c>
      <c r="AT199" s="134" t="str">
        <f t="shared" si="207"/>
        <v/>
      </c>
      <c r="AU199" s="64" t="str">
        <f t="shared" si="208"/>
        <v/>
      </c>
      <c r="AV199" s="65" t="str">
        <f t="shared" si="209"/>
        <v/>
      </c>
      <c r="AW199" s="65" t="str">
        <f t="shared" si="210"/>
        <v/>
      </c>
      <c r="AX199" s="1" t="str">
        <f t="shared" si="211"/>
        <v/>
      </c>
      <c r="AY199" s="1" t="str">
        <f t="shared" si="212"/>
        <v/>
      </c>
      <c r="AZ199" s="131" t="str">
        <f t="shared" si="213"/>
        <v/>
      </c>
      <c r="BA199" s="1" t="str">
        <f t="shared" si="214"/>
        <v/>
      </c>
      <c r="BB199" s="1" t="str">
        <f t="shared" si="49"/>
        <v/>
      </c>
      <c r="BC199" s="1" t="str">
        <f t="shared" si="50"/>
        <v/>
      </c>
      <c r="BD199" s="1" t="str">
        <f t="shared" si="215"/>
        <v/>
      </c>
      <c r="BE199" s="1" t="str">
        <f t="shared" si="216"/>
        <v/>
      </c>
      <c r="BF199" s="1" t="str">
        <f t="shared" si="53"/>
        <v/>
      </c>
      <c r="BG199" s="1" t="str">
        <f t="shared" si="217"/>
        <v/>
      </c>
      <c r="BH199" s="1" t="str">
        <f t="shared" si="218"/>
        <v/>
      </c>
      <c r="BI199" s="1" t="str">
        <f t="shared" si="219"/>
        <v/>
      </c>
      <c r="BJ199" s="1" t="str">
        <f t="shared" si="220"/>
        <v/>
      </c>
      <c r="BK199" s="1" t="str">
        <f t="shared" si="221"/>
        <v/>
      </c>
      <c r="BL199" s="1" t="str">
        <f t="shared" si="222"/>
        <v/>
      </c>
      <c r="BM199" s="1" t="str">
        <f t="shared" si="223"/>
        <v/>
      </c>
      <c r="BN199" s="1" t="str">
        <f t="shared" si="224"/>
        <v/>
      </c>
      <c r="BO199" s="1" t="str">
        <f t="shared" si="225"/>
        <v/>
      </c>
      <c r="BQ199" s="1" t="str">
        <f t="shared" si="63"/>
        <v/>
      </c>
      <c r="BR199" s="1" t="str">
        <f t="shared" si="64"/>
        <v/>
      </c>
      <c r="BS199" s="1" t="str">
        <f t="shared" si="65"/>
        <v/>
      </c>
      <c r="BT199" s="1" t="str">
        <f t="shared" si="66"/>
        <v/>
      </c>
      <c r="BU199" s="1" t="str">
        <f t="shared" si="67"/>
        <v/>
      </c>
      <c r="BV199" s="1" t="str">
        <f t="shared" si="68"/>
        <v/>
      </c>
      <c r="BW199" s="1" t="str">
        <f t="shared" si="69"/>
        <v/>
      </c>
      <c r="BX199" s="1" t="str">
        <f t="shared" si="70"/>
        <v/>
      </c>
      <c r="BY199" s="1" t="str">
        <f t="shared" si="226"/>
        <v/>
      </c>
      <c r="BZ199" s="1" t="str">
        <f t="shared" si="72"/>
        <v/>
      </c>
      <c r="CA199" s="1" t="str">
        <f t="shared" si="73"/>
        <v/>
      </c>
      <c r="CB199" s="1" t="str">
        <f t="shared" si="74"/>
        <v/>
      </c>
      <c r="CC199" s="1" t="str">
        <f t="shared" si="75"/>
        <v/>
      </c>
      <c r="CD199" s="1" t="str">
        <f t="shared" si="227"/>
        <v/>
      </c>
      <c r="CE199" s="1" t="str">
        <f t="shared" si="77"/>
        <v/>
      </c>
      <c r="CF199" s="1" t="str">
        <f t="shared" si="78"/>
        <v/>
      </c>
      <c r="CG199" s="1" t="str">
        <f t="shared" si="79"/>
        <v/>
      </c>
      <c r="CH199" s="1" t="str">
        <f t="shared" si="80"/>
        <v/>
      </c>
      <c r="CJ199" s="1" t="str">
        <f t="shared" si="81"/>
        <v/>
      </c>
      <c r="CK199" s="1" t="str">
        <f t="shared" si="82"/>
        <v/>
      </c>
      <c r="CL199" s="1" t="str">
        <f t="shared" si="83"/>
        <v/>
      </c>
      <c r="CM199" s="1" t="str">
        <f t="shared" si="84"/>
        <v/>
      </c>
      <c r="CN199" s="1" t="str">
        <f t="shared" si="85"/>
        <v/>
      </c>
      <c r="CO199" s="1" t="str">
        <f t="shared" si="86"/>
        <v/>
      </c>
      <c r="CP199" s="1" t="str">
        <f t="shared" si="87"/>
        <v/>
      </c>
      <c r="CR199" s="1" t="str">
        <f t="shared" si="88"/>
        <v/>
      </c>
      <c r="CS199" s="1" t="str">
        <f t="shared" si="89"/>
        <v/>
      </c>
      <c r="CT199" s="1" t="str">
        <f t="shared" si="90"/>
        <v/>
      </c>
      <c r="CU199" s="1" t="str">
        <f t="shared" si="91"/>
        <v/>
      </c>
      <c r="CV199" s="1" t="str">
        <f t="shared" si="92"/>
        <v/>
      </c>
      <c r="DC199" s="154" t="e">
        <f t="shared" si="93"/>
        <v>#VALUE!</v>
      </c>
      <c r="DD199" s="154" t="str">
        <f t="shared" si="94"/>
        <v/>
      </c>
      <c r="DE199" s="154" t="str">
        <f t="shared" si="95"/>
        <v/>
      </c>
      <c r="DF199" s="1" t="str">
        <f t="shared" si="96"/>
        <v/>
      </c>
      <c r="DG199" s="1" t="str">
        <f t="shared" si="97"/>
        <v/>
      </c>
      <c r="DH199" s="1" t="str">
        <f t="shared" si="98"/>
        <v/>
      </c>
      <c r="DI199" s="1" t="str">
        <f t="shared" si="228"/>
        <v/>
      </c>
      <c r="DJ199" s="1" t="str">
        <f t="shared" si="229"/>
        <v/>
      </c>
      <c r="DK199" s="1" t="str">
        <f t="shared" si="101"/>
        <v/>
      </c>
      <c r="DL199" s="1" t="str">
        <f t="shared" si="102"/>
        <v/>
      </c>
      <c r="DM199" s="1" t="str">
        <f t="shared" si="103"/>
        <v/>
      </c>
    </row>
    <row r="200" customHeight="1" spans="1:117">
      <c r="A200" s="152" t="str">
        <f t="shared" si="239"/>
        <v/>
      </c>
      <c r="C200" s="55" t="str">
        <f t="shared" si="5"/>
        <v/>
      </c>
      <c r="D200" s="150" t="str">
        <f t="shared" si="6"/>
        <v/>
      </c>
      <c r="E200" s="151" t="str">
        <f t="shared" ref="E200:E209" si="243">IF(AD200,ROUND(SQRT(K200^2+L200^2+(M200-OMRadius)^2),1),"")</f>
        <v/>
      </c>
      <c r="F200" s="151" t="str">
        <f t="shared" ref="F200:F209" si="244">IF(AD200,ROUND(SQRT(K200^2+L200^2+(M200+OMRadius)^2),1),"")</f>
        <v/>
      </c>
      <c r="G200" s="151" t="str">
        <f t="shared" ref="G200:G209" si="245">IF(AD200,ROUND(SQRT(K200^2+(L200-OMRadius)^2+M200^2),1),"")</f>
        <v/>
      </c>
      <c r="H200" s="151" t="str">
        <f t="shared" ref="H200:H209" si="246">IF(AD200,ROUND(SQRT(K200^2+(L200+OMRadius)^2+M200^2),1),"")</f>
        <v/>
      </c>
      <c r="I200" s="151" t="str">
        <f t="shared" ref="I200:I209" si="247">IF(AD200,ROUND(SQRT((K200-OMRadius)^2+L200^2+M200^2),1),"")</f>
        <v/>
      </c>
      <c r="J200" s="171" t="str">
        <f t="shared" ref="J200:J209" si="248">IF(AD200,ROUND(SQRT((K200+OMRadius)^2+L200^2+M200^2),1),"")</f>
        <v/>
      </c>
      <c r="K200" s="172" t="str">
        <f t="shared" si="240"/>
        <v/>
      </c>
      <c r="L200" s="172" t="str">
        <f t="shared" si="241"/>
        <v/>
      </c>
      <c r="M200" s="173" t="str">
        <f t="shared" si="242"/>
        <v/>
      </c>
      <c r="N200" s="54" t="str">
        <f t="shared" ref="N200:N209" si="249">IF(AD200,IF(NOT(Rotation),IF(ABS(AE200)&gt;ABS(90-ABS(sDeclination)),IF(AN200&lt;0,"None","Continuous"),IF(ABS(AM200)&gt;ABS(AL200+18),"None","Continuous")),IFERROR(((2*AL200-AJ200-AK200)/RotationRateAngular)/1440,IF(AN200&gt;0,"Continuous","None"))),"")</f>
        <v/>
      </c>
      <c r="O200" s="55" t="str">
        <f t="shared" ref="O200:O209" si="250">IF(AD200,IF(ABS(AE200)&gt;ABS(90-ABS(sDeclination)),IF(AN200&lt;0,"Night","Daylight"),IF(AM200=0,"Noon",IF(AM200=-(AL200-AK200),"Sunset",IF(AM200=(AL200-AJ200),"Sunrise",IF(AM200=180,"Midnight",IF(AND(AM200&gt;-(AL200-AK200),AM200&lt;0),CONCATENATE("Afternoon",IF(Rotation,CONCATENATE(" / Sets in ",ROUND((T200-TimeLocal)*1440,0),"m"),"")),IF(AND(AM200&gt;0,AM200&lt;(AL200-AJ200)),CONCATENATE("Morning",IF(Rotation,CONCATENATE(" / Sets in ",ROUND((T200-TimeLocal)*1440,0),"m"),"")),IF(AND(AM200&gt;(AL200-AJ200),AM200&lt;(AL200+18)),CONCATENATE("Morning Twilight",IF(Rotation,CONCATENATE(" / Rises in ",ROUND((R200-TimeLocal)*1440,0),"m"),"")),IF(AND(AM200&gt;-(AL200+18),AM200&lt;-(AL200-AK200)),CONCATENATE("Evening Twilight",IF(Rotation,CONCATENATE(" / Rises in ",ROUND((R200-TimeLocal)*1440,0),"m"),"")),IF(AND(AM200&gt;-180,AM200&lt;-(AL200+18)),CONCATENATE("Night",IF(Rotation,CONCATENATE(" / Rises in ",ROUND((R200-TimeLocal)*1440,0),"m"),"")),CONCATENATE("After midnight",IF(Rotation,CONCATENATE(" / Rises in ",ROUND((R200-TimeLocal)*1440,0),"m"),"")))))))))))),"")</f>
        <v/>
      </c>
      <c r="P200" s="55" t="str">
        <f t="shared" si="15"/>
        <v/>
      </c>
      <c r="Q200" s="56" t="str">
        <f t="shared" ref="Q200:Q209" si="251">IF(AD200,IFERROR(IF(AM200&gt;(AL200-AJ200+12),S200-((AL200-AJ200+12)/RotationRateAngular/1440),IF(AM200&gt;0,S200-((AL200-AJ200+12)/RotationRateAngular/1440)+LengthOfDay,S200-((AL200-AJ200+12)/RotationRateAngular/1440))),""),"")</f>
        <v/>
      </c>
      <c r="R200" s="56" t="str">
        <f t="shared" ref="R200:R209" si="252">IF(AD200,IFERROR(IF(AM200&gt;(AL200-AJ200),S200-((AL200-AJ200)/RotationRateAngular/1440),IF(AM200&gt;0,S200-((AL200-AJ200)/RotationRateAngular/1440)+LengthOfDay,S200-((AL200-AJ200)/RotationRateAngular/1440))),""),"")</f>
        <v/>
      </c>
      <c r="S200" s="56" t="str">
        <f t="shared" ref="S200:S209" si="253">IF(AD200,IFERROR(IF(AM200&gt;0,AM200/RotationRateAngular/1440,(360+AM200)/RotationRateAngular/1440)+TimeLocal,""),"")</f>
        <v/>
      </c>
      <c r="T200" s="56" t="str">
        <f t="shared" ref="T200:T209" si="254">IF(AD200,IFERROR(IF(AM200&gt;-(AL200-AK200),IF(AM200&gt;0,S200+((AL200-AK200)/RotationRateAngular/1440),S200+((AL200-AK200)/RotationRateAngular/1440)-LengthOfDay),S200+((AL200-AK200)/RotationRateAngular/1440)),""),"")</f>
        <v/>
      </c>
      <c r="U200" s="180" t="str">
        <f t="shared" ref="U200:U209" si="255">IF(AD200,IFERROR(IF(AM200&gt;-(AL200-AK200+12),IF(AM200&lt;0,S200+((AL200-AK200+12)/RotationRateAngular/1440)-LengthOfDay,S200+((AL200-AK200+12)/RotationRateAngular/1440)),S200+((AL200-AK200+12)/RotationRateAngular/1440)),""),"")</f>
        <v/>
      </c>
      <c r="V200" s="55" t="str">
        <f t="shared" ref="V200:V209" si="256">IF(AND(OffWorldSelected,AD200),IF(AND(AR200&lt;(AQ200-AJ200),AR200&gt;-(AQ200-AK200)),IF(Rotation,CONCATENATE("Sets in ",ROUND((Y200-TimeLocal)*1440,0),"m"),"Clear"),CONCATENATE("Obstructed",IF(Rotation,CONCATENATE(" / Rises in ",ROUND((X200-TimeLocal)*1440,0),"m"),""))),"")</f>
        <v/>
      </c>
      <c r="W200" s="55" t="str">
        <f t="shared" ref="W200:W209" si="257">IF(AND(OffWorldSelected,AD200),CONCATENATE(IF(ABS(DL200)&lt;10,"0",""),IF(ABS(DL200)&lt;100,"0",""),DL200,"°",IF(Y$3,"M","T")," / ",IF(BE200&gt;0,"+","-"),IF(ABS(BE200)&lt;10,"0",""),ABS(BE200),"°"),"")</f>
        <v/>
      </c>
      <c r="X200" s="56" t="str">
        <f t="shared" ref="X200:X209" si="258">IF(AND(OffWorldSelected,AD200),IFERROR(AV200,""),"")</f>
        <v/>
      </c>
      <c r="Y200" s="180" t="str">
        <f t="shared" ref="Y200:Y209" si="259">IF(AND(OffWorldSelected,AD200),IFERROR(AW200,""),"")</f>
        <v/>
      </c>
      <c r="Z200" s="55" t="str">
        <f t="shared" ref="Z200:Z209" si="260">IF(AND(NavTargetSelected,AD200),CONCATENATE(IF(ABS(DM200)&lt;10,"0",""),IF(ABS(DM200)&lt;100,"0",""),DM200,"°",IF(Y$3,"M","T")," / ",IF(AY200&gt;0,"+","-"),IF(ABS(AY200)&lt;10,"0",""),ABS(AY200),"°"),"")</f>
        <v/>
      </c>
      <c r="AA200" s="55" t="str">
        <f t="shared" ref="AA200:AA209" si="261">IF(AND(NavTargetSelected,AD200),AZ200,"")</f>
        <v/>
      </c>
      <c r="AB200" s="150" t="str">
        <f t="shared" ref="AB200:AB209" si="262">IF(AND(NavTargetSelected,AD200),BA200,"")</f>
        <v/>
      </c>
      <c r="AC200" s="188">
        <v>191</v>
      </c>
      <c r="AD200" s="1" t="b">
        <f t="shared" si="28"/>
        <v>0</v>
      </c>
      <c r="AE200" s="1" t="str">
        <f t="shared" si="29"/>
        <v/>
      </c>
      <c r="AF200" s="1" t="str">
        <f t="shared" si="30"/>
        <v/>
      </c>
      <c r="AG200" s="1" t="str">
        <f t="shared" si="31"/>
        <v/>
      </c>
      <c r="AH200" s="1" t="str">
        <f t="shared" ref="AH200:AH209" si="263">IF(AD200,SQRT(K200^2+L200^2+M200^2)-br,"")</f>
        <v/>
      </c>
      <c r="AI200" s="1" t="str">
        <f t="shared" si="33"/>
        <v/>
      </c>
      <c r="AJ200" s="191" t="str">
        <f t="shared" si="237"/>
        <v/>
      </c>
      <c r="AK200" s="191" t="str">
        <f t="shared" si="238"/>
        <v/>
      </c>
      <c r="AL200" s="191" t="str">
        <f t="shared" ref="AL200:AL209" si="264">IF(AD200,DEGREES(ACOS(-TAN(RADIANS(AE200))*TAN(RADIANS(sDeclination))))+sar+AI200,"")</f>
        <v/>
      </c>
      <c r="AM200" s="1" t="str">
        <f t="shared" ref="AM200:AM209" si="265">IF(AD200,IF(MOD(CycleHourAngle-MOD(AG200-sMeridian,360),360)&gt;180,MOD(CycleHourAngle-MOD(AG200-sMeridian,360),360)-360,MOD(CycleHourAngle-MOD(AG200-sMeridian,360),360)),"")</f>
        <v/>
      </c>
      <c r="AN200" s="191" t="str">
        <f t="shared" ref="AN200:AN209" si="266">IF(AD200,IFERROR(DEGREES(ACOS((SQRT(K200^2+L200^2+M200^2)^2+(SQRT(SQRT(K200^2+L200^2+M200^2)^2+SQRT(bsx^2+bsy^2+bsz^2)^2-(2*SQRT(K200^2+L200^2+M200^2)*SQRT(bsx^2+bsy^2+bsz^2)*COS(RADIANS(ABS(sDeclination-AE200))))))^2-SQRT(bsx^2+bsy^2+bsz^2)^2)/(2*SQRT(K200^2+L200^2+M200^2)*(SQRT(SQRT(K200^2+L200^2+M200^2)^2+SQRT(bsx^2+bsy^2+bsz^2)^2-(2*SQRT(K200^2+L200^2+M200^2)*SQRT(bsx^2+bsy^2+bsz^2)*COS(RADIANS(ABS(sDeclination-AE200)))))))))-90,90),"")</f>
        <v/>
      </c>
      <c r="AO200" s="134" t="str">
        <f t="shared" ref="AO200:AO209" si="267">IF(AD200,MOD((ROUND(DEGREES(ATAN2((COS(RADIANS(AE200))*SIN(RADIANS(sDeclination))-SIN(RADIANS(AE200))*COS(RADIANS(sDeclination))*COS(RADIANS(sLongitude-AF200))),(SIN(RADIANS(sLongitude-AF200))*COS(RADIANS(sDeclination))))),0))+360,360),"")</f>
        <v/>
      </c>
      <c r="AP200" s="64" t="str">
        <f t="shared" si="38"/>
        <v/>
      </c>
      <c r="AQ200" s="1" t="str">
        <f t="shared" si="230"/>
        <v/>
      </c>
      <c r="AR200" s="1" t="str">
        <f t="shared" ref="AR200:AR209" si="268">IF(AND(OffWorldSelected,AD200),IF(MOD(CycleHourAngle-MOD(AG200-oMeridian,360),360)&gt;180,MOD(CycleHourAngle-MOD(AG200-oMeridian,360),360)-360,MOD(CycleHourAngle-MOD(AG200-oMeridian,360),360)),"")</f>
        <v/>
      </c>
      <c r="AS200" s="1" t="str">
        <f t="shared" ref="AS200:AS209" si="269">IF(AND(OffWorldSelected,AD200),IFERROR(DEGREES(ACOS((SQRT(K200^2+L200^2+M200^2)^2+(SQRT(SQRT(K200^2+L200^2+M200^2)^2+SQRT(box^2+boy^2+boz^2)^2-(2*SQRT(K200^2+L200^2+M200^2)*SQRT(box^2+boy^2+boz^2)*COS(RADIANS(ABS(oDeclination-AE200))))))^2-SQRT(box^2+boy^2+boz^2)^2)/(2*SQRT(K200^2+L200^2+M200^2)*(SQRT(SQRT(K200^2+L200^2+M200^2)^2+SQRT(box^2+boy^2+boz^2)^2-(2*SQRT(K200^2+L200^2+M200^2)*SQRT(box^2+boy^2+boz^2)*COS(RADIANS(ABS(oDeclination-AE200)))))))))-90,90),"")</f>
        <v/>
      </c>
      <c r="AT200" s="134" t="str">
        <f t="shared" ref="AT200:AT209" si="270">IF(AND(OffWorldSelected,AD200),MOD((ROUND(DEGREES(ATAN2((COS(RADIANS(AE200))*SIN(RADIANS(oDeclination))-SIN(RADIANS(AE200))*COS(RADIANS(oDeclination))*COS(RADIANS(oLongitude-AF200))),(SIN(RADIANS(oLongitude-AF200))*COS(RADIANS(oDeclination))))),0))+360,360),"")</f>
        <v/>
      </c>
      <c r="AU200" s="64" t="str">
        <f t="shared" ref="AU200:AU209" si="271">IF(AND(OffWorldSelected,AD200),ROUND(AS200*COS(RADIANS(ABS(AR200))),0),"")</f>
        <v/>
      </c>
      <c r="AV200" s="65" t="str">
        <f t="shared" ref="AV200:AV209" si="272">IF(AND(OffWorldSelected,AD200),IF(AR200&gt;AQ200-AJ200,(AR200-AQ200-AJ200)/RotationRateAngular/1440,(AR200-AQ200-AJ200+360)/RotationRateAngular/1440)+TimeLocal,"")</f>
        <v/>
      </c>
      <c r="AW200" s="65" t="str">
        <f t="shared" ref="AW200:AW209" si="273">IF(AND(OffWorldSelected,AD200),IF(AR200&gt;-(AQ200-AK200),(AR200+AQ200+AK200)/RotationRateAngular/1440,(AR200+AQ200+AK200+360)/RotationRateAngular/1440)+TimeLocal,"")</f>
        <v/>
      </c>
      <c r="AX200" s="1" t="str">
        <f t="shared" ref="AX200:AX209" si="274">IF(AND(NavTargetSelected,AD200),MOD((ROUND(DEGREES(ATAN2((COS(RADIANS(AE200))*SIN(RADIANS(tLatitude))-SIN(RADIANS(AE200))*COS(RADIANS(tLatitude))*COS(RADIANS(tLongitude-AF200))),(SIN(RADIANS(tLongitude-AF200))*COS(RADIANS(tLatitude))))),0))+360,360),"")</f>
        <v/>
      </c>
      <c r="AY200" s="1" t="str">
        <f t="shared" ref="AY200:AY209" si="275">IF(AND(NavTargetSelected,AD200),ROUND(DEGREES(ACOS(((SQRT(K200^2+L200^2+M200^2))^2+AZ200^2-(SQRT(btx^2+bty^2+btz^2))^2)/(2*SQRT(K200^2+L200^2+M200^2)*AZ200)))-90,0),"")</f>
        <v/>
      </c>
      <c r="AZ200" s="131" t="str">
        <f t="shared" ref="AZ200:AZ209" si="276">IF(AND(NavTargetSelected,AD200),ROUND(SQRT((K200-btx)^2+(L200-bty)^2+(M200-btz)^2),1),"")</f>
        <v/>
      </c>
      <c r="BA200" s="1" t="str">
        <f t="shared" ref="BA200:BA209" si="277">IF(AND(NavTargetSelected,AD200),ROUND((ACOS(SIN(RADIANS(AE200))*SIN(RADIANS(tLatitude))+COS(RADIANS(AE200))*COS(RADIANS(tLatitude))*COS(RADIANS(tLongitude-AF200)))*br),1),"")</f>
        <v/>
      </c>
      <c r="BB200" s="1" t="str">
        <f t="shared" si="49"/>
        <v/>
      </c>
      <c r="BC200" s="1" t="str">
        <f t="shared" si="50"/>
        <v/>
      </c>
      <c r="BD200" s="1" t="str">
        <f t="shared" ref="BD200:BD209" si="278">IF(AND(OffWorldSelected,AD200),SQRT((K200-$AX$4)^2+(L200-$AY$4)^2+(M200-$AZ$4)^2),"")</f>
        <v/>
      </c>
      <c r="BE200" s="1" t="str">
        <f t="shared" ref="BE200:BE209" si="279">IF(AND(OffWorldSelected,AD200),ROUND(DEGREES(ACOS(((SQRT(K200^2+L200^2+M200^2))^2+BD200^2-(SQRT($AX$4^2+$AY$4^2+$AZ$4^2))^2)/(2*SQRT(K200^2+L200^2+M200^2)*BD200)))-90,0),"")</f>
        <v/>
      </c>
      <c r="BF200" s="1" t="str">
        <f t="shared" si="53"/>
        <v/>
      </c>
      <c r="BG200" s="1" t="str">
        <f t="shared" ref="BG200:BG209" si="280">IF(AD200,-(AH200+br)*COS(RADIANS(AE200))*SIN(RADIANS(BF200)),"")</f>
        <v/>
      </c>
      <c r="BH200" s="1" t="str">
        <f t="shared" ref="BH200:BH209" si="281">IF(AD200,(AH200+br)*COS(RADIANS(AE200))*COS(RADIANS(BF200)),"")</f>
        <v/>
      </c>
      <c r="BI200" s="1" t="str">
        <f t="shared" ref="BI200:BI209" si="282">IF(AD200,(AH200+br)*SIN(RADIANS(AE200)),"")</f>
        <v/>
      </c>
      <c r="BJ200" s="1" t="str">
        <f t="shared" ref="BJ200:BJ209" si="283">IF(AD200,((1-(2*qy^2)-(2*qz^2))*(BG200))+(((2*qx*qy)-(2*qz*qw))*(BH200))+(((2*qx*qz)+(2*qy*qw))*(BI200)),"")</f>
        <v/>
      </c>
      <c r="BK200" s="1" t="str">
        <f t="shared" ref="BK200:BK209" si="284">IF(AD200,(((2*qx*qy)+(2*qz*qw))*(BG200))+((1-(2*qx^2)-(2*qz^2))*(BH200))+(((2*qy*qz)-(2*qx*qw))*(BI200)),"")</f>
        <v/>
      </c>
      <c r="BL200" s="1" t="str">
        <f t="shared" ref="BL200:BL209" si="285">IF(AD200,(((2*qx*qz)-(2*qy*qw))*(BG200))+(((2*qy*qz)+(2*qx*qw))*(BH200))+((1-(2*qx^2)-(2*qy^2))*(BI200)),"")</f>
        <v/>
      </c>
      <c r="BM200" s="1" t="str">
        <f t="shared" ref="BM200:BM209" si="286">IF(AD200,BJ200+bx,"")</f>
        <v/>
      </c>
      <c r="BN200" s="1" t="str">
        <f t="shared" ref="BN200:BN209" si="287">IF(AD200,BK200+by,"")</f>
        <v/>
      </c>
      <c r="BO200" s="1" t="str">
        <f t="shared" ref="BO200:BO209" si="288">IF(AD200,BL200+bz,"")</f>
        <v/>
      </c>
      <c r="BQ200" s="1" t="str">
        <f t="shared" si="63"/>
        <v/>
      </c>
      <c r="BR200" s="1" t="str">
        <f t="shared" si="64"/>
        <v/>
      </c>
      <c r="BS200" s="1" t="str">
        <f t="shared" si="65"/>
        <v/>
      </c>
      <c r="BT200" s="1" t="str">
        <f t="shared" si="66"/>
        <v/>
      </c>
      <c r="BU200" s="1" t="str">
        <f t="shared" si="67"/>
        <v/>
      </c>
      <c r="BV200" s="1" t="str">
        <f t="shared" si="68"/>
        <v/>
      </c>
      <c r="BW200" s="1" t="str">
        <f t="shared" si="69"/>
        <v/>
      </c>
      <c r="BX200" s="1" t="str">
        <f t="shared" si="70"/>
        <v/>
      </c>
      <c r="BY200" s="1" t="str">
        <f t="shared" ref="BY200:BY209" si="289">IF(AD200,IF(NOT(BT200),br*$BW$1*ATANH(COS(RADIANS(AE200))*SIN(RADIANS(AF200)-RADIANS(BX200)))*1000,br*(2*$BY$1/(1+SIN(RADIANS(BW200))*SIN(RADIANS(AE200))+COS(RADIANS(BW200))*COS(RADIANS(AE200))*COS(RADIANS(AF200)-RADIANS(BX200))))*COS(RADIANS(AE200))*SIN(RADIANS(AF200)-RADIANS(BX200))*1000),"")</f>
        <v/>
      </c>
      <c r="BZ200" s="1" t="str">
        <f t="shared" si="72"/>
        <v/>
      </c>
      <c r="CA200" s="1" t="str">
        <f t="shared" si="73"/>
        <v/>
      </c>
      <c r="CB200" s="1" t="str">
        <f t="shared" si="74"/>
        <v/>
      </c>
      <c r="CC200" s="1" t="str">
        <f t="shared" si="75"/>
        <v/>
      </c>
      <c r="CD200" s="1" t="str">
        <f t="shared" ref="CD200:CD209" si="290">IF(AD200,IF(NOT(BT200),br*$BW$1*ATAN(TAN(RADIANS(AE200))/COS(RADIANS(AF200)-RADIANS(BX200)))*1000,br*(2*$BY$1/(1+SIN(RADIANS(BW200))*SIN(RADIANS(AE200))+COS(RADIANS(BW200))*COS(RADIANS(AE200))*COS(RADIANS(AF200)-RADIANS(BX200))))*(COS(RADIANS(BW200))*SIN(RADIANS(AE200))-SIN(RADIANS(BW200))*COS(RADIANS(AE200))*COS(RADIANS(AF200)-RADIANS(BX200)))*1000),"")</f>
        <v/>
      </c>
      <c r="CE200" s="1" t="str">
        <f t="shared" si="77"/>
        <v/>
      </c>
      <c r="CF200" s="1" t="str">
        <f t="shared" si="78"/>
        <v/>
      </c>
      <c r="CG200" s="1" t="str">
        <f t="shared" si="79"/>
        <v/>
      </c>
      <c r="CH200" s="1" t="str">
        <f t="shared" si="80"/>
        <v/>
      </c>
      <c r="CJ200" s="1" t="str">
        <f t="shared" si="81"/>
        <v/>
      </c>
      <c r="CK200" s="1" t="str">
        <f t="shared" si="82"/>
        <v/>
      </c>
      <c r="CL200" s="1" t="str">
        <f t="shared" si="83"/>
        <v/>
      </c>
      <c r="CM200" s="1" t="str">
        <f t="shared" si="84"/>
        <v/>
      </c>
      <c r="CN200" s="1" t="str">
        <f t="shared" si="85"/>
        <v/>
      </c>
      <c r="CO200" s="1" t="str">
        <f t="shared" si="86"/>
        <v/>
      </c>
      <c r="CP200" s="1" t="str">
        <f t="shared" si="87"/>
        <v/>
      </c>
      <c r="CR200" s="1" t="str">
        <f t="shared" si="88"/>
        <v/>
      </c>
      <c r="CS200" s="1" t="str">
        <f t="shared" si="89"/>
        <v/>
      </c>
      <c r="CT200" s="1" t="str">
        <f t="shared" si="90"/>
        <v/>
      </c>
      <c r="CU200" s="1" t="str">
        <f t="shared" si="91"/>
        <v/>
      </c>
      <c r="CV200" s="1" t="str">
        <f t="shared" si="92"/>
        <v/>
      </c>
      <c r="DC200" s="154" t="e">
        <f t="shared" si="93"/>
        <v>#VALUE!</v>
      </c>
      <c r="DD200" s="154" t="str">
        <f t="shared" si="94"/>
        <v/>
      </c>
      <c r="DE200" s="154" t="str">
        <f t="shared" si="95"/>
        <v/>
      </c>
      <c r="DF200" s="1" t="str">
        <f t="shared" si="96"/>
        <v/>
      </c>
      <c r="DG200" s="1" t="str">
        <f t="shared" si="97"/>
        <v/>
      </c>
      <c r="DH200" s="1" t="str">
        <f t="shared" si="98"/>
        <v/>
      </c>
      <c r="DI200" s="1" t="str">
        <f t="shared" ref="DI200:DI209" si="291">IF(AND(OffWorldSelected,AD200),MOD((ROUND(DEGREES(ATAN2((COS(RADIANS(DF200))*SIN(RADIANS($DF$4))-SIN(RADIANS(DF200))*COS(RADIANS($DF$4))*COS(RADIANS($DG$4-DG200))),(SIN(RADIANS($DG$4-DG200))*COS(RADIANS($DF$4))))),0))+360,360),"")</f>
        <v/>
      </c>
      <c r="DJ200" s="1" t="str">
        <f t="shared" ref="DJ200:DJ209" si="292">IF(AND(NavTargetSelected,AD200),MOD((ROUND(DEGREES(ATAN2((COS(RADIANS(DF200))*SIN(RADIANS($DF$5))-SIN(RADIANS(DF200))*COS(RADIANS($DF$5))*COS(RADIANS($DG$5-DG200))),(SIN(RADIANS($DG$5-DG200))*COS(RADIANS($DF$5))))),0))+360,360),"")</f>
        <v/>
      </c>
      <c r="DK200" s="1" t="str">
        <f t="shared" si="101"/>
        <v/>
      </c>
      <c r="DL200" s="1" t="str">
        <f t="shared" si="102"/>
        <v/>
      </c>
      <c r="DM200" s="1" t="str">
        <f t="shared" si="103"/>
        <v/>
      </c>
    </row>
    <row r="201" customHeight="1" spans="1:117">
      <c r="A201" s="152" t="str">
        <f t="shared" si="239"/>
        <v/>
      </c>
      <c r="C201" s="55" t="str">
        <f t="shared" si="5"/>
        <v/>
      </c>
      <c r="D201" s="150" t="str">
        <f t="shared" si="6"/>
        <v/>
      </c>
      <c r="E201" s="151" t="str">
        <f t="shared" si="243"/>
        <v/>
      </c>
      <c r="F201" s="151" t="str">
        <f t="shared" si="244"/>
        <v/>
      </c>
      <c r="G201" s="151" t="str">
        <f t="shared" si="245"/>
        <v/>
      </c>
      <c r="H201" s="151" t="str">
        <f t="shared" si="246"/>
        <v/>
      </c>
      <c r="I201" s="151" t="str">
        <f t="shared" si="247"/>
        <v/>
      </c>
      <c r="J201" s="171" t="str">
        <f t="shared" si="248"/>
        <v/>
      </c>
      <c r="K201" s="172" t="str">
        <f t="shared" si="240"/>
        <v/>
      </c>
      <c r="L201" s="172" t="str">
        <f t="shared" si="241"/>
        <v/>
      </c>
      <c r="M201" s="173" t="str">
        <f t="shared" si="242"/>
        <v/>
      </c>
      <c r="N201" s="54" t="str">
        <f t="shared" si="249"/>
        <v/>
      </c>
      <c r="O201" s="55" t="str">
        <f t="shared" si="250"/>
        <v/>
      </c>
      <c r="P201" s="55" t="str">
        <f t="shared" si="15"/>
        <v/>
      </c>
      <c r="Q201" s="56" t="str">
        <f t="shared" si="251"/>
        <v/>
      </c>
      <c r="R201" s="56" t="str">
        <f t="shared" si="252"/>
        <v/>
      </c>
      <c r="S201" s="56" t="str">
        <f t="shared" si="253"/>
        <v/>
      </c>
      <c r="T201" s="56" t="str">
        <f t="shared" si="254"/>
        <v/>
      </c>
      <c r="U201" s="180" t="str">
        <f t="shared" si="255"/>
        <v/>
      </c>
      <c r="V201" s="55" t="str">
        <f t="shared" si="256"/>
        <v/>
      </c>
      <c r="W201" s="55" t="str">
        <f t="shared" si="257"/>
        <v/>
      </c>
      <c r="X201" s="56" t="str">
        <f t="shared" si="258"/>
        <v/>
      </c>
      <c r="Y201" s="180" t="str">
        <f t="shared" si="259"/>
        <v/>
      </c>
      <c r="Z201" s="55" t="str">
        <f t="shared" si="260"/>
        <v/>
      </c>
      <c r="AA201" s="55" t="str">
        <f t="shared" si="261"/>
        <v/>
      </c>
      <c r="AB201" s="150" t="str">
        <f t="shared" si="262"/>
        <v/>
      </c>
      <c r="AC201" s="188">
        <v>192</v>
      </c>
      <c r="AD201" s="1" t="b">
        <f t="shared" si="28"/>
        <v>0</v>
      </c>
      <c r="AE201" s="1" t="str">
        <f t="shared" si="29"/>
        <v/>
      </c>
      <c r="AF201" s="1" t="str">
        <f t="shared" si="30"/>
        <v/>
      </c>
      <c r="AG201" s="1" t="str">
        <f t="shared" si="31"/>
        <v/>
      </c>
      <c r="AH201" s="1" t="str">
        <f t="shared" si="263"/>
        <v/>
      </c>
      <c r="AI201" s="1" t="str">
        <f t="shared" si="33"/>
        <v/>
      </c>
      <c r="AJ201" s="191" t="str">
        <f t="shared" si="237"/>
        <v/>
      </c>
      <c r="AK201" s="191" t="str">
        <f t="shared" si="238"/>
        <v/>
      </c>
      <c r="AL201" s="191" t="str">
        <f t="shared" si="264"/>
        <v/>
      </c>
      <c r="AM201" s="1" t="str">
        <f t="shared" si="265"/>
        <v/>
      </c>
      <c r="AN201" s="191" t="str">
        <f t="shared" si="266"/>
        <v/>
      </c>
      <c r="AO201" s="134" t="str">
        <f t="shared" si="267"/>
        <v/>
      </c>
      <c r="AP201" s="64" t="str">
        <f t="shared" si="38"/>
        <v/>
      </c>
      <c r="AQ201" s="1" t="str">
        <f t="shared" ref="AQ201:AQ209" si="293">IF(AND(OffWorldSelected,AD201),DEGREES(ACOS(-TAN(RADIANS(AE201))*TAN(RADIANS(oDeclination))))+oar+AI201,"")</f>
        <v/>
      </c>
      <c r="AR201" s="1" t="str">
        <f t="shared" si="268"/>
        <v/>
      </c>
      <c r="AS201" s="1" t="str">
        <f t="shared" si="269"/>
        <v/>
      </c>
      <c r="AT201" s="134" t="str">
        <f t="shared" si="270"/>
        <v/>
      </c>
      <c r="AU201" s="64" t="str">
        <f t="shared" si="271"/>
        <v/>
      </c>
      <c r="AV201" s="65" t="str">
        <f t="shared" si="272"/>
        <v/>
      </c>
      <c r="AW201" s="65" t="str">
        <f t="shared" si="273"/>
        <v/>
      </c>
      <c r="AX201" s="1" t="str">
        <f t="shared" si="274"/>
        <v/>
      </c>
      <c r="AY201" s="1" t="str">
        <f t="shared" si="275"/>
        <v/>
      </c>
      <c r="AZ201" s="131" t="str">
        <f t="shared" si="276"/>
        <v/>
      </c>
      <c r="BA201" s="1" t="str">
        <f t="shared" si="277"/>
        <v/>
      </c>
      <c r="BB201" s="1" t="str">
        <f t="shared" si="49"/>
        <v/>
      </c>
      <c r="BC201" s="1" t="str">
        <f t="shared" si="50"/>
        <v/>
      </c>
      <c r="BD201" s="1" t="str">
        <f t="shared" si="278"/>
        <v/>
      </c>
      <c r="BE201" s="1" t="str">
        <f t="shared" si="279"/>
        <v/>
      </c>
      <c r="BF201" s="1" t="str">
        <f t="shared" si="53"/>
        <v/>
      </c>
      <c r="BG201" s="1" t="str">
        <f t="shared" si="280"/>
        <v/>
      </c>
      <c r="BH201" s="1" t="str">
        <f t="shared" si="281"/>
        <v/>
      </c>
      <c r="BI201" s="1" t="str">
        <f t="shared" si="282"/>
        <v/>
      </c>
      <c r="BJ201" s="1" t="str">
        <f t="shared" si="283"/>
        <v/>
      </c>
      <c r="BK201" s="1" t="str">
        <f t="shared" si="284"/>
        <v/>
      </c>
      <c r="BL201" s="1" t="str">
        <f t="shared" si="285"/>
        <v/>
      </c>
      <c r="BM201" s="1" t="str">
        <f t="shared" si="286"/>
        <v/>
      </c>
      <c r="BN201" s="1" t="str">
        <f t="shared" si="287"/>
        <v/>
      </c>
      <c r="BO201" s="1" t="str">
        <f t="shared" si="288"/>
        <v/>
      </c>
      <c r="BQ201" s="1" t="str">
        <f t="shared" si="63"/>
        <v/>
      </c>
      <c r="BR201" s="1" t="str">
        <f t="shared" si="64"/>
        <v/>
      </c>
      <c r="BS201" s="1" t="str">
        <f t="shared" si="65"/>
        <v/>
      </c>
      <c r="BT201" s="1" t="str">
        <f t="shared" si="66"/>
        <v/>
      </c>
      <c r="BU201" s="1" t="str">
        <f t="shared" si="67"/>
        <v/>
      </c>
      <c r="BV201" s="1" t="str">
        <f t="shared" si="68"/>
        <v/>
      </c>
      <c r="BW201" s="1" t="str">
        <f t="shared" si="69"/>
        <v/>
      </c>
      <c r="BX201" s="1" t="str">
        <f t="shared" si="70"/>
        <v/>
      </c>
      <c r="BY201" s="1" t="str">
        <f t="shared" si="289"/>
        <v/>
      </c>
      <c r="BZ201" s="1" t="str">
        <f t="shared" si="72"/>
        <v/>
      </c>
      <c r="CA201" s="1" t="str">
        <f t="shared" si="73"/>
        <v/>
      </c>
      <c r="CB201" s="1" t="str">
        <f t="shared" si="74"/>
        <v/>
      </c>
      <c r="CC201" s="1" t="str">
        <f t="shared" si="75"/>
        <v/>
      </c>
      <c r="CD201" s="1" t="str">
        <f t="shared" si="290"/>
        <v/>
      </c>
      <c r="CE201" s="1" t="str">
        <f t="shared" si="77"/>
        <v/>
      </c>
      <c r="CF201" s="1" t="str">
        <f t="shared" si="78"/>
        <v/>
      </c>
      <c r="CG201" s="1" t="str">
        <f t="shared" si="79"/>
        <v/>
      </c>
      <c r="CH201" s="1" t="str">
        <f t="shared" si="80"/>
        <v/>
      </c>
      <c r="CJ201" s="1" t="str">
        <f t="shared" si="81"/>
        <v/>
      </c>
      <c r="CK201" s="1" t="str">
        <f t="shared" si="82"/>
        <v/>
      </c>
      <c r="CL201" s="1" t="str">
        <f t="shared" si="83"/>
        <v/>
      </c>
      <c r="CM201" s="1" t="str">
        <f t="shared" si="84"/>
        <v/>
      </c>
      <c r="CN201" s="1" t="str">
        <f t="shared" si="85"/>
        <v/>
      </c>
      <c r="CO201" s="1" t="str">
        <f t="shared" si="86"/>
        <v/>
      </c>
      <c r="CP201" s="1" t="str">
        <f t="shared" si="87"/>
        <v/>
      </c>
      <c r="CR201" s="1" t="str">
        <f t="shared" si="88"/>
        <v/>
      </c>
      <c r="CS201" s="1" t="str">
        <f t="shared" si="89"/>
        <v/>
      </c>
      <c r="CT201" s="1" t="str">
        <f t="shared" si="90"/>
        <v/>
      </c>
      <c r="CU201" s="1" t="str">
        <f t="shared" si="91"/>
        <v/>
      </c>
      <c r="CV201" s="1" t="str">
        <f t="shared" si="92"/>
        <v/>
      </c>
      <c r="DC201" s="154" t="e">
        <f t="shared" si="93"/>
        <v>#VALUE!</v>
      </c>
      <c r="DD201" s="154" t="str">
        <f t="shared" si="94"/>
        <v/>
      </c>
      <c r="DE201" s="154" t="str">
        <f t="shared" si="95"/>
        <v/>
      </c>
      <c r="DF201" s="1" t="str">
        <f t="shared" si="96"/>
        <v/>
      </c>
      <c r="DG201" s="1" t="str">
        <f t="shared" si="97"/>
        <v/>
      </c>
      <c r="DH201" s="1" t="str">
        <f t="shared" si="98"/>
        <v/>
      </c>
      <c r="DI201" s="1" t="str">
        <f t="shared" si="291"/>
        <v/>
      </c>
      <c r="DJ201" s="1" t="str">
        <f t="shared" si="292"/>
        <v/>
      </c>
      <c r="DK201" s="1" t="str">
        <f t="shared" si="101"/>
        <v/>
      </c>
      <c r="DL201" s="1" t="str">
        <f t="shared" si="102"/>
        <v/>
      </c>
      <c r="DM201" s="1" t="str">
        <f t="shared" si="103"/>
        <v/>
      </c>
    </row>
    <row r="202" customHeight="1" spans="1:117">
      <c r="A202" s="152" t="str">
        <f t="shared" si="239"/>
        <v/>
      </c>
      <c r="C202" s="55" t="str">
        <f t="shared" si="5"/>
        <v/>
      </c>
      <c r="D202" s="150" t="str">
        <f t="shared" si="6"/>
        <v/>
      </c>
      <c r="E202" s="151" t="str">
        <f t="shared" si="243"/>
        <v/>
      </c>
      <c r="F202" s="151" t="str">
        <f t="shared" si="244"/>
        <v/>
      </c>
      <c r="G202" s="151" t="str">
        <f t="shared" si="245"/>
        <v/>
      </c>
      <c r="H202" s="151" t="str">
        <f t="shared" si="246"/>
        <v/>
      </c>
      <c r="I202" s="151" t="str">
        <f t="shared" si="247"/>
        <v/>
      </c>
      <c r="J202" s="171" t="str">
        <f t="shared" si="248"/>
        <v/>
      </c>
      <c r="K202" s="172" t="str">
        <f t="shared" si="240"/>
        <v/>
      </c>
      <c r="L202" s="172" t="str">
        <f t="shared" si="241"/>
        <v/>
      </c>
      <c r="M202" s="173" t="str">
        <f t="shared" si="242"/>
        <v/>
      </c>
      <c r="N202" s="54" t="str">
        <f t="shared" si="249"/>
        <v/>
      </c>
      <c r="O202" s="55" t="str">
        <f t="shared" si="250"/>
        <v/>
      </c>
      <c r="P202" s="55" t="str">
        <f t="shared" si="15"/>
        <v/>
      </c>
      <c r="Q202" s="56" t="str">
        <f t="shared" si="251"/>
        <v/>
      </c>
      <c r="R202" s="56" t="str">
        <f t="shared" si="252"/>
        <v/>
      </c>
      <c r="S202" s="56" t="str">
        <f t="shared" si="253"/>
        <v/>
      </c>
      <c r="T202" s="56" t="str">
        <f t="shared" si="254"/>
        <v/>
      </c>
      <c r="U202" s="180" t="str">
        <f t="shared" si="255"/>
        <v/>
      </c>
      <c r="V202" s="55" t="str">
        <f t="shared" si="256"/>
        <v/>
      </c>
      <c r="W202" s="55" t="str">
        <f t="shared" si="257"/>
        <v/>
      </c>
      <c r="X202" s="56" t="str">
        <f t="shared" si="258"/>
        <v/>
      </c>
      <c r="Y202" s="180" t="str">
        <f t="shared" si="259"/>
        <v/>
      </c>
      <c r="Z202" s="55" t="str">
        <f t="shared" si="260"/>
        <v/>
      </c>
      <c r="AA202" s="55" t="str">
        <f t="shared" si="261"/>
        <v/>
      </c>
      <c r="AB202" s="150" t="str">
        <f t="shared" si="262"/>
        <v/>
      </c>
      <c r="AC202" s="188">
        <v>193</v>
      </c>
      <c r="AD202" s="1" t="b">
        <f t="shared" si="28"/>
        <v>0</v>
      </c>
      <c r="AE202" s="1" t="str">
        <f t="shared" si="29"/>
        <v/>
      </c>
      <c r="AF202" s="1" t="str">
        <f t="shared" si="30"/>
        <v/>
      </c>
      <c r="AG202" s="1" t="str">
        <f t="shared" si="31"/>
        <v/>
      </c>
      <c r="AH202" s="1" t="str">
        <f t="shared" si="263"/>
        <v/>
      </c>
      <c r="AI202" s="1" t="str">
        <f t="shared" si="33"/>
        <v/>
      </c>
      <c r="AJ202" s="191" t="str">
        <f t="shared" ref="AJ202:AJ209" si="294">IF(ListMethodCode,_xlfn.IFNA(VLOOKUP(CONCATENATE(BodyName," ",IF(AC202&lt;10,"0",""),AC202),DatabaseOutpost,13,FALSE),""),_xlfn.IFNA(VLOOKUP(CONCATENATE(BodyName," ",IF(AC202&lt;10,"0",""),AC202),DatabaseTime,12,FALSE),""))</f>
        <v/>
      </c>
      <c r="AK202" s="191" t="str">
        <f t="shared" ref="AK202:AK209" si="295">IF(ListMethodCode,_xlfn.IFNA(VLOOKUP(CONCATENATE(BodyName," ",IF(AC202&lt;10,"0",""),AC202),DatabaseOutpost,14,FALSE),""),_xlfn.IFNA(VLOOKUP(CONCATENATE(BodyName," ",IF(AC202&lt;10,"0",""),AC202),DatabaseTime,13,FALSE),""))</f>
        <v/>
      </c>
      <c r="AL202" s="191" t="str">
        <f t="shared" si="264"/>
        <v/>
      </c>
      <c r="AM202" s="1" t="str">
        <f t="shared" si="265"/>
        <v/>
      </c>
      <c r="AN202" s="191" t="str">
        <f t="shared" si="266"/>
        <v/>
      </c>
      <c r="AO202" s="134" t="str">
        <f t="shared" si="267"/>
        <v/>
      </c>
      <c r="AP202" s="64" t="str">
        <f t="shared" si="38"/>
        <v/>
      </c>
      <c r="AQ202" s="1" t="str">
        <f t="shared" si="293"/>
        <v/>
      </c>
      <c r="AR202" s="1" t="str">
        <f t="shared" si="268"/>
        <v/>
      </c>
      <c r="AS202" s="1" t="str">
        <f t="shared" si="269"/>
        <v/>
      </c>
      <c r="AT202" s="134" t="str">
        <f t="shared" si="270"/>
        <v/>
      </c>
      <c r="AU202" s="64" t="str">
        <f t="shared" si="271"/>
        <v/>
      </c>
      <c r="AV202" s="65" t="str">
        <f t="shared" si="272"/>
        <v/>
      </c>
      <c r="AW202" s="65" t="str">
        <f t="shared" si="273"/>
        <v/>
      </c>
      <c r="AX202" s="1" t="str">
        <f t="shared" si="274"/>
        <v/>
      </c>
      <c r="AY202" s="1" t="str">
        <f t="shared" si="275"/>
        <v/>
      </c>
      <c r="AZ202" s="131" t="str">
        <f t="shared" si="276"/>
        <v/>
      </c>
      <c r="BA202" s="1" t="str">
        <f t="shared" si="277"/>
        <v/>
      </c>
      <c r="BB202" s="1" t="str">
        <f t="shared" si="49"/>
        <v/>
      </c>
      <c r="BC202" s="1" t="str">
        <f t="shared" si="50"/>
        <v/>
      </c>
      <c r="BD202" s="1" t="str">
        <f t="shared" si="278"/>
        <v/>
      </c>
      <c r="BE202" s="1" t="str">
        <f t="shared" si="279"/>
        <v/>
      </c>
      <c r="BF202" s="1" t="str">
        <f t="shared" si="53"/>
        <v/>
      </c>
      <c r="BG202" s="1" t="str">
        <f t="shared" si="280"/>
        <v/>
      </c>
      <c r="BH202" s="1" t="str">
        <f t="shared" si="281"/>
        <v/>
      </c>
      <c r="BI202" s="1" t="str">
        <f t="shared" si="282"/>
        <v/>
      </c>
      <c r="BJ202" s="1" t="str">
        <f t="shared" si="283"/>
        <v/>
      </c>
      <c r="BK202" s="1" t="str">
        <f t="shared" si="284"/>
        <v/>
      </c>
      <c r="BL202" s="1" t="str">
        <f t="shared" si="285"/>
        <v/>
      </c>
      <c r="BM202" s="1" t="str">
        <f t="shared" si="286"/>
        <v/>
      </c>
      <c r="BN202" s="1" t="str">
        <f t="shared" si="287"/>
        <v/>
      </c>
      <c r="BO202" s="1" t="str">
        <f t="shared" si="288"/>
        <v/>
      </c>
      <c r="BQ202" s="1" t="str">
        <f t="shared" si="63"/>
        <v/>
      </c>
      <c r="BR202" s="1" t="str">
        <f t="shared" si="64"/>
        <v/>
      </c>
      <c r="BS202" s="1" t="str">
        <f t="shared" si="65"/>
        <v/>
      </c>
      <c r="BT202" s="1" t="str">
        <f t="shared" si="66"/>
        <v/>
      </c>
      <c r="BU202" s="1" t="str">
        <f t="shared" si="67"/>
        <v/>
      </c>
      <c r="BV202" s="1" t="str">
        <f t="shared" si="68"/>
        <v/>
      </c>
      <c r="BW202" s="1" t="str">
        <f t="shared" si="69"/>
        <v/>
      </c>
      <c r="BX202" s="1" t="str">
        <f t="shared" si="70"/>
        <v/>
      </c>
      <c r="BY202" s="1" t="str">
        <f t="shared" si="289"/>
        <v/>
      </c>
      <c r="BZ202" s="1" t="str">
        <f t="shared" si="72"/>
        <v/>
      </c>
      <c r="CA202" s="1" t="str">
        <f t="shared" si="73"/>
        <v/>
      </c>
      <c r="CB202" s="1" t="str">
        <f t="shared" si="74"/>
        <v/>
      </c>
      <c r="CC202" s="1" t="str">
        <f t="shared" si="75"/>
        <v/>
      </c>
      <c r="CD202" s="1" t="str">
        <f t="shared" si="290"/>
        <v/>
      </c>
      <c r="CE202" s="1" t="str">
        <f t="shared" si="77"/>
        <v/>
      </c>
      <c r="CF202" s="1" t="str">
        <f t="shared" si="78"/>
        <v/>
      </c>
      <c r="CG202" s="1" t="str">
        <f t="shared" si="79"/>
        <v/>
      </c>
      <c r="CH202" s="1" t="str">
        <f t="shared" si="80"/>
        <v/>
      </c>
      <c r="CJ202" s="1" t="str">
        <f t="shared" si="81"/>
        <v/>
      </c>
      <c r="CK202" s="1" t="str">
        <f t="shared" si="82"/>
        <v/>
      </c>
      <c r="CL202" s="1" t="str">
        <f t="shared" si="83"/>
        <v/>
      </c>
      <c r="CM202" s="1" t="str">
        <f t="shared" si="84"/>
        <v/>
      </c>
      <c r="CN202" s="1" t="str">
        <f t="shared" si="85"/>
        <v/>
      </c>
      <c r="CO202" s="1" t="str">
        <f t="shared" si="86"/>
        <v/>
      </c>
      <c r="CP202" s="1" t="str">
        <f t="shared" si="87"/>
        <v/>
      </c>
      <c r="CR202" s="1" t="str">
        <f t="shared" si="88"/>
        <v/>
      </c>
      <c r="CS202" s="1" t="str">
        <f t="shared" si="89"/>
        <v/>
      </c>
      <c r="CT202" s="1" t="str">
        <f t="shared" si="90"/>
        <v/>
      </c>
      <c r="CU202" s="1" t="str">
        <f t="shared" si="91"/>
        <v/>
      </c>
      <c r="CV202" s="1" t="str">
        <f t="shared" si="92"/>
        <v/>
      </c>
      <c r="DC202" s="154" t="e">
        <f t="shared" si="93"/>
        <v>#VALUE!</v>
      </c>
      <c r="DD202" s="154" t="str">
        <f t="shared" si="94"/>
        <v/>
      </c>
      <c r="DE202" s="154" t="str">
        <f t="shared" si="95"/>
        <v/>
      </c>
      <c r="DF202" s="1" t="str">
        <f t="shared" si="96"/>
        <v/>
      </c>
      <c r="DG202" s="1" t="str">
        <f t="shared" si="97"/>
        <v/>
      </c>
      <c r="DH202" s="1" t="str">
        <f t="shared" si="98"/>
        <v/>
      </c>
      <c r="DI202" s="1" t="str">
        <f t="shared" si="291"/>
        <v/>
      </c>
      <c r="DJ202" s="1" t="str">
        <f t="shared" si="292"/>
        <v/>
      </c>
      <c r="DK202" s="1" t="str">
        <f t="shared" si="101"/>
        <v/>
      </c>
      <c r="DL202" s="1" t="str">
        <f t="shared" si="102"/>
        <v/>
      </c>
      <c r="DM202" s="1" t="str">
        <f t="shared" si="103"/>
        <v/>
      </c>
    </row>
    <row r="203" customHeight="1" spans="1:117">
      <c r="A203" s="152" t="str">
        <f t="shared" ref="A203:A209" si="296">IF(ListMethodCode,_xlfn.IFNA(VLOOKUP(CONCATENATE(BodyName," ",IF(AC203&lt;10,"0",""),AC203),DatabaseOutpost,3,FALSE),""),_xlfn.IFNA(VLOOKUP(CONCATENATE(BodyName," ",IF(AC203&lt;10,"0",""),AC203),DatabaseTime,2,FALSE),""))</f>
        <v/>
      </c>
      <c r="C203" s="55" t="str">
        <f t="shared" si="5"/>
        <v/>
      </c>
      <c r="D203" s="150" t="str">
        <f t="shared" si="6"/>
        <v/>
      </c>
      <c r="E203" s="151" t="str">
        <f t="shared" si="243"/>
        <v/>
      </c>
      <c r="F203" s="151" t="str">
        <f t="shared" si="244"/>
        <v/>
      </c>
      <c r="G203" s="151" t="str">
        <f t="shared" si="245"/>
        <v/>
      </c>
      <c r="H203" s="151" t="str">
        <f t="shared" si="246"/>
        <v/>
      </c>
      <c r="I203" s="151" t="str">
        <f t="shared" si="247"/>
        <v/>
      </c>
      <c r="J203" s="171" t="str">
        <f t="shared" si="248"/>
        <v/>
      </c>
      <c r="K203" s="172" t="str">
        <f t="shared" ref="K203:K209" si="297">IF(ListMethodCode,_xlfn.IFNA(VLOOKUP(CONCATENATE(BodyName," ",IF(AC203&lt;10,"0",""),AC203),DatabaseOutpost,5,FALSE),""),_xlfn.IFNA(VLOOKUP(CONCATENATE(BodyName," ",IF(AC203&lt;10,"0",""),AC203),DatabaseTime,4,FALSE),""))</f>
        <v/>
      </c>
      <c r="L203" s="172" t="str">
        <f t="shared" ref="L203:L209" si="298">IF(ListMethodCode,_xlfn.IFNA(VLOOKUP(CONCATENATE(BodyName," ",IF(AC203&lt;10,"0",""),AC203),DatabaseOutpost,6,FALSE),""),_xlfn.IFNA(VLOOKUP(CONCATENATE(BodyName," ",IF(AC203&lt;10,"0",""),AC203),DatabaseTime,5,FALSE),""))</f>
        <v/>
      </c>
      <c r="M203" s="173" t="str">
        <f t="shared" ref="M203:M209" si="299">IF(ListMethodCode,_xlfn.IFNA(VLOOKUP(CONCATENATE(BodyName," ",IF(AC203&lt;10,"0",""),AC203),DatabaseOutpost,7,FALSE),""),_xlfn.IFNA(VLOOKUP(CONCATENATE(BodyName," ",IF(AC203&lt;10,"0",""),AC203),DatabaseTime,6,FALSE),""))</f>
        <v/>
      </c>
      <c r="N203" s="54" t="str">
        <f t="shared" si="249"/>
        <v/>
      </c>
      <c r="O203" s="55" t="str">
        <f t="shared" si="250"/>
        <v/>
      </c>
      <c r="P203" s="55" t="str">
        <f t="shared" si="15"/>
        <v/>
      </c>
      <c r="Q203" s="56" t="str">
        <f t="shared" si="251"/>
        <v/>
      </c>
      <c r="R203" s="56" t="str">
        <f t="shared" si="252"/>
        <v/>
      </c>
      <c r="S203" s="56" t="str">
        <f t="shared" si="253"/>
        <v/>
      </c>
      <c r="T203" s="56" t="str">
        <f t="shared" si="254"/>
        <v/>
      </c>
      <c r="U203" s="180" t="str">
        <f t="shared" si="255"/>
        <v/>
      </c>
      <c r="V203" s="55" t="str">
        <f t="shared" si="256"/>
        <v/>
      </c>
      <c r="W203" s="55" t="str">
        <f t="shared" si="257"/>
        <v/>
      </c>
      <c r="X203" s="56" t="str">
        <f t="shared" si="258"/>
        <v/>
      </c>
      <c r="Y203" s="180" t="str">
        <f t="shared" si="259"/>
        <v/>
      </c>
      <c r="Z203" s="55" t="str">
        <f t="shared" si="260"/>
        <v/>
      </c>
      <c r="AA203" s="55" t="str">
        <f t="shared" si="261"/>
        <v/>
      </c>
      <c r="AB203" s="150" t="str">
        <f t="shared" si="262"/>
        <v/>
      </c>
      <c r="AC203" s="188">
        <v>194</v>
      </c>
      <c r="AD203" s="1" t="b">
        <f t="shared" si="28"/>
        <v>0</v>
      </c>
      <c r="AE203" s="1" t="str">
        <f t="shared" si="29"/>
        <v/>
      </c>
      <c r="AF203" s="1" t="str">
        <f t="shared" si="30"/>
        <v/>
      </c>
      <c r="AG203" s="1" t="str">
        <f t="shared" si="31"/>
        <v/>
      </c>
      <c r="AH203" s="1" t="str">
        <f t="shared" si="263"/>
        <v/>
      </c>
      <c r="AI203" s="1" t="str">
        <f t="shared" si="33"/>
        <v/>
      </c>
      <c r="AJ203" s="191" t="str">
        <f t="shared" si="294"/>
        <v/>
      </c>
      <c r="AK203" s="191" t="str">
        <f t="shared" si="295"/>
        <v/>
      </c>
      <c r="AL203" s="191" t="str">
        <f t="shared" si="264"/>
        <v/>
      </c>
      <c r="AM203" s="1" t="str">
        <f t="shared" si="265"/>
        <v/>
      </c>
      <c r="AN203" s="191" t="str">
        <f t="shared" si="266"/>
        <v/>
      </c>
      <c r="AO203" s="134" t="str">
        <f t="shared" si="267"/>
        <v/>
      </c>
      <c r="AP203" s="64" t="str">
        <f t="shared" si="38"/>
        <v/>
      </c>
      <c r="AQ203" s="1" t="str">
        <f t="shared" si="293"/>
        <v/>
      </c>
      <c r="AR203" s="1" t="str">
        <f t="shared" si="268"/>
        <v/>
      </c>
      <c r="AS203" s="1" t="str">
        <f t="shared" si="269"/>
        <v/>
      </c>
      <c r="AT203" s="134" t="str">
        <f t="shared" si="270"/>
        <v/>
      </c>
      <c r="AU203" s="64" t="str">
        <f t="shared" si="271"/>
        <v/>
      </c>
      <c r="AV203" s="65" t="str">
        <f t="shared" si="272"/>
        <v/>
      </c>
      <c r="AW203" s="65" t="str">
        <f t="shared" si="273"/>
        <v/>
      </c>
      <c r="AX203" s="1" t="str">
        <f t="shared" si="274"/>
        <v/>
      </c>
      <c r="AY203" s="1" t="str">
        <f t="shared" si="275"/>
        <v/>
      </c>
      <c r="AZ203" s="131" t="str">
        <f t="shared" si="276"/>
        <v/>
      </c>
      <c r="BA203" s="1" t="str">
        <f t="shared" si="277"/>
        <v/>
      </c>
      <c r="BB203" s="1" t="str">
        <f t="shared" si="49"/>
        <v/>
      </c>
      <c r="BC203" s="1" t="str">
        <f t="shared" si="50"/>
        <v/>
      </c>
      <c r="BD203" s="1" t="str">
        <f t="shared" si="278"/>
        <v/>
      </c>
      <c r="BE203" s="1" t="str">
        <f t="shared" si="279"/>
        <v/>
      </c>
      <c r="BF203" s="1" t="str">
        <f t="shared" si="53"/>
        <v/>
      </c>
      <c r="BG203" s="1" t="str">
        <f t="shared" si="280"/>
        <v/>
      </c>
      <c r="BH203" s="1" t="str">
        <f t="shared" si="281"/>
        <v/>
      </c>
      <c r="BI203" s="1" t="str">
        <f t="shared" si="282"/>
        <v/>
      </c>
      <c r="BJ203" s="1" t="str">
        <f t="shared" si="283"/>
        <v/>
      </c>
      <c r="BK203" s="1" t="str">
        <f t="shared" si="284"/>
        <v/>
      </c>
      <c r="BL203" s="1" t="str">
        <f t="shared" si="285"/>
        <v/>
      </c>
      <c r="BM203" s="1" t="str">
        <f t="shared" si="286"/>
        <v/>
      </c>
      <c r="BN203" s="1" t="str">
        <f t="shared" si="287"/>
        <v/>
      </c>
      <c r="BO203" s="1" t="str">
        <f t="shared" si="288"/>
        <v/>
      </c>
      <c r="BQ203" s="1" t="str">
        <f t="shared" si="63"/>
        <v/>
      </c>
      <c r="BR203" s="1" t="str">
        <f t="shared" si="64"/>
        <v/>
      </c>
      <c r="BS203" s="1" t="str">
        <f t="shared" si="65"/>
        <v/>
      </c>
      <c r="BT203" s="1" t="str">
        <f t="shared" si="66"/>
        <v/>
      </c>
      <c r="BU203" s="1" t="str">
        <f t="shared" si="67"/>
        <v/>
      </c>
      <c r="BV203" s="1" t="str">
        <f t="shared" si="68"/>
        <v/>
      </c>
      <c r="BW203" s="1" t="str">
        <f t="shared" si="69"/>
        <v/>
      </c>
      <c r="BX203" s="1" t="str">
        <f t="shared" si="70"/>
        <v/>
      </c>
      <c r="BY203" s="1" t="str">
        <f t="shared" si="289"/>
        <v/>
      </c>
      <c r="BZ203" s="1" t="str">
        <f t="shared" si="72"/>
        <v/>
      </c>
      <c r="CA203" s="1" t="str">
        <f t="shared" si="73"/>
        <v/>
      </c>
      <c r="CB203" s="1" t="str">
        <f t="shared" si="74"/>
        <v/>
      </c>
      <c r="CC203" s="1" t="str">
        <f t="shared" si="75"/>
        <v/>
      </c>
      <c r="CD203" s="1" t="str">
        <f t="shared" si="290"/>
        <v/>
      </c>
      <c r="CE203" s="1" t="str">
        <f t="shared" si="77"/>
        <v/>
      </c>
      <c r="CF203" s="1" t="str">
        <f t="shared" si="78"/>
        <v/>
      </c>
      <c r="CG203" s="1" t="str">
        <f t="shared" si="79"/>
        <v/>
      </c>
      <c r="CH203" s="1" t="str">
        <f t="shared" si="80"/>
        <v/>
      </c>
      <c r="CJ203" s="1" t="str">
        <f t="shared" si="81"/>
        <v/>
      </c>
      <c r="CK203" s="1" t="str">
        <f t="shared" si="82"/>
        <v/>
      </c>
      <c r="CL203" s="1" t="str">
        <f t="shared" si="83"/>
        <v/>
      </c>
      <c r="CM203" s="1" t="str">
        <f t="shared" si="84"/>
        <v/>
      </c>
      <c r="CN203" s="1" t="str">
        <f t="shared" si="85"/>
        <v/>
      </c>
      <c r="CO203" s="1" t="str">
        <f t="shared" si="86"/>
        <v/>
      </c>
      <c r="CP203" s="1" t="str">
        <f t="shared" si="87"/>
        <v/>
      </c>
      <c r="CR203" s="1" t="str">
        <f t="shared" si="88"/>
        <v/>
      </c>
      <c r="CS203" s="1" t="str">
        <f t="shared" si="89"/>
        <v/>
      </c>
      <c r="CT203" s="1" t="str">
        <f t="shared" si="90"/>
        <v/>
      </c>
      <c r="CU203" s="1" t="str">
        <f t="shared" si="91"/>
        <v/>
      </c>
      <c r="CV203" s="1" t="str">
        <f t="shared" si="92"/>
        <v/>
      </c>
      <c r="DC203" s="154" t="e">
        <f t="shared" si="93"/>
        <v>#VALUE!</v>
      </c>
      <c r="DD203" s="154" t="str">
        <f t="shared" si="94"/>
        <v/>
      </c>
      <c r="DE203" s="154" t="str">
        <f t="shared" si="95"/>
        <v/>
      </c>
      <c r="DF203" s="1" t="str">
        <f t="shared" si="96"/>
        <v/>
      </c>
      <c r="DG203" s="1" t="str">
        <f t="shared" si="97"/>
        <v/>
      </c>
      <c r="DH203" s="1" t="str">
        <f t="shared" si="98"/>
        <v/>
      </c>
      <c r="DI203" s="1" t="str">
        <f t="shared" si="291"/>
        <v/>
      </c>
      <c r="DJ203" s="1" t="str">
        <f t="shared" si="292"/>
        <v/>
      </c>
      <c r="DK203" s="1" t="str">
        <f t="shared" si="101"/>
        <v/>
      </c>
      <c r="DL203" s="1" t="str">
        <f t="shared" si="102"/>
        <v/>
      </c>
      <c r="DM203" s="1" t="str">
        <f t="shared" si="103"/>
        <v/>
      </c>
    </row>
    <row r="204" customHeight="1" spans="1:117">
      <c r="A204" s="152" t="str">
        <f t="shared" si="296"/>
        <v/>
      </c>
      <c r="C204" s="55" t="str">
        <f t="shared" si="5"/>
        <v/>
      </c>
      <c r="D204" s="150" t="str">
        <f t="shared" si="6"/>
        <v/>
      </c>
      <c r="E204" s="151" t="str">
        <f t="shared" si="243"/>
        <v/>
      </c>
      <c r="F204" s="151" t="str">
        <f t="shared" si="244"/>
        <v/>
      </c>
      <c r="G204" s="151" t="str">
        <f t="shared" si="245"/>
        <v/>
      </c>
      <c r="H204" s="151" t="str">
        <f t="shared" si="246"/>
        <v/>
      </c>
      <c r="I204" s="151" t="str">
        <f t="shared" si="247"/>
        <v/>
      </c>
      <c r="J204" s="171" t="str">
        <f t="shared" si="248"/>
        <v/>
      </c>
      <c r="K204" s="172" t="str">
        <f t="shared" si="297"/>
        <v/>
      </c>
      <c r="L204" s="172" t="str">
        <f t="shared" si="298"/>
        <v/>
      </c>
      <c r="M204" s="173" t="str">
        <f t="shared" si="299"/>
        <v/>
      </c>
      <c r="N204" s="54" t="str">
        <f t="shared" si="249"/>
        <v/>
      </c>
      <c r="O204" s="55" t="str">
        <f t="shared" si="250"/>
        <v/>
      </c>
      <c r="P204" s="55" t="str">
        <f t="shared" si="15"/>
        <v/>
      </c>
      <c r="Q204" s="56" t="str">
        <f t="shared" si="251"/>
        <v/>
      </c>
      <c r="R204" s="56" t="str">
        <f t="shared" si="252"/>
        <v/>
      </c>
      <c r="S204" s="56" t="str">
        <f t="shared" si="253"/>
        <v/>
      </c>
      <c r="T204" s="56" t="str">
        <f t="shared" si="254"/>
        <v/>
      </c>
      <c r="U204" s="180" t="str">
        <f t="shared" si="255"/>
        <v/>
      </c>
      <c r="V204" s="55" t="str">
        <f t="shared" si="256"/>
        <v/>
      </c>
      <c r="W204" s="55" t="str">
        <f t="shared" si="257"/>
        <v/>
      </c>
      <c r="X204" s="56" t="str">
        <f t="shared" si="258"/>
        <v/>
      </c>
      <c r="Y204" s="180" t="str">
        <f t="shared" si="259"/>
        <v/>
      </c>
      <c r="Z204" s="55" t="str">
        <f t="shared" si="260"/>
        <v/>
      </c>
      <c r="AA204" s="55" t="str">
        <f t="shared" si="261"/>
        <v/>
      </c>
      <c r="AB204" s="150" t="str">
        <f t="shared" si="262"/>
        <v/>
      </c>
      <c r="AC204" s="188">
        <v>195</v>
      </c>
      <c r="AD204" s="1" t="b">
        <f t="shared" si="28"/>
        <v>0</v>
      </c>
      <c r="AE204" s="1" t="str">
        <f t="shared" si="29"/>
        <v/>
      </c>
      <c r="AF204" s="1" t="str">
        <f t="shared" si="30"/>
        <v/>
      </c>
      <c r="AG204" s="1" t="str">
        <f t="shared" si="31"/>
        <v/>
      </c>
      <c r="AH204" s="1" t="str">
        <f t="shared" si="263"/>
        <v/>
      </c>
      <c r="AI204" s="1" t="str">
        <f t="shared" si="33"/>
        <v/>
      </c>
      <c r="AJ204" s="191" t="str">
        <f t="shared" si="294"/>
        <v/>
      </c>
      <c r="AK204" s="191" t="str">
        <f t="shared" si="295"/>
        <v/>
      </c>
      <c r="AL204" s="191" t="str">
        <f t="shared" si="264"/>
        <v/>
      </c>
      <c r="AM204" s="1" t="str">
        <f t="shared" si="265"/>
        <v/>
      </c>
      <c r="AN204" s="191" t="str">
        <f t="shared" si="266"/>
        <v/>
      </c>
      <c r="AO204" s="134" t="str">
        <f t="shared" si="267"/>
        <v/>
      </c>
      <c r="AP204" s="64" t="str">
        <f t="shared" si="38"/>
        <v/>
      </c>
      <c r="AQ204" s="1" t="str">
        <f t="shared" si="293"/>
        <v/>
      </c>
      <c r="AR204" s="1" t="str">
        <f t="shared" si="268"/>
        <v/>
      </c>
      <c r="AS204" s="1" t="str">
        <f t="shared" si="269"/>
        <v/>
      </c>
      <c r="AT204" s="134" t="str">
        <f t="shared" si="270"/>
        <v/>
      </c>
      <c r="AU204" s="64" t="str">
        <f t="shared" si="271"/>
        <v/>
      </c>
      <c r="AV204" s="65" t="str">
        <f t="shared" si="272"/>
        <v/>
      </c>
      <c r="AW204" s="65" t="str">
        <f t="shared" si="273"/>
        <v/>
      </c>
      <c r="AX204" s="1" t="str">
        <f t="shared" si="274"/>
        <v/>
      </c>
      <c r="AY204" s="1" t="str">
        <f t="shared" si="275"/>
        <v/>
      </c>
      <c r="AZ204" s="131" t="str">
        <f t="shared" si="276"/>
        <v/>
      </c>
      <c r="BA204" s="1" t="str">
        <f t="shared" si="277"/>
        <v/>
      </c>
      <c r="BB204" s="1" t="str">
        <f t="shared" si="49"/>
        <v/>
      </c>
      <c r="BC204" s="1" t="str">
        <f t="shared" si="50"/>
        <v/>
      </c>
      <c r="BD204" s="1" t="str">
        <f t="shared" si="278"/>
        <v/>
      </c>
      <c r="BE204" s="1" t="str">
        <f t="shared" si="279"/>
        <v/>
      </c>
      <c r="BF204" s="1" t="str">
        <f t="shared" si="53"/>
        <v/>
      </c>
      <c r="BG204" s="1" t="str">
        <f t="shared" si="280"/>
        <v/>
      </c>
      <c r="BH204" s="1" t="str">
        <f t="shared" si="281"/>
        <v/>
      </c>
      <c r="BI204" s="1" t="str">
        <f t="shared" si="282"/>
        <v/>
      </c>
      <c r="BJ204" s="1" t="str">
        <f t="shared" si="283"/>
        <v/>
      </c>
      <c r="BK204" s="1" t="str">
        <f t="shared" si="284"/>
        <v/>
      </c>
      <c r="BL204" s="1" t="str">
        <f t="shared" si="285"/>
        <v/>
      </c>
      <c r="BM204" s="1" t="str">
        <f t="shared" si="286"/>
        <v/>
      </c>
      <c r="BN204" s="1" t="str">
        <f t="shared" si="287"/>
        <v/>
      </c>
      <c r="BO204" s="1" t="str">
        <f t="shared" si="288"/>
        <v/>
      </c>
      <c r="BQ204" s="1" t="str">
        <f t="shared" si="63"/>
        <v/>
      </c>
      <c r="BR204" s="1" t="str">
        <f t="shared" si="64"/>
        <v/>
      </c>
      <c r="BS204" s="1" t="str">
        <f t="shared" si="65"/>
        <v/>
      </c>
      <c r="BT204" s="1" t="str">
        <f t="shared" si="66"/>
        <v/>
      </c>
      <c r="BU204" s="1" t="str">
        <f t="shared" si="67"/>
        <v/>
      </c>
      <c r="BV204" s="1" t="str">
        <f t="shared" si="68"/>
        <v/>
      </c>
      <c r="BW204" s="1" t="str">
        <f t="shared" si="69"/>
        <v/>
      </c>
      <c r="BX204" s="1" t="str">
        <f t="shared" si="70"/>
        <v/>
      </c>
      <c r="BY204" s="1" t="str">
        <f t="shared" si="289"/>
        <v/>
      </c>
      <c r="BZ204" s="1" t="str">
        <f t="shared" si="72"/>
        <v/>
      </c>
      <c r="CA204" s="1" t="str">
        <f t="shared" si="73"/>
        <v/>
      </c>
      <c r="CB204" s="1" t="str">
        <f t="shared" si="74"/>
        <v/>
      </c>
      <c r="CC204" s="1" t="str">
        <f t="shared" si="75"/>
        <v/>
      </c>
      <c r="CD204" s="1" t="str">
        <f t="shared" si="290"/>
        <v/>
      </c>
      <c r="CE204" s="1" t="str">
        <f t="shared" si="77"/>
        <v/>
      </c>
      <c r="CF204" s="1" t="str">
        <f t="shared" si="78"/>
        <v/>
      </c>
      <c r="CG204" s="1" t="str">
        <f t="shared" si="79"/>
        <v/>
      </c>
      <c r="CH204" s="1" t="str">
        <f t="shared" si="80"/>
        <v/>
      </c>
      <c r="CJ204" s="1" t="str">
        <f t="shared" si="81"/>
        <v/>
      </c>
      <c r="CK204" s="1" t="str">
        <f t="shared" si="82"/>
        <v/>
      </c>
      <c r="CL204" s="1" t="str">
        <f t="shared" si="83"/>
        <v/>
      </c>
      <c r="CM204" s="1" t="str">
        <f t="shared" si="84"/>
        <v/>
      </c>
      <c r="CN204" s="1" t="str">
        <f t="shared" si="85"/>
        <v/>
      </c>
      <c r="CO204" s="1" t="str">
        <f t="shared" si="86"/>
        <v/>
      </c>
      <c r="CP204" s="1" t="str">
        <f t="shared" si="87"/>
        <v/>
      </c>
      <c r="CR204" s="1" t="str">
        <f t="shared" si="88"/>
        <v/>
      </c>
      <c r="CS204" s="1" t="str">
        <f t="shared" si="89"/>
        <v/>
      </c>
      <c r="CT204" s="1" t="str">
        <f t="shared" si="90"/>
        <v/>
      </c>
      <c r="CU204" s="1" t="str">
        <f t="shared" si="91"/>
        <v/>
      </c>
      <c r="CV204" s="1" t="str">
        <f t="shared" si="92"/>
        <v/>
      </c>
      <c r="DC204" s="154" t="e">
        <f t="shared" si="93"/>
        <v>#VALUE!</v>
      </c>
      <c r="DD204" s="154" t="str">
        <f t="shared" si="94"/>
        <v/>
      </c>
      <c r="DE204" s="154" t="str">
        <f t="shared" si="95"/>
        <v/>
      </c>
      <c r="DF204" s="1" t="str">
        <f t="shared" si="96"/>
        <v/>
      </c>
      <c r="DG204" s="1" t="str">
        <f t="shared" si="97"/>
        <v/>
      </c>
      <c r="DH204" s="1" t="str">
        <f t="shared" si="98"/>
        <v/>
      </c>
      <c r="DI204" s="1" t="str">
        <f t="shared" si="291"/>
        <v/>
      </c>
      <c r="DJ204" s="1" t="str">
        <f t="shared" si="292"/>
        <v/>
      </c>
      <c r="DK204" s="1" t="str">
        <f t="shared" si="101"/>
        <v/>
      </c>
      <c r="DL204" s="1" t="str">
        <f t="shared" si="102"/>
        <v/>
      </c>
      <c r="DM204" s="1" t="str">
        <f t="shared" si="103"/>
        <v/>
      </c>
    </row>
    <row r="205" customHeight="1" spans="1:117">
      <c r="A205" s="152" t="str">
        <f t="shared" si="296"/>
        <v/>
      </c>
      <c r="C205" s="55" t="str">
        <f t="shared" si="5"/>
        <v/>
      </c>
      <c r="D205" s="150" t="str">
        <f t="shared" si="6"/>
        <v/>
      </c>
      <c r="E205" s="151" t="str">
        <f t="shared" si="243"/>
        <v/>
      </c>
      <c r="F205" s="151" t="str">
        <f t="shared" si="244"/>
        <v/>
      </c>
      <c r="G205" s="151" t="str">
        <f t="shared" si="245"/>
        <v/>
      </c>
      <c r="H205" s="151" t="str">
        <f t="shared" si="246"/>
        <v/>
      </c>
      <c r="I205" s="151" t="str">
        <f t="shared" si="247"/>
        <v/>
      </c>
      <c r="J205" s="171" t="str">
        <f t="shared" si="248"/>
        <v/>
      </c>
      <c r="K205" s="172" t="str">
        <f t="shared" si="297"/>
        <v/>
      </c>
      <c r="L205" s="172" t="str">
        <f t="shared" si="298"/>
        <v/>
      </c>
      <c r="M205" s="173" t="str">
        <f t="shared" si="299"/>
        <v/>
      </c>
      <c r="N205" s="54" t="str">
        <f t="shared" si="249"/>
        <v/>
      </c>
      <c r="O205" s="55" t="str">
        <f t="shared" si="250"/>
        <v/>
      </c>
      <c r="P205" s="55" t="str">
        <f t="shared" si="15"/>
        <v/>
      </c>
      <c r="Q205" s="56" t="str">
        <f t="shared" si="251"/>
        <v/>
      </c>
      <c r="R205" s="56" t="str">
        <f t="shared" si="252"/>
        <v/>
      </c>
      <c r="S205" s="56" t="str">
        <f t="shared" si="253"/>
        <v/>
      </c>
      <c r="T205" s="56" t="str">
        <f t="shared" si="254"/>
        <v/>
      </c>
      <c r="U205" s="180" t="str">
        <f t="shared" si="255"/>
        <v/>
      </c>
      <c r="V205" s="55" t="str">
        <f t="shared" si="256"/>
        <v/>
      </c>
      <c r="W205" s="55" t="str">
        <f t="shared" si="257"/>
        <v/>
      </c>
      <c r="X205" s="56" t="str">
        <f t="shared" si="258"/>
        <v/>
      </c>
      <c r="Y205" s="180" t="str">
        <f t="shared" si="259"/>
        <v/>
      </c>
      <c r="Z205" s="55" t="str">
        <f t="shared" si="260"/>
        <v/>
      </c>
      <c r="AA205" s="55" t="str">
        <f t="shared" si="261"/>
        <v/>
      </c>
      <c r="AB205" s="150" t="str">
        <f t="shared" si="262"/>
        <v/>
      </c>
      <c r="AC205" s="188">
        <v>196</v>
      </c>
      <c r="AD205" s="1" t="b">
        <f t="shared" si="28"/>
        <v>0</v>
      </c>
      <c r="AE205" s="1" t="str">
        <f t="shared" si="29"/>
        <v/>
      </c>
      <c r="AF205" s="1" t="str">
        <f t="shared" si="30"/>
        <v/>
      </c>
      <c r="AG205" s="1" t="str">
        <f t="shared" si="31"/>
        <v/>
      </c>
      <c r="AH205" s="1" t="str">
        <f t="shared" si="263"/>
        <v/>
      </c>
      <c r="AI205" s="1" t="str">
        <f t="shared" si="33"/>
        <v/>
      </c>
      <c r="AJ205" s="191" t="str">
        <f t="shared" si="294"/>
        <v/>
      </c>
      <c r="AK205" s="191" t="str">
        <f t="shared" si="295"/>
        <v/>
      </c>
      <c r="AL205" s="191" t="str">
        <f t="shared" si="264"/>
        <v/>
      </c>
      <c r="AM205" s="1" t="str">
        <f t="shared" si="265"/>
        <v/>
      </c>
      <c r="AN205" s="191" t="str">
        <f t="shared" si="266"/>
        <v/>
      </c>
      <c r="AO205" s="134" t="str">
        <f t="shared" si="267"/>
        <v/>
      </c>
      <c r="AP205" s="64" t="str">
        <f t="shared" si="38"/>
        <v/>
      </c>
      <c r="AQ205" s="1" t="str">
        <f t="shared" si="293"/>
        <v/>
      </c>
      <c r="AR205" s="1" t="str">
        <f t="shared" si="268"/>
        <v/>
      </c>
      <c r="AS205" s="1" t="str">
        <f t="shared" si="269"/>
        <v/>
      </c>
      <c r="AT205" s="134" t="str">
        <f t="shared" si="270"/>
        <v/>
      </c>
      <c r="AU205" s="64" t="str">
        <f t="shared" si="271"/>
        <v/>
      </c>
      <c r="AV205" s="65" t="str">
        <f t="shared" si="272"/>
        <v/>
      </c>
      <c r="AW205" s="65" t="str">
        <f t="shared" si="273"/>
        <v/>
      </c>
      <c r="AX205" s="1" t="str">
        <f t="shared" si="274"/>
        <v/>
      </c>
      <c r="AY205" s="1" t="str">
        <f t="shared" si="275"/>
        <v/>
      </c>
      <c r="AZ205" s="131" t="str">
        <f t="shared" si="276"/>
        <v/>
      </c>
      <c r="BA205" s="1" t="str">
        <f t="shared" si="277"/>
        <v/>
      </c>
      <c r="BB205" s="1" t="str">
        <f t="shared" si="49"/>
        <v/>
      </c>
      <c r="BC205" s="1" t="str">
        <f t="shared" si="50"/>
        <v/>
      </c>
      <c r="BD205" s="1" t="str">
        <f t="shared" si="278"/>
        <v/>
      </c>
      <c r="BE205" s="1" t="str">
        <f t="shared" si="279"/>
        <v/>
      </c>
      <c r="BF205" s="1" t="str">
        <f t="shared" si="53"/>
        <v/>
      </c>
      <c r="BG205" s="1" t="str">
        <f t="shared" si="280"/>
        <v/>
      </c>
      <c r="BH205" s="1" t="str">
        <f t="shared" si="281"/>
        <v/>
      </c>
      <c r="BI205" s="1" t="str">
        <f t="shared" si="282"/>
        <v/>
      </c>
      <c r="BJ205" s="1" t="str">
        <f t="shared" si="283"/>
        <v/>
      </c>
      <c r="BK205" s="1" t="str">
        <f t="shared" si="284"/>
        <v/>
      </c>
      <c r="BL205" s="1" t="str">
        <f t="shared" si="285"/>
        <v/>
      </c>
      <c r="BM205" s="1" t="str">
        <f t="shared" si="286"/>
        <v/>
      </c>
      <c r="BN205" s="1" t="str">
        <f t="shared" si="287"/>
        <v/>
      </c>
      <c r="BO205" s="1" t="str">
        <f t="shared" si="288"/>
        <v/>
      </c>
      <c r="BQ205" s="1" t="str">
        <f t="shared" si="63"/>
        <v/>
      </c>
      <c r="BR205" s="1" t="str">
        <f t="shared" si="64"/>
        <v/>
      </c>
      <c r="BS205" s="1" t="str">
        <f t="shared" si="65"/>
        <v/>
      </c>
      <c r="BT205" s="1" t="str">
        <f t="shared" si="66"/>
        <v/>
      </c>
      <c r="BU205" s="1" t="str">
        <f t="shared" si="67"/>
        <v/>
      </c>
      <c r="BV205" s="1" t="str">
        <f t="shared" si="68"/>
        <v/>
      </c>
      <c r="BW205" s="1" t="str">
        <f t="shared" si="69"/>
        <v/>
      </c>
      <c r="BX205" s="1" t="str">
        <f t="shared" si="70"/>
        <v/>
      </c>
      <c r="BY205" s="1" t="str">
        <f t="shared" si="289"/>
        <v/>
      </c>
      <c r="BZ205" s="1" t="str">
        <f t="shared" si="72"/>
        <v/>
      </c>
      <c r="CA205" s="1" t="str">
        <f t="shared" si="73"/>
        <v/>
      </c>
      <c r="CB205" s="1" t="str">
        <f t="shared" si="74"/>
        <v/>
      </c>
      <c r="CC205" s="1" t="str">
        <f t="shared" si="75"/>
        <v/>
      </c>
      <c r="CD205" s="1" t="str">
        <f t="shared" si="290"/>
        <v/>
      </c>
      <c r="CE205" s="1" t="str">
        <f t="shared" si="77"/>
        <v/>
      </c>
      <c r="CF205" s="1" t="str">
        <f t="shared" si="78"/>
        <v/>
      </c>
      <c r="CG205" s="1" t="str">
        <f t="shared" si="79"/>
        <v/>
      </c>
      <c r="CH205" s="1" t="str">
        <f t="shared" si="80"/>
        <v/>
      </c>
      <c r="CJ205" s="1" t="str">
        <f t="shared" si="81"/>
        <v/>
      </c>
      <c r="CK205" s="1" t="str">
        <f t="shared" si="82"/>
        <v/>
      </c>
      <c r="CL205" s="1" t="str">
        <f t="shared" si="83"/>
        <v/>
      </c>
      <c r="CM205" s="1" t="str">
        <f t="shared" si="84"/>
        <v/>
      </c>
      <c r="CN205" s="1" t="str">
        <f t="shared" si="85"/>
        <v/>
      </c>
      <c r="CO205" s="1" t="str">
        <f t="shared" si="86"/>
        <v/>
      </c>
      <c r="CP205" s="1" t="str">
        <f t="shared" si="87"/>
        <v/>
      </c>
      <c r="CR205" s="1" t="str">
        <f t="shared" si="88"/>
        <v/>
      </c>
      <c r="CS205" s="1" t="str">
        <f t="shared" si="89"/>
        <v/>
      </c>
      <c r="CT205" s="1" t="str">
        <f t="shared" si="90"/>
        <v/>
      </c>
      <c r="CU205" s="1" t="str">
        <f t="shared" si="91"/>
        <v/>
      </c>
      <c r="CV205" s="1" t="str">
        <f t="shared" si="92"/>
        <v/>
      </c>
      <c r="DC205" s="154" t="e">
        <f t="shared" si="93"/>
        <v>#VALUE!</v>
      </c>
      <c r="DD205" s="154" t="str">
        <f t="shared" si="94"/>
        <v/>
      </c>
      <c r="DE205" s="154" t="str">
        <f t="shared" si="95"/>
        <v/>
      </c>
      <c r="DF205" s="1" t="str">
        <f t="shared" si="96"/>
        <v/>
      </c>
      <c r="DG205" s="1" t="str">
        <f t="shared" si="97"/>
        <v/>
      </c>
      <c r="DH205" s="1" t="str">
        <f t="shared" si="98"/>
        <v/>
      </c>
      <c r="DI205" s="1" t="str">
        <f t="shared" si="291"/>
        <v/>
      </c>
      <c r="DJ205" s="1" t="str">
        <f t="shared" si="292"/>
        <v/>
      </c>
      <c r="DK205" s="1" t="str">
        <f t="shared" si="101"/>
        <v/>
      </c>
      <c r="DL205" s="1" t="str">
        <f t="shared" si="102"/>
        <v/>
      </c>
      <c r="DM205" s="1" t="str">
        <f t="shared" si="103"/>
        <v/>
      </c>
    </row>
    <row r="206" customHeight="1" spans="1:117">
      <c r="A206" s="152" t="str">
        <f t="shared" si="296"/>
        <v/>
      </c>
      <c r="C206" s="55" t="str">
        <f t="shared" si="5"/>
        <v/>
      </c>
      <c r="D206" s="150" t="str">
        <f t="shared" si="6"/>
        <v/>
      </c>
      <c r="E206" s="151" t="str">
        <f t="shared" si="243"/>
        <v/>
      </c>
      <c r="F206" s="151" t="str">
        <f t="shared" si="244"/>
        <v/>
      </c>
      <c r="G206" s="151" t="str">
        <f t="shared" si="245"/>
        <v/>
      </c>
      <c r="H206" s="151" t="str">
        <f t="shared" si="246"/>
        <v/>
      </c>
      <c r="I206" s="151" t="str">
        <f t="shared" si="247"/>
        <v/>
      </c>
      <c r="J206" s="171" t="str">
        <f t="shared" si="248"/>
        <v/>
      </c>
      <c r="K206" s="172" t="str">
        <f t="shared" si="297"/>
        <v/>
      </c>
      <c r="L206" s="172" t="str">
        <f t="shared" si="298"/>
        <v/>
      </c>
      <c r="M206" s="173" t="str">
        <f t="shared" si="299"/>
        <v/>
      </c>
      <c r="N206" s="54" t="str">
        <f t="shared" si="249"/>
        <v/>
      </c>
      <c r="O206" s="55" t="str">
        <f t="shared" si="250"/>
        <v/>
      </c>
      <c r="P206" s="55" t="str">
        <f t="shared" si="15"/>
        <v/>
      </c>
      <c r="Q206" s="56" t="str">
        <f t="shared" si="251"/>
        <v/>
      </c>
      <c r="R206" s="56" t="str">
        <f t="shared" si="252"/>
        <v/>
      </c>
      <c r="S206" s="56" t="str">
        <f t="shared" si="253"/>
        <v/>
      </c>
      <c r="T206" s="56" t="str">
        <f t="shared" si="254"/>
        <v/>
      </c>
      <c r="U206" s="180" t="str">
        <f t="shared" si="255"/>
        <v/>
      </c>
      <c r="V206" s="55" t="str">
        <f t="shared" si="256"/>
        <v/>
      </c>
      <c r="W206" s="55" t="str">
        <f t="shared" si="257"/>
        <v/>
      </c>
      <c r="X206" s="56" t="str">
        <f t="shared" si="258"/>
        <v/>
      </c>
      <c r="Y206" s="180" t="str">
        <f t="shared" si="259"/>
        <v/>
      </c>
      <c r="Z206" s="55" t="str">
        <f t="shared" si="260"/>
        <v/>
      </c>
      <c r="AA206" s="55" t="str">
        <f t="shared" si="261"/>
        <v/>
      </c>
      <c r="AB206" s="150" t="str">
        <f t="shared" si="262"/>
        <v/>
      </c>
      <c r="AC206" s="188">
        <v>197</v>
      </c>
      <c r="AD206" s="1" t="b">
        <f t="shared" si="28"/>
        <v>0</v>
      </c>
      <c r="AE206" s="1" t="str">
        <f t="shared" si="29"/>
        <v/>
      </c>
      <c r="AF206" s="1" t="str">
        <f t="shared" si="30"/>
        <v/>
      </c>
      <c r="AG206" s="1" t="str">
        <f t="shared" si="31"/>
        <v/>
      </c>
      <c r="AH206" s="1" t="str">
        <f t="shared" si="263"/>
        <v/>
      </c>
      <c r="AI206" s="1" t="str">
        <f t="shared" si="33"/>
        <v/>
      </c>
      <c r="AJ206" s="191" t="str">
        <f t="shared" si="294"/>
        <v/>
      </c>
      <c r="AK206" s="191" t="str">
        <f t="shared" si="295"/>
        <v/>
      </c>
      <c r="AL206" s="191" t="str">
        <f t="shared" si="264"/>
        <v/>
      </c>
      <c r="AM206" s="1" t="str">
        <f t="shared" si="265"/>
        <v/>
      </c>
      <c r="AN206" s="191" t="str">
        <f t="shared" si="266"/>
        <v/>
      </c>
      <c r="AO206" s="134" t="str">
        <f t="shared" si="267"/>
        <v/>
      </c>
      <c r="AP206" s="64" t="str">
        <f t="shared" si="38"/>
        <v/>
      </c>
      <c r="AQ206" s="1" t="str">
        <f t="shared" si="293"/>
        <v/>
      </c>
      <c r="AR206" s="1" t="str">
        <f t="shared" si="268"/>
        <v/>
      </c>
      <c r="AS206" s="1" t="str">
        <f t="shared" si="269"/>
        <v/>
      </c>
      <c r="AT206" s="134" t="str">
        <f t="shared" si="270"/>
        <v/>
      </c>
      <c r="AU206" s="64" t="str">
        <f t="shared" si="271"/>
        <v/>
      </c>
      <c r="AV206" s="65" t="str">
        <f t="shared" si="272"/>
        <v/>
      </c>
      <c r="AW206" s="65" t="str">
        <f t="shared" si="273"/>
        <v/>
      </c>
      <c r="AX206" s="1" t="str">
        <f t="shared" si="274"/>
        <v/>
      </c>
      <c r="AY206" s="1" t="str">
        <f t="shared" si="275"/>
        <v/>
      </c>
      <c r="AZ206" s="131" t="str">
        <f t="shared" si="276"/>
        <v/>
      </c>
      <c r="BA206" s="1" t="str">
        <f t="shared" si="277"/>
        <v/>
      </c>
      <c r="BB206" s="1" t="str">
        <f t="shared" si="49"/>
        <v/>
      </c>
      <c r="BC206" s="1" t="str">
        <f t="shared" si="50"/>
        <v/>
      </c>
      <c r="BD206" s="1" t="str">
        <f t="shared" si="278"/>
        <v/>
      </c>
      <c r="BE206" s="1" t="str">
        <f t="shared" si="279"/>
        <v/>
      </c>
      <c r="BF206" s="1" t="str">
        <f t="shared" si="53"/>
        <v/>
      </c>
      <c r="BG206" s="1" t="str">
        <f t="shared" si="280"/>
        <v/>
      </c>
      <c r="BH206" s="1" t="str">
        <f t="shared" si="281"/>
        <v/>
      </c>
      <c r="BI206" s="1" t="str">
        <f t="shared" si="282"/>
        <v/>
      </c>
      <c r="BJ206" s="1" t="str">
        <f t="shared" si="283"/>
        <v/>
      </c>
      <c r="BK206" s="1" t="str">
        <f t="shared" si="284"/>
        <v/>
      </c>
      <c r="BL206" s="1" t="str">
        <f t="shared" si="285"/>
        <v/>
      </c>
      <c r="BM206" s="1" t="str">
        <f t="shared" si="286"/>
        <v/>
      </c>
      <c r="BN206" s="1" t="str">
        <f t="shared" si="287"/>
        <v/>
      </c>
      <c r="BO206" s="1" t="str">
        <f t="shared" si="288"/>
        <v/>
      </c>
      <c r="BQ206" s="1" t="str">
        <f t="shared" si="63"/>
        <v/>
      </c>
      <c r="BR206" s="1" t="str">
        <f t="shared" si="64"/>
        <v/>
      </c>
      <c r="BS206" s="1" t="str">
        <f t="shared" si="65"/>
        <v/>
      </c>
      <c r="BT206" s="1" t="str">
        <f t="shared" si="66"/>
        <v/>
      </c>
      <c r="BU206" s="1" t="str">
        <f t="shared" si="67"/>
        <v/>
      </c>
      <c r="BV206" s="1" t="str">
        <f t="shared" si="68"/>
        <v/>
      </c>
      <c r="BW206" s="1" t="str">
        <f t="shared" si="69"/>
        <v/>
      </c>
      <c r="BX206" s="1" t="str">
        <f t="shared" si="70"/>
        <v/>
      </c>
      <c r="BY206" s="1" t="str">
        <f t="shared" si="289"/>
        <v/>
      </c>
      <c r="BZ206" s="1" t="str">
        <f t="shared" si="72"/>
        <v/>
      </c>
      <c r="CA206" s="1" t="str">
        <f t="shared" si="73"/>
        <v/>
      </c>
      <c r="CB206" s="1" t="str">
        <f t="shared" si="74"/>
        <v/>
      </c>
      <c r="CC206" s="1" t="str">
        <f t="shared" si="75"/>
        <v/>
      </c>
      <c r="CD206" s="1" t="str">
        <f t="shared" si="290"/>
        <v/>
      </c>
      <c r="CE206" s="1" t="str">
        <f t="shared" si="77"/>
        <v/>
      </c>
      <c r="CF206" s="1" t="str">
        <f t="shared" si="78"/>
        <v/>
      </c>
      <c r="CG206" s="1" t="str">
        <f t="shared" si="79"/>
        <v/>
      </c>
      <c r="CH206" s="1" t="str">
        <f t="shared" si="80"/>
        <v/>
      </c>
      <c r="CJ206" s="1" t="str">
        <f t="shared" si="81"/>
        <v/>
      </c>
      <c r="CK206" s="1" t="str">
        <f t="shared" si="82"/>
        <v/>
      </c>
      <c r="CL206" s="1" t="str">
        <f t="shared" si="83"/>
        <v/>
      </c>
      <c r="CM206" s="1" t="str">
        <f t="shared" si="84"/>
        <v/>
      </c>
      <c r="CN206" s="1" t="str">
        <f t="shared" si="85"/>
        <v/>
      </c>
      <c r="CO206" s="1" t="str">
        <f t="shared" si="86"/>
        <v/>
      </c>
      <c r="CP206" s="1" t="str">
        <f t="shared" si="87"/>
        <v/>
      </c>
      <c r="CR206" s="1" t="str">
        <f t="shared" si="88"/>
        <v/>
      </c>
      <c r="CS206" s="1" t="str">
        <f t="shared" si="89"/>
        <v/>
      </c>
      <c r="CT206" s="1" t="str">
        <f t="shared" si="90"/>
        <v/>
      </c>
      <c r="CU206" s="1" t="str">
        <f t="shared" si="91"/>
        <v/>
      </c>
      <c r="CV206" s="1" t="str">
        <f t="shared" si="92"/>
        <v/>
      </c>
      <c r="DC206" s="154" t="e">
        <f t="shared" si="93"/>
        <v>#VALUE!</v>
      </c>
      <c r="DD206" s="154" t="str">
        <f t="shared" si="94"/>
        <v/>
      </c>
      <c r="DE206" s="154" t="str">
        <f t="shared" si="95"/>
        <v/>
      </c>
      <c r="DF206" s="1" t="str">
        <f t="shared" si="96"/>
        <v/>
      </c>
      <c r="DG206" s="1" t="str">
        <f t="shared" si="97"/>
        <v/>
      </c>
      <c r="DH206" s="1" t="str">
        <f t="shared" si="98"/>
        <v/>
      </c>
      <c r="DI206" s="1" t="str">
        <f t="shared" si="291"/>
        <v/>
      </c>
      <c r="DJ206" s="1" t="str">
        <f t="shared" si="292"/>
        <v/>
      </c>
      <c r="DK206" s="1" t="str">
        <f t="shared" si="101"/>
        <v/>
      </c>
      <c r="DL206" s="1" t="str">
        <f t="shared" si="102"/>
        <v/>
      </c>
      <c r="DM206" s="1" t="str">
        <f t="shared" si="103"/>
        <v/>
      </c>
    </row>
    <row r="207" customHeight="1" spans="1:117">
      <c r="A207" s="152" t="str">
        <f t="shared" si="296"/>
        <v/>
      </c>
      <c r="C207" s="55" t="str">
        <f t="shared" si="5"/>
        <v/>
      </c>
      <c r="D207" s="150" t="str">
        <f t="shared" si="6"/>
        <v/>
      </c>
      <c r="E207" s="151" t="str">
        <f t="shared" si="243"/>
        <v/>
      </c>
      <c r="F207" s="151" t="str">
        <f t="shared" si="244"/>
        <v/>
      </c>
      <c r="G207" s="151" t="str">
        <f t="shared" si="245"/>
        <v/>
      </c>
      <c r="H207" s="151" t="str">
        <f t="shared" si="246"/>
        <v/>
      </c>
      <c r="I207" s="151" t="str">
        <f t="shared" si="247"/>
        <v/>
      </c>
      <c r="J207" s="171" t="str">
        <f t="shared" si="248"/>
        <v/>
      </c>
      <c r="K207" s="172" t="str">
        <f t="shared" si="297"/>
        <v/>
      </c>
      <c r="L207" s="172" t="str">
        <f t="shared" si="298"/>
        <v/>
      </c>
      <c r="M207" s="173" t="str">
        <f t="shared" si="299"/>
        <v/>
      </c>
      <c r="N207" s="54" t="str">
        <f t="shared" si="249"/>
        <v/>
      </c>
      <c r="O207" s="55" t="str">
        <f t="shared" si="250"/>
        <v/>
      </c>
      <c r="P207" s="55" t="str">
        <f t="shared" si="15"/>
        <v/>
      </c>
      <c r="Q207" s="56" t="str">
        <f t="shared" si="251"/>
        <v/>
      </c>
      <c r="R207" s="56" t="str">
        <f t="shared" si="252"/>
        <v/>
      </c>
      <c r="S207" s="56" t="str">
        <f t="shared" si="253"/>
        <v/>
      </c>
      <c r="T207" s="56" t="str">
        <f t="shared" si="254"/>
        <v/>
      </c>
      <c r="U207" s="180" t="str">
        <f t="shared" si="255"/>
        <v/>
      </c>
      <c r="V207" s="55" t="str">
        <f t="shared" si="256"/>
        <v/>
      </c>
      <c r="W207" s="55" t="str">
        <f t="shared" si="257"/>
        <v/>
      </c>
      <c r="X207" s="56" t="str">
        <f t="shared" si="258"/>
        <v/>
      </c>
      <c r="Y207" s="180" t="str">
        <f t="shared" si="259"/>
        <v/>
      </c>
      <c r="Z207" s="55" t="str">
        <f t="shared" si="260"/>
        <v/>
      </c>
      <c r="AA207" s="55" t="str">
        <f t="shared" si="261"/>
        <v/>
      </c>
      <c r="AB207" s="150" t="str">
        <f t="shared" si="262"/>
        <v/>
      </c>
      <c r="AC207" s="188">
        <v>198</v>
      </c>
      <c r="AD207" s="1" t="b">
        <f t="shared" si="28"/>
        <v>0</v>
      </c>
      <c r="AE207" s="1" t="str">
        <f t="shared" si="29"/>
        <v/>
      </c>
      <c r="AF207" s="1" t="str">
        <f t="shared" si="30"/>
        <v/>
      </c>
      <c r="AG207" s="1" t="str">
        <f t="shared" si="31"/>
        <v/>
      </c>
      <c r="AH207" s="1" t="str">
        <f t="shared" si="263"/>
        <v/>
      </c>
      <c r="AI207" s="1" t="str">
        <f t="shared" si="33"/>
        <v/>
      </c>
      <c r="AJ207" s="191" t="str">
        <f t="shared" si="294"/>
        <v/>
      </c>
      <c r="AK207" s="191" t="str">
        <f t="shared" si="295"/>
        <v/>
      </c>
      <c r="AL207" s="191" t="str">
        <f t="shared" si="264"/>
        <v/>
      </c>
      <c r="AM207" s="1" t="str">
        <f t="shared" si="265"/>
        <v/>
      </c>
      <c r="AN207" s="191" t="str">
        <f t="shared" si="266"/>
        <v/>
      </c>
      <c r="AO207" s="134" t="str">
        <f t="shared" si="267"/>
        <v/>
      </c>
      <c r="AP207" s="64" t="str">
        <f t="shared" si="38"/>
        <v/>
      </c>
      <c r="AQ207" s="1" t="str">
        <f t="shared" si="293"/>
        <v/>
      </c>
      <c r="AR207" s="1" t="str">
        <f t="shared" si="268"/>
        <v/>
      </c>
      <c r="AS207" s="1" t="str">
        <f t="shared" si="269"/>
        <v/>
      </c>
      <c r="AT207" s="134" t="str">
        <f t="shared" si="270"/>
        <v/>
      </c>
      <c r="AU207" s="64" t="str">
        <f t="shared" si="271"/>
        <v/>
      </c>
      <c r="AV207" s="65" t="str">
        <f t="shared" si="272"/>
        <v/>
      </c>
      <c r="AW207" s="65" t="str">
        <f t="shared" si="273"/>
        <v/>
      </c>
      <c r="AX207" s="1" t="str">
        <f t="shared" si="274"/>
        <v/>
      </c>
      <c r="AY207" s="1" t="str">
        <f t="shared" si="275"/>
        <v/>
      </c>
      <c r="AZ207" s="131" t="str">
        <f t="shared" si="276"/>
        <v/>
      </c>
      <c r="BA207" s="1" t="str">
        <f t="shared" si="277"/>
        <v/>
      </c>
      <c r="BB207" s="1" t="str">
        <f t="shared" si="49"/>
        <v/>
      </c>
      <c r="BC207" s="1" t="str">
        <f t="shared" si="50"/>
        <v/>
      </c>
      <c r="BD207" s="1" t="str">
        <f t="shared" si="278"/>
        <v/>
      </c>
      <c r="BE207" s="1" t="str">
        <f t="shared" si="279"/>
        <v/>
      </c>
      <c r="BF207" s="1" t="str">
        <f t="shared" si="53"/>
        <v/>
      </c>
      <c r="BG207" s="1" t="str">
        <f t="shared" si="280"/>
        <v/>
      </c>
      <c r="BH207" s="1" t="str">
        <f t="shared" si="281"/>
        <v/>
      </c>
      <c r="BI207" s="1" t="str">
        <f t="shared" si="282"/>
        <v/>
      </c>
      <c r="BJ207" s="1" t="str">
        <f t="shared" si="283"/>
        <v/>
      </c>
      <c r="BK207" s="1" t="str">
        <f t="shared" si="284"/>
        <v/>
      </c>
      <c r="BL207" s="1" t="str">
        <f t="shared" si="285"/>
        <v/>
      </c>
      <c r="BM207" s="1" t="str">
        <f t="shared" si="286"/>
        <v/>
      </c>
      <c r="BN207" s="1" t="str">
        <f t="shared" si="287"/>
        <v/>
      </c>
      <c r="BO207" s="1" t="str">
        <f t="shared" si="288"/>
        <v/>
      </c>
      <c r="BQ207" s="1" t="str">
        <f t="shared" si="63"/>
        <v/>
      </c>
      <c r="BR207" s="1" t="str">
        <f t="shared" si="64"/>
        <v/>
      </c>
      <c r="BS207" s="1" t="str">
        <f t="shared" si="65"/>
        <v/>
      </c>
      <c r="BT207" s="1" t="str">
        <f t="shared" si="66"/>
        <v/>
      </c>
      <c r="BU207" s="1" t="str">
        <f t="shared" si="67"/>
        <v/>
      </c>
      <c r="BV207" s="1" t="str">
        <f t="shared" si="68"/>
        <v/>
      </c>
      <c r="BW207" s="1" t="str">
        <f t="shared" si="69"/>
        <v/>
      </c>
      <c r="BX207" s="1" t="str">
        <f t="shared" si="70"/>
        <v/>
      </c>
      <c r="BY207" s="1" t="str">
        <f t="shared" si="289"/>
        <v/>
      </c>
      <c r="BZ207" s="1" t="str">
        <f t="shared" si="72"/>
        <v/>
      </c>
      <c r="CA207" s="1" t="str">
        <f t="shared" si="73"/>
        <v/>
      </c>
      <c r="CB207" s="1" t="str">
        <f t="shared" si="74"/>
        <v/>
      </c>
      <c r="CC207" s="1" t="str">
        <f t="shared" si="75"/>
        <v/>
      </c>
      <c r="CD207" s="1" t="str">
        <f t="shared" si="290"/>
        <v/>
      </c>
      <c r="CE207" s="1" t="str">
        <f t="shared" si="77"/>
        <v/>
      </c>
      <c r="CF207" s="1" t="str">
        <f t="shared" si="78"/>
        <v/>
      </c>
      <c r="CG207" s="1" t="str">
        <f t="shared" si="79"/>
        <v/>
      </c>
      <c r="CH207" s="1" t="str">
        <f t="shared" si="80"/>
        <v/>
      </c>
      <c r="CJ207" s="1" t="str">
        <f t="shared" si="81"/>
        <v/>
      </c>
      <c r="CK207" s="1" t="str">
        <f t="shared" si="82"/>
        <v/>
      </c>
      <c r="CL207" s="1" t="str">
        <f t="shared" si="83"/>
        <v/>
      </c>
      <c r="CM207" s="1" t="str">
        <f t="shared" si="84"/>
        <v/>
      </c>
      <c r="CN207" s="1" t="str">
        <f t="shared" si="85"/>
        <v/>
      </c>
      <c r="CO207" s="1" t="str">
        <f t="shared" si="86"/>
        <v/>
      </c>
      <c r="CP207" s="1" t="str">
        <f t="shared" si="87"/>
        <v/>
      </c>
      <c r="CR207" s="1" t="str">
        <f t="shared" si="88"/>
        <v/>
      </c>
      <c r="CS207" s="1" t="str">
        <f t="shared" si="89"/>
        <v/>
      </c>
      <c r="CT207" s="1" t="str">
        <f t="shared" si="90"/>
        <v/>
      </c>
      <c r="CU207" s="1" t="str">
        <f t="shared" si="91"/>
        <v/>
      </c>
      <c r="CV207" s="1" t="str">
        <f t="shared" si="92"/>
        <v/>
      </c>
      <c r="DC207" s="154" t="e">
        <f t="shared" si="93"/>
        <v>#VALUE!</v>
      </c>
      <c r="DD207" s="154" t="str">
        <f t="shared" si="94"/>
        <v/>
      </c>
      <c r="DE207" s="154" t="str">
        <f t="shared" si="95"/>
        <v/>
      </c>
      <c r="DF207" s="1" t="str">
        <f t="shared" si="96"/>
        <v/>
      </c>
      <c r="DG207" s="1" t="str">
        <f t="shared" si="97"/>
        <v/>
      </c>
      <c r="DH207" s="1" t="str">
        <f t="shared" si="98"/>
        <v/>
      </c>
      <c r="DI207" s="1" t="str">
        <f t="shared" si="291"/>
        <v/>
      </c>
      <c r="DJ207" s="1" t="str">
        <f t="shared" si="292"/>
        <v/>
      </c>
      <c r="DK207" s="1" t="str">
        <f t="shared" si="101"/>
        <v/>
      </c>
      <c r="DL207" s="1" t="str">
        <f t="shared" si="102"/>
        <v/>
      </c>
      <c r="DM207" s="1" t="str">
        <f t="shared" si="103"/>
        <v/>
      </c>
    </row>
    <row r="208" customHeight="1" spans="1:117">
      <c r="A208" s="152" t="str">
        <f t="shared" si="296"/>
        <v/>
      </c>
      <c r="C208" s="55" t="str">
        <f t="shared" si="5"/>
        <v/>
      </c>
      <c r="D208" s="150" t="str">
        <f t="shared" si="6"/>
        <v/>
      </c>
      <c r="E208" s="151" t="str">
        <f t="shared" si="243"/>
        <v/>
      </c>
      <c r="F208" s="151" t="str">
        <f t="shared" si="244"/>
        <v/>
      </c>
      <c r="G208" s="151" t="str">
        <f t="shared" si="245"/>
        <v/>
      </c>
      <c r="H208" s="151" t="str">
        <f t="shared" si="246"/>
        <v/>
      </c>
      <c r="I208" s="151" t="str">
        <f t="shared" si="247"/>
        <v/>
      </c>
      <c r="J208" s="171" t="str">
        <f t="shared" si="248"/>
        <v/>
      </c>
      <c r="K208" s="172" t="str">
        <f t="shared" si="297"/>
        <v/>
      </c>
      <c r="L208" s="172" t="str">
        <f t="shared" si="298"/>
        <v/>
      </c>
      <c r="M208" s="173" t="str">
        <f t="shared" si="299"/>
        <v/>
      </c>
      <c r="N208" s="54" t="str">
        <f t="shared" si="249"/>
        <v/>
      </c>
      <c r="O208" s="55" t="str">
        <f t="shared" si="250"/>
        <v/>
      </c>
      <c r="P208" s="55" t="str">
        <f t="shared" si="15"/>
        <v/>
      </c>
      <c r="Q208" s="56" t="str">
        <f t="shared" si="251"/>
        <v/>
      </c>
      <c r="R208" s="56" t="str">
        <f t="shared" si="252"/>
        <v/>
      </c>
      <c r="S208" s="56" t="str">
        <f t="shared" si="253"/>
        <v/>
      </c>
      <c r="T208" s="56" t="str">
        <f t="shared" si="254"/>
        <v/>
      </c>
      <c r="U208" s="180" t="str">
        <f t="shared" si="255"/>
        <v/>
      </c>
      <c r="V208" s="55" t="str">
        <f t="shared" si="256"/>
        <v/>
      </c>
      <c r="W208" s="55" t="str">
        <f t="shared" si="257"/>
        <v/>
      </c>
      <c r="X208" s="56" t="str">
        <f t="shared" si="258"/>
        <v/>
      </c>
      <c r="Y208" s="180" t="str">
        <f t="shared" si="259"/>
        <v/>
      </c>
      <c r="Z208" s="55" t="str">
        <f t="shared" si="260"/>
        <v/>
      </c>
      <c r="AA208" s="55" t="str">
        <f t="shared" si="261"/>
        <v/>
      </c>
      <c r="AB208" s="150" t="str">
        <f t="shared" si="262"/>
        <v/>
      </c>
      <c r="AC208" s="188">
        <v>199</v>
      </c>
      <c r="AD208" s="1" t="b">
        <f t="shared" si="28"/>
        <v>0</v>
      </c>
      <c r="AE208" s="1" t="str">
        <f t="shared" si="29"/>
        <v/>
      </c>
      <c r="AF208" s="1" t="str">
        <f t="shared" si="30"/>
        <v/>
      </c>
      <c r="AG208" s="1" t="str">
        <f t="shared" si="31"/>
        <v/>
      </c>
      <c r="AH208" s="1" t="str">
        <f t="shared" si="263"/>
        <v/>
      </c>
      <c r="AI208" s="1" t="str">
        <f t="shared" si="33"/>
        <v/>
      </c>
      <c r="AJ208" s="191" t="str">
        <f t="shared" si="294"/>
        <v/>
      </c>
      <c r="AK208" s="191" t="str">
        <f t="shared" si="295"/>
        <v/>
      </c>
      <c r="AL208" s="191" t="str">
        <f t="shared" si="264"/>
        <v/>
      </c>
      <c r="AM208" s="1" t="str">
        <f t="shared" si="265"/>
        <v/>
      </c>
      <c r="AN208" s="191" t="str">
        <f t="shared" si="266"/>
        <v/>
      </c>
      <c r="AO208" s="134" t="str">
        <f t="shared" si="267"/>
        <v/>
      </c>
      <c r="AP208" s="64" t="str">
        <f t="shared" si="38"/>
        <v/>
      </c>
      <c r="AQ208" s="1" t="str">
        <f t="shared" si="293"/>
        <v/>
      </c>
      <c r="AR208" s="1" t="str">
        <f t="shared" si="268"/>
        <v/>
      </c>
      <c r="AS208" s="1" t="str">
        <f t="shared" si="269"/>
        <v/>
      </c>
      <c r="AT208" s="134" t="str">
        <f t="shared" si="270"/>
        <v/>
      </c>
      <c r="AU208" s="64" t="str">
        <f t="shared" si="271"/>
        <v/>
      </c>
      <c r="AV208" s="65" t="str">
        <f t="shared" si="272"/>
        <v/>
      </c>
      <c r="AW208" s="65" t="str">
        <f t="shared" si="273"/>
        <v/>
      </c>
      <c r="AX208" s="1" t="str">
        <f t="shared" si="274"/>
        <v/>
      </c>
      <c r="AY208" s="1" t="str">
        <f t="shared" si="275"/>
        <v/>
      </c>
      <c r="AZ208" s="131" t="str">
        <f t="shared" si="276"/>
        <v/>
      </c>
      <c r="BA208" s="1" t="str">
        <f t="shared" si="277"/>
        <v/>
      </c>
      <c r="BB208" s="1" t="str">
        <f t="shared" si="49"/>
        <v/>
      </c>
      <c r="BC208" s="1" t="str">
        <f t="shared" si="50"/>
        <v/>
      </c>
      <c r="BD208" s="1" t="str">
        <f t="shared" si="278"/>
        <v/>
      </c>
      <c r="BE208" s="1" t="str">
        <f t="shared" si="279"/>
        <v/>
      </c>
      <c r="BF208" s="1" t="str">
        <f t="shared" si="53"/>
        <v/>
      </c>
      <c r="BG208" s="1" t="str">
        <f t="shared" si="280"/>
        <v/>
      </c>
      <c r="BH208" s="1" t="str">
        <f t="shared" si="281"/>
        <v/>
      </c>
      <c r="BI208" s="1" t="str">
        <f t="shared" si="282"/>
        <v/>
      </c>
      <c r="BJ208" s="1" t="str">
        <f t="shared" si="283"/>
        <v/>
      </c>
      <c r="BK208" s="1" t="str">
        <f t="shared" si="284"/>
        <v/>
      </c>
      <c r="BL208" s="1" t="str">
        <f t="shared" si="285"/>
        <v/>
      </c>
      <c r="BM208" s="1" t="str">
        <f t="shared" si="286"/>
        <v/>
      </c>
      <c r="BN208" s="1" t="str">
        <f t="shared" si="287"/>
        <v/>
      </c>
      <c r="BO208" s="1" t="str">
        <f t="shared" si="288"/>
        <v/>
      </c>
      <c r="BQ208" s="1" t="str">
        <f t="shared" si="63"/>
        <v/>
      </c>
      <c r="BR208" s="1" t="str">
        <f t="shared" si="64"/>
        <v/>
      </c>
      <c r="BS208" s="1" t="str">
        <f t="shared" si="65"/>
        <v/>
      </c>
      <c r="BT208" s="1" t="str">
        <f t="shared" si="66"/>
        <v/>
      </c>
      <c r="BU208" s="1" t="str">
        <f t="shared" si="67"/>
        <v/>
      </c>
      <c r="BV208" s="1" t="str">
        <f t="shared" si="68"/>
        <v/>
      </c>
      <c r="BW208" s="1" t="str">
        <f t="shared" si="69"/>
        <v/>
      </c>
      <c r="BX208" s="1" t="str">
        <f t="shared" si="70"/>
        <v/>
      </c>
      <c r="BY208" s="1" t="str">
        <f t="shared" si="289"/>
        <v/>
      </c>
      <c r="BZ208" s="1" t="str">
        <f t="shared" si="72"/>
        <v/>
      </c>
      <c r="CA208" s="1" t="str">
        <f t="shared" si="73"/>
        <v/>
      </c>
      <c r="CB208" s="1" t="str">
        <f t="shared" si="74"/>
        <v/>
      </c>
      <c r="CC208" s="1" t="str">
        <f t="shared" si="75"/>
        <v/>
      </c>
      <c r="CD208" s="1" t="str">
        <f t="shared" si="290"/>
        <v/>
      </c>
      <c r="CE208" s="1" t="str">
        <f t="shared" si="77"/>
        <v/>
      </c>
      <c r="CF208" s="1" t="str">
        <f t="shared" si="78"/>
        <v/>
      </c>
      <c r="CG208" s="1" t="str">
        <f t="shared" si="79"/>
        <v/>
      </c>
      <c r="CH208" s="1" t="str">
        <f t="shared" si="80"/>
        <v/>
      </c>
      <c r="CJ208" s="1" t="str">
        <f t="shared" si="81"/>
        <v/>
      </c>
      <c r="CK208" s="1" t="str">
        <f t="shared" si="82"/>
        <v/>
      </c>
      <c r="CL208" s="1" t="str">
        <f t="shared" si="83"/>
        <v/>
      </c>
      <c r="CM208" s="1" t="str">
        <f t="shared" si="84"/>
        <v/>
      </c>
      <c r="CN208" s="1" t="str">
        <f t="shared" si="85"/>
        <v/>
      </c>
      <c r="CO208" s="1" t="str">
        <f t="shared" si="86"/>
        <v/>
      </c>
      <c r="CP208" s="1" t="str">
        <f t="shared" si="87"/>
        <v/>
      </c>
      <c r="CR208" s="1" t="str">
        <f t="shared" si="88"/>
        <v/>
      </c>
      <c r="CS208" s="1" t="str">
        <f t="shared" si="89"/>
        <v/>
      </c>
      <c r="CT208" s="1" t="str">
        <f t="shared" si="90"/>
        <v/>
      </c>
      <c r="CU208" s="1" t="str">
        <f t="shared" si="91"/>
        <v/>
      </c>
      <c r="CV208" s="1" t="str">
        <f t="shared" si="92"/>
        <v/>
      </c>
      <c r="DC208" s="154" t="e">
        <f t="shared" si="93"/>
        <v>#VALUE!</v>
      </c>
      <c r="DD208" s="154" t="str">
        <f t="shared" si="94"/>
        <v/>
      </c>
      <c r="DE208" s="154" t="str">
        <f t="shared" si="95"/>
        <v/>
      </c>
      <c r="DF208" s="1" t="str">
        <f t="shared" si="96"/>
        <v/>
      </c>
      <c r="DG208" s="1" t="str">
        <f t="shared" si="97"/>
        <v/>
      </c>
      <c r="DH208" s="1" t="str">
        <f t="shared" si="98"/>
        <v/>
      </c>
      <c r="DI208" s="1" t="str">
        <f t="shared" si="291"/>
        <v/>
      </c>
      <c r="DJ208" s="1" t="str">
        <f t="shared" si="292"/>
        <v/>
      </c>
      <c r="DK208" s="1" t="str">
        <f t="shared" si="101"/>
        <v/>
      </c>
      <c r="DL208" s="1" t="str">
        <f t="shared" si="102"/>
        <v/>
      </c>
      <c r="DM208" s="1" t="str">
        <f t="shared" si="103"/>
        <v/>
      </c>
    </row>
    <row r="209" customHeight="1" spans="1:117">
      <c r="A209" s="152" t="str">
        <f t="shared" si="296"/>
        <v/>
      </c>
      <c r="C209" s="55" t="str">
        <f t="shared" si="5"/>
        <v/>
      </c>
      <c r="D209" s="150" t="str">
        <f t="shared" si="6"/>
        <v/>
      </c>
      <c r="E209" s="151" t="str">
        <f t="shared" si="243"/>
        <v/>
      </c>
      <c r="F209" s="151" t="str">
        <f t="shared" si="244"/>
        <v/>
      </c>
      <c r="G209" s="151" t="str">
        <f t="shared" si="245"/>
        <v/>
      </c>
      <c r="H209" s="151" t="str">
        <f t="shared" si="246"/>
        <v/>
      </c>
      <c r="I209" s="151" t="str">
        <f t="shared" si="247"/>
        <v/>
      </c>
      <c r="J209" s="171" t="str">
        <f t="shared" si="248"/>
        <v/>
      </c>
      <c r="K209" s="172" t="str">
        <f t="shared" si="297"/>
        <v/>
      </c>
      <c r="L209" s="172" t="str">
        <f t="shared" si="298"/>
        <v/>
      </c>
      <c r="M209" s="173" t="str">
        <f t="shared" si="299"/>
        <v/>
      </c>
      <c r="N209" s="54" t="str">
        <f t="shared" si="249"/>
        <v/>
      </c>
      <c r="O209" s="55" t="str">
        <f t="shared" si="250"/>
        <v/>
      </c>
      <c r="P209" s="55" t="str">
        <f t="shared" si="15"/>
        <v/>
      </c>
      <c r="Q209" s="56" t="str">
        <f t="shared" si="251"/>
        <v/>
      </c>
      <c r="R209" s="56" t="str">
        <f t="shared" si="252"/>
        <v/>
      </c>
      <c r="S209" s="56" t="str">
        <f t="shared" si="253"/>
        <v/>
      </c>
      <c r="T209" s="56" t="str">
        <f t="shared" si="254"/>
        <v/>
      </c>
      <c r="U209" s="180" t="str">
        <f t="shared" si="255"/>
        <v/>
      </c>
      <c r="V209" s="55" t="str">
        <f t="shared" si="256"/>
        <v/>
      </c>
      <c r="W209" s="55" t="str">
        <f t="shared" si="257"/>
        <v/>
      </c>
      <c r="X209" s="56" t="str">
        <f t="shared" si="258"/>
        <v/>
      </c>
      <c r="Y209" s="180" t="str">
        <f t="shared" si="259"/>
        <v/>
      </c>
      <c r="Z209" s="55" t="str">
        <f t="shared" si="260"/>
        <v/>
      </c>
      <c r="AA209" s="55" t="str">
        <f t="shared" si="261"/>
        <v/>
      </c>
      <c r="AB209" s="150" t="str">
        <f t="shared" si="262"/>
        <v/>
      </c>
      <c r="AC209" s="188">
        <v>200</v>
      </c>
      <c r="AD209" s="1" t="b">
        <f t="shared" si="28"/>
        <v>0</v>
      </c>
      <c r="AE209" s="1" t="str">
        <f t="shared" si="29"/>
        <v/>
      </c>
      <c r="AF209" s="1" t="str">
        <f t="shared" si="30"/>
        <v/>
      </c>
      <c r="AG209" s="1" t="str">
        <f t="shared" si="31"/>
        <v/>
      </c>
      <c r="AH209" s="1" t="str">
        <f t="shared" si="263"/>
        <v/>
      </c>
      <c r="AI209" s="1" t="str">
        <f t="shared" si="33"/>
        <v/>
      </c>
      <c r="AJ209" s="191" t="str">
        <f t="shared" si="294"/>
        <v/>
      </c>
      <c r="AK209" s="191" t="str">
        <f t="shared" si="295"/>
        <v/>
      </c>
      <c r="AL209" s="191" t="str">
        <f t="shared" si="264"/>
        <v/>
      </c>
      <c r="AM209" s="1" t="str">
        <f t="shared" si="265"/>
        <v/>
      </c>
      <c r="AN209" s="191" t="str">
        <f t="shared" si="266"/>
        <v/>
      </c>
      <c r="AO209" s="134" t="str">
        <f t="shared" si="267"/>
        <v/>
      </c>
      <c r="AP209" s="64" t="str">
        <f t="shared" si="38"/>
        <v/>
      </c>
      <c r="AQ209" s="1" t="str">
        <f t="shared" si="293"/>
        <v/>
      </c>
      <c r="AR209" s="1" t="str">
        <f t="shared" si="268"/>
        <v/>
      </c>
      <c r="AS209" s="1" t="str">
        <f t="shared" si="269"/>
        <v/>
      </c>
      <c r="AT209" s="134" t="str">
        <f t="shared" si="270"/>
        <v/>
      </c>
      <c r="AU209" s="64" t="str">
        <f t="shared" si="271"/>
        <v/>
      </c>
      <c r="AV209" s="65" t="str">
        <f t="shared" si="272"/>
        <v/>
      </c>
      <c r="AW209" s="65" t="str">
        <f t="shared" si="273"/>
        <v/>
      </c>
      <c r="AX209" s="1" t="str">
        <f t="shared" si="274"/>
        <v/>
      </c>
      <c r="AY209" s="1" t="str">
        <f t="shared" si="275"/>
        <v/>
      </c>
      <c r="AZ209" s="131" t="str">
        <f t="shared" si="276"/>
        <v/>
      </c>
      <c r="BA209" s="1" t="str">
        <f t="shared" si="277"/>
        <v/>
      </c>
      <c r="BB209" s="1" t="str">
        <f t="shared" si="49"/>
        <v/>
      </c>
      <c r="BC209" s="1" t="str">
        <f t="shared" si="50"/>
        <v/>
      </c>
      <c r="BD209" s="1" t="str">
        <f t="shared" si="278"/>
        <v/>
      </c>
      <c r="BE209" s="1" t="str">
        <f t="shared" si="279"/>
        <v/>
      </c>
      <c r="BF209" s="1" t="str">
        <f t="shared" si="53"/>
        <v/>
      </c>
      <c r="BG209" s="1" t="str">
        <f t="shared" si="280"/>
        <v/>
      </c>
      <c r="BH209" s="1" t="str">
        <f t="shared" si="281"/>
        <v/>
      </c>
      <c r="BI209" s="1" t="str">
        <f t="shared" si="282"/>
        <v/>
      </c>
      <c r="BJ209" s="1" t="str">
        <f t="shared" si="283"/>
        <v/>
      </c>
      <c r="BK209" s="1" t="str">
        <f t="shared" si="284"/>
        <v/>
      </c>
      <c r="BL209" s="1" t="str">
        <f t="shared" si="285"/>
        <v/>
      </c>
      <c r="BM209" s="1" t="str">
        <f t="shared" si="286"/>
        <v/>
      </c>
      <c r="BN209" s="1" t="str">
        <f t="shared" si="287"/>
        <v/>
      </c>
      <c r="BO209" s="1" t="str">
        <f t="shared" si="288"/>
        <v/>
      </c>
      <c r="BQ209" s="1" t="str">
        <f t="shared" si="63"/>
        <v/>
      </c>
      <c r="BR209" s="1" t="str">
        <f t="shared" si="64"/>
        <v/>
      </c>
      <c r="BS209" s="1" t="str">
        <f t="shared" si="65"/>
        <v/>
      </c>
      <c r="BT209" s="1" t="str">
        <f t="shared" si="66"/>
        <v/>
      </c>
      <c r="BU209" s="1" t="str">
        <f t="shared" si="67"/>
        <v/>
      </c>
      <c r="BV209" s="1" t="str">
        <f t="shared" si="68"/>
        <v/>
      </c>
      <c r="BW209" s="1" t="str">
        <f t="shared" si="69"/>
        <v/>
      </c>
      <c r="BX209" s="1" t="str">
        <f t="shared" si="70"/>
        <v/>
      </c>
      <c r="BY209" s="1" t="str">
        <f t="shared" si="289"/>
        <v/>
      </c>
      <c r="BZ209" s="1" t="str">
        <f t="shared" si="72"/>
        <v/>
      </c>
      <c r="CA209" s="1" t="str">
        <f t="shared" si="73"/>
        <v/>
      </c>
      <c r="CB209" s="1" t="str">
        <f t="shared" si="74"/>
        <v/>
      </c>
      <c r="CC209" s="1" t="str">
        <f t="shared" si="75"/>
        <v/>
      </c>
      <c r="CD209" s="1" t="str">
        <f t="shared" si="290"/>
        <v/>
      </c>
      <c r="CE209" s="1" t="str">
        <f t="shared" si="77"/>
        <v/>
      </c>
      <c r="CF209" s="1" t="str">
        <f t="shared" si="78"/>
        <v/>
      </c>
      <c r="CG209" s="1" t="str">
        <f t="shared" si="79"/>
        <v/>
      </c>
      <c r="CH209" s="1" t="str">
        <f t="shared" si="80"/>
        <v/>
      </c>
      <c r="CJ209" s="1" t="str">
        <f t="shared" si="81"/>
        <v/>
      </c>
      <c r="CK209" s="1" t="str">
        <f t="shared" si="82"/>
        <v/>
      </c>
      <c r="CL209" s="1" t="str">
        <f t="shared" si="83"/>
        <v/>
      </c>
      <c r="CM209" s="1" t="str">
        <f t="shared" si="84"/>
        <v/>
      </c>
      <c r="CN209" s="1" t="str">
        <f t="shared" si="85"/>
        <v/>
      </c>
      <c r="CO209" s="1" t="str">
        <f t="shared" si="86"/>
        <v/>
      </c>
      <c r="CP209" s="1" t="str">
        <f t="shared" si="87"/>
        <v/>
      </c>
      <c r="CR209" s="1" t="str">
        <f t="shared" si="88"/>
        <v/>
      </c>
      <c r="CS209" s="1" t="str">
        <f t="shared" si="89"/>
        <v/>
      </c>
      <c r="CT209" s="1" t="str">
        <f t="shared" si="90"/>
        <v/>
      </c>
      <c r="CU209" s="1" t="str">
        <f t="shared" si="91"/>
        <v/>
      </c>
      <c r="CV209" s="1" t="str">
        <f t="shared" si="92"/>
        <v/>
      </c>
      <c r="DC209" s="154" t="e">
        <f t="shared" si="93"/>
        <v>#VALUE!</v>
      </c>
      <c r="DD209" s="154" t="str">
        <f t="shared" si="94"/>
        <v/>
      </c>
      <c r="DE209" s="154" t="str">
        <f t="shared" si="95"/>
        <v/>
      </c>
      <c r="DF209" s="1" t="str">
        <f t="shared" si="96"/>
        <v/>
      </c>
      <c r="DG209" s="1" t="str">
        <f t="shared" si="97"/>
        <v/>
      </c>
      <c r="DH209" s="1" t="str">
        <f t="shared" si="98"/>
        <v/>
      </c>
      <c r="DI209" s="1" t="str">
        <f t="shared" si="291"/>
        <v/>
      </c>
      <c r="DJ209" s="1" t="str">
        <f t="shared" si="292"/>
        <v/>
      </c>
      <c r="DK209" s="1" t="str">
        <f t="shared" si="101"/>
        <v/>
      </c>
      <c r="DL209" s="1" t="str">
        <f t="shared" si="102"/>
        <v/>
      </c>
      <c r="DM209" s="1" t="str">
        <f t="shared" si="103"/>
        <v/>
      </c>
    </row>
    <row r="210" customHeight="1" spans="1:119">
      <c r="A210" s="201"/>
      <c r="B210" s="201"/>
      <c r="C210" s="202"/>
      <c r="D210" s="201"/>
      <c r="E210" s="202"/>
      <c r="F210" s="202"/>
      <c r="G210" s="202"/>
      <c r="H210" s="202"/>
      <c r="I210" s="202"/>
      <c r="J210" s="202"/>
      <c r="K210" s="211"/>
      <c r="L210" s="211"/>
      <c r="M210" s="211"/>
      <c r="N210" s="201"/>
      <c r="O210" s="201"/>
      <c r="P210" s="201"/>
      <c r="Q210" s="201"/>
      <c r="R210" s="201"/>
      <c r="S210" s="201"/>
      <c r="T210" s="201"/>
      <c r="U210" s="201"/>
      <c r="V210" s="201"/>
      <c r="W210" s="201"/>
      <c r="X210" s="201"/>
      <c r="Y210" s="201"/>
      <c r="Z210" s="201"/>
      <c r="AA210" s="201"/>
      <c r="AB210" s="201"/>
      <c r="AC210" s="223"/>
      <c r="AD210" s="201"/>
      <c r="AE210" s="201"/>
      <c r="AF210" s="201"/>
      <c r="AG210" s="201"/>
      <c r="AH210" s="201"/>
      <c r="AI210" s="201"/>
      <c r="AJ210" s="201"/>
      <c r="AK210" s="201"/>
      <c r="AL210" s="201"/>
      <c r="AM210" s="201"/>
      <c r="AN210" s="201"/>
      <c r="AO210" s="201"/>
      <c r="AP210" s="201"/>
      <c r="AQ210" s="201"/>
      <c r="AR210" s="201"/>
      <c r="AS210" s="201"/>
      <c r="AT210" s="201"/>
      <c r="AU210" s="201"/>
      <c r="AV210" s="201"/>
      <c r="AW210" s="201"/>
      <c r="AX210" s="201"/>
      <c r="AY210" s="201"/>
      <c r="AZ210" s="201"/>
      <c r="BA210" s="201"/>
      <c r="BB210" s="201"/>
      <c r="BC210" s="201"/>
      <c r="BD210" s="201"/>
      <c r="BE210" s="201"/>
      <c r="BF210" s="201"/>
      <c r="BG210" s="201"/>
      <c r="BH210" s="201"/>
      <c r="BI210" s="201"/>
      <c r="BJ210" s="201"/>
      <c r="BK210" s="201"/>
      <c r="BL210" s="201"/>
      <c r="BM210" s="201"/>
      <c r="BN210" s="201"/>
      <c r="BO210" s="201"/>
      <c r="BP210" s="201"/>
      <c r="BQ210" s="201"/>
      <c r="BR210" s="201"/>
      <c r="BS210" s="201"/>
      <c r="BT210" s="201"/>
      <c r="BU210" s="201"/>
      <c r="BV210" s="201"/>
      <c r="BW210" s="201"/>
      <c r="BX210" s="201"/>
      <c r="BY210" s="201"/>
      <c r="BZ210" s="201"/>
      <c r="CA210" s="201"/>
      <c r="CB210" s="201"/>
      <c r="CC210" s="201"/>
      <c r="CD210" s="201"/>
      <c r="CE210" s="201"/>
      <c r="CF210" s="201"/>
      <c r="CG210" s="201"/>
      <c r="CH210" s="201"/>
      <c r="CI210" s="201"/>
      <c r="CJ210" s="201"/>
      <c r="CK210" s="201"/>
      <c r="CL210" s="201"/>
      <c r="CM210" s="201"/>
      <c r="CN210" s="201"/>
      <c r="CO210" s="201"/>
      <c r="CP210" s="201"/>
      <c r="CQ210" s="201"/>
      <c r="CR210" s="201"/>
      <c r="CS210" s="201"/>
      <c r="CT210" s="201"/>
      <c r="CU210" s="201"/>
      <c r="CV210" s="201"/>
      <c r="CW210" s="201"/>
      <c r="CX210" s="201"/>
      <c r="CY210" s="201"/>
      <c r="CZ210" s="201"/>
      <c r="DA210" s="201"/>
      <c r="DB210" s="201"/>
      <c r="DC210" s="201"/>
      <c r="DD210" s="201"/>
      <c r="DE210" s="201"/>
      <c r="DF210" s="201"/>
      <c r="DG210" s="201"/>
      <c r="DH210" s="201"/>
      <c r="DI210" s="201"/>
      <c r="DJ210" s="201"/>
      <c r="DK210" s="201"/>
      <c r="DL210" s="201"/>
      <c r="DM210" s="201"/>
      <c r="DN210" s="201"/>
      <c r="DO210" s="201"/>
    </row>
    <row r="211" customHeight="1" spans="3:29">
      <c r="C211" s="55"/>
      <c r="E211" s="55"/>
      <c r="F211" s="55"/>
      <c r="G211" s="55"/>
      <c r="H211" s="55"/>
      <c r="I211" s="55"/>
      <c r="J211" s="55"/>
      <c r="K211" s="172"/>
      <c r="L211" s="172"/>
      <c r="M211" s="172"/>
      <c r="AC211" s="188"/>
    </row>
    <row r="212" customHeight="1" spans="1:29">
      <c r="A212" s="1" t="s">
        <v>140</v>
      </c>
      <c r="C212" s="203" t="s">
        <v>141</v>
      </c>
      <c r="E212" s="55"/>
      <c r="I212" s="30" t="s">
        <v>142</v>
      </c>
      <c r="K212" s="30" t="s">
        <v>12</v>
      </c>
      <c r="L212" s="30" t="s">
        <v>13</v>
      </c>
      <c r="M212" s="30" t="s">
        <v>14</v>
      </c>
      <c r="P212" s="67" t="s">
        <v>53</v>
      </c>
      <c r="Q212" s="1">
        <f>JulianDate/LengthOfDay</f>
        <v>10792.4947333669</v>
      </c>
      <c r="V212" s="30" t="s">
        <v>143</v>
      </c>
      <c r="AC212" s="188"/>
    </row>
    <row r="213" customHeight="1" spans="3:29">
      <c r="C213" s="1" t="s">
        <v>144</v>
      </c>
      <c r="E213" s="55"/>
      <c r="F213" s="55" t="s">
        <v>145</v>
      </c>
      <c r="G213" s="157" t="s">
        <v>146</v>
      </c>
      <c r="I213" s="158">
        <v>478.503</v>
      </c>
      <c r="K213" s="205" t="e">
        <f>VLOOKUP(G213,DatabaseBody,2,FALSE)</f>
        <v>#N/A</v>
      </c>
      <c r="L213" s="205" t="e">
        <f>VLOOKUP(G213,DatabaseBody,3,FALSE)</f>
        <v>#N/A</v>
      </c>
      <c r="M213" s="205" t="e">
        <f>VLOOKUP(G213,DatabaseBody,4,FALSE)</f>
        <v>#N/A</v>
      </c>
      <c r="P213" s="1" t="s">
        <v>84</v>
      </c>
      <c r="Q213" s="67">
        <f>MOD(360-MOD(AD4,1)*360-R220,360)</f>
        <v>324.360577915123</v>
      </c>
      <c r="V213" s="1">
        <f>MOD(360-MOD(AD4,1)*360,360)</f>
        <v>181.895987915123</v>
      </c>
      <c r="W213" s="214" t="str">
        <f>IF(AD224,IFERROR((IF(AM223&gt;0,AM223/RotationRateAngular,(360+AM223)/RotationRateAngular)/1440)+TimeLocal,""),"")</f>
        <v/>
      </c>
      <c r="AC213" s="188"/>
    </row>
    <row r="214" customHeight="1" spans="3:29">
      <c r="C214" s="1" t="s">
        <v>147</v>
      </c>
      <c r="D214" s="1" t="s">
        <v>117</v>
      </c>
      <c r="E214" s="55" t="b">
        <v>0</v>
      </c>
      <c r="F214" s="55" t="s">
        <v>148</v>
      </c>
      <c r="G214" s="157" t="s">
        <v>149</v>
      </c>
      <c r="I214" s="158">
        <v>563.211</v>
      </c>
      <c r="K214" s="205" t="e">
        <f>VLOOKUP(G214,DatabaseBody,2,FALSE)</f>
        <v>#N/A</v>
      </c>
      <c r="L214" s="205" t="e">
        <f>VLOOKUP(G214,DatabaseBody,3,FALSE)</f>
        <v>#N/A</v>
      </c>
      <c r="M214" s="205" t="e">
        <f>VLOOKUP(G214,DatabaseBody,4,FALSE)</f>
        <v>#N/A</v>
      </c>
      <c r="P214" s="67" t="s">
        <v>64</v>
      </c>
      <c r="Q214" s="215">
        <f>AD5</f>
        <v>158.012884649985</v>
      </c>
      <c r="AC214" s="188"/>
    </row>
    <row r="215" customHeight="1" spans="4:29">
      <c r="D215" s="1" t="s">
        <v>118</v>
      </c>
      <c r="E215" s="55" t="b">
        <v>0</v>
      </c>
      <c r="F215" s="55" t="s">
        <v>150</v>
      </c>
      <c r="G215" s="157" t="s">
        <v>151</v>
      </c>
      <c r="I215" s="158">
        <v>440.951</v>
      </c>
      <c r="K215" s="205" t="e">
        <f>VLOOKUP(G215,DatabaseBody,2,FALSE)</f>
        <v>#N/A</v>
      </c>
      <c r="L215" s="205" t="e">
        <f>VLOOKUP(G215,DatabaseBody,3,FALSE)</f>
        <v>#N/A</v>
      </c>
      <c r="M215" s="205" t="e">
        <f>VLOOKUP(G215,DatabaseBody,4,FALSE)</f>
        <v>#N/A</v>
      </c>
      <c r="AC215" s="188"/>
    </row>
    <row r="216" customHeight="1" spans="4:29">
      <c r="D216" s="1" t="s">
        <v>119</v>
      </c>
      <c r="E216" s="55" t="b">
        <v>0</v>
      </c>
      <c r="F216" s="55" t="s">
        <v>152</v>
      </c>
      <c r="G216" s="157" t="s">
        <v>153</v>
      </c>
      <c r="I216" s="158">
        <v>383.805</v>
      </c>
      <c r="K216" s="205" t="e">
        <f>VLOOKUP(G216,DatabaseBody,2,FALSE)</f>
        <v>#N/A</v>
      </c>
      <c r="L216" s="205" t="e">
        <f>VLOOKUP(G216,DatabaseBody,3,FALSE)</f>
        <v>#N/A</v>
      </c>
      <c r="M216" s="205" t="e">
        <f>VLOOKUP(G216,DatabaseBody,4,FALSE)</f>
        <v>#N/A</v>
      </c>
      <c r="R216" s="216" t="s">
        <v>154</v>
      </c>
      <c r="AC216" s="188"/>
    </row>
    <row r="217" customHeight="1" spans="4:29">
      <c r="D217" s="1" t="s">
        <v>120</v>
      </c>
      <c r="E217" s="55" t="b">
        <v>0</v>
      </c>
      <c r="F217" s="55"/>
      <c r="G217" s="55"/>
      <c r="H217" s="55"/>
      <c r="I217" s="55"/>
      <c r="J217" s="55"/>
      <c r="K217" s="172"/>
      <c r="L217" s="172"/>
      <c r="M217" s="172"/>
      <c r="R217" s="217"/>
      <c r="AC217" s="188"/>
    </row>
    <row r="218" customHeight="1" spans="5:29">
      <c r="E218" s="55"/>
      <c r="F218" s="55"/>
      <c r="G218" s="55"/>
      <c r="H218" s="55"/>
      <c r="I218" s="55"/>
      <c r="J218" s="55"/>
      <c r="K218" s="172"/>
      <c r="L218" s="172"/>
      <c r="M218" s="172"/>
      <c r="R218" s="217" t="s">
        <v>155</v>
      </c>
      <c r="AC218" s="188"/>
    </row>
    <row r="219" customHeight="1" spans="3:22">
      <c r="C219" s="1" t="s">
        <v>156</v>
      </c>
      <c r="G219" s="43" t="s">
        <v>157</v>
      </c>
      <c r="H219" s="43"/>
      <c r="I219" s="43"/>
      <c r="J219" s="43"/>
      <c r="K219" s="43"/>
      <c r="L219" s="43"/>
      <c r="M219" s="43"/>
      <c r="N219" s="43"/>
      <c r="O219" s="43"/>
      <c r="P219" s="1"/>
      <c r="R219" s="1" t="s">
        <v>158</v>
      </c>
      <c r="V219" s="218" t="s">
        <v>159</v>
      </c>
    </row>
    <row r="220" customHeight="1" spans="18:18">
      <c r="R220" s="93">
        <v>217.53541</v>
      </c>
    </row>
    <row r="221" customHeight="1" spans="3:5">
      <c r="C221" s="1" t="s">
        <v>160</v>
      </c>
      <c r="E221" s="204">
        <f>R230</f>
        <v>45683.7183717926</v>
      </c>
    </row>
    <row r="222" customHeight="1" spans="4:18">
      <c r="D222" s="1" t="s">
        <v>161</v>
      </c>
      <c r="Q222" s="67" t="s">
        <v>162</v>
      </c>
      <c r="R222" s="219">
        <v>44113.6107464128</v>
      </c>
    </row>
    <row r="223" customHeight="1" spans="6:39">
      <c r="F223" s="55"/>
      <c r="G223" s="55"/>
      <c r="H223" s="55"/>
      <c r="I223" s="55"/>
      <c r="J223" s="55"/>
      <c r="K223" s="172" t="s">
        <v>12</v>
      </c>
      <c r="L223" s="172" t="s">
        <v>13</v>
      </c>
      <c r="M223" s="172" t="s">
        <v>14</v>
      </c>
      <c r="AC223" s="188"/>
      <c r="AM223" s="1" t="str">
        <f>IF(AD224,IF(MOD(V213-MOD(AG224-sMeridian,360),360)&gt;180,MOD(V213-MOD(AG224-sMeridian,360),360)-360,MOD(V213-MOD(AG224-sMeridian,360),360)),"")</f>
        <v/>
      </c>
    </row>
    <row r="224" customHeight="1" spans="1:67">
      <c r="A224" s="55" t="s">
        <v>163</v>
      </c>
      <c r="C224" s="55" t="str">
        <f>IF(AD224,CONCATENATE(IF(AE224&lt;0,CONCATENATE("S ",IF(ABS(AE224)&lt;10,"0",""),INT(ABS(AE224)),"° ",IF(INT(60*(ABS(AE224)-INT(ABS(AE224))))&lt;10,"0",""),ROUND(60*(ABS(AE224)-INT(ABS(AE224))),1),IF(LEN(ROUND(60*(ABS(AE224)-INT(ABS(AE224))),1))&lt;3,".0",""),"' "),CONCATENATE("N ",IF(ABS(AE224)&lt;10,"0",""),INT(ABS(AE224)),"° ",IF(INT(60*(ABS(AE224)-INT(ABS(AE224))))&lt;10,"0",""),ROUND(60*(ABS(AE224)-INT(ABS(AE224))),1),IF(LEN(ROUND(60*(ABS(AE224)-INT(ABS(AE224))),1))&lt;3,".0",""),"' ")),"/ ",IF(AF224&lt;0,CONCATENATE("W ",IF(ABS(AF224)&lt;10,"00",IF(ABS(AF224)&lt;100,"0","")),INT(ABS(AF224)),"° ",IF(INT(60*(ABS(AF224)-INT(ABS(AF224))))&lt;10,"0",""),ROUND(60*(ABS(AF224)-INT(ABS(AF224))),1),IF(LEN(ROUND(60*(ABS(AF224)-INT(ABS(AF224))),1))&lt;3,".0",""),"'"),CONCATENATE("E ",IF(ABS(AF224)&lt;10,"00",IF(ABS(AF224)&lt;100,"0","")),INT(ABS(AF224)),"° ",IF(INT(60*(ABS(AF224)-INT(ABS(AF224))))&lt;10,"0",""),ROUND(60*(ABS(AF224)-INT(ABS(AF224))),1),IF(LEN(ROUND(60*(ABS(AF224)-INT(ABS(AF224))),1))&lt;3,".0",""),"'"))),"")</f>
        <v/>
      </c>
      <c r="D224" s="150" t="str">
        <f>IF(AD224,IF(AH224&lt;10,CONCATENATE(ROUND(AH224*1000,0)," m"),CONCATENATE(ROUND(AH224,1)," km")),"")</f>
        <v/>
      </c>
      <c r="E224" s="151" t="str">
        <f>IF(AD224,ROUND(SQRT(K224^2+L224^2+(M224-OMRadius)^2),1),"")</f>
        <v/>
      </c>
      <c r="F224" s="151" t="str">
        <f>IF(AD224,ROUND(SQRT(K224^2+L224^2+(M224+OMRadius)^2),1),"")</f>
        <v/>
      </c>
      <c r="G224" s="151" t="str">
        <f>IF(AD224,ROUND(SQRT(K224^2+(L224-OMRadius)^2+M224^2),1),"")</f>
        <v/>
      </c>
      <c r="H224" s="151" t="str">
        <f>IF(AD224,ROUND(SQRT(K224^2+(L224+OMRadius)^2+M224^2),1),"")</f>
        <v/>
      </c>
      <c r="I224" s="151" t="str">
        <f>IF(AD224,ROUND(SQRT((K224-OMRadius)^2+L224^2+M224^2),1),"")</f>
        <v/>
      </c>
      <c r="J224" s="171" t="str">
        <f>IF(AD224,ROUND(SQRT((K224+OMRadius)^2+L224^2+M224^2),1),"")</f>
        <v/>
      </c>
      <c r="K224" s="205" t="str">
        <f>_xlfn.IFNA(IF(NOT(OR(E214,E215,E216,E217)),(((((I214^2)-(I213^2)+(K213^2)+(L213^2)+(M213^2)-(K214^2)-(L214^2)-(M214^2))/2)*(L213-L215)*(M213-M216))+((L213-L214)*(M213-M215)*(((I216^2)-(I213^2)+(K213^2)+(L213^2)+(M213^2)-(K216^2)-(L216^2)-(M216^2))/2))+((M213-M214)*(((I215^2)-(I213^2)+(K213^2)+(L213^2)+(M213^2)-(K215^2)-(L215^2)-(M215^2))/2)*(L213-L216))-((((I216^2)-(I213^2)+(K213^2)+(L213^2)+(M213^2)-(K216^2)-(L216^2)-(M216^2))/2)*(L213-L215)*(M213-M214))-((L213-L216)*(M213-M215)*(((I214^2)-(I213^2)+(K213^2)+(L213^2)+(M213^2)-(K214^2)-(L214^2)-(M214^2))/2))-((M213-M216)*(((I215^2)-(I213^2)+(K213^2)+(L213^2)+(M213^2)-(K215^2)-(L215^2)-(M215^2))/2)*(L213-L214)))/(((K213-K214)*(L213-L215)*(M213-M216))+((L213-L214)*(M213-M215)*(K213-K216))+((M213-M214)*(K213-K215)*(L213-L216))-((K213-K216)*(L213-L215)*(M213-M214))-((L213-L216)*(M213-M215)*(K213-K214))-((M213-M216)*(K213-K215)*(L213-L214))),IF(OR(E214,E215),0,IF(E216,D226,-D226))),"")</f>
        <v/>
      </c>
      <c r="L224" s="205" t="str">
        <f>_xlfn.IFNA(IF(NOT(OR(E214,E215,E216,E217)),(((K213-K214)*(((I215^2)-(I213^2)+(K213^2)+(L213^2)+(M213^2)-(K215^2)-(L215^2)-(M215^2))/2)*(M213-M216))+((((I214^2)-(I213^2)+(K213^2)+(L213^2)+(M213^2)-(K214^2)-(L214^2)-(M214^2))/2)*(M213-M215)*(K213-K216))+((M213-M214)*(K213-K215)*(((I216^2)-(I213^2)+(K213^2)+(L213^2)+(M213^2)-(K216^2)-(L216^2)-(M216^2))/2))-((K213-K216)*(((I215^2)-(I213^2)+(K213^2)+(L213^2)+(M213^2)-(K215^2)-(L215^2)-(M215^2))/2)*(M213-M214))-((((I216^2)-(I213^2)+(K213^2)+(L213^2)+(M213^2)-(K216^2)-(L216^2)-(M216^2))/2)*(M213-M215)*(K213-K214))-((M213-M216)*(K213-K215)*(((I214^2)-(I213^2)+(K213^2)+(L213^2)+(M213^2)-(K214^2)-(L214^2)-(M214^2))/2)))/(((K213-K214)*(L213-L215)*(M213-M216))+((L213-L214)*(M213-M215)*(K213-K216))+((M213-M214)*(K213-K215)*(L213-L216))-((K213-K216)*(L213-L215)*(M213-M214))-((L213-L216)*(M213-M215)*(K213-K214))-((M213-M216)*(K213-K215)*(L213-L214))),IF(OR(E214,E215),IF(E214,D226,-D226),0)),"")</f>
        <v/>
      </c>
      <c r="M224" s="212" t="str">
        <f>_xlfn.IFNA(IF(NOT(OR(E214,E215,E216,E217)),(((K213-K214)*(L213-L215)*(((I216^2)-(I213^2)+(K213^2)+(L213^2)+(M213^2)-(K216^2)-(L216^2)-(M216^2))/2))+((L213-L214)*(((I215^2)-(I213^2)+(K213^2)+(L213^2)+(M213^2)-(K215^2)-(L215^2)-(M215^2))/2)*(K213-K216))+((((I214^2)-(I213^2)+(K213^2)+(L213^2)+(M213^2)-(K214^2)-(L214^2)-(M214^2))/2)*(K213-K215)*(L213-L216))-((K213-K216)*(L213-L215)*(((I214^2)-(I213^2)+(K213^2)+(L213^2)+(M213^2)-(K214^2)-(L214^2)-(M214^2))/2))-((L213-L216)*(((I215^2)-(I213^2)+(K213^2)+(L213^2)+(M213^2)-(K215^2)-(L215^2)-(M215^2))/2)*(K213-K214))-((((I216^2)-(I213^2)+(K213^2)+(L213^2)+(M213^2)-(K216^2)-(L216^2)-(M216^2))/2)*(K213-K215)*(L213-L214)))/(((K213-K214)*(L213-L215)*(M213-M216))+((L213-L214)*(M213-M215)*(K213-K216))+((M213-M214)*(K213-K215)*(L213-L216))-((K213-K216)*(L213-L215)*(M213-M214))-((L213-L216)*(M213-M215)*(K213-K214))-((M213-M216)*(K213-K215)*(L213-L214))),0),"")</f>
        <v/>
      </c>
      <c r="N224" s="54" t="str">
        <f>IF(AD224,IF(NOT(Rotation),IF(ABS(AE224)&gt;ABS(90-ABS(sDeclination)),IF(AN224&lt;0,"None","Continuous"),IF(ABS(AM224)&gt;ABS(AL224+18),"None","Continuous")),IFERROR(((2*AL224-AJ224-AK224)/RotationRateAngular)*3/4300,IF(AN224&gt;0,"Continuous","None"))),"")</f>
        <v/>
      </c>
      <c r="O224" s="55" t="str">
        <f>IF(AD224,IF(ABS(AE224)&gt;ABS(90-ABS(sDeclination)),IF(AN224&lt;0,"Night","Daylight"),IF(AM224=0,"Noon",IF(AM224=-(AL224-AK224),"Sunset",IF(AM224=(AL224-AJ224),"Sunrise",IF(AM224=180,"Midnight",IF(AND(AM224&gt;-(AL224-AK224),AM224&lt;0),CONCATENATE("Afternoon",IF(Rotation,CONCATENATE(" / Sets in ",ROUND((T224-TimeLocal)*1440,0),"m"),"")),IF(AND(AM224&gt;0,AM224&lt;(AL224-AJ224)),CONCATENATE("Morning",IF(Rotation,CONCATENATE(" / Sets in ",ROUND((T224-TimeLocal)*1440,0),"m"),"")),IF(AND(AM224&gt;(AL224-AJ224),AM224&lt;(AL224+18)),CONCATENATE("Morning Twilight",IF(Rotation,CONCATENATE(" / Rises in ",ROUND((R224-TimeLocal)*1440,0),"m"),"")),IF(AND(AM224&gt;-(AL224+18),AM224&lt;-(AL224-AK224)),CONCATENATE("Evening Twilight",IF(Rotation,CONCATENATE(" / Rises in ",ROUND((R224-TimeLocal)*1440,0),"m"),"")),IF(AND(AM224&gt;-180,AM224&lt;-(AL224+18)),CONCATENATE("Night",IF(Rotation,CONCATENATE(" / Rises in ",ROUND((R224-TimeLocal)*1440,0),"m"),"")),CONCATENATE("After midnight",IF(Rotation,CONCATENATE(" / Rises in ",ROUND((R224-TimeLocal)*1440,0),"m"),"")))))))))))),"")</f>
        <v/>
      </c>
      <c r="P224" s="55" t="str">
        <f>IF(AD224,CONCATENATE(IF(ABS(AO224)&lt;10,"0",""),IF(ABS(AO224)&lt;100,"0",""),AO224,"° / ",IF(BC224&gt;0,"+","-"),IF(ABS(BC224)&lt;10,"0",""),ABS(BC224),"°"),"")</f>
        <v/>
      </c>
      <c r="Q224" s="56" t="str">
        <f>IF(AD224,IFERROR(IF(AM224&gt;(AL224-AJ224+12),S224-((AL224-AJ224+12)/RotationRateAngular*3/4300),IF(AM224&gt;0,S224-((AL224-AJ224+12)/RotationRateAngular*3/4300)+LengthOfDay,S224-((AL224-AJ224+12)/RotationRateAngular*3/4300))),""),"")</f>
        <v/>
      </c>
      <c r="R224" s="56" t="str">
        <f>IF(AD224,IFERROR(IF(AM224&gt;(AL224-AJ224),S224-((AL224-AJ224)/RotationRateAngular*3/4300),IF(AM224&gt;0,S224-((AL224-AJ224)/RotationRateAngular*3/4300)+LengthOfDay,S224-((AL224-AJ224)/RotationRateAngular*3/4300))),""),"")</f>
        <v/>
      </c>
      <c r="S224" s="56" t="str">
        <f>IF(AD224,IFERROR((IF(AM224&gt;0,AM224/RotationRateAngular,(360+AM224)/RotationRateAngular)/1440)+TimeLocal,""),"")</f>
        <v/>
      </c>
      <c r="T224" s="56" t="str">
        <f>IF(AD224,IFERROR(IF(AM224&gt;-(AL224-AK224),IF(AM224&gt;0,S224+((AL224-AK224)/RotationRateAngular*3/4300),S224+((AL224-AK224)/RotationRateAngular*3/4300)-LengthOfDay),S224+((AL224-AK224)/RotationRateAngular*3/4300)),""),"")</f>
        <v/>
      </c>
      <c r="U224" s="180" t="str">
        <f>IF(AD224,IFERROR(IF(AM224&gt;-(AL224-AK224+12),IF(AM224&lt;0,S224+((AL224-AK224+12)/RotationRateAngular*3/4300)-LengthOfDay,S224+((AL224-AK224+12)/RotationRateAngular*3/4300)),S224+((AL224-AK224+12)/RotationRateAngular*3/4300)),""),"")</f>
        <v/>
      </c>
      <c r="V224" s="55" t="str">
        <f>IF(AND(OffWorldSelected,AD224),IF(AND(AR224&lt;(AQ224-AJ224),AR224&gt;-(AQ224-AK224)),IF(Rotation,CONCATENATE("Sets in ",ROUND((Y224-TimeLocal)*1440,0),"m"),"Clear"),CONCATENATE("Obstructed",IF(Rotation,CONCATENATE(" / Rises in ",ROUND((X224-TimeLocal)*1440,0),"m"),""))),"")</f>
        <v/>
      </c>
      <c r="W224" s="55" t="str">
        <f>IF(AND(OffWorldSelected,AD224),CONCATENATE(IF(ABS(AT224)&lt;10,"0",""),IF(ABS(AT224)&lt;100,"0",""),AT224,"° / ",IF(BE224&gt;0,"+","-"),IF(ABS(BE224)&lt;10,"0",""),ABS(BE224),"°"),"")</f>
        <v/>
      </c>
      <c r="X224" s="56" t="str">
        <f>IF(AND(OffWorldSelected,AD224),IFERROR(AV224,""),"")</f>
        <v/>
      </c>
      <c r="Y224" s="180" t="str">
        <f>IF(AND(OffWorldSelected,AD224),IFERROR(AW224,""),"")</f>
        <v/>
      </c>
      <c r="Z224" s="55" t="str">
        <f>IF(AND(NavTargetSelected,AD224),CONCATENATE(IF(ABS(AX224)&lt;10,"0",""),IF(ABS(AX224)&lt;100,"0",""),AX224,"° / ",IF(AY224&gt;0,"+","-"),IF(ABS(AY224)&lt;10,"0",""),ABS(AY224),"°"),"")</f>
        <v/>
      </c>
      <c r="AA224" s="55" t="str">
        <f>IF(AND(NavTargetSelected,AD224),AZ224,"")</f>
        <v/>
      </c>
      <c r="AB224" s="150" t="str">
        <f>IF(AND(NavTargetSelected,AD224),BA224,"")</f>
        <v/>
      </c>
      <c r="AC224" s="188"/>
      <c r="AD224" s="1" t="b">
        <f>IF(OR(K224="",L224="",M224=""),FALSE,TRUE)</f>
        <v>0</v>
      </c>
      <c r="AE224" s="1" t="str">
        <f>IF(AD224,DEGREES(ATAN2(SQRT(K224^2+L224^2),M224)),"")</f>
        <v/>
      </c>
      <c r="AF224" s="1" t="str">
        <f>IF(AD224,IF(ABS(AE224)=90,0,IF(DEGREES(MOD((ATAN2(K224,L224)-(PI()/2)),2*PI()))&gt;180,-(360-DEGREES(MOD((ATAN2(K224,L224)-(PI()/2)),2*PI()))),DEGREES(MOD((ATAN2(K224,L224)-(PI()/2)),2*PI())))),"")</f>
        <v/>
      </c>
      <c r="AG224" s="1" t="str">
        <f>IF(AD224,IF(ABS(AE224)=90,0,DEGREES(MOD((ATAN2(K224,L224))-(PI()/2),2*PI()))),"")</f>
        <v/>
      </c>
      <c r="AH224" s="1" t="str">
        <f>IF(AD224,SQRT(K224^2+L224^2+M224^2)-br,"")</f>
        <v/>
      </c>
      <c r="AI224" s="1" t="str">
        <f>IF(AD224,DEGREES(ACOS(AN$2/(AN$2+IF(AH224&lt;0,0,AH224)))),"")</f>
        <v/>
      </c>
      <c r="AJ224" s="191" t="str">
        <f>IF(ListMethodCode,_xlfn.IFNA(VLOOKUP(CONCATENATE(BodyName," ",IF(AC224&lt;10,"0",""),AC224),DatabaseOutpost,13,FALSE),""),_xlfn.IFNA(VLOOKUP(CONCATENATE(BodyName," ",IF(AC224&lt;10,"0",""),AC224),DatabaseTime,12,FALSE),""))</f>
        <v/>
      </c>
      <c r="AK224" s="191" t="str">
        <f>IF(ListMethodCode,_xlfn.IFNA(VLOOKUP(CONCATENATE(BodyName," ",IF(AC224&lt;10,"0",""),AC224),DatabaseOutpost,14,FALSE),""),_xlfn.IFNA(VLOOKUP(CONCATENATE(BodyName," ",IF(AC224&lt;10,"0",""),AC224),DatabaseTime,13,FALSE),""))</f>
        <v/>
      </c>
      <c r="AL224" s="191" t="str">
        <f>IF(AD224,DEGREES(ACOS(-TAN(RADIANS(AE224))*TAN(RADIANS(sDeclination))))+sar+AI224,"")</f>
        <v/>
      </c>
      <c r="AM224" s="1" t="str">
        <f>IF(AD224,IF(MOD(Q213-MOD(AG224-sMeridian,360),360)&gt;180,MOD(Q213-MOD(AG224-sMeridian,360),360)-360,MOD(Q213-MOD(AG224-sMeridian,360),360)),"")</f>
        <v/>
      </c>
      <c r="AN224" s="191" t="str">
        <f>IF(AD224,IFERROR(DEGREES(ACOS((SQRT(K224^2+L224^2+M224^2)^2+(SQRT(SQRT(K224^2+L224^2+M224^2)^2+SQRT(bsx^2+bsy^2+bsz^2)^2-(2*SQRT(K224^2+L224^2+M224^2)*SQRT(bsx^2+bsy^2+bsz^2)*COS(RADIANS(ABS(sDeclination-AE224))))))^2-SQRT(bsx^2+bsy^2+bsz^2)^2)/(2*SQRT(K224^2+L224^2+M224^2)*(SQRT(SQRT(K224^2+L224^2+M224^2)^2+SQRT(bsx^2+bsy^2+bsz^2)^2-(2*SQRT(K224^2+L224^2+M224^2)*SQRT(bsx^2+bsy^2+bsz^2)*COS(RADIANS(ABS(sDeclination-AE224)))))))))-90,90),"")</f>
        <v/>
      </c>
      <c r="AO224" s="134" t="str">
        <f>IF(AD224,MOD((ROUND(DEGREES(ATAN2((COS(RADIANS(AE224))*SIN(RADIANS(sDeclination))-SIN(RADIANS(AE224))*COS(RADIANS(sDeclination))*COS(RADIANS(sLongitude-AF224))),(SIN(RADIANS(sLongitude-AF224))*COS(RADIANS(sDeclination))))),0))+360,360),"")</f>
        <v/>
      </c>
      <c r="AP224" s="64" t="str">
        <f>IF(AD224,ROUND(AN224*COS(RADIANS(ABS(AM224))),0),"")</f>
        <v/>
      </c>
      <c r="AQ224" s="1" t="str">
        <f>IF(AND(OffWorldSelected,AD224),DEGREES(ACOS(-TAN(RADIANS(AE224))*TAN(RADIANS(oDeclination))))+oar+AI224,"")</f>
        <v/>
      </c>
      <c r="AR224" s="1" t="str">
        <f>IF(AND(OffWorldSelected,AD224),IF(MOD(CycleHourAngle-MOD(AG224-oMeridian,360),360)&gt;180,MOD(CycleHourAngle-MOD(AG224-oMeridian,360),360)-360,MOD(CycleHourAngle-MOD(AG224-oMeridian,360),360)),"")</f>
        <v/>
      </c>
      <c r="AS224" s="1" t="str">
        <f>IF(AND(OffWorldSelected,AD224),IFERROR(DEGREES(ACOS((SQRT(K224^2+L224^2+M224^2)^2+(SQRT(SQRT(K224^2+L224^2+M224^2)^2+SQRT(box^2+boy^2+boz^2)^2-(2*SQRT(K224^2+L224^2+M224^2)*SQRT(box^2+boy^2+boz^2)*COS(RADIANS(ABS(oDeclination-AE224))))))^2-SQRT(box^2+boy^2+boz^2)^2)/(2*SQRT(K224^2+L224^2+M224^2)*(SQRT(SQRT(K224^2+L224^2+M224^2)^2+SQRT(box^2+boy^2+boz^2)^2-(2*SQRT(K224^2+L224^2+M224^2)*SQRT(box^2+boy^2+boz^2)*COS(RADIANS(ABS(oDeclination-AE224)))))))))-90,90),"")</f>
        <v/>
      </c>
      <c r="AT224" s="134" t="str">
        <f>IF(AND(OffWorldSelected,AD224),MOD((ROUND(DEGREES(ATAN2((COS(RADIANS(AE224))*SIN(RADIANS(oDeclination))-SIN(RADIANS(AE224))*COS(RADIANS(oDeclination))*COS(RADIANS(oLongitude-AF224))),(SIN(RADIANS(oLongitude-AF224))*COS(RADIANS(oDeclination))))),0))+360,360),"")</f>
        <v/>
      </c>
      <c r="AU224" s="64" t="str">
        <f>IF(AND(OffWorldSelected,AD224),ROUND(AS224*COS(RADIANS(ABS(AR224))),0),"")</f>
        <v/>
      </c>
      <c r="AV224" s="65" t="str">
        <f>IF(AND(OffWorldSelected,AD224),IF(AR224&gt;AQ224-AJ224,(AR224-AQ224-AJ224)/RotationRateAngular/1440,(AR224-AQ224-AJ224+360)/RotationRateAngular/1440)+TimeLocal,"")</f>
        <v/>
      </c>
      <c r="AW224" s="65" t="str">
        <f>IF(AND(OffWorldSelected,AD224),IF(AR224&gt;-(AQ224-AK224),(AR224+AQ224+AK224)/RotationRateAngular/1440,(AR224+AQ224+AK224+360)/RotationRateAngular/1440)+TimeLocal,"")</f>
        <v/>
      </c>
      <c r="AX224" s="1" t="str">
        <f>IF(AND(NavTargetSelected,AD224),MOD((ROUND(DEGREES(ATAN2((COS(RADIANS(AE224))*SIN(RADIANS(tLatitude))-SIN(RADIANS(AE224))*COS(RADIANS(tLatitude))*COS(RADIANS(tLongitude-AF224))),(SIN(RADIANS(tLongitude-AF224))*COS(RADIANS(tLatitude))))),0))+360,360),"")</f>
        <v/>
      </c>
      <c r="AY224" s="1" t="str">
        <f>IF(AND(NavTargetSelected,AD224),ROUND(DEGREES(ACOS(((SQRT(K224^2+L224^2+M224^2))^2+AZ224^2-(SQRT(btx^2+bty^2+btz^2))^2)/(2*SQRT(K224^2+L224^2+M224^2)*AZ224)))-90,0),"")</f>
        <v/>
      </c>
      <c r="AZ224" s="131" t="str">
        <f>IF(AND(NavTargetSelected,AD224),ROUND(SQRT((K224-btx)^2+(L224-bty)^2+(M224-btz)^2),1),"")</f>
        <v/>
      </c>
      <c r="BA224" s="1" t="str">
        <f>IF(AND(NavTargetSelected,AD224),ROUND((ACOS(SIN(RADIANS(AE224))*SIN(RADIANS(tLatitude))+COS(RADIANS(AE224))*COS(RADIANS(tLatitude))*COS(RADIANS(tLongitude-AF224)))*br),1),"")</f>
        <v/>
      </c>
      <c r="BB224" s="1" t="str">
        <f>IF(AD224,SQRT((K224-$AX$3)^2+(L224-$AY$3)^2+(M224-$AZ$3)^2),"")</f>
        <v/>
      </c>
      <c r="BC224" s="1" t="str">
        <f>IF(AND(OffWorldSelected,AD224),ROUND(DEGREES(ACOS(((SQRT(K224^2+L224^2+M224^2))^2+BB224^2-(SQRT($AX$3^2+$AY$3^2+$AZ$3^2))^2)/(2*SQRT(K224^2+L224^2+M224^2)*BB224)))-90,0),"")</f>
        <v/>
      </c>
      <c r="BD224" s="1" t="str">
        <f>IF(AND(OffWorldSelected,AD224),SQRT((K224-$AX$4)^2+(L224-$AY$4)^2+(M224-$AZ$4)^2),"")</f>
        <v/>
      </c>
      <c r="BE224" s="1" t="str">
        <f>IF(AND(OffWorldSelected,AD224),ROUND(DEGREES(ACOS(((SQRT(K224^2+L224^2+M224^2))^2+BD224^2-(SQRT($AX$4^2+$AY$4^2+$AZ$4^2))^2)/(2*SQRT(K224^2+L224^2+M224^2)*BD224)))-90,0),"")</f>
        <v/>
      </c>
      <c r="BF224" s="1" t="str">
        <f>IF(AD224,IF(AF224-$AE$6&lt;-180,360+AF224-$AE$6,AF224-$AE$6),"")</f>
        <v/>
      </c>
      <c r="BG224" s="1" t="str">
        <f>IF(AD224,-(AH224+br)*COS(RADIANS(AE224))*SIN(RADIANS(BF224)),"")</f>
        <v/>
      </c>
      <c r="BH224" s="1" t="str">
        <f>IF(AD224,(AH224+br)*COS(RADIANS(AE224))*COS(RADIANS(BF224)),"")</f>
        <v/>
      </c>
      <c r="BI224" s="1" t="str">
        <f>IF(AD224,(AH224+br)*SIN(RADIANS(AE224)),"")</f>
        <v/>
      </c>
      <c r="BJ224" s="3" t="str">
        <f>IF(AD224,((1-(2*qy^2)-(2*qz^2))*(BG224))+(((2*qx*qy)-(2*qz*qw))*(BH224))+(((2*qx*qz)+(2*qy*qw))*(BI224)),"")</f>
        <v/>
      </c>
      <c r="BK224" s="3" t="str">
        <f>IF(AD224,(((2*qx*qy)+(2*qz*qw))*(BG224))+((1-(2*qx^2)-(2*qz^2))*(BH224))+(((2*qy*qz)-(2*qx*qw))*(BI224)),"")</f>
        <v/>
      </c>
      <c r="BL224" s="3" t="str">
        <f>IF(AD224,(((2*qx*qz)-(2*qy*qw))*(BG224))+(((2*qy*qz)+(2*qx*qw))*(BH224))+((1-(2*qx^2)-(2*qy^2))*(BI224)),"")</f>
        <v/>
      </c>
      <c r="BM224" s="62" t="str">
        <f>IF(AD224,BJ224+bx,"")</f>
        <v/>
      </c>
      <c r="BN224" s="62" t="str">
        <f>IF(AD224,BK224+by,"")</f>
        <v/>
      </c>
      <c r="BO224" s="62" t="str">
        <f>IF(AD224,BL224+bz,"")</f>
        <v/>
      </c>
    </row>
    <row r="225" customHeight="1" spans="5:29">
      <c r="E225" s="55"/>
      <c r="F225" s="55"/>
      <c r="G225" s="55"/>
      <c r="H225" s="55"/>
      <c r="I225" s="55"/>
      <c r="J225" s="55"/>
      <c r="K225" s="172" t="str">
        <f t="shared" ref="K225:M225" si="300">BM224</f>
        <v/>
      </c>
      <c r="L225" s="172" t="str">
        <f t="shared" si="300"/>
        <v/>
      </c>
      <c r="M225" s="172" t="str">
        <f t="shared" si="300"/>
        <v/>
      </c>
      <c r="P225" s="1" t="s">
        <v>164</v>
      </c>
      <c r="R225" s="220" t="e">
        <f>R226-LengthOfDay</f>
        <v>#VALUE!</v>
      </c>
      <c r="AC225" s="188"/>
    </row>
    <row r="226" customHeight="1" spans="3:29">
      <c r="C226" s="1" t="str">
        <f>IF(OR(E214,E215,E216,E217),"Measured OM radius","")</f>
        <v/>
      </c>
      <c r="D226" s="1" t="str">
        <f>IF(OR(E214,E215,E216,E217),ROUND(SQRT((K228-VLOOKUP(CONCATENATE(BodyName," R00"),Database,6,FALSE))^2+(L228-VLOOKUP(CONCATENATE(BodyName," R00"),Database,7,FALSE))^2+(M228-VLOOKUP(CONCATENATE(BodyName," R00"),Database,8,FALSE))^2)*1000,0)/1000,"")</f>
        <v/>
      </c>
      <c r="E226" s="55"/>
      <c r="F226" s="55"/>
      <c r="G226" s="55"/>
      <c r="H226" s="55"/>
      <c r="I226" s="55"/>
      <c r="J226" s="55"/>
      <c r="P226" s="1" t="s">
        <v>165</v>
      </c>
      <c r="R226" s="220" t="str">
        <f>S224</f>
        <v/>
      </c>
      <c r="AC226" s="188"/>
    </row>
    <row r="227" customHeight="1" spans="5:29">
      <c r="E227" s="55"/>
      <c r="F227" s="55"/>
      <c r="G227" s="55"/>
      <c r="H227" s="205" t="e">
        <f>SQRT((K225-K228)^2+(L225-L228)^2+(M225-M228)^2)</f>
        <v>#VALUE!</v>
      </c>
      <c r="I227" s="55"/>
      <c r="J227" s="55"/>
      <c r="K227" s="172"/>
      <c r="L227" s="172"/>
      <c r="M227" s="172"/>
      <c r="P227" s="1" t="s">
        <v>166</v>
      </c>
      <c r="R227" s="220" t="e">
        <f>R226+LengthOfDay</f>
        <v>#VALUE!</v>
      </c>
      <c r="AC227" s="188"/>
    </row>
    <row r="228" customHeight="1" spans="5:29">
      <c r="E228" s="55"/>
      <c r="F228" s="55"/>
      <c r="G228" s="55"/>
      <c r="H228" s="55"/>
      <c r="I228" s="55"/>
      <c r="J228" s="55"/>
      <c r="K228" s="172">
        <f>MID(G219,FIND("x:",G219)+2,FIND("y:",G219)-FIND("x:",G219)-3)/1000</f>
        <v>-19022442.227026</v>
      </c>
      <c r="L228" s="172">
        <f>MID(G219,FIND("y:",G219)+2,FIND("z:",G219)-FIND("y:",G219)-3)/1000</f>
        <v>-2613934.94047759</v>
      </c>
      <c r="M228" s="172">
        <f>MID(G219,FIND("z:",G219)+2,LEN(G219)-FIND("z:",G219)-1)/1000</f>
        <v>0.234150088</v>
      </c>
      <c r="AC228" s="188"/>
    </row>
    <row r="229" customHeight="1" spans="1:67">
      <c r="A229" s="55" t="s">
        <v>167</v>
      </c>
      <c r="C229" s="55" t="str">
        <f>IF(AD229,CONCATENATE(IF(AE229&lt;0,CONCATENATE("S ",IF(ABS(AE229)&lt;10,"0",""),INT(ABS(AE229)),"° ",IF(INT(60*(ABS(AE229)-INT(ABS(AE229))))&lt;10,"0",""),ROUND(60*(ABS(AE229)-INT(ABS(AE229))),1),IF(LEN(ROUND(60*(ABS(AE229)-INT(ABS(AE229))),1))&lt;3,".0",""),"' "),CONCATENATE("N ",IF(ABS(AE229)&lt;10,"0",""),INT(ABS(AE229)),"° ",IF(INT(60*(ABS(AE229)-INT(ABS(AE229))))&lt;10,"0",""),ROUND(60*(ABS(AE229)-INT(ABS(AE229))),1),IF(LEN(ROUND(60*(ABS(AE229)-INT(ABS(AE229))),1))&lt;3,".0",""),"' ")),"/ ",IF(AF229&lt;0,CONCATENATE("W ",IF(ABS(AF229)&lt;10,"00",IF(ABS(AF229)&lt;100,"0","")),INT(ABS(AF229)),"° ",IF(INT(60*(ABS(AF229)-INT(ABS(AF229))))&lt;10,"0",""),ROUND(60*(ABS(AF229)-INT(ABS(AF229))),1),IF(LEN(ROUND(60*(ABS(AF229)-INT(ABS(AF229))),1))&lt;3,".0",""),"'"),CONCATENATE("E ",IF(ABS(AF229)&lt;10,"00",IF(ABS(AF229)&lt;100,"0","")),INT(ABS(AF229)),"° ",IF(INT(60*(ABS(AF229)-INT(ABS(AF229))))&lt;10,"0",""),ROUND(60*(ABS(AF229)-INT(ABS(AF229))),1),IF(LEN(ROUND(60*(ABS(AF229)-INT(ABS(AF229))),1))&lt;3,".0",""),"'"))),"")</f>
        <v>N 00° 00.0' / E 133° 48.8'</v>
      </c>
      <c r="D229" s="150" t="str">
        <f>IF(AD229,IF(AH229&lt;10,CONCATENATE(ROUND(AH229*1000,0)," m"),CONCATENATE(ROUND(AH229,1)," km")),"")</f>
        <v>57487960.2 km</v>
      </c>
      <c r="E229" s="151">
        <f>IF(AD229,ROUND(SQRT(K229^2+L229^2+(M229-OMRadius)^2),1),"")</f>
        <v>57488960.2</v>
      </c>
      <c r="F229" s="151">
        <f>IF(AD229,ROUND(SQRT(K229^2+L229^2+(M229+OMRadius)^2),1),"")</f>
        <v>57488960.2</v>
      </c>
      <c r="G229" s="151">
        <f>IF(AD229,ROUND(SQRT(K229^2+(L229-OMRadius)^2+M229^2),1),"")</f>
        <v>57489956.8</v>
      </c>
      <c r="H229" s="151">
        <f>IF(AD229,ROUND(SQRT(K229^2+(L229+OMRadius)^2+M229^2),1),"")</f>
        <v>57487963.5</v>
      </c>
      <c r="I229" s="151">
        <f>IF(AD229,ROUND(SQRT((K229-OMRadius)^2+L229^2+M229^2),1),"")</f>
        <v>57489999</v>
      </c>
      <c r="J229" s="171">
        <f>IF(AD229,ROUND(SQRT((K229+OMRadius)^2+L229^2+M229^2),1),"")</f>
        <v>57487921.4</v>
      </c>
      <c r="K229" s="172">
        <f>K228-bx</f>
        <v>-41484527.4795106</v>
      </c>
      <c r="L229" s="172">
        <f>L228-by</f>
        <v>-39799679.9053077</v>
      </c>
      <c r="M229" s="173">
        <f>M228-bz</f>
        <v>0.234150088</v>
      </c>
      <c r="N229" s="54" t="str">
        <f>IF(AD229,IF(NOT(Rotation),IF(ABS(AE229)&gt;ABS(90-ABS(sDeclination)),IF(AN229&lt;0,"None","Continuous"),IF(ABS(AM229)&gt;ABS(AL229+18),"None","Continuous")),IFERROR(((2*AL229-AJ229-AK229)/RotationRateAngular)*3/4300,IF(AN229&gt;0,"Continuous","None"))),"")</f>
        <v>None</v>
      </c>
      <c r="O229" s="55" t="e">
        <f>IF(AD229,IF(ABS(AE229)&gt;ABS(90-ABS(sDeclination)),IF(AN229&lt;0,"Night","Daylight"),IF(AM229=0,"Noon",IF(AM229=-(AL229-AK229),"Sunset",IF(AM229=(AL229-AJ229),"Sunrise",IF(AM229=180,"Midnight",IF(AND(AM229&gt;-(AL229-AK229),AM229&lt;0),CONCATENATE("Afternoon",IF(Rotation,CONCATENATE(" / Sets in ",ROUND((T229-TimeLocal)*1440,0),"m"),"")),IF(AND(AM229&gt;0,AM229&lt;(AL229-AJ229)),CONCATENATE("Morning",IF(Rotation,CONCATENATE(" / Sets in ",ROUND((T229-TimeLocal)*1440,0),"m"),"")),IF(AND(AM229&gt;(AL229-AJ229),AM229&lt;(AL229+18)),CONCATENATE("Morning Twilight",IF(Rotation,CONCATENATE(" / Rises in ",ROUND((R229-TimeLocal)*1440,0),"m"),"")),IF(AND(AM229&gt;-(AL229+18),AM229&lt;-(AL229-AK229)),CONCATENATE("Evening Twilight",IF(Rotation,CONCATENATE(" / Rises in ",ROUND((R229-TimeLocal)*1440,0),"m"),"")),IF(AND(AM229&gt;-180,AM229&lt;-(AL229+18)),CONCATENATE("Night",IF(Rotation,CONCATENATE(" / Rises in ",ROUND((R229-TimeLocal)*1440,0),"m"),"")),CONCATENATE("After midnight",IF(Rotation,CONCATENATE(" / Rises in ",ROUND((R229-TimeLocal)*1440,0),"m"),"")))))))))))),"")</f>
        <v>#VALUE!</v>
      </c>
      <c r="P229" s="55" t="str">
        <f>IF(AD229,CONCATENATE(IF(ABS(AO229)&lt;10,"0",""),IF(ABS(AO229)&lt;100,"0",""),AO229,"° / ",IF(BC229&gt;0,"+","-"),IF(ABS(BC229)&lt;10,"0",""),ABS(BC229),"°"),"")</f>
        <v>084° / -43°</v>
      </c>
      <c r="Q229" s="56" t="str">
        <f>IF(AD229,IFERROR(IF(AM229&gt;(AL229-AJ229+12),S229-((AL229-AJ229+12)/RotationRateAngular*3/4300),IF(AM229&gt;0,S229-((AL229-AJ229+12)/RotationRateAngular*3/4300)+LengthOfDay,S229-((AL229-AJ229+12)/RotationRateAngular*3/4300))),""),"")</f>
        <v/>
      </c>
      <c r="R229" s="56" t="str">
        <f>IF(AD229,IFERROR(IF(AM229&gt;(AL229-AJ229),S229-((AL229-AJ229)/RotationRateAngular*3/4300),IF(AM229&gt;0,S229-((AL229-AJ229)/RotationRateAngular*3/4300)+LengthOfDay,S229-((AL229-AJ229)/RotationRateAngular*3/4300))),""),"")</f>
        <v/>
      </c>
      <c r="S229" s="56">
        <f>IF(AD229,IFERROR((IF(AM229&gt;0,AM229/RotationRateAngular,(360+AM229)/RotationRateAngular)/1440)+TimeLocal,""),"")</f>
        <v>45683.7297604943</v>
      </c>
      <c r="T229" s="56" t="str">
        <f>IF(AD229,IFERROR(IF(AM229&gt;-(AL229-AK229),IF(AM229&gt;0,S229+((AL229-AK229)/RotationRateAngular*3/4300),S229+((AL229-AK229)/RotationRateAngular*3/4300)-LengthOfDay),S229+((AL229-AK229)/RotationRateAngular*3/4300)),""),"")</f>
        <v/>
      </c>
      <c r="U229" s="180" t="str">
        <f>IF(AD229,IFERROR(IF(AM229&gt;-(AL229-AK229+12),IF(AM229&lt;0,S229+((AL229-AK229+12)/RotationRateAngular*3/4300)-LengthOfDay,S229+((AL229-AK229+12)/RotationRateAngular*3/4300)),S229+((AL229-AK229+12)/RotationRateAngular*3/4300)),""),"")</f>
        <v/>
      </c>
      <c r="V229" s="55" t="e">
        <f>IF(AND(OffWorldSelected,AD229),IF(AND(AR229&lt;(AQ229-AJ229),AR229&gt;-(AQ229-AK229)),IF(Rotation,CONCATENATE("Sets in ",ROUND((Y229-TimeLocal)*1440,0),"m"),"Clear"),CONCATENATE("Obstructed",IF(Rotation,CONCATENATE(" / Rises in ",ROUND((X229-TimeLocal)*1440,0),"m"),""))),"")</f>
        <v>#VALUE!</v>
      </c>
      <c r="W229" s="55" t="str">
        <f>IF(AND(OffWorldSelected,AD229),CONCATENATE(IF(ABS(AT229)&lt;10,"0",""),IF(ABS(AT229)&lt;100,"0",""),AT229,"° / ",IF(BE229&gt;0,"+","-"),IF(ABS(BE229)&lt;10,"0",""),ABS(BE229),"°"),"")</f>
        <v>090° / -33°</v>
      </c>
      <c r="X229" s="56" t="str">
        <f>IF(AND(OffWorldSelected,AD229),IFERROR(AV229,""),"")</f>
        <v/>
      </c>
      <c r="Y229" s="180" t="str">
        <f>IF(AND(OffWorldSelected,AD229),IFERROR(AW229,""),"")</f>
        <v/>
      </c>
      <c r="Z229" s="55" t="str">
        <f>IF(AND(NavTargetSelected,AD229),CONCATENATE(IF(ABS(AX229)&lt;10,"0",""),IF(ABS(AX229)&lt;100,"0",""),AX229,"° / ",IF(AY229&gt;0,"+","-"),IF(ABS(AY229)&lt;10,"0",""),ABS(AY229),"°"),"")</f>
        <v>284° / -90°</v>
      </c>
      <c r="AA229" s="151">
        <f>IF(AND(NavTargetSelected,AD229),AZ229,"")</f>
        <v>57489548.2</v>
      </c>
      <c r="AB229" s="150">
        <f>IF(AND(NavTargetSelected,AD229),BA229,"")</f>
        <v>650.8</v>
      </c>
      <c r="AC229" s="188"/>
      <c r="AD229" s="1" t="b">
        <f>IF(OR(K229="",L229="",M229=""),FALSE,TRUE)</f>
        <v>1</v>
      </c>
      <c r="AE229" s="1">
        <f>IF(AD229,DEGREES(ATAN2(SQRT(K229^2+L229^2),M229)),"")</f>
        <v>2.33363271429749e-7</v>
      </c>
      <c r="AF229" s="1">
        <f>IF(AD229,IF(ABS(AE229)=90,0,IF(DEGREES(MOD((ATAN2(K229,L229)-(PI()/2)),2*PI()))&gt;180,-(360-DEGREES(MOD((ATAN2(K229,L229)-(PI()/2)),2*PI()))),DEGREES(MOD((ATAN2(K229,L229)-(PI()/2)),2*PI())))),"")</f>
        <v>133.812551212465</v>
      </c>
      <c r="AG229" s="1">
        <f>IF(AD229,IF(ABS(AE229)=90,0,DEGREES(MOD((ATAN2(K229,L229))-(PI()/2),2*PI()))),"")</f>
        <v>133.812551212465</v>
      </c>
      <c r="AH229" s="2">
        <f>IF(AD229,SQRT(K229^2+L229^2+M229^2)-br,"")</f>
        <v>57487960.1642196</v>
      </c>
      <c r="AI229" s="1">
        <f>IF(AD229,DEGREES(ACOS(AN$2/(AN$2+IF(AH229&lt;0,0,AH229)))),"")</f>
        <v>89.9990033603086</v>
      </c>
      <c r="AJ229" s="191" t="str">
        <f>IF(ListMethodCode,_xlfn.IFNA(VLOOKUP(CONCATENATE(BodyName," ",IF(AC229&lt;10,"0",""),AC229),DatabaseOutpost,13,FALSE),""),_xlfn.IFNA(VLOOKUP(CONCATENATE(BodyName," ",IF(AC229&lt;10,"0",""),AC229),DatabaseTime,12,FALSE),""))</f>
        <v/>
      </c>
      <c r="AK229" s="191" t="str">
        <f>IF(ListMethodCode,_xlfn.IFNA(VLOOKUP(CONCATENATE(BodyName," ",IF(AC229&lt;10,"0",""),AC229),DatabaseOutpost,14,FALSE),""),_xlfn.IFNA(VLOOKUP(CONCATENATE(BodyName," ",IF(AC229&lt;10,"0",""),AC229),DatabaseTime,13,FALSE),""))</f>
        <v/>
      </c>
      <c r="AL229" s="191">
        <f>IF(AD229,DEGREES(ACOS(-TAN(RADIANS(AE229))*TAN(RADIANS(sDeclination))))+sar+AI229,"")</f>
        <v>180.940235765057</v>
      </c>
      <c r="AM229" s="20">
        <f>IF(AD229,IF(MOD(CycleHourAngle-MOD(AG229-sMeridian,360),360)&gt;180,MOD(CycleHourAngle-MOD(AG229-sMeridian,360),360)-360,MOD(CycleHourAngle-MOD(AG229-sMeridian,360),360)),"")</f>
        <v>38.1870570024378</v>
      </c>
      <c r="AN229" s="191">
        <f>IF(AD229,IFERROR(DEGREES(ACOS((SQRT(K229^2+L229^2+M229^2)^2+(SQRT(SQRT(K229^2+L229^2+M229^2)^2+SQRT(bsx^2+bsy^2+bsz^2)^2-(2*SQRT(K229^2+L229^2+M229^2)*SQRT(bsx^2+bsy^2+bsz^2)*COS(RADIANS(ABS(sDeclination-AE229))))))^2-SQRT(bsx^2+bsy^2+bsz^2)^2)/(2*SQRT(K229^2+L229^2+M229^2)*(SQRT(SQRT(K229^2+L229^2+M229^2)^2+SQRT(bsx^2+bsy^2+bsz^2)^2-(2*SQRT(K229^2+L229^2+M229^2)*SQRT(bsx^2+bsy^2+bsz^2)*COS(RADIANS(ABS(sDeclination-AE229)))))))))-90,90),"")</f>
        <v>-79.1276803760024</v>
      </c>
      <c r="AO229" s="134">
        <f>IF(AD229,MOD((ROUND(DEGREES(ATAN2((COS(RADIANS(AE229))*SIN(RADIANS(sDeclination))-SIN(RADIANS(AE229))*COS(RADIANS(sDeclination))*COS(RADIANS(sLongitude-AF229))),(SIN(RADIANS(sLongitude-AF229))*COS(RADIANS(sDeclination))))),0))+360,360),"")</f>
        <v>84</v>
      </c>
      <c r="AP229" s="64">
        <f>IF(AD229,ROUND(AN229*COS(RADIANS(ABS(AM229))),0),"")</f>
        <v>-62</v>
      </c>
      <c r="AQ229" s="1">
        <f>IF(AND(OffWorldSelected,AD229),DEGREES(ACOS(-TAN(RADIANS(AE229))*TAN(RADIANS(oDeclination))))+oar+AI229,"")</f>
        <v>180.006429383622</v>
      </c>
      <c r="AR229" s="20">
        <f>IF(AND(OffWorldSelected,AD229),IF(MOD(CycleHourAngle-MOD(AG229-oMeridian,360),360)&gt;180,MOD(CycleHourAngle-MOD(AG229-oMeridian,360),360)-360,MOD(CycleHourAngle-MOD(AG229-oMeridian,360),360)),"")</f>
        <v>23.9613929136622</v>
      </c>
      <c r="AS229" s="1">
        <f>IF(AND(OffWorldSelected,AD229),IFERROR(DEGREES(ACOS((SQRT(K229^2+L229^2+M229^2)^2+(SQRT(SQRT(K229^2+L229^2+M229^2)^2+SQRT(box^2+boy^2+boz^2)^2-(2*SQRT(K229^2+L229^2+M229^2)*SQRT(box^2+boy^2+boz^2)*COS(RADIANS(ABS(oDeclination-AE229))))))^2-SQRT(box^2+boy^2+boz^2)^2)/(2*SQRT(K229^2+L229^2+M229^2)*(SQRT(SQRT(K229^2+L229^2+M229^2)^2+SQRT(box^2+boy^2+boz^2)^2-(2*SQRT(K229^2+L229^2+M229^2)*SQRT(box^2+boy^2+boz^2)*COS(RADIANS(ABS(oDeclination-AE229)))))))))-90,90),"")</f>
        <v>-89.9974503854362</v>
      </c>
      <c r="AT229" s="134">
        <f>IF(AND(OffWorldSelected,AD229),MOD((ROUND(DEGREES(ATAN2((COS(RADIANS(AE229))*SIN(RADIANS(oDeclination))-SIN(RADIANS(AE229))*COS(RADIANS(oDeclination))*COS(RADIANS(oLongitude-AF229))),(SIN(RADIANS(oLongitude-AF229))*COS(RADIANS(oDeclination))))),0))+360,360),"")</f>
        <v>90</v>
      </c>
      <c r="AU229" s="64">
        <f>IF(AND(OffWorldSelected,AD229),ROUND(AS229*COS(RADIANS(ABS(AR229))),0),"")</f>
        <v>-82</v>
      </c>
      <c r="AV229" s="65" t="e">
        <f>IF(AND(OffWorldSelected,AD229),IF(AR229&gt;AQ229-AJ229,(AR229-AQ229-AJ229)/RotationRateAngular/1440,(AR229-AQ229-AJ229+360)/RotationRateAngular/1440)+TimeLocal,"")</f>
        <v>#VALUE!</v>
      </c>
      <c r="AW229" s="65" t="e">
        <f>IF(AND(OffWorldSelected,AD229),IF(AR229&gt;-(AQ229-AK229),(AR229+AQ229+AK229)/RotationRateAngular/1440,(AR229+AQ229+AK229+360)/RotationRateAngular/1440)+TimeLocal,"")</f>
        <v>#VALUE!</v>
      </c>
      <c r="AX229" s="1">
        <f>IF(AND(NavTargetSelected,AD229),MOD((ROUND(DEGREES(ATAN2((COS(RADIANS(AE229))*SIN(RADIANS(tLatitude))-SIN(RADIANS(AE229))*COS(RADIANS(tLatitude))*COS(RADIANS(tLongitude-AF229))),(SIN(RADIANS(tLongitude-AF229))*COS(RADIANS(tLatitude))))),0))+360,360),"")</f>
        <v>284</v>
      </c>
      <c r="AY229" s="1">
        <f>IF(AND(NavTargetSelected,AD229),ROUND(DEGREES(ACOS(((SQRT(K229^2+L229^2+M229^2))^2+AZ229^2-(SQRT(btx^2+bty^2+btz^2))^2)/(2*SQRT(K229^2+L229^2+M229^2)*AZ229)))-90,0),"")</f>
        <v>-90</v>
      </c>
      <c r="AZ229" s="131">
        <f>IF(AND(NavTargetSelected,AD229),ROUND(SQRT((K229-btx)^2+(L229-bty)^2+(M229-btz)^2),1),"")</f>
        <v>57489548.2</v>
      </c>
      <c r="BA229" s="1">
        <f>IF(AND(NavTargetSelected,AD229),ROUND((ACOS(SIN(RADIANS(AE229))*SIN(RADIANS(tLatitude))+COS(RADIANS(AE229))*COS(RADIANS(tLatitude))*COS(RADIANS(tLongitude-AF229)))*br),1),"")</f>
        <v>650.8</v>
      </c>
      <c r="BB229" s="1">
        <f>IF(AD229,SQRT((K229-$AX$3)^2+(L229-$AY$3)^2+(M229-$AZ$3)^2),"")</f>
        <v>45777582.7278189</v>
      </c>
      <c r="BC229" s="1">
        <f>IF(AND(OffWorldSelected,AD229),ROUND(DEGREES(ACOS(((SQRT(K229^2+L229^2+M229^2))^2+BB229^2-(SQRT($AX$3^2+$AY$3^2+$AZ$3^2))^2)/(2*SQRT(K229^2+L229^2+M229^2)*BB229)))-90,0),"")</f>
        <v>-43</v>
      </c>
      <c r="BD229" s="1">
        <f>IF(AND(OffWorldSelected,AD229),SQRT((K229-$AX$4)^2+(L229-$AY$4)^2+(M229-$AZ$4)^2),"")</f>
        <v>62649528.7344234</v>
      </c>
      <c r="BE229" s="1">
        <f>IF(AND(OffWorldSelected,AD229),ROUND(DEGREES(ACOS(((SQRT(K229^2+L229^2+M229^2))^2+BD229^2-(SQRT($AX$4^2+$AY$4^2+$AZ$4^2))^2)/(2*SQRT(K229^2+L229^2+M229^2)*BD229)))-90,0),"")</f>
        <v>-33</v>
      </c>
      <c r="BF229" s="20">
        <f>IF(AD229,IF(AF229-$AE$6&lt;-180,360+AF229-$AE$6,AF229-$AE$6),"")</f>
        <v>113.721423777572</v>
      </c>
      <c r="BG229" s="1">
        <f>IF(AD229,-(AH229+br)*COS(RADIANS(AE229))*SIN(RADIANS(BF229)),"")</f>
        <v>-52631846.3989095</v>
      </c>
      <c r="BH229" s="1">
        <f>IF(AD229,(AH229+br)*COS(RADIANS(AE229))*COS(RADIANS(BF229)),"")</f>
        <v>-23127241.1974455</v>
      </c>
      <c r="BI229" s="1">
        <f>IF(AD229,(AH229+br)*SIN(RADIANS(AE229)),"")</f>
        <v>0.234150088</v>
      </c>
      <c r="BJ229" s="1">
        <f>IF(AD229,((1-(2*qy^2)-(2*qz^2))*(BG229))+(((2*qx*qy)-(2*qz*qw))*(BH229))+(((2*qx*qz)+(2*qy*qw))*(BI229)),"")</f>
        <v>-52631846.3989095</v>
      </c>
      <c r="BK229" s="1">
        <f>IF(AD229,(((2*qx*qy)+(2*qz*qw))*(BG229))+((1-(2*qx^2)-(2*qz^2))*(BH229))+(((2*qy*qz)-(2*qx*qw))*(BI229)),"")</f>
        <v>-23127241.1974455</v>
      </c>
      <c r="BL229" s="1">
        <f>IF(AD229,(((2*qx*qz)-(2*qy*qw))*(BG229))+(((2*qy*qz)+(2*qx*qw))*(BH229))+((1-(2*qx^2)-(2*qy^2))*(BI229)),"")</f>
        <v>0.234150088</v>
      </c>
      <c r="BM229" s="61">
        <f>IF(AD229,BJ229+bx,"")</f>
        <v>-30169761.1464249</v>
      </c>
      <c r="BN229" s="61">
        <f>IF(AD229,BK229+by,"")</f>
        <v>14058503.7673846</v>
      </c>
      <c r="BO229" s="61">
        <f>IF(AD229,BL229+bz,"")</f>
        <v>0.234150088</v>
      </c>
    </row>
    <row r="230" customHeight="1" spans="5:32">
      <c r="E230" s="55"/>
      <c r="F230" s="55"/>
      <c r="G230" s="55"/>
      <c r="H230" s="55"/>
      <c r="I230" s="55"/>
      <c r="J230" s="55"/>
      <c r="K230" s="172">
        <f t="shared" ref="K230:M230" si="301">BM229</f>
        <v>-30169761.1464249</v>
      </c>
      <c r="L230" s="172">
        <f t="shared" si="301"/>
        <v>14058503.7673846</v>
      </c>
      <c r="M230" s="172">
        <f t="shared" si="301"/>
        <v>0.234150088</v>
      </c>
      <c r="P230" s="1" t="s">
        <v>168</v>
      </c>
      <c r="R230" s="214">
        <f>TimeLocal-(AF231/1440)</f>
        <v>45683.7183717926</v>
      </c>
      <c r="AC230" s="188"/>
      <c r="AF230" s="1">
        <f>AF229-sMeridian</f>
        <v>-14.3039537373003</v>
      </c>
    </row>
    <row r="231" customHeight="1" spans="2:32">
      <c r="B231" s="1" t="s">
        <v>169</v>
      </c>
      <c r="E231" s="55"/>
      <c r="F231" s="55"/>
      <c r="G231" s="55"/>
      <c r="H231" s="55"/>
      <c r="I231" s="55"/>
      <c r="J231" s="55"/>
      <c r="K231" s="172"/>
      <c r="L231" s="172"/>
      <c r="M231" s="172"/>
      <c r="V231" s="221" t="s">
        <v>170</v>
      </c>
      <c r="AC231" s="188"/>
      <c r="AF231" s="1">
        <f>AF230/RotationRateAngular</f>
        <v>-9.82204799454698</v>
      </c>
    </row>
    <row r="232" customHeight="1" spans="28:119">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row>
    <row r="233" customHeight="1" spans="1:119">
      <c r="A233" s="5" t="s">
        <v>171</v>
      </c>
      <c r="B233" s="5" t="s">
        <v>172</v>
      </c>
      <c r="C233" s="5" t="s">
        <v>173</v>
      </c>
      <c r="D233" s="5" t="s">
        <v>143</v>
      </c>
      <c r="E233" s="206" t="s">
        <v>174</v>
      </c>
      <c r="F233" s="206"/>
      <c r="G233" s="206"/>
      <c r="H233" s="206"/>
      <c r="I233" s="206" t="s">
        <v>175</v>
      </c>
      <c r="J233" s="206"/>
      <c r="K233" s="206"/>
      <c r="L233" s="206"/>
      <c r="M233" s="5"/>
      <c r="N233" s="5"/>
      <c r="O233" s="5"/>
      <c r="P233" s="5"/>
      <c r="Q233" s="5"/>
      <c r="R233" s="5"/>
      <c r="V233" s="181">
        <f>R220</f>
        <v>217.53541</v>
      </c>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row>
    <row r="234" customHeight="1" spans="1:119">
      <c r="A234" s="207">
        <f ca="1">NOW()</f>
        <v>45684.0449189815</v>
      </c>
      <c r="B234" s="208" t="str">
        <f>CONCATENATE("Adjusted ",BodyName," to ",IF(R220&lt;0,360+R220,R220))</f>
        <v>Adjusted microTech to 217.53541</v>
      </c>
      <c r="C234" s="207">
        <f>R222</f>
        <v>44113.6107464128</v>
      </c>
      <c r="D234" s="207" t="str">
        <f>W213</f>
        <v/>
      </c>
      <c r="E234" s="209" t="str">
        <f>G213</f>
        <v>Yela</v>
      </c>
      <c r="F234" s="209">
        <f>I213</f>
        <v>478.503</v>
      </c>
      <c r="G234" s="209" t="str">
        <f>G214</f>
        <v>Kosso</v>
      </c>
      <c r="H234" s="209">
        <f>I214</f>
        <v>563.211</v>
      </c>
      <c r="I234" s="209" t="str">
        <f>G215</f>
        <v>Benson</v>
      </c>
      <c r="J234" s="209">
        <f>I215</f>
        <v>440.951</v>
      </c>
      <c r="K234" s="209" t="str">
        <f>G216</f>
        <v>Aston</v>
      </c>
      <c r="L234" s="209">
        <f>I216</f>
        <v>383.805</v>
      </c>
      <c r="M234" s="207" t="str">
        <f t="shared" ref="M234:O234" si="302">K224</f>
        <v/>
      </c>
      <c r="N234" s="207" t="str">
        <f t="shared" si="302"/>
        <v/>
      </c>
      <c r="O234" s="207" t="str">
        <f t="shared" si="302"/>
        <v/>
      </c>
      <c r="P234" s="207" t="str">
        <f>G219</f>
        <v>Coordinates: x:-19022442227.026016 y:-2613934940.477596 z:234.150088</v>
      </c>
      <c r="Q234" s="207">
        <f t="shared" ref="Q234:S234" si="303">K229</f>
        <v>-41484527.4795106</v>
      </c>
      <c r="R234" s="207">
        <f t="shared" si="303"/>
        <v>-39799679.9053077</v>
      </c>
      <c r="S234" s="222">
        <f t="shared" si="303"/>
        <v>0.234150088</v>
      </c>
      <c r="T234" s="1"/>
      <c r="U234" s="1"/>
      <c r="W234" s="29"/>
      <c r="X234" s="29"/>
      <c r="Y234" s="29"/>
      <c r="Z234" s="29"/>
      <c r="AA234" s="29"/>
      <c r="AB234" s="29"/>
      <c r="AC234" s="224"/>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29"/>
      <c r="BV234" s="29"/>
      <c r="BW234" s="29"/>
      <c r="BX234" s="29"/>
      <c r="BY234" s="29"/>
      <c r="BZ234" s="29"/>
      <c r="CA234" s="29"/>
      <c r="CB234" s="29"/>
      <c r="CC234" s="29"/>
      <c r="CD234" s="29"/>
      <c r="CE234" s="29"/>
      <c r="CF234" s="29"/>
      <c r="CG234" s="29"/>
      <c r="CH234" s="29"/>
      <c r="CI234" s="29"/>
      <c r="CJ234" s="29"/>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c r="DK234" s="29"/>
      <c r="DL234" s="29"/>
      <c r="DM234" s="29"/>
      <c r="DN234" s="29"/>
      <c r="DO234" s="29"/>
    </row>
    <row r="235" customHeight="1" spans="1:29">
      <c r="A235" s="29"/>
      <c r="B235" s="210"/>
      <c r="C235" s="29"/>
      <c r="D235" s="29"/>
      <c r="E235" s="203"/>
      <c r="F235" s="203"/>
      <c r="G235" s="203"/>
      <c r="H235" s="203"/>
      <c r="I235" s="203"/>
      <c r="J235" s="203"/>
      <c r="K235" s="213"/>
      <c r="L235" s="213"/>
      <c r="M235" s="213"/>
      <c r="N235" s="29"/>
      <c r="O235" s="29"/>
      <c r="P235" s="29"/>
      <c r="Q235" s="29"/>
      <c r="R235" s="29"/>
      <c r="S235" s="29"/>
      <c r="T235" s="29"/>
      <c r="U235" s="29"/>
      <c r="AC235" s="188"/>
    </row>
    <row r="236" customHeight="1" spans="2:29">
      <c r="B236" s="210"/>
      <c r="E236" s="55"/>
      <c r="F236" s="55"/>
      <c r="G236" s="55"/>
      <c r="H236" s="55"/>
      <c r="I236" s="55"/>
      <c r="J236" s="55"/>
      <c r="K236" s="172"/>
      <c r="L236" s="172"/>
      <c r="M236" s="172"/>
      <c r="AC236" s="188"/>
    </row>
    <row r="237" customHeight="1" spans="2:29">
      <c r="B237" s="210"/>
      <c r="E237" s="30"/>
      <c r="F237" s="30"/>
      <c r="G237" s="30"/>
      <c r="H237" s="30"/>
      <c r="I237" s="30"/>
      <c r="J237" s="30"/>
      <c r="K237" s="155"/>
      <c r="L237" s="155"/>
      <c r="M237" s="155"/>
      <c r="AC237" s="188"/>
    </row>
    <row r="238" customHeight="1" spans="2:29">
      <c r="B238" s="210"/>
      <c r="E238" s="30"/>
      <c r="F238" s="30"/>
      <c r="G238" s="30"/>
      <c r="H238" s="30"/>
      <c r="I238" s="30"/>
      <c r="J238" s="30"/>
      <c r="K238" s="155"/>
      <c r="L238" s="155"/>
      <c r="M238" s="155"/>
      <c r="AC238" s="188"/>
    </row>
    <row r="239" customHeight="1" spans="5:29">
      <c r="E239" s="30"/>
      <c r="F239" s="30"/>
      <c r="G239" s="30"/>
      <c r="H239" s="30"/>
      <c r="I239" s="30"/>
      <c r="J239" s="30"/>
      <c r="K239" s="155"/>
      <c r="L239" s="155"/>
      <c r="M239" s="155"/>
      <c r="AC239" s="188"/>
    </row>
    <row r="240" customHeight="1" spans="5:29">
      <c r="E240" s="30"/>
      <c r="F240" s="30"/>
      <c r="G240" s="30"/>
      <c r="H240" s="30"/>
      <c r="I240" s="30"/>
      <c r="J240" s="30"/>
      <c r="K240" s="155"/>
      <c r="L240" s="155"/>
      <c r="M240" s="155"/>
      <c r="AC240" s="188"/>
    </row>
    <row r="241" customHeight="1" spans="5:29">
      <c r="E241" s="30"/>
      <c r="F241" s="30"/>
      <c r="G241" s="30"/>
      <c r="H241" s="30"/>
      <c r="I241" s="30"/>
      <c r="J241" s="30"/>
      <c r="K241" s="155"/>
      <c r="L241" s="155"/>
      <c r="M241" s="155"/>
      <c r="AC241" s="188"/>
    </row>
    <row r="242" customHeight="1" spans="5:29">
      <c r="E242" s="30"/>
      <c r="F242" s="30"/>
      <c r="G242" s="30"/>
      <c r="H242" s="30"/>
      <c r="I242" s="30"/>
      <c r="J242" s="30"/>
      <c r="K242" s="155"/>
      <c r="L242" s="155"/>
      <c r="M242" s="155"/>
      <c r="AC242" s="188"/>
    </row>
    <row r="243" customHeight="1" spans="5:29">
      <c r="E243" s="30"/>
      <c r="F243" s="30"/>
      <c r="G243" s="30"/>
      <c r="H243" s="30"/>
      <c r="I243" s="30"/>
      <c r="J243" s="30"/>
      <c r="K243" s="155"/>
      <c r="L243" s="155"/>
      <c r="M243" s="155"/>
      <c r="AC243" s="188"/>
    </row>
    <row r="244" customHeight="1" spans="5:29">
      <c r="E244" s="30"/>
      <c r="F244" s="30"/>
      <c r="G244" s="30"/>
      <c r="H244" s="30"/>
      <c r="I244" s="30"/>
      <c r="J244" s="30"/>
      <c r="K244" s="155"/>
      <c r="L244" s="155"/>
      <c r="M244" s="155"/>
      <c r="AC244" s="188"/>
    </row>
    <row r="245" customHeight="1" spans="5:29">
      <c r="E245" s="30"/>
      <c r="F245" s="30"/>
      <c r="G245" s="30"/>
      <c r="H245" s="30"/>
      <c r="I245" s="30"/>
      <c r="J245" s="30"/>
      <c r="K245" s="155"/>
      <c r="L245" s="155"/>
      <c r="M245" s="155"/>
      <c r="AC245" s="188"/>
    </row>
    <row r="246" customHeight="1" spans="5:29">
      <c r="E246" s="30"/>
      <c r="F246" s="30"/>
      <c r="G246" s="30"/>
      <c r="H246" s="30"/>
      <c r="I246" s="30"/>
      <c r="J246" s="30"/>
      <c r="K246" s="155"/>
      <c r="L246" s="155"/>
      <c r="M246" s="155"/>
      <c r="AC246" s="188"/>
    </row>
    <row r="247" customHeight="1" spans="5:29">
      <c r="E247" s="30"/>
      <c r="F247" s="30"/>
      <c r="G247" s="30"/>
      <c r="H247" s="30"/>
      <c r="I247" s="30"/>
      <c r="J247" s="30"/>
      <c r="K247" s="155"/>
      <c r="L247" s="155"/>
      <c r="M247" s="155"/>
      <c r="AC247" s="188"/>
    </row>
    <row r="248" customHeight="1" spans="5:29">
      <c r="E248" s="30"/>
      <c r="F248" s="30"/>
      <c r="G248" s="30"/>
      <c r="H248" s="30"/>
      <c r="I248" s="30"/>
      <c r="J248" s="30"/>
      <c r="K248" s="155"/>
      <c r="L248" s="155"/>
      <c r="M248" s="155"/>
      <c r="AC248" s="188"/>
    </row>
    <row r="249" customHeight="1" spans="5:29">
      <c r="E249" s="30"/>
      <c r="F249" s="30"/>
      <c r="G249" s="30"/>
      <c r="H249" s="30"/>
      <c r="I249" s="30"/>
      <c r="J249" s="30"/>
      <c r="K249" s="155"/>
      <c r="L249" s="155"/>
      <c r="M249" s="155"/>
      <c r="AC249" s="188"/>
    </row>
    <row r="250" customHeight="1" spans="5:29">
      <c r="E250" s="30"/>
      <c r="F250" s="30"/>
      <c r="G250" s="30"/>
      <c r="H250" s="30"/>
      <c r="I250" s="30"/>
      <c r="J250" s="30"/>
      <c r="K250" s="155"/>
      <c r="L250" s="155"/>
      <c r="M250" s="155"/>
      <c r="AC250" s="188"/>
    </row>
    <row r="251" customHeight="1" spans="5:29">
      <c r="E251" s="30"/>
      <c r="F251" s="30"/>
      <c r="G251" s="30"/>
      <c r="H251" s="30"/>
      <c r="I251" s="30"/>
      <c r="J251" s="30"/>
      <c r="K251" s="155"/>
      <c r="L251" s="155"/>
      <c r="M251" s="155"/>
      <c r="AC251" s="188"/>
    </row>
    <row r="252" customHeight="1" spans="5:29">
      <c r="E252" s="30"/>
      <c r="F252" s="30"/>
      <c r="G252" s="30"/>
      <c r="H252" s="30"/>
      <c r="I252" s="30"/>
      <c r="J252" s="30"/>
      <c r="K252" s="155"/>
      <c r="L252" s="155"/>
      <c r="M252" s="155"/>
      <c r="AC252" s="188"/>
    </row>
    <row r="253" customHeight="1" spans="5:29">
      <c r="E253" s="30"/>
      <c r="F253" s="30"/>
      <c r="G253" s="30"/>
      <c r="H253" s="30"/>
      <c r="I253" s="30"/>
      <c r="J253" s="30"/>
      <c r="K253" s="155"/>
      <c r="L253" s="155"/>
      <c r="M253" s="155"/>
      <c r="AC253" s="188"/>
    </row>
    <row r="254" customHeight="1" spans="5:29">
      <c r="E254" s="30"/>
      <c r="F254" s="30"/>
      <c r="G254" s="30"/>
      <c r="H254" s="30"/>
      <c r="I254" s="30"/>
      <c r="J254" s="30"/>
      <c r="K254" s="155"/>
      <c r="L254" s="155"/>
      <c r="M254" s="155"/>
      <c r="AC254" s="188"/>
    </row>
    <row r="255" customHeight="1" spans="5:29">
      <c r="E255" s="30"/>
      <c r="F255" s="30"/>
      <c r="G255" s="30"/>
      <c r="H255" s="30"/>
      <c r="I255" s="30"/>
      <c r="J255" s="30"/>
      <c r="K255" s="155"/>
      <c r="L255" s="155"/>
      <c r="M255" s="155"/>
      <c r="AC255" s="188"/>
    </row>
    <row r="256" customHeight="1" spans="5:29">
      <c r="E256" s="30"/>
      <c r="F256" s="30"/>
      <c r="G256" s="30"/>
      <c r="H256" s="30"/>
      <c r="I256" s="30"/>
      <c r="J256" s="30"/>
      <c r="K256" s="155"/>
      <c r="L256" s="155"/>
      <c r="M256" s="155"/>
      <c r="AC256" s="188"/>
    </row>
    <row r="257" customHeight="1" spans="5:29">
      <c r="E257" s="30"/>
      <c r="F257" s="30"/>
      <c r="G257" s="30"/>
      <c r="H257" s="30"/>
      <c r="I257" s="30"/>
      <c r="J257" s="30"/>
      <c r="K257" s="155"/>
      <c r="L257" s="155"/>
      <c r="M257" s="155"/>
      <c r="AC257" s="188"/>
    </row>
    <row r="258" customHeight="1" spans="5:29">
      <c r="E258" s="30"/>
      <c r="F258" s="30"/>
      <c r="G258" s="30"/>
      <c r="H258" s="30"/>
      <c r="I258" s="30"/>
      <c r="J258" s="30"/>
      <c r="K258" s="155"/>
      <c r="L258" s="155"/>
      <c r="M258" s="155"/>
      <c r="AC258" s="188"/>
    </row>
    <row r="259" customHeight="1" spans="5:29">
      <c r="E259" s="30"/>
      <c r="F259" s="30"/>
      <c r="G259" s="30"/>
      <c r="H259" s="30"/>
      <c r="I259" s="30"/>
      <c r="J259" s="30"/>
      <c r="K259" s="155"/>
      <c r="L259" s="155"/>
      <c r="M259" s="155"/>
      <c r="AC259" s="188"/>
    </row>
    <row r="260" customHeight="1" spans="5:29">
      <c r="E260" s="30"/>
      <c r="F260" s="30"/>
      <c r="G260" s="30"/>
      <c r="H260" s="30"/>
      <c r="I260" s="30"/>
      <c r="J260" s="30"/>
      <c r="K260" s="155"/>
      <c r="L260" s="155"/>
      <c r="M260" s="155"/>
      <c r="AC260" s="188"/>
    </row>
    <row r="261" customHeight="1" spans="5:29">
      <c r="E261" s="30"/>
      <c r="F261" s="30"/>
      <c r="G261" s="30"/>
      <c r="H261" s="30"/>
      <c r="I261" s="30"/>
      <c r="J261" s="30"/>
      <c r="K261" s="155"/>
      <c r="L261" s="155"/>
      <c r="M261" s="155"/>
      <c r="AC261" s="188"/>
    </row>
    <row r="262" customHeight="1" spans="5:29">
      <c r="E262" s="30"/>
      <c r="F262" s="30"/>
      <c r="G262" s="30"/>
      <c r="H262" s="30"/>
      <c r="I262" s="30"/>
      <c r="J262" s="30"/>
      <c r="K262" s="155"/>
      <c r="L262" s="155"/>
      <c r="M262" s="155"/>
      <c r="AC262" s="188"/>
    </row>
    <row r="263" customHeight="1" spans="5:29">
      <c r="E263" s="30"/>
      <c r="F263" s="30"/>
      <c r="G263" s="30"/>
      <c r="H263" s="30"/>
      <c r="I263" s="30"/>
      <c r="J263" s="30"/>
      <c r="K263" s="155"/>
      <c r="L263" s="155"/>
      <c r="M263" s="155"/>
      <c r="AC263" s="188"/>
    </row>
    <row r="264" customHeight="1" spans="5:29">
      <c r="E264" s="30"/>
      <c r="F264" s="30"/>
      <c r="G264" s="30"/>
      <c r="H264" s="30"/>
      <c r="I264" s="30"/>
      <c r="J264" s="30"/>
      <c r="K264" s="155"/>
      <c r="L264" s="155"/>
      <c r="M264" s="155"/>
      <c r="AC264" s="188"/>
    </row>
    <row r="265" customHeight="1" spans="5:29">
      <c r="E265" s="30"/>
      <c r="F265" s="30"/>
      <c r="G265" s="30"/>
      <c r="H265" s="30"/>
      <c r="I265" s="30"/>
      <c r="J265" s="30"/>
      <c r="K265" s="155"/>
      <c r="L265" s="155"/>
      <c r="M265" s="155"/>
      <c r="AC265" s="188"/>
    </row>
    <row r="266" customHeight="1" spans="5:29">
      <c r="E266" s="30"/>
      <c r="F266" s="30"/>
      <c r="G266" s="30"/>
      <c r="H266" s="30"/>
      <c r="I266" s="30"/>
      <c r="J266" s="30"/>
      <c r="K266" s="155"/>
      <c r="L266" s="155"/>
      <c r="M266" s="155"/>
      <c r="AC266" s="188"/>
    </row>
    <row r="267" customHeight="1" spans="5:29">
      <c r="E267" s="30"/>
      <c r="F267" s="30"/>
      <c r="G267" s="30"/>
      <c r="H267" s="30"/>
      <c r="I267" s="30"/>
      <c r="J267" s="30"/>
      <c r="K267" s="155"/>
      <c r="L267" s="155"/>
      <c r="M267" s="155"/>
      <c r="AC267" s="188"/>
    </row>
    <row r="268" customHeight="1" spans="5:29">
      <c r="E268" s="30"/>
      <c r="F268" s="30"/>
      <c r="G268" s="30"/>
      <c r="H268" s="30"/>
      <c r="I268" s="30"/>
      <c r="J268" s="30"/>
      <c r="K268" s="155"/>
      <c r="L268" s="155"/>
      <c r="M268" s="155"/>
      <c r="AC268" s="188"/>
    </row>
    <row r="269" customHeight="1" spans="5:29">
      <c r="E269" s="30"/>
      <c r="F269" s="30"/>
      <c r="G269" s="30"/>
      <c r="H269" s="30"/>
      <c r="I269" s="30"/>
      <c r="J269" s="30"/>
      <c r="K269" s="155"/>
      <c r="L269" s="155"/>
      <c r="M269" s="155"/>
      <c r="AC269" s="188"/>
    </row>
    <row r="270" customHeight="1" spans="5:29">
      <c r="E270" s="30"/>
      <c r="F270" s="30"/>
      <c r="G270" s="30"/>
      <c r="H270" s="30"/>
      <c r="I270" s="30"/>
      <c r="J270" s="30"/>
      <c r="K270" s="155"/>
      <c r="L270" s="155"/>
      <c r="M270" s="155"/>
      <c r="AC270" s="188"/>
    </row>
    <row r="271" customHeight="1" spans="5:29">
      <c r="E271" s="30"/>
      <c r="F271" s="30"/>
      <c r="G271" s="30"/>
      <c r="H271" s="30"/>
      <c r="I271" s="30"/>
      <c r="J271" s="30"/>
      <c r="K271" s="155"/>
      <c r="L271" s="155"/>
      <c r="M271" s="155"/>
      <c r="AC271" s="188"/>
    </row>
    <row r="272" customHeight="1" spans="5:29">
      <c r="E272" s="30"/>
      <c r="F272" s="30"/>
      <c r="G272" s="30"/>
      <c r="H272" s="30"/>
      <c r="I272" s="30"/>
      <c r="J272" s="30"/>
      <c r="K272" s="155"/>
      <c r="L272" s="155"/>
      <c r="M272" s="155"/>
      <c r="AC272" s="188"/>
    </row>
    <row r="273" customHeight="1" spans="5:29">
      <c r="E273" s="30"/>
      <c r="F273" s="30"/>
      <c r="G273" s="30"/>
      <c r="H273" s="30"/>
      <c r="I273" s="30"/>
      <c r="J273" s="30"/>
      <c r="K273" s="155"/>
      <c r="L273" s="155"/>
      <c r="M273" s="155"/>
      <c r="AC273" s="188"/>
    </row>
    <row r="274" customHeight="1" spans="5:29">
      <c r="E274" s="30"/>
      <c r="F274" s="30"/>
      <c r="G274" s="30"/>
      <c r="H274" s="30"/>
      <c r="I274" s="30"/>
      <c r="J274" s="30"/>
      <c r="K274" s="155"/>
      <c r="L274" s="155"/>
      <c r="M274" s="155"/>
      <c r="AC274" s="188"/>
    </row>
    <row r="275" customHeight="1" spans="5:29">
      <c r="E275" s="30"/>
      <c r="F275" s="30"/>
      <c r="G275" s="30"/>
      <c r="H275" s="30"/>
      <c r="I275" s="30"/>
      <c r="J275" s="30"/>
      <c r="K275" s="155"/>
      <c r="L275" s="155"/>
      <c r="M275" s="155"/>
      <c r="AC275" s="188"/>
    </row>
    <row r="276" customHeight="1" spans="5:29">
      <c r="E276" s="30"/>
      <c r="F276" s="30"/>
      <c r="G276" s="30"/>
      <c r="H276" s="30"/>
      <c r="I276" s="30"/>
      <c r="J276" s="30"/>
      <c r="K276" s="155"/>
      <c r="L276" s="155"/>
      <c r="M276" s="155"/>
      <c r="AC276" s="188"/>
    </row>
    <row r="277" customHeight="1" spans="5:29">
      <c r="E277" s="30"/>
      <c r="F277" s="30"/>
      <c r="G277" s="30"/>
      <c r="H277" s="30"/>
      <c r="I277" s="30"/>
      <c r="J277" s="30"/>
      <c r="K277" s="155"/>
      <c r="L277" s="155"/>
      <c r="M277" s="155"/>
      <c r="AC277" s="188"/>
    </row>
    <row r="278" customHeight="1" spans="5:29">
      <c r="E278" s="30"/>
      <c r="F278" s="30"/>
      <c r="G278" s="30"/>
      <c r="H278" s="30"/>
      <c r="I278" s="30"/>
      <c r="J278" s="30"/>
      <c r="K278" s="155"/>
      <c r="L278" s="155"/>
      <c r="M278" s="155"/>
      <c r="AC278" s="188"/>
    </row>
    <row r="279" customHeight="1" spans="5:29">
      <c r="E279" s="30"/>
      <c r="F279" s="30"/>
      <c r="G279" s="30"/>
      <c r="H279" s="30"/>
      <c r="I279" s="30"/>
      <c r="J279" s="30"/>
      <c r="K279" s="155"/>
      <c r="L279" s="155"/>
      <c r="M279" s="155"/>
      <c r="AC279" s="188"/>
    </row>
    <row r="280" customHeight="1" spans="5:29">
      <c r="E280" s="30"/>
      <c r="F280" s="30"/>
      <c r="G280" s="30"/>
      <c r="H280" s="30"/>
      <c r="I280" s="30"/>
      <c r="J280" s="30"/>
      <c r="K280" s="155"/>
      <c r="L280" s="155"/>
      <c r="M280" s="155"/>
      <c r="AC280" s="188"/>
    </row>
    <row r="281" customHeight="1" spans="5:29">
      <c r="E281" s="30"/>
      <c r="F281" s="30"/>
      <c r="G281" s="30"/>
      <c r="H281" s="30"/>
      <c r="I281" s="30"/>
      <c r="J281" s="30"/>
      <c r="K281" s="155"/>
      <c r="L281" s="155"/>
      <c r="M281" s="155"/>
      <c r="AC281" s="188"/>
    </row>
    <row r="282" customHeight="1" spans="5:29">
      <c r="E282" s="30"/>
      <c r="F282" s="30"/>
      <c r="G282" s="30"/>
      <c r="H282" s="30"/>
      <c r="I282" s="30"/>
      <c r="J282" s="30"/>
      <c r="K282" s="155"/>
      <c r="L282" s="155"/>
      <c r="M282" s="155"/>
      <c r="AC282" s="188"/>
    </row>
    <row r="283" customHeight="1" spans="5:29">
      <c r="E283" s="30"/>
      <c r="F283" s="30"/>
      <c r="G283" s="30"/>
      <c r="H283" s="30"/>
      <c r="I283" s="30"/>
      <c r="J283" s="30"/>
      <c r="K283" s="155"/>
      <c r="L283" s="155"/>
      <c r="M283" s="155"/>
      <c r="AC283" s="188"/>
    </row>
    <row r="284" customHeight="1" spans="5:29">
      <c r="E284" s="30"/>
      <c r="F284" s="30"/>
      <c r="G284" s="30"/>
      <c r="H284" s="30"/>
      <c r="I284" s="30"/>
      <c r="J284" s="30"/>
      <c r="K284" s="155"/>
      <c r="L284" s="155"/>
      <c r="M284" s="155"/>
      <c r="AC284" s="188"/>
    </row>
    <row r="285" customHeight="1" spans="5:29">
      <c r="E285" s="30"/>
      <c r="F285" s="30"/>
      <c r="G285" s="30"/>
      <c r="H285" s="30"/>
      <c r="I285" s="30"/>
      <c r="J285" s="30"/>
      <c r="K285" s="155"/>
      <c r="L285" s="155"/>
      <c r="M285" s="155"/>
      <c r="AC285" s="188"/>
    </row>
    <row r="286" customHeight="1" spans="5:29">
      <c r="E286" s="30"/>
      <c r="F286" s="30"/>
      <c r="G286" s="30"/>
      <c r="H286" s="30"/>
      <c r="I286" s="30"/>
      <c r="J286" s="30"/>
      <c r="K286" s="155"/>
      <c r="L286" s="155"/>
      <c r="M286" s="155"/>
      <c r="AC286" s="188"/>
    </row>
    <row r="287" customHeight="1" spans="5:29">
      <c r="E287" s="30"/>
      <c r="F287" s="30"/>
      <c r="G287" s="30"/>
      <c r="H287" s="30"/>
      <c r="I287" s="30"/>
      <c r="J287" s="30"/>
      <c r="K287" s="155"/>
      <c r="L287" s="155"/>
      <c r="M287" s="155"/>
      <c r="AC287" s="188"/>
    </row>
    <row r="288" customHeight="1" spans="5:29">
      <c r="E288" s="30"/>
      <c r="F288" s="30"/>
      <c r="G288" s="30"/>
      <c r="H288" s="30"/>
      <c r="I288" s="30"/>
      <c r="J288" s="30"/>
      <c r="K288" s="155"/>
      <c r="L288" s="155"/>
      <c r="M288" s="155"/>
      <c r="AC288" s="188"/>
    </row>
    <row r="289" customHeight="1" spans="5:29">
      <c r="E289" s="30"/>
      <c r="F289" s="30"/>
      <c r="G289" s="30"/>
      <c r="H289" s="30"/>
      <c r="I289" s="30"/>
      <c r="J289" s="30"/>
      <c r="K289" s="155"/>
      <c r="L289" s="155"/>
      <c r="M289" s="155"/>
      <c r="AC289" s="188"/>
    </row>
    <row r="290" customHeight="1" spans="5:29">
      <c r="E290" s="30"/>
      <c r="F290" s="30"/>
      <c r="G290" s="30"/>
      <c r="H290" s="30"/>
      <c r="I290" s="30"/>
      <c r="J290" s="30"/>
      <c r="K290" s="155"/>
      <c r="L290" s="155"/>
      <c r="M290" s="155"/>
      <c r="AC290" s="188"/>
    </row>
    <row r="291" customHeight="1" spans="5:29">
      <c r="E291" s="30"/>
      <c r="F291" s="30"/>
      <c r="G291" s="30"/>
      <c r="H291" s="30"/>
      <c r="I291" s="30"/>
      <c r="J291" s="30"/>
      <c r="K291" s="155"/>
      <c r="L291" s="155"/>
      <c r="M291" s="155"/>
      <c r="AC291" s="188"/>
    </row>
    <row r="292" customHeight="1" spans="5:31">
      <c r="E292" s="30"/>
      <c r="F292" s="30"/>
      <c r="G292" s="30"/>
      <c r="H292" s="30"/>
      <c r="I292" s="30"/>
      <c r="J292" s="30"/>
      <c r="K292" s="155"/>
      <c r="L292" s="155"/>
      <c r="M292" s="155"/>
      <c r="AC292" s="188"/>
      <c r="AE292" s="188"/>
    </row>
    <row r="293" customHeight="1" spans="5:29">
      <c r="E293" s="30"/>
      <c r="F293" s="30"/>
      <c r="G293" s="30"/>
      <c r="H293" s="30"/>
      <c r="I293" s="30"/>
      <c r="J293" s="30"/>
      <c r="K293" s="155"/>
      <c r="L293" s="155"/>
      <c r="M293" s="155"/>
      <c r="AC293" s="188"/>
    </row>
    <row r="294" customHeight="1" spans="5:29">
      <c r="E294" s="30"/>
      <c r="F294" s="30"/>
      <c r="G294" s="30"/>
      <c r="H294" s="30"/>
      <c r="I294" s="30"/>
      <c r="J294" s="30"/>
      <c r="K294" s="155"/>
      <c r="L294" s="155"/>
      <c r="M294" s="155"/>
      <c r="AC294" s="188"/>
    </row>
    <row r="295" customHeight="1" spans="5:29">
      <c r="E295" s="30"/>
      <c r="F295" s="30"/>
      <c r="G295" s="30"/>
      <c r="H295" s="30"/>
      <c r="I295" s="30"/>
      <c r="J295" s="30"/>
      <c r="K295" s="155"/>
      <c r="L295" s="155"/>
      <c r="M295" s="155"/>
      <c r="AC295" s="188"/>
    </row>
    <row r="296" customHeight="1" spans="5:29">
      <c r="E296" s="30"/>
      <c r="F296" s="30"/>
      <c r="G296" s="30"/>
      <c r="H296" s="30"/>
      <c r="I296" s="30"/>
      <c r="J296" s="30"/>
      <c r="K296" s="155"/>
      <c r="L296" s="155"/>
      <c r="M296" s="155"/>
      <c r="AC296" s="188"/>
    </row>
    <row r="297" customHeight="1" spans="5:33">
      <c r="E297" s="30"/>
      <c r="F297" s="30"/>
      <c r="G297" s="30"/>
      <c r="H297" s="30"/>
      <c r="I297" s="30"/>
      <c r="J297" s="30"/>
      <c r="K297" s="155"/>
      <c r="L297" s="155"/>
      <c r="M297" s="155"/>
      <c r="AC297" s="188"/>
      <c r="AG297" s="1"/>
    </row>
    <row r="298" customHeight="1" spans="5:31">
      <c r="E298" s="30"/>
      <c r="F298" s="30"/>
      <c r="G298" s="30"/>
      <c r="H298" s="30"/>
      <c r="I298" s="30"/>
      <c r="J298" s="30"/>
      <c r="K298" s="155"/>
      <c r="L298" s="155"/>
      <c r="M298" s="155"/>
      <c r="AE298" s="188" t="s">
        <v>176</v>
      </c>
    </row>
    <row r="299" customHeight="1" spans="5:34">
      <c r="E299" s="30"/>
      <c r="F299" s="30"/>
      <c r="G299" s="30"/>
      <c r="H299" s="30"/>
      <c r="I299" s="30"/>
      <c r="J299" s="30"/>
      <c r="K299" s="155"/>
      <c r="L299" s="155"/>
      <c r="M299" s="155"/>
      <c r="AE299" s="188" t="str">
        <f>Primary!A1</f>
        <v>3.23.0-LIVE 9171682</v>
      </c>
      <c r="AF299" s="1" t="s">
        <v>177</v>
      </c>
      <c r="AG299" s="4"/>
      <c r="AH299" s="4"/>
    </row>
    <row r="300" customHeight="1" spans="5:32">
      <c r="E300" s="30"/>
      <c r="F300" s="30"/>
      <c r="G300" s="30"/>
      <c r="H300" s="30"/>
      <c r="I300" s="30"/>
      <c r="J300" s="30"/>
      <c r="K300" s="155"/>
      <c r="L300" s="155"/>
      <c r="M300" s="155"/>
      <c r="AE300" s="188" t="str">
        <f>Secondary!A1</f>
        <v>3.22.1-LIVE 9097523</v>
      </c>
      <c r="AF300" s="1" t="s">
        <v>178</v>
      </c>
    </row>
    <row r="301" customHeight="1" spans="5:29">
      <c r="E301" s="30"/>
      <c r="F301" s="30"/>
      <c r="G301" s="30"/>
      <c r="H301" s="30"/>
      <c r="I301" s="30"/>
      <c r="J301" s="30"/>
      <c r="K301" s="155"/>
      <c r="L301" s="155"/>
      <c r="M301" s="155"/>
      <c r="AC301" s="188"/>
    </row>
    <row r="302" customHeight="1" spans="5:42">
      <c r="E302" s="30"/>
      <c r="F302" s="30"/>
      <c r="G302" s="30"/>
      <c r="H302" s="30"/>
      <c r="I302" s="30"/>
      <c r="J302" s="30"/>
      <c r="K302" s="155"/>
      <c r="L302" s="155"/>
      <c r="M302" s="155"/>
      <c r="AC302" s="188"/>
      <c r="AF302" s="1" t="s">
        <v>179</v>
      </c>
      <c r="AP302" s="1" t="s">
        <v>180</v>
      </c>
    </row>
    <row r="303" customHeight="1" spans="5:46">
      <c r="E303" s="30"/>
      <c r="F303" s="30"/>
      <c r="G303" s="30"/>
      <c r="H303" s="30"/>
      <c r="I303" s="30"/>
      <c r="J303" s="30"/>
      <c r="K303" s="155"/>
      <c r="L303" s="155"/>
      <c r="M303" s="155"/>
      <c r="AC303" s="188"/>
      <c r="AF303" s="1" t="s">
        <v>181</v>
      </c>
      <c r="AG303" s="1" t="s">
        <v>182</v>
      </c>
      <c r="AH303" s="1" t="s">
        <v>12</v>
      </c>
      <c r="AI303" s="1" t="s">
        <v>13</v>
      </c>
      <c r="AJ303" s="1" t="s">
        <v>14</v>
      </c>
      <c r="AK303" s="1" t="s">
        <v>183</v>
      </c>
      <c r="AL303" s="1" t="s">
        <v>184</v>
      </c>
      <c r="AM303" s="1" t="s">
        <v>185</v>
      </c>
      <c r="AN303" s="1" t="s">
        <v>186</v>
      </c>
      <c r="AP303" s="1" t="s">
        <v>5</v>
      </c>
      <c r="AQ303" s="1" t="s">
        <v>142</v>
      </c>
      <c r="AR303" s="1" t="s">
        <v>12</v>
      </c>
      <c r="AS303" s="1" t="s">
        <v>13</v>
      </c>
      <c r="AT303" s="1" t="s">
        <v>14</v>
      </c>
    </row>
    <row r="304" customHeight="1" spans="5:46">
      <c r="E304" s="30"/>
      <c r="F304" s="30"/>
      <c r="G304" s="30"/>
      <c r="H304" s="30"/>
      <c r="I304" s="30"/>
      <c r="J304" s="30"/>
      <c r="K304" s="155"/>
      <c r="L304" s="155"/>
      <c r="M304" s="155"/>
      <c r="AC304" s="188"/>
      <c r="AE304" s="1"/>
      <c r="AF304" s="1" t="str">
        <f t="shared" ref="AF304:AF310" si="304">AG304</f>
        <v>microTech</v>
      </c>
      <c r="AG304" s="1" t="str">
        <f>BodyName</f>
        <v>microTech</v>
      </c>
      <c r="AH304" s="1">
        <v>0</v>
      </c>
      <c r="AI304" s="1">
        <v>0</v>
      </c>
      <c r="AJ304" s="1">
        <v>0</v>
      </c>
      <c r="AO304" s="1">
        <v>1</v>
      </c>
      <c r="AP304" s="1">
        <f t="shared" ref="AP304:AP307" si="305">M2</f>
        <v>0</v>
      </c>
      <c r="AQ304" s="2">
        <f t="shared" ref="AQ304:AQ307" si="306">O2</f>
        <v>0</v>
      </c>
      <c r="AR304" s="1" t="e">
        <f>VLOOKUP(AP304,DatabaseBody,2,FALSE)</f>
        <v>#N/A</v>
      </c>
      <c r="AS304" s="1" t="e">
        <f>VLOOKUP(AP304,DatabaseBody,3,FALSE)</f>
        <v>#N/A</v>
      </c>
      <c r="AT304" s="1" t="e">
        <f>VLOOKUP(AP304,DatabaseBody,4,FALSE)</f>
        <v>#N/A</v>
      </c>
    </row>
    <row r="305" customHeight="1" spans="5:46">
      <c r="E305" s="30"/>
      <c r="F305" s="30"/>
      <c r="G305" s="30"/>
      <c r="H305" s="30"/>
      <c r="I305" s="30"/>
      <c r="J305" s="30"/>
      <c r="K305" s="155"/>
      <c r="L305" s="155"/>
      <c r="M305" s="155"/>
      <c r="AC305" s="188"/>
      <c r="AE305" s="1"/>
      <c r="AF305" s="1" t="str">
        <f t="shared" si="304"/>
        <v>OM1</v>
      </c>
      <c r="AG305" s="1" t="str">
        <f>IF(MID(AG$304,4,2)="-L","","OM1")</f>
        <v>OM1</v>
      </c>
      <c r="AH305" s="1">
        <v>0</v>
      </c>
      <c r="AI305" s="1">
        <v>0</v>
      </c>
      <c r="AJ305" s="2">
        <f>OMRadius</f>
        <v>1439.593</v>
      </c>
      <c r="AO305" s="1">
        <v>2</v>
      </c>
      <c r="AP305" s="1">
        <f t="shared" si="305"/>
        <v>0</v>
      </c>
      <c r="AQ305" s="2">
        <f t="shared" si="306"/>
        <v>0</v>
      </c>
      <c r="AR305" s="1" t="e">
        <f>VLOOKUP(AP305,DatabaseBody,2,FALSE)</f>
        <v>#N/A</v>
      </c>
      <c r="AS305" s="1" t="e">
        <f>VLOOKUP(AP305,DatabaseBody,3,FALSE)</f>
        <v>#N/A</v>
      </c>
      <c r="AT305" s="1" t="e">
        <f>VLOOKUP(AP305,DatabaseBody,4,FALSE)</f>
        <v>#N/A</v>
      </c>
    </row>
    <row r="306" customHeight="1" spans="5:46">
      <c r="E306" s="30"/>
      <c r="F306" s="30"/>
      <c r="G306" s="30"/>
      <c r="H306" s="30"/>
      <c r="I306" s="30"/>
      <c r="J306" s="30"/>
      <c r="K306" s="155"/>
      <c r="L306" s="155"/>
      <c r="M306" s="155"/>
      <c r="AC306" s="188"/>
      <c r="AE306" s="1"/>
      <c r="AF306" s="1" t="str">
        <f t="shared" si="304"/>
        <v>OM2</v>
      </c>
      <c r="AG306" s="1" t="str">
        <f>IF(MID(AG$304,4,2)="-L","","OM2")</f>
        <v>OM2</v>
      </c>
      <c r="AH306" s="1">
        <v>0</v>
      </c>
      <c r="AI306" s="1">
        <v>0</v>
      </c>
      <c r="AJ306" s="2">
        <f>-OMRadius</f>
        <v>-1439.593</v>
      </c>
      <c r="AO306" s="1">
        <v>3</v>
      </c>
      <c r="AP306" s="1">
        <f t="shared" si="305"/>
        <v>0</v>
      </c>
      <c r="AQ306" s="2">
        <f t="shared" si="306"/>
        <v>0</v>
      </c>
      <c r="AR306" s="1" t="e">
        <f>VLOOKUP(AP306,DatabaseBody,2,FALSE)</f>
        <v>#N/A</v>
      </c>
      <c r="AS306" s="1" t="e">
        <f>VLOOKUP(AP306,DatabaseBody,3,FALSE)</f>
        <v>#N/A</v>
      </c>
      <c r="AT306" s="1" t="e">
        <f>VLOOKUP(AP306,DatabaseBody,4,FALSE)</f>
        <v>#N/A</v>
      </c>
    </row>
    <row r="307" customHeight="1" spans="5:46">
      <c r="E307" s="30"/>
      <c r="F307" s="30"/>
      <c r="G307" s="30"/>
      <c r="H307" s="30"/>
      <c r="I307" s="30"/>
      <c r="J307" s="30"/>
      <c r="K307" s="155"/>
      <c r="L307" s="155"/>
      <c r="M307" s="155"/>
      <c r="AC307" s="188"/>
      <c r="AE307" s="1"/>
      <c r="AF307" s="1" t="str">
        <f t="shared" si="304"/>
        <v>OM3</v>
      </c>
      <c r="AG307" s="1" t="str">
        <f>IF(MID(AG$304,4,2)="-L","","OM3")</f>
        <v>OM3</v>
      </c>
      <c r="AH307" s="1">
        <v>0</v>
      </c>
      <c r="AI307" s="2">
        <f>OMRadius</f>
        <v>1439.593</v>
      </c>
      <c r="AJ307" s="1">
        <v>0</v>
      </c>
      <c r="AO307" s="1">
        <v>4</v>
      </c>
      <c r="AP307" s="1">
        <f t="shared" si="305"/>
        <v>0</v>
      </c>
      <c r="AQ307" s="2">
        <f t="shared" si="306"/>
        <v>0</v>
      </c>
      <c r="AR307" s="1" t="e">
        <f>VLOOKUP(AP307,DatabaseBody,2,FALSE)</f>
        <v>#N/A</v>
      </c>
      <c r="AS307" s="1" t="e">
        <f>VLOOKUP(AP307,DatabaseBody,3,FALSE)</f>
        <v>#N/A</v>
      </c>
      <c r="AT307" s="1" t="e">
        <f>VLOOKUP(AP307,DatabaseBody,4,FALSE)</f>
        <v>#N/A</v>
      </c>
    </row>
    <row r="308" customHeight="1" spans="5:36">
      <c r="E308" s="30"/>
      <c r="F308" s="30"/>
      <c r="G308" s="30"/>
      <c r="H308" s="30"/>
      <c r="I308" s="30"/>
      <c r="J308" s="30"/>
      <c r="K308" s="155"/>
      <c r="L308" s="155"/>
      <c r="M308" s="155"/>
      <c r="AC308" s="188"/>
      <c r="AE308" s="1"/>
      <c r="AF308" s="1" t="str">
        <f t="shared" si="304"/>
        <v>OM4</v>
      </c>
      <c r="AG308" s="1" t="str">
        <f>IF(MID(AG$304,4,2)="-L","","OM4")</f>
        <v>OM4</v>
      </c>
      <c r="AH308" s="1">
        <v>0</v>
      </c>
      <c r="AI308" s="2">
        <f>-OMRadius</f>
        <v>-1439.593</v>
      </c>
      <c r="AJ308" s="1">
        <v>0</v>
      </c>
    </row>
    <row r="309" customHeight="1" spans="5:46">
      <c r="E309" s="30"/>
      <c r="F309" s="30"/>
      <c r="G309" s="30"/>
      <c r="H309" s="30"/>
      <c r="I309" s="30"/>
      <c r="J309" s="30"/>
      <c r="K309" s="155"/>
      <c r="L309" s="155"/>
      <c r="M309" s="155"/>
      <c r="AC309" s="188"/>
      <c r="AE309" s="1"/>
      <c r="AF309" s="1" t="str">
        <f t="shared" si="304"/>
        <v>OM5</v>
      </c>
      <c r="AG309" s="1" t="str">
        <f>IF(MID(AG$304,4,2)="-L","","OM5")</f>
        <v>OM5</v>
      </c>
      <c r="AH309" s="2">
        <f>OMRadius</f>
        <v>1439.593</v>
      </c>
      <c r="AI309" s="1">
        <v>0</v>
      </c>
      <c r="AJ309" s="1">
        <v>0</v>
      </c>
      <c r="AP309" s="1" t="s">
        <v>187</v>
      </c>
      <c r="AR309" s="1" t="str">
        <f>_xlfn.IFNA((((((p2r^2)-(p1r^2)+(p1x^2)+(p1y^2)+(p1z^2)-(p2x^2)-(p2y^2)-(p2z^2))/2)*(p1y-p3y)*(p1z-p4z))+((p1y-p2y)*(p1z-p3z)*(((p4r^2)-(p1r^2)+(p1x^2)+(p1y^2)+(p1z^2)-(p4x^2)-(p4y^2)-(p4z^2))/2))+((p1z-p2z)*(((p3r^2)-(p1r^2)+(p1x^2)+(p1y^2)+(p1z^2)-(p3x^2)-(p3y^2)-(p3z^2))/2)*(p1y-p4y))-((((p4r^2)-(p1r^2)+(p1x^2)+(p1y^2)+(p1z^2)-(p4x^2)-(p4y^2)-(p4z^2))/2)*(p1y-p3y)*(p1z-p2z))-((p1y-p4y)*(p1z-p3z)*(((p2r^2)-(p1r^2)+(p1x^2)+(p1y^2)+(p1z^2)-(p2x^2)-(p2y^2)-(p2z^2))/2))-((p1z-p4z)*(((p3r^2)-(p1r^2)+(p1x^2)+(p1y^2)+(p1z^2)-(p3x^2)-(p3y^2)-(p3z^2))/2)*(p1y-p2y)))/(((p1x-p2x)*(p1y-p3y)*(p1z-p4z))+((p1y-p2y)*(p1z-p3z)*(p1x-p4x))+((p1z-p2z)*(p1x-p3x)*(p1y-p4y))-((p1x-p4x)*(p1y-p3y)*(p1z-p2z))-((p1y-p4y)*(p1z-p3z)*(p1x-p2x))-((p1z-p4z)*(p1x-p3x)*(p1y-p2y))),"")</f>
        <v/>
      </c>
      <c r="AS309" s="1" t="str">
        <f>_xlfn.IFNA((((p1x-p2x)*(((p3r^2)-(p1r^2)+(p1x^2)+(p1y^2)+(p1z^2)-(p3x^2)-(p3y^2)-(p3z^2))/2)*(p1z-p4z))+((((p2r^2)-(p1r^2)+(p1x^2)+(p1y^2)+(p1z^2)-(p2x^2)-(p2y^2)-(p2z^2))/2)*(p1z-p3z)*(p1x-p4x))+((p1z-p2z)*(p1x-p3x)*(((p4r^2)-(p1r^2)+(p1x^2)+(p1y^2)+(p1z^2)-(p4x^2)-(p4y^2)-(p4z^2))/2))-((p1x-p4x)*(((p3r^2)-(p1r^2)+(p1x^2)+(p1y^2)+(p1z^2)-(p3x^2)-(p3y^2)-(p3z^2))/2)*(p1z-p2z))-((((p4r^2)-(p1r^2)+(p1x^2)+(p1y^2)+(p1z^2)-(p4x^2)-(p4y^2)-(p4z^2))/2)*(p1z-p3z)*(p1x-p2x))-((p1z-p4z)*(p1x-p3x)*(((p2r^2)-(p1r^2)+(p1x^2)+(p1y^2)+(p1z^2)-(p2x^2)-(p2y^2)-(p2z^2))/2)))/(((p1x-p2x)*(p1y-p3y)*(p1z-p4z))+((p1y-p2y)*(p1z-p3z)*(p1x-p4x))+((p1z-p2z)*(p1x-p3x)*(p1y-p4y))-((p1x-p4x)*(p1y-p3y)*(p1z-p2z))-((p1y-p4y)*(p1z-p3z)*(p1x-p2x))-((p1z-p4z)*(p1x-p3x)*(p1y-p2y))),"")</f>
        <v/>
      </c>
      <c r="AT309" s="1" t="str">
        <f>_xlfn.IFNA((((p1x-p2x)*(p1y-p3y)*(((p4r^2)-(p1r^2)+(p1x^2)+(p1y^2)+(p1z^2)-(p4x^2)-(p4y^2)-(p4z^2))/2))+((p1y-p2y)*(((p3r^2)-(p1r^2)+(p1x^2)+(p1y^2)+(p1z^2)-(p3x^2)-(p3y^2)-(p3z^2))/2)*(p1x-p4x))+((((p2r^2)-(p1r^2)+(p1x^2)+(p1y^2)+(p1z^2)-(p2x^2)-(p2y^2)-(p2z^2))/2)*(p1x-p3x)*(p1y-p4y))-((p1x-p4x)*(p1y-p3y)*(((p2r^2)-(p1r^2)+(p1x^2)+(p1y^2)+(p1z^2)-(p2x^2)-(p2y^2)-(p2z^2))/2))-((p1y-p4y)*(((p3r^2)-(p1r^2)+(p1x^2)+(p1y^2)+(p1z^2)-(p3x^2)-(p3y^2)-(p3z^2))/2)*(p1x-p2x))-((((p4r^2)-(p1r^2)+(p1x^2)+(p1y^2)+(p1z^2)-(p4x^2)-(p4y^2)-(p4z^2))/2)*(p1x-p3x)*(p1y-p2y)))/(((p1x-p2x)*(p1y-p3y)*(p1z-p4z))+((p1y-p2y)*(p1z-p3z)*(p1x-p4x))+((p1z-p2z)*(p1x-p3x)*(p1y-p4y))-((p1x-p4x)*(p1y-p3y)*(p1z-p2z))-((p1y-p4y)*(p1z-p3z)*(p1x-p2x))-((p1z-p4z)*(p1x-p3x)*(p1y-p2y))),"")</f>
        <v/>
      </c>
    </row>
    <row r="310" customHeight="1" spans="5:36">
      <c r="E310" s="30"/>
      <c r="F310" s="30"/>
      <c r="G310" s="30"/>
      <c r="H310" s="30"/>
      <c r="I310" s="30"/>
      <c r="J310" s="30"/>
      <c r="K310" s="155"/>
      <c r="L310" s="155"/>
      <c r="M310" s="155"/>
      <c r="AC310" s="188"/>
      <c r="AE310" s="1"/>
      <c r="AF310" s="1" t="str">
        <f t="shared" si="304"/>
        <v>OM6</v>
      </c>
      <c r="AG310" s="1" t="str">
        <f>IF(MID(AG$304,4,2)="-L","","OM6")</f>
        <v>OM6</v>
      </c>
      <c r="AH310" s="2">
        <f>-OMRadius</f>
        <v>-1439.593</v>
      </c>
      <c r="AI310" s="1">
        <v>0</v>
      </c>
      <c r="AJ310" s="1">
        <v>0</v>
      </c>
    </row>
    <row r="311" customHeight="1" spans="5:40">
      <c r="E311" s="30"/>
      <c r="F311" s="30"/>
      <c r="G311" s="30"/>
      <c r="H311" s="30"/>
      <c r="I311" s="30"/>
      <c r="J311" s="30"/>
      <c r="K311" s="155"/>
      <c r="L311" s="155"/>
      <c r="M311" s="155"/>
      <c r="AC311" s="188"/>
      <c r="AE311" s="1">
        <v>1</v>
      </c>
      <c r="AF311" s="1" t="str">
        <f t="shared" ref="AF311:AF342" si="307">_xlfn.IFNA(IF(VLOOKUP(CONCATENATE(BodyName," ",IF(AE311&lt;10,"0",""),AE311),Database,13,FALSE),AG311,""),"")</f>
        <v>Babbage</v>
      </c>
      <c r="AG311" s="1" t="str">
        <f t="shared" ref="AG311:AG342" si="308">_xlfn.IFNA(VLOOKUP(CONCATENATE(BodyName," ",IF(AE311&lt;10,"0",""),AE311),Database,5,FALSE),"")</f>
        <v>Babbage</v>
      </c>
      <c r="AH311" s="1">
        <f t="shared" ref="AH311:AH342" si="309">_xlfn.IFNA(VLOOKUP(CONCATENATE(BodyName," ",IF(AE311&lt;10,"0",""),AE311),Database,6,FALSE),"")</f>
        <v>520.722992113</v>
      </c>
      <c r="AI311" s="1">
        <f t="shared" ref="AI311:AI342" si="310">_xlfn.IFNA(VLOOKUP(CONCATENATE(BodyName," ",IF(AE311&lt;10,"0",""),AE311),Database,7,FALSE),"")</f>
        <v>419.364313161999</v>
      </c>
      <c r="AJ311" s="1">
        <f t="shared" ref="AJ311:AJ342" si="311">_xlfn.IFNA(VLOOKUP(CONCATENATE(BodyName," ",IF(AE311&lt;10,"0",""),AE311),Database,8,FALSE),"")</f>
        <v>743.654685314</v>
      </c>
      <c r="AK311" s="1">
        <f t="shared" ref="AK311:AK342" si="312">_xlfn.IFNA(VLOOKUP(CONCATENATE(BodyName," ",IF(AE311&lt;10,"0",""),AE311),Database,9,FALSE),"")</f>
        <v>0</v>
      </c>
      <c r="AL311" s="1">
        <f t="shared" ref="AL311:AL342" si="313">_xlfn.IFNA(VLOOKUP(CONCATENATE(BodyName," ",IF(AE311&lt;10,"0",""),AE311),Database,10,FALSE),"")</f>
        <v>0</v>
      </c>
      <c r="AM311" s="1">
        <f t="shared" ref="AM311:AM342" si="314">_xlfn.IFNA(VLOOKUP(CONCATENATE(BodyName," ",IF(AE311&lt;10,"0",""),AE311),Database,11,FALSE),"")</f>
        <v>0</v>
      </c>
      <c r="AN311" s="1">
        <f t="shared" ref="AN311:AN342" si="315">_xlfn.IFNA(VLOOKUP(CONCATENATE(BodyName," ",IF(AE311&lt;10,"0",""),AE311),Database,12,FALSE),"")</f>
        <v>0</v>
      </c>
    </row>
    <row r="312" customHeight="1" spans="5:46">
      <c r="E312" s="30"/>
      <c r="F312" s="30"/>
      <c r="G312" s="30"/>
      <c r="H312" s="30"/>
      <c r="I312" s="30"/>
      <c r="J312" s="30"/>
      <c r="K312" s="155"/>
      <c r="L312" s="155"/>
      <c r="M312" s="155"/>
      <c r="AC312" s="188"/>
      <c r="AE312" s="1">
        <v>2</v>
      </c>
      <c r="AF312" s="1" t="str">
        <f t="shared" si="307"/>
        <v>Tressler</v>
      </c>
      <c r="AG312" s="1" t="str">
        <f t="shared" si="308"/>
        <v>Tressler</v>
      </c>
      <c r="AH312" s="1">
        <f t="shared" si="309"/>
        <v>561.471046150999</v>
      </c>
      <c r="AI312" s="1">
        <f t="shared" si="310"/>
        <v>545.853017028999</v>
      </c>
      <c r="AJ312" s="1">
        <f t="shared" si="311"/>
        <v>808.831762530999</v>
      </c>
      <c r="AK312" s="1">
        <f t="shared" si="312"/>
        <v>0</v>
      </c>
      <c r="AL312" s="1">
        <f t="shared" si="313"/>
        <v>0</v>
      </c>
      <c r="AM312" s="1">
        <f t="shared" si="314"/>
        <v>0</v>
      </c>
      <c r="AN312" s="1">
        <f t="shared" si="315"/>
        <v>0</v>
      </c>
      <c r="AP312" s="1" t="s">
        <v>188</v>
      </c>
      <c r="AR312" s="3" t="str">
        <f>IF(AQ319,"",IF(M1,AR309,AR317))</f>
        <v/>
      </c>
      <c r="AS312" s="3" t="str">
        <f>IF(AQ319,"",IF(M1,AS309,AS317))</f>
        <v/>
      </c>
      <c r="AT312" s="3" t="str">
        <f>IF(AQ319,"",IF(M1,AT309,AT317))</f>
        <v/>
      </c>
    </row>
    <row r="313" customHeight="1" spans="5:40">
      <c r="E313" s="30"/>
      <c r="F313" s="30"/>
      <c r="G313" s="30"/>
      <c r="H313" s="30"/>
      <c r="I313" s="30"/>
      <c r="J313" s="30"/>
      <c r="K313" s="155"/>
      <c r="L313" s="155"/>
      <c r="M313" s="155"/>
      <c r="AC313" s="188"/>
      <c r="AE313" s="1">
        <v>3</v>
      </c>
      <c r="AF313" s="1" t="str">
        <f t="shared" si="307"/>
        <v>Rayari Deltana</v>
      </c>
      <c r="AG313" s="1" t="str">
        <f t="shared" si="308"/>
        <v>Rayari Deltana</v>
      </c>
      <c r="AH313" s="1">
        <f t="shared" si="309"/>
        <v>-693.909981009999</v>
      </c>
      <c r="AI313" s="1">
        <f t="shared" si="310"/>
        <v>-648.298794758999</v>
      </c>
      <c r="AJ313" s="1">
        <f t="shared" si="311"/>
        <v>316.681366334</v>
      </c>
      <c r="AK313" s="1">
        <f t="shared" si="312"/>
        <v>0</v>
      </c>
      <c r="AL313" s="1">
        <f t="shared" si="313"/>
        <v>0</v>
      </c>
      <c r="AM313" s="1">
        <f t="shared" si="314"/>
        <v>0</v>
      </c>
      <c r="AN313" s="1">
        <f t="shared" si="315"/>
        <v>0</v>
      </c>
    </row>
    <row r="314" customHeight="1" spans="5:46">
      <c r="E314" s="30"/>
      <c r="F314" s="30"/>
      <c r="G314" s="30"/>
      <c r="H314" s="30"/>
      <c r="I314" s="30"/>
      <c r="J314" s="30"/>
      <c r="K314" s="155"/>
      <c r="L314" s="155"/>
      <c r="M314" s="155"/>
      <c r="AC314" s="188"/>
      <c r="AE314" s="1">
        <v>4</v>
      </c>
      <c r="AF314" s="1" t="str">
        <f t="shared" si="307"/>
        <v>Shubin 10</v>
      </c>
      <c r="AG314" s="1" t="str">
        <f t="shared" si="308"/>
        <v>Shubin 10</v>
      </c>
      <c r="AH314" s="1">
        <f t="shared" si="309"/>
        <v>85.476133747</v>
      </c>
      <c r="AI314" s="1">
        <f t="shared" si="310"/>
        <v>-950.855885394999</v>
      </c>
      <c r="AJ314" s="1">
        <f t="shared" si="311"/>
        <v>298.799440766</v>
      </c>
      <c r="AK314" s="1">
        <f t="shared" si="312"/>
        <v>0</v>
      </c>
      <c r="AL314" s="1">
        <f t="shared" si="313"/>
        <v>0</v>
      </c>
      <c r="AM314" s="1">
        <f t="shared" si="314"/>
        <v>0</v>
      </c>
      <c r="AN314" s="1">
        <f t="shared" si="315"/>
        <v>0</v>
      </c>
      <c r="AP314" s="4"/>
      <c r="AQ314" s="4"/>
      <c r="AR314" s="4" t="s">
        <v>99</v>
      </c>
      <c r="AS314" s="4" t="s">
        <v>98</v>
      </c>
      <c r="AT314" s="4" t="s">
        <v>52</v>
      </c>
    </row>
    <row r="315" customHeight="1" spans="5:46">
      <c r="E315" s="30"/>
      <c r="F315" s="30"/>
      <c r="G315" s="30"/>
      <c r="H315" s="30"/>
      <c r="I315" s="30"/>
      <c r="J315" s="30"/>
      <c r="K315" s="155"/>
      <c r="L315" s="155"/>
      <c r="M315" s="155"/>
      <c r="AC315" s="188"/>
      <c r="AE315" s="1">
        <v>5</v>
      </c>
      <c r="AF315" s="1" t="str">
        <f t="shared" si="307"/>
        <v>Shubin 13</v>
      </c>
      <c r="AG315" s="1" t="str">
        <f t="shared" si="308"/>
        <v>Shubin 13</v>
      </c>
      <c r="AH315" s="1">
        <f t="shared" si="309"/>
        <v>-172.818644799</v>
      </c>
      <c r="AI315" s="1">
        <f t="shared" si="310"/>
        <v>-981.308336199</v>
      </c>
      <c r="AJ315" s="1">
        <f t="shared" si="311"/>
        <v>97.7671820489999</v>
      </c>
      <c r="AK315" s="1">
        <f t="shared" si="312"/>
        <v>0</v>
      </c>
      <c r="AL315" s="1">
        <f t="shared" si="313"/>
        <v>0</v>
      </c>
      <c r="AM315" s="1">
        <f t="shared" si="314"/>
        <v>0</v>
      </c>
      <c r="AN315" s="1">
        <f t="shared" si="315"/>
        <v>0</v>
      </c>
      <c r="AP315" s="4" t="s">
        <v>189</v>
      </c>
      <c r="AQ315" s="4"/>
      <c r="AR315" s="225">
        <f>K2</f>
        <v>-55.57</v>
      </c>
      <c r="AS315" s="225">
        <f>K3</f>
        <v>-115.55</v>
      </c>
      <c r="AT315" s="132">
        <f>(K4)</f>
        <v>1001.67</v>
      </c>
    </row>
    <row r="316" customHeight="1" spans="5:46">
      <c r="E316" s="30"/>
      <c r="F316" s="30"/>
      <c r="G316" s="30"/>
      <c r="H316" s="30"/>
      <c r="I316" s="30"/>
      <c r="J316" s="30"/>
      <c r="K316" s="155"/>
      <c r="L316" s="155"/>
      <c r="M316" s="155"/>
      <c r="AC316" s="188"/>
      <c r="AE316" s="1">
        <v>6</v>
      </c>
      <c r="AF316" s="1" t="str">
        <f t="shared" si="307"/>
        <v>Shubin 18</v>
      </c>
      <c r="AG316" s="1" t="str">
        <f t="shared" si="308"/>
        <v>Shubin 18</v>
      </c>
      <c r="AH316" s="1">
        <f t="shared" si="309"/>
        <v>920.210111885</v>
      </c>
      <c r="AI316" s="1">
        <f t="shared" si="310"/>
        <v>-389.541681947999</v>
      </c>
      <c r="AJ316" s="1">
        <f t="shared" si="311"/>
        <v>43.8368626559999</v>
      </c>
      <c r="AK316" s="1">
        <f t="shared" si="312"/>
        <v>0</v>
      </c>
      <c r="AL316" s="1">
        <f t="shared" si="313"/>
        <v>0</v>
      </c>
      <c r="AM316" s="1">
        <f t="shared" si="314"/>
        <v>0</v>
      </c>
      <c r="AN316" s="1">
        <f t="shared" si="315"/>
        <v>0</v>
      </c>
      <c r="AP316" s="4"/>
      <c r="AQ316" s="4"/>
      <c r="AR316" s="4"/>
      <c r="AS316" s="4"/>
      <c r="AT316" s="4"/>
    </row>
    <row r="317" customHeight="1" spans="5:46">
      <c r="E317" s="30"/>
      <c r="F317" s="30"/>
      <c r="G317" s="30"/>
      <c r="H317" s="30"/>
      <c r="I317" s="30"/>
      <c r="J317" s="30"/>
      <c r="K317" s="155"/>
      <c r="L317" s="155"/>
      <c r="M317" s="155"/>
      <c r="AC317" s="188"/>
      <c r="AE317" s="1">
        <v>7</v>
      </c>
      <c r="AF317" s="1" t="str">
        <f t="shared" si="307"/>
        <v>Shubin 22</v>
      </c>
      <c r="AG317" s="1" t="str">
        <f t="shared" si="308"/>
        <v>Shubin 22</v>
      </c>
      <c r="AH317" s="1">
        <f t="shared" si="309"/>
        <v>24.29854894</v>
      </c>
      <c r="AI317" s="1">
        <f t="shared" si="310"/>
        <v>-822.590691274998</v>
      </c>
      <c r="AJ317" s="1">
        <f t="shared" si="311"/>
        <v>568.174190107999</v>
      </c>
      <c r="AK317" s="1">
        <f t="shared" si="312"/>
        <v>0</v>
      </c>
      <c r="AL317" s="1">
        <f t="shared" si="313"/>
        <v>0</v>
      </c>
      <c r="AM317" s="1">
        <f t="shared" si="314"/>
        <v>0</v>
      </c>
      <c r="AN317" s="1">
        <f t="shared" si="315"/>
        <v>0</v>
      </c>
      <c r="AP317" s="4" t="s">
        <v>190</v>
      </c>
      <c r="AQ317" s="4"/>
      <c r="AR317" s="3">
        <f>(AT315)*COS(RADIANS(AR315))*COS(RADIANS(AS315))</f>
        <v>-244.263009268489</v>
      </c>
      <c r="AS317" s="3">
        <f>(AT315)*COS(RADIANS(AR315))*SIN(RADIANS(AS315))</f>
        <v>-510.960046603048</v>
      </c>
      <c r="AT317" s="3">
        <f>(AT315)*SIN(RADIANS(AR315))</f>
        <v>-826.195014496283</v>
      </c>
    </row>
    <row r="318" customHeight="1" spans="5:46">
      <c r="E318" s="30"/>
      <c r="F318" s="30"/>
      <c r="G318" s="30"/>
      <c r="H318" s="30"/>
      <c r="I318" s="30"/>
      <c r="J318" s="30"/>
      <c r="K318" s="155"/>
      <c r="L318" s="155"/>
      <c r="M318" s="155"/>
      <c r="AC318" s="188"/>
      <c r="AE318" s="1">
        <v>8</v>
      </c>
      <c r="AF318" s="1" t="str">
        <f t="shared" si="307"/>
        <v>Raven's Roost</v>
      </c>
      <c r="AG318" s="1" t="str">
        <f t="shared" si="308"/>
        <v>Raven's Roost</v>
      </c>
      <c r="AH318" s="1">
        <f t="shared" si="309"/>
        <v>355.903594579999</v>
      </c>
      <c r="AI318" s="1">
        <f t="shared" si="310"/>
        <v>-75.593839481</v>
      </c>
      <c r="AJ318" s="1">
        <f t="shared" si="311"/>
        <v>932.64525482</v>
      </c>
      <c r="AK318" s="1">
        <f t="shared" si="312"/>
        <v>0</v>
      </c>
      <c r="AL318" s="1">
        <f t="shared" si="313"/>
        <v>0</v>
      </c>
      <c r="AM318" s="1">
        <f t="shared" si="314"/>
        <v>0</v>
      </c>
      <c r="AN318" s="1">
        <f t="shared" si="315"/>
        <v>0</v>
      </c>
      <c r="AP318" s="4"/>
      <c r="AQ318" s="4"/>
      <c r="AR318" s="4"/>
      <c r="AS318" s="4"/>
      <c r="AT318" s="4"/>
    </row>
    <row r="319" customHeight="1" spans="5:46">
      <c r="E319" s="30"/>
      <c r="F319" s="30"/>
      <c r="G319" s="30"/>
      <c r="H319" s="30"/>
      <c r="I319" s="30"/>
      <c r="J319" s="30"/>
      <c r="K319" s="155"/>
      <c r="L319" s="155"/>
      <c r="M319" s="155"/>
      <c r="AC319" s="188"/>
      <c r="AE319" s="1">
        <v>9</v>
      </c>
      <c r="AF319" s="1" t="str">
        <f t="shared" si="307"/>
        <v>Necropolis</v>
      </c>
      <c r="AG319" s="1" t="str">
        <f t="shared" si="308"/>
        <v>Necropolis</v>
      </c>
      <c r="AH319" s="1">
        <f t="shared" si="309"/>
        <v>63.642723848</v>
      </c>
      <c r="AI319" s="1">
        <f t="shared" si="310"/>
        <v>-162.08523741</v>
      </c>
      <c r="AJ319" s="1">
        <f t="shared" si="311"/>
        <v>985.651018458</v>
      </c>
      <c r="AK319" s="1">
        <f t="shared" si="312"/>
        <v>0</v>
      </c>
      <c r="AL319" s="1">
        <f t="shared" si="313"/>
        <v>0</v>
      </c>
      <c r="AM319" s="1">
        <f t="shared" si="314"/>
        <v>0</v>
      </c>
      <c r="AN319" s="1">
        <f t="shared" si="315"/>
        <v>0</v>
      </c>
      <c r="AP319" s="4"/>
      <c r="AQ319" s="153" t="b">
        <f>OR(AR319,AS319,AT319)</f>
        <v>0</v>
      </c>
      <c r="AR319" s="153" t="b">
        <f>ISBLANK(K2)</f>
        <v>0</v>
      </c>
      <c r="AS319" s="153" t="b">
        <f>ISBLANK(K3)</f>
        <v>0</v>
      </c>
      <c r="AT319" s="153" t="b">
        <f>ISBLANK(K4)</f>
        <v>0</v>
      </c>
    </row>
    <row r="320" customHeight="1" spans="5:40">
      <c r="E320" s="30"/>
      <c r="F320" s="30"/>
      <c r="G320" s="30"/>
      <c r="H320" s="30"/>
      <c r="I320" s="30"/>
      <c r="J320" s="30"/>
      <c r="K320" s="155"/>
      <c r="L320" s="155"/>
      <c r="M320" s="155"/>
      <c r="AC320" s="188"/>
      <c r="AE320" s="1">
        <v>10</v>
      </c>
      <c r="AF320" s="1" t="str">
        <f t="shared" si="307"/>
        <v>Outpost 54</v>
      </c>
      <c r="AG320" s="1" t="str">
        <f t="shared" si="308"/>
        <v>Outpost 54</v>
      </c>
      <c r="AH320" s="1">
        <f t="shared" si="309"/>
        <v>113.566409472</v>
      </c>
      <c r="AI320" s="1">
        <f t="shared" si="310"/>
        <v>14.479383223</v>
      </c>
      <c r="AJ320" s="1">
        <f t="shared" si="311"/>
        <v>-994.362778214</v>
      </c>
      <c r="AK320" s="1">
        <f t="shared" si="312"/>
        <v>0</v>
      </c>
      <c r="AL320" s="1">
        <f t="shared" si="313"/>
        <v>0</v>
      </c>
      <c r="AM320" s="1">
        <f t="shared" si="314"/>
        <v>0</v>
      </c>
      <c r="AN320" s="1">
        <f t="shared" si="315"/>
        <v>0</v>
      </c>
    </row>
    <row r="321" customHeight="1" spans="5:40">
      <c r="E321" s="30"/>
      <c r="F321" s="30"/>
      <c r="G321" s="30"/>
      <c r="H321" s="30"/>
      <c r="I321" s="30"/>
      <c r="J321" s="30"/>
      <c r="K321" s="155"/>
      <c r="L321" s="155"/>
      <c r="M321" s="155"/>
      <c r="AC321" s="188"/>
      <c r="AE321" s="1">
        <v>11</v>
      </c>
      <c r="AF321" s="1" t="str">
        <f t="shared" si="307"/>
        <v>DC 2UB</v>
      </c>
      <c r="AG321" s="1" t="str">
        <f t="shared" si="308"/>
        <v>DC 2UB</v>
      </c>
      <c r="AH321" s="1">
        <f t="shared" si="309"/>
        <v>907.001926866</v>
      </c>
      <c r="AI321" s="1">
        <f t="shared" si="310"/>
        <v>139.908078669</v>
      </c>
      <c r="AJ321" s="1">
        <f t="shared" si="311"/>
        <v>-397.662409549999</v>
      </c>
      <c r="AK321" s="1">
        <f t="shared" si="312"/>
        <v>0</v>
      </c>
      <c r="AL321" s="1">
        <f t="shared" si="313"/>
        <v>0</v>
      </c>
      <c r="AM321" s="1">
        <f t="shared" si="314"/>
        <v>0</v>
      </c>
      <c r="AN321" s="1">
        <f t="shared" si="315"/>
        <v>0</v>
      </c>
    </row>
    <row r="322" customHeight="1" spans="5:40">
      <c r="E322" s="30"/>
      <c r="F322" s="30"/>
      <c r="G322" s="30"/>
      <c r="H322" s="30"/>
      <c r="I322" s="30"/>
      <c r="J322" s="30"/>
      <c r="K322" s="155"/>
      <c r="L322" s="155"/>
      <c r="M322" s="155"/>
      <c r="AC322" s="188"/>
      <c r="AE322" s="1">
        <v>12</v>
      </c>
      <c r="AF322" s="1" t="str">
        <f t="shared" si="307"/>
        <v>DC 4HJ</v>
      </c>
      <c r="AG322" s="1" t="str">
        <f t="shared" si="308"/>
        <v>DC 4HJ</v>
      </c>
      <c r="AH322" s="1">
        <f t="shared" si="309"/>
        <v>-100.841420526999</v>
      </c>
      <c r="AI322" s="1">
        <f t="shared" si="310"/>
        <v>962.406628046</v>
      </c>
      <c r="AJ322" s="1">
        <f t="shared" si="311"/>
        <v>-255.721361148</v>
      </c>
      <c r="AK322" s="1">
        <f t="shared" si="312"/>
        <v>0</v>
      </c>
      <c r="AL322" s="1">
        <f t="shared" si="313"/>
        <v>0</v>
      </c>
      <c r="AM322" s="1">
        <f t="shared" si="314"/>
        <v>0</v>
      </c>
      <c r="AN322" s="1">
        <f t="shared" si="315"/>
        <v>0</v>
      </c>
    </row>
    <row r="323" customHeight="1" spans="5:40">
      <c r="E323" s="30"/>
      <c r="F323" s="30"/>
      <c r="G323" s="30"/>
      <c r="H323" s="30"/>
      <c r="I323" s="30"/>
      <c r="J323" s="30"/>
      <c r="K323" s="155"/>
      <c r="L323" s="155"/>
      <c r="M323" s="155"/>
      <c r="AC323" s="188"/>
      <c r="AE323" s="1">
        <v>13</v>
      </c>
      <c r="AF323" s="1" t="str">
        <f t="shared" si="307"/>
        <v>DC 5WQ</v>
      </c>
      <c r="AG323" s="1" t="str">
        <f t="shared" si="308"/>
        <v>DC 5WQ</v>
      </c>
      <c r="AH323" s="1">
        <f t="shared" si="309"/>
        <v>959.880006009</v>
      </c>
      <c r="AI323" s="1">
        <f t="shared" si="310"/>
        <v>40.2947158029998</v>
      </c>
      <c r="AJ323" s="1">
        <f t="shared" si="311"/>
        <v>-279.073290281999</v>
      </c>
      <c r="AK323" s="1">
        <f t="shared" si="312"/>
        <v>0</v>
      </c>
      <c r="AL323" s="1">
        <f t="shared" si="313"/>
        <v>0</v>
      </c>
      <c r="AM323" s="1">
        <f t="shared" si="314"/>
        <v>0</v>
      </c>
      <c r="AN323" s="1">
        <f t="shared" si="315"/>
        <v>0</v>
      </c>
    </row>
    <row r="324" customHeight="1" spans="5:40">
      <c r="E324" s="30"/>
      <c r="F324" s="30"/>
      <c r="G324" s="30"/>
      <c r="H324" s="30"/>
      <c r="I324" s="30"/>
      <c r="J324" s="30"/>
      <c r="K324" s="155"/>
      <c r="L324" s="155"/>
      <c r="M324" s="155"/>
      <c r="AC324" s="188"/>
      <c r="AE324" s="1">
        <v>14</v>
      </c>
      <c r="AF324" s="1" t="str">
        <f t="shared" si="307"/>
        <v>DC 8FK</v>
      </c>
      <c r="AG324" s="1" t="str">
        <f t="shared" si="308"/>
        <v>DC 8FK</v>
      </c>
      <c r="AH324" s="1">
        <f t="shared" si="309"/>
        <v>22.3972399909999</v>
      </c>
      <c r="AI324" s="1">
        <f t="shared" si="310"/>
        <v>2.904963732</v>
      </c>
      <c r="AJ324" s="1">
        <f t="shared" si="311"/>
        <v>-1000.724867091</v>
      </c>
      <c r="AK324" s="1">
        <f t="shared" si="312"/>
        <v>0</v>
      </c>
      <c r="AL324" s="1">
        <f t="shared" si="313"/>
        <v>0</v>
      </c>
      <c r="AM324" s="1">
        <f t="shared" si="314"/>
        <v>0</v>
      </c>
      <c r="AN324" s="1">
        <f t="shared" si="315"/>
        <v>0</v>
      </c>
    </row>
    <row r="325" customHeight="1" spans="5:40">
      <c r="E325" s="30"/>
      <c r="F325" s="30"/>
      <c r="G325" s="30"/>
      <c r="H325" s="30"/>
      <c r="I325" s="30"/>
      <c r="J325" s="30"/>
      <c r="K325" s="155"/>
      <c r="L325" s="155"/>
      <c r="M325" s="155"/>
      <c r="AC325" s="188"/>
      <c r="AE325" s="1">
        <v>15</v>
      </c>
      <c r="AF325" s="1" t="str">
        <f t="shared" si="307"/>
        <v>DC D79</v>
      </c>
      <c r="AG325" s="1" t="str">
        <f t="shared" si="308"/>
        <v>DC D79</v>
      </c>
      <c r="AH325" s="1">
        <f t="shared" si="309"/>
        <v>200.928137781</v>
      </c>
      <c r="AI325" s="1">
        <f t="shared" si="310"/>
        <v>308.739605014999</v>
      </c>
      <c r="AJ325" s="1">
        <f t="shared" si="311"/>
        <v>-929.820080088</v>
      </c>
      <c r="AK325" s="1">
        <f t="shared" si="312"/>
        <v>0</v>
      </c>
      <c r="AL325" s="1">
        <f t="shared" si="313"/>
        <v>0</v>
      </c>
      <c r="AM325" s="1">
        <f t="shared" si="314"/>
        <v>0</v>
      </c>
      <c r="AN325" s="1">
        <f t="shared" si="315"/>
        <v>0</v>
      </c>
    </row>
    <row r="326" customHeight="1" spans="5:40">
      <c r="E326" s="30"/>
      <c r="F326" s="30"/>
      <c r="G326" s="30"/>
      <c r="H326" s="30"/>
      <c r="I326" s="30"/>
      <c r="J326" s="30"/>
      <c r="K326" s="155"/>
      <c r="L326" s="155"/>
      <c r="M326" s="155"/>
      <c r="AE326" s="1">
        <v>16</v>
      </c>
      <c r="AF326" s="1" t="str">
        <f t="shared" si="307"/>
        <v>DC E2Q</v>
      </c>
      <c r="AG326" s="1" t="str">
        <f t="shared" si="308"/>
        <v>DC E2Q</v>
      </c>
      <c r="AH326" s="1">
        <f t="shared" si="309"/>
        <v>916.831795390999</v>
      </c>
      <c r="AI326" s="1">
        <f t="shared" si="310"/>
        <v>187.159489357999</v>
      </c>
      <c r="AJ326" s="1">
        <f t="shared" si="311"/>
        <v>-354.144106525</v>
      </c>
      <c r="AK326" s="1">
        <f t="shared" si="312"/>
        <v>0</v>
      </c>
      <c r="AL326" s="1">
        <f t="shared" si="313"/>
        <v>0</v>
      </c>
      <c r="AM326" s="1">
        <f t="shared" si="314"/>
        <v>0</v>
      </c>
      <c r="AN326" s="1">
        <f t="shared" si="315"/>
        <v>0</v>
      </c>
    </row>
    <row r="327" customHeight="1" spans="5:40">
      <c r="E327" s="30"/>
      <c r="F327" s="30"/>
      <c r="G327" s="30"/>
      <c r="H327" s="30"/>
      <c r="I327" s="30"/>
      <c r="J327" s="30"/>
      <c r="K327" s="155"/>
      <c r="L327" s="155"/>
      <c r="M327" s="155"/>
      <c r="AC327" s="188"/>
      <c r="AE327" s="1">
        <v>17</v>
      </c>
      <c r="AF327" s="1" t="str">
        <f t="shared" si="307"/>
        <v>DC KH3</v>
      </c>
      <c r="AG327" s="1" t="str">
        <f t="shared" si="308"/>
        <v>DC KH3</v>
      </c>
      <c r="AH327" s="1">
        <f t="shared" si="309"/>
        <v>-468.928187746</v>
      </c>
      <c r="AI327" s="1">
        <f t="shared" si="310"/>
        <v>801.472605984</v>
      </c>
      <c r="AJ327" s="1">
        <f t="shared" si="311"/>
        <v>-375.315782979</v>
      </c>
      <c r="AK327" s="1">
        <f t="shared" si="312"/>
        <v>0</v>
      </c>
      <c r="AL327" s="1">
        <f t="shared" si="313"/>
        <v>0</v>
      </c>
      <c r="AM327" s="1">
        <f t="shared" si="314"/>
        <v>0</v>
      </c>
      <c r="AN327" s="1">
        <f t="shared" si="315"/>
        <v>0</v>
      </c>
    </row>
    <row r="328" customHeight="1" spans="5:40">
      <c r="E328" s="30"/>
      <c r="F328" s="30"/>
      <c r="G328" s="30"/>
      <c r="H328" s="30"/>
      <c r="I328" s="30"/>
      <c r="J328" s="30"/>
      <c r="K328" s="155"/>
      <c r="L328" s="155"/>
      <c r="M328" s="155"/>
      <c r="AC328" s="188"/>
      <c r="AE328" s="1">
        <v>18</v>
      </c>
      <c r="AF328" s="1" t="str">
        <f t="shared" si="307"/>
        <v>DC L8P</v>
      </c>
      <c r="AG328" s="1" t="str">
        <f t="shared" si="308"/>
        <v>DC L8P</v>
      </c>
      <c r="AH328" s="1">
        <f t="shared" si="309"/>
        <v>-86.563453194</v>
      </c>
      <c r="AI328" s="1">
        <f t="shared" si="310"/>
        <v>218.55998655</v>
      </c>
      <c r="AJ328" s="1">
        <f t="shared" si="311"/>
        <v>-972.069793889999</v>
      </c>
      <c r="AK328" s="1">
        <f t="shared" si="312"/>
        <v>0</v>
      </c>
      <c r="AL328" s="1">
        <f t="shared" si="313"/>
        <v>0</v>
      </c>
      <c r="AM328" s="1">
        <f t="shared" si="314"/>
        <v>0</v>
      </c>
      <c r="AN328" s="1">
        <f t="shared" si="315"/>
        <v>0</v>
      </c>
    </row>
    <row r="329" customHeight="1" spans="5:40">
      <c r="E329" s="30"/>
      <c r="F329" s="30"/>
      <c r="G329" s="30"/>
      <c r="H329" s="30"/>
      <c r="I329" s="30"/>
      <c r="J329" s="30"/>
      <c r="K329" s="155"/>
      <c r="L329" s="155"/>
      <c r="M329" s="155"/>
      <c r="AC329" s="188"/>
      <c r="AE329" s="1">
        <v>19</v>
      </c>
      <c r="AF329" s="1" t="str">
        <f t="shared" si="307"/>
        <v>DC QVX</v>
      </c>
      <c r="AG329" s="1" t="str">
        <f t="shared" si="308"/>
        <v>DC QVX</v>
      </c>
      <c r="AH329" s="1">
        <f t="shared" si="309"/>
        <v>-247.944541911</v>
      </c>
      <c r="AI329" s="1">
        <f t="shared" si="310"/>
        <v>892.69862661</v>
      </c>
      <c r="AJ329" s="1">
        <f t="shared" si="311"/>
        <v>-379.677863927</v>
      </c>
      <c r="AK329" s="1">
        <f t="shared" si="312"/>
        <v>0</v>
      </c>
      <c r="AL329" s="1">
        <f t="shared" si="313"/>
        <v>0</v>
      </c>
      <c r="AM329" s="1">
        <f t="shared" si="314"/>
        <v>0</v>
      </c>
      <c r="AN329" s="1">
        <f t="shared" si="315"/>
        <v>0</v>
      </c>
    </row>
    <row r="330" customHeight="1" spans="5:40">
      <c r="E330" s="30"/>
      <c r="F330" s="30"/>
      <c r="G330" s="30"/>
      <c r="H330" s="30"/>
      <c r="I330" s="30"/>
      <c r="J330" s="30"/>
      <c r="K330" s="155"/>
      <c r="L330" s="155"/>
      <c r="M330" s="155"/>
      <c r="AC330" s="188"/>
      <c r="AE330" s="1">
        <v>20</v>
      </c>
      <c r="AF330" s="1" t="str">
        <f t="shared" si="307"/>
        <v>DC TMG</v>
      </c>
      <c r="AG330" s="1" t="str">
        <f t="shared" si="308"/>
        <v>DC TMG</v>
      </c>
      <c r="AH330" s="1">
        <f t="shared" si="309"/>
        <v>-160.991677441999</v>
      </c>
      <c r="AI330" s="1">
        <f t="shared" si="310"/>
        <v>62.4419799809999</v>
      </c>
      <c r="AJ330" s="1">
        <f t="shared" si="311"/>
        <v>985.997622497</v>
      </c>
      <c r="AK330" s="1">
        <f t="shared" si="312"/>
        <v>0</v>
      </c>
      <c r="AL330" s="1">
        <f t="shared" si="313"/>
        <v>0</v>
      </c>
      <c r="AM330" s="1">
        <f t="shared" si="314"/>
        <v>0</v>
      </c>
      <c r="AN330" s="1">
        <f t="shared" si="315"/>
        <v>0</v>
      </c>
    </row>
    <row r="331" customHeight="1" spans="5:40">
      <c r="E331" s="30"/>
      <c r="F331" s="30"/>
      <c r="G331" s="30"/>
      <c r="H331" s="30"/>
      <c r="I331" s="30"/>
      <c r="J331" s="30"/>
      <c r="K331" s="155"/>
      <c r="L331" s="155"/>
      <c r="M331" s="155"/>
      <c r="AC331" s="188"/>
      <c r="AE331" s="1">
        <v>21</v>
      </c>
      <c r="AF331" s="1" t="str">
        <f t="shared" si="307"/>
        <v>OpCtr LTI-4</v>
      </c>
      <c r="AG331" s="1" t="str">
        <f t="shared" si="308"/>
        <v>OpCtr LTI-4</v>
      </c>
      <c r="AH331" s="1">
        <f t="shared" si="309"/>
        <v>68.3643821809999</v>
      </c>
      <c r="AI331" s="1">
        <f t="shared" si="310"/>
        <v>64.2762099499999</v>
      </c>
      <c r="AJ331" s="1">
        <f t="shared" si="311"/>
        <v>-996.489556525</v>
      </c>
      <c r="AK331" s="1">
        <f t="shared" si="312"/>
        <v>0</v>
      </c>
      <c r="AL331" s="1">
        <f t="shared" si="313"/>
        <v>0</v>
      </c>
      <c r="AM331" s="1">
        <f t="shared" si="314"/>
        <v>0</v>
      </c>
      <c r="AN331" s="1">
        <f t="shared" si="315"/>
        <v>0</v>
      </c>
    </row>
    <row r="332" customHeight="1" spans="5:40">
      <c r="E332" s="30"/>
      <c r="F332" s="30"/>
      <c r="G332" s="30"/>
      <c r="H332" s="30"/>
      <c r="I332" s="30"/>
      <c r="J332" s="30"/>
      <c r="K332" s="155"/>
      <c r="L332" s="155"/>
      <c r="M332" s="155"/>
      <c r="AC332" s="188"/>
      <c r="AE332" s="1">
        <v>22</v>
      </c>
      <c r="AF332" s="1" t="str">
        <f t="shared" si="307"/>
        <v>Calhoun Pass</v>
      </c>
      <c r="AG332" s="1" t="str">
        <f t="shared" si="308"/>
        <v>Calhoun Pass</v>
      </c>
      <c r="AH332" s="1">
        <f t="shared" si="309"/>
        <v>938.116231367</v>
      </c>
      <c r="AI332" s="1">
        <f t="shared" si="310"/>
        <v>-347.817930592</v>
      </c>
      <c r="AJ332" s="1">
        <f t="shared" si="311"/>
        <v>31.707663433</v>
      </c>
      <c r="AK332" s="1">
        <f t="shared" si="312"/>
        <v>0</v>
      </c>
      <c r="AL332" s="1">
        <f t="shared" si="313"/>
        <v>0</v>
      </c>
      <c r="AM332" s="1">
        <f t="shared" si="314"/>
        <v>0</v>
      </c>
      <c r="AN332" s="1">
        <f t="shared" si="315"/>
        <v>0</v>
      </c>
    </row>
    <row r="333" customHeight="1" spans="5:40">
      <c r="E333" s="30"/>
      <c r="F333" s="30"/>
      <c r="G333" s="30"/>
      <c r="H333" s="30"/>
      <c r="I333" s="30"/>
      <c r="J333" s="30"/>
      <c r="K333" s="155"/>
      <c r="L333" s="155"/>
      <c r="M333" s="155"/>
      <c r="AC333" s="188"/>
      <c r="AE333" s="1">
        <v>23</v>
      </c>
      <c r="AF333" s="1" t="str">
        <f t="shared" si="307"/>
        <v>Clear View</v>
      </c>
      <c r="AG333" s="1" t="str">
        <f t="shared" si="308"/>
        <v>Clear View</v>
      </c>
      <c r="AH333" s="1">
        <f t="shared" si="309"/>
        <v>-609.561071826</v>
      </c>
      <c r="AI333" s="1">
        <f t="shared" si="310"/>
        <v>-688.363323031999</v>
      </c>
      <c r="AJ333" s="1">
        <f t="shared" si="311"/>
        <v>393.203256016</v>
      </c>
      <c r="AK333" s="1">
        <f t="shared" si="312"/>
        <v>0</v>
      </c>
      <c r="AL333" s="1">
        <f t="shared" si="313"/>
        <v>0</v>
      </c>
      <c r="AM333" s="1">
        <f t="shared" si="314"/>
        <v>0</v>
      </c>
      <c r="AN333" s="1">
        <f t="shared" si="315"/>
        <v>0</v>
      </c>
    </row>
    <row r="334" customHeight="1" spans="5:40">
      <c r="E334" s="30"/>
      <c r="F334" s="30"/>
      <c r="G334" s="30"/>
      <c r="H334" s="30"/>
      <c r="I334" s="30"/>
      <c r="J334" s="30"/>
      <c r="K334" s="155"/>
      <c r="L334" s="155"/>
      <c r="M334" s="155"/>
      <c r="AC334" s="188"/>
      <c r="AE334" s="1">
        <v>24</v>
      </c>
      <c r="AF334" s="1" t="str">
        <f t="shared" si="307"/>
        <v/>
      </c>
      <c r="AG334" s="1" t="str">
        <f t="shared" si="308"/>
        <v>Spaceport</v>
      </c>
      <c r="AH334" s="1">
        <f t="shared" si="309"/>
        <v>520.320401830282</v>
      </c>
      <c r="AI334" s="1">
        <f t="shared" si="310"/>
        <v>435.102213305407</v>
      </c>
      <c r="AJ334" s="1">
        <f t="shared" si="311"/>
        <v>736.226011636578</v>
      </c>
      <c r="AK334" s="1">
        <f t="shared" si="312"/>
        <v>0</v>
      </c>
      <c r="AL334" s="1">
        <f t="shared" si="313"/>
        <v>0</v>
      </c>
      <c r="AM334" s="1">
        <f t="shared" si="314"/>
        <v>0</v>
      </c>
      <c r="AN334" s="1">
        <f t="shared" si="315"/>
        <v>0</v>
      </c>
    </row>
    <row r="335" customHeight="1" spans="5:40">
      <c r="E335" s="30"/>
      <c r="F335" s="30"/>
      <c r="G335" s="30"/>
      <c r="H335" s="30"/>
      <c r="I335" s="30"/>
      <c r="J335" s="30"/>
      <c r="K335" s="155"/>
      <c r="L335" s="155"/>
      <c r="M335" s="155"/>
      <c r="AC335" s="188"/>
      <c r="AE335" s="1">
        <v>25</v>
      </c>
      <c r="AF335" s="1" t="str">
        <f t="shared" si="307"/>
        <v>Point Wain</v>
      </c>
      <c r="AG335" s="1" t="str">
        <f t="shared" si="308"/>
        <v>Point Wain</v>
      </c>
      <c r="AH335" s="1">
        <f t="shared" si="309"/>
        <v>-627.440743631</v>
      </c>
      <c r="AI335" s="1">
        <f t="shared" si="310"/>
        <v>-485.258151323998</v>
      </c>
      <c r="AJ335" s="1">
        <f t="shared" si="311"/>
        <v>611.733181289999</v>
      </c>
      <c r="AK335" s="1">
        <f t="shared" si="312"/>
        <v>0</v>
      </c>
      <c r="AL335" s="1">
        <f t="shared" si="313"/>
        <v>0</v>
      </c>
      <c r="AM335" s="1">
        <f t="shared" si="314"/>
        <v>0</v>
      </c>
      <c r="AN335" s="1">
        <f t="shared" si="315"/>
        <v>0</v>
      </c>
    </row>
    <row r="336" customHeight="1" spans="5:40">
      <c r="E336" s="30"/>
      <c r="F336" s="30"/>
      <c r="G336" s="30"/>
      <c r="H336" s="30"/>
      <c r="I336" s="30"/>
      <c r="J336" s="30"/>
      <c r="K336" s="155"/>
      <c r="L336" s="155"/>
      <c r="M336" s="155"/>
      <c r="AE336" s="1">
        <v>26</v>
      </c>
      <c r="AF336" s="1" t="str">
        <f t="shared" si="307"/>
        <v>Ghost Hollow</v>
      </c>
      <c r="AG336" s="1" t="str">
        <f t="shared" si="308"/>
        <v>Ghost Hollow</v>
      </c>
      <c r="AH336" s="1">
        <f t="shared" si="309"/>
        <v>-127.193553939</v>
      </c>
      <c r="AI336" s="1">
        <f t="shared" si="310"/>
        <v>982.003985381999</v>
      </c>
      <c r="AJ336" s="1">
        <f t="shared" si="311"/>
        <v>149.145067474999</v>
      </c>
      <c r="AK336" s="1">
        <f t="shared" si="312"/>
        <v>0</v>
      </c>
      <c r="AL336" s="1">
        <f t="shared" si="313"/>
        <v>0</v>
      </c>
      <c r="AM336" s="1">
        <f t="shared" si="314"/>
        <v>0</v>
      </c>
      <c r="AN336" s="1">
        <f t="shared" si="315"/>
        <v>0</v>
      </c>
    </row>
    <row r="337" customHeight="1" spans="5:40">
      <c r="E337" s="30"/>
      <c r="F337" s="30"/>
      <c r="G337" s="30"/>
      <c r="H337" s="30"/>
      <c r="I337" s="30"/>
      <c r="J337" s="30"/>
      <c r="K337" s="155"/>
      <c r="L337" s="155"/>
      <c r="M337" s="155"/>
      <c r="AC337" s="188"/>
      <c r="AE337" s="1">
        <v>27</v>
      </c>
      <c r="AF337" s="1" t="str">
        <f t="shared" si="307"/>
        <v>ST4-22</v>
      </c>
      <c r="AG337" s="1" t="str">
        <f t="shared" si="308"/>
        <v>ST4-22</v>
      </c>
      <c r="AH337" s="1">
        <f t="shared" si="309"/>
        <v>1395.18702770233</v>
      </c>
      <c r="AI337" s="1">
        <f t="shared" si="310"/>
        <v>1967.74453779602</v>
      </c>
      <c r="AJ337" s="1">
        <f t="shared" si="311"/>
        <v>24</v>
      </c>
      <c r="AK337" s="1">
        <f t="shared" si="312"/>
        <v>0</v>
      </c>
      <c r="AL337" s="1">
        <f t="shared" si="313"/>
        <v>0</v>
      </c>
      <c r="AM337" s="1">
        <f t="shared" si="314"/>
        <v>0</v>
      </c>
      <c r="AN337" s="1">
        <f t="shared" si="315"/>
        <v>0</v>
      </c>
    </row>
    <row r="338" customHeight="1" spans="5:40">
      <c r="E338" s="30"/>
      <c r="F338" s="30"/>
      <c r="G338" s="30"/>
      <c r="H338" s="30"/>
      <c r="I338" s="30"/>
      <c r="J338" s="30"/>
      <c r="K338" s="155"/>
      <c r="L338" s="155"/>
      <c r="M338" s="155"/>
      <c r="AC338" s="188"/>
      <c r="AE338" s="1">
        <v>28</v>
      </c>
      <c r="AF338" s="1" t="str">
        <f t="shared" si="307"/>
        <v>Astors</v>
      </c>
      <c r="AG338" s="1" t="str">
        <f t="shared" si="308"/>
        <v>Astors</v>
      </c>
      <c r="AH338" s="1">
        <f t="shared" si="309"/>
        <v>-810.219016957</v>
      </c>
      <c r="AI338" s="1">
        <f t="shared" si="310"/>
        <v>577.883641289</v>
      </c>
      <c r="AJ338" s="1">
        <f t="shared" si="311"/>
        <v>-101.430451723</v>
      </c>
      <c r="AK338" s="1">
        <f t="shared" si="312"/>
        <v>0</v>
      </c>
      <c r="AL338" s="1">
        <f t="shared" si="313"/>
        <v>0</v>
      </c>
      <c r="AM338" s="1">
        <f t="shared" si="314"/>
        <v>0</v>
      </c>
      <c r="AN338" s="1">
        <f t="shared" si="315"/>
        <v>0</v>
      </c>
    </row>
    <row r="339" customHeight="1" spans="5:40">
      <c r="E339" s="30"/>
      <c r="F339" s="30"/>
      <c r="G339" s="30"/>
      <c r="H339" s="30"/>
      <c r="I339" s="30"/>
      <c r="J339" s="30"/>
      <c r="K339" s="155"/>
      <c r="L339" s="155"/>
      <c r="M339" s="155"/>
      <c r="AC339" s="188"/>
      <c r="AE339" s="1">
        <v>29</v>
      </c>
      <c r="AF339" s="1" t="str">
        <f t="shared" si="307"/>
        <v/>
      </c>
      <c r="AG339" s="1" t="str">
        <f t="shared" si="308"/>
        <v>Bloodshot</v>
      </c>
      <c r="AH339" s="1">
        <f t="shared" si="309"/>
        <v>733.939579616999</v>
      </c>
      <c r="AI339" s="1">
        <f t="shared" si="310"/>
        <v>-674.64842261</v>
      </c>
      <c r="AJ339" s="1">
        <f t="shared" si="311"/>
        <v>101.875648837999</v>
      </c>
      <c r="AK339" s="1">
        <f t="shared" si="312"/>
        <v>0</v>
      </c>
      <c r="AL339" s="1">
        <f t="shared" si="313"/>
        <v>0</v>
      </c>
      <c r="AM339" s="1">
        <f t="shared" si="314"/>
        <v>0</v>
      </c>
      <c r="AN339" s="1">
        <f t="shared" si="315"/>
        <v>0</v>
      </c>
    </row>
    <row r="340" customHeight="1" spans="5:40">
      <c r="E340" s="30"/>
      <c r="F340" s="30"/>
      <c r="G340" s="30"/>
      <c r="H340" s="30"/>
      <c r="I340" s="30"/>
      <c r="J340" s="30"/>
      <c r="K340" s="155"/>
      <c r="L340" s="155"/>
      <c r="M340" s="155"/>
      <c r="AC340" s="188"/>
      <c r="AE340" s="1">
        <v>30</v>
      </c>
      <c r="AF340" s="1" t="str">
        <f t="shared" si="307"/>
        <v>Dunboro</v>
      </c>
      <c r="AG340" s="1" t="str">
        <f t="shared" si="308"/>
        <v>Dunboro</v>
      </c>
      <c r="AH340" s="1">
        <f t="shared" si="309"/>
        <v>-735.672192799999</v>
      </c>
      <c r="AI340" s="1">
        <f t="shared" si="310"/>
        <v>678.040346404999</v>
      </c>
      <c r="AJ340" s="1">
        <f t="shared" si="311"/>
        <v>9.30993913099999</v>
      </c>
      <c r="AK340" s="1">
        <f t="shared" si="312"/>
        <v>0</v>
      </c>
      <c r="AL340" s="1">
        <f t="shared" si="313"/>
        <v>0</v>
      </c>
      <c r="AM340" s="1">
        <f t="shared" si="314"/>
        <v>0</v>
      </c>
      <c r="AN340" s="1">
        <f t="shared" si="315"/>
        <v>0</v>
      </c>
    </row>
    <row r="341" customHeight="1" spans="5:40">
      <c r="E341" s="30"/>
      <c r="F341" s="30"/>
      <c r="G341" s="30"/>
      <c r="H341" s="30"/>
      <c r="I341" s="30"/>
      <c r="J341" s="30"/>
      <c r="K341" s="155"/>
      <c r="L341" s="155"/>
      <c r="M341" s="155"/>
      <c r="AC341" s="188"/>
      <c r="AE341" s="1">
        <v>31</v>
      </c>
      <c r="AF341" s="1" t="str">
        <f t="shared" si="307"/>
        <v/>
      </c>
      <c r="AG341" s="1" t="str">
        <f t="shared" si="308"/>
        <v>Frostbite</v>
      </c>
      <c r="AH341" s="1">
        <f t="shared" si="309"/>
        <v>539.619934335</v>
      </c>
      <c r="AI341" s="1">
        <f t="shared" si="310"/>
        <v>762.338992717999</v>
      </c>
      <c r="AJ341" s="1">
        <f t="shared" si="311"/>
        <v>-361.447888067</v>
      </c>
      <c r="AK341" s="1">
        <f t="shared" si="312"/>
        <v>0</v>
      </c>
      <c r="AL341" s="1">
        <f t="shared" si="313"/>
        <v>0</v>
      </c>
      <c r="AM341" s="1">
        <f t="shared" si="314"/>
        <v>0</v>
      </c>
      <c r="AN341" s="1">
        <f t="shared" si="315"/>
        <v>0</v>
      </c>
    </row>
    <row r="342" customHeight="1" spans="5:40">
      <c r="E342" s="30"/>
      <c r="F342" s="30"/>
      <c r="G342" s="30"/>
      <c r="H342" s="30"/>
      <c r="I342" s="30"/>
      <c r="J342" s="30"/>
      <c r="K342" s="155"/>
      <c r="L342" s="155"/>
      <c r="M342" s="155"/>
      <c r="AC342" s="188"/>
      <c r="AE342" s="1">
        <v>32</v>
      </c>
      <c r="AF342" s="1" t="str">
        <f t="shared" si="307"/>
        <v>Harpers</v>
      </c>
      <c r="AG342" s="1" t="str">
        <f t="shared" si="308"/>
        <v>Harpers</v>
      </c>
      <c r="AH342" s="1">
        <f t="shared" si="309"/>
        <v>-687.373417784</v>
      </c>
      <c r="AI342" s="1">
        <f t="shared" si="310"/>
        <v>716.61301141</v>
      </c>
      <c r="AJ342" s="1">
        <f t="shared" si="311"/>
        <v>128.227454472</v>
      </c>
      <c r="AK342" s="1">
        <f t="shared" si="312"/>
        <v>0</v>
      </c>
      <c r="AL342" s="1">
        <f t="shared" si="313"/>
        <v>0</v>
      </c>
      <c r="AM342" s="1">
        <f t="shared" si="314"/>
        <v>0</v>
      </c>
      <c r="AN342" s="1">
        <f t="shared" si="315"/>
        <v>0</v>
      </c>
    </row>
    <row r="343" customHeight="1" spans="5:40">
      <c r="E343" s="30"/>
      <c r="F343" s="30"/>
      <c r="G343" s="30"/>
      <c r="H343" s="30"/>
      <c r="I343" s="30"/>
      <c r="J343" s="30"/>
      <c r="K343" s="155"/>
      <c r="L343" s="155"/>
      <c r="M343" s="155"/>
      <c r="AC343" s="188"/>
      <c r="AE343" s="1">
        <v>33</v>
      </c>
      <c r="AF343" s="1" t="str">
        <f t="shared" ref="AF343:AF374" si="316">_xlfn.IFNA(IF(VLOOKUP(CONCATENATE(BodyName," ",IF(AE343&lt;10,"0",""),AE343),Database,13,FALSE),AG343,""),"")</f>
        <v/>
      </c>
      <c r="AG343" s="1" t="str">
        <f t="shared" ref="AG343:AG374" si="317">_xlfn.IFNA(VLOOKUP(CONCATENATE(BodyName," ",IF(AE343&lt;10,"0",""),AE343),Database,5,FALSE),"")</f>
        <v>Moreland</v>
      </c>
      <c r="AH343" s="1">
        <f t="shared" ref="AH343:AH374" si="318">_xlfn.IFNA(VLOOKUP(CONCATENATE(BodyName," ",IF(AE343&lt;10,"0",""),AE343),Database,6,FALSE),"")</f>
        <v>-665.087764925</v>
      </c>
      <c r="AI343" s="1">
        <f t="shared" ref="AI343:AI374" si="319">_xlfn.IFNA(VLOOKUP(CONCATENATE(BodyName," ",IF(AE343&lt;10,"0",""),AE343),Database,7,FALSE),"")</f>
        <v>726.918075026</v>
      </c>
      <c r="AJ343" s="1">
        <f t="shared" ref="AJ343:AJ374" si="320">_xlfn.IFNA(VLOOKUP(CONCATENATE(BodyName," ",IF(AE343&lt;10,"0",""),AE343),Database,8,FALSE),"")</f>
        <v>178.063924494</v>
      </c>
      <c r="AK343" s="1">
        <f t="shared" ref="AK343:AK374" si="321">_xlfn.IFNA(VLOOKUP(CONCATENATE(BodyName," ",IF(AE343&lt;10,"0",""),AE343),Database,9,FALSE),"")</f>
        <v>0</v>
      </c>
      <c r="AL343" s="1">
        <f t="shared" ref="AL343:AL374" si="322">_xlfn.IFNA(VLOOKUP(CONCATENATE(BodyName," ",IF(AE343&lt;10,"0",""),AE343),Database,10,FALSE),"")</f>
        <v>0</v>
      </c>
      <c r="AM343" s="1">
        <f t="shared" ref="AM343:AM374" si="323">_xlfn.IFNA(VLOOKUP(CONCATENATE(BodyName," ",IF(AE343&lt;10,"0",""),AE343),Database,11,FALSE),"")</f>
        <v>0</v>
      </c>
      <c r="AN343" s="1">
        <f t="shared" ref="AN343:AN374" si="324">_xlfn.IFNA(VLOOKUP(CONCATENATE(BodyName," ",IF(AE343&lt;10,"0",""),AE343),Database,12,FALSE),"")</f>
        <v>0</v>
      </c>
    </row>
    <row r="344" customHeight="1" spans="5:40">
      <c r="E344" s="30"/>
      <c r="F344" s="30"/>
      <c r="G344" s="30"/>
      <c r="H344" s="30"/>
      <c r="I344" s="30"/>
      <c r="J344" s="30"/>
      <c r="K344" s="155"/>
      <c r="L344" s="155"/>
      <c r="M344" s="155"/>
      <c r="AC344" s="188"/>
      <c r="AE344" s="1">
        <v>34</v>
      </c>
      <c r="AF344" s="1" t="str">
        <f t="shared" si="316"/>
        <v/>
      </c>
      <c r="AG344" s="1" t="str">
        <f t="shared" si="317"/>
        <v>Razors</v>
      </c>
      <c r="AH344" s="1">
        <f t="shared" si="318"/>
        <v>-666.067306713999</v>
      </c>
      <c r="AI344" s="1">
        <f t="shared" si="319"/>
        <v>726.221158387999</v>
      </c>
      <c r="AJ344" s="1">
        <f t="shared" si="320"/>
        <v>179.517785705999</v>
      </c>
      <c r="AK344" s="1">
        <f t="shared" si="321"/>
        <v>0</v>
      </c>
      <c r="AL344" s="1">
        <f t="shared" si="322"/>
        <v>0</v>
      </c>
      <c r="AM344" s="1">
        <f t="shared" si="323"/>
        <v>0</v>
      </c>
      <c r="AN344" s="1">
        <f t="shared" si="324"/>
        <v>0</v>
      </c>
    </row>
    <row r="345" customHeight="1" spans="5:40">
      <c r="E345" s="30"/>
      <c r="F345" s="30"/>
      <c r="G345" s="30"/>
      <c r="H345" s="30"/>
      <c r="I345" s="30"/>
      <c r="J345" s="30"/>
      <c r="K345" s="155"/>
      <c r="L345" s="155"/>
      <c r="M345" s="155"/>
      <c r="AC345" s="188"/>
      <c r="AE345" s="1">
        <v>35</v>
      </c>
      <c r="AF345" s="1" t="str">
        <f t="shared" si="316"/>
        <v>S4DC05</v>
      </c>
      <c r="AG345" s="1" t="str">
        <f t="shared" si="317"/>
        <v>S4DC05</v>
      </c>
      <c r="AH345" s="1">
        <f t="shared" si="318"/>
        <v>-332.505016295999</v>
      </c>
      <c r="AI345" s="1">
        <f t="shared" si="319"/>
        <v>897.833806883999</v>
      </c>
      <c r="AJ345" s="1">
        <f t="shared" si="320"/>
        <v>-290.234081721</v>
      </c>
      <c r="AK345" s="1">
        <f t="shared" si="321"/>
        <v>0</v>
      </c>
      <c r="AL345" s="1">
        <f t="shared" si="322"/>
        <v>0</v>
      </c>
      <c r="AM345" s="1">
        <f t="shared" si="323"/>
        <v>0</v>
      </c>
      <c r="AN345" s="1">
        <f t="shared" si="324"/>
        <v>0</v>
      </c>
    </row>
    <row r="346" customHeight="1" spans="5:40">
      <c r="E346" s="30"/>
      <c r="F346" s="30"/>
      <c r="G346" s="30"/>
      <c r="H346" s="30"/>
      <c r="I346" s="30"/>
      <c r="J346" s="30"/>
      <c r="K346" s="155"/>
      <c r="L346" s="155"/>
      <c r="M346" s="155"/>
      <c r="AC346" s="188"/>
      <c r="AE346" s="1">
        <v>36</v>
      </c>
      <c r="AF346" s="1" t="str">
        <f t="shared" si="316"/>
        <v>CryAstro 19-02</v>
      </c>
      <c r="AG346" s="1" t="str">
        <f t="shared" si="317"/>
        <v>CryAstro 19-02</v>
      </c>
      <c r="AH346" s="1">
        <f t="shared" si="318"/>
        <v>584.139223971999</v>
      </c>
      <c r="AI346" s="1">
        <f t="shared" si="319"/>
        <v>-0.789386706</v>
      </c>
      <c r="AJ346" s="1">
        <f t="shared" si="320"/>
        <v>812.169190745</v>
      </c>
      <c r="AK346" s="1">
        <f t="shared" si="321"/>
        <v>0</v>
      </c>
      <c r="AL346" s="1">
        <f t="shared" si="322"/>
        <v>0</v>
      </c>
      <c r="AM346" s="1">
        <f t="shared" si="323"/>
        <v>0</v>
      </c>
      <c r="AN346" s="1">
        <f t="shared" si="324"/>
        <v>0</v>
      </c>
    </row>
    <row r="347" customHeight="1" spans="5:40">
      <c r="E347" s="30"/>
      <c r="F347" s="30"/>
      <c r="G347" s="30"/>
      <c r="H347" s="30"/>
      <c r="I347" s="30"/>
      <c r="J347" s="30"/>
      <c r="K347" s="155"/>
      <c r="L347" s="155"/>
      <c r="M347" s="155"/>
      <c r="AC347" s="188"/>
      <c r="AE347" s="1">
        <v>37</v>
      </c>
      <c r="AF347" s="1" t="str">
        <f t="shared" si="316"/>
        <v>CryAstro 34-12</v>
      </c>
      <c r="AG347" s="1" t="str">
        <f t="shared" si="317"/>
        <v>CryAstro 34-12</v>
      </c>
      <c r="AH347" s="1">
        <f t="shared" si="318"/>
        <v>-316.284851151</v>
      </c>
      <c r="AI347" s="1">
        <f t="shared" si="319"/>
        <v>-882.04033701</v>
      </c>
      <c r="AJ347" s="1">
        <f t="shared" si="320"/>
        <v>-350.639382315</v>
      </c>
      <c r="AK347" s="1">
        <f t="shared" si="321"/>
        <v>0</v>
      </c>
      <c r="AL347" s="1">
        <f t="shared" si="322"/>
        <v>0</v>
      </c>
      <c r="AM347" s="1">
        <f t="shared" si="323"/>
        <v>0</v>
      </c>
      <c r="AN347" s="1">
        <f t="shared" si="324"/>
        <v>0</v>
      </c>
    </row>
    <row r="348" customHeight="1" spans="5:40">
      <c r="E348" s="30"/>
      <c r="F348" s="30"/>
      <c r="G348" s="30"/>
      <c r="H348" s="30"/>
      <c r="I348" s="30"/>
      <c r="J348" s="30"/>
      <c r="K348" s="155"/>
      <c r="L348" s="155"/>
      <c r="M348" s="155"/>
      <c r="AC348" s="188"/>
      <c r="AE348" s="1">
        <v>38</v>
      </c>
      <c r="AF348" s="1" t="str">
        <f t="shared" si="316"/>
        <v>Greycat IV PCA</v>
      </c>
      <c r="AG348" s="1" t="str">
        <f t="shared" si="317"/>
        <v>Greycat IV PCA</v>
      </c>
      <c r="AH348" s="1">
        <f t="shared" si="318"/>
        <v>-423.347337066999</v>
      </c>
      <c r="AI348" s="1">
        <f t="shared" si="319"/>
        <v>-141.168748082</v>
      </c>
      <c r="AJ348" s="1">
        <f t="shared" si="320"/>
        <v>-895.144870543</v>
      </c>
      <c r="AK348" s="1">
        <f t="shared" si="321"/>
        <v>0</v>
      </c>
      <c r="AL348" s="1">
        <f t="shared" si="322"/>
        <v>0</v>
      </c>
      <c r="AM348" s="1">
        <f t="shared" si="323"/>
        <v>0</v>
      </c>
      <c r="AN348" s="1">
        <f t="shared" si="324"/>
        <v>0</v>
      </c>
    </row>
    <row r="349" customHeight="1" spans="5:40">
      <c r="E349" s="30"/>
      <c r="F349" s="30"/>
      <c r="G349" s="30"/>
      <c r="H349" s="30"/>
      <c r="I349" s="30"/>
      <c r="J349" s="30"/>
      <c r="K349" s="155"/>
      <c r="L349" s="155"/>
      <c r="M349" s="155"/>
      <c r="AC349" s="188"/>
      <c r="AE349" s="1">
        <v>39</v>
      </c>
      <c r="AF349" s="1" t="str">
        <f t="shared" si="316"/>
        <v>S4LD01</v>
      </c>
      <c r="AG349" s="1" t="str">
        <f t="shared" si="317"/>
        <v>S4LD01</v>
      </c>
      <c r="AH349" s="1">
        <f t="shared" si="318"/>
        <v>884.615003940999</v>
      </c>
      <c r="AI349" s="1">
        <f t="shared" si="319"/>
        <v>467.867816999999</v>
      </c>
      <c r="AJ349" s="1">
        <f t="shared" si="320"/>
        <v>-19.1525361889999</v>
      </c>
      <c r="AK349" s="1">
        <f t="shared" si="321"/>
        <v>0</v>
      </c>
      <c r="AL349" s="1">
        <f t="shared" si="322"/>
        <v>0</v>
      </c>
      <c r="AM349" s="1">
        <f t="shared" si="323"/>
        <v>0</v>
      </c>
      <c r="AN349" s="1">
        <f t="shared" si="324"/>
        <v>0</v>
      </c>
    </row>
    <row r="350" customHeight="1" spans="5:40">
      <c r="E350" s="30"/>
      <c r="F350" s="30"/>
      <c r="G350" s="30"/>
      <c r="H350" s="30"/>
      <c r="I350" s="30"/>
      <c r="J350" s="30"/>
      <c r="K350" s="155"/>
      <c r="L350" s="155"/>
      <c r="M350" s="155"/>
      <c r="AC350" s="188"/>
      <c r="AE350" s="1">
        <v>40</v>
      </c>
      <c r="AF350" s="1" t="str">
        <f t="shared" si="316"/>
        <v>S4LD13</v>
      </c>
      <c r="AG350" s="1" t="str">
        <f t="shared" si="317"/>
        <v>S4LD13</v>
      </c>
      <c r="AH350" s="1">
        <f t="shared" si="318"/>
        <v>843.837953494</v>
      </c>
      <c r="AI350" s="1">
        <f t="shared" si="319"/>
        <v>-179.534831679</v>
      </c>
      <c r="AJ350" s="1">
        <f t="shared" si="320"/>
        <v>505.834097438</v>
      </c>
      <c r="AK350" s="1">
        <f t="shared" si="321"/>
        <v>0</v>
      </c>
      <c r="AL350" s="1">
        <f t="shared" si="322"/>
        <v>0</v>
      </c>
      <c r="AM350" s="1">
        <f t="shared" si="323"/>
        <v>0</v>
      </c>
      <c r="AN350" s="1">
        <f t="shared" si="324"/>
        <v>0</v>
      </c>
    </row>
    <row r="351" customHeight="1" spans="5:40">
      <c r="E351" s="30"/>
      <c r="F351" s="30"/>
      <c r="G351" s="30"/>
      <c r="H351" s="30"/>
      <c r="I351" s="30"/>
      <c r="J351" s="30"/>
      <c r="K351" s="155"/>
      <c r="L351" s="155"/>
      <c r="M351" s="155"/>
      <c r="AC351" s="188"/>
      <c r="AE351" s="1">
        <v>41</v>
      </c>
      <c r="AF351" s="1" t="str">
        <f t="shared" si="316"/>
        <v>Goldenrod</v>
      </c>
      <c r="AG351" s="1" t="str">
        <f t="shared" si="317"/>
        <v>Goldenrod</v>
      </c>
      <c r="AH351" s="1">
        <f t="shared" si="318"/>
        <v>-173.422432138</v>
      </c>
      <c r="AI351" s="1">
        <f t="shared" si="319"/>
        <v>-923.630455717999</v>
      </c>
      <c r="AJ351" s="1">
        <f t="shared" si="320"/>
        <v>-343.264571051999</v>
      </c>
      <c r="AK351" s="1">
        <f t="shared" si="321"/>
        <v>0</v>
      </c>
      <c r="AL351" s="1">
        <f t="shared" si="322"/>
        <v>0</v>
      </c>
      <c r="AM351" s="1">
        <f t="shared" si="323"/>
        <v>0</v>
      </c>
      <c r="AN351" s="1">
        <f t="shared" si="324"/>
        <v>0</v>
      </c>
    </row>
    <row r="352" customHeight="1" spans="5:40">
      <c r="E352" s="30"/>
      <c r="F352" s="30"/>
      <c r="G352" s="30"/>
      <c r="H352" s="30"/>
      <c r="I352" s="30"/>
      <c r="J352" s="30"/>
      <c r="K352" s="155"/>
      <c r="L352" s="155"/>
      <c r="M352" s="155"/>
      <c r="AC352" s="188"/>
      <c r="AE352" s="1">
        <v>42</v>
      </c>
      <c r="AF352" s="1" t="str">
        <f t="shared" si="316"/>
        <v/>
      </c>
      <c r="AG352" s="1" t="str">
        <f t="shared" si="317"/>
        <v>Settlement 14N</v>
      </c>
      <c r="AH352" s="1">
        <f t="shared" si="318"/>
        <v>-154.512351289</v>
      </c>
      <c r="AI352" s="1">
        <f t="shared" si="319"/>
        <v>-984.296107581999</v>
      </c>
      <c r="AJ352" s="1">
        <f t="shared" si="320"/>
        <v>93.975155987</v>
      </c>
      <c r="AK352" s="1">
        <f t="shared" si="321"/>
        <v>0</v>
      </c>
      <c r="AL352" s="1">
        <f t="shared" si="322"/>
        <v>0</v>
      </c>
      <c r="AM352" s="1">
        <f t="shared" si="323"/>
        <v>0</v>
      </c>
      <c r="AN352" s="1">
        <f t="shared" si="324"/>
        <v>0</v>
      </c>
    </row>
    <row r="353" customHeight="1" spans="5:40">
      <c r="E353" s="30"/>
      <c r="F353" s="30"/>
      <c r="G353" s="30"/>
      <c r="H353" s="30"/>
      <c r="I353" s="30"/>
      <c r="J353" s="30"/>
      <c r="K353" s="155"/>
      <c r="L353" s="155"/>
      <c r="M353" s="155"/>
      <c r="AC353" s="188"/>
      <c r="AE353" s="1">
        <v>43</v>
      </c>
      <c r="AF353" s="1" t="str">
        <f t="shared" si="316"/>
        <v/>
      </c>
      <c r="AG353" s="1" t="str">
        <f t="shared" si="317"/>
        <v>Settlement 16N</v>
      </c>
      <c r="AH353" s="1">
        <f t="shared" si="318"/>
        <v>20.614093015</v>
      </c>
      <c r="AI353" s="1">
        <f t="shared" si="319"/>
        <v>-1000.709692701</v>
      </c>
      <c r="AJ353" s="1">
        <f t="shared" si="320"/>
        <v>8.921606672</v>
      </c>
      <c r="AK353" s="1">
        <f t="shared" si="321"/>
        <v>0</v>
      </c>
      <c r="AL353" s="1">
        <f t="shared" si="322"/>
        <v>0</v>
      </c>
      <c r="AM353" s="1">
        <f t="shared" si="323"/>
        <v>0</v>
      </c>
      <c r="AN353" s="1">
        <f t="shared" si="324"/>
        <v>0</v>
      </c>
    </row>
    <row r="354" customHeight="1" spans="5:40">
      <c r="E354" s="30"/>
      <c r="F354" s="30"/>
      <c r="G354" s="30"/>
      <c r="H354" s="30"/>
      <c r="I354" s="30"/>
      <c r="J354" s="30"/>
      <c r="K354" s="155"/>
      <c r="L354" s="155"/>
      <c r="M354" s="155"/>
      <c r="AC354" s="188"/>
      <c r="AE354" s="1">
        <v>44</v>
      </c>
      <c r="AF354" s="1" t="str">
        <f t="shared" si="316"/>
        <v/>
      </c>
      <c r="AG354" s="1" t="str">
        <f t="shared" si="317"/>
        <v>Settlement 23N</v>
      </c>
      <c r="AH354" s="1">
        <f t="shared" si="318"/>
        <v>669.478935367999</v>
      </c>
      <c r="AI354" s="1">
        <f t="shared" si="319"/>
        <v>-731.271787499999</v>
      </c>
      <c r="AJ354" s="1">
        <f t="shared" si="320"/>
        <v>138.155074789</v>
      </c>
      <c r="AK354" s="1">
        <f t="shared" si="321"/>
        <v>0</v>
      </c>
      <c r="AL354" s="1">
        <f t="shared" si="322"/>
        <v>0</v>
      </c>
      <c r="AM354" s="1">
        <f t="shared" si="323"/>
        <v>0</v>
      </c>
      <c r="AN354" s="1">
        <f t="shared" si="324"/>
        <v>0</v>
      </c>
    </row>
    <row r="355" customHeight="1" spans="5:40">
      <c r="E355" s="30"/>
      <c r="F355" s="30"/>
      <c r="G355" s="30"/>
      <c r="H355" s="30"/>
      <c r="I355" s="30"/>
      <c r="J355" s="30"/>
      <c r="K355" s="155"/>
      <c r="L355" s="155"/>
      <c r="M355" s="155"/>
      <c r="AC355" s="188"/>
      <c r="AE355" s="1">
        <v>45</v>
      </c>
      <c r="AF355" s="1" t="str">
        <f t="shared" si="316"/>
        <v/>
      </c>
      <c r="AG355" s="1" t="str">
        <f t="shared" si="317"/>
        <v>Settlement 34V</v>
      </c>
      <c r="AH355" s="1">
        <f t="shared" si="318"/>
        <v>420.962127608</v>
      </c>
      <c r="AI355" s="1">
        <f t="shared" si="319"/>
        <v>172.436136824999</v>
      </c>
      <c r="AJ355" s="1">
        <f t="shared" si="320"/>
        <v>890.822923225</v>
      </c>
      <c r="AK355" s="1">
        <f t="shared" si="321"/>
        <v>0</v>
      </c>
      <c r="AL355" s="1">
        <f t="shared" si="322"/>
        <v>0</v>
      </c>
      <c r="AM355" s="1">
        <f t="shared" si="323"/>
        <v>0</v>
      </c>
      <c r="AN355" s="1">
        <f t="shared" si="324"/>
        <v>0</v>
      </c>
    </row>
    <row r="356" customHeight="1" spans="5:40">
      <c r="E356" s="30"/>
      <c r="F356" s="30"/>
      <c r="G356" s="30"/>
      <c r="H356" s="30"/>
      <c r="I356" s="30"/>
      <c r="J356" s="30"/>
      <c r="K356" s="155"/>
      <c r="L356" s="155"/>
      <c r="M356" s="155"/>
      <c r="AC356" s="188"/>
      <c r="AE356" s="1">
        <v>46</v>
      </c>
      <c r="AF356" s="1" t="str">
        <f t="shared" si="316"/>
        <v/>
      </c>
      <c r="AG356" s="1" t="str">
        <f t="shared" si="317"/>
        <v>Settlement 35R</v>
      </c>
      <c r="AH356" s="1">
        <f t="shared" si="318"/>
        <v>808.969948483</v>
      </c>
      <c r="AI356" s="1">
        <f t="shared" si="319"/>
        <v>416.799127286</v>
      </c>
      <c r="AJ356" s="1">
        <f t="shared" si="320"/>
        <v>415.698917468</v>
      </c>
      <c r="AK356" s="1">
        <f t="shared" si="321"/>
        <v>0</v>
      </c>
      <c r="AL356" s="1">
        <f t="shared" si="322"/>
        <v>0</v>
      </c>
      <c r="AM356" s="1">
        <f t="shared" si="323"/>
        <v>0</v>
      </c>
      <c r="AN356" s="1">
        <f t="shared" si="324"/>
        <v>0</v>
      </c>
    </row>
    <row r="357" customHeight="1" spans="5:40">
      <c r="E357" s="30"/>
      <c r="F357" s="30"/>
      <c r="G357" s="30"/>
      <c r="H357" s="30"/>
      <c r="I357" s="30"/>
      <c r="J357" s="30"/>
      <c r="K357" s="155"/>
      <c r="L357" s="155"/>
      <c r="M357" s="155"/>
      <c r="AC357" s="188"/>
      <c r="AE357" s="1">
        <v>47</v>
      </c>
      <c r="AF357" s="1" t="str">
        <f t="shared" si="316"/>
        <v/>
      </c>
      <c r="AG357" s="1" t="str">
        <f t="shared" si="317"/>
        <v>Settlement 36T</v>
      </c>
      <c r="AH357" s="1">
        <f t="shared" si="318"/>
        <v>559.167050289</v>
      </c>
      <c r="AI357" s="1">
        <f t="shared" si="319"/>
        <v>386.753813170999</v>
      </c>
      <c r="AJ357" s="1">
        <f t="shared" si="320"/>
        <v>733.407084939999</v>
      </c>
      <c r="AK357" s="1">
        <f t="shared" si="321"/>
        <v>0</v>
      </c>
      <c r="AL357" s="1">
        <f t="shared" si="322"/>
        <v>0</v>
      </c>
      <c r="AM357" s="1">
        <f t="shared" si="323"/>
        <v>0</v>
      </c>
      <c r="AN357" s="1">
        <f t="shared" si="324"/>
        <v>0</v>
      </c>
    </row>
    <row r="358" customHeight="1" spans="5:40">
      <c r="E358" s="30"/>
      <c r="F358" s="30"/>
      <c r="G358" s="30"/>
      <c r="H358" s="30"/>
      <c r="I358" s="30"/>
      <c r="J358" s="30"/>
      <c r="K358" s="155"/>
      <c r="L358" s="155"/>
      <c r="M358" s="155"/>
      <c r="AC358" s="188"/>
      <c r="AE358" s="1">
        <v>48</v>
      </c>
      <c r="AF358" s="1" t="str">
        <f t="shared" si="316"/>
        <v/>
      </c>
      <c r="AG358" s="1" t="str">
        <f t="shared" si="317"/>
        <v>Settlement 36U</v>
      </c>
      <c r="AH358" s="1">
        <f t="shared" si="318"/>
        <v>517.841119621</v>
      </c>
      <c r="AI358" s="1">
        <f t="shared" si="319"/>
        <v>361.649282301</v>
      </c>
      <c r="AJ358" s="1">
        <f t="shared" si="320"/>
        <v>777.067530642</v>
      </c>
      <c r="AK358" s="1">
        <f t="shared" si="321"/>
        <v>0</v>
      </c>
      <c r="AL358" s="1">
        <f t="shared" si="322"/>
        <v>0</v>
      </c>
      <c r="AM358" s="1">
        <f t="shared" si="323"/>
        <v>0</v>
      </c>
      <c r="AN358" s="1">
        <f t="shared" si="324"/>
        <v>0</v>
      </c>
    </row>
    <row r="359" customHeight="1" spans="5:40">
      <c r="E359" s="30"/>
      <c r="F359" s="30"/>
      <c r="G359" s="30"/>
      <c r="H359" s="30"/>
      <c r="I359" s="30"/>
      <c r="J359" s="30"/>
      <c r="K359" s="155"/>
      <c r="L359" s="155"/>
      <c r="M359" s="155"/>
      <c r="AC359" s="188"/>
      <c r="AE359" s="1">
        <v>49</v>
      </c>
      <c r="AF359" s="1" t="str">
        <f t="shared" si="316"/>
        <v/>
      </c>
      <c r="AG359" s="1" t="str">
        <f t="shared" si="317"/>
        <v>Settlement 36X</v>
      </c>
      <c r="AH359" s="1">
        <f t="shared" si="318"/>
        <v>242.686449006999</v>
      </c>
      <c r="AI359" s="1">
        <f t="shared" si="319"/>
        <v>159.040409961</v>
      </c>
      <c r="AJ359" s="1">
        <f t="shared" si="320"/>
        <v>957.158602271</v>
      </c>
      <c r="AK359" s="1">
        <f t="shared" si="321"/>
        <v>0</v>
      </c>
      <c r="AL359" s="1">
        <f t="shared" si="322"/>
        <v>0</v>
      </c>
      <c r="AM359" s="1">
        <f t="shared" si="323"/>
        <v>0</v>
      </c>
      <c r="AN359" s="1">
        <f t="shared" si="324"/>
        <v>0</v>
      </c>
    </row>
    <row r="360" customHeight="1" spans="5:40">
      <c r="E360" s="30"/>
      <c r="F360" s="30"/>
      <c r="G360" s="30"/>
      <c r="H360" s="30"/>
      <c r="I360" s="30"/>
      <c r="J360" s="30"/>
      <c r="K360" s="155"/>
      <c r="L360" s="155"/>
      <c r="M360" s="155"/>
      <c r="AC360" s="188"/>
      <c r="AE360" s="1">
        <v>50</v>
      </c>
      <c r="AF360" s="1" t="str">
        <f t="shared" si="316"/>
        <v/>
      </c>
      <c r="AG360" s="1" t="str">
        <f t="shared" si="317"/>
        <v>Settlement 38U</v>
      </c>
      <c r="AH360" s="1">
        <f t="shared" si="318"/>
        <v>488.986771232999</v>
      </c>
      <c r="AI360" s="1">
        <f t="shared" si="319"/>
        <v>440.90672323</v>
      </c>
      <c r="AJ360" s="1">
        <f t="shared" si="320"/>
        <v>753.943556719999</v>
      </c>
      <c r="AK360" s="1">
        <f t="shared" si="321"/>
        <v>0</v>
      </c>
      <c r="AL360" s="1">
        <f t="shared" si="322"/>
        <v>0</v>
      </c>
      <c r="AM360" s="1">
        <f t="shared" si="323"/>
        <v>0</v>
      </c>
      <c r="AN360" s="1">
        <f t="shared" si="324"/>
        <v>0</v>
      </c>
    </row>
    <row r="361" customHeight="1" spans="5:40">
      <c r="E361" s="30"/>
      <c r="F361" s="30"/>
      <c r="G361" s="30"/>
      <c r="H361" s="30"/>
      <c r="I361" s="30"/>
      <c r="J361" s="30"/>
      <c r="K361" s="155"/>
      <c r="L361" s="155"/>
      <c r="M361" s="155"/>
      <c r="AC361" s="188"/>
      <c r="AE361" s="1">
        <v>51</v>
      </c>
      <c r="AF361" s="1" t="str">
        <f t="shared" si="316"/>
        <v/>
      </c>
      <c r="AG361" s="1" t="str">
        <f t="shared" si="317"/>
        <v>Settlement 50K</v>
      </c>
      <c r="AH361" s="1">
        <f t="shared" si="318"/>
        <v>-458.492768339</v>
      </c>
      <c r="AI361" s="1">
        <f t="shared" si="319"/>
        <v>807.380966956999</v>
      </c>
      <c r="AJ361" s="1">
        <f t="shared" si="320"/>
        <v>-371.930131793999</v>
      </c>
      <c r="AK361" s="1">
        <f t="shared" si="321"/>
        <v>0</v>
      </c>
      <c r="AL361" s="1">
        <f t="shared" si="322"/>
        <v>0</v>
      </c>
      <c r="AM361" s="1">
        <f t="shared" si="323"/>
        <v>0</v>
      </c>
      <c r="AN361" s="1">
        <f t="shared" si="324"/>
        <v>0</v>
      </c>
    </row>
    <row r="362" customHeight="1" spans="5:40">
      <c r="E362" s="30"/>
      <c r="F362" s="30"/>
      <c r="G362" s="30"/>
      <c r="H362" s="30"/>
      <c r="I362" s="30"/>
      <c r="J362" s="30"/>
      <c r="K362" s="155"/>
      <c r="L362" s="155"/>
      <c r="M362" s="155"/>
      <c r="AC362" s="188"/>
      <c r="AE362" s="1">
        <v>52</v>
      </c>
      <c r="AF362" s="1" t="str">
        <f t="shared" si="316"/>
        <v/>
      </c>
      <c r="AG362" s="1" t="str">
        <f t="shared" si="317"/>
        <v>RCave 22W</v>
      </c>
      <c r="AH362" s="1">
        <f t="shared" si="318"/>
        <v>209.18863974215</v>
      </c>
      <c r="AI362" s="1">
        <f t="shared" si="319"/>
        <v>-260.050155152496</v>
      </c>
      <c r="AJ362" s="1">
        <f t="shared" si="320"/>
        <v>944.768433512743</v>
      </c>
      <c r="AK362" s="1">
        <f t="shared" si="321"/>
        <v>0</v>
      </c>
      <c r="AL362" s="1">
        <f t="shared" si="322"/>
        <v>0</v>
      </c>
      <c r="AM362" s="1">
        <f t="shared" si="323"/>
        <v>0</v>
      </c>
      <c r="AN362" s="1">
        <f t="shared" si="324"/>
        <v>0</v>
      </c>
    </row>
    <row r="363" customHeight="1" spans="5:40">
      <c r="E363" s="30"/>
      <c r="F363" s="30"/>
      <c r="G363" s="30"/>
      <c r="H363" s="30"/>
      <c r="I363" s="30"/>
      <c r="J363" s="30"/>
      <c r="K363" s="155"/>
      <c r="L363" s="155"/>
      <c r="M363" s="155"/>
      <c r="AC363" s="188"/>
      <c r="AE363" s="1">
        <v>53</v>
      </c>
      <c r="AF363" s="1" t="str">
        <f t="shared" si="316"/>
        <v/>
      </c>
      <c r="AG363" s="1" t="str">
        <f t="shared" si="317"/>
        <v>RCave 27N</v>
      </c>
      <c r="AH363" s="1">
        <f t="shared" si="318"/>
        <v>914.966506301299</v>
      </c>
      <c r="AI363" s="1">
        <f t="shared" si="319"/>
        <v>-405.202815290598</v>
      </c>
      <c r="AJ363" s="1">
        <f t="shared" si="320"/>
        <v>40.824910437408</v>
      </c>
      <c r="AK363" s="1">
        <f t="shared" si="321"/>
        <v>0</v>
      </c>
      <c r="AL363" s="1">
        <f t="shared" si="322"/>
        <v>0</v>
      </c>
      <c r="AM363" s="1">
        <f t="shared" si="323"/>
        <v>0</v>
      </c>
      <c r="AN363" s="1">
        <f t="shared" si="324"/>
        <v>0</v>
      </c>
    </row>
    <row r="364" customHeight="1" spans="5:40">
      <c r="E364" s="30"/>
      <c r="F364" s="30"/>
      <c r="G364" s="30"/>
      <c r="H364" s="30"/>
      <c r="I364" s="30"/>
      <c r="J364" s="30"/>
      <c r="K364" s="155"/>
      <c r="L364" s="155"/>
      <c r="M364" s="155"/>
      <c r="AC364" s="188"/>
      <c r="AE364" s="1">
        <v>54</v>
      </c>
      <c r="AF364" s="1" t="str">
        <f t="shared" si="316"/>
        <v/>
      </c>
      <c r="AG364" s="1" t="str">
        <f t="shared" si="317"/>
        <v>RCave 30Q</v>
      </c>
      <c r="AH364" s="1">
        <f t="shared" si="318"/>
        <v>940.940022176765</v>
      </c>
      <c r="AI364" s="1">
        <f t="shared" si="319"/>
        <v>-23.790363417196</v>
      </c>
      <c r="AJ364" s="1">
        <f t="shared" si="320"/>
        <v>343.678614255491</v>
      </c>
      <c r="AK364" s="1">
        <f t="shared" si="321"/>
        <v>0</v>
      </c>
      <c r="AL364" s="1">
        <f t="shared" si="322"/>
        <v>0</v>
      </c>
      <c r="AM364" s="1">
        <f t="shared" si="323"/>
        <v>0</v>
      </c>
      <c r="AN364" s="1">
        <f t="shared" si="324"/>
        <v>0</v>
      </c>
    </row>
    <row r="365" customHeight="1" spans="5:40">
      <c r="E365" s="30"/>
      <c r="F365" s="30"/>
      <c r="G365" s="30"/>
      <c r="H365" s="30"/>
      <c r="I365" s="30"/>
      <c r="J365" s="30"/>
      <c r="K365" s="155"/>
      <c r="L365" s="155"/>
      <c r="M365" s="155"/>
      <c r="AC365" s="188"/>
      <c r="AE365" s="1">
        <v>55</v>
      </c>
      <c r="AF365" s="1" t="str">
        <f t="shared" si="316"/>
        <v/>
      </c>
      <c r="AG365" s="1" t="str">
        <f t="shared" si="317"/>
        <v>RCave 35S</v>
      </c>
      <c r="AH365" s="1">
        <f t="shared" si="318"/>
        <v>679.115112802588</v>
      </c>
      <c r="AI365" s="1">
        <f t="shared" si="319"/>
        <v>379.184993189556</v>
      </c>
      <c r="AJ365" s="1">
        <f t="shared" si="320"/>
        <v>630.074051183402</v>
      </c>
      <c r="AK365" s="1">
        <f t="shared" si="321"/>
        <v>0</v>
      </c>
      <c r="AL365" s="1">
        <f t="shared" si="322"/>
        <v>0</v>
      </c>
      <c r="AM365" s="1">
        <f t="shared" si="323"/>
        <v>0</v>
      </c>
      <c r="AN365" s="1">
        <f t="shared" si="324"/>
        <v>0</v>
      </c>
    </row>
    <row r="366" customHeight="1" spans="5:40">
      <c r="E366" s="30"/>
      <c r="F366" s="30"/>
      <c r="G366" s="30"/>
      <c r="H366" s="30"/>
      <c r="I366" s="30"/>
      <c r="J366" s="30"/>
      <c r="K366" s="155"/>
      <c r="L366" s="155"/>
      <c r="M366" s="155"/>
      <c r="AC366" s="188"/>
      <c r="AE366" s="1">
        <v>56</v>
      </c>
      <c r="AF366" s="1" t="str">
        <f t="shared" si="316"/>
        <v/>
      </c>
      <c r="AG366" s="1" t="str">
        <f t="shared" si="317"/>
        <v>RCave 38U</v>
      </c>
      <c r="AH366" s="1">
        <f t="shared" si="318"/>
        <v>495.284955224999</v>
      </c>
      <c r="AI366" s="1">
        <f t="shared" si="319"/>
        <v>446.712846874999</v>
      </c>
      <c r="AJ366" s="1">
        <f t="shared" si="320"/>
        <v>749.188305691999</v>
      </c>
      <c r="AK366" s="1">
        <f t="shared" si="321"/>
        <v>0</v>
      </c>
      <c r="AL366" s="1">
        <f t="shared" si="322"/>
        <v>0</v>
      </c>
      <c r="AM366" s="1">
        <f t="shared" si="323"/>
        <v>0</v>
      </c>
      <c r="AN366" s="1">
        <f t="shared" si="324"/>
        <v>0</v>
      </c>
    </row>
    <row r="367" customHeight="1" spans="5:40">
      <c r="E367" s="30"/>
      <c r="F367" s="30"/>
      <c r="G367" s="30"/>
      <c r="H367" s="30"/>
      <c r="I367" s="30"/>
      <c r="J367" s="30"/>
      <c r="K367" s="155"/>
      <c r="L367" s="155"/>
      <c r="M367" s="155"/>
      <c r="AC367" s="188"/>
      <c r="AE367" s="1">
        <v>57</v>
      </c>
      <c r="AF367" s="1" t="str">
        <f t="shared" si="316"/>
        <v/>
      </c>
      <c r="AG367" s="1" t="str">
        <f t="shared" si="317"/>
        <v>RCave 50M</v>
      </c>
      <c r="AH367" s="1">
        <f t="shared" si="318"/>
        <v>-428.145065818594</v>
      </c>
      <c r="AI367" s="1">
        <f t="shared" si="319"/>
        <v>903.758319505118</v>
      </c>
      <c r="AJ367" s="1">
        <f t="shared" si="320"/>
        <v>-31.123730709993</v>
      </c>
      <c r="AK367" s="1">
        <f t="shared" si="321"/>
        <v>0</v>
      </c>
      <c r="AL367" s="1">
        <f t="shared" si="322"/>
        <v>0</v>
      </c>
      <c r="AM367" s="1">
        <f t="shared" si="323"/>
        <v>0</v>
      </c>
      <c r="AN367" s="1">
        <f t="shared" si="324"/>
        <v>0</v>
      </c>
    </row>
    <row r="368" customHeight="1" spans="5:40">
      <c r="E368" s="30"/>
      <c r="F368" s="30"/>
      <c r="G368" s="30"/>
      <c r="H368" s="30"/>
      <c r="I368" s="30"/>
      <c r="J368" s="30"/>
      <c r="K368" s="155"/>
      <c r="L368" s="155"/>
      <c r="M368" s="155"/>
      <c r="AC368" s="188"/>
      <c r="AE368" s="1">
        <v>58</v>
      </c>
      <c r="AF368" s="1" t="str">
        <f t="shared" si="316"/>
        <v/>
      </c>
      <c r="AG368" s="1" t="str">
        <f t="shared" si="317"/>
        <v>Caterpillar 34V</v>
      </c>
      <c r="AH368" s="1">
        <f t="shared" si="318"/>
        <v>422.030565493172</v>
      </c>
      <c r="AI368" s="1">
        <f t="shared" si="319"/>
        <v>170.8188762115</v>
      </c>
      <c r="AJ368" s="1">
        <f t="shared" si="320"/>
        <v>890.497381315684</v>
      </c>
      <c r="AK368" s="1">
        <f t="shared" si="321"/>
        <v>0</v>
      </c>
      <c r="AL368" s="1">
        <f t="shared" si="322"/>
        <v>0</v>
      </c>
      <c r="AM368" s="1">
        <f t="shared" si="323"/>
        <v>0</v>
      </c>
      <c r="AN368" s="1">
        <f t="shared" si="324"/>
        <v>0</v>
      </c>
    </row>
    <row r="369" customHeight="1" spans="5:40">
      <c r="E369" s="30"/>
      <c r="F369" s="30"/>
      <c r="G369" s="30"/>
      <c r="H369" s="30"/>
      <c r="I369" s="30"/>
      <c r="J369" s="30"/>
      <c r="K369" s="155"/>
      <c r="L369" s="155"/>
      <c r="M369" s="155"/>
      <c r="AC369" s="188"/>
      <c r="AE369" s="1">
        <v>59</v>
      </c>
      <c r="AF369" s="1" t="str">
        <f t="shared" si="316"/>
        <v/>
      </c>
      <c r="AG369" s="1" t="str">
        <f t="shared" si="317"/>
        <v>Caterpillar 47M</v>
      </c>
      <c r="AH369" s="1">
        <f t="shared" si="318"/>
        <v>-174.985191389468</v>
      </c>
      <c r="AI369" s="1">
        <f t="shared" si="319"/>
        <v>978.25858424416</v>
      </c>
      <c r="AJ369" s="1">
        <f t="shared" si="320"/>
        <v>-116.906611973531</v>
      </c>
      <c r="AK369" s="1">
        <f t="shared" si="321"/>
        <v>0</v>
      </c>
      <c r="AL369" s="1">
        <f t="shared" si="322"/>
        <v>0</v>
      </c>
      <c r="AM369" s="1">
        <f t="shared" si="323"/>
        <v>0</v>
      </c>
      <c r="AN369" s="1">
        <f t="shared" si="324"/>
        <v>0</v>
      </c>
    </row>
    <row r="370" customHeight="1" spans="5:40">
      <c r="E370" s="30"/>
      <c r="F370" s="30"/>
      <c r="G370" s="30"/>
      <c r="H370" s="30"/>
      <c r="I370" s="30"/>
      <c r="J370" s="30"/>
      <c r="K370" s="155"/>
      <c r="L370" s="155"/>
      <c r="M370" s="155"/>
      <c r="AC370" s="188"/>
      <c r="AE370" s="1">
        <v>60</v>
      </c>
      <c r="AF370" s="1" t="str">
        <f t="shared" si="316"/>
        <v/>
      </c>
      <c r="AG370" s="1" t="str">
        <f t="shared" si="317"/>
        <v>Caterpillar 52W</v>
      </c>
      <c r="AH370" s="1">
        <f t="shared" si="318"/>
        <v>-267.953108728863</v>
      </c>
      <c r="AI370" s="1">
        <f t="shared" si="319"/>
        <v>310.782251487106</v>
      </c>
      <c r="AJ370" s="1">
        <f t="shared" si="320"/>
        <v>912.085579711613</v>
      </c>
      <c r="AK370" s="1">
        <f t="shared" si="321"/>
        <v>0</v>
      </c>
      <c r="AL370" s="1">
        <f t="shared" si="322"/>
        <v>0</v>
      </c>
      <c r="AM370" s="1">
        <f t="shared" si="323"/>
        <v>0</v>
      </c>
      <c r="AN370" s="1">
        <f t="shared" si="324"/>
        <v>0</v>
      </c>
    </row>
    <row r="371" customHeight="1" spans="5:40">
      <c r="E371" s="30"/>
      <c r="F371" s="30"/>
      <c r="G371" s="30"/>
      <c r="H371" s="30"/>
      <c r="I371" s="30"/>
      <c r="J371" s="30"/>
      <c r="K371" s="155"/>
      <c r="L371" s="155"/>
      <c r="M371" s="155"/>
      <c r="AC371" s="188"/>
      <c r="AE371" s="1">
        <v>61</v>
      </c>
      <c r="AF371" s="1" t="str">
        <f t="shared" si="316"/>
        <v/>
      </c>
      <c r="AG371" s="1" t="str">
        <f t="shared" si="317"/>
        <v>Caterpillar 53W</v>
      </c>
      <c r="AH371" s="1">
        <f t="shared" si="318"/>
        <v>-223.633552985958</v>
      </c>
      <c r="AI371" s="1">
        <f t="shared" si="319"/>
        <v>218.51939659621</v>
      </c>
      <c r="AJ371" s="1">
        <f t="shared" si="320"/>
        <v>949.902150956804</v>
      </c>
      <c r="AK371" s="1">
        <f t="shared" si="321"/>
        <v>0</v>
      </c>
      <c r="AL371" s="1">
        <f t="shared" si="322"/>
        <v>0</v>
      </c>
      <c r="AM371" s="1">
        <f t="shared" si="323"/>
        <v>0</v>
      </c>
      <c r="AN371" s="1">
        <f t="shared" si="324"/>
        <v>0</v>
      </c>
    </row>
    <row r="372" customHeight="1" spans="5:40">
      <c r="E372" s="30"/>
      <c r="F372" s="30"/>
      <c r="G372" s="30"/>
      <c r="H372" s="30"/>
      <c r="I372" s="30"/>
      <c r="J372" s="30"/>
      <c r="K372" s="155"/>
      <c r="L372" s="155"/>
      <c r="M372" s="155"/>
      <c r="AC372" s="188"/>
      <c r="AE372" s="1">
        <v>62</v>
      </c>
      <c r="AF372" s="1" t="str">
        <f t="shared" si="316"/>
        <v/>
      </c>
      <c r="AG372" s="1" t="str">
        <f t="shared" si="317"/>
        <v>Constellation 08N</v>
      </c>
      <c r="AH372" s="1">
        <f t="shared" si="318"/>
        <v>-676.717865094178</v>
      </c>
      <c r="AI372" s="1">
        <f t="shared" si="319"/>
        <v>-728.925426829962</v>
      </c>
      <c r="AJ372" s="1">
        <f t="shared" si="320"/>
        <v>112.129584296142</v>
      </c>
      <c r="AK372" s="1">
        <f t="shared" si="321"/>
        <v>0</v>
      </c>
      <c r="AL372" s="1">
        <f t="shared" si="322"/>
        <v>0</v>
      </c>
      <c r="AM372" s="1">
        <f t="shared" si="323"/>
        <v>0</v>
      </c>
      <c r="AN372" s="1">
        <f t="shared" si="324"/>
        <v>0</v>
      </c>
    </row>
    <row r="373" customHeight="1" spans="5:40">
      <c r="E373" s="30"/>
      <c r="F373" s="30"/>
      <c r="G373" s="30"/>
      <c r="H373" s="30"/>
      <c r="I373" s="30"/>
      <c r="J373" s="30"/>
      <c r="K373" s="155"/>
      <c r="L373" s="155"/>
      <c r="M373" s="155"/>
      <c r="AC373" s="188"/>
      <c r="AE373" s="1">
        <v>63</v>
      </c>
      <c r="AF373" s="1" t="str">
        <f t="shared" si="316"/>
        <v/>
      </c>
      <c r="AG373" s="1" t="str">
        <f t="shared" si="317"/>
        <v>Constellation 26L</v>
      </c>
      <c r="AH373" s="1">
        <f t="shared" si="318"/>
        <v>875.200546632067</v>
      </c>
      <c r="AI373" s="1">
        <f t="shared" si="319"/>
        <v>-465.380147321214</v>
      </c>
      <c r="AJ373" s="1">
        <f t="shared" si="320"/>
        <v>-142.68191251041</v>
      </c>
      <c r="AK373" s="1">
        <f t="shared" si="321"/>
        <v>0</v>
      </c>
      <c r="AL373" s="1">
        <f t="shared" si="322"/>
        <v>0</v>
      </c>
      <c r="AM373" s="1">
        <f t="shared" si="323"/>
        <v>0</v>
      </c>
      <c r="AN373" s="1">
        <f t="shared" si="324"/>
        <v>0</v>
      </c>
    </row>
    <row r="374" customHeight="1" spans="5:40">
      <c r="E374" s="30"/>
      <c r="F374" s="30"/>
      <c r="G374" s="30"/>
      <c r="H374" s="30"/>
      <c r="I374" s="30"/>
      <c r="J374" s="30"/>
      <c r="K374" s="155"/>
      <c r="L374" s="155"/>
      <c r="M374" s="155"/>
      <c r="AC374" s="188"/>
      <c r="AE374" s="1">
        <v>64</v>
      </c>
      <c r="AF374" s="1" t="str">
        <f t="shared" si="316"/>
        <v/>
      </c>
      <c r="AG374" s="1" t="str">
        <f t="shared" si="317"/>
        <v>Constellation 42M</v>
      </c>
      <c r="AH374" s="1">
        <f t="shared" si="318"/>
        <v>376.775847030883</v>
      </c>
      <c r="AI374" s="1">
        <f t="shared" si="319"/>
        <v>920.915695519137</v>
      </c>
      <c r="AJ374" s="1">
        <f t="shared" si="320"/>
        <v>-105.955657172639</v>
      </c>
      <c r="AK374" s="1">
        <f t="shared" si="321"/>
        <v>0</v>
      </c>
      <c r="AL374" s="1">
        <f t="shared" si="322"/>
        <v>0</v>
      </c>
      <c r="AM374" s="1">
        <f t="shared" si="323"/>
        <v>0</v>
      </c>
      <c r="AN374" s="1">
        <f t="shared" si="324"/>
        <v>0</v>
      </c>
    </row>
    <row r="375" customHeight="1" spans="5:40">
      <c r="E375" s="30"/>
      <c r="F375" s="30"/>
      <c r="G375" s="30"/>
      <c r="H375" s="30"/>
      <c r="I375" s="30"/>
      <c r="J375" s="30"/>
      <c r="K375" s="155"/>
      <c r="L375" s="155"/>
      <c r="M375" s="155"/>
      <c r="AC375" s="188"/>
      <c r="AE375" s="1">
        <v>65</v>
      </c>
      <c r="AF375" s="1" t="str">
        <f t="shared" ref="AF375:AF406" si="325">_xlfn.IFNA(IF(VLOOKUP(CONCATENATE(BodyName," ",IF(AE375&lt;10,"0",""),AE375),Database,13,FALSE),AG375,""),"")</f>
        <v/>
      </c>
      <c r="AG375" s="1" t="str">
        <f t="shared" ref="AG375:AG406" si="326">_xlfn.IFNA(VLOOKUP(CONCATENATE(BodyName," ",IF(AE375&lt;10,"0",""),AE375),Database,5,FALSE),"")</f>
        <v>Constellation 47L</v>
      </c>
      <c r="AH375" s="1">
        <f t="shared" ref="AH375:AH406" si="327">_xlfn.IFNA(VLOOKUP(CONCATENATE(BodyName," ",IF(AE375&lt;10,"0",""),AE375),Database,6,FALSE),"")</f>
        <v>-167.210361350261</v>
      </c>
      <c r="AI375" s="1">
        <f t="shared" ref="AI375:AI406" si="328">_xlfn.IFNA(VLOOKUP(CONCATENATE(BodyName," ",IF(AE375&lt;10,"0",""),AE375),Database,7,FALSE),"")</f>
        <v>960.391198845134</v>
      </c>
      <c r="AJ375" s="1">
        <f t="shared" ref="AJ375:AJ406" si="329">_xlfn.IFNA(VLOOKUP(CONCATENATE(BodyName," ",IF(AE375&lt;10,"0",""),AE375),Database,8,FALSE),"")</f>
        <v>-228.479705824038</v>
      </c>
      <c r="AK375" s="1">
        <f t="shared" ref="AK375:AK406" si="330">_xlfn.IFNA(VLOOKUP(CONCATENATE(BodyName," ",IF(AE375&lt;10,"0",""),AE375),Database,9,FALSE),"")</f>
        <v>0</v>
      </c>
      <c r="AL375" s="1">
        <f t="shared" ref="AL375:AL406" si="331">_xlfn.IFNA(VLOOKUP(CONCATENATE(BodyName," ",IF(AE375&lt;10,"0",""),AE375),Database,10,FALSE),"")</f>
        <v>0</v>
      </c>
      <c r="AM375" s="1">
        <f t="shared" ref="AM375:AM406" si="332">_xlfn.IFNA(VLOOKUP(CONCATENATE(BodyName," ",IF(AE375&lt;10,"0",""),AE375),Database,11,FALSE),"")</f>
        <v>0</v>
      </c>
      <c r="AN375" s="1">
        <f t="shared" ref="AN375:AN406" si="333">_xlfn.IFNA(VLOOKUP(CONCATENATE(BodyName," ",IF(AE375&lt;10,"0",""),AE375),Database,12,FALSE),"")</f>
        <v>0</v>
      </c>
    </row>
    <row r="376" customHeight="1" spans="5:40">
      <c r="E376" s="30"/>
      <c r="F376" s="30"/>
      <c r="G376" s="30"/>
      <c r="H376" s="30"/>
      <c r="I376" s="30"/>
      <c r="J376" s="30"/>
      <c r="K376" s="155"/>
      <c r="L376" s="155"/>
      <c r="M376" s="155"/>
      <c r="AC376" s="188"/>
      <c r="AE376" s="1">
        <v>66</v>
      </c>
      <c r="AF376" s="1" t="str">
        <f t="shared" si="325"/>
        <v/>
      </c>
      <c r="AG376" s="1" t="str">
        <f t="shared" si="326"/>
        <v>Freelancer 03N</v>
      </c>
      <c r="AH376" s="1">
        <f t="shared" si="327"/>
        <v>-973.703809272717</v>
      </c>
      <c r="AI376" s="1">
        <f t="shared" si="328"/>
        <v>-225.634764877147</v>
      </c>
      <c r="AJ376" s="1">
        <f t="shared" si="329"/>
        <v>40.800499864769</v>
      </c>
      <c r="AK376" s="1">
        <f t="shared" si="330"/>
        <v>0</v>
      </c>
      <c r="AL376" s="1">
        <f t="shared" si="331"/>
        <v>0</v>
      </c>
      <c r="AM376" s="1">
        <f t="shared" si="332"/>
        <v>0</v>
      </c>
      <c r="AN376" s="1">
        <f t="shared" si="333"/>
        <v>0</v>
      </c>
    </row>
    <row r="377" customHeight="1" spans="5:40">
      <c r="E377" s="30"/>
      <c r="F377" s="30"/>
      <c r="G377" s="30"/>
      <c r="H377" s="30"/>
      <c r="I377" s="30"/>
      <c r="J377" s="30"/>
      <c r="K377" s="155"/>
      <c r="L377" s="155"/>
      <c r="M377" s="155"/>
      <c r="AC377" s="188"/>
      <c r="AE377" s="1">
        <v>67</v>
      </c>
      <c r="AF377" s="1" t="str">
        <f t="shared" si="325"/>
        <v/>
      </c>
      <c r="AG377" s="1" t="str">
        <f t="shared" si="326"/>
        <v>Freelancer 04L</v>
      </c>
      <c r="AH377" s="1">
        <f t="shared" si="327"/>
        <v>-933.299747754197</v>
      </c>
      <c r="AI377" s="1">
        <f t="shared" si="328"/>
        <v>-309.024262314054</v>
      </c>
      <c r="AJ377" s="1">
        <f t="shared" si="329"/>
        <v>-189.531586515152</v>
      </c>
      <c r="AK377" s="1">
        <f t="shared" si="330"/>
        <v>0</v>
      </c>
      <c r="AL377" s="1">
        <f t="shared" si="331"/>
        <v>0</v>
      </c>
      <c r="AM377" s="1">
        <f t="shared" si="332"/>
        <v>0</v>
      </c>
      <c r="AN377" s="1">
        <f t="shared" si="333"/>
        <v>0</v>
      </c>
    </row>
    <row r="378" customHeight="1" spans="5:40">
      <c r="E378" s="30"/>
      <c r="F378" s="30"/>
      <c r="G378" s="30"/>
      <c r="H378" s="30"/>
      <c r="I378" s="30"/>
      <c r="J378" s="30"/>
      <c r="K378" s="155"/>
      <c r="L378" s="155"/>
      <c r="M378" s="155"/>
      <c r="AC378" s="188"/>
      <c r="AE378" s="1">
        <v>68</v>
      </c>
      <c r="AF378" s="1" t="str">
        <f t="shared" si="325"/>
        <v/>
      </c>
      <c r="AG378" s="1" t="str">
        <f t="shared" si="326"/>
        <v>Freelancer 08NA24</v>
      </c>
      <c r="AH378" s="1">
        <f t="shared" si="327"/>
        <v>-686.687642149452</v>
      </c>
      <c r="AI378" s="1">
        <f t="shared" si="328"/>
        <v>-719.066830458095</v>
      </c>
      <c r="AJ378" s="1">
        <f t="shared" si="329"/>
        <v>111.168182463832</v>
      </c>
      <c r="AK378" s="1">
        <f t="shared" si="330"/>
        <v>0</v>
      </c>
      <c r="AL378" s="1">
        <f t="shared" si="331"/>
        <v>0</v>
      </c>
      <c r="AM378" s="1">
        <f t="shared" si="332"/>
        <v>0</v>
      </c>
      <c r="AN378" s="1">
        <f t="shared" si="333"/>
        <v>0</v>
      </c>
    </row>
    <row r="379" customHeight="1" spans="5:40">
      <c r="E379" s="30"/>
      <c r="F379" s="30"/>
      <c r="G379" s="30"/>
      <c r="H379" s="30"/>
      <c r="I379" s="30"/>
      <c r="J379" s="30"/>
      <c r="K379" s="155"/>
      <c r="L379" s="155"/>
      <c r="M379" s="155"/>
      <c r="AC379" s="188"/>
      <c r="AE379" s="1">
        <v>69</v>
      </c>
      <c r="AF379" s="1" t="str">
        <f t="shared" si="325"/>
        <v/>
      </c>
      <c r="AG379" s="1" t="str">
        <f t="shared" si="326"/>
        <v>Freelancer 08ND43</v>
      </c>
      <c r="AH379" s="1">
        <f t="shared" si="327"/>
        <v>-683.47693031583</v>
      </c>
      <c r="AI379" s="1">
        <f t="shared" si="328"/>
        <v>-719.404561508934</v>
      </c>
      <c r="AJ379" s="1">
        <f t="shared" si="329"/>
        <v>134.431148172863</v>
      </c>
      <c r="AK379" s="1">
        <f t="shared" si="330"/>
        <v>0</v>
      </c>
      <c r="AL379" s="1">
        <f t="shared" si="331"/>
        <v>0</v>
      </c>
      <c r="AM379" s="1">
        <f t="shared" si="332"/>
        <v>0</v>
      </c>
      <c r="AN379" s="1">
        <f t="shared" si="333"/>
        <v>0</v>
      </c>
    </row>
    <row r="380" customHeight="1" spans="5:40">
      <c r="E380" s="30"/>
      <c r="F380" s="30"/>
      <c r="G380" s="30"/>
      <c r="H380" s="30"/>
      <c r="I380" s="30"/>
      <c r="J380" s="30"/>
      <c r="K380" s="155"/>
      <c r="L380" s="155"/>
      <c r="M380" s="155"/>
      <c r="AC380" s="188"/>
      <c r="AE380" s="1">
        <v>70</v>
      </c>
      <c r="AF380" s="1" t="str">
        <f t="shared" si="325"/>
        <v/>
      </c>
      <c r="AG380" s="1" t="str">
        <f t="shared" si="326"/>
        <v>Starfarer 52M</v>
      </c>
      <c r="AH380" s="1">
        <f t="shared" si="327"/>
        <v>-588.08975842639</v>
      </c>
      <c r="AI380" s="1">
        <f t="shared" si="328"/>
        <v>805.331386539117</v>
      </c>
      <c r="AJ380" s="1">
        <f t="shared" si="329"/>
        <v>-78.362321435307</v>
      </c>
      <c r="AK380" s="1">
        <f t="shared" si="330"/>
        <v>0</v>
      </c>
      <c r="AL380" s="1">
        <f t="shared" si="331"/>
        <v>0</v>
      </c>
      <c r="AM380" s="1">
        <f t="shared" si="332"/>
        <v>0</v>
      </c>
      <c r="AN380" s="1">
        <f t="shared" si="333"/>
        <v>0</v>
      </c>
    </row>
    <row r="381" customHeight="1" spans="5:40">
      <c r="E381" s="30"/>
      <c r="F381" s="30"/>
      <c r="G381" s="30"/>
      <c r="H381" s="30"/>
      <c r="I381" s="30"/>
      <c r="J381" s="30"/>
      <c r="K381" s="155"/>
      <c r="L381" s="155"/>
      <c r="M381" s="155"/>
      <c r="AC381" s="188"/>
      <c r="AE381" s="1">
        <v>71</v>
      </c>
      <c r="AF381" s="1" t="str">
        <f t="shared" si="325"/>
        <v/>
      </c>
      <c r="AG381" s="1" t="str">
        <f t="shared" si="326"/>
        <v>Starfarer 52P</v>
      </c>
      <c r="AH381" s="1">
        <f t="shared" si="327"/>
        <v>-637.938300534408</v>
      </c>
      <c r="AI381" s="1">
        <f t="shared" si="328"/>
        <v>747.781923474108</v>
      </c>
      <c r="AJ381" s="1">
        <f t="shared" si="329"/>
        <v>185.557559019559</v>
      </c>
      <c r="AK381" s="1">
        <f t="shared" si="330"/>
        <v>0</v>
      </c>
      <c r="AL381" s="1">
        <f t="shared" si="331"/>
        <v>0</v>
      </c>
      <c r="AM381" s="1">
        <f t="shared" si="332"/>
        <v>0</v>
      </c>
      <c r="AN381" s="1">
        <f t="shared" si="333"/>
        <v>0</v>
      </c>
    </row>
    <row r="382" customHeight="1" spans="5:40">
      <c r="E382" s="30"/>
      <c r="F382" s="30"/>
      <c r="G382" s="30"/>
      <c r="H382" s="30"/>
      <c r="I382" s="30"/>
      <c r="J382" s="30"/>
      <c r="K382" s="155"/>
      <c r="L382" s="155"/>
      <c r="M382" s="155"/>
      <c r="AC382" s="188"/>
      <c r="AE382" s="1">
        <v>72</v>
      </c>
      <c r="AF382" s="1" t="str">
        <f t="shared" si="325"/>
        <v/>
      </c>
      <c r="AG382" s="1" t="str">
        <f t="shared" si="326"/>
        <v>Starfarer 53W</v>
      </c>
      <c r="AH382" s="1">
        <f t="shared" si="327"/>
        <v>-226.007572205983</v>
      </c>
      <c r="AI382" s="1">
        <f t="shared" si="328"/>
        <v>212.796556926972</v>
      </c>
      <c r="AJ382" s="1">
        <f t="shared" si="329"/>
        <v>950.747037600446</v>
      </c>
      <c r="AK382" s="1">
        <f t="shared" si="330"/>
        <v>0</v>
      </c>
      <c r="AL382" s="1">
        <f t="shared" si="331"/>
        <v>0</v>
      </c>
      <c r="AM382" s="1">
        <f t="shared" si="332"/>
        <v>0</v>
      </c>
      <c r="AN382" s="1">
        <f t="shared" si="333"/>
        <v>0</v>
      </c>
    </row>
    <row r="383" customHeight="1" spans="5:40">
      <c r="E383" s="30"/>
      <c r="F383" s="30"/>
      <c r="G383" s="30"/>
      <c r="H383" s="30"/>
      <c r="I383" s="30"/>
      <c r="J383" s="30"/>
      <c r="K383" s="155"/>
      <c r="L383" s="155"/>
      <c r="M383" s="155"/>
      <c r="AC383" s="188"/>
      <c r="AE383" s="1">
        <v>73</v>
      </c>
      <c r="AF383" s="1" t="str">
        <f t="shared" si="325"/>
        <v/>
      </c>
      <c r="AG383" s="1" t="str">
        <f t="shared" si="326"/>
        <v>Starfarer ZBG</v>
      </c>
      <c r="AH383" s="1">
        <f t="shared" si="327"/>
        <v>9.472077956748</v>
      </c>
      <c r="AI383" s="1">
        <f t="shared" si="328"/>
        <v>103.799998156201</v>
      </c>
      <c r="AJ383" s="1">
        <f t="shared" si="329"/>
        <v>995.340544819772</v>
      </c>
      <c r="AK383" s="1">
        <f t="shared" si="330"/>
        <v>0</v>
      </c>
      <c r="AL383" s="1">
        <f t="shared" si="331"/>
        <v>0</v>
      </c>
      <c r="AM383" s="1">
        <f t="shared" si="332"/>
        <v>0</v>
      </c>
      <c r="AN383" s="1">
        <f t="shared" si="333"/>
        <v>0</v>
      </c>
    </row>
    <row r="384" customHeight="1" spans="5:40">
      <c r="E384" s="30"/>
      <c r="F384" s="30"/>
      <c r="G384" s="30"/>
      <c r="H384" s="30"/>
      <c r="I384" s="30"/>
      <c r="J384" s="30"/>
      <c r="K384" s="155"/>
      <c r="L384" s="155"/>
      <c r="M384" s="155"/>
      <c r="AC384" s="188"/>
      <c r="AE384" s="1">
        <v>74</v>
      </c>
      <c r="AF384" s="1" t="str">
        <f t="shared" si="325"/>
        <v/>
      </c>
      <c r="AG384" s="1" t="str">
        <f t="shared" si="326"/>
        <v>River 35R</v>
      </c>
      <c r="AH384" s="1">
        <f t="shared" si="327"/>
        <v>806.12952788544</v>
      </c>
      <c r="AI384" s="1">
        <f t="shared" si="328"/>
        <v>424.64153803191</v>
      </c>
      <c r="AJ384" s="1">
        <f t="shared" si="329"/>
        <v>414.60756717617</v>
      </c>
      <c r="AK384" s="1">
        <f t="shared" si="330"/>
        <v>0</v>
      </c>
      <c r="AL384" s="1">
        <f t="shared" si="331"/>
        <v>0</v>
      </c>
      <c r="AM384" s="1">
        <f t="shared" si="332"/>
        <v>0</v>
      </c>
      <c r="AN384" s="1">
        <f t="shared" si="333"/>
        <v>0</v>
      </c>
    </row>
    <row r="385" customHeight="1" spans="5:40">
      <c r="E385" s="30"/>
      <c r="F385" s="30"/>
      <c r="G385" s="30"/>
      <c r="H385" s="30"/>
      <c r="I385" s="30"/>
      <c r="J385" s="30"/>
      <c r="K385" s="155"/>
      <c r="L385" s="155"/>
      <c r="M385" s="155"/>
      <c r="AC385" s="188"/>
      <c r="AE385" s="1">
        <v>75</v>
      </c>
      <c r="AF385" s="1" t="str">
        <f t="shared" si="325"/>
        <v/>
      </c>
      <c r="AG385" s="1" t="str">
        <f t="shared" si="326"/>
        <v>River 52M</v>
      </c>
      <c r="AH385" s="1">
        <f t="shared" si="327"/>
        <v>-653.17005538579</v>
      </c>
      <c r="AI385" s="1">
        <f t="shared" si="328"/>
        <v>758.01399892978</v>
      </c>
      <c r="AJ385" s="1">
        <f t="shared" si="329"/>
        <v>-1.19610378766</v>
      </c>
      <c r="AK385" s="1">
        <f t="shared" si="330"/>
        <v>0</v>
      </c>
      <c r="AL385" s="1">
        <f t="shared" si="331"/>
        <v>0</v>
      </c>
      <c r="AM385" s="1">
        <f t="shared" si="332"/>
        <v>0</v>
      </c>
      <c r="AN385" s="1">
        <f t="shared" si="333"/>
        <v>0</v>
      </c>
    </row>
    <row r="386" customHeight="1" spans="5:40">
      <c r="E386" s="30"/>
      <c r="F386" s="30"/>
      <c r="G386" s="30"/>
      <c r="H386" s="30"/>
      <c r="I386" s="30"/>
      <c r="J386" s="30"/>
      <c r="K386" s="155"/>
      <c r="L386" s="155"/>
      <c r="M386" s="155"/>
      <c r="AC386" s="188"/>
      <c r="AE386" s="1">
        <v>76</v>
      </c>
      <c r="AF386" s="1" t="str">
        <f t="shared" si="325"/>
        <v/>
      </c>
      <c r="AG386" s="1" t="str">
        <f t="shared" si="326"/>
        <v>River 53N625</v>
      </c>
      <c r="AH386" s="1">
        <f t="shared" si="327"/>
        <v>-671.95912652879</v>
      </c>
      <c r="AI386" s="1">
        <f t="shared" si="328"/>
        <v>741.26646720449</v>
      </c>
      <c r="AJ386" s="1">
        <f t="shared" si="329"/>
        <v>19.68942692564</v>
      </c>
      <c r="AK386" s="1">
        <f t="shared" si="330"/>
        <v>0</v>
      </c>
      <c r="AL386" s="1">
        <f t="shared" si="331"/>
        <v>0</v>
      </c>
      <c r="AM386" s="1">
        <f t="shared" si="332"/>
        <v>0</v>
      </c>
      <c r="AN386" s="1">
        <f t="shared" si="333"/>
        <v>0</v>
      </c>
    </row>
    <row r="387" customHeight="1" spans="5:40">
      <c r="E387" s="30"/>
      <c r="F387" s="30"/>
      <c r="G387" s="30"/>
      <c r="H387" s="30"/>
      <c r="I387" s="30"/>
      <c r="J387" s="30"/>
      <c r="K387" s="155"/>
      <c r="L387" s="155"/>
      <c r="M387" s="155"/>
      <c r="AC387" s="188"/>
      <c r="AE387" s="1">
        <v>77</v>
      </c>
      <c r="AF387" s="1" t="str">
        <f t="shared" si="325"/>
        <v/>
      </c>
      <c r="AG387" s="1" t="str">
        <f t="shared" si="326"/>
        <v>River 53N627</v>
      </c>
      <c r="AH387" s="1">
        <f t="shared" si="327"/>
        <v>-682.27331957135</v>
      </c>
      <c r="AI387" s="1">
        <f t="shared" si="328"/>
        <v>731.64156839804</v>
      </c>
      <c r="AJ387" s="1">
        <f t="shared" si="329"/>
        <v>6.84236910808</v>
      </c>
      <c r="AK387" s="1">
        <f t="shared" si="330"/>
        <v>0</v>
      </c>
      <c r="AL387" s="1">
        <f t="shared" si="331"/>
        <v>0</v>
      </c>
      <c r="AM387" s="1">
        <f t="shared" si="332"/>
        <v>0</v>
      </c>
      <c r="AN387" s="1">
        <f t="shared" si="333"/>
        <v>0</v>
      </c>
    </row>
    <row r="388" customHeight="1" spans="5:40">
      <c r="E388" s="30"/>
      <c r="F388" s="30"/>
      <c r="G388" s="30"/>
      <c r="H388" s="30"/>
      <c r="I388" s="30"/>
      <c r="J388" s="30"/>
      <c r="K388" s="155"/>
      <c r="L388" s="155"/>
      <c r="M388" s="155"/>
      <c r="AC388" s="188"/>
      <c r="AE388" s="1">
        <v>78</v>
      </c>
      <c r="AF388" s="1" t="str">
        <f t="shared" si="325"/>
        <v/>
      </c>
      <c r="AG388" s="1" t="str">
        <f t="shared" si="326"/>
        <v>River 53N628</v>
      </c>
      <c r="AH388" s="1">
        <f t="shared" si="327"/>
        <v>-690.11601783916</v>
      </c>
      <c r="AI388" s="1">
        <f t="shared" si="328"/>
        <v>715.07065117631</v>
      </c>
      <c r="AJ388" s="1">
        <f t="shared" si="329"/>
        <v>126.72312525077</v>
      </c>
      <c r="AK388" s="1">
        <f t="shared" si="330"/>
        <v>0</v>
      </c>
      <c r="AL388" s="1">
        <f t="shared" si="331"/>
        <v>0</v>
      </c>
      <c r="AM388" s="1">
        <f t="shared" si="332"/>
        <v>0</v>
      </c>
      <c r="AN388" s="1">
        <f t="shared" si="333"/>
        <v>0</v>
      </c>
    </row>
    <row r="389" customHeight="1" spans="5:40">
      <c r="E389" s="30"/>
      <c r="F389" s="30"/>
      <c r="G389" s="30"/>
      <c r="H389" s="30"/>
      <c r="I389" s="30"/>
      <c r="J389" s="30"/>
      <c r="K389" s="155"/>
      <c r="L389" s="155"/>
      <c r="M389" s="155"/>
      <c r="AC389" s="188"/>
      <c r="AE389" s="1">
        <v>79</v>
      </c>
      <c r="AF389" s="1" t="str">
        <f t="shared" si="325"/>
        <v/>
      </c>
      <c r="AG389" s="1" t="str">
        <f t="shared" si="326"/>
        <v>River 53N630</v>
      </c>
      <c r="AH389" s="1">
        <f t="shared" si="327"/>
        <v>-707.00629584817</v>
      </c>
      <c r="AI389" s="1">
        <f t="shared" si="328"/>
        <v>708.48388936968</v>
      </c>
      <c r="AJ389" s="1">
        <f t="shared" si="329"/>
        <v>3.99330654078</v>
      </c>
      <c r="AK389" s="1">
        <f t="shared" si="330"/>
        <v>0</v>
      </c>
      <c r="AL389" s="1">
        <f t="shared" si="331"/>
        <v>0</v>
      </c>
      <c r="AM389" s="1">
        <f t="shared" si="332"/>
        <v>0</v>
      </c>
      <c r="AN389" s="1">
        <f t="shared" si="333"/>
        <v>0</v>
      </c>
    </row>
    <row r="390" customHeight="1" spans="5:40">
      <c r="E390" s="30"/>
      <c r="F390" s="30"/>
      <c r="G390" s="30"/>
      <c r="H390" s="30"/>
      <c r="I390" s="30"/>
      <c r="J390" s="30"/>
      <c r="K390" s="155"/>
      <c r="L390" s="155"/>
      <c r="M390" s="155"/>
      <c r="AC390" s="188"/>
      <c r="AE390" s="1">
        <v>80</v>
      </c>
      <c r="AF390" s="1" t="str">
        <f t="shared" si="325"/>
        <v/>
      </c>
      <c r="AG390" s="1" t="str">
        <f t="shared" si="326"/>
        <v>River 53N633</v>
      </c>
      <c r="AH390" s="1">
        <f t="shared" si="327"/>
        <v>-724.49010855951</v>
      </c>
      <c r="AI390" s="1">
        <f t="shared" si="328"/>
        <v>690.56441334727</v>
      </c>
      <c r="AJ390" s="1">
        <f t="shared" si="329"/>
        <v>11.37279001968</v>
      </c>
      <c r="AK390" s="1">
        <f t="shared" si="330"/>
        <v>0</v>
      </c>
      <c r="AL390" s="1">
        <f t="shared" si="331"/>
        <v>0</v>
      </c>
      <c r="AM390" s="1">
        <f t="shared" si="332"/>
        <v>0</v>
      </c>
      <c r="AN390" s="1">
        <f t="shared" si="333"/>
        <v>0</v>
      </c>
    </row>
    <row r="391" customHeight="1" spans="5:40">
      <c r="E391" s="30"/>
      <c r="F391" s="30"/>
      <c r="G391" s="30"/>
      <c r="H391" s="30"/>
      <c r="I391" s="30"/>
      <c r="J391" s="30"/>
      <c r="K391" s="155"/>
      <c r="L391" s="155"/>
      <c r="M391" s="155"/>
      <c r="AC391" s="188"/>
      <c r="AE391" s="1">
        <v>81</v>
      </c>
      <c r="AF391" s="1" t="str">
        <f t="shared" si="325"/>
        <v/>
      </c>
      <c r="AG391" s="1" t="str">
        <f t="shared" si="326"/>
        <v>River 53N635</v>
      </c>
      <c r="AH391" s="1">
        <f t="shared" si="327"/>
        <v>-737.61605488143</v>
      </c>
      <c r="AI391" s="1">
        <f t="shared" si="328"/>
        <v>676.62032420707</v>
      </c>
      <c r="AJ391" s="1">
        <f t="shared" si="329"/>
        <v>0.80486141263</v>
      </c>
      <c r="AK391" s="1">
        <f t="shared" si="330"/>
        <v>0</v>
      </c>
      <c r="AL391" s="1">
        <f t="shared" si="331"/>
        <v>0</v>
      </c>
      <c r="AM391" s="1">
        <f t="shared" si="332"/>
        <v>0</v>
      </c>
      <c r="AN391" s="1">
        <f t="shared" si="333"/>
        <v>0</v>
      </c>
    </row>
    <row r="392" customHeight="1" spans="5:40">
      <c r="E392" s="30"/>
      <c r="F392" s="30"/>
      <c r="G392" s="30"/>
      <c r="H392" s="30"/>
      <c r="I392" s="30"/>
      <c r="J392" s="30"/>
      <c r="K392" s="155"/>
      <c r="L392" s="155"/>
      <c r="M392" s="155"/>
      <c r="AC392" s="188"/>
      <c r="AE392" s="1">
        <v>82</v>
      </c>
      <c r="AF392" s="1" t="str">
        <f t="shared" si="325"/>
        <v/>
      </c>
      <c r="AG392" s="1" t="str">
        <f t="shared" si="326"/>
        <v>River 53N636</v>
      </c>
      <c r="AH392" s="1">
        <f t="shared" si="327"/>
        <v>-740.63392725701</v>
      </c>
      <c r="AI392" s="1">
        <f t="shared" si="328"/>
        <v>673.33522484449</v>
      </c>
      <c r="AJ392" s="1">
        <f t="shared" si="329"/>
        <v>8.85046959811</v>
      </c>
      <c r="AK392" s="1">
        <f t="shared" si="330"/>
        <v>0</v>
      </c>
      <c r="AL392" s="1">
        <f t="shared" si="331"/>
        <v>0</v>
      </c>
      <c r="AM392" s="1">
        <f t="shared" si="332"/>
        <v>0</v>
      </c>
      <c r="AN392" s="1">
        <f t="shared" si="333"/>
        <v>0</v>
      </c>
    </row>
    <row r="393" customHeight="1" spans="5:40">
      <c r="E393" s="30"/>
      <c r="F393" s="30"/>
      <c r="G393" s="30"/>
      <c r="H393" s="30"/>
      <c r="I393" s="30"/>
      <c r="J393" s="30"/>
      <c r="K393" s="155"/>
      <c r="L393" s="155"/>
      <c r="M393" s="155"/>
      <c r="AC393" s="188"/>
      <c r="AE393" s="1">
        <v>83</v>
      </c>
      <c r="AF393" s="1" t="str">
        <f t="shared" si="325"/>
        <v/>
      </c>
      <c r="AG393" s="1" t="str">
        <f t="shared" si="326"/>
        <v>River 53P625</v>
      </c>
      <c r="AH393" s="1">
        <f t="shared" si="327"/>
        <v>-661.28154028757</v>
      </c>
      <c r="AI393" s="1">
        <f t="shared" si="328"/>
        <v>725.22427655367</v>
      </c>
      <c r="AJ393" s="1">
        <f t="shared" si="329"/>
        <v>196.11160539173</v>
      </c>
      <c r="AK393" s="1">
        <f t="shared" si="330"/>
        <v>0</v>
      </c>
      <c r="AL393" s="1">
        <f t="shared" si="331"/>
        <v>0</v>
      </c>
      <c r="AM393" s="1">
        <f t="shared" si="332"/>
        <v>0</v>
      </c>
      <c r="AN393" s="1">
        <f t="shared" si="333"/>
        <v>0</v>
      </c>
    </row>
    <row r="394" customHeight="1" spans="5:40">
      <c r="E394" s="30"/>
      <c r="F394" s="30"/>
      <c r="G394" s="30"/>
      <c r="H394" s="30"/>
      <c r="I394" s="30"/>
      <c r="J394" s="30"/>
      <c r="K394" s="155"/>
      <c r="L394" s="155"/>
      <c r="M394" s="155"/>
      <c r="AC394" s="188"/>
      <c r="AE394" s="1">
        <v>84</v>
      </c>
      <c r="AF394" s="1" t="str">
        <f t="shared" si="325"/>
        <v/>
      </c>
      <c r="AG394" s="1" t="str">
        <f t="shared" si="326"/>
        <v>River 53P630</v>
      </c>
      <c r="AH394" s="1">
        <f t="shared" si="327"/>
        <v>-694.519747280249</v>
      </c>
      <c r="AI394" s="1">
        <f t="shared" si="328"/>
        <v>703.15465518414</v>
      </c>
      <c r="AJ394" s="1">
        <f t="shared" si="329"/>
        <v>166.0948089991</v>
      </c>
      <c r="AK394" s="1">
        <f t="shared" si="330"/>
        <v>0</v>
      </c>
      <c r="AL394" s="1">
        <f t="shared" si="331"/>
        <v>0</v>
      </c>
      <c r="AM394" s="1">
        <f t="shared" si="332"/>
        <v>0</v>
      </c>
      <c r="AN394" s="1">
        <f t="shared" si="333"/>
        <v>0</v>
      </c>
    </row>
    <row r="395" customHeight="1" spans="5:40">
      <c r="E395" s="30"/>
      <c r="F395" s="30"/>
      <c r="G395" s="30"/>
      <c r="H395" s="30"/>
      <c r="I395" s="30"/>
      <c r="J395" s="30"/>
      <c r="K395" s="155"/>
      <c r="L395" s="155"/>
      <c r="M395" s="155"/>
      <c r="AC395" s="188"/>
      <c r="AE395" s="1">
        <v>85</v>
      </c>
      <c r="AF395" s="1" t="str">
        <f t="shared" si="325"/>
        <v/>
      </c>
      <c r="AG395" s="1" t="str">
        <f t="shared" si="326"/>
        <v>River 53P631</v>
      </c>
      <c r="AH395" s="1">
        <f t="shared" si="327"/>
        <v>-693.64940424645</v>
      </c>
      <c r="AI395" s="1">
        <f t="shared" si="328"/>
        <v>687.63526013252</v>
      </c>
      <c r="AJ395" s="1">
        <f t="shared" si="329"/>
        <v>219.20152316351</v>
      </c>
      <c r="AK395" s="1">
        <f t="shared" si="330"/>
        <v>0</v>
      </c>
      <c r="AL395" s="1">
        <f t="shared" si="331"/>
        <v>0</v>
      </c>
      <c r="AM395" s="1">
        <f t="shared" si="332"/>
        <v>0</v>
      </c>
      <c r="AN395" s="1">
        <f t="shared" si="333"/>
        <v>0</v>
      </c>
    </row>
    <row r="396" customHeight="1" spans="5:40">
      <c r="E396" s="30"/>
      <c r="F396" s="30"/>
      <c r="G396" s="30"/>
      <c r="H396" s="30"/>
      <c r="I396" s="30"/>
      <c r="J396" s="30"/>
      <c r="K396" s="155"/>
      <c r="L396" s="155"/>
      <c r="M396" s="155"/>
      <c r="AC396" s="188"/>
      <c r="AE396" s="1">
        <v>86</v>
      </c>
      <c r="AF396" s="1" t="str">
        <f t="shared" si="325"/>
        <v/>
      </c>
      <c r="AG396" s="1" t="str">
        <f t="shared" si="326"/>
        <v>River 54M</v>
      </c>
      <c r="AH396" s="1">
        <f t="shared" si="327"/>
        <v>-801.08808977709</v>
      </c>
      <c r="AI396" s="1">
        <f t="shared" si="328"/>
        <v>601.46299101323</v>
      </c>
      <c r="AJ396" s="1">
        <f t="shared" si="329"/>
        <v>-5.71770008787</v>
      </c>
      <c r="AK396" s="1">
        <f t="shared" si="330"/>
        <v>0</v>
      </c>
      <c r="AL396" s="1">
        <f t="shared" si="331"/>
        <v>0</v>
      </c>
      <c r="AM396" s="1">
        <f t="shared" si="332"/>
        <v>0</v>
      </c>
      <c r="AN396" s="1">
        <f t="shared" si="333"/>
        <v>0</v>
      </c>
    </row>
    <row r="397" customHeight="1" spans="5:40">
      <c r="E397" s="30"/>
      <c r="F397" s="30"/>
      <c r="G397" s="30"/>
      <c r="H397" s="30"/>
      <c r="I397" s="30"/>
      <c r="J397" s="30"/>
      <c r="K397" s="155"/>
      <c r="L397" s="155"/>
      <c r="M397" s="155"/>
      <c r="AC397" s="188"/>
      <c r="AE397" s="1">
        <v>87</v>
      </c>
      <c r="AF397" s="1" t="str">
        <f t="shared" si="325"/>
        <v/>
      </c>
      <c r="AG397" s="1" t="str">
        <f t="shared" si="326"/>
        <v>River 54N638</v>
      </c>
      <c r="AH397" s="1">
        <f t="shared" si="327"/>
        <v>-754.61837282719</v>
      </c>
      <c r="AI397" s="1">
        <f t="shared" si="328"/>
        <v>657.4929587854</v>
      </c>
      <c r="AJ397" s="1">
        <f t="shared" si="329"/>
        <v>15.87634694054</v>
      </c>
      <c r="AK397" s="1">
        <f t="shared" si="330"/>
        <v>0</v>
      </c>
      <c r="AL397" s="1">
        <f t="shared" si="331"/>
        <v>0</v>
      </c>
      <c r="AM397" s="1">
        <f t="shared" si="332"/>
        <v>0</v>
      </c>
      <c r="AN397" s="1">
        <f t="shared" si="333"/>
        <v>0</v>
      </c>
    </row>
    <row r="398" customHeight="1" spans="5:40">
      <c r="E398" s="30"/>
      <c r="F398" s="30"/>
      <c r="G398" s="30"/>
      <c r="H398" s="30"/>
      <c r="I398" s="30"/>
      <c r="J398" s="30"/>
      <c r="K398" s="155"/>
      <c r="L398" s="155"/>
      <c r="M398" s="155"/>
      <c r="AC398" s="188"/>
      <c r="AE398" s="1">
        <v>88</v>
      </c>
      <c r="AF398" s="1" t="str">
        <f t="shared" si="325"/>
        <v/>
      </c>
      <c r="AG398" s="1" t="str">
        <f t="shared" si="326"/>
        <v>River 54N639</v>
      </c>
      <c r="AH398" s="1">
        <f t="shared" si="327"/>
        <v>-758.59063795013</v>
      </c>
      <c r="AI398" s="1">
        <f t="shared" si="328"/>
        <v>653.09384087314</v>
      </c>
      <c r="AJ398" s="1">
        <f t="shared" si="329"/>
        <v>16.50549280405</v>
      </c>
      <c r="AK398" s="1">
        <f t="shared" si="330"/>
        <v>0</v>
      </c>
      <c r="AL398" s="1">
        <f t="shared" si="331"/>
        <v>0</v>
      </c>
      <c r="AM398" s="1">
        <f t="shared" si="332"/>
        <v>0</v>
      </c>
      <c r="AN398" s="1">
        <f t="shared" si="333"/>
        <v>0</v>
      </c>
    </row>
    <row r="399" customHeight="1" spans="5:40">
      <c r="E399" s="30"/>
      <c r="F399" s="30"/>
      <c r="G399" s="30"/>
      <c r="H399" s="30"/>
      <c r="I399" s="30"/>
      <c r="J399" s="30"/>
      <c r="K399" s="155"/>
      <c r="L399" s="155"/>
      <c r="M399" s="155"/>
      <c r="AC399" s="188"/>
      <c r="AE399" s="1">
        <v>89</v>
      </c>
      <c r="AF399" s="1" t="str">
        <f t="shared" si="325"/>
        <v/>
      </c>
      <c r="AG399" s="1" t="str">
        <f t="shared" si="326"/>
        <v>River 54N642</v>
      </c>
      <c r="AH399" s="1">
        <f t="shared" si="327"/>
        <v>-776.95680492816</v>
      </c>
      <c r="AI399" s="1">
        <f t="shared" si="328"/>
        <v>631.82575742003</v>
      </c>
      <c r="AJ399" s="1">
        <f t="shared" si="329"/>
        <v>12.12209835673</v>
      </c>
      <c r="AK399" s="1">
        <f t="shared" si="330"/>
        <v>0</v>
      </c>
      <c r="AL399" s="1">
        <f t="shared" si="331"/>
        <v>0</v>
      </c>
      <c r="AM399" s="1">
        <f t="shared" si="332"/>
        <v>0</v>
      </c>
      <c r="AN399" s="1">
        <f t="shared" si="333"/>
        <v>0</v>
      </c>
    </row>
    <row r="400" customHeight="1" spans="5:40">
      <c r="E400" s="30"/>
      <c r="F400" s="30"/>
      <c r="G400" s="30"/>
      <c r="H400" s="30"/>
      <c r="I400" s="30"/>
      <c r="J400" s="30"/>
      <c r="K400" s="155"/>
      <c r="L400" s="155"/>
      <c r="M400" s="155"/>
      <c r="AC400" s="188"/>
      <c r="AE400" s="1">
        <v>90</v>
      </c>
      <c r="AF400" s="1" t="str">
        <f t="shared" si="325"/>
        <v/>
      </c>
      <c r="AG400" s="1" t="str">
        <f t="shared" si="326"/>
        <v>River 54N647</v>
      </c>
      <c r="AH400" s="1">
        <f t="shared" si="327"/>
        <v>-803.65533737428</v>
      </c>
      <c r="AI400" s="1">
        <f t="shared" si="328"/>
        <v>596.95426384438</v>
      </c>
      <c r="AJ400" s="1">
        <f t="shared" si="329"/>
        <v>6.09849944024</v>
      </c>
      <c r="AK400" s="1">
        <f t="shared" si="330"/>
        <v>0</v>
      </c>
      <c r="AL400" s="1">
        <f t="shared" si="331"/>
        <v>0</v>
      </c>
      <c r="AM400" s="1">
        <f t="shared" si="332"/>
        <v>0</v>
      </c>
      <c r="AN400" s="1">
        <f t="shared" si="333"/>
        <v>0</v>
      </c>
    </row>
    <row r="401" customHeight="1" spans="5:40">
      <c r="E401" s="30"/>
      <c r="F401" s="30"/>
      <c r="G401" s="30"/>
      <c r="H401" s="30"/>
      <c r="I401" s="30"/>
      <c r="J401" s="30"/>
      <c r="K401" s="155"/>
      <c r="L401" s="155"/>
      <c r="M401" s="155"/>
      <c r="AC401" s="188"/>
      <c r="AE401" s="1">
        <v>91</v>
      </c>
      <c r="AF401" s="1" t="str">
        <f t="shared" si="325"/>
        <v/>
      </c>
      <c r="AG401" s="1" t="str">
        <f t="shared" si="326"/>
        <v>River 55N</v>
      </c>
      <c r="AH401" s="1">
        <f t="shared" si="327"/>
        <v>-820.73159667614</v>
      </c>
      <c r="AI401" s="1">
        <f t="shared" si="328"/>
        <v>568.35011354749</v>
      </c>
      <c r="AJ401" s="1">
        <f t="shared" si="329"/>
        <v>72.12896686881</v>
      </c>
      <c r="AK401" s="1">
        <f t="shared" si="330"/>
        <v>0</v>
      </c>
      <c r="AL401" s="1">
        <f t="shared" si="331"/>
        <v>0</v>
      </c>
      <c r="AM401" s="1">
        <f t="shared" si="332"/>
        <v>0</v>
      </c>
      <c r="AN401" s="1">
        <f t="shared" si="333"/>
        <v>0</v>
      </c>
    </row>
    <row r="402" customHeight="1" spans="5:40">
      <c r="E402" s="30"/>
      <c r="F402" s="30"/>
      <c r="G402" s="30"/>
      <c r="H402" s="30"/>
      <c r="I402" s="30"/>
      <c r="J402" s="30"/>
      <c r="K402" s="155"/>
      <c r="L402" s="155"/>
      <c r="M402" s="155"/>
      <c r="AC402" s="188"/>
      <c r="AE402" s="1">
        <v>92</v>
      </c>
      <c r="AF402" s="1" t="str">
        <f t="shared" si="325"/>
        <v/>
      </c>
      <c r="AG402" s="1" t="str">
        <f t="shared" si="326"/>
        <v>Octagon</v>
      </c>
      <c r="AH402" s="1">
        <f t="shared" si="327"/>
        <v>635.765</v>
      </c>
      <c r="AI402" s="1">
        <f t="shared" si="328"/>
        <v>-155.464</v>
      </c>
      <c r="AJ402" s="1">
        <f t="shared" si="329"/>
        <v>758.837</v>
      </c>
      <c r="AK402" s="1">
        <f t="shared" si="330"/>
        <v>0</v>
      </c>
      <c r="AL402" s="1">
        <f t="shared" si="331"/>
        <v>0</v>
      </c>
      <c r="AM402" s="1">
        <f t="shared" si="332"/>
        <v>0</v>
      </c>
      <c r="AN402" s="1">
        <f t="shared" si="333"/>
        <v>0</v>
      </c>
    </row>
    <row r="403" customHeight="1" spans="5:40">
      <c r="E403" s="30"/>
      <c r="F403" s="30"/>
      <c r="G403" s="30"/>
      <c r="H403" s="30"/>
      <c r="I403" s="30"/>
      <c r="J403" s="30"/>
      <c r="K403" s="155"/>
      <c r="L403" s="155"/>
      <c r="M403" s="155"/>
      <c r="AC403" s="188"/>
      <c r="AE403" s="1">
        <v>93</v>
      </c>
      <c r="AF403" s="1" t="str">
        <f t="shared" si="325"/>
        <v/>
      </c>
      <c r="AG403" s="1" t="str">
        <f t="shared" si="326"/>
        <v>Campfire</v>
      </c>
      <c r="AH403" s="1">
        <f t="shared" si="327"/>
        <v>520.693326411756</v>
      </c>
      <c r="AI403" s="1">
        <f t="shared" si="328"/>
        <v>419.260263867295</v>
      </c>
      <c r="AJ403" s="1">
        <f t="shared" si="329"/>
        <v>743.713993715584</v>
      </c>
      <c r="AK403" s="1">
        <f t="shared" si="330"/>
        <v>0</v>
      </c>
      <c r="AL403" s="1">
        <f t="shared" si="331"/>
        <v>0</v>
      </c>
      <c r="AM403" s="1">
        <f t="shared" si="332"/>
        <v>0</v>
      </c>
      <c r="AN403" s="1">
        <f t="shared" si="333"/>
        <v>0</v>
      </c>
    </row>
    <row r="404" customHeight="1" spans="5:40">
      <c r="E404" s="30"/>
      <c r="F404" s="30"/>
      <c r="G404" s="30"/>
      <c r="H404" s="30"/>
      <c r="I404" s="30"/>
      <c r="J404" s="30"/>
      <c r="K404" s="155"/>
      <c r="L404" s="155"/>
      <c r="M404" s="155"/>
      <c r="AC404" s="188"/>
      <c r="AE404" s="1">
        <v>94</v>
      </c>
      <c r="AF404" s="1" t="str">
        <f t="shared" si="325"/>
        <v/>
      </c>
      <c r="AG404" s="1" t="str">
        <f t="shared" si="326"/>
        <v>Lake Chair</v>
      </c>
      <c r="AH404" s="1">
        <f t="shared" si="327"/>
        <v>524.873227220621</v>
      </c>
      <c r="AI404" s="1">
        <f t="shared" si="328"/>
        <v>425.682953869917</v>
      </c>
      <c r="AJ404" s="1">
        <f t="shared" si="329"/>
        <v>737.102441837138</v>
      </c>
      <c r="AK404" s="1">
        <f t="shared" si="330"/>
        <v>0</v>
      </c>
      <c r="AL404" s="1">
        <f t="shared" si="331"/>
        <v>0</v>
      </c>
      <c r="AM404" s="1">
        <f t="shared" si="332"/>
        <v>0</v>
      </c>
      <c r="AN404" s="1">
        <f t="shared" si="333"/>
        <v>0</v>
      </c>
    </row>
    <row r="405" customHeight="1" spans="5:40">
      <c r="E405" s="30"/>
      <c r="F405" s="30"/>
      <c r="G405" s="30"/>
      <c r="H405" s="30"/>
      <c r="I405" s="30"/>
      <c r="J405" s="30"/>
      <c r="K405" s="155"/>
      <c r="L405" s="155"/>
      <c r="M405" s="155"/>
      <c r="AC405" s="188"/>
      <c r="AE405" s="1">
        <v>95</v>
      </c>
      <c r="AF405" s="1" t="str">
        <f t="shared" si="325"/>
        <v/>
      </c>
      <c r="AG405" s="1" t="str">
        <f t="shared" si="326"/>
        <v>Mtn Chair</v>
      </c>
      <c r="AH405" s="1">
        <f t="shared" si="327"/>
        <v>506.681654210353</v>
      </c>
      <c r="AI405" s="1">
        <f t="shared" si="328"/>
        <v>421.171165357204</v>
      </c>
      <c r="AJ405" s="1">
        <f t="shared" si="329"/>
        <v>754.682731680966</v>
      </c>
      <c r="AK405" s="1">
        <f t="shared" si="330"/>
        <v>0</v>
      </c>
      <c r="AL405" s="1">
        <f t="shared" si="331"/>
        <v>0</v>
      </c>
      <c r="AM405" s="1">
        <f t="shared" si="332"/>
        <v>0</v>
      </c>
      <c r="AN405" s="1">
        <f t="shared" si="333"/>
        <v>0</v>
      </c>
    </row>
    <row r="406" customHeight="1" spans="5:40">
      <c r="E406" s="30"/>
      <c r="F406" s="30"/>
      <c r="G406" s="30"/>
      <c r="H406" s="30"/>
      <c r="I406" s="30"/>
      <c r="J406" s="30"/>
      <c r="K406" s="155"/>
      <c r="L406" s="155"/>
      <c r="M406" s="155"/>
      <c r="AC406" s="188"/>
      <c r="AE406" s="1">
        <v>96</v>
      </c>
      <c r="AF406" s="1" t="str">
        <f t="shared" si="325"/>
        <v/>
      </c>
      <c r="AG406" s="1" t="str">
        <f t="shared" si="326"/>
        <v>Tears of Fire</v>
      </c>
      <c r="AH406" s="1">
        <f t="shared" si="327"/>
        <v>518.388064604595</v>
      </c>
      <c r="AI406" s="1">
        <f t="shared" si="328"/>
        <v>416.270524745018</v>
      </c>
      <c r="AJ406" s="1">
        <f t="shared" si="329"/>
        <v>747.875548809016</v>
      </c>
      <c r="AK406" s="1">
        <f t="shared" si="330"/>
        <v>0</v>
      </c>
      <c r="AL406" s="1">
        <f t="shared" si="331"/>
        <v>0</v>
      </c>
      <c r="AM406" s="1">
        <f t="shared" si="332"/>
        <v>0</v>
      </c>
      <c r="AN406" s="1">
        <f t="shared" si="333"/>
        <v>0</v>
      </c>
    </row>
    <row r="407" customHeight="1" spans="5:40">
      <c r="E407" s="30"/>
      <c r="F407" s="30"/>
      <c r="G407" s="30"/>
      <c r="H407" s="30"/>
      <c r="I407" s="30"/>
      <c r="J407" s="30"/>
      <c r="K407" s="155"/>
      <c r="L407" s="155"/>
      <c r="M407" s="155"/>
      <c r="AC407" s="188"/>
      <c r="AE407" s="1">
        <v>97</v>
      </c>
      <c r="AF407" s="1" t="str">
        <f t="shared" ref="AF407:AF438" si="334">_xlfn.IFNA(IF(VLOOKUP(CONCATENATE(BodyName," ",IF(AE407&lt;10,"0",""),AE407),Database,13,FALSE),AG407,""),"")</f>
        <v/>
      </c>
      <c r="AG407" s="1" t="str">
        <f t="shared" ref="AG407:AG438" si="335">_xlfn.IFNA(VLOOKUP(CONCATENATE(BodyName," ",IF(AE407&lt;10,"0",""),AE407),Database,5,FALSE),"")</f>
        <v/>
      </c>
      <c r="AH407" s="1" t="str">
        <f t="shared" ref="AH407:AH438" si="336">_xlfn.IFNA(VLOOKUP(CONCATENATE(BodyName," ",IF(AE407&lt;10,"0",""),AE407),Database,6,FALSE),"")</f>
        <v/>
      </c>
      <c r="AI407" s="1" t="str">
        <f t="shared" ref="AI407:AI438" si="337">_xlfn.IFNA(VLOOKUP(CONCATENATE(BodyName," ",IF(AE407&lt;10,"0",""),AE407),Database,7,FALSE),"")</f>
        <v/>
      </c>
      <c r="AJ407" s="1" t="str">
        <f t="shared" ref="AJ407:AJ438" si="338">_xlfn.IFNA(VLOOKUP(CONCATENATE(BodyName," ",IF(AE407&lt;10,"0",""),AE407),Database,8,FALSE),"")</f>
        <v/>
      </c>
      <c r="AK407" s="1" t="str">
        <f t="shared" ref="AK407:AK438" si="339">_xlfn.IFNA(VLOOKUP(CONCATENATE(BodyName," ",IF(AE407&lt;10,"0",""),AE407),Database,9,FALSE),"")</f>
        <v/>
      </c>
      <c r="AL407" s="1" t="str">
        <f t="shared" ref="AL407:AL438" si="340">_xlfn.IFNA(VLOOKUP(CONCATENATE(BodyName," ",IF(AE407&lt;10,"0",""),AE407),Database,10,FALSE),"")</f>
        <v/>
      </c>
      <c r="AM407" s="1" t="str">
        <f t="shared" ref="AM407:AM438" si="341">_xlfn.IFNA(VLOOKUP(CONCATENATE(BodyName," ",IF(AE407&lt;10,"0",""),AE407),Database,11,FALSE),"")</f>
        <v/>
      </c>
      <c r="AN407" s="1" t="str">
        <f t="shared" ref="AN407:AN438" si="342">_xlfn.IFNA(VLOOKUP(CONCATENATE(BodyName," ",IF(AE407&lt;10,"0",""),AE407),Database,12,FALSE),"")</f>
        <v/>
      </c>
    </row>
    <row r="408" customHeight="1" spans="5:40">
      <c r="E408" s="30"/>
      <c r="F408" s="30"/>
      <c r="G408" s="30"/>
      <c r="H408" s="30"/>
      <c r="I408" s="30"/>
      <c r="J408" s="30"/>
      <c r="K408" s="155"/>
      <c r="L408" s="155"/>
      <c r="M408" s="155"/>
      <c r="AC408" s="188"/>
      <c r="AE408" s="1">
        <v>98</v>
      </c>
      <c r="AF408" s="1" t="str">
        <f t="shared" si="334"/>
        <v/>
      </c>
      <c r="AG408" s="1" t="str">
        <f t="shared" si="335"/>
        <v/>
      </c>
      <c r="AH408" s="1" t="str">
        <f t="shared" si="336"/>
        <v/>
      </c>
      <c r="AI408" s="1" t="str">
        <f t="shared" si="337"/>
        <v/>
      </c>
      <c r="AJ408" s="1" t="str">
        <f t="shared" si="338"/>
        <v/>
      </c>
      <c r="AK408" s="1" t="str">
        <f t="shared" si="339"/>
        <v/>
      </c>
      <c r="AL408" s="1" t="str">
        <f t="shared" si="340"/>
        <v/>
      </c>
      <c r="AM408" s="1" t="str">
        <f t="shared" si="341"/>
        <v/>
      </c>
      <c r="AN408" s="1" t="str">
        <f t="shared" si="342"/>
        <v/>
      </c>
    </row>
    <row r="409" customHeight="1" spans="5:40">
      <c r="E409" s="30"/>
      <c r="F409" s="30"/>
      <c r="G409" s="30"/>
      <c r="H409" s="30"/>
      <c r="I409" s="30"/>
      <c r="J409" s="30"/>
      <c r="K409" s="155"/>
      <c r="L409" s="155"/>
      <c r="M409" s="155"/>
      <c r="AC409" s="188"/>
      <c r="AE409" s="1">
        <v>99</v>
      </c>
      <c r="AF409" s="1" t="str">
        <f t="shared" si="334"/>
        <v/>
      </c>
      <c r="AG409" s="1" t="str">
        <f t="shared" si="335"/>
        <v/>
      </c>
      <c r="AH409" s="1" t="str">
        <f t="shared" si="336"/>
        <v/>
      </c>
      <c r="AI409" s="1" t="str">
        <f t="shared" si="337"/>
        <v/>
      </c>
      <c r="AJ409" s="1" t="str">
        <f t="shared" si="338"/>
        <v/>
      </c>
      <c r="AK409" s="1" t="str">
        <f t="shared" si="339"/>
        <v/>
      </c>
      <c r="AL409" s="1" t="str">
        <f t="shared" si="340"/>
        <v/>
      </c>
      <c r="AM409" s="1" t="str">
        <f t="shared" si="341"/>
        <v/>
      </c>
      <c r="AN409" s="1" t="str">
        <f t="shared" si="342"/>
        <v/>
      </c>
    </row>
    <row r="410" customHeight="1" spans="5:40">
      <c r="E410" s="30"/>
      <c r="F410" s="30"/>
      <c r="G410" s="30"/>
      <c r="H410" s="30"/>
      <c r="I410" s="30"/>
      <c r="J410" s="30"/>
      <c r="K410" s="155"/>
      <c r="L410" s="155"/>
      <c r="M410" s="155"/>
      <c r="AC410" s="188"/>
      <c r="AE410" s="1">
        <v>100</v>
      </c>
      <c r="AF410" s="1" t="str">
        <f t="shared" si="334"/>
        <v/>
      </c>
      <c r="AG410" s="1" t="str">
        <f t="shared" si="335"/>
        <v/>
      </c>
      <c r="AH410" s="1" t="str">
        <f t="shared" si="336"/>
        <v/>
      </c>
      <c r="AI410" s="1" t="str">
        <f t="shared" si="337"/>
        <v/>
      </c>
      <c r="AJ410" s="1" t="str">
        <f t="shared" si="338"/>
        <v/>
      </c>
      <c r="AK410" s="1" t="str">
        <f t="shared" si="339"/>
        <v/>
      </c>
      <c r="AL410" s="1" t="str">
        <f t="shared" si="340"/>
        <v/>
      </c>
      <c r="AM410" s="1" t="str">
        <f t="shared" si="341"/>
        <v/>
      </c>
      <c r="AN410" s="1" t="str">
        <f t="shared" si="342"/>
        <v/>
      </c>
    </row>
    <row r="411" customHeight="1" spans="5:40">
      <c r="E411" s="30"/>
      <c r="F411" s="30"/>
      <c r="G411" s="30"/>
      <c r="H411" s="30"/>
      <c r="I411" s="30"/>
      <c r="J411" s="30"/>
      <c r="K411" s="155"/>
      <c r="L411" s="155"/>
      <c r="M411" s="155"/>
      <c r="AC411" s="188"/>
      <c r="AE411" s="1">
        <v>101</v>
      </c>
      <c r="AF411" s="1" t="str">
        <f t="shared" si="334"/>
        <v/>
      </c>
      <c r="AG411" s="1" t="str">
        <f t="shared" si="335"/>
        <v/>
      </c>
      <c r="AH411" s="1" t="str">
        <f t="shared" si="336"/>
        <v/>
      </c>
      <c r="AI411" s="1" t="str">
        <f t="shared" si="337"/>
        <v/>
      </c>
      <c r="AJ411" s="1" t="str">
        <f t="shared" si="338"/>
        <v/>
      </c>
      <c r="AK411" s="1" t="str">
        <f t="shared" si="339"/>
        <v/>
      </c>
      <c r="AL411" s="1" t="str">
        <f t="shared" si="340"/>
        <v/>
      </c>
      <c r="AM411" s="1" t="str">
        <f t="shared" si="341"/>
        <v/>
      </c>
      <c r="AN411" s="1" t="str">
        <f t="shared" si="342"/>
        <v/>
      </c>
    </row>
    <row r="412" customHeight="1" spans="5:40">
      <c r="E412" s="30"/>
      <c r="F412" s="30"/>
      <c r="G412" s="30"/>
      <c r="H412" s="30"/>
      <c r="I412" s="30"/>
      <c r="J412" s="30"/>
      <c r="K412" s="155"/>
      <c r="L412" s="155"/>
      <c r="M412" s="155"/>
      <c r="AC412" s="188"/>
      <c r="AE412" s="1">
        <v>102</v>
      </c>
      <c r="AF412" s="1" t="str">
        <f t="shared" si="334"/>
        <v/>
      </c>
      <c r="AG412" s="1" t="str">
        <f t="shared" si="335"/>
        <v/>
      </c>
      <c r="AH412" s="1" t="str">
        <f t="shared" si="336"/>
        <v/>
      </c>
      <c r="AI412" s="1" t="str">
        <f t="shared" si="337"/>
        <v/>
      </c>
      <c r="AJ412" s="1" t="str">
        <f t="shared" si="338"/>
        <v/>
      </c>
      <c r="AK412" s="1" t="str">
        <f t="shared" si="339"/>
        <v/>
      </c>
      <c r="AL412" s="1" t="str">
        <f t="shared" si="340"/>
        <v/>
      </c>
      <c r="AM412" s="1" t="str">
        <f t="shared" si="341"/>
        <v/>
      </c>
      <c r="AN412" s="1" t="str">
        <f t="shared" si="342"/>
        <v/>
      </c>
    </row>
    <row r="413" customHeight="1" spans="5:40">
      <c r="E413" s="30"/>
      <c r="F413" s="30"/>
      <c r="G413" s="30"/>
      <c r="H413" s="30"/>
      <c r="I413" s="30"/>
      <c r="J413" s="30"/>
      <c r="K413" s="155"/>
      <c r="L413" s="155"/>
      <c r="M413" s="155"/>
      <c r="AC413" s="188"/>
      <c r="AE413" s="1">
        <v>103</v>
      </c>
      <c r="AF413" s="1" t="str">
        <f t="shared" si="334"/>
        <v/>
      </c>
      <c r="AG413" s="1" t="str">
        <f t="shared" si="335"/>
        <v/>
      </c>
      <c r="AH413" s="1" t="str">
        <f t="shared" si="336"/>
        <v/>
      </c>
      <c r="AI413" s="1" t="str">
        <f t="shared" si="337"/>
        <v/>
      </c>
      <c r="AJ413" s="1" t="str">
        <f t="shared" si="338"/>
        <v/>
      </c>
      <c r="AK413" s="1" t="str">
        <f t="shared" si="339"/>
        <v/>
      </c>
      <c r="AL413" s="1" t="str">
        <f t="shared" si="340"/>
        <v/>
      </c>
      <c r="AM413" s="1" t="str">
        <f t="shared" si="341"/>
        <v/>
      </c>
      <c r="AN413" s="1" t="str">
        <f t="shared" si="342"/>
        <v/>
      </c>
    </row>
    <row r="414" customHeight="1" spans="5:40">
      <c r="E414" s="30"/>
      <c r="F414" s="30"/>
      <c r="G414" s="30"/>
      <c r="H414" s="30"/>
      <c r="I414" s="30"/>
      <c r="J414" s="30"/>
      <c r="K414" s="155"/>
      <c r="L414" s="155"/>
      <c r="M414" s="155"/>
      <c r="AC414" s="188"/>
      <c r="AE414" s="1">
        <v>104</v>
      </c>
      <c r="AF414" s="1" t="str">
        <f t="shared" si="334"/>
        <v/>
      </c>
      <c r="AG414" s="1" t="str">
        <f t="shared" si="335"/>
        <v/>
      </c>
      <c r="AH414" s="1" t="str">
        <f t="shared" si="336"/>
        <v/>
      </c>
      <c r="AI414" s="1" t="str">
        <f t="shared" si="337"/>
        <v/>
      </c>
      <c r="AJ414" s="1" t="str">
        <f t="shared" si="338"/>
        <v/>
      </c>
      <c r="AK414" s="1" t="str">
        <f t="shared" si="339"/>
        <v/>
      </c>
      <c r="AL414" s="1" t="str">
        <f t="shared" si="340"/>
        <v/>
      </c>
      <c r="AM414" s="1" t="str">
        <f t="shared" si="341"/>
        <v/>
      </c>
      <c r="AN414" s="1" t="str">
        <f t="shared" si="342"/>
        <v/>
      </c>
    </row>
    <row r="415" customHeight="1" spans="5:40">
      <c r="E415" s="30"/>
      <c r="F415" s="30"/>
      <c r="G415" s="30"/>
      <c r="H415" s="30"/>
      <c r="I415" s="30"/>
      <c r="J415" s="30"/>
      <c r="K415" s="155"/>
      <c r="L415" s="155"/>
      <c r="M415" s="155"/>
      <c r="AC415" s="188"/>
      <c r="AE415" s="1">
        <v>105</v>
      </c>
      <c r="AF415" s="1" t="str">
        <f t="shared" si="334"/>
        <v/>
      </c>
      <c r="AG415" s="1" t="str">
        <f t="shared" si="335"/>
        <v/>
      </c>
      <c r="AH415" s="1" t="str">
        <f t="shared" si="336"/>
        <v/>
      </c>
      <c r="AI415" s="1" t="str">
        <f t="shared" si="337"/>
        <v/>
      </c>
      <c r="AJ415" s="1" t="str">
        <f t="shared" si="338"/>
        <v/>
      </c>
      <c r="AK415" s="1" t="str">
        <f t="shared" si="339"/>
        <v/>
      </c>
      <c r="AL415" s="1" t="str">
        <f t="shared" si="340"/>
        <v/>
      </c>
      <c r="AM415" s="1" t="str">
        <f t="shared" si="341"/>
        <v/>
      </c>
      <c r="AN415" s="1" t="str">
        <f t="shared" si="342"/>
        <v/>
      </c>
    </row>
    <row r="416" customHeight="1" spans="5:40">
      <c r="E416" s="30"/>
      <c r="F416" s="30"/>
      <c r="G416" s="30"/>
      <c r="H416" s="30"/>
      <c r="I416" s="30"/>
      <c r="J416" s="30"/>
      <c r="K416" s="155"/>
      <c r="L416" s="155"/>
      <c r="M416" s="155"/>
      <c r="AC416" s="188"/>
      <c r="AE416" s="1">
        <v>106</v>
      </c>
      <c r="AF416" s="1" t="str">
        <f t="shared" si="334"/>
        <v/>
      </c>
      <c r="AG416" s="1" t="str">
        <f t="shared" si="335"/>
        <v/>
      </c>
      <c r="AH416" s="1" t="str">
        <f t="shared" si="336"/>
        <v/>
      </c>
      <c r="AI416" s="1" t="str">
        <f t="shared" si="337"/>
        <v/>
      </c>
      <c r="AJ416" s="1" t="str">
        <f t="shared" si="338"/>
        <v/>
      </c>
      <c r="AK416" s="1" t="str">
        <f t="shared" si="339"/>
        <v/>
      </c>
      <c r="AL416" s="1" t="str">
        <f t="shared" si="340"/>
        <v/>
      </c>
      <c r="AM416" s="1" t="str">
        <f t="shared" si="341"/>
        <v/>
      </c>
      <c r="AN416" s="1" t="str">
        <f t="shared" si="342"/>
        <v/>
      </c>
    </row>
    <row r="417" customHeight="1" spans="5:40">
      <c r="E417" s="30"/>
      <c r="F417" s="30"/>
      <c r="G417" s="30"/>
      <c r="H417" s="30"/>
      <c r="I417" s="30"/>
      <c r="J417" s="30"/>
      <c r="K417" s="155"/>
      <c r="L417" s="155"/>
      <c r="M417" s="155"/>
      <c r="AC417" s="188"/>
      <c r="AE417" s="1">
        <v>107</v>
      </c>
      <c r="AF417" s="1" t="str">
        <f t="shared" si="334"/>
        <v/>
      </c>
      <c r="AG417" s="1" t="str">
        <f t="shared" si="335"/>
        <v/>
      </c>
      <c r="AH417" s="1" t="str">
        <f t="shared" si="336"/>
        <v/>
      </c>
      <c r="AI417" s="1" t="str">
        <f t="shared" si="337"/>
        <v/>
      </c>
      <c r="AJ417" s="1" t="str">
        <f t="shared" si="338"/>
        <v/>
      </c>
      <c r="AK417" s="1" t="str">
        <f t="shared" si="339"/>
        <v/>
      </c>
      <c r="AL417" s="1" t="str">
        <f t="shared" si="340"/>
        <v/>
      </c>
      <c r="AM417" s="1" t="str">
        <f t="shared" si="341"/>
        <v/>
      </c>
      <c r="AN417" s="1" t="str">
        <f t="shared" si="342"/>
        <v/>
      </c>
    </row>
    <row r="418" customHeight="1" spans="5:40">
      <c r="E418" s="30"/>
      <c r="F418" s="30"/>
      <c r="G418" s="30"/>
      <c r="H418" s="30"/>
      <c r="I418" s="30"/>
      <c r="J418" s="30"/>
      <c r="K418" s="155"/>
      <c r="L418" s="155"/>
      <c r="M418" s="155"/>
      <c r="AC418" s="188"/>
      <c r="AE418" s="1">
        <v>108</v>
      </c>
      <c r="AF418" s="1" t="str">
        <f t="shared" si="334"/>
        <v/>
      </c>
      <c r="AG418" s="1" t="str">
        <f t="shared" si="335"/>
        <v/>
      </c>
      <c r="AH418" s="1" t="str">
        <f t="shared" si="336"/>
        <v/>
      </c>
      <c r="AI418" s="1" t="str">
        <f t="shared" si="337"/>
        <v/>
      </c>
      <c r="AJ418" s="1" t="str">
        <f t="shared" si="338"/>
        <v/>
      </c>
      <c r="AK418" s="1" t="str">
        <f t="shared" si="339"/>
        <v/>
      </c>
      <c r="AL418" s="1" t="str">
        <f t="shared" si="340"/>
        <v/>
      </c>
      <c r="AM418" s="1" t="str">
        <f t="shared" si="341"/>
        <v/>
      </c>
      <c r="AN418" s="1" t="str">
        <f t="shared" si="342"/>
        <v/>
      </c>
    </row>
    <row r="419" customHeight="1" spans="5:40">
      <c r="E419" s="30"/>
      <c r="F419" s="30"/>
      <c r="G419" s="30"/>
      <c r="H419" s="30"/>
      <c r="I419" s="30"/>
      <c r="J419" s="30"/>
      <c r="K419" s="155"/>
      <c r="L419" s="155"/>
      <c r="M419" s="155"/>
      <c r="AC419" s="188"/>
      <c r="AE419" s="1">
        <v>109</v>
      </c>
      <c r="AF419" s="1" t="str">
        <f t="shared" si="334"/>
        <v/>
      </c>
      <c r="AG419" s="1" t="str">
        <f t="shared" si="335"/>
        <v/>
      </c>
      <c r="AH419" s="1" t="str">
        <f t="shared" si="336"/>
        <v/>
      </c>
      <c r="AI419" s="1" t="str">
        <f t="shared" si="337"/>
        <v/>
      </c>
      <c r="AJ419" s="1" t="str">
        <f t="shared" si="338"/>
        <v/>
      </c>
      <c r="AK419" s="1" t="str">
        <f t="shared" si="339"/>
        <v/>
      </c>
      <c r="AL419" s="1" t="str">
        <f t="shared" si="340"/>
        <v/>
      </c>
      <c r="AM419" s="1" t="str">
        <f t="shared" si="341"/>
        <v/>
      </c>
      <c r="AN419" s="1" t="str">
        <f t="shared" si="342"/>
        <v/>
      </c>
    </row>
    <row r="420" customHeight="1" spans="5:40">
      <c r="E420" s="30"/>
      <c r="F420" s="30"/>
      <c r="G420" s="30"/>
      <c r="H420" s="30"/>
      <c r="I420" s="30"/>
      <c r="J420" s="30"/>
      <c r="K420" s="155"/>
      <c r="L420" s="155"/>
      <c r="M420" s="155"/>
      <c r="AC420" s="188"/>
      <c r="AE420" s="1">
        <v>110</v>
      </c>
      <c r="AF420" s="1" t="str">
        <f t="shared" si="334"/>
        <v/>
      </c>
      <c r="AG420" s="1" t="str">
        <f t="shared" si="335"/>
        <v/>
      </c>
      <c r="AH420" s="1" t="str">
        <f t="shared" si="336"/>
        <v/>
      </c>
      <c r="AI420" s="1" t="str">
        <f t="shared" si="337"/>
        <v/>
      </c>
      <c r="AJ420" s="1" t="str">
        <f t="shared" si="338"/>
        <v/>
      </c>
      <c r="AK420" s="1" t="str">
        <f t="shared" si="339"/>
        <v/>
      </c>
      <c r="AL420" s="1" t="str">
        <f t="shared" si="340"/>
        <v/>
      </c>
      <c r="AM420" s="1" t="str">
        <f t="shared" si="341"/>
        <v/>
      </c>
      <c r="AN420" s="1" t="str">
        <f t="shared" si="342"/>
        <v/>
      </c>
    </row>
    <row r="421" customHeight="1" spans="5:40">
      <c r="E421" s="30"/>
      <c r="F421" s="30"/>
      <c r="G421" s="30"/>
      <c r="H421" s="30"/>
      <c r="I421" s="30"/>
      <c r="J421" s="30"/>
      <c r="K421" s="155"/>
      <c r="L421" s="155"/>
      <c r="M421" s="155"/>
      <c r="AC421" s="188"/>
      <c r="AE421" s="1">
        <v>111</v>
      </c>
      <c r="AF421" s="1" t="str">
        <f t="shared" si="334"/>
        <v/>
      </c>
      <c r="AG421" s="1" t="str">
        <f t="shared" si="335"/>
        <v/>
      </c>
      <c r="AH421" s="1" t="str">
        <f t="shared" si="336"/>
        <v/>
      </c>
      <c r="AI421" s="1" t="str">
        <f t="shared" si="337"/>
        <v/>
      </c>
      <c r="AJ421" s="1" t="str">
        <f t="shared" si="338"/>
        <v/>
      </c>
      <c r="AK421" s="1" t="str">
        <f t="shared" si="339"/>
        <v/>
      </c>
      <c r="AL421" s="1" t="str">
        <f t="shared" si="340"/>
        <v/>
      </c>
      <c r="AM421" s="1" t="str">
        <f t="shared" si="341"/>
        <v/>
      </c>
      <c r="AN421" s="1" t="str">
        <f t="shared" si="342"/>
        <v/>
      </c>
    </row>
    <row r="422" customHeight="1" spans="5:40">
      <c r="E422" s="30"/>
      <c r="F422" s="30"/>
      <c r="G422" s="30"/>
      <c r="H422" s="30"/>
      <c r="I422" s="30"/>
      <c r="J422" s="30"/>
      <c r="K422" s="155"/>
      <c r="L422" s="155"/>
      <c r="M422" s="155"/>
      <c r="AC422" s="188"/>
      <c r="AE422" s="1">
        <v>112</v>
      </c>
      <c r="AF422" s="1" t="str">
        <f t="shared" si="334"/>
        <v/>
      </c>
      <c r="AG422" s="1" t="str">
        <f t="shared" si="335"/>
        <v/>
      </c>
      <c r="AH422" s="1" t="str">
        <f t="shared" si="336"/>
        <v/>
      </c>
      <c r="AI422" s="1" t="str">
        <f t="shared" si="337"/>
        <v/>
      </c>
      <c r="AJ422" s="1" t="str">
        <f t="shared" si="338"/>
        <v/>
      </c>
      <c r="AK422" s="1" t="str">
        <f t="shared" si="339"/>
        <v/>
      </c>
      <c r="AL422" s="1" t="str">
        <f t="shared" si="340"/>
        <v/>
      </c>
      <c r="AM422" s="1" t="str">
        <f t="shared" si="341"/>
        <v/>
      </c>
      <c r="AN422" s="1" t="str">
        <f t="shared" si="342"/>
        <v/>
      </c>
    </row>
    <row r="423" customHeight="1" spans="5:40">
      <c r="E423" s="30"/>
      <c r="F423" s="30"/>
      <c r="G423" s="30"/>
      <c r="H423" s="30"/>
      <c r="I423" s="30"/>
      <c r="J423" s="30"/>
      <c r="K423" s="155"/>
      <c r="L423" s="155"/>
      <c r="M423" s="155"/>
      <c r="AC423" s="188"/>
      <c r="AE423" s="1">
        <v>113</v>
      </c>
      <c r="AF423" s="1" t="str">
        <f t="shared" si="334"/>
        <v/>
      </c>
      <c r="AG423" s="1" t="str">
        <f t="shared" si="335"/>
        <v/>
      </c>
      <c r="AH423" s="1" t="str">
        <f t="shared" si="336"/>
        <v/>
      </c>
      <c r="AI423" s="1" t="str">
        <f t="shared" si="337"/>
        <v/>
      </c>
      <c r="AJ423" s="1" t="str">
        <f t="shared" si="338"/>
        <v/>
      </c>
      <c r="AK423" s="1" t="str">
        <f t="shared" si="339"/>
        <v/>
      </c>
      <c r="AL423" s="1" t="str">
        <f t="shared" si="340"/>
        <v/>
      </c>
      <c r="AM423" s="1" t="str">
        <f t="shared" si="341"/>
        <v/>
      </c>
      <c r="AN423" s="1" t="str">
        <f t="shared" si="342"/>
        <v/>
      </c>
    </row>
    <row r="424" customHeight="1" spans="5:40">
      <c r="E424" s="30"/>
      <c r="F424" s="30"/>
      <c r="G424" s="30"/>
      <c r="H424" s="30"/>
      <c r="I424" s="30"/>
      <c r="J424" s="30"/>
      <c r="K424" s="155"/>
      <c r="L424" s="155"/>
      <c r="M424" s="155"/>
      <c r="AC424" s="188"/>
      <c r="AE424" s="1">
        <v>114</v>
      </c>
      <c r="AF424" s="1" t="str">
        <f t="shared" si="334"/>
        <v/>
      </c>
      <c r="AG424" s="1" t="str">
        <f t="shared" si="335"/>
        <v/>
      </c>
      <c r="AH424" s="1" t="str">
        <f t="shared" si="336"/>
        <v/>
      </c>
      <c r="AI424" s="1" t="str">
        <f t="shared" si="337"/>
        <v/>
      </c>
      <c r="AJ424" s="1" t="str">
        <f t="shared" si="338"/>
        <v/>
      </c>
      <c r="AK424" s="1" t="str">
        <f t="shared" si="339"/>
        <v/>
      </c>
      <c r="AL424" s="1" t="str">
        <f t="shared" si="340"/>
        <v/>
      </c>
      <c r="AM424" s="1" t="str">
        <f t="shared" si="341"/>
        <v/>
      </c>
      <c r="AN424" s="1" t="str">
        <f t="shared" si="342"/>
        <v/>
      </c>
    </row>
    <row r="425" customHeight="1" spans="5:40">
      <c r="E425" s="30"/>
      <c r="F425" s="30"/>
      <c r="G425" s="30"/>
      <c r="H425" s="30"/>
      <c r="I425" s="30"/>
      <c r="J425" s="30"/>
      <c r="K425" s="155"/>
      <c r="L425" s="155"/>
      <c r="M425" s="155"/>
      <c r="AC425" s="188"/>
      <c r="AE425" s="1">
        <v>115</v>
      </c>
      <c r="AF425" s="1" t="str">
        <f t="shared" si="334"/>
        <v/>
      </c>
      <c r="AG425" s="1" t="str">
        <f t="shared" si="335"/>
        <v/>
      </c>
      <c r="AH425" s="1" t="str">
        <f t="shared" si="336"/>
        <v/>
      </c>
      <c r="AI425" s="1" t="str">
        <f t="shared" si="337"/>
        <v/>
      </c>
      <c r="AJ425" s="1" t="str">
        <f t="shared" si="338"/>
        <v/>
      </c>
      <c r="AK425" s="1" t="str">
        <f t="shared" si="339"/>
        <v/>
      </c>
      <c r="AL425" s="1" t="str">
        <f t="shared" si="340"/>
        <v/>
      </c>
      <c r="AM425" s="1" t="str">
        <f t="shared" si="341"/>
        <v/>
      </c>
      <c r="AN425" s="1" t="str">
        <f t="shared" si="342"/>
        <v/>
      </c>
    </row>
    <row r="426" customHeight="1" spans="5:40">
      <c r="E426" s="30"/>
      <c r="F426" s="30"/>
      <c r="G426" s="30"/>
      <c r="H426" s="30"/>
      <c r="I426" s="30"/>
      <c r="J426" s="30"/>
      <c r="K426" s="155"/>
      <c r="L426" s="155"/>
      <c r="M426" s="155"/>
      <c r="AC426" s="188"/>
      <c r="AE426" s="1">
        <v>116</v>
      </c>
      <c r="AF426" s="1" t="str">
        <f t="shared" si="334"/>
        <v/>
      </c>
      <c r="AG426" s="1" t="str">
        <f t="shared" si="335"/>
        <v/>
      </c>
      <c r="AH426" s="1" t="str">
        <f t="shared" si="336"/>
        <v/>
      </c>
      <c r="AI426" s="1" t="str">
        <f t="shared" si="337"/>
        <v/>
      </c>
      <c r="AJ426" s="1" t="str">
        <f t="shared" si="338"/>
        <v/>
      </c>
      <c r="AK426" s="1" t="str">
        <f t="shared" si="339"/>
        <v/>
      </c>
      <c r="AL426" s="1" t="str">
        <f t="shared" si="340"/>
        <v/>
      </c>
      <c r="AM426" s="1" t="str">
        <f t="shared" si="341"/>
        <v/>
      </c>
      <c r="AN426" s="1" t="str">
        <f t="shared" si="342"/>
        <v/>
      </c>
    </row>
    <row r="427" customHeight="1" spans="5:40">
      <c r="E427" s="30"/>
      <c r="F427" s="30"/>
      <c r="G427" s="30"/>
      <c r="H427" s="30"/>
      <c r="I427" s="30"/>
      <c r="J427" s="30"/>
      <c r="K427" s="155"/>
      <c r="L427" s="155"/>
      <c r="M427" s="155"/>
      <c r="AC427" s="188"/>
      <c r="AE427" s="1">
        <v>117</v>
      </c>
      <c r="AF427" s="1" t="str">
        <f t="shared" si="334"/>
        <v/>
      </c>
      <c r="AG427" s="1" t="str">
        <f t="shared" si="335"/>
        <v/>
      </c>
      <c r="AH427" s="1" t="str">
        <f t="shared" si="336"/>
        <v/>
      </c>
      <c r="AI427" s="1" t="str">
        <f t="shared" si="337"/>
        <v/>
      </c>
      <c r="AJ427" s="1" t="str">
        <f t="shared" si="338"/>
        <v/>
      </c>
      <c r="AK427" s="1" t="str">
        <f t="shared" si="339"/>
        <v/>
      </c>
      <c r="AL427" s="1" t="str">
        <f t="shared" si="340"/>
        <v/>
      </c>
      <c r="AM427" s="1" t="str">
        <f t="shared" si="341"/>
        <v/>
      </c>
      <c r="AN427" s="1" t="str">
        <f t="shared" si="342"/>
        <v/>
      </c>
    </row>
    <row r="428" customHeight="1" spans="5:40">
      <c r="E428" s="30"/>
      <c r="F428" s="30"/>
      <c r="G428" s="30"/>
      <c r="H428" s="30"/>
      <c r="I428" s="30"/>
      <c r="J428" s="30"/>
      <c r="K428" s="155"/>
      <c r="L428" s="155"/>
      <c r="M428" s="155"/>
      <c r="AC428" s="188"/>
      <c r="AE428" s="1">
        <v>118</v>
      </c>
      <c r="AF428" s="1" t="str">
        <f t="shared" si="334"/>
        <v/>
      </c>
      <c r="AG428" s="1" t="str">
        <f t="shared" si="335"/>
        <v/>
      </c>
      <c r="AH428" s="1" t="str">
        <f t="shared" si="336"/>
        <v/>
      </c>
      <c r="AI428" s="1" t="str">
        <f t="shared" si="337"/>
        <v/>
      </c>
      <c r="AJ428" s="1" t="str">
        <f t="shared" si="338"/>
        <v/>
      </c>
      <c r="AK428" s="1" t="str">
        <f t="shared" si="339"/>
        <v/>
      </c>
      <c r="AL428" s="1" t="str">
        <f t="shared" si="340"/>
        <v/>
      </c>
      <c r="AM428" s="1" t="str">
        <f t="shared" si="341"/>
        <v/>
      </c>
      <c r="AN428" s="1" t="str">
        <f t="shared" si="342"/>
        <v/>
      </c>
    </row>
    <row r="429" customHeight="1" spans="5:40">
      <c r="E429" s="30"/>
      <c r="F429" s="30"/>
      <c r="G429" s="30"/>
      <c r="H429" s="30"/>
      <c r="I429" s="30"/>
      <c r="J429" s="30"/>
      <c r="K429" s="155"/>
      <c r="L429" s="155"/>
      <c r="M429" s="155"/>
      <c r="AC429" s="188"/>
      <c r="AE429" s="1">
        <v>119</v>
      </c>
      <c r="AF429" s="1" t="str">
        <f t="shared" si="334"/>
        <v/>
      </c>
      <c r="AG429" s="1" t="str">
        <f t="shared" si="335"/>
        <v/>
      </c>
      <c r="AH429" s="1" t="str">
        <f t="shared" si="336"/>
        <v/>
      </c>
      <c r="AI429" s="1" t="str">
        <f t="shared" si="337"/>
        <v/>
      </c>
      <c r="AJ429" s="1" t="str">
        <f t="shared" si="338"/>
        <v/>
      </c>
      <c r="AK429" s="1" t="str">
        <f t="shared" si="339"/>
        <v/>
      </c>
      <c r="AL429" s="1" t="str">
        <f t="shared" si="340"/>
        <v/>
      </c>
      <c r="AM429" s="1" t="str">
        <f t="shared" si="341"/>
        <v/>
      </c>
      <c r="AN429" s="1" t="str">
        <f t="shared" si="342"/>
        <v/>
      </c>
    </row>
    <row r="430" customHeight="1" spans="5:40">
      <c r="E430" s="30"/>
      <c r="F430" s="30"/>
      <c r="G430" s="30"/>
      <c r="H430" s="30"/>
      <c r="I430" s="30"/>
      <c r="J430" s="30"/>
      <c r="K430" s="155"/>
      <c r="L430" s="155"/>
      <c r="M430" s="155"/>
      <c r="AC430" s="188"/>
      <c r="AE430" s="1">
        <v>120</v>
      </c>
      <c r="AF430" s="1" t="str">
        <f t="shared" si="334"/>
        <v/>
      </c>
      <c r="AG430" s="1" t="str">
        <f t="shared" si="335"/>
        <v/>
      </c>
      <c r="AH430" s="1" t="str">
        <f t="shared" si="336"/>
        <v/>
      </c>
      <c r="AI430" s="1" t="str">
        <f t="shared" si="337"/>
        <v/>
      </c>
      <c r="AJ430" s="1" t="str">
        <f t="shared" si="338"/>
        <v/>
      </c>
      <c r="AK430" s="1" t="str">
        <f t="shared" si="339"/>
        <v/>
      </c>
      <c r="AL430" s="1" t="str">
        <f t="shared" si="340"/>
        <v/>
      </c>
      <c r="AM430" s="1" t="str">
        <f t="shared" si="341"/>
        <v/>
      </c>
      <c r="AN430" s="1" t="str">
        <f t="shared" si="342"/>
        <v/>
      </c>
    </row>
    <row r="431" customHeight="1" spans="5:40">
      <c r="E431" s="30"/>
      <c r="F431" s="30"/>
      <c r="G431" s="30"/>
      <c r="H431" s="30"/>
      <c r="I431" s="30"/>
      <c r="J431" s="30"/>
      <c r="K431" s="155"/>
      <c r="L431" s="155"/>
      <c r="M431" s="155"/>
      <c r="AC431" s="188"/>
      <c r="AE431" s="1">
        <v>121</v>
      </c>
      <c r="AF431" s="1" t="str">
        <f t="shared" si="334"/>
        <v/>
      </c>
      <c r="AG431" s="1" t="str">
        <f t="shared" si="335"/>
        <v/>
      </c>
      <c r="AH431" s="1" t="str">
        <f t="shared" si="336"/>
        <v/>
      </c>
      <c r="AI431" s="1" t="str">
        <f t="shared" si="337"/>
        <v/>
      </c>
      <c r="AJ431" s="1" t="str">
        <f t="shared" si="338"/>
        <v/>
      </c>
      <c r="AK431" s="1" t="str">
        <f t="shared" si="339"/>
        <v/>
      </c>
      <c r="AL431" s="1" t="str">
        <f t="shared" si="340"/>
        <v/>
      </c>
      <c r="AM431" s="1" t="str">
        <f t="shared" si="341"/>
        <v/>
      </c>
      <c r="AN431" s="1" t="str">
        <f t="shared" si="342"/>
        <v/>
      </c>
    </row>
    <row r="432" customHeight="1" spans="5:40">
      <c r="E432" s="30"/>
      <c r="F432" s="30"/>
      <c r="G432" s="30"/>
      <c r="H432" s="30"/>
      <c r="I432" s="30"/>
      <c r="J432" s="30"/>
      <c r="K432" s="155"/>
      <c r="L432" s="155"/>
      <c r="M432" s="155"/>
      <c r="AC432" s="188"/>
      <c r="AE432" s="1">
        <v>122</v>
      </c>
      <c r="AF432" s="1" t="str">
        <f t="shared" si="334"/>
        <v/>
      </c>
      <c r="AG432" s="1" t="str">
        <f t="shared" si="335"/>
        <v/>
      </c>
      <c r="AH432" s="1" t="str">
        <f t="shared" si="336"/>
        <v/>
      </c>
      <c r="AI432" s="1" t="str">
        <f t="shared" si="337"/>
        <v/>
      </c>
      <c r="AJ432" s="1" t="str">
        <f t="shared" si="338"/>
        <v/>
      </c>
      <c r="AK432" s="1" t="str">
        <f t="shared" si="339"/>
        <v/>
      </c>
      <c r="AL432" s="1" t="str">
        <f t="shared" si="340"/>
        <v/>
      </c>
      <c r="AM432" s="1" t="str">
        <f t="shared" si="341"/>
        <v/>
      </c>
      <c r="AN432" s="1" t="str">
        <f t="shared" si="342"/>
        <v/>
      </c>
    </row>
    <row r="433" customHeight="1" spans="5:40">
      <c r="E433" s="30"/>
      <c r="F433" s="30"/>
      <c r="G433" s="30"/>
      <c r="H433" s="30"/>
      <c r="I433" s="30"/>
      <c r="J433" s="30"/>
      <c r="K433" s="155"/>
      <c r="L433" s="155"/>
      <c r="M433" s="155"/>
      <c r="AC433" s="188"/>
      <c r="AE433" s="1">
        <v>123</v>
      </c>
      <c r="AF433" s="1" t="str">
        <f t="shared" si="334"/>
        <v/>
      </c>
      <c r="AG433" s="1" t="str">
        <f t="shared" si="335"/>
        <v/>
      </c>
      <c r="AH433" s="1" t="str">
        <f t="shared" si="336"/>
        <v/>
      </c>
      <c r="AI433" s="1" t="str">
        <f t="shared" si="337"/>
        <v/>
      </c>
      <c r="AJ433" s="1" t="str">
        <f t="shared" si="338"/>
        <v/>
      </c>
      <c r="AK433" s="1" t="str">
        <f t="shared" si="339"/>
        <v/>
      </c>
      <c r="AL433" s="1" t="str">
        <f t="shared" si="340"/>
        <v/>
      </c>
      <c r="AM433" s="1" t="str">
        <f t="shared" si="341"/>
        <v/>
      </c>
      <c r="AN433" s="1" t="str">
        <f t="shared" si="342"/>
        <v/>
      </c>
    </row>
    <row r="434" customHeight="1" spans="5:40">
      <c r="E434" s="30"/>
      <c r="F434" s="30"/>
      <c r="G434" s="30"/>
      <c r="H434" s="30"/>
      <c r="I434" s="30"/>
      <c r="J434" s="30"/>
      <c r="K434" s="155"/>
      <c r="L434" s="155"/>
      <c r="M434" s="155"/>
      <c r="AC434" s="188"/>
      <c r="AE434" s="1">
        <v>124</v>
      </c>
      <c r="AF434" s="1" t="str">
        <f t="shared" si="334"/>
        <v/>
      </c>
      <c r="AG434" s="1" t="str">
        <f t="shared" si="335"/>
        <v/>
      </c>
      <c r="AH434" s="1" t="str">
        <f t="shared" si="336"/>
        <v/>
      </c>
      <c r="AI434" s="1" t="str">
        <f t="shared" si="337"/>
        <v/>
      </c>
      <c r="AJ434" s="1" t="str">
        <f t="shared" si="338"/>
        <v/>
      </c>
      <c r="AK434" s="1" t="str">
        <f t="shared" si="339"/>
        <v/>
      </c>
      <c r="AL434" s="1" t="str">
        <f t="shared" si="340"/>
        <v/>
      </c>
      <c r="AM434" s="1" t="str">
        <f t="shared" si="341"/>
        <v/>
      </c>
      <c r="AN434" s="1" t="str">
        <f t="shared" si="342"/>
        <v/>
      </c>
    </row>
    <row r="435" customHeight="1" spans="5:40">
      <c r="E435" s="30"/>
      <c r="F435" s="30"/>
      <c r="G435" s="30"/>
      <c r="H435" s="30"/>
      <c r="I435" s="30"/>
      <c r="J435" s="30"/>
      <c r="K435" s="155"/>
      <c r="L435" s="155"/>
      <c r="M435" s="155"/>
      <c r="AC435" s="188"/>
      <c r="AE435" s="1">
        <v>125</v>
      </c>
      <c r="AF435" s="1" t="str">
        <f t="shared" si="334"/>
        <v/>
      </c>
      <c r="AG435" s="1" t="str">
        <f t="shared" si="335"/>
        <v/>
      </c>
      <c r="AH435" s="1" t="str">
        <f t="shared" si="336"/>
        <v/>
      </c>
      <c r="AI435" s="1" t="str">
        <f t="shared" si="337"/>
        <v/>
      </c>
      <c r="AJ435" s="1" t="str">
        <f t="shared" si="338"/>
        <v/>
      </c>
      <c r="AK435" s="1" t="str">
        <f t="shared" si="339"/>
        <v/>
      </c>
      <c r="AL435" s="1" t="str">
        <f t="shared" si="340"/>
        <v/>
      </c>
      <c r="AM435" s="1" t="str">
        <f t="shared" si="341"/>
        <v/>
      </c>
      <c r="AN435" s="1" t="str">
        <f t="shared" si="342"/>
        <v/>
      </c>
    </row>
    <row r="436" customHeight="1" spans="5:40">
      <c r="E436" s="30"/>
      <c r="F436" s="30"/>
      <c r="G436" s="30"/>
      <c r="H436" s="30"/>
      <c r="I436" s="30"/>
      <c r="J436" s="30"/>
      <c r="K436" s="155"/>
      <c r="L436" s="155"/>
      <c r="M436" s="155"/>
      <c r="AC436" s="188"/>
      <c r="AE436" s="1">
        <v>126</v>
      </c>
      <c r="AF436" s="1" t="str">
        <f t="shared" si="334"/>
        <v/>
      </c>
      <c r="AG436" s="1" t="str">
        <f t="shared" si="335"/>
        <v/>
      </c>
      <c r="AH436" s="1" t="str">
        <f t="shared" si="336"/>
        <v/>
      </c>
      <c r="AI436" s="1" t="str">
        <f t="shared" si="337"/>
        <v/>
      </c>
      <c r="AJ436" s="1" t="str">
        <f t="shared" si="338"/>
        <v/>
      </c>
      <c r="AK436" s="1" t="str">
        <f t="shared" si="339"/>
        <v/>
      </c>
      <c r="AL436" s="1" t="str">
        <f t="shared" si="340"/>
        <v/>
      </c>
      <c r="AM436" s="1" t="str">
        <f t="shared" si="341"/>
        <v/>
      </c>
      <c r="AN436" s="1" t="str">
        <f t="shared" si="342"/>
        <v/>
      </c>
    </row>
    <row r="437" customHeight="1" spans="5:40">
      <c r="E437" s="30"/>
      <c r="F437" s="30"/>
      <c r="G437" s="30"/>
      <c r="H437" s="30"/>
      <c r="I437" s="30"/>
      <c r="J437" s="30"/>
      <c r="K437" s="155"/>
      <c r="L437" s="155"/>
      <c r="M437" s="155"/>
      <c r="AC437" s="188"/>
      <c r="AE437" s="1">
        <v>127</v>
      </c>
      <c r="AF437" s="1" t="str">
        <f t="shared" si="334"/>
        <v/>
      </c>
      <c r="AG437" s="1" t="str">
        <f t="shared" si="335"/>
        <v/>
      </c>
      <c r="AH437" s="1" t="str">
        <f t="shared" si="336"/>
        <v/>
      </c>
      <c r="AI437" s="1" t="str">
        <f t="shared" si="337"/>
        <v/>
      </c>
      <c r="AJ437" s="1" t="str">
        <f t="shared" si="338"/>
        <v/>
      </c>
      <c r="AK437" s="1" t="str">
        <f t="shared" si="339"/>
        <v/>
      </c>
      <c r="AL437" s="1" t="str">
        <f t="shared" si="340"/>
        <v/>
      </c>
      <c r="AM437" s="1" t="str">
        <f t="shared" si="341"/>
        <v/>
      </c>
      <c r="AN437" s="1" t="str">
        <f t="shared" si="342"/>
        <v/>
      </c>
    </row>
    <row r="438" customHeight="1" spans="5:40">
      <c r="E438" s="30"/>
      <c r="F438" s="30"/>
      <c r="G438" s="30"/>
      <c r="H438" s="30"/>
      <c r="I438" s="30"/>
      <c r="J438" s="30"/>
      <c r="K438" s="155"/>
      <c r="L438" s="155"/>
      <c r="M438" s="155"/>
      <c r="AC438" s="188"/>
      <c r="AE438" s="1">
        <v>128</v>
      </c>
      <c r="AF438" s="1" t="str">
        <f t="shared" si="334"/>
        <v/>
      </c>
      <c r="AG438" s="1" t="str">
        <f t="shared" si="335"/>
        <v/>
      </c>
      <c r="AH438" s="1" t="str">
        <f t="shared" si="336"/>
        <v/>
      </c>
      <c r="AI438" s="1" t="str">
        <f t="shared" si="337"/>
        <v/>
      </c>
      <c r="AJ438" s="1" t="str">
        <f t="shared" si="338"/>
        <v/>
      </c>
      <c r="AK438" s="1" t="str">
        <f t="shared" si="339"/>
        <v/>
      </c>
      <c r="AL438" s="1" t="str">
        <f t="shared" si="340"/>
        <v/>
      </c>
      <c r="AM438" s="1" t="str">
        <f t="shared" si="341"/>
        <v/>
      </c>
      <c r="AN438" s="1" t="str">
        <f t="shared" si="342"/>
        <v/>
      </c>
    </row>
    <row r="439" customHeight="1" spans="5:40">
      <c r="E439" s="30"/>
      <c r="F439" s="30"/>
      <c r="G439" s="30"/>
      <c r="H439" s="30"/>
      <c r="I439" s="30"/>
      <c r="J439" s="30"/>
      <c r="K439" s="155"/>
      <c r="L439" s="155"/>
      <c r="M439" s="155"/>
      <c r="AC439" s="188"/>
      <c r="AE439" s="1">
        <v>129</v>
      </c>
      <c r="AF439" s="1" t="str">
        <f t="shared" ref="AF439:AF470" si="343">_xlfn.IFNA(IF(VLOOKUP(CONCATENATE(BodyName," ",IF(AE439&lt;10,"0",""),AE439),Database,13,FALSE),AG439,""),"")</f>
        <v/>
      </c>
      <c r="AG439" s="1" t="str">
        <f t="shared" ref="AG439:AG470" si="344">_xlfn.IFNA(VLOOKUP(CONCATENATE(BodyName," ",IF(AE439&lt;10,"0",""),AE439),Database,5,FALSE),"")</f>
        <v/>
      </c>
      <c r="AH439" s="1" t="str">
        <f t="shared" ref="AH439:AH470" si="345">_xlfn.IFNA(VLOOKUP(CONCATENATE(BodyName," ",IF(AE439&lt;10,"0",""),AE439),Database,6,FALSE),"")</f>
        <v/>
      </c>
      <c r="AI439" s="1" t="str">
        <f t="shared" ref="AI439:AI470" si="346">_xlfn.IFNA(VLOOKUP(CONCATENATE(BodyName," ",IF(AE439&lt;10,"0",""),AE439),Database,7,FALSE),"")</f>
        <v/>
      </c>
      <c r="AJ439" s="1" t="str">
        <f t="shared" ref="AJ439:AJ470" si="347">_xlfn.IFNA(VLOOKUP(CONCATENATE(BodyName," ",IF(AE439&lt;10,"0",""),AE439),Database,8,FALSE),"")</f>
        <v/>
      </c>
      <c r="AK439" s="1" t="str">
        <f t="shared" ref="AK439:AK470" si="348">_xlfn.IFNA(VLOOKUP(CONCATENATE(BodyName," ",IF(AE439&lt;10,"0",""),AE439),Database,9,FALSE),"")</f>
        <v/>
      </c>
      <c r="AL439" s="1" t="str">
        <f t="shared" ref="AL439:AL470" si="349">_xlfn.IFNA(VLOOKUP(CONCATENATE(BodyName," ",IF(AE439&lt;10,"0",""),AE439),Database,10,FALSE),"")</f>
        <v/>
      </c>
      <c r="AM439" s="1" t="str">
        <f t="shared" ref="AM439:AM470" si="350">_xlfn.IFNA(VLOOKUP(CONCATENATE(BodyName," ",IF(AE439&lt;10,"0",""),AE439),Database,11,FALSE),"")</f>
        <v/>
      </c>
      <c r="AN439" s="1" t="str">
        <f t="shared" ref="AN439:AN470" si="351">_xlfn.IFNA(VLOOKUP(CONCATENATE(BodyName," ",IF(AE439&lt;10,"0",""),AE439),Database,12,FALSE),"")</f>
        <v/>
      </c>
    </row>
    <row r="440" customHeight="1" spans="5:40">
      <c r="E440" s="30"/>
      <c r="F440" s="30"/>
      <c r="G440" s="30"/>
      <c r="H440" s="30"/>
      <c r="I440" s="30"/>
      <c r="J440" s="30"/>
      <c r="K440" s="155"/>
      <c r="L440" s="155"/>
      <c r="M440" s="155"/>
      <c r="AC440" s="188"/>
      <c r="AE440" s="1">
        <v>130</v>
      </c>
      <c r="AF440" s="1" t="str">
        <f t="shared" si="343"/>
        <v/>
      </c>
      <c r="AG440" s="1" t="str">
        <f t="shared" si="344"/>
        <v/>
      </c>
      <c r="AH440" s="1" t="str">
        <f t="shared" si="345"/>
        <v/>
      </c>
      <c r="AI440" s="1" t="str">
        <f t="shared" si="346"/>
        <v/>
      </c>
      <c r="AJ440" s="1" t="str">
        <f t="shared" si="347"/>
        <v/>
      </c>
      <c r="AK440" s="1" t="str">
        <f t="shared" si="348"/>
        <v/>
      </c>
      <c r="AL440" s="1" t="str">
        <f t="shared" si="349"/>
        <v/>
      </c>
      <c r="AM440" s="1" t="str">
        <f t="shared" si="350"/>
        <v/>
      </c>
      <c r="AN440" s="1" t="str">
        <f t="shared" si="351"/>
        <v/>
      </c>
    </row>
    <row r="441" customHeight="1" spans="5:40">
      <c r="E441" s="30"/>
      <c r="F441" s="30"/>
      <c r="G441" s="30"/>
      <c r="H441" s="30"/>
      <c r="I441" s="30"/>
      <c r="J441" s="30"/>
      <c r="K441" s="155"/>
      <c r="L441" s="155"/>
      <c r="M441" s="155"/>
      <c r="AC441" s="188"/>
      <c r="AE441" s="1">
        <v>131</v>
      </c>
      <c r="AF441" s="1" t="str">
        <f t="shared" si="343"/>
        <v/>
      </c>
      <c r="AG441" s="1" t="str">
        <f t="shared" si="344"/>
        <v/>
      </c>
      <c r="AH441" s="1" t="str">
        <f t="shared" si="345"/>
        <v/>
      </c>
      <c r="AI441" s="1" t="str">
        <f t="shared" si="346"/>
        <v/>
      </c>
      <c r="AJ441" s="1" t="str">
        <f t="shared" si="347"/>
        <v/>
      </c>
      <c r="AK441" s="1" t="str">
        <f t="shared" si="348"/>
        <v/>
      </c>
      <c r="AL441" s="1" t="str">
        <f t="shared" si="349"/>
        <v/>
      </c>
      <c r="AM441" s="1" t="str">
        <f t="shared" si="350"/>
        <v/>
      </c>
      <c r="AN441" s="1" t="str">
        <f t="shared" si="351"/>
        <v/>
      </c>
    </row>
    <row r="442" customHeight="1" spans="5:40">
      <c r="E442" s="30"/>
      <c r="F442" s="30"/>
      <c r="G442" s="30"/>
      <c r="H442" s="30"/>
      <c r="I442" s="30"/>
      <c r="J442" s="30"/>
      <c r="K442" s="155"/>
      <c r="L442" s="155"/>
      <c r="M442" s="155"/>
      <c r="AC442" s="188"/>
      <c r="AE442" s="1">
        <v>132</v>
      </c>
      <c r="AF442" s="1" t="str">
        <f t="shared" si="343"/>
        <v/>
      </c>
      <c r="AG442" s="1" t="str">
        <f t="shared" si="344"/>
        <v/>
      </c>
      <c r="AH442" s="1" t="str">
        <f t="shared" si="345"/>
        <v/>
      </c>
      <c r="AI442" s="1" t="str">
        <f t="shared" si="346"/>
        <v/>
      </c>
      <c r="AJ442" s="1" t="str">
        <f t="shared" si="347"/>
        <v/>
      </c>
      <c r="AK442" s="1" t="str">
        <f t="shared" si="348"/>
        <v/>
      </c>
      <c r="AL442" s="1" t="str">
        <f t="shared" si="349"/>
        <v/>
      </c>
      <c r="AM442" s="1" t="str">
        <f t="shared" si="350"/>
        <v/>
      </c>
      <c r="AN442" s="1" t="str">
        <f t="shared" si="351"/>
        <v/>
      </c>
    </row>
    <row r="443" customHeight="1" spans="5:40">
      <c r="E443" s="30"/>
      <c r="F443" s="30"/>
      <c r="G443" s="30"/>
      <c r="H443" s="30"/>
      <c r="I443" s="30"/>
      <c r="J443" s="30"/>
      <c r="K443" s="155"/>
      <c r="L443" s="155"/>
      <c r="M443" s="155"/>
      <c r="AC443" s="188"/>
      <c r="AE443" s="1">
        <v>133</v>
      </c>
      <c r="AF443" s="1" t="str">
        <f t="shared" si="343"/>
        <v/>
      </c>
      <c r="AG443" s="1" t="str">
        <f t="shared" si="344"/>
        <v/>
      </c>
      <c r="AH443" s="1" t="str">
        <f t="shared" si="345"/>
        <v/>
      </c>
      <c r="AI443" s="1" t="str">
        <f t="shared" si="346"/>
        <v/>
      </c>
      <c r="AJ443" s="1" t="str">
        <f t="shared" si="347"/>
        <v/>
      </c>
      <c r="AK443" s="1" t="str">
        <f t="shared" si="348"/>
        <v/>
      </c>
      <c r="AL443" s="1" t="str">
        <f t="shared" si="349"/>
        <v/>
      </c>
      <c r="AM443" s="1" t="str">
        <f t="shared" si="350"/>
        <v/>
      </c>
      <c r="AN443" s="1" t="str">
        <f t="shared" si="351"/>
        <v/>
      </c>
    </row>
    <row r="444" customHeight="1" spans="5:40">
      <c r="E444" s="30"/>
      <c r="F444" s="30"/>
      <c r="G444" s="30"/>
      <c r="H444" s="30"/>
      <c r="I444" s="30"/>
      <c r="J444" s="30"/>
      <c r="K444" s="155"/>
      <c r="L444" s="155"/>
      <c r="M444" s="155"/>
      <c r="AC444" s="188"/>
      <c r="AE444" s="1">
        <v>134</v>
      </c>
      <c r="AF444" s="1" t="str">
        <f t="shared" si="343"/>
        <v/>
      </c>
      <c r="AG444" s="1" t="str">
        <f t="shared" si="344"/>
        <v/>
      </c>
      <c r="AH444" s="1" t="str">
        <f t="shared" si="345"/>
        <v/>
      </c>
      <c r="AI444" s="1" t="str">
        <f t="shared" si="346"/>
        <v/>
      </c>
      <c r="AJ444" s="1" t="str">
        <f t="shared" si="347"/>
        <v/>
      </c>
      <c r="AK444" s="1" t="str">
        <f t="shared" si="348"/>
        <v/>
      </c>
      <c r="AL444" s="1" t="str">
        <f t="shared" si="349"/>
        <v/>
      </c>
      <c r="AM444" s="1" t="str">
        <f t="shared" si="350"/>
        <v/>
      </c>
      <c r="AN444" s="1" t="str">
        <f t="shared" si="351"/>
        <v/>
      </c>
    </row>
    <row r="445" customHeight="1" spans="5:40">
      <c r="E445" s="30"/>
      <c r="F445" s="30"/>
      <c r="G445" s="30"/>
      <c r="H445" s="30"/>
      <c r="I445" s="30"/>
      <c r="J445" s="30"/>
      <c r="K445" s="155"/>
      <c r="L445" s="155"/>
      <c r="M445" s="155"/>
      <c r="AC445" s="188"/>
      <c r="AE445" s="1">
        <v>135</v>
      </c>
      <c r="AF445" s="1" t="str">
        <f t="shared" si="343"/>
        <v/>
      </c>
      <c r="AG445" s="1" t="str">
        <f t="shared" si="344"/>
        <v/>
      </c>
      <c r="AH445" s="1" t="str">
        <f t="shared" si="345"/>
        <v/>
      </c>
      <c r="AI445" s="1" t="str">
        <f t="shared" si="346"/>
        <v/>
      </c>
      <c r="AJ445" s="1" t="str">
        <f t="shared" si="347"/>
        <v/>
      </c>
      <c r="AK445" s="1" t="str">
        <f t="shared" si="348"/>
        <v/>
      </c>
      <c r="AL445" s="1" t="str">
        <f t="shared" si="349"/>
        <v/>
      </c>
      <c r="AM445" s="1" t="str">
        <f t="shared" si="350"/>
        <v/>
      </c>
      <c r="AN445" s="1" t="str">
        <f t="shared" si="351"/>
        <v/>
      </c>
    </row>
    <row r="446" customHeight="1" spans="5:40">
      <c r="E446" s="30"/>
      <c r="F446" s="30"/>
      <c r="G446" s="30"/>
      <c r="H446" s="30"/>
      <c r="I446" s="30"/>
      <c r="J446" s="30"/>
      <c r="K446" s="155"/>
      <c r="L446" s="155"/>
      <c r="M446" s="155"/>
      <c r="AC446" s="188"/>
      <c r="AE446" s="1">
        <v>136</v>
      </c>
      <c r="AF446" s="1" t="str">
        <f t="shared" si="343"/>
        <v/>
      </c>
      <c r="AG446" s="1" t="str">
        <f t="shared" si="344"/>
        <v/>
      </c>
      <c r="AH446" s="1" t="str">
        <f t="shared" si="345"/>
        <v/>
      </c>
      <c r="AI446" s="1" t="str">
        <f t="shared" si="346"/>
        <v/>
      </c>
      <c r="AJ446" s="1" t="str">
        <f t="shared" si="347"/>
        <v/>
      </c>
      <c r="AK446" s="1" t="str">
        <f t="shared" si="348"/>
        <v/>
      </c>
      <c r="AL446" s="1" t="str">
        <f t="shared" si="349"/>
        <v/>
      </c>
      <c r="AM446" s="1" t="str">
        <f t="shared" si="350"/>
        <v/>
      </c>
      <c r="AN446" s="1" t="str">
        <f t="shared" si="351"/>
        <v/>
      </c>
    </row>
    <row r="447" customHeight="1" spans="5:40">
      <c r="E447" s="30"/>
      <c r="F447" s="30"/>
      <c r="G447" s="30"/>
      <c r="H447" s="30"/>
      <c r="I447" s="30"/>
      <c r="J447" s="30"/>
      <c r="K447" s="155"/>
      <c r="L447" s="155"/>
      <c r="M447" s="155"/>
      <c r="AC447" s="188"/>
      <c r="AE447" s="1">
        <v>137</v>
      </c>
      <c r="AF447" s="1" t="str">
        <f t="shared" si="343"/>
        <v/>
      </c>
      <c r="AG447" s="1" t="str">
        <f t="shared" si="344"/>
        <v/>
      </c>
      <c r="AH447" s="1" t="str">
        <f t="shared" si="345"/>
        <v/>
      </c>
      <c r="AI447" s="1" t="str">
        <f t="shared" si="346"/>
        <v/>
      </c>
      <c r="AJ447" s="1" t="str">
        <f t="shared" si="347"/>
        <v/>
      </c>
      <c r="AK447" s="1" t="str">
        <f t="shared" si="348"/>
        <v/>
      </c>
      <c r="AL447" s="1" t="str">
        <f t="shared" si="349"/>
        <v/>
      </c>
      <c r="AM447" s="1" t="str">
        <f t="shared" si="350"/>
        <v/>
      </c>
      <c r="AN447" s="1" t="str">
        <f t="shared" si="351"/>
        <v/>
      </c>
    </row>
    <row r="448" customHeight="1" spans="5:40">
      <c r="E448" s="30"/>
      <c r="F448" s="30"/>
      <c r="G448" s="30"/>
      <c r="H448" s="30"/>
      <c r="I448" s="30"/>
      <c r="J448" s="30"/>
      <c r="K448" s="155"/>
      <c r="L448" s="155"/>
      <c r="M448" s="155"/>
      <c r="AC448" s="188"/>
      <c r="AE448" s="1">
        <v>138</v>
      </c>
      <c r="AF448" s="1" t="str">
        <f t="shared" si="343"/>
        <v/>
      </c>
      <c r="AG448" s="1" t="str">
        <f t="shared" si="344"/>
        <v/>
      </c>
      <c r="AH448" s="1" t="str">
        <f t="shared" si="345"/>
        <v/>
      </c>
      <c r="AI448" s="1" t="str">
        <f t="shared" si="346"/>
        <v/>
      </c>
      <c r="AJ448" s="1" t="str">
        <f t="shared" si="347"/>
        <v/>
      </c>
      <c r="AK448" s="1" t="str">
        <f t="shared" si="348"/>
        <v/>
      </c>
      <c r="AL448" s="1" t="str">
        <f t="shared" si="349"/>
        <v/>
      </c>
      <c r="AM448" s="1" t="str">
        <f t="shared" si="350"/>
        <v/>
      </c>
      <c r="AN448" s="1" t="str">
        <f t="shared" si="351"/>
        <v/>
      </c>
    </row>
    <row r="449" customHeight="1" spans="5:40">
      <c r="E449" s="30"/>
      <c r="F449" s="30"/>
      <c r="G449" s="30"/>
      <c r="H449" s="30"/>
      <c r="I449" s="30"/>
      <c r="J449" s="30"/>
      <c r="K449" s="155"/>
      <c r="L449" s="155"/>
      <c r="M449" s="155"/>
      <c r="AC449" s="188"/>
      <c r="AE449" s="1">
        <v>139</v>
      </c>
      <c r="AF449" s="1" t="str">
        <f t="shared" si="343"/>
        <v/>
      </c>
      <c r="AG449" s="1" t="str">
        <f t="shared" si="344"/>
        <v/>
      </c>
      <c r="AH449" s="1" t="str">
        <f t="shared" si="345"/>
        <v/>
      </c>
      <c r="AI449" s="1" t="str">
        <f t="shared" si="346"/>
        <v/>
      </c>
      <c r="AJ449" s="1" t="str">
        <f t="shared" si="347"/>
        <v/>
      </c>
      <c r="AK449" s="1" t="str">
        <f t="shared" si="348"/>
        <v/>
      </c>
      <c r="AL449" s="1" t="str">
        <f t="shared" si="349"/>
        <v/>
      </c>
      <c r="AM449" s="1" t="str">
        <f t="shared" si="350"/>
        <v/>
      </c>
      <c r="AN449" s="1" t="str">
        <f t="shared" si="351"/>
        <v/>
      </c>
    </row>
    <row r="450" customHeight="1" spans="5:40">
      <c r="E450" s="30"/>
      <c r="F450" s="30"/>
      <c r="G450" s="30"/>
      <c r="H450" s="30"/>
      <c r="I450" s="30"/>
      <c r="J450" s="30"/>
      <c r="K450" s="155"/>
      <c r="L450" s="155"/>
      <c r="M450" s="155"/>
      <c r="AC450" s="188"/>
      <c r="AE450" s="1">
        <v>140</v>
      </c>
      <c r="AF450" s="1" t="str">
        <f t="shared" si="343"/>
        <v/>
      </c>
      <c r="AG450" s="1" t="str">
        <f t="shared" si="344"/>
        <v/>
      </c>
      <c r="AH450" s="1" t="str">
        <f t="shared" si="345"/>
        <v/>
      </c>
      <c r="AI450" s="1" t="str">
        <f t="shared" si="346"/>
        <v/>
      </c>
      <c r="AJ450" s="1" t="str">
        <f t="shared" si="347"/>
        <v/>
      </c>
      <c r="AK450" s="1" t="str">
        <f t="shared" si="348"/>
        <v/>
      </c>
      <c r="AL450" s="1" t="str">
        <f t="shared" si="349"/>
        <v/>
      </c>
      <c r="AM450" s="1" t="str">
        <f t="shared" si="350"/>
        <v/>
      </c>
      <c r="AN450" s="1" t="str">
        <f t="shared" si="351"/>
        <v/>
      </c>
    </row>
    <row r="451" customHeight="1" spans="5:40">
      <c r="E451" s="30"/>
      <c r="F451" s="30"/>
      <c r="G451" s="30"/>
      <c r="H451" s="30"/>
      <c r="I451" s="30"/>
      <c r="J451" s="30"/>
      <c r="K451" s="155"/>
      <c r="L451" s="155"/>
      <c r="M451" s="155"/>
      <c r="AC451" s="188"/>
      <c r="AE451" s="1">
        <v>141</v>
      </c>
      <c r="AF451" s="1" t="str">
        <f t="shared" si="343"/>
        <v/>
      </c>
      <c r="AG451" s="1" t="str">
        <f t="shared" si="344"/>
        <v/>
      </c>
      <c r="AH451" s="1" t="str">
        <f t="shared" si="345"/>
        <v/>
      </c>
      <c r="AI451" s="1" t="str">
        <f t="shared" si="346"/>
        <v/>
      </c>
      <c r="AJ451" s="1" t="str">
        <f t="shared" si="347"/>
        <v/>
      </c>
      <c r="AK451" s="1" t="str">
        <f t="shared" si="348"/>
        <v/>
      </c>
      <c r="AL451" s="1" t="str">
        <f t="shared" si="349"/>
        <v/>
      </c>
      <c r="AM451" s="1" t="str">
        <f t="shared" si="350"/>
        <v/>
      </c>
      <c r="AN451" s="1" t="str">
        <f t="shared" si="351"/>
        <v/>
      </c>
    </row>
    <row r="452" customHeight="1" spans="5:40">
      <c r="E452" s="30"/>
      <c r="F452" s="30"/>
      <c r="G452" s="30"/>
      <c r="H452" s="30"/>
      <c r="I452" s="30"/>
      <c r="J452" s="30"/>
      <c r="K452" s="155"/>
      <c r="L452" s="155"/>
      <c r="M452" s="155"/>
      <c r="AC452" s="188"/>
      <c r="AE452" s="1">
        <v>142</v>
      </c>
      <c r="AF452" s="1" t="str">
        <f t="shared" si="343"/>
        <v/>
      </c>
      <c r="AG452" s="1" t="str">
        <f t="shared" si="344"/>
        <v/>
      </c>
      <c r="AH452" s="1" t="str">
        <f t="shared" si="345"/>
        <v/>
      </c>
      <c r="AI452" s="1" t="str">
        <f t="shared" si="346"/>
        <v/>
      </c>
      <c r="AJ452" s="1" t="str">
        <f t="shared" si="347"/>
        <v/>
      </c>
      <c r="AK452" s="1" t="str">
        <f t="shared" si="348"/>
        <v/>
      </c>
      <c r="AL452" s="1" t="str">
        <f t="shared" si="349"/>
        <v/>
      </c>
      <c r="AM452" s="1" t="str">
        <f t="shared" si="350"/>
        <v/>
      </c>
      <c r="AN452" s="1" t="str">
        <f t="shared" si="351"/>
        <v/>
      </c>
    </row>
    <row r="453" customHeight="1" spans="5:40">
      <c r="E453" s="30"/>
      <c r="F453" s="30"/>
      <c r="G453" s="30"/>
      <c r="H453" s="30"/>
      <c r="I453" s="30"/>
      <c r="J453" s="30"/>
      <c r="K453" s="155"/>
      <c r="L453" s="155"/>
      <c r="M453" s="155"/>
      <c r="AC453" s="188"/>
      <c r="AE453" s="1">
        <v>143</v>
      </c>
      <c r="AF453" s="1" t="str">
        <f t="shared" si="343"/>
        <v/>
      </c>
      <c r="AG453" s="1" t="str">
        <f t="shared" si="344"/>
        <v/>
      </c>
      <c r="AH453" s="1" t="str">
        <f t="shared" si="345"/>
        <v/>
      </c>
      <c r="AI453" s="1" t="str">
        <f t="shared" si="346"/>
        <v/>
      </c>
      <c r="AJ453" s="1" t="str">
        <f t="shared" si="347"/>
        <v/>
      </c>
      <c r="AK453" s="1" t="str">
        <f t="shared" si="348"/>
        <v/>
      </c>
      <c r="AL453" s="1" t="str">
        <f t="shared" si="349"/>
        <v/>
      </c>
      <c r="AM453" s="1" t="str">
        <f t="shared" si="350"/>
        <v/>
      </c>
      <c r="AN453" s="1" t="str">
        <f t="shared" si="351"/>
        <v/>
      </c>
    </row>
    <row r="454" customHeight="1" spans="5:40">
      <c r="E454" s="30"/>
      <c r="F454" s="30"/>
      <c r="G454" s="30"/>
      <c r="H454" s="30"/>
      <c r="I454" s="30"/>
      <c r="J454" s="30"/>
      <c r="K454" s="155"/>
      <c r="L454" s="155"/>
      <c r="M454" s="155"/>
      <c r="AC454" s="188"/>
      <c r="AE454" s="1">
        <v>144</v>
      </c>
      <c r="AF454" s="1" t="str">
        <f t="shared" si="343"/>
        <v/>
      </c>
      <c r="AG454" s="1" t="str">
        <f t="shared" si="344"/>
        <v/>
      </c>
      <c r="AH454" s="1" t="str">
        <f t="shared" si="345"/>
        <v/>
      </c>
      <c r="AI454" s="1" t="str">
        <f t="shared" si="346"/>
        <v/>
      </c>
      <c r="AJ454" s="1" t="str">
        <f t="shared" si="347"/>
        <v/>
      </c>
      <c r="AK454" s="1" t="str">
        <f t="shared" si="348"/>
        <v/>
      </c>
      <c r="AL454" s="1" t="str">
        <f t="shared" si="349"/>
        <v/>
      </c>
      <c r="AM454" s="1" t="str">
        <f t="shared" si="350"/>
        <v/>
      </c>
      <c r="AN454" s="1" t="str">
        <f t="shared" si="351"/>
        <v/>
      </c>
    </row>
    <row r="455" customHeight="1" spans="5:40">
      <c r="E455" s="30"/>
      <c r="F455" s="30"/>
      <c r="G455" s="30"/>
      <c r="H455" s="30"/>
      <c r="I455" s="30"/>
      <c r="J455" s="30"/>
      <c r="K455" s="155"/>
      <c r="L455" s="155"/>
      <c r="M455" s="155"/>
      <c r="AC455" s="188"/>
      <c r="AE455" s="1">
        <v>145</v>
      </c>
      <c r="AF455" s="1" t="str">
        <f t="shared" si="343"/>
        <v/>
      </c>
      <c r="AG455" s="1" t="str">
        <f t="shared" si="344"/>
        <v/>
      </c>
      <c r="AH455" s="1" t="str">
        <f t="shared" si="345"/>
        <v/>
      </c>
      <c r="AI455" s="1" t="str">
        <f t="shared" si="346"/>
        <v/>
      </c>
      <c r="AJ455" s="1" t="str">
        <f t="shared" si="347"/>
        <v/>
      </c>
      <c r="AK455" s="1" t="str">
        <f t="shared" si="348"/>
        <v/>
      </c>
      <c r="AL455" s="1" t="str">
        <f t="shared" si="349"/>
        <v/>
      </c>
      <c r="AM455" s="1" t="str">
        <f t="shared" si="350"/>
        <v/>
      </c>
      <c r="AN455" s="1" t="str">
        <f t="shared" si="351"/>
        <v/>
      </c>
    </row>
    <row r="456" customHeight="1" spans="5:40">
      <c r="E456" s="30"/>
      <c r="F456" s="30"/>
      <c r="G456" s="30"/>
      <c r="H456" s="30"/>
      <c r="I456" s="30"/>
      <c r="J456" s="30"/>
      <c r="K456" s="155"/>
      <c r="L456" s="155"/>
      <c r="M456" s="155"/>
      <c r="AC456" s="188"/>
      <c r="AE456" s="1">
        <v>146</v>
      </c>
      <c r="AF456" s="1" t="str">
        <f t="shared" si="343"/>
        <v/>
      </c>
      <c r="AG456" s="1" t="str">
        <f t="shared" si="344"/>
        <v/>
      </c>
      <c r="AH456" s="1" t="str">
        <f t="shared" si="345"/>
        <v/>
      </c>
      <c r="AI456" s="1" t="str">
        <f t="shared" si="346"/>
        <v/>
      </c>
      <c r="AJ456" s="1" t="str">
        <f t="shared" si="347"/>
        <v/>
      </c>
      <c r="AK456" s="1" t="str">
        <f t="shared" si="348"/>
        <v/>
      </c>
      <c r="AL456" s="1" t="str">
        <f t="shared" si="349"/>
        <v/>
      </c>
      <c r="AM456" s="1" t="str">
        <f t="shared" si="350"/>
        <v/>
      </c>
      <c r="AN456" s="1" t="str">
        <f t="shared" si="351"/>
        <v/>
      </c>
    </row>
    <row r="457" customHeight="1" spans="5:40">
      <c r="E457" s="30"/>
      <c r="F457" s="30"/>
      <c r="G457" s="30"/>
      <c r="H457" s="30"/>
      <c r="I457" s="30"/>
      <c r="J457" s="30"/>
      <c r="K457" s="155"/>
      <c r="L457" s="155"/>
      <c r="M457" s="155"/>
      <c r="AC457" s="188"/>
      <c r="AE457" s="1">
        <v>147</v>
      </c>
      <c r="AF457" s="1" t="str">
        <f t="shared" si="343"/>
        <v/>
      </c>
      <c r="AG457" s="1" t="str">
        <f t="shared" si="344"/>
        <v/>
      </c>
      <c r="AH457" s="1" t="str">
        <f t="shared" si="345"/>
        <v/>
      </c>
      <c r="AI457" s="1" t="str">
        <f t="shared" si="346"/>
        <v/>
      </c>
      <c r="AJ457" s="1" t="str">
        <f t="shared" si="347"/>
        <v/>
      </c>
      <c r="AK457" s="1" t="str">
        <f t="shared" si="348"/>
        <v/>
      </c>
      <c r="AL457" s="1" t="str">
        <f t="shared" si="349"/>
        <v/>
      </c>
      <c r="AM457" s="1" t="str">
        <f t="shared" si="350"/>
        <v/>
      </c>
      <c r="AN457" s="1" t="str">
        <f t="shared" si="351"/>
        <v/>
      </c>
    </row>
    <row r="458" customHeight="1" spans="5:40">
      <c r="E458" s="30"/>
      <c r="F458" s="30"/>
      <c r="G458" s="30"/>
      <c r="H458" s="30"/>
      <c r="I458" s="30"/>
      <c r="J458" s="30"/>
      <c r="K458" s="155"/>
      <c r="L458" s="155"/>
      <c r="M458" s="155"/>
      <c r="AC458" s="188"/>
      <c r="AE458" s="1">
        <v>148</v>
      </c>
      <c r="AF458" s="1" t="str">
        <f t="shared" si="343"/>
        <v/>
      </c>
      <c r="AG458" s="1" t="str">
        <f t="shared" si="344"/>
        <v/>
      </c>
      <c r="AH458" s="1" t="str">
        <f t="shared" si="345"/>
        <v/>
      </c>
      <c r="AI458" s="1" t="str">
        <f t="shared" si="346"/>
        <v/>
      </c>
      <c r="AJ458" s="1" t="str">
        <f t="shared" si="347"/>
        <v/>
      </c>
      <c r="AK458" s="1" t="str">
        <f t="shared" si="348"/>
        <v/>
      </c>
      <c r="AL458" s="1" t="str">
        <f t="shared" si="349"/>
        <v/>
      </c>
      <c r="AM458" s="1" t="str">
        <f t="shared" si="350"/>
        <v/>
      </c>
      <c r="AN458" s="1" t="str">
        <f t="shared" si="351"/>
        <v/>
      </c>
    </row>
    <row r="459" customHeight="1" spans="5:40">
      <c r="E459" s="30"/>
      <c r="F459" s="30"/>
      <c r="G459" s="30"/>
      <c r="H459" s="30"/>
      <c r="I459" s="30"/>
      <c r="J459" s="30"/>
      <c r="K459" s="155"/>
      <c r="L459" s="155"/>
      <c r="M459" s="155"/>
      <c r="AC459" s="188"/>
      <c r="AE459" s="1">
        <v>149</v>
      </c>
      <c r="AF459" s="1" t="str">
        <f t="shared" si="343"/>
        <v/>
      </c>
      <c r="AG459" s="1" t="str">
        <f t="shared" si="344"/>
        <v/>
      </c>
      <c r="AH459" s="1" t="str">
        <f t="shared" si="345"/>
        <v/>
      </c>
      <c r="AI459" s="1" t="str">
        <f t="shared" si="346"/>
        <v/>
      </c>
      <c r="AJ459" s="1" t="str">
        <f t="shared" si="347"/>
        <v/>
      </c>
      <c r="AK459" s="1" t="str">
        <f t="shared" si="348"/>
        <v/>
      </c>
      <c r="AL459" s="1" t="str">
        <f t="shared" si="349"/>
        <v/>
      </c>
      <c r="AM459" s="1" t="str">
        <f t="shared" si="350"/>
        <v/>
      </c>
      <c r="AN459" s="1" t="str">
        <f t="shared" si="351"/>
        <v/>
      </c>
    </row>
    <row r="460" customHeight="1" spans="5:40">
      <c r="E460" s="30"/>
      <c r="F460" s="30"/>
      <c r="G460" s="30"/>
      <c r="H460" s="30"/>
      <c r="I460" s="30"/>
      <c r="J460" s="30"/>
      <c r="K460" s="155"/>
      <c r="L460" s="155"/>
      <c r="M460" s="155"/>
      <c r="AC460" s="188"/>
      <c r="AE460" s="1">
        <v>150</v>
      </c>
      <c r="AF460" s="1" t="str">
        <f t="shared" si="343"/>
        <v/>
      </c>
      <c r="AG460" s="1" t="str">
        <f t="shared" si="344"/>
        <v/>
      </c>
      <c r="AH460" s="1" t="str">
        <f t="shared" si="345"/>
        <v/>
      </c>
      <c r="AI460" s="1" t="str">
        <f t="shared" si="346"/>
        <v/>
      </c>
      <c r="AJ460" s="1" t="str">
        <f t="shared" si="347"/>
        <v/>
      </c>
      <c r="AK460" s="1" t="str">
        <f t="shared" si="348"/>
        <v/>
      </c>
      <c r="AL460" s="1" t="str">
        <f t="shared" si="349"/>
        <v/>
      </c>
      <c r="AM460" s="1" t="str">
        <f t="shared" si="350"/>
        <v/>
      </c>
      <c r="AN460" s="1" t="str">
        <f t="shared" si="351"/>
        <v/>
      </c>
    </row>
    <row r="461" customHeight="1" spans="5:40">
      <c r="E461" s="30"/>
      <c r="F461" s="30"/>
      <c r="G461" s="30"/>
      <c r="H461" s="30"/>
      <c r="I461" s="30"/>
      <c r="J461" s="30"/>
      <c r="K461" s="155"/>
      <c r="L461" s="155"/>
      <c r="M461" s="155"/>
      <c r="AC461" s="188"/>
      <c r="AE461" s="1">
        <v>151</v>
      </c>
      <c r="AF461" s="1" t="str">
        <f t="shared" si="343"/>
        <v/>
      </c>
      <c r="AG461" s="1" t="str">
        <f t="shared" si="344"/>
        <v/>
      </c>
      <c r="AH461" s="1" t="str">
        <f t="shared" si="345"/>
        <v/>
      </c>
      <c r="AI461" s="1" t="str">
        <f t="shared" si="346"/>
        <v/>
      </c>
      <c r="AJ461" s="1" t="str">
        <f t="shared" si="347"/>
        <v/>
      </c>
      <c r="AK461" s="1" t="str">
        <f t="shared" si="348"/>
        <v/>
      </c>
      <c r="AL461" s="1" t="str">
        <f t="shared" si="349"/>
        <v/>
      </c>
      <c r="AM461" s="1" t="str">
        <f t="shared" si="350"/>
        <v/>
      </c>
      <c r="AN461" s="1" t="str">
        <f t="shared" si="351"/>
        <v/>
      </c>
    </row>
    <row r="462" customHeight="1" spans="5:40">
      <c r="E462" s="30"/>
      <c r="F462" s="30"/>
      <c r="G462" s="30"/>
      <c r="H462" s="30"/>
      <c r="I462" s="30"/>
      <c r="J462" s="30"/>
      <c r="K462" s="155"/>
      <c r="L462" s="155"/>
      <c r="M462" s="155"/>
      <c r="AC462" s="188"/>
      <c r="AE462" s="1">
        <v>152</v>
      </c>
      <c r="AF462" s="1" t="str">
        <f t="shared" si="343"/>
        <v/>
      </c>
      <c r="AG462" s="1" t="str">
        <f t="shared" si="344"/>
        <v/>
      </c>
      <c r="AH462" s="1" t="str">
        <f t="shared" si="345"/>
        <v/>
      </c>
      <c r="AI462" s="1" t="str">
        <f t="shared" si="346"/>
        <v/>
      </c>
      <c r="AJ462" s="1" t="str">
        <f t="shared" si="347"/>
        <v/>
      </c>
      <c r="AK462" s="1" t="str">
        <f t="shared" si="348"/>
        <v/>
      </c>
      <c r="AL462" s="1" t="str">
        <f t="shared" si="349"/>
        <v/>
      </c>
      <c r="AM462" s="1" t="str">
        <f t="shared" si="350"/>
        <v/>
      </c>
      <c r="AN462" s="1" t="str">
        <f t="shared" si="351"/>
        <v/>
      </c>
    </row>
    <row r="463" customHeight="1" spans="5:40">
      <c r="E463" s="30"/>
      <c r="F463" s="30"/>
      <c r="G463" s="30"/>
      <c r="H463" s="30"/>
      <c r="I463" s="30"/>
      <c r="J463" s="30"/>
      <c r="K463" s="155"/>
      <c r="L463" s="155"/>
      <c r="M463" s="155"/>
      <c r="AC463" s="188"/>
      <c r="AE463" s="1">
        <v>153</v>
      </c>
      <c r="AF463" s="1" t="str">
        <f t="shared" si="343"/>
        <v/>
      </c>
      <c r="AG463" s="1" t="str">
        <f t="shared" si="344"/>
        <v/>
      </c>
      <c r="AH463" s="1" t="str">
        <f t="shared" si="345"/>
        <v/>
      </c>
      <c r="AI463" s="1" t="str">
        <f t="shared" si="346"/>
        <v/>
      </c>
      <c r="AJ463" s="1" t="str">
        <f t="shared" si="347"/>
        <v/>
      </c>
      <c r="AK463" s="1" t="str">
        <f t="shared" si="348"/>
        <v/>
      </c>
      <c r="AL463" s="1" t="str">
        <f t="shared" si="349"/>
        <v/>
      </c>
      <c r="AM463" s="1" t="str">
        <f t="shared" si="350"/>
        <v/>
      </c>
      <c r="AN463" s="1" t="str">
        <f t="shared" si="351"/>
        <v/>
      </c>
    </row>
    <row r="464" customHeight="1" spans="5:40">
      <c r="E464" s="30"/>
      <c r="F464" s="30"/>
      <c r="G464" s="30"/>
      <c r="H464" s="30"/>
      <c r="I464" s="30"/>
      <c r="J464" s="30"/>
      <c r="K464" s="155"/>
      <c r="L464" s="155"/>
      <c r="M464" s="155"/>
      <c r="AC464" s="188"/>
      <c r="AE464" s="1">
        <v>154</v>
      </c>
      <c r="AF464" s="1" t="str">
        <f t="shared" si="343"/>
        <v/>
      </c>
      <c r="AG464" s="1" t="str">
        <f t="shared" si="344"/>
        <v/>
      </c>
      <c r="AH464" s="1" t="str">
        <f t="shared" si="345"/>
        <v/>
      </c>
      <c r="AI464" s="1" t="str">
        <f t="shared" si="346"/>
        <v/>
      </c>
      <c r="AJ464" s="1" t="str">
        <f t="shared" si="347"/>
        <v/>
      </c>
      <c r="AK464" s="1" t="str">
        <f t="shared" si="348"/>
        <v/>
      </c>
      <c r="AL464" s="1" t="str">
        <f t="shared" si="349"/>
        <v/>
      </c>
      <c r="AM464" s="1" t="str">
        <f t="shared" si="350"/>
        <v/>
      </c>
      <c r="AN464" s="1" t="str">
        <f t="shared" si="351"/>
        <v/>
      </c>
    </row>
    <row r="465" customHeight="1" spans="5:40">
      <c r="E465" s="30"/>
      <c r="F465" s="30"/>
      <c r="G465" s="30"/>
      <c r="H465" s="30"/>
      <c r="I465" s="30"/>
      <c r="J465" s="30"/>
      <c r="K465" s="155"/>
      <c r="L465" s="155"/>
      <c r="M465" s="155"/>
      <c r="AC465" s="188"/>
      <c r="AE465" s="1">
        <v>155</v>
      </c>
      <c r="AF465" s="1" t="str">
        <f t="shared" si="343"/>
        <v/>
      </c>
      <c r="AG465" s="1" t="str">
        <f t="shared" si="344"/>
        <v/>
      </c>
      <c r="AH465" s="1" t="str">
        <f t="shared" si="345"/>
        <v/>
      </c>
      <c r="AI465" s="1" t="str">
        <f t="shared" si="346"/>
        <v/>
      </c>
      <c r="AJ465" s="1" t="str">
        <f t="shared" si="347"/>
        <v/>
      </c>
      <c r="AK465" s="1" t="str">
        <f t="shared" si="348"/>
        <v/>
      </c>
      <c r="AL465" s="1" t="str">
        <f t="shared" si="349"/>
        <v/>
      </c>
      <c r="AM465" s="1" t="str">
        <f t="shared" si="350"/>
        <v/>
      </c>
      <c r="AN465" s="1" t="str">
        <f t="shared" si="351"/>
        <v/>
      </c>
    </row>
    <row r="466" customHeight="1" spans="5:40">
      <c r="E466" s="30"/>
      <c r="F466" s="30"/>
      <c r="G466" s="30"/>
      <c r="H466" s="30"/>
      <c r="I466" s="30"/>
      <c r="J466" s="30"/>
      <c r="K466" s="155"/>
      <c r="L466" s="155"/>
      <c r="M466" s="155"/>
      <c r="AC466" s="188"/>
      <c r="AE466" s="1">
        <v>156</v>
      </c>
      <c r="AF466" s="1" t="str">
        <f t="shared" si="343"/>
        <v/>
      </c>
      <c r="AG466" s="1" t="str">
        <f t="shared" si="344"/>
        <v/>
      </c>
      <c r="AH466" s="1" t="str">
        <f t="shared" si="345"/>
        <v/>
      </c>
      <c r="AI466" s="1" t="str">
        <f t="shared" si="346"/>
        <v/>
      </c>
      <c r="AJ466" s="1" t="str">
        <f t="shared" si="347"/>
        <v/>
      </c>
      <c r="AK466" s="1" t="str">
        <f t="shared" si="348"/>
        <v/>
      </c>
      <c r="AL466" s="1" t="str">
        <f t="shared" si="349"/>
        <v/>
      </c>
      <c r="AM466" s="1" t="str">
        <f t="shared" si="350"/>
        <v/>
      </c>
      <c r="AN466" s="1" t="str">
        <f t="shared" si="351"/>
        <v/>
      </c>
    </row>
    <row r="467" customHeight="1" spans="5:40">
      <c r="E467" s="30"/>
      <c r="F467" s="30"/>
      <c r="G467" s="30"/>
      <c r="H467" s="30"/>
      <c r="I467" s="30"/>
      <c r="J467" s="30"/>
      <c r="K467" s="155"/>
      <c r="L467" s="155"/>
      <c r="M467" s="155"/>
      <c r="AC467" s="188"/>
      <c r="AE467" s="1">
        <v>157</v>
      </c>
      <c r="AF467" s="1" t="str">
        <f t="shared" si="343"/>
        <v/>
      </c>
      <c r="AG467" s="1" t="str">
        <f t="shared" si="344"/>
        <v/>
      </c>
      <c r="AH467" s="1" t="str">
        <f t="shared" si="345"/>
        <v/>
      </c>
      <c r="AI467" s="1" t="str">
        <f t="shared" si="346"/>
        <v/>
      </c>
      <c r="AJ467" s="1" t="str">
        <f t="shared" si="347"/>
        <v/>
      </c>
      <c r="AK467" s="1" t="str">
        <f t="shared" si="348"/>
        <v/>
      </c>
      <c r="AL467" s="1" t="str">
        <f t="shared" si="349"/>
        <v/>
      </c>
      <c r="AM467" s="1" t="str">
        <f t="shared" si="350"/>
        <v/>
      </c>
      <c r="AN467" s="1" t="str">
        <f t="shared" si="351"/>
        <v/>
      </c>
    </row>
    <row r="468" customHeight="1" spans="5:40">
      <c r="E468" s="30"/>
      <c r="F468" s="30"/>
      <c r="G468" s="30"/>
      <c r="H468" s="30"/>
      <c r="I468" s="30"/>
      <c r="J468" s="30"/>
      <c r="K468" s="155"/>
      <c r="L468" s="155"/>
      <c r="M468" s="155"/>
      <c r="AC468" s="188"/>
      <c r="AE468" s="1">
        <v>158</v>
      </c>
      <c r="AF468" s="1" t="str">
        <f t="shared" si="343"/>
        <v/>
      </c>
      <c r="AG468" s="1" t="str">
        <f t="shared" si="344"/>
        <v/>
      </c>
      <c r="AH468" s="1" t="str">
        <f t="shared" si="345"/>
        <v/>
      </c>
      <c r="AI468" s="1" t="str">
        <f t="shared" si="346"/>
        <v/>
      </c>
      <c r="AJ468" s="1" t="str">
        <f t="shared" si="347"/>
        <v/>
      </c>
      <c r="AK468" s="1" t="str">
        <f t="shared" si="348"/>
        <v/>
      </c>
      <c r="AL468" s="1" t="str">
        <f t="shared" si="349"/>
        <v/>
      </c>
      <c r="AM468" s="1" t="str">
        <f t="shared" si="350"/>
        <v/>
      </c>
      <c r="AN468" s="1" t="str">
        <f t="shared" si="351"/>
        <v/>
      </c>
    </row>
    <row r="469" customHeight="1" spans="5:40">
      <c r="E469" s="30"/>
      <c r="F469" s="30"/>
      <c r="G469" s="30"/>
      <c r="H469" s="30"/>
      <c r="I469" s="30"/>
      <c r="J469" s="30"/>
      <c r="K469" s="155"/>
      <c r="L469" s="155"/>
      <c r="M469" s="155"/>
      <c r="AC469" s="188"/>
      <c r="AE469" s="1">
        <v>159</v>
      </c>
      <c r="AF469" s="1" t="str">
        <f t="shared" si="343"/>
        <v/>
      </c>
      <c r="AG469" s="1" t="str">
        <f t="shared" si="344"/>
        <v/>
      </c>
      <c r="AH469" s="1" t="str">
        <f t="shared" si="345"/>
        <v/>
      </c>
      <c r="AI469" s="1" t="str">
        <f t="shared" si="346"/>
        <v/>
      </c>
      <c r="AJ469" s="1" t="str">
        <f t="shared" si="347"/>
        <v/>
      </c>
      <c r="AK469" s="1" t="str">
        <f t="shared" si="348"/>
        <v/>
      </c>
      <c r="AL469" s="1" t="str">
        <f t="shared" si="349"/>
        <v/>
      </c>
      <c r="AM469" s="1" t="str">
        <f t="shared" si="350"/>
        <v/>
      </c>
      <c r="AN469" s="1" t="str">
        <f t="shared" si="351"/>
        <v/>
      </c>
    </row>
    <row r="470" customHeight="1" spans="5:40">
      <c r="E470" s="30"/>
      <c r="F470" s="30"/>
      <c r="G470" s="30"/>
      <c r="H470" s="30"/>
      <c r="I470" s="30"/>
      <c r="J470" s="30"/>
      <c r="K470" s="155"/>
      <c r="L470" s="155"/>
      <c r="M470" s="155"/>
      <c r="AC470" s="188"/>
      <c r="AE470" s="1">
        <v>160</v>
      </c>
      <c r="AF470" s="1" t="str">
        <f t="shared" si="343"/>
        <v/>
      </c>
      <c r="AG470" s="1" t="str">
        <f t="shared" si="344"/>
        <v/>
      </c>
      <c r="AH470" s="1" t="str">
        <f t="shared" si="345"/>
        <v/>
      </c>
      <c r="AI470" s="1" t="str">
        <f t="shared" si="346"/>
        <v/>
      </c>
      <c r="AJ470" s="1" t="str">
        <f t="shared" si="347"/>
        <v/>
      </c>
      <c r="AK470" s="1" t="str">
        <f t="shared" si="348"/>
        <v/>
      </c>
      <c r="AL470" s="1" t="str">
        <f t="shared" si="349"/>
        <v/>
      </c>
      <c r="AM470" s="1" t="str">
        <f t="shared" si="350"/>
        <v/>
      </c>
      <c r="AN470" s="1" t="str">
        <f t="shared" si="351"/>
        <v/>
      </c>
    </row>
    <row r="471" customHeight="1" spans="5:40">
      <c r="E471" s="30"/>
      <c r="F471" s="30"/>
      <c r="G471" s="30"/>
      <c r="H471" s="30"/>
      <c r="I471" s="30"/>
      <c r="J471" s="30"/>
      <c r="K471" s="155"/>
      <c r="L471" s="155"/>
      <c r="M471" s="155"/>
      <c r="AC471" s="188"/>
      <c r="AE471" s="1">
        <v>161</v>
      </c>
      <c r="AF471" s="1" t="str">
        <f t="shared" ref="AF471:AF502" si="352">_xlfn.IFNA(IF(VLOOKUP(CONCATENATE(BodyName," ",IF(AE471&lt;10,"0",""),AE471),Database,13,FALSE),AG471,""),"")</f>
        <v/>
      </c>
      <c r="AG471" s="1" t="str">
        <f t="shared" ref="AG471:AG502" si="353">_xlfn.IFNA(VLOOKUP(CONCATENATE(BodyName," ",IF(AE471&lt;10,"0",""),AE471),Database,5,FALSE),"")</f>
        <v/>
      </c>
      <c r="AH471" s="1" t="str">
        <f t="shared" ref="AH471:AH502" si="354">_xlfn.IFNA(VLOOKUP(CONCATENATE(BodyName," ",IF(AE471&lt;10,"0",""),AE471),Database,6,FALSE),"")</f>
        <v/>
      </c>
      <c r="AI471" s="1" t="str">
        <f t="shared" ref="AI471:AI502" si="355">_xlfn.IFNA(VLOOKUP(CONCATENATE(BodyName," ",IF(AE471&lt;10,"0",""),AE471),Database,7,FALSE),"")</f>
        <v/>
      </c>
      <c r="AJ471" s="1" t="str">
        <f t="shared" ref="AJ471:AJ502" si="356">_xlfn.IFNA(VLOOKUP(CONCATENATE(BodyName," ",IF(AE471&lt;10,"0",""),AE471),Database,8,FALSE),"")</f>
        <v/>
      </c>
      <c r="AK471" s="1" t="str">
        <f t="shared" ref="AK471:AK502" si="357">_xlfn.IFNA(VLOOKUP(CONCATENATE(BodyName," ",IF(AE471&lt;10,"0",""),AE471),Database,9,FALSE),"")</f>
        <v/>
      </c>
      <c r="AL471" s="1" t="str">
        <f t="shared" ref="AL471:AL502" si="358">_xlfn.IFNA(VLOOKUP(CONCATENATE(BodyName," ",IF(AE471&lt;10,"0",""),AE471),Database,10,FALSE),"")</f>
        <v/>
      </c>
      <c r="AM471" s="1" t="str">
        <f t="shared" ref="AM471:AM502" si="359">_xlfn.IFNA(VLOOKUP(CONCATENATE(BodyName," ",IF(AE471&lt;10,"0",""),AE471),Database,11,FALSE),"")</f>
        <v/>
      </c>
      <c r="AN471" s="1" t="str">
        <f t="shared" ref="AN471:AN502" si="360">_xlfn.IFNA(VLOOKUP(CONCATENATE(BodyName," ",IF(AE471&lt;10,"0",""),AE471),Database,12,FALSE),"")</f>
        <v/>
      </c>
    </row>
    <row r="472" customHeight="1" spans="5:40">
      <c r="E472" s="30"/>
      <c r="F472" s="30"/>
      <c r="G472" s="30"/>
      <c r="H472" s="30"/>
      <c r="I472" s="30"/>
      <c r="J472" s="30"/>
      <c r="K472" s="155"/>
      <c r="L472" s="155"/>
      <c r="M472" s="155"/>
      <c r="AC472" s="188"/>
      <c r="AE472" s="1">
        <v>162</v>
      </c>
      <c r="AF472" s="1" t="str">
        <f t="shared" si="352"/>
        <v/>
      </c>
      <c r="AG472" s="1" t="str">
        <f t="shared" si="353"/>
        <v/>
      </c>
      <c r="AH472" s="1" t="str">
        <f t="shared" si="354"/>
        <v/>
      </c>
      <c r="AI472" s="1" t="str">
        <f t="shared" si="355"/>
        <v/>
      </c>
      <c r="AJ472" s="1" t="str">
        <f t="shared" si="356"/>
        <v/>
      </c>
      <c r="AK472" s="1" t="str">
        <f t="shared" si="357"/>
        <v/>
      </c>
      <c r="AL472" s="1" t="str">
        <f t="shared" si="358"/>
        <v/>
      </c>
      <c r="AM472" s="1" t="str">
        <f t="shared" si="359"/>
        <v/>
      </c>
      <c r="AN472" s="1" t="str">
        <f t="shared" si="360"/>
        <v/>
      </c>
    </row>
    <row r="473" customHeight="1" spans="5:40">
      <c r="E473" s="30"/>
      <c r="F473" s="30"/>
      <c r="G473" s="30"/>
      <c r="H473" s="30"/>
      <c r="I473" s="30"/>
      <c r="J473" s="30"/>
      <c r="K473" s="155"/>
      <c r="L473" s="155"/>
      <c r="M473" s="155"/>
      <c r="AC473" s="188"/>
      <c r="AE473" s="1">
        <v>163</v>
      </c>
      <c r="AF473" s="1" t="str">
        <f t="shared" si="352"/>
        <v/>
      </c>
      <c r="AG473" s="1" t="str">
        <f t="shared" si="353"/>
        <v/>
      </c>
      <c r="AH473" s="1" t="str">
        <f t="shared" si="354"/>
        <v/>
      </c>
      <c r="AI473" s="1" t="str">
        <f t="shared" si="355"/>
        <v/>
      </c>
      <c r="AJ473" s="1" t="str">
        <f t="shared" si="356"/>
        <v/>
      </c>
      <c r="AK473" s="1" t="str">
        <f t="shared" si="357"/>
        <v/>
      </c>
      <c r="AL473" s="1" t="str">
        <f t="shared" si="358"/>
        <v/>
      </c>
      <c r="AM473" s="1" t="str">
        <f t="shared" si="359"/>
        <v/>
      </c>
      <c r="AN473" s="1" t="str">
        <f t="shared" si="360"/>
        <v/>
      </c>
    </row>
    <row r="474" customHeight="1" spans="5:40">
      <c r="E474" s="30"/>
      <c r="F474" s="30"/>
      <c r="G474" s="30"/>
      <c r="H474" s="30"/>
      <c r="I474" s="30"/>
      <c r="J474" s="30"/>
      <c r="K474" s="155"/>
      <c r="L474" s="155"/>
      <c r="M474" s="155"/>
      <c r="AC474" s="188"/>
      <c r="AE474" s="1">
        <v>164</v>
      </c>
      <c r="AF474" s="1" t="str">
        <f t="shared" si="352"/>
        <v/>
      </c>
      <c r="AG474" s="1" t="str">
        <f t="shared" si="353"/>
        <v/>
      </c>
      <c r="AH474" s="1" t="str">
        <f t="shared" si="354"/>
        <v/>
      </c>
      <c r="AI474" s="1" t="str">
        <f t="shared" si="355"/>
        <v/>
      </c>
      <c r="AJ474" s="1" t="str">
        <f t="shared" si="356"/>
        <v/>
      </c>
      <c r="AK474" s="1" t="str">
        <f t="shared" si="357"/>
        <v/>
      </c>
      <c r="AL474" s="1" t="str">
        <f t="shared" si="358"/>
        <v/>
      </c>
      <c r="AM474" s="1" t="str">
        <f t="shared" si="359"/>
        <v/>
      </c>
      <c r="AN474" s="1" t="str">
        <f t="shared" si="360"/>
        <v/>
      </c>
    </row>
    <row r="475" customHeight="1" spans="5:40">
      <c r="E475" s="30"/>
      <c r="F475" s="30"/>
      <c r="G475" s="30"/>
      <c r="H475" s="30"/>
      <c r="I475" s="30"/>
      <c r="J475" s="30"/>
      <c r="K475" s="155"/>
      <c r="L475" s="155"/>
      <c r="M475" s="155"/>
      <c r="AC475" s="188"/>
      <c r="AE475" s="1">
        <v>165</v>
      </c>
      <c r="AF475" s="1" t="str">
        <f t="shared" si="352"/>
        <v/>
      </c>
      <c r="AG475" s="1" t="str">
        <f t="shared" si="353"/>
        <v/>
      </c>
      <c r="AH475" s="1" t="str">
        <f t="shared" si="354"/>
        <v/>
      </c>
      <c r="AI475" s="1" t="str">
        <f t="shared" si="355"/>
        <v/>
      </c>
      <c r="AJ475" s="1" t="str">
        <f t="shared" si="356"/>
        <v/>
      </c>
      <c r="AK475" s="1" t="str">
        <f t="shared" si="357"/>
        <v/>
      </c>
      <c r="AL475" s="1" t="str">
        <f t="shared" si="358"/>
        <v/>
      </c>
      <c r="AM475" s="1" t="str">
        <f t="shared" si="359"/>
        <v/>
      </c>
      <c r="AN475" s="1" t="str">
        <f t="shared" si="360"/>
        <v/>
      </c>
    </row>
    <row r="476" customHeight="1" spans="5:40">
      <c r="E476" s="30"/>
      <c r="F476" s="30"/>
      <c r="G476" s="30"/>
      <c r="H476" s="30"/>
      <c r="I476" s="30"/>
      <c r="J476" s="30"/>
      <c r="K476" s="155"/>
      <c r="L476" s="155"/>
      <c r="M476" s="155"/>
      <c r="AC476" s="188"/>
      <c r="AE476" s="1">
        <v>166</v>
      </c>
      <c r="AF476" s="1" t="str">
        <f t="shared" si="352"/>
        <v/>
      </c>
      <c r="AG476" s="1" t="str">
        <f t="shared" si="353"/>
        <v/>
      </c>
      <c r="AH476" s="1" t="str">
        <f t="shared" si="354"/>
        <v/>
      </c>
      <c r="AI476" s="1" t="str">
        <f t="shared" si="355"/>
        <v/>
      </c>
      <c r="AJ476" s="1" t="str">
        <f t="shared" si="356"/>
        <v/>
      </c>
      <c r="AK476" s="1" t="str">
        <f t="shared" si="357"/>
        <v/>
      </c>
      <c r="AL476" s="1" t="str">
        <f t="shared" si="358"/>
        <v/>
      </c>
      <c r="AM476" s="1" t="str">
        <f t="shared" si="359"/>
        <v/>
      </c>
      <c r="AN476" s="1" t="str">
        <f t="shared" si="360"/>
        <v/>
      </c>
    </row>
    <row r="477" customHeight="1" spans="5:40">
      <c r="E477" s="30"/>
      <c r="F477" s="30"/>
      <c r="G477" s="30"/>
      <c r="H477" s="30"/>
      <c r="I477" s="30"/>
      <c r="J477" s="30"/>
      <c r="K477" s="155"/>
      <c r="L477" s="155"/>
      <c r="M477" s="155"/>
      <c r="AC477" s="188"/>
      <c r="AE477" s="1">
        <v>167</v>
      </c>
      <c r="AF477" s="1" t="str">
        <f t="shared" si="352"/>
        <v/>
      </c>
      <c r="AG477" s="1" t="str">
        <f t="shared" si="353"/>
        <v/>
      </c>
      <c r="AH477" s="1" t="str">
        <f t="shared" si="354"/>
        <v/>
      </c>
      <c r="AI477" s="1" t="str">
        <f t="shared" si="355"/>
        <v/>
      </c>
      <c r="AJ477" s="1" t="str">
        <f t="shared" si="356"/>
        <v/>
      </c>
      <c r="AK477" s="1" t="str">
        <f t="shared" si="357"/>
        <v/>
      </c>
      <c r="AL477" s="1" t="str">
        <f t="shared" si="358"/>
        <v/>
      </c>
      <c r="AM477" s="1" t="str">
        <f t="shared" si="359"/>
        <v/>
      </c>
      <c r="AN477" s="1" t="str">
        <f t="shared" si="360"/>
        <v/>
      </c>
    </row>
    <row r="478" customHeight="1" spans="5:40">
      <c r="E478" s="30"/>
      <c r="F478" s="30"/>
      <c r="G478" s="30"/>
      <c r="H478" s="30"/>
      <c r="I478" s="30"/>
      <c r="J478" s="30"/>
      <c r="K478" s="155"/>
      <c r="L478" s="155"/>
      <c r="M478" s="155"/>
      <c r="AC478" s="188"/>
      <c r="AE478" s="1">
        <v>168</v>
      </c>
      <c r="AF478" s="1" t="str">
        <f t="shared" si="352"/>
        <v/>
      </c>
      <c r="AG478" s="1" t="str">
        <f t="shared" si="353"/>
        <v/>
      </c>
      <c r="AH478" s="1" t="str">
        <f t="shared" si="354"/>
        <v/>
      </c>
      <c r="AI478" s="1" t="str">
        <f t="shared" si="355"/>
        <v/>
      </c>
      <c r="AJ478" s="1" t="str">
        <f t="shared" si="356"/>
        <v/>
      </c>
      <c r="AK478" s="1" t="str">
        <f t="shared" si="357"/>
        <v/>
      </c>
      <c r="AL478" s="1" t="str">
        <f t="shared" si="358"/>
        <v/>
      </c>
      <c r="AM478" s="1" t="str">
        <f t="shared" si="359"/>
        <v/>
      </c>
      <c r="AN478" s="1" t="str">
        <f t="shared" si="360"/>
        <v/>
      </c>
    </row>
    <row r="479" customHeight="1" spans="5:40">
      <c r="E479" s="30"/>
      <c r="F479" s="30"/>
      <c r="G479" s="30"/>
      <c r="H479" s="30"/>
      <c r="I479" s="30"/>
      <c r="J479" s="30"/>
      <c r="K479" s="155"/>
      <c r="L479" s="155"/>
      <c r="M479" s="155"/>
      <c r="AC479" s="188"/>
      <c r="AE479" s="1">
        <v>169</v>
      </c>
      <c r="AF479" s="1" t="str">
        <f t="shared" si="352"/>
        <v/>
      </c>
      <c r="AG479" s="1" t="str">
        <f t="shared" si="353"/>
        <v/>
      </c>
      <c r="AH479" s="1" t="str">
        <f t="shared" si="354"/>
        <v/>
      </c>
      <c r="AI479" s="1" t="str">
        <f t="shared" si="355"/>
        <v/>
      </c>
      <c r="AJ479" s="1" t="str">
        <f t="shared" si="356"/>
        <v/>
      </c>
      <c r="AK479" s="1" t="str">
        <f t="shared" si="357"/>
        <v/>
      </c>
      <c r="AL479" s="1" t="str">
        <f t="shared" si="358"/>
        <v/>
      </c>
      <c r="AM479" s="1" t="str">
        <f t="shared" si="359"/>
        <v/>
      </c>
      <c r="AN479" s="1" t="str">
        <f t="shared" si="360"/>
        <v/>
      </c>
    </row>
    <row r="480" customHeight="1" spans="5:40">
      <c r="E480" s="30"/>
      <c r="F480" s="30"/>
      <c r="G480" s="30"/>
      <c r="H480" s="30"/>
      <c r="I480" s="30"/>
      <c r="J480" s="30"/>
      <c r="K480" s="155"/>
      <c r="L480" s="155"/>
      <c r="M480" s="155"/>
      <c r="AC480" s="188"/>
      <c r="AE480" s="1">
        <v>170</v>
      </c>
      <c r="AF480" s="1" t="str">
        <f t="shared" si="352"/>
        <v/>
      </c>
      <c r="AG480" s="1" t="str">
        <f t="shared" si="353"/>
        <v/>
      </c>
      <c r="AH480" s="1" t="str">
        <f t="shared" si="354"/>
        <v/>
      </c>
      <c r="AI480" s="1" t="str">
        <f t="shared" si="355"/>
        <v/>
      </c>
      <c r="AJ480" s="1" t="str">
        <f t="shared" si="356"/>
        <v/>
      </c>
      <c r="AK480" s="1" t="str">
        <f t="shared" si="357"/>
        <v/>
      </c>
      <c r="AL480" s="1" t="str">
        <f t="shared" si="358"/>
        <v/>
      </c>
      <c r="AM480" s="1" t="str">
        <f t="shared" si="359"/>
        <v/>
      </c>
      <c r="AN480" s="1" t="str">
        <f t="shared" si="360"/>
        <v/>
      </c>
    </row>
    <row r="481" customHeight="1" spans="5:40">
      <c r="E481" s="30"/>
      <c r="F481" s="30"/>
      <c r="G481" s="30"/>
      <c r="H481" s="30"/>
      <c r="I481" s="30"/>
      <c r="J481" s="30"/>
      <c r="K481" s="155"/>
      <c r="L481" s="155"/>
      <c r="M481" s="155"/>
      <c r="AC481" s="188"/>
      <c r="AE481" s="1">
        <v>171</v>
      </c>
      <c r="AF481" s="1" t="str">
        <f t="shared" si="352"/>
        <v/>
      </c>
      <c r="AG481" s="1" t="str">
        <f t="shared" si="353"/>
        <v/>
      </c>
      <c r="AH481" s="1" t="str">
        <f t="shared" si="354"/>
        <v/>
      </c>
      <c r="AI481" s="1" t="str">
        <f t="shared" si="355"/>
        <v/>
      </c>
      <c r="AJ481" s="1" t="str">
        <f t="shared" si="356"/>
        <v/>
      </c>
      <c r="AK481" s="1" t="str">
        <f t="shared" si="357"/>
        <v/>
      </c>
      <c r="AL481" s="1" t="str">
        <f t="shared" si="358"/>
        <v/>
      </c>
      <c r="AM481" s="1" t="str">
        <f t="shared" si="359"/>
        <v/>
      </c>
      <c r="AN481" s="1" t="str">
        <f t="shared" si="360"/>
        <v/>
      </c>
    </row>
    <row r="482" customHeight="1" spans="5:40">
      <c r="E482" s="30"/>
      <c r="F482" s="30"/>
      <c r="G482" s="30"/>
      <c r="H482" s="30"/>
      <c r="I482" s="30"/>
      <c r="J482" s="30"/>
      <c r="K482" s="155"/>
      <c r="L482" s="155"/>
      <c r="M482" s="155"/>
      <c r="AC482" s="188"/>
      <c r="AE482" s="1">
        <v>172</v>
      </c>
      <c r="AF482" s="1" t="str">
        <f t="shared" si="352"/>
        <v/>
      </c>
      <c r="AG482" s="1" t="str">
        <f t="shared" si="353"/>
        <v/>
      </c>
      <c r="AH482" s="1" t="str">
        <f t="shared" si="354"/>
        <v/>
      </c>
      <c r="AI482" s="1" t="str">
        <f t="shared" si="355"/>
        <v/>
      </c>
      <c r="AJ482" s="1" t="str">
        <f t="shared" si="356"/>
        <v/>
      </c>
      <c r="AK482" s="1" t="str">
        <f t="shared" si="357"/>
        <v/>
      </c>
      <c r="AL482" s="1" t="str">
        <f t="shared" si="358"/>
        <v/>
      </c>
      <c r="AM482" s="1" t="str">
        <f t="shared" si="359"/>
        <v/>
      </c>
      <c r="AN482" s="1" t="str">
        <f t="shared" si="360"/>
        <v/>
      </c>
    </row>
    <row r="483" customHeight="1" spans="5:40">
      <c r="E483" s="30"/>
      <c r="F483" s="30"/>
      <c r="G483" s="30"/>
      <c r="H483" s="30"/>
      <c r="I483" s="30"/>
      <c r="J483" s="30"/>
      <c r="K483" s="155"/>
      <c r="L483" s="155"/>
      <c r="M483" s="155"/>
      <c r="AC483" s="188"/>
      <c r="AE483" s="1">
        <v>173</v>
      </c>
      <c r="AF483" s="1" t="str">
        <f t="shared" si="352"/>
        <v/>
      </c>
      <c r="AG483" s="1" t="str">
        <f t="shared" si="353"/>
        <v/>
      </c>
      <c r="AH483" s="1" t="str">
        <f t="shared" si="354"/>
        <v/>
      </c>
      <c r="AI483" s="1" t="str">
        <f t="shared" si="355"/>
        <v/>
      </c>
      <c r="AJ483" s="1" t="str">
        <f t="shared" si="356"/>
        <v/>
      </c>
      <c r="AK483" s="1" t="str">
        <f t="shared" si="357"/>
        <v/>
      </c>
      <c r="AL483" s="1" t="str">
        <f t="shared" si="358"/>
        <v/>
      </c>
      <c r="AM483" s="1" t="str">
        <f t="shared" si="359"/>
        <v/>
      </c>
      <c r="AN483" s="1" t="str">
        <f t="shared" si="360"/>
        <v/>
      </c>
    </row>
    <row r="484" customHeight="1" spans="5:40">
      <c r="E484" s="30"/>
      <c r="F484" s="30"/>
      <c r="G484" s="30"/>
      <c r="H484" s="30"/>
      <c r="I484" s="30"/>
      <c r="J484" s="30"/>
      <c r="K484" s="155"/>
      <c r="L484" s="155"/>
      <c r="M484" s="155"/>
      <c r="AC484" s="188"/>
      <c r="AE484" s="1">
        <v>174</v>
      </c>
      <c r="AF484" s="1" t="str">
        <f t="shared" si="352"/>
        <v/>
      </c>
      <c r="AG484" s="1" t="str">
        <f t="shared" si="353"/>
        <v/>
      </c>
      <c r="AH484" s="1" t="str">
        <f t="shared" si="354"/>
        <v/>
      </c>
      <c r="AI484" s="1" t="str">
        <f t="shared" si="355"/>
        <v/>
      </c>
      <c r="AJ484" s="1" t="str">
        <f t="shared" si="356"/>
        <v/>
      </c>
      <c r="AK484" s="1" t="str">
        <f t="shared" si="357"/>
        <v/>
      </c>
      <c r="AL484" s="1" t="str">
        <f t="shared" si="358"/>
        <v/>
      </c>
      <c r="AM484" s="1" t="str">
        <f t="shared" si="359"/>
        <v/>
      </c>
      <c r="AN484" s="1" t="str">
        <f t="shared" si="360"/>
        <v/>
      </c>
    </row>
    <row r="485" customHeight="1" spans="5:40">
      <c r="E485" s="30"/>
      <c r="F485" s="30"/>
      <c r="G485" s="30"/>
      <c r="H485" s="30"/>
      <c r="I485" s="30"/>
      <c r="J485" s="30"/>
      <c r="K485" s="155"/>
      <c r="L485" s="155"/>
      <c r="M485" s="155"/>
      <c r="AC485" s="188"/>
      <c r="AE485" s="1">
        <v>175</v>
      </c>
      <c r="AF485" s="1" t="str">
        <f t="shared" si="352"/>
        <v/>
      </c>
      <c r="AG485" s="1" t="str">
        <f t="shared" si="353"/>
        <v/>
      </c>
      <c r="AH485" s="1" t="str">
        <f t="shared" si="354"/>
        <v/>
      </c>
      <c r="AI485" s="1" t="str">
        <f t="shared" si="355"/>
        <v/>
      </c>
      <c r="AJ485" s="1" t="str">
        <f t="shared" si="356"/>
        <v/>
      </c>
      <c r="AK485" s="1" t="str">
        <f t="shared" si="357"/>
        <v/>
      </c>
      <c r="AL485" s="1" t="str">
        <f t="shared" si="358"/>
        <v/>
      </c>
      <c r="AM485" s="1" t="str">
        <f t="shared" si="359"/>
        <v/>
      </c>
      <c r="AN485" s="1" t="str">
        <f t="shared" si="360"/>
        <v/>
      </c>
    </row>
    <row r="486" customHeight="1" spans="5:40">
      <c r="E486" s="30"/>
      <c r="F486" s="30"/>
      <c r="G486" s="30"/>
      <c r="H486" s="30"/>
      <c r="I486" s="30"/>
      <c r="J486" s="30"/>
      <c r="K486" s="155"/>
      <c r="L486" s="155"/>
      <c r="M486" s="155"/>
      <c r="AC486" s="188"/>
      <c r="AE486" s="1">
        <v>176</v>
      </c>
      <c r="AF486" s="1" t="str">
        <f t="shared" si="352"/>
        <v/>
      </c>
      <c r="AG486" s="1" t="str">
        <f t="shared" si="353"/>
        <v/>
      </c>
      <c r="AH486" s="1" t="str">
        <f t="shared" si="354"/>
        <v/>
      </c>
      <c r="AI486" s="1" t="str">
        <f t="shared" si="355"/>
        <v/>
      </c>
      <c r="AJ486" s="1" t="str">
        <f t="shared" si="356"/>
        <v/>
      </c>
      <c r="AK486" s="1" t="str">
        <f t="shared" si="357"/>
        <v/>
      </c>
      <c r="AL486" s="1" t="str">
        <f t="shared" si="358"/>
        <v/>
      </c>
      <c r="AM486" s="1" t="str">
        <f t="shared" si="359"/>
        <v/>
      </c>
      <c r="AN486" s="1" t="str">
        <f t="shared" si="360"/>
        <v/>
      </c>
    </row>
    <row r="487" customHeight="1" spans="5:40">
      <c r="E487" s="30"/>
      <c r="F487" s="30"/>
      <c r="G487" s="30"/>
      <c r="H487" s="30"/>
      <c r="I487" s="30"/>
      <c r="J487" s="30"/>
      <c r="K487" s="155"/>
      <c r="L487" s="155"/>
      <c r="M487" s="155"/>
      <c r="AC487" s="188"/>
      <c r="AE487" s="1">
        <v>177</v>
      </c>
      <c r="AF487" s="1" t="str">
        <f t="shared" si="352"/>
        <v/>
      </c>
      <c r="AG487" s="1" t="str">
        <f t="shared" si="353"/>
        <v/>
      </c>
      <c r="AH487" s="1" t="str">
        <f t="shared" si="354"/>
        <v/>
      </c>
      <c r="AI487" s="1" t="str">
        <f t="shared" si="355"/>
        <v/>
      </c>
      <c r="AJ487" s="1" t="str">
        <f t="shared" si="356"/>
        <v/>
      </c>
      <c r="AK487" s="1" t="str">
        <f t="shared" si="357"/>
        <v/>
      </c>
      <c r="AL487" s="1" t="str">
        <f t="shared" si="358"/>
        <v/>
      </c>
      <c r="AM487" s="1" t="str">
        <f t="shared" si="359"/>
        <v/>
      </c>
      <c r="AN487" s="1" t="str">
        <f t="shared" si="360"/>
        <v/>
      </c>
    </row>
    <row r="488" customHeight="1" spans="5:40">
      <c r="E488" s="30"/>
      <c r="F488" s="30"/>
      <c r="G488" s="30"/>
      <c r="H488" s="30"/>
      <c r="I488" s="30"/>
      <c r="J488" s="30"/>
      <c r="K488" s="155"/>
      <c r="L488" s="155"/>
      <c r="M488" s="155"/>
      <c r="AC488" s="188"/>
      <c r="AE488" s="1">
        <v>178</v>
      </c>
      <c r="AF488" s="1" t="str">
        <f t="shared" si="352"/>
        <v/>
      </c>
      <c r="AG488" s="1" t="str">
        <f t="shared" si="353"/>
        <v/>
      </c>
      <c r="AH488" s="1" t="str">
        <f t="shared" si="354"/>
        <v/>
      </c>
      <c r="AI488" s="1" t="str">
        <f t="shared" si="355"/>
        <v/>
      </c>
      <c r="AJ488" s="1" t="str">
        <f t="shared" si="356"/>
        <v/>
      </c>
      <c r="AK488" s="1" t="str">
        <f t="shared" si="357"/>
        <v/>
      </c>
      <c r="AL488" s="1" t="str">
        <f t="shared" si="358"/>
        <v/>
      </c>
      <c r="AM488" s="1" t="str">
        <f t="shared" si="359"/>
        <v/>
      </c>
      <c r="AN488" s="1" t="str">
        <f t="shared" si="360"/>
        <v/>
      </c>
    </row>
    <row r="489" customHeight="1" spans="5:40">
      <c r="E489" s="30"/>
      <c r="F489" s="30"/>
      <c r="G489" s="30"/>
      <c r="H489" s="30"/>
      <c r="I489" s="30"/>
      <c r="J489" s="30"/>
      <c r="K489" s="155"/>
      <c r="L489" s="155"/>
      <c r="M489" s="155"/>
      <c r="AC489" s="188"/>
      <c r="AE489" s="1">
        <v>179</v>
      </c>
      <c r="AF489" s="1" t="str">
        <f t="shared" si="352"/>
        <v/>
      </c>
      <c r="AG489" s="1" t="str">
        <f t="shared" si="353"/>
        <v/>
      </c>
      <c r="AH489" s="1" t="str">
        <f t="shared" si="354"/>
        <v/>
      </c>
      <c r="AI489" s="1" t="str">
        <f t="shared" si="355"/>
        <v/>
      </c>
      <c r="AJ489" s="1" t="str">
        <f t="shared" si="356"/>
        <v/>
      </c>
      <c r="AK489" s="1" t="str">
        <f t="shared" si="357"/>
        <v/>
      </c>
      <c r="AL489" s="1" t="str">
        <f t="shared" si="358"/>
        <v/>
      </c>
      <c r="AM489" s="1" t="str">
        <f t="shared" si="359"/>
        <v/>
      </c>
      <c r="AN489" s="1" t="str">
        <f t="shared" si="360"/>
        <v/>
      </c>
    </row>
    <row r="490" customHeight="1" spans="5:40">
      <c r="E490" s="30"/>
      <c r="F490" s="30"/>
      <c r="G490" s="30"/>
      <c r="H490" s="30"/>
      <c r="I490" s="30"/>
      <c r="J490" s="30"/>
      <c r="K490" s="155"/>
      <c r="L490" s="155"/>
      <c r="M490" s="155"/>
      <c r="AC490" s="188"/>
      <c r="AE490" s="1">
        <v>180</v>
      </c>
      <c r="AF490" s="1" t="str">
        <f t="shared" si="352"/>
        <v/>
      </c>
      <c r="AG490" s="1" t="str">
        <f t="shared" si="353"/>
        <v/>
      </c>
      <c r="AH490" s="1" t="str">
        <f t="shared" si="354"/>
        <v/>
      </c>
      <c r="AI490" s="1" t="str">
        <f t="shared" si="355"/>
        <v/>
      </c>
      <c r="AJ490" s="1" t="str">
        <f t="shared" si="356"/>
        <v/>
      </c>
      <c r="AK490" s="1" t="str">
        <f t="shared" si="357"/>
        <v/>
      </c>
      <c r="AL490" s="1" t="str">
        <f t="shared" si="358"/>
        <v/>
      </c>
      <c r="AM490" s="1" t="str">
        <f t="shared" si="359"/>
        <v/>
      </c>
      <c r="AN490" s="1" t="str">
        <f t="shared" si="360"/>
        <v/>
      </c>
    </row>
    <row r="491" customHeight="1" spans="5:40">
      <c r="E491" s="30"/>
      <c r="F491" s="30"/>
      <c r="G491" s="30"/>
      <c r="H491" s="30"/>
      <c r="I491" s="30"/>
      <c r="J491" s="30"/>
      <c r="K491" s="155"/>
      <c r="L491" s="155"/>
      <c r="M491" s="155"/>
      <c r="AC491" s="188"/>
      <c r="AE491" s="1">
        <v>181</v>
      </c>
      <c r="AF491" s="1" t="str">
        <f t="shared" si="352"/>
        <v/>
      </c>
      <c r="AG491" s="1" t="str">
        <f t="shared" si="353"/>
        <v/>
      </c>
      <c r="AH491" s="1" t="str">
        <f t="shared" si="354"/>
        <v/>
      </c>
      <c r="AI491" s="1" t="str">
        <f t="shared" si="355"/>
        <v/>
      </c>
      <c r="AJ491" s="1" t="str">
        <f t="shared" si="356"/>
        <v/>
      </c>
      <c r="AK491" s="1" t="str">
        <f t="shared" si="357"/>
        <v/>
      </c>
      <c r="AL491" s="1" t="str">
        <f t="shared" si="358"/>
        <v/>
      </c>
      <c r="AM491" s="1" t="str">
        <f t="shared" si="359"/>
        <v/>
      </c>
      <c r="AN491" s="1" t="str">
        <f t="shared" si="360"/>
        <v/>
      </c>
    </row>
    <row r="492" customHeight="1" spans="5:40">
      <c r="E492" s="30"/>
      <c r="F492" s="30"/>
      <c r="G492" s="30"/>
      <c r="H492" s="30"/>
      <c r="I492" s="30"/>
      <c r="J492" s="30"/>
      <c r="K492" s="155"/>
      <c r="L492" s="155"/>
      <c r="M492" s="155"/>
      <c r="AC492" s="188"/>
      <c r="AE492" s="1">
        <v>182</v>
      </c>
      <c r="AF492" s="1" t="str">
        <f t="shared" si="352"/>
        <v/>
      </c>
      <c r="AG492" s="1" t="str">
        <f t="shared" si="353"/>
        <v/>
      </c>
      <c r="AH492" s="1" t="str">
        <f t="shared" si="354"/>
        <v/>
      </c>
      <c r="AI492" s="1" t="str">
        <f t="shared" si="355"/>
        <v/>
      </c>
      <c r="AJ492" s="1" t="str">
        <f t="shared" si="356"/>
        <v/>
      </c>
      <c r="AK492" s="1" t="str">
        <f t="shared" si="357"/>
        <v/>
      </c>
      <c r="AL492" s="1" t="str">
        <f t="shared" si="358"/>
        <v/>
      </c>
      <c r="AM492" s="1" t="str">
        <f t="shared" si="359"/>
        <v/>
      </c>
      <c r="AN492" s="1" t="str">
        <f t="shared" si="360"/>
        <v/>
      </c>
    </row>
    <row r="493" customHeight="1" spans="5:40">
      <c r="E493" s="30"/>
      <c r="F493" s="30"/>
      <c r="G493" s="30"/>
      <c r="H493" s="30"/>
      <c r="I493" s="30"/>
      <c r="J493" s="30"/>
      <c r="K493" s="155"/>
      <c r="L493" s="155"/>
      <c r="M493" s="155"/>
      <c r="AC493" s="188"/>
      <c r="AE493" s="1">
        <v>183</v>
      </c>
      <c r="AF493" s="1" t="str">
        <f t="shared" si="352"/>
        <v/>
      </c>
      <c r="AG493" s="1" t="str">
        <f t="shared" si="353"/>
        <v/>
      </c>
      <c r="AH493" s="1" t="str">
        <f t="shared" si="354"/>
        <v/>
      </c>
      <c r="AI493" s="1" t="str">
        <f t="shared" si="355"/>
        <v/>
      </c>
      <c r="AJ493" s="1" t="str">
        <f t="shared" si="356"/>
        <v/>
      </c>
      <c r="AK493" s="1" t="str">
        <f t="shared" si="357"/>
        <v/>
      </c>
      <c r="AL493" s="1" t="str">
        <f t="shared" si="358"/>
        <v/>
      </c>
      <c r="AM493" s="1" t="str">
        <f t="shared" si="359"/>
        <v/>
      </c>
      <c r="AN493" s="1" t="str">
        <f t="shared" si="360"/>
        <v/>
      </c>
    </row>
    <row r="494" customHeight="1" spans="5:40">
      <c r="E494" s="30"/>
      <c r="F494" s="30"/>
      <c r="G494" s="30"/>
      <c r="H494" s="30"/>
      <c r="I494" s="30"/>
      <c r="J494" s="30"/>
      <c r="K494" s="155"/>
      <c r="L494" s="155"/>
      <c r="M494" s="155"/>
      <c r="AC494" s="188"/>
      <c r="AE494" s="1">
        <v>184</v>
      </c>
      <c r="AF494" s="1" t="str">
        <f t="shared" si="352"/>
        <v/>
      </c>
      <c r="AG494" s="1" t="str">
        <f t="shared" si="353"/>
        <v/>
      </c>
      <c r="AH494" s="1" t="str">
        <f t="shared" si="354"/>
        <v/>
      </c>
      <c r="AI494" s="1" t="str">
        <f t="shared" si="355"/>
        <v/>
      </c>
      <c r="AJ494" s="1" t="str">
        <f t="shared" si="356"/>
        <v/>
      </c>
      <c r="AK494" s="1" t="str">
        <f t="shared" si="357"/>
        <v/>
      </c>
      <c r="AL494" s="1" t="str">
        <f t="shared" si="358"/>
        <v/>
      </c>
      <c r="AM494" s="1" t="str">
        <f t="shared" si="359"/>
        <v/>
      </c>
      <c r="AN494" s="1" t="str">
        <f t="shared" si="360"/>
        <v/>
      </c>
    </row>
    <row r="495" customHeight="1" spans="5:40">
      <c r="E495" s="30"/>
      <c r="F495" s="30"/>
      <c r="G495" s="30"/>
      <c r="H495" s="30"/>
      <c r="I495" s="30"/>
      <c r="J495" s="30"/>
      <c r="K495" s="155"/>
      <c r="L495" s="155"/>
      <c r="M495" s="155"/>
      <c r="AC495" s="188"/>
      <c r="AE495" s="1">
        <v>185</v>
      </c>
      <c r="AF495" s="1" t="str">
        <f t="shared" si="352"/>
        <v/>
      </c>
      <c r="AG495" s="1" t="str">
        <f t="shared" si="353"/>
        <v/>
      </c>
      <c r="AH495" s="1" t="str">
        <f t="shared" si="354"/>
        <v/>
      </c>
      <c r="AI495" s="1" t="str">
        <f t="shared" si="355"/>
        <v/>
      </c>
      <c r="AJ495" s="1" t="str">
        <f t="shared" si="356"/>
        <v/>
      </c>
      <c r="AK495" s="1" t="str">
        <f t="shared" si="357"/>
        <v/>
      </c>
      <c r="AL495" s="1" t="str">
        <f t="shared" si="358"/>
        <v/>
      </c>
      <c r="AM495" s="1" t="str">
        <f t="shared" si="359"/>
        <v/>
      </c>
      <c r="AN495" s="1" t="str">
        <f t="shared" si="360"/>
        <v/>
      </c>
    </row>
    <row r="496" customHeight="1" spans="5:40">
      <c r="E496" s="30"/>
      <c r="F496" s="30"/>
      <c r="G496" s="30"/>
      <c r="H496" s="30"/>
      <c r="I496" s="30"/>
      <c r="J496" s="30"/>
      <c r="K496" s="155"/>
      <c r="L496" s="155"/>
      <c r="M496" s="155"/>
      <c r="AC496" s="188"/>
      <c r="AE496" s="1">
        <v>186</v>
      </c>
      <c r="AF496" s="1" t="str">
        <f t="shared" si="352"/>
        <v/>
      </c>
      <c r="AG496" s="1" t="str">
        <f t="shared" si="353"/>
        <v/>
      </c>
      <c r="AH496" s="1" t="str">
        <f t="shared" si="354"/>
        <v/>
      </c>
      <c r="AI496" s="1" t="str">
        <f t="shared" si="355"/>
        <v/>
      </c>
      <c r="AJ496" s="1" t="str">
        <f t="shared" si="356"/>
        <v/>
      </c>
      <c r="AK496" s="1" t="str">
        <f t="shared" si="357"/>
        <v/>
      </c>
      <c r="AL496" s="1" t="str">
        <f t="shared" si="358"/>
        <v/>
      </c>
      <c r="AM496" s="1" t="str">
        <f t="shared" si="359"/>
        <v/>
      </c>
      <c r="AN496" s="1" t="str">
        <f t="shared" si="360"/>
        <v/>
      </c>
    </row>
    <row r="497" customHeight="1" spans="5:40">
      <c r="E497" s="30"/>
      <c r="F497" s="30"/>
      <c r="G497" s="30"/>
      <c r="H497" s="30"/>
      <c r="I497" s="30"/>
      <c r="J497" s="30"/>
      <c r="K497" s="155"/>
      <c r="L497" s="155"/>
      <c r="M497" s="155"/>
      <c r="AC497" s="188"/>
      <c r="AE497" s="1">
        <v>187</v>
      </c>
      <c r="AF497" s="1" t="str">
        <f t="shared" si="352"/>
        <v/>
      </c>
      <c r="AG497" s="1" t="str">
        <f t="shared" si="353"/>
        <v/>
      </c>
      <c r="AH497" s="1" t="str">
        <f t="shared" si="354"/>
        <v/>
      </c>
      <c r="AI497" s="1" t="str">
        <f t="shared" si="355"/>
        <v/>
      </c>
      <c r="AJ497" s="1" t="str">
        <f t="shared" si="356"/>
        <v/>
      </c>
      <c r="AK497" s="1" t="str">
        <f t="shared" si="357"/>
        <v/>
      </c>
      <c r="AL497" s="1" t="str">
        <f t="shared" si="358"/>
        <v/>
      </c>
      <c r="AM497" s="1" t="str">
        <f t="shared" si="359"/>
        <v/>
      </c>
      <c r="AN497" s="1" t="str">
        <f t="shared" si="360"/>
        <v/>
      </c>
    </row>
    <row r="498" customHeight="1" spans="5:40">
      <c r="E498" s="30"/>
      <c r="F498" s="30"/>
      <c r="G498" s="30"/>
      <c r="H498" s="30"/>
      <c r="I498" s="30"/>
      <c r="J498" s="30"/>
      <c r="K498" s="155"/>
      <c r="L498" s="155"/>
      <c r="M498" s="155"/>
      <c r="AC498" s="188"/>
      <c r="AE498" s="1">
        <v>188</v>
      </c>
      <c r="AF498" s="1" t="str">
        <f t="shared" si="352"/>
        <v/>
      </c>
      <c r="AG498" s="1" t="str">
        <f t="shared" si="353"/>
        <v/>
      </c>
      <c r="AH498" s="1" t="str">
        <f t="shared" si="354"/>
        <v/>
      </c>
      <c r="AI498" s="1" t="str">
        <f t="shared" si="355"/>
        <v/>
      </c>
      <c r="AJ498" s="1" t="str">
        <f t="shared" si="356"/>
        <v/>
      </c>
      <c r="AK498" s="1" t="str">
        <f t="shared" si="357"/>
        <v/>
      </c>
      <c r="AL498" s="1" t="str">
        <f t="shared" si="358"/>
        <v/>
      </c>
      <c r="AM498" s="1" t="str">
        <f t="shared" si="359"/>
        <v/>
      </c>
      <c r="AN498" s="1" t="str">
        <f t="shared" si="360"/>
        <v/>
      </c>
    </row>
    <row r="499" customHeight="1" spans="5:40">
      <c r="E499" s="30"/>
      <c r="F499" s="30"/>
      <c r="G499" s="30"/>
      <c r="H499" s="30"/>
      <c r="I499" s="30"/>
      <c r="J499" s="30"/>
      <c r="K499" s="155"/>
      <c r="L499" s="155"/>
      <c r="M499" s="155"/>
      <c r="AC499" s="188"/>
      <c r="AE499" s="1">
        <v>189</v>
      </c>
      <c r="AF499" s="1" t="str">
        <f t="shared" si="352"/>
        <v/>
      </c>
      <c r="AG499" s="1" t="str">
        <f t="shared" si="353"/>
        <v/>
      </c>
      <c r="AH499" s="1" t="str">
        <f t="shared" si="354"/>
        <v/>
      </c>
      <c r="AI499" s="1" t="str">
        <f t="shared" si="355"/>
        <v/>
      </c>
      <c r="AJ499" s="1" t="str">
        <f t="shared" si="356"/>
        <v/>
      </c>
      <c r="AK499" s="1" t="str">
        <f t="shared" si="357"/>
        <v/>
      </c>
      <c r="AL499" s="1" t="str">
        <f t="shared" si="358"/>
        <v/>
      </c>
      <c r="AM499" s="1" t="str">
        <f t="shared" si="359"/>
        <v/>
      </c>
      <c r="AN499" s="1" t="str">
        <f t="shared" si="360"/>
        <v/>
      </c>
    </row>
    <row r="500" customHeight="1" spans="5:40">
      <c r="E500" s="30"/>
      <c r="F500" s="30"/>
      <c r="G500" s="30"/>
      <c r="H500" s="30"/>
      <c r="I500" s="30"/>
      <c r="J500" s="30"/>
      <c r="K500" s="155"/>
      <c r="L500" s="155"/>
      <c r="M500" s="155"/>
      <c r="AC500" s="188"/>
      <c r="AE500" s="1">
        <v>190</v>
      </c>
      <c r="AF500" s="1" t="str">
        <f t="shared" si="352"/>
        <v/>
      </c>
      <c r="AG500" s="1" t="str">
        <f t="shared" si="353"/>
        <v/>
      </c>
      <c r="AH500" s="1" t="str">
        <f t="shared" si="354"/>
        <v/>
      </c>
      <c r="AI500" s="1" t="str">
        <f t="shared" si="355"/>
        <v/>
      </c>
      <c r="AJ500" s="1" t="str">
        <f t="shared" si="356"/>
        <v/>
      </c>
      <c r="AK500" s="1" t="str">
        <f t="shared" si="357"/>
        <v/>
      </c>
      <c r="AL500" s="1" t="str">
        <f t="shared" si="358"/>
        <v/>
      </c>
      <c r="AM500" s="1" t="str">
        <f t="shared" si="359"/>
        <v/>
      </c>
      <c r="AN500" s="1" t="str">
        <f t="shared" si="360"/>
        <v/>
      </c>
    </row>
    <row r="501" customHeight="1" spans="5:40">
      <c r="E501" s="30"/>
      <c r="F501" s="30"/>
      <c r="G501" s="30"/>
      <c r="H501" s="30"/>
      <c r="I501" s="30"/>
      <c r="J501" s="30"/>
      <c r="K501" s="155"/>
      <c r="L501" s="155"/>
      <c r="M501" s="155"/>
      <c r="AC501" s="188"/>
      <c r="AE501" s="1">
        <v>191</v>
      </c>
      <c r="AF501" s="1" t="str">
        <f t="shared" si="352"/>
        <v/>
      </c>
      <c r="AG501" s="1" t="str">
        <f t="shared" si="353"/>
        <v/>
      </c>
      <c r="AH501" s="1" t="str">
        <f t="shared" si="354"/>
        <v/>
      </c>
      <c r="AI501" s="1" t="str">
        <f t="shared" si="355"/>
        <v/>
      </c>
      <c r="AJ501" s="1" t="str">
        <f t="shared" si="356"/>
        <v/>
      </c>
      <c r="AK501" s="1" t="str">
        <f t="shared" si="357"/>
        <v/>
      </c>
      <c r="AL501" s="1" t="str">
        <f t="shared" si="358"/>
        <v/>
      </c>
      <c r="AM501" s="1" t="str">
        <f t="shared" si="359"/>
        <v/>
      </c>
      <c r="AN501" s="1" t="str">
        <f t="shared" si="360"/>
        <v/>
      </c>
    </row>
    <row r="502" customHeight="1" spans="5:40">
      <c r="E502" s="30"/>
      <c r="F502" s="30"/>
      <c r="G502" s="30"/>
      <c r="H502" s="30"/>
      <c r="I502" s="30"/>
      <c r="J502" s="30"/>
      <c r="K502" s="155"/>
      <c r="L502" s="155"/>
      <c r="M502" s="155"/>
      <c r="AC502" s="188"/>
      <c r="AE502" s="1">
        <v>192</v>
      </c>
      <c r="AF502" s="1" t="str">
        <f t="shared" si="352"/>
        <v/>
      </c>
      <c r="AG502" s="1" t="str">
        <f t="shared" si="353"/>
        <v/>
      </c>
      <c r="AH502" s="1" t="str">
        <f t="shared" si="354"/>
        <v/>
      </c>
      <c r="AI502" s="1" t="str">
        <f t="shared" si="355"/>
        <v/>
      </c>
      <c r="AJ502" s="1" t="str">
        <f t="shared" si="356"/>
        <v/>
      </c>
      <c r="AK502" s="1" t="str">
        <f t="shared" si="357"/>
        <v/>
      </c>
      <c r="AL502" s="1" t="str">
        <f t="shared" si="358"/>
        <v/>
      </c>
      <c r="AM502" s="1" t="str">
        <f t="shared" si="359"/>
        <v/>
      </c>
      <c r="AN502" s="1" t="str">
        <f t="shared" si="360"/>
        <v/>
      </c>
    </row>
    <row r="503" customHeight="1" spans="5:40">
      <c r="E503" s="30"/>
      <c r="F503" s="30"/>
      <c r="G503" s="30"/>
      <c r="H503" s="30"/>
      <c r="I503" s="30"/>
      <c r="J503" s="30"/>
      <c r="K503" s="155"/>
      <c r="L503" s="155"/>
      <c r="M503" s="155"/>
      <c r="AC503" s="188"/>
      <c r="AE503" s="1">
        <v>193</v>
      </c>
      <c r="AF503" s="1" t="str">
        <f t="shared" ref="AF503:AF510" si="361">_xlfn.IFNA(IF(VLOOKUP(CONCATENATE(BodyName," ",IF(AE503&lt;10,"0",""),AE503),Database,13,FALSE),AG503,""),"")</f>
        <v/>
      </c>
      <c r="AG503" s="1" t="str">
        <f t="shared" ref="AG503:AG510" si="362">_xlfn.IFNA(VLOOKUP(CONCATENATE(BodyName," ",IF(AE503&lt;10,"0",""),AE503),Database,5,FALSE),"")</f>
        <v/>
      </c>
      <c r="AH503" s="1" t="str">
        <f t="shared" ref="AH503:AH510" si="363">_xlfn.IFNA(VLOOKUP(CONCATENATE(BodyName," ",IF(AE503&lt;10,"0",""),AE503),Database,6,FALSE),"")</f>
        <v/>
      </c>
      <c r="AI503" s="1" t="str">
        <f t="shared" ref="AI503:AI510" si="364">_xlfn.IFNA(VLOOKUP(CONCATENATE(BodyName," ",IF(AE503&lt;10,"0",""),AE503),Database,7,FALSE),"")</f>
        <v/>
      </c>
      <c r="AJ503" s="1" t="str">
        <f t="shared" ref="AJ503:AJ510" si="365">_xlfn.IFNA(VLOOKUP(CONCATENATE(BodyName," ",IF(AE503&lt;10,"0",""),AE503),Database,8,FALSE),"")</f>
        <v/>
      </c>
      <c r="AK503" s="1" t="str">
        <f t="shared" ref="AK503:AK510" si="366">_xlfn.IFNA(VLOOKUP(CONCATENATE(BodyName," ",IF(AE503&lt;10,"0",""),AE503),Database,9,FALSE),"")</f>
        <v/>
      </c>
      <c r="AL503" s="1" t="str">
        <f t="shared" ref="AL503:AL510" si="367">_xlfn.IFNA(VLOOKUP(CONCATENATE(BodyName," ",IF(AE503&lt;10,"0",""),AE503),Database,10,FALSE),"")</f>
        <v/>
      </c>
      <c r="AM503" s="1" t="str">
        <f t="shared" ref="AM503:AM510" si="368">_xlfn.IFNA(VLOOKUP(CONCATENATE(BodyName," ",IF(AE503&lt;10,"0",""),AE503),Database,11,FALSE),"")</f>
        <v/>
      </c>
      <c r="AN503" s="1" t="str">
        <f t="shared" ref="AN503:AN510" si="369">_xlfn.IFNA(VLOOKUP(CONCATENATE(BodyName," ",IF(AE503&lt;10,"0",""),AE503),Database,12,FALSE),"")</f>
        <v/>
      </c>
    </row>
    <row r="504" customHeight="1" spans="5:40">
      <c r="E504" s="30"/>
      <c r="F504" s="30"/>
      <c r="G504" s="30"/>
      <c r="H504" s="30"/>
      <c r="I504" s="30"/>
      <c r="J504" s="30"/>
      <c r="K504" s="155"/>
      <c r="L504" s="155"/>
      <c r="M504" s="155"/>
      <c r="AC504" s="188"/>
      <c r="AE504" s="1">
        <v>194</v>
      </c>
      <c r="AF504" s="1" t="str">
        <f t="shared" si="361"/>
        <v/>
      </c>
      <c r="AG504" s="1" t="str">
        <f t="shared" si="362"/>
        <v/>
      </c>
      <c r="AH504" s="1" t="str">
        <f t="shared" si="363"/>
        <v/>
      </c>
      <c r="AI504" s="1" t="str">
        <f t="shared" si="364"/>
        <v/>
      </c>
      <c r="AJ504" s="1" t="str">
        <f t="shared" si="365"/>
        <v/>
      </c>
      <c r="AK504" s="1" t="str">
        <f t="shared" si="366"/>
        <v/>
      </c>
      <c r="AL504" s="1" t="str">
        <f t="shared" si="367"/>
        <v/>
      </c>
      <c r="AM504" s="1" t="str">
        <f t="shared" si="368"/>
        <v/>
      </c>
      <c r="AN504" s="1" t="str">
        <f t="shared" si="369"/>
        <v/>
      </c>
    </row>
    <row r="505" customHeight="1" spans="5:40">
      <c r="E505" s="30"/>
      <c r="F505" s="30"/>
      <c r="G505" s="30"/>
      <c r="H505" s="30"/>
      <c r="I505" s="30"/>
      <c r="J505" s="30"/>
      <c r="K505" s="155"/>
      <c r="L505" s="155"/>
      <c r="M505" s="155"/>
      <c r="AC505" s="188"/>
      <c r="AE505" s="1">
        <v>195</v>
      </c>
      <c r="AF505" s="1" t="str">
        <f t="shared" si="361"/>
        <v/>
      </c>
      <c r="AG505" s="1" t="str">
        <f t="shared" si="362"/>
        <v/>
      </c>
      <c r="AH505" s="1" t="str">
        <f t="shared" si="363"/>
        <v/>
      </c>
      <c r="AI505" s="1" t="str">
        <f t="shared" si="364"/>
        <v/>
      </c>
      <c r="AJ505" s="1" t="str">
        <f t="shared" si="365"/>
        <v/>
      </c>
      <c r="AK505" s="1" t="str">
        <f t="shared" si="366"/>
        <v/>
      </c>
      <c r="AL505" s="1" t="str">
        <f t="shared" si="367"/>
        <v/>
      </c>
      <c r="AM505" s="1" t="str">
        <f t="shared" si="368"/>
        <v/>
      </c>
      <c r="AN505" s="1" t="str">
        <f t="shared" si="369"/>
        <v/>
      </c>
    </row>
    <row r="506" customHeight="1" spans="5:40">
      <c r="E506" s="30"/>
      <c r="F506" s="30"/>
      <c r="G506" s="30"/>
      <c r="H506" s="30"/>
      <c r="I506" s="30"/>
      <c r="J506" s="30"/>
      <c r="K506" s="155"/>
      <c r="L506" s="155"/>
      <c r="M506" s="155"/>
      <c r="AC506" s="188"/>
      <c r="AE506" s="1">
        <v>196</v>
      </c>
      <c r="AF506" s="1" t="str">
        <f t="shared" si="361"/>
        <v/>
      </c>
      <c r="AG506" s="1" t="str">
        <f t="shared" si="362"/>
        <v/>
      </c>
      <c r="AH506" s="1" t="str">
        <f t="shared" si="363"/>
        <v/>
      </c>
      <c r="AI506" s="1" t="str">
        <f t="shared" si="364"/>
        <v/>
      </c>
      <c r="AJ506" s="1" t="str">
        <f t="shared" si="365"/>
        <v/>
      </c>
      <c r="AK506" s="1" t="str">
        <f t="shared" si="366"/>
        <v/>
      </c>
      <c r="AL506" s="1" t="str">
        <f t="shared" si="367"/>
        <v/>
      </c>
      <c r="AM506" s="1" t="str">
        <f t="shared" si="368"/>
        <v/>
      </c>
      <c r="AN506" s="1" t="str">
        <f t="shared" si="369"/>
        <v/>
      </c>
    </row>
    <row r="507" customHeight="1" spans="5:40">
      <c r="E507" s="30"/>
      <c r="F507" s="30"/>
      <c r="G507" s="30"/>
      <c r="H507" s="30"/>
      <c r="I507" s="30"/>
      <c r="J507" s="30"/>
      <c r="K507" s="155"/>
      <c r="L507" s="155"/>
      <c r="M507" s="155"/>
      <c r="AC507" s="188"/>
      <c r="AE507" s="1">
        <v>197</v>
      </c>
      <c r="AF507" s="1" t="str">
        <f t="shared" si="361"/>
        <v/>
      </c>
      <c r="AG507" s="1" t="str">
        <f t="shared" si="362"/>
        <v/>
      </c>
      <c r="AH507" s="1" t="str">
        <f t="shared" si="363"/>
        <v/>
      </c>
      <c r="AI507" s="1" t="str">
        <f t="shared" si="364"/>
        <v/>
      </c>
      <c r="AJ507" s="1" t="str">
        <f t="shared" si="365"/>
        <v/>
      </c>
      <c r="AK507" s="1" t="str">
        <f t="shared" si="366"/>
        <v/>
      </c>
      <c r="AL507" s="1" t="str">
        <f t="shared" si="367"/>
        <v/>
      </c>
      <c r="AM507" s="1" t="str">
        <f t="shared" si="368"/>
        <v/>
      </c>
      <c r="AN507" s="1" t="str">
        <f t="shared" si="369"/>
        <v/>
      </c>
    </row>
    <row r="508" customHeight="1" spans="5:40">
      <c r="E508" s="30"/>
      <c r="F508" s="30"/>
      <c r="G508" s="30"/>
      <c r="H508" s="30"/>
      <c r="I508" s="30"/>
      <c r="J508" s="30"/>
      <c r="K508" s="155"/>
      <c r="L508" s="155"/>
      <c r="M508" s="155"/>
      <c r="AC508" s="188"/>
      <c r="AE508" s="1">
        <v>198</v>
      </c>
      <c r="AF508" s="1" t="str">
        <f t="shared" si="361"/>
        <v/>
      </c>
      <c r="AG508" s="1" t="str">
        <f t="shared" si="362"/>
        <v/>
      </c>
      <c r="AH508" s="1" t="str">
        <f t="shared" si="363"/>
        <v/>
      </c>
      <c r="AI508" s="1" t="str">
        <f t="shared" si="364"/>
        <v/>
      </c>
      <c r="AJ508" s="1" t="str">
        <f t="shared" si="365"/>
        <v/>
      </c>
      <c r="AK508" s="1" t="str">
        <f t="shared" si="366"/>
        <v/>
      </c>
      <c r="AL508" s="1" t="str">
        <f t="shared" si="367"/>
        <v/>
      </c>
      <c r="AM508" s="1" t="str">
        <f t="shared" si="368"/>
        <v/>
      </c>
      <c r="AN508" s="1" t="str">
        <f t="shared" si="369"/>
        <v/>
      </c>
    </row>
    <row r="509" customHeight="1" spans="5:40">
      <c r="E509" s="30"/>
      <c r="F509" s="30"/>
      <c r="G509" s="30"/>
      <c r="H509" s="30"/>
      <c r="I509" s="30"/>
      <c r="J509" s="30"/>
      <c r="K509" s="155"/>
      <c r="L509" s="155"/>
      <c r="M509" s="155"/>
      <c r="AC509" s="188"/>
      <c r="AE509" s="1">
        <v>199</v>
      </c>
      <c r="AF509" s="1" t="str">
        <f t="shared" si="361"/>
        <v/>
      </c>
      <c r="AG509" s="1" t="str">
        <f t="shared" si="362"/>
        <v/>
      </c>
      <c r="AH509" s="1" t="str">
        <f t="shared" si="363"/>
        <v/>
      </c>
      <c r="AI509" s="1" t="str">
        <f t="shared" si="364"/>
        <v/>
      </c>
      <c r="AJ509" s="1" t="str">
        <f t="shared" si="365"/>
        <v/>
      </c>
      <c r="AK509" s="1" t="str">
        <f t="shared" si="366"/>
        <v/>
      </c>
      <c r="AL509" s="1" t="str">
        <f t="shared" si="367"/>
        <v/>
      </c>
      <c r="AM509" s="1" t="str">
        <f t="shared" si="368"/>
        <v/>
      </c>
      <c r="AN509" s="1" t="str">
        <f t="shared" si="369"/>
        <v/>
      </c>
    </row>
    <row r="510" customHeight="1" spans="5:40">
      <c r="E510" s="30"/>
      <c r="F510" s="30"/>
      <c r="G510" s="30"/>
      <c r="H510" s="30"/>
      <c r="I510" s="30"/>
      <c r="J510" s="30"/>
      <c r="K510" s="155"/>
      <c r="L510" s="155"/>
      <c r="M510" s="155"/>
      <c r="AC510" s="188"/>
      <c r="AE510" s="1">
        <v>200</v>
      </c>
      <c r="AF510" s="1" t="str">
        <f t="shared" si="361"/>
        <v/>
      </c>
      <c r="AG510" s="1" t="str">
        <f t="shared" si="362"/>
        <v/>
      </c>
      <c r="AH510" s="1" t="str">
        <f t="shared" si="363"/>
        <v/>
      </c>
      <c r="AI510" s="1" t="str">
        <f t="shared" si="364"/>
        <v/>
      </c>
      <c r="AJ510" s="1" t="str">
        <f t="shared" si="365"/>
        <v/>
      </c>
      <c r="AK510" s="1" t="str">
        <f t="shared" si="366"/>
        <v/>
      </c>
      <c r="AL510" s="1" t="str">
        <f t="shared" si="367"/>
        <v/>
      </c>
      <c r="AM510" s="1" t="str">
        <f t="shared" si="368"/>
        <v/>
      </c>
      <c r="AN510" s="1" t="str">
        <f t="shared" si="369"/>
        <v/>
      </c>
    </row>
    <row r="511" customHeight="1" spans="5:29">
      <c r="E511" s="30"/>
      <c r="F511" s="30"/>
      <c r="G511" s="30"/>
      <c r="H511" s="30"/>
      <c r="I511" s="30"/>
      <c r="J511" s="30"/>
      <c r="K511" s="155"/>
      <c r="L511" s="155"/>
      <c r="M511" s="155"/>
      <c r="AC511" s="188"/>
    </row>
    <row r="512" customHeight="1" spans="5:29">
      <c r="E512" s="30"/>
      <c r="F512" s="30"/>
      <c r="G512" s="30"/>
      <c r="H512" s="30"/>
      <c r="I512" s="30"/>
      <c r="J512" s="30"/>
      <c r="K512" s="155"/>
      <c r="L512" s="155"/>
      <c r="M512" s="155"/>
      <c r="AC512" s="188"/>
    </row>
    <row r="513" customHeight="1" spans="5:29">
      <c r="E513" s="30"/>
      <c r="F513" s="30"/>
      <c r="G513" s="30"/>
      <c r="H513" s="30"/>
      <c r="I513" s="30"/>
      <c r="J513" s="30"/>
      <c r="K513" s="155"/>
      <c r="L513" s="155"/>
      <c r="M513" s="155"/>
      <c r="AC513" s="188"/>
    </row>
    <row r="514" customHeight="1" spans="5:29">
      <c r="E514" s="30"/>
      <c r="F514" s="30"/>
      <c r="G514" s="30"/>
      <c r="H514" s="30"/>
      <c r="I514" s="30"/>
      <c r="J514" s="30"/>
      <c r="K514" s="155"/>
      <c r="L514" s="155"/>
      <c r="M514" s="155"/>
      <c r="AC514" s="188"/>
    </row>
    <row r="515" customHeight="1" spans="5:29">
      <c r="E515" s="30"/>
      <c r="F515" s="30"/>
      <c r="G515" s="30"/>
      <c r="H515" s="30"/>
      <c r="I515" s="30"/>
      <c r="J515" s="30"/>
      <c r="K515" s="155"/>
      <c r="L515" s="155"/>
      <c r="M515" s="155"/>
      <c r="AC515" s="188"/>
    </row>
    <row r="516" customHeight="1" spans="5:29">
      <c r="E516" s="30"/>
      <c r="F516" s="30"/>
      <c r="G516" s="30"/>
      <c r="H516" s="30"/>
      <c r="I516" s="30"/>
      <c r="J516" s="30"/>
      <c r="K516" s="155"/>
      <c r="L516" s="155"/>
      <c r="M516" s="155"/>
      <c r="AC516" s="188"/>
    </row>
    <row r="517" customHeight="1" spans="5:29">
      <c r="E517" s="30"/>
      <c r="F517" s="30"/>
      <c r="G517" s="30"/>
      <c r="H517" s="30"/>
      <c r="I517" s="30"/>
      <c r="J517" s="30"/>
      <c r="K517" s="155"/>
      <c r="L517" s="155"/>
      <c r="M517" s="155"/>
      <c r="AC517" s="188"/>
    </row>
    <row r="518" customHeight="1" spans="5:29">
      <c r="E518" s="30"/>
      <c r="F518" s="30"/>
      <c r="G518" s="30"/>
      <c r="H518" s="30"/>
      <c r="I518" s="30"/>
      <c r="J518" s="30"/>
      <c r="K518" s="155"/>
      <c r="L518" s="155"/>
      <c r="M518" s="155"/>
      <c r="AC518" s="188"/>
    </row>
    <row r="519" customHeight="1" spans="5:29">
      <c r="E519" s="30"/>
      <c r="F519" s="30"/>
      <c r="G519" s="30"/>
      <c r="H519" s="30"/>
      <c r="I519" s="30"/>
      <c r="J519" s="30"/>
      <c r="K519" s="155"/>
      <c r="L519" s="155"/>
      <c r="M519" s="155"/>
      <c r="AC519" s="188"/>
    </row>
    <row r="520" customHeight="1" spans="5:29">
      <c r="E520" s="30"/>
      <c r="F520" s="30"/>
      <c r="G520" s="30"/>
      <c r="H520" s="30"/>
      <c r="I520" s="30"/>
      <c r="J520" s="30"/>
      <c r="K520" s="155"/>
      <c r="L520" s="155"/>
      <c r="M520" s="155"/>
      <c r="AC520" s="188"/>
    </row>
    <row r="521" customHeight="1" spans="5:29">
      <c r="E521" s="30"/>
      <c r="F521" s="30"/>
      <c r="G521" s="30"/>
      <c r="H521" s="30"/>
      <c r="I521" s="30"/>
      <c r="J521" s="30"/>
      <c r="K521" s="155"/>
      <c r="L521" s="155"/>
      <c r="M521" s="155"/>
      <c r="AC521" s="188"/>
    </row>
    <row r="522" customHeight="1" spans="5:29">
      <c r="E522" s="30"/>
      <c r="F522" s="30"/>
      <c r="G522" s="30"/>
      <c r="H522" s="30"/>
      <c r="I522" s="30"/>
      <c r="J522" s="30"/>
      <c r="K522" s="155"/>
      <c r="L522" s="155"/>
      <c r="M522" s="155"/>
      <c r="AC522" s="188"/>
    </row>
    <row r="523" customHeight="1" spans="5:29">
      <c r="E523" s="30"/>
      <c r="F523" s="30"/>
      <c r="G523" s="30"/>
      <c r="H523" s="30"/>
      <c r="I523" s="30"/>
      <c r="J523" s="30"/>
      <c r="K523" s="155"/>
      <c r="L523" s="155"/>
      <c r="M523" s="155"/>
      <c r="AC523" s="188"/>
    </row>
    <row r="524" customHeight="1" spans="5:29">
      <c r="E524" s="30"/>
      <c r="F524" s="30"/>
      <c r="G524" s="30"/>
      <c r="H524" s="30"/>
      <c r="I524" s="30"/>
      <c r="J524" s="30"/>
      <c r="K524" s="155"/>
      <c r="L524" s="155"/>
      <c r="M524" s="155"/>
      <c r="AC524" s="188"/>
    </row>
    <row r="525" customHeight="1" spans="5:29">
      <c r="E525" s="30"/>
      <c r="F525" s="30"/>
      <c r="G525" s="30"/>
      <c r="H525" s="30"/>
      <c r="I525" s="30"/>
      <c r="J525" s="30"/>
      <c r="K525" s="155"/>
      <c r="L525" s="155"/>
      <c r="M525" s="155"/>
      <c r="AC525" s="188"/>
    </row>
    <row r="526" customHeight="1" spans="5:29">
      <c r="E526" s="30"/>
      <c r="F526" s="30"/>
      <c r="G526" s="30"/>
      <c r="H526" s="30"/>
      <c r="I526" s="30"/>
      <c r="J526" s="30"/>
      <c r="K526" s="155"/>
      <c r="L526" s="155"/>
      <c r="M526" s="155"/>
      <c r="AC526" s="188"/>
    </row>
    <row r="527" customHeight="1" spans="5:29">
      <c r="E527" s="30"/>
      <c r="F527" s="30"/>
      <c r="G527" s="30"/>
      <c r="H527" s="30"/>
      <c r="I527" s="30"/>
      <c r="J527" s="30"/>
      <c r="K527" s="155"/>
      <c r="L527" s="155"/>
      <c r="M527" s="155"/>
      <c r="AC527" s="188"/>
    </row>
    <row r="528" customHeight="1" spans="5:29">
      <c r="E528" s="30"/>
      <c r="F528" s="30"/>
      <c r="G528" s="30"/>
      <c r="H528" s="30"/>
      <c r="I528" s="30"/>
      <c r="J528" s="30"/>
      <c r="K528" s="155"/>
      <c r="L528" s="155"/>
      <c r="M528" s="155"/>
      <c r="AC528" s="188"/>
    </row>
    <row r="529" customHeight="1" spans="5:29">
      <c r="E529" s="30"/>
      <c r="F529" s="30"/>
      <c r="G529" s="30"/>
      <c r="H529" s="30"/>
      <c r="I529" s="30"/>
      <c r="J529" s="30"/>
      <c r="K529" s="155"/>
      <c r="L529" s="155"/>
      <c r="M529" s="155"/>
      <c r="AC529" s="188"/>
    </row>
    <row r="530" customHeight="1" spans="5:29">
      <c r="E530" s="30"/>
      <c r="F530" s="30"/>
      <c r="G530" s="30"/>
      <c r="H530" s="30"/>
      <c r="I530" s="30"/>
      <c r="J530" s="30"/>
      <c r="K530" s="155"/>
      <c r="L530" s="155"/>
      <c r="M530" s="155"/>
      <c r="AC530" s="188"/>
    </row>
    <row r="531" customHeight="1" spans="5:29">
      <c r="E531" s="30"/>
      <c r="F531" s="30"/>
      <c r="G531" s="30"/>
      <c r="H531" s="30"/>
      <c r="I531" s="30"/>
      <c r="J531" s="30"/>
      <c r="K531" s="155"/>
      <c r="L531" s="155"/>
      <c r="M531" s="155"/>
      <c r="AC531" s="188"/>
    </row>
    <row r="532" customHeight="1" spans="5:29">
      <c r="E532" s="30"/>
      <c r="F532" s="30"/>
      <c r="G532" s="30"/>
      <c r="H532" s="30"/>
      <c r="I532" s="30"/>
      <c r="J532" s="30"/>
      <c r="K532" s="155"/>
      <c r="L532" s="155"/>
      <c r="M532" s="155"/>
      <c r="AC532" s="188"/>
    </row>
    <row r="533" customHeight="1" spans="5:29">
      <c r="E533" s="30"/>
      <c r="F533" s="30"/>
      <c r="G533" s="30"/>
      <c r="H533" s="30"/>
      <c r="I533" s="30"/>
      <c r="J533" s="30"/>
      <c r="K533" s="155"/>
      <c r="L533" s="155"/>
      <c r="M533" s="155"/>
      <c r="AC533" s="188"/>
    </row>
    <row r="534" customHeight="1" spans="5:29">
      <c r="E534" s="30"/>
      <c r="F534" s="30"/>
      <c r="G534" s="30"/>
      <c r="H534" s="30"/>
      <c r="I534" s="30"/>
      <c r="J534" s="30"/>
      <c r="K534" s="155"/>
      <c r="L534" s="155"/>
      <c r="M534" s="155"/>
      <c r="AC534" s="188"/>
    </row>
    <row r="535" customHeight="1" spans="5:29">
      <c r="E535" s="30"/>
      <c r="F535" s="30"/>
      <c r="G535" s="30"/>
      <c r="H535" s="30"/>
      <c r="I535" s="30"/>
      <c r="J535" s="30"/>
      <c r="K535" s="155"/>
      <c r="L535" s="155"/>
      <c r="M535" s="155"/>
      <c r="AC535" s="188"/>
    </row>
    <row r="536" customHeight="1" spans="5:29">
      <c r="E536" s="30"/>
      <c r="F536" s="30"/>
      <c r="G536" s="30"/>
      <c r="H536" s="30"/>
      <c r="I536" s="30"/>
      <c r="J536" s="30"/>
      <c r="K536" s="155"/>
      <c r="L536" s="155"/>
      <c r="M536" s="155"/>
      <c r="AC536" s="188"/>
    </row>
    <row r="537" customHeight="1" spans="5:29">
      <c r="E537" s="30"/>
      <c r="F537" s="30"/>
      <c r="G537" s="30"/>
      <c r="H537" s="30"/>
      <c r="I537" s="30"/>
      <c r="J537" s="30"/>
      <c r="K537" s="155"/>
      <c r="L537" s="155"/>
      <c r="M537" s="155"/>
      <c r="AC537" s="188"/>
    </row>
    <row r="538" customHeight="1" spans="5:29">
      <c r="E538" s="30"/>
      <c r="F538" s="30"/>
      <c r="G538" s="30"/>
      <c r="H538" s="30"/>
      <c r="I538" s="30"/>
      <c r="J538" s="30"/>
      <c r="K538" s="155"/>
      <c r="L538" s="155"/>
      <c r="M538" s="155"/>
      <c r="AC538" s="188"/>
    </row>
    <row r="539" customHeight="1" spans="5:29">
      <c r="E539" s="30"/>
      <c r="F539" s="30"/>
      <c r="G539" s="30"/>
      <c r="H539" s="30"/>
      <c r="I539" s="30"/>
      <c r="J539" s="30"/>
      <c r="K539" s="155"/>
      <c r="L539" s="155"/>
      <c r="M539" s="155"/>
      <c r="AC539" s="188"/>
    </row>
    <row r="540" customHeight="1" spans="5:29">
      <c r="E540" s="30"/>
      <c r="F540" s="30"/>
      <c r="G540" s="30"/>
      <c r="H540" s="30"/>
      <c r="I540" s="30"/>
      <c r="J540" s="30"/>
      <c r="K540" s="155"/>
      <c r="L540" s="155"/>
      <c r="M540" s="155"/>
      <c r="AC540" s="188"/>
    </row>
    <row r="541" customHeight="1" spans="5:29">
      <c r="E541" s="30"/>
      <c r="F541" s="30"/>
      <c r="G541" s="30"/>
      <c r="H541" s="30"/>
      <c r="I541" s="30"/>
      <c r="J541" s="30"/>
      <c r="K541" s="155"/>
      <c r="L541" s="155"/>
      <c r="M541" s="155"/>
      <c r="AC541" s="188"/>
    </row>
    <row r="542" customHeight="1" spans="5:29">
      <c r="E542" s="30"/>
      <c r="F542" s="30"/>
      <c r="G542" s="30"/>
      <c r="H542" s="30"/>
      <c r="I542" s="30"/>
      <c r="J542" s="30"/>
      <c r="K542" s="155"/>
      <c r="L542" s="155"/>
      <c r="M542" s="155"/>
      <c r="AC542" s="188"/>
    </row>
    <row r="543" customHeight="1" spans="5:29">
      <c r="E543" s="30"/>
      <c r="F543" s="30"/>
      <c r="G543" s="30"/>
      <c r="H543" s="30"/>
      <c r="I543" s="30"/>
      <c r="J543" s="30"/>
      <c r="K543" s="155"/>
      <c r="L543" s="155"/>
      <c r="M543" s="155"/>
      <c r="AC543" s="188"/>
    </row>
    <row r="544" customHeight="1" spans="5:29">
      <c r="E544" s="30"/>
      <c r="F544" s="30"/>
      <c r="G544" s="30"/>
      <c r="H544" s="30"/>
      <c r="I544" s="30"/>
      <c r="J544" s="30"/>
      <c r="K544" s="155"/>
      <c r="L544" s="155"/>
      <c r="M544" s="155"/>
      <c r="AC544" s="188"/>
    </row>
    <row r="545" customHeight="1" spans="5:29">
      <c r="E545" s="30"/>
      <c r="F545" s="30"/>
      <c r="G545" s="30"/>
      <c r="H545" s="30"/>
      <c r="I545" s="30"/>
      <c r="J545" s="30"/>
      <c r="K545" s="155"/>
      <c r="L545" s="155"/>
      <c r="M545" s="155"/>
      <c r="AC545" s="188"/>
    </row>
    <row r="546" customHeight="1" spans="5:29">
      <c r="E546" s="30"/>
      <c r="F546" s="30"/>
      <c r="G546" s="30"/>
      <c r="H546" s="30"/>
      <c r="I546" s="30"/>
      <c r="J546" s="30"/>
      <c r="K546" s="155"/>
      <c r="L546" s="155"/>
      <c r="M546" s="155"/>
      <c r="AC546" s="188"/>
    </row>
    <row r="547" customHeight="1" spans="5:29">
      <c r="E547" s="30"/>
      <c r="F547" s="30"/>
      <c r="G547" s="30"/>
      <c r="H547" s="30"/>
      <c r="I547" s="30"/>
      <c r="J547" s="30"/>
      <c r="K547" s="155"/>
      <c r="L547" s="155"/>
      <c r="M547" s="155"/>
      <c r="AC547" s="188"/>
    </row>
    <row r="548" customHeight="1" spans="5:29">
      <c r="E548" s="30"/>
      <c r="F548" s="30"/>
      <c r="G548" s="30"/>
      <c r="H548" s="30"/>
      <c r="I548" s="30"/>
      <c r="J548" s="30"/>
      <c r="K548" s="155"/>
      <c r="L548" s="155"/>
      <c r="M548" s="155"/>
      <c r="AC548" s="188"/>
    </row>
    <row r="549" customHeight="1" spans="5:29">
      <c r="E549" s="30"/>
      <c r="F549" s="30"/>
      <c r="G549" s="30"/>
      <c r="H549" s="30"/>
      <c r="I549" s="30"/>
      <c r="J549" s="30"/>
      <c r="K549" s="155"/>
      <c r="L549" s="155"/>
      <c r="M549" s="155"/>
      <c r="AC549" s="188"/>
    </row>
    <row r="550" customHeight="1" spans="5:29">
      <c r="E550" s="30"/>
      <c r="F550" s="30"/>
      <c r="G550" s="30"/>
      <c r="H550" s="30"/>
      <c r="I550" s="30"/>
      <c r="J550" s="30"/>
      <c r="K550" s="155"/>
      <c r="L550" s="155"/>
      <c r="M550" s="155"/>
      <c r="AC550" s="188"/>
    </row>
    <row r="551" customHeight="1" spans="5:29">
      <c r="E551" s="30"/>
      <c r="F551" s="30"/>
      <c r="G551" s="30"/>
      <c r="H551" s="30"/>
      <c r="I551" s="30"/>
      <c r="J551" s="30"/>
      <c r="K551" s="155"/>
      <c r="L551" s="155"/>
      <c r="M551" s="155"/>
      <c r="AC551" s="188"/>
    </row>
    <row r="552" customHeight="1" spans="5:29">
      <c r="E552" s="30"/>
      <c r="F552" s="30"/>
      <c r="G552" s="30"/>
      <c r="H552" s="30"/>
      <c r="I552" s="30"/>
      <c r="J552" s="30"/>
      <c r="K552" s="155"/>
      <c r="L552" s="155"/>
      <c r="M552" s="155"/>
      <c r="AC552" s="188"/>
    </row>
    <row r="553" customHeight="1" spans="5:29">
      <c r="E553" s="30"/>
      <c r="F553" s="30"/>
      <c r="G553" s="30"/>
      <c r="H553" s="30"/>
      <c r="I553" s="30"/>
      <c r="J553" s="30"/>
      <c r="K553" s="155"/>
      <c r="L553" s="155"/>
      <c r="M553" s="155"/>
      <c r="AC553" s="188"/>
    </row>
    <row r="554" customHeight="1" spans="5:29">
      <c r="E554" s="30"/>
      <c r="F554" s="30"/>
      <c r="G554" s="30"/>
      <c r="H554" s="30"/>
      <c r="I554" s="30"/>
      <c r="J554" s="30"/>
      <c r="K554" s="155"/>
      <c r="L554" s="155"/>
      <c r="M554" s="155"/>
      <c r="AC554" s="188"/>
    </row>
    <row r="555" customHeight="1" spans="5:29">
      <c r="E555" s="30"/>
      <c r="F555" s="30"/>
      <c r="G555" s="30"/>
      <c r="H555" s="30"/>
      <c r="I555" s="30"/>
      <c r="J555" s="30"/>
      <c r="K555" s="155"/>
      <c r="L555" s="155"/>
      <c r="M555" s="155"/>
      <c r="AC555" s="188"/>
    </row>
    <row r="556" customHeight="1" spans="5:29">
      <c r="E556" s="30"/>
      <c r="F556" s="30"/>
      <c r="G556" s="30"/>
      <c r="H556" s="30"/>
      <c r="I556" s="30"/>
      <c r="J556" s="30"/>
      <c r="K556" s="155"/>
      <c r="L556" s="155"/>
      <c r="M556" s="155"/>
      <c r="AC556" s="188"/>
    </row>
    <row r="557" customHeight="1" spans="5:29">
      <c r="E557" s="30"/>
      <c r="F557" s="30"/>
      <c r="G557" s="30"/>
      <c r="H557" s="30"/>
      <c r="I557" s="30"/>
      <c r="J557" s="30"/>
      <c r="K557" s="155"/>
      <c r="L557" s="155"/>
      <c r="M557" s="155"/>
      <c r="AC557" s="188"/>
    </row>
    <row r="558" customHeight="1" spans="5:29">
      <c r="E558" s="30"/>
      <c r="F558" s="30"/>
      <c r="G558" s="30"/>
      <c r="H558" s="30"/>
      <c r="I558" s="30"/>
      <c r="J558" s="30"/>
      <c r="K558" s="155"/>
      <c r="L558" s="155"/>
      <c r="M558" s="155"/>
      <c r="AC558" s="188"/>
    </row>
    <row r="559" customHeight="1" spans="5:29">
      <c r="E559" s="30"/>
      <c r="F559" s="30"/>
      <c r="G559" s="30"/>
      <c r="H559" s="30"/>
      <c r="I559" s="30"/>
      <c r="J559" s="30"/>
      <c r="K559" s="155"/>
      <c r="L559" s="155"/>
      <c r="M559" s="155"/>
      <c r="AC559" s="188"/>
    </row>
    <row r="560" customHeight="1" spans="5:29">
      <c r="E560" s="30"/>
      <c r="F560" s="30"/>
      <c r="G560" s="30"/>
      <c r="H560" s="30"/>
      <c r="I560" s="30"/>
      <c r="J560" s="30"/>
      <c r="K560" s="155"/>
      <c r="L560" s="155"/>
      <c r="M560" s="155"/>
      <c r="AC560" s="188"/>
    </row>
    <row r="561" customHeight="1" spans="5:29">
      <c r="E561" s="30"/>
      <c r="F561" s="30"/>
      <c r="G561" s="30"/>
      <c r="H561" s="30"/>
      <c r="I561" s="30"/>
      <c r="J561" s="30"/>
      <c r="K561" s="155"/>
      <c r="L561" s="155"/>
      <c r="M561" s="155"/>
      <c r="AC561" s="188"/>
    </row>
    <row r="562" customHeight="1" spans="5:29">
      <c r="E562" s="30"/>
      <c r="F562" s="30"/>
      <c r="G562" s="30"/>
      <c r="H562" s="30"/>
      <c r="I562" s="30"/>
      <c r="J562" s="30"/>
      <c r="K562" s="155"/>
      <c r="L562" s="155"/>
      <c r="M562" s="155"/>
      <c r="AC562" s="188"/>
    </row>
    <row r="563" customHeight="1" spans="5:29">
      <c r="E563" s="30"/>
      <c r="F563" s="30"/>
      <c r="G563" s="30"/>
      <c r="H563" s="30"/>
      <c r="I563" s="30"/>
      <c r="J563" s="30"/>
      <c r="K563" s="155"/>
      <c r="L563" s="155"/>
      <c r="M563" s="155"/>
      <c r="AC563" s="188"/>
    </row>
    <row r="564" customHeight="1" spans="5:29">
      <c r="E564" s="30"/>
      <c r="F564" s="30"/>
      <c r="G564" s="30"/>
      <c r="H564" s="30"/>
      <c r="I564" s="30"/>
      <c r="J564" s="30"/>
      <c r="K564" s="155"/>
      <c r="L564" s="155"/>
      <c r="M564" s="155"/>
      <c r="AC564" s="188"/>
    </row>
    <row r="565" customHeight="1" spans="5:29">
      <c r="E565" s="30"/>
      <c r="F565" s="30"/>
      <c r="G565" s="30"/>
      <c r="H565" s="30"/>
      <c r="I565" s="30"/>
      <c r="J565" s="30"/>
      <c r="K565" s="155"/>
      <c r="L565" s="155"/>
      <c r="M565" s="155"/>
      <c r="AC565" s="188"/>
    </row>
    <row r="566" customHeight="1" spans="5:29">
      <c r="E566" s="30"/>
      <c r="F566" s="30"/>
      <c r="G566" s="30"/>
      <c r="H566" s="30"/>
      <c r="I566" s="30"/>
      <c r="J566" s="30"/>
      <c r="K566" s="155"/>
      <c r="L566" s="155"/>
      <c r="M566" s="155"/>
      <c r="AC566" s="188"/>
    </row>
    <row r="567" customHeight="1" spans="5:29">
      <c r="E567" s="30"/>
      <c r="F567" s="30"/>
      <c r="G567" s="30"/>
      <c r="H567" s="30"/>
      <c r="I567" s="30"/>
      <c r="J567" s="30"/>
      <c r="K567" s="155"/>
      <c r="L567" s="155"/>
      <c r="M567" s="155"/>
      <c r="AC567" s="188"/>
    </row>
    <row r="568" customHeight="1" spans="5:29">
      <c r="E568" s="30"/>
      <c r="F568" s="30"/>
      <c r="G568" s="30"/>
      <c r="H568" s="30"/>
      <c r="I568" s="30"/>
      <c r="J568" s="30"/>
      <c r="K568" s="155"/>
      <c r="L568" s="155"/>
      <c r="M568" s="155"/>
      <c r="AC568" s="188"/>
    </row>
    <row r="569" customHeight="1" spans="5:29">
      <c r="E569" s="30"/>
      <c r="F569" s="30"/>
      <c r="G569" s="30"/>
      <c r="H569" s="30"/>
      <c r="I569" s="30"/>
      <c r="J569" s="30"/>
      <c r="K569" s="155"/>
      <c r="L569" s="155"/>
      <c r="M569" s="155"/>
      <c r="AC569" s="188"/>
    </row>
    <row r="570" customHeight="1" spans="5:29">
      <c r="E570" s="30"/>
      <c r="F570" s="30"/>
      <c r="G570" s="30"/>
      <c r="H570" s="30"/>
      <c r="I570" s="30"/>
      <c r="J570" s="30"/>
      <c r="K570" s="155"/>
      <c r="L570" s="155"/>
      <c r="M570" s="155"/>
      <c r="AC570" s="188"/>
    </row>
    <row r="571" customHeight="1" spans="5:29">
      <c r="E571" s="30"/>
      <c r="F571" s="30"/>
      <c r="G571" s="30"/>
      <c r="H571" s="30"/>
      <c r="I571" s="30"/>
      <c r="J571" s="30"/>
      <c r="K571" s="155"/>
      <c r="L571" s="155"/>
      <c r="M571" s="155"/>
      <c r="AC571" s="188"/>
    </row>
    <row r="572" customHeight="1" spans="5:29">
      <c r="E572" s="30"/>
      <c r="F572" s="30"/>
      <c r="G572" s="30"/>
      <c r="H572" s="30"/>
      <c r="I572" s="30"/>
      <c r="J572" s="30"/>
      <c r="K572" s="155"/>
      <c r="L572" s="155"/>
      <c r="M572" s="155"/>
      <c r="AC572" s="188"/>
    </row>
    <row r="573" customHeight="1" spans="5:29">
      <c r="E573" s="30"/>
      <c r="F573" s="30"/>
      <c r="G573" s="30"/>
      <c r="H573" s="30"/>
      <c r="I573" s="30"/>
      <c r="J573" s="30"/>
      <c r="K573" s="155"/>
      <c r="L573" s="155"/>
      <c r="M573" s="155"/>
      <c r="AC573" s="188"/>
    </row>
    <row r="574" customHeight="1" spans="5:29">
      <c r="E574" s="30"/>
      <c r="F574" s="30"/>
      <c r="G574" s="30"/>
      <c r="H574" s="30"/>
      <c r="I574" s="30"/>
      <c r="J574" s="30"/>
      <c r="K574" s="155"/>
      <c r="L574" s="155"/>
      <c r="M574" s="155"/>
      <c r="AC574" s="188"/>
    </row>
    <row r="575" customHeight="1" spans="5:29">
      <c r="E575" s="30"/>
      <c r="F575" s="30"/>
      <c r="G575" s="30"/>
      <c r="H575" s="30"/>
      <c r="I575" s="30"/>
      <c r="J575" s="30"/>
      <c r="K575" s="155"/>
      <c r="L575" s="155"/>
      <c r="M575" s="155"/>
      <c r="AC575" s="188"/>
    </row>
    <row r="576" customHeight="1" spans="5:29">
      <c r="E576" s="30"/>
      <c r="F576" s="30"/>
      <c r="G576" s="30"/>
      <c r="H576" s="30"/>
      <c r="I576" s="30"/>
      <c r="J576" s="30"/>
      <c r="K576" s="155"/>
      <c r="L576" s="155"/>
      <c r="M576" s="155"/>
      <c r="AC576" s="188"/>
    </row>
    <row r="577" customHeight="1" spans="5:29">
      <c r="E577" s="30"/>
      <c r="F577" s="30"/>
      <c r="G577" s="30"/>
      <c r="H577" s="30"/>
      <c r="I577" s="30"/>
      <c r="J577" s="30"/>
      <c r="K577" s="155"/>
      <c r="L577" s="155"/>
      <c r="M577" s="155"/>
      <c r="AC577" s="188"/>
    </row>
    <row r="578" customHeight="1" spans="5:29">
      <c r="E578" s="30"/>
      <c r="F578" s="30"/>
      <c r="G578" s="30"/>
      <c r="H578" s="30"/>
      <c r="I578" s="30"/>
      <c r="J578" s="30"/>
      <c r="K578" s="155"/>
      <c r="L578" s="155"/>
      <c r="M578" s="155"/>
      <c r="AC578" s="188"/>
    </row>
    <row r="579" customHeight="1" spans="5:29">
      <c r="E579" s="30"/>
      <c r="F579" s="30"/>
      <c r="G579" s="30"/>
      <c r="H579" s="30"/>
      <c r="I579" s="30"/>
      <c r="J579" s="30"/>
      <c r="K579" s="155"/>
      <c r="L579" s="155"/>
      <c r="M579" s="155"/>
      <c r="AC579" s="188"/>
    </row>
    <row r="580" customHeight="1" spans="5:29">
      <c r="E580" s="30"/>
      <c r="F580" s="30"/>
      <c r="G580" s="30"/>
      <c r="H580" s="30"/>
      <c r="I580" s="30"/>
      <c r="J580" s="30"/>
      <c r="K580" s="155"/>
      <c r="L580" s="155"/>
      <c r="M580" s="155"/>
      <c r="AC580" s="188"/>
    </row>
    <row r="581" customHeight="1" spans="5:29">
      <c r="E581" s="30"/>
      <c r="F581" s="30"/>
      <c r="G581" s="30"/>
      <c r="H581" s="30"/>
      <c r="I581" s="30"/>
      <c r="J581" s="30"/>
      <c r="K581" s="155"/>
      <c r="L581" s="155"/>
      <c r="M581" s="155"/>
      <c r="AC581" s="188"/>
    </row>
    <row r="582" customHeight="1" spans="5:29">
      <c r="E582" s="30"/>
      <c r="F582" s="30"/>
      <c r="G582" s="30"/>
      <c r="H582" s="30"/>
      <c r="I582" s="30"/>
      <c r="J582" s="30"/>
      <c r="K582" s="155"/>
      <c r="L582" s="155"/>
      <c r="M582" s="155"/>
      <c r="AC582" s="188"/>
    </row>
    <row r="583" customHeight="1" spans="5:29">
      <c r="E583" s="30"/>
      <c r="F583" s="30"/>
      <c r="G583" s="30"/>
      <c r="H583" s="30"/>
      <c r="I583" s="30"/>
      <c r="J583" s="30"/>
      <c r="K583" s="155"/>
      <c r="L583" s="155"/>
      <c r="M583" s="155"/>
      <c r="AC583" s="188"/>
    </row>
    <row r="584" customHeight="1" spans="5:29">
      <c r="E584" s="30"/>
      <c r="F584" s="30"/>
      <c r="G584" s="30"/>
      <c r="H584" s="30"/>
      <c r="I584" s="30"/>
      <c r="J584" s="30"/>
      <c r="K584" s="155"/>
      <c r="L584" s="155"/>
      <c r="M584" s="155"/>
      <c r="AC584" s="188"/>
    </row>
    <row r="585" customHeight="1" spans="5:29">
      <c r="E585" s="30"/>
      <c r="F585" s="30"/>
      <c r="G585" s="30"/>
      <c r="H585" s="30"/>
      <c r="I585" s="30"/>
      <c r="J585" s="30"/>
      <c r="K585" s="155"/>
      <c r="L585" s="155"/>
      <c r="M585" s="155"/>
      <c r="AC585" s="188"/>
    </row>
    <row r="586" customHeight="1" spans="5:29">
      <c r="E586" s="30"/>
      <c r="F586" s="30"/>
      <c r="G586" s="30"/>
      <c r="H586" s="30"/>
      <c r="I586" s="30"/>
      <c r="J586" s="30"/>
      <c r="K586" s="155"/>
      <c r="L586" s="155"/>
      <c r="M586" s="155"/>
      <c r="AC586" s="188"/>
    </row>
    <row r="587" customHeight="1" spans="5:29">
      <c r="E587" s="30"/>
      <c r="F587" s="30"/>
      <c r="G587" s="30"/>
      <c r="H587" s="30"/>
      <c r="I587" s="30"/>
      <c r="J587" s="30"/>
      <c r="K587" s="155"/>
      <c r="L587" s="155"/>
      <c r="M587" s="155"/>
      <c r="AC587" s="188"/>
    </row>
    <row r="588" customHeight="1" spans="5:29">
      <c r="E588" s="30"/>
      <c r="F588" s="30"/>
      <c r="G588" s="30"/>
      <c r="H588" s="30"/>
      <c r="I588" s="30"/>
      <c r="J588" s="30"/>
      <c r="K588" s="155"/>
      <c r="L588" s="155"/>
      <c r="M588" s="155"/>
      <c r="AC588" s="188"/>
    </row>
    <row r="589" customHeight="1" spans="5:29">
      <c r="E589" s="30"/>
      <c r="F589" s="30"/>
      <c r="G589" s="30"/>
      <c r="H589" s="30"/>
      <c r="I589" s="30"/>
      <c r="J589" s="30"/>
      <c r="K589" s="155"/>
      <c r="L589" s="155"/>
      <c r="M589" s="155"/>
      <c r="AC589" s="188"/>
    </row>
    <row r="590" customHeight="1" spans="5:29">
      <c r="E590" s="30"/>
      <c r="F590" s="30"/>
      <c r="G590" s="30"/>
      <c r="H590" s="30"/>
      <c r="I590" s="30"/>
      <c r="J590" s="30"/>
      <c r="K590" s="155"/>
      <c r="L590" s="155"/>
      <c r="M590" s="155"/>
      <c r="AC590" s="188"/>
    </row>
    <row r="591" customHeight="1" spans="5:29">
      <c r="E591" s="30"/>
      <c r="F591" s="30"/>
      <c r="G591" s="30"/>
      <c r="H591" s="30"/>
      <c r="I591" s="30"/>
      <c r="J591" s="30"/>
      <c r="K591" s="155"/>
      <c r="L591" s="155"/>
      <c r="M591" s="155"/>
      <c r="AC591" s="188"/>
    </row>
    <row r="592" customHeight="1" spans="5:29">
      <c r="E592" s="30"/>
      <c r="F592" s="30"/>
      <c r="G592" s="30"/>
      <c r="H592" s="30"/>
      <c r="I592" s="30"/>
      <c r="J592" s="30"/>
      <c r="K592" s="155"/>
      <c r="L592" s="155"/>
      <c r="M592" s="155"/>
      <c r="AC592" s="188"/>
    </row>
    <row r="593" customHeight="1" spans="5:29">
      <c r="E593" s="30"/>
      <c r="F593" s="30"/>
      <c r="G593" s="30"/>
      <c r="H593" s="30"/>
      <c r="I593" s="30"/>
      <c r="J593" s="30"/>
      <c r="K593" s="155"/>
      <c r="L593" s="155"/>
      <c r="M593" s="155"/>
      <c r="AC593" s="188"/>
    </row>
    <row r="594" customHeight="1" spans="5:29">
      <c r="E594" s="30"/>
      <c r="F594" s="30"/>
      <c r="G594" s="30"/>
      <c r="H594" s="30"/>
      <c r="I594" s="30"/>
      <c r="J594" s="30"/>
      <c r="K594" s="155"/>
      <c r="L594" s="155"/>
      <c r="M594" s="155"/>
      <c r="AC594" s="188"/>
    </row>
    <row r="595" customHeight="1" spans="5:29">
      <c r="E595" s="30"/>
      <c r="F595" s="30"/>
      <c r="G595" s="30"/>
      <c r="H595" s="30"/>
      <c r="I595" s="30"/>
      <c r="J595" s="30"/>
      <c r="K595" s="155"/>
      <c r="L595" s="155"/>
      <c r="M595" s="155"/>
      <c r="AC595" s="188"/>
    </row>
    <row r="596" customHeight="1" spans="5:29">
      <c r="E596" s="30"/>
      <c r="F596" s="30"/>
      <c r="G596" s="30"/>
      <c r="H596" s="30"/>
      <c r="I596" s="30"/>
      <c r="J596" s="30"/>
      <c r="K596" s="155"/>
      <c r="L596" s="155"/>
      <c r="M596" s="155"/>
      <c r="AC596" s="188"/>
    </row>
    <row r="597" customHeight="1" spans="5:29">
      <c r="E597" s="30"/>
      <c r="F597" s="30"/>
      <c r="G597" s="30"/>
      <c r="H597" s="30"/>
      <c r="I597" s="30"/>
      <c r="J597" s="30"/>
      <c r="K597" s="155"/>
      <c r="L597" s="155"/>
      <c r="M597" s="155"/>
      <c r="AC597" s="188"/>
    </row>
    <row r="598" customHeight="1" spans="5:29">
      <c r="E598" s="30"/>
      <c r="F598" s="30"/>
      <c r="G598" s="30"/>
      <c r="H598" s="30"/>
      <c r="I598" s="30"/>
      <c r="J598" s="30"/>
      <c r="K598" s="155"/>
      <c r="L598" s="155"/>
      <c r="M598" s="155"/>
      <c r="AC598" s="188"/>
    </row>
    <row r="599" customHeight="1" spans="5:29">
      <c r="E599" s="30"/>
      <c r="F599" s="30"/>
      <c r="G599" s="30"/>
      <c r="H599" s="30"/>
      <c r="I599" s="30"/>
      <c r="J599" s="30"/>
      <c r="K599" s="155"/>
      <c r="L599" s="155"/>
      <c r="M599" s="155"/>
      <c r="AC599" s="188"/>
    </row>
    <row r="600" customHeight="1" spans="5:29">
      <c r="E600" s="30"/>
      <c r="F600" s="30"/>
      <c r="G600" s="30"/>
      <c r="H600" s="30"/>
      <c r="I600" s="30"/>
      <c r="J600" s="30"/>
      <c r="K600" s="155"/>
      <c r="L600" s="155"/>
      <c r="M600" s="155"/>
      <c r="AC600" s="188"/>
    </row>
    <row r="601" customHeight="1" spans="5:29">
      <c r="E601" s="30"/>
      <c r="F601" s="30"/>
      <c r="G601" s="30"/>
      <c r="H601" s="30"/>
      <c r="I601" s="30"/>
      <c r="J601" s="30"/>
      <c r="K601" s="155"/>
      <c r="L601" s="155"/>
      <c r="M601" s="155"/>
      <c r="AC601" s="188"/>
    </row>
    <row r="602" customHeight="1" spans="5:29">
      <c r="E602" s="30"/>
      <c r="F602" s="30"/>
      <c r="G602" s="30"/>
      <c r="H602" s="30"/>
      <c r="I602" s="30"/>
      <c r="J602" s="30"/>
      <c r="K602" s="155"/>
      <c r="L602" s="155"/>
      <c r="M602" s="155"/>
      <c r="AC602" s="188"/>
    </row>
    <row r="603" customHeight="1" spans="5:29">
      <c r="E603" s="30"/>
      <c r="F603" s="30"/>
      <c r="G603" s="30"/>
      <c r="H603" s="30"/>
      <c r="I603" s="30"/>
      <c r="J603" s="30"/>
      <c r="K603" s="155"/>
      <c r="L603" s="155"/>
      <c r="M603" s="155"/>
      <c r="AC603" s="188"/>
    </row>
    <row r="604" customHeight="1" spans="5:29">
      <c r="E604" s="30"/>
      <c r="F604" s="30"/>
      <c r="G604" s="30"/>
      <c r="H604" s="30"/>
      <c r="I604" s="30"/>
      <c r="J604" s="30"/>
      <c r="K604" s="155"/>
      <c r="L604" s="155"/>
      <c r="M604" s="155"/>
      <c r="AC604" s="188"/>
    </row>
    <row r="605" customHeight="1" spans="5:29">
      <c r="E605" s="30"/>
      <c r="F605" s="30"/>
      <c r="G605" s="30"/>
      <c r="H605" s="30"/>
      <c r="I605" s="30"/>
      <c r="J605" s="30"/>
      <c r="K605" s="155"/>
      <c r="L605" s="155"/>
      <c r="M605" s="155"/>
      <c r="AC605" s="188"/>
    </row>
    <row r="606" customHeight="1" spans="5:29">
      <c r="E606" s="30"/>
      <c r="F606" s="30"/>
      <c r="G606" s="30"/>
      <c r="H606" s="30"/>
      <c r="I606" s="30"/>
      <c r="J606" s="30"/>
      <c r="K606" s="155"/>
      <c r="L606" s="155"/>
      <c r="M606" s="155"/>
      <c r="AC606" s="188"/>
    </row>
    <row r="607" customHeight="1" spans="5:29">
      <c r="E607" s="30"/>
      <c r="F607" s="30"/>
      <c r="G607" s="30"/>
      <c r="H607" s="30"/>
      <c r="I607" s="30"/>
      <c r="J607" s="30"/>
      <c r="K607" s="155"/>
      <c r="L607" s="155"/>
      <c r="M607" s="155"/>
      <c r="AC607" s="188"/>
    </row>
    <row r="608" customHeight="1" spans="5:29">
      <c r="E608" s="30"/>
      <c r="F608" s="30"/>
      <c r="G608" s="30"/>
      <c r="H608" s="30"/>
      <c r="I608" s="30"/>
      <c r="J608" s="30"/>
      <c r="K608" s="155"/>
      <c r="L608" s="155"/>
      <c r="M608" s="155"/>
      <c r="AC608" s="188"/>
    </row>
    <row r="609" customHeight="1" spans="5:29">
      <c r="E609" s="30"/>
      <c r="F609" s="30"/>
      <c r="G609" s="30"/>
      <c r="H609" s="30"/>
      <c r="I609" s="30"/>
      <c r="J609" s="30"/>
      <c r="K609" s="155"/>
      <c r="L609" s="155"/>
      <c r="M609" s="155"/>
      <c r="AC609" s="188"/>
    </row>
    <row r="610" customHeight="1" spans="5:29">
      <c r="E610" s="30"/>
      <c r="F610" s="30"/>
      <c r="G610" s="30"/>
      <c r="H610" s="30"/>
      <c r="I610" s="30"/>
      <c r="J610" s="30"/>
      <c r="K610" s="155"/>
      <c r="L610" s="155"/>
      <c r="M610" s="155"/>
      <c r="AC610" s="188"/>
    </row>
    <row r="611" customHeight="1" spans="5:29">
      <c r="E611" s="30"/>
      <c r="F611" s="30"/>
      <c r="G611" s="30"/>
      <c r="H611" s="30"/>
      <c r="I611" s="30"/>
      <c r="J611" s="30"/>
      <c r="K611" s="155"/>
      <c r="L611" s="155"/>
      <c r="M611" s="155"/>
      <c r="AC611" s="188"/>
    </row>
    <row r="612" customHeight="1" spans="5:29">
      <c r="E612" s="30"/>
      <c r="F612" s="30"/>
      <c r="G612" s="30"/>
      <c r="H612" s="30"/>
      <c r="I612" s="30"/>
      <c r="J612" s="30"/>
      <c r="K612" s="155"/>
      <c r="L612" s="155"/>
      <c r="M612" s="155"/>
      <c r="AC612" s="188"/>
    </row>
    <row r="613" customHeight="1" spans="5:29">
      <c r="E613" s="30"/>
      <c r="F613" s="30"/>
      <c r="G613" s="30"/>
      <c r="H613" s="30"/>
      <c r="I613" s="30"/>
      <c r="J613" s="30"/>
      <c r="K613" s="155"/>
      <c r="L613" s="155"/>
      <c r="M613" s="155"/>
      <c r="AC613" s="188"/>
    </row>
    <row r="614" customHeight="1" spans="5:29">
      <c r="E614" s="30"/>
      <c r="F614" s="30"/>
      <c r="G614" s="30"/>
      <c r="H614" s="30"/>
      <c r="I614" s="30"/>
      <c r="J614" s="30"/>
      <c r="K614" s="155"/>
      <c r="L614" s="155"/>
      <c r="M614" s="155"/>
      <c r="AC614" s="188"/>
    </row>
    <row r="615" customHeight="1" spans="5:29">
      <c r="E615" s="30"/>
      <c r="F615" s="30"/>
      <c r="G615" s="30"/>
      <c r="H615" s="30"/>
      <c r="I615" s="30"/>
      <c r="J615" s="30"/>
      <c r="K615" s="155"/>
      <c r="L615" s="155"/>
      <c r="M615" s="155"/>
      <c r="AC615" s="188"/>
    </row>
    <row r="616" customHeight="1" spans="5:29">
      <c r="E616" s="30"/>
      <c r="F616" s="30"/>
      <c r="G616" s="30"/>
      <c r="H616" s="30"/>
      <c r="I616" s="30"/>
      <c r="J616" s="30"/>
      <c r="K616" s="155"/>
      <c r="L616" s="155"/>
      <c r="M616" s="155"/>
      <c r="AC616" s="188"/>
    </row>
    <row r="617" customHeight="1" spans="5:29">
      <c r="E617" s="30"/>
      <c r="F617" s="30"/>
      <c r="G617" s="30"/>
      <c r="H617" s="30"/>
      <c r="I617" s="30"/>
      <c r="J617" s="30"/>
      <c r="K617" s="155"/>
      <c r="L617" s="155"/>
      <c r="M617" s="155"/>
      <c r="AC617" s="188"/>
    </row>
    <row r="618" customHeight="1" spans="5:29">
      <c r="E618" s="30"/>
      <c r="F618" s="30"/>
      <c r="G618" s="30"/>
      <c r="H618" s="30"/>
      <c r="I618" s="30"/>
      <c r="J618" s="30"/>
      <c r="K618" s="155"/>
      <c r="L618" s="155"/>
      <c r="M618" s="155"/>
      <c r="AC618" s="188"/>
    </row>
    <row r="619" customHeight="1" spans="5:29">
      <c r="E619" s="30"/>
      <c r="F619" s="30"/>
      <c r="G619" s="30"/>
      <c r="H619" s="30"/>
      <c r="I619" s="30"/>
      <c r="J619" s="30"/>
      <c r="K619" s="155"/>
      <c r="L619" s="155"/>
      <c r="M619" s="155"/>
      <c r="AC619" s="188"/>
    </row>
    <row r="620" customHeight="1" spans="5:29">
      <c r="E620" s="30"/>
      <c r="F620" s="30"/>
      <c r="G620" s="30"/>
      <c r="H620" s="30"/>
      <c r="I620" s="30"/>
      <c r="J620" s="30"/>
      <c r="K620" s="155"/>
      <c r="L620" s="155"/>
      <c r="M620" s="155"/>
      <c r="AC620" s="188"/>
    </row>
    <row r="621" customHeight="1" spans="5:29">
      <c r="E621" s="30"/>
      <c r="F621" s="30"/>
      <c r="G621" s="30"/>
      <c r="H621" s="30"/>
      <c r="I621" s="30"/>
      <c r="J621" s="30"/>
      <c r="K621" s="155"/>
      <c r="L621" s="155"/>
      <c r="M621" s="155"/>
      <c r="AC621" s="188"/>
    </row>
    <row r="622" customHeight="1" spans="5:29">
      <c r="E622" s="30"/>
      <c r="F622" s="30"/>
      <c r="G622" s="30"/>
      <c r="H622" s="30"/>
      <c r="I622" s="30"/>
      <c r="J622" s="30"/>
      <c r="K622" s="155"/>
      <c r="L622" s="155"/>
      <c r="M622" s="155"/>
      <c r="AC622" s="188"/>
    </row>
    <row r="623" customHeight="1" spans="5:29">
      <c r="E623" s="30"/>
      <c r="F623" s="30"/>
      <c r="G623" s="30"/>
      <c r="H623" s="30"/>
      <c r="I623" s="30"/>
      <c r="J623" s="30"/>
      <c r="K623" s="155"/>
      <c r="L623" s="155"/>
      <c r="M623" s="155"/>
      <c r="AC623" s="188"/>
    </row>
    <row r="624" customHeight="1" spans="5:29">
      <c r="E624" s="30"/>
      <c r="F624" s="30"/>
      <c r="G624" s="30"/>
      <c r="H624" s="30"/>
      <c r="I624" s="30"/>
      <c r="J624" s="30"/>
      <c r="K624" s="155"/>
      <c r="L624" s="155"/>
      <c r="M624" s="155"/>
      <c r="AC624" s="188"/>
    </row>
    <row r="625" customHeight="1" spans="5:29">
      <c r="E625" s="30"/>
      <c r="F625" s="30"/>
      <c r="G625" s="30"/>
      <c r="H625" s="30"/>
      <c r="I625" s="30"/>
      <c r="J625" s="30"/>
      <c r="K625" s="155"/>
      <c r="L625" s="155"/>
      <c r="M625" s="155"/>
      <c r="AC625" s="188"/>
    </row>
    <row r="626" customHeight="1" spans="5:29">
      <c r="E626" s="30"/>
      <c r="F626" s="30"/>
      <c r="G626" s="30"/>
      <c r="H626" s="30"/>
      <c r="I626" s="30"/>
      <c r="J626" s="30"/>
      <c r="K626" s="155"/>
      <c r="L626" s="155"/>
      <c r="M626" s="155"/>
      <c r="AC626" s="188"/>
    </row>
    <row r="627" customHeight="1" spans="5:29">
      <c r="E627" s="30"/>
      <c r="F627" s="30"/>
      <c r="G627" s="30"/>
      <c r="H627" s="30"/>
      <c r="I627" s="30"/>
      <c r="J627" s="30"/>
      <c r="K627" s="155"/>
      <c r="L627" s="155"/>
      <c r="M627" s="155"/>
      <c r="AC627" s="188"/>
    </row>
    <row r="628" customHeight="1" spans="5:29">
      <c r="E628" s="30"/>
      <c r="F628" s="30"/>
      <c r="G628" s="30"/>
      <c r="H628" s="30"/>
      <c r="I628" s="30"/>
      <c r="J628" s="30"/>
      <c r="K628" s="155"/>
      <c r="L628" s="155"/>
      <c r="M628" s="155"/>
      <c r="AC628" s="188"/>
    </row>
    <row r="629" customHeight="1" spans="5:29">
      <c r="E629" s="30"/>
      <c r="F629" s="30"/>
      <c r="G629" s="30"/>
      <c r="H629" s="30"/>
      <c r="I629" s="30"/>
      <c r="J629" s="30"/>
      <c r="K629" s="155"/>
      <c r="L629" s="155"/>
      <c r="M629" s="155"/>
      <c r="AC629" s="188"/>
    </row>
    <row r="630" customHeight="1" spans="5:29">
      <c r="E630" s="30"/>
      <c r="F630" s="30"/>
      <c r="G630" s="30"/>
      <c r="H630" s="30"/>
      <c r="I630" s="30"/>
      <c r="J630" s="30"/>
      <c r="K630" s="155"/>
      <c r="L630" s="155"/>
      <c r="M630" s="155"/>
      <c r="AC630" s="188"/>
    </row>
    <row r="631" customHeight="1" spans="5:29">
      <c r="E631" s="30"/>
      <c r="F631" s="30"/>
      <c r="G631" s="30"/>
      <c r="H631" s="30"/>
      <c r="I631" s="30"/>
      <c r="J631" s="30"/>
      <c r="K631" s="155"/>
      <c r="L631" s="155"/>
      <c r="M631" s="155"/>
      <c r="AC631" s="188"/>
    </row>
    <row r="632" customHeight="1" spans="5:29">
      <c r="E632" s="30"/>
      <c r="F632" s="30"/>
      <c r="G632" s="30"/>
      <c r="H632" s="30"/>
      <c r="I632" s="30"/>
      <c r="J632" s="30"/>
      <c r="K632" s="155"/>
      <c r="L632" s="155"/>
      <c r="M632" s="155"/>
      <c r="AC632" s="188"/>
    </row>
    <row r="633" customHeight="1" spans="5:29">
      <c r="E633" s="30"/>
      <c r="F633" s="30"/>
      <c r="G633" s="30"/>
      <c r="H633" s="30"/>
      <c r="I633" s="30"/>
      <c r="J633" s="30"/>
      <c r="K633" s="155"/>
      <c r="L633" s="155"/>
      <c r="M633" s="155"/>
      <c r="AC633" s="188"/>
    </row>
    <row r="634" customHeight="1" spans="5:29">
      <c r="E634" s="30"/>
      <c r="F634" s="30"/>
      <c r="G634" s="30"/>
      <c r="H634" s="30"/>
      <c r="I634" s="30"/>
      <c r="J634" s="30"/>
      <c r="K634" s="155"/>
      <c r="L634" s="155"/>
      <c r="M634" s="155"/>
      <c r="AC634" s="188"/>
    </row>
    <row r="635" customHeight="1" spans="5:29">
      <c r="E635" s="30"/>
      <c r="F635" s="30"/>
      <c r="G635" s="30"/>
      <c r="H635" s="30"/>
      <c r="I635" s="30"/>
      <c r="J635" s="30"/>
      <c r="K635" s="155"/>
      <c r="L635" s="155"/>
      <c r="M635" s="155"/>
      <c r="AC635" s="188"/>
    </row>
    <row r="636" customHeight="1" spans="5:29">
      <c r="E636" s="30"/>
      <c r="F636" s="30"/>
      <c r="G636" s="30"/>
      <c r="H636" s="30"/>
      <c r="I636" s="30"/>
      <c r="J636" s="30"/>
      <c r="K636" s="155"/>
      <c r="L636" s="155"/>
      <c r="M636" s="155"/>
      <c r="AC636" s="188"/>
    </row>
    <row r="637" customHeight="1" spans="5:29">
      <c r="E637" s="30"/>
      <c r="F637" s="30"/>
      <c r="G637" s="30"/>
      <c r="H637" s="30"/>
      <c r="I637" s="30"/>
      <c r="J637" s="30"/>
      <c r="K637" s="155"/>
      <c r="L637" s="155"/>
      <c r="M637" s="155"/>
      <c r="AC637" s="188"/>
    </row>
    <row r="638" customHeight="1" spans="5:29">
      <c r="E638" s="30"/>
      <c r="F638" s="30"/>
      <c r="G638" s="30"/>
      <c r="H638" s="30"/>
      <c r="I638" s="30"/>
      <c r="J638" s="30"/>
      <c r="K638" s="155"/>
      <c r="L638" s="155"/>
      <c r="M638" s="155"/>
      <c r="AC638" s="188"/>
    </row>
    <row r="639" customHeight="1" spans="5:29">
      <c r="E639" s="30"/>
      <c r="F639" s="30"/>
      <c r="G639" s="30"/>
      <c r="H639" s="30"/>
      <c r="I639" s="30"/>
      <c r="J639" s="30"/>
      <c r="K639" s="155"/>
      <c r="L639" s="155"/>
      <c r="M639" s="155"/>
      <c r="AC639" s="188"/>
    </row>
    <row r="640" customHeight="1" spans="5:29">
      <c r="E640" s="30"/>
      <c r="F640" s="30"/>
      <c r="G640" s="30"/>
      <c r="H640" s="30"/>
      <c r="I640" s="30"/>
      <c r="J640" s="30"/>
      <c r="K640" s="155"/>
      <c r="L640" s="155"/>
      <c r="M640" s="155"/>
      <c r="AC640" s="188"/>
    </row>
    <row r="641" customHeight="1" spans="5:29">
      <c r="E641" s="30"/>
      <c r="F641" s="30"/>
      <c r="G641" s="30"/>
      <c r="H641" s="30"/>
      <c r="I641" s="30"/>
      <c r="J641" s="30"/>
      <c r="K641" s="155"/>
      <c r="L641" s="155"/>
      <c r="M641" s="155"/>
      <c r="AC641" s="188"/>
    </row>
    <row r="642" customHeight="1" spans="5:29">
      <c r="E642" s="30"/>
      <c r="F642" s="30"/>
      <c r="G642" s="30"/>
      <c r="H642" s="30"/>
      <c r="I642" s="30"/>
      <c r="J642" s="30"/>
      <c r="K642" s="155"/>
      <c r="L642" s="155"/>
      <c r="M642" s="155"/>
      <c r="AC642" s="188"/>
    </row>
    <row r="643" customHeight="1" spans="5:29">
      <c r="E643" s="30"/>
      <c r="F643" s="30"/>
      <c r="G643" s="30"/>
      <c r="H643" s="30"/>
      <c r="I643" s="30"/>
      <c r="J643" s="30"/>
      <c r="K643" s="155"/>
      <c r="L643" s="155"/>
      <c r="M643" s="155"/>
      <c r="AC643" s="188"/>
    </row>
    <row r="644" customHeight="1" spans="5:29">
      <c r="E644" s="30"/>
      <c r="F644" s="30"/>
      <c r="G644" s="30"/>
      <c r="H644" s="30"/>
      <c r="I644" s="30"/>
      <c r="J644" s="30"/>
      <c r="K644" s="155"/>
      <c r="L644" s="155"/>
      <c r="M644" s="155"/>
      <c r="AC644" s="188"/>
    </row>
    <row r="645" customHeight="1" spans="5:29">
      <c r="E645" s="30"/>
      <c r="F645" s="30"/>
      <c r="G645" s="30"/>
      <c r="H645" s="30"/>
      <c r="I645" s="30"/>
      <c r="J645" s="30"/>
      <c r="K645" s="155"/>
      <c r="L645" s="155"/>
      <c r="M645" s="155"/>
      <c r="AC645" s="188"/>
    </row>
    <row r="646" customHeight="1" spans="5:29">
      <c r="E646" s="30"/>
      <c r="F646" s="30"/>
      <c r="G646" s="30"/>
      <c r="H646" s="30"/>
      <c r="I646" s="30"/>
      <c r="J646" s="30"/>
      <c r="K646" s="155"/>
      <c r="L646" s="155"/>
      <c r="M646" s="155"/>
      <c r="AC646" s="188"/>
    </row>
    <row r="647" customHeight="1" spans="5:29">
      <c r="E647" s="30"/>
      <c r="F647" s="30"/>
      <c r="G647" s="30"/>
      <c r="H647" s="30"/>
      <c r="I647" s="30"/>
      <c r="J647" s="30"/>
      <c r="K647" s="155"/>
      <c r="L647" s="155"/>
      <c r="M647" s="155"/>
      <c r="AC647" s="188"/>
    </row>
    <row r="648" customHeight="1" spans="5:29">
      <c r="E648" s="30"/>
      <c r="F648" s="30"/>
      <c r="G648" s="30"/>
      <c r="H648" s="30"/>
      <c r="I648" s="30"/>
      <c r="J648" s="30"/>
      <c r="K648" s="155"/>
      <c r="L648" s="155"/>
      <c r="M648" s="155"/>
      <c r="AC648" s="188"/>
    </row>
    <row r="649" customHeight="1" spans="5:29">
      <c r="E649" s="30"/>
      <c r="F649" s="30"/>
      <c r="G649" s="30"/>
      <c r="H649" s="30"/>
      <c r="I649" s="30"/>
      <c r="J649" s="30"/>
      <c r="K649" s="155"/>
      <c r="L649" s="155"/>
      <c r="M649" s="155"/>
      <c r="AC649" s="188"/>
    </row>
    <row r="650" customHeight="1" spans="5:29">
      <c r="E650" s="30"/>
      <c r="F650" s="30"/>
      <c r="G650" s="30"/>
      <c r="H650" s="30"/>
      <c r="I650" s="30"/>
      <c r="J650" s="30"/>
      <c r="K650" s="155"/>
      <c r="L650" s="155"/>
      <c r="M650" s="155"/>
      <c r="AC650" s="188"/>
    </row>
    <row r="651" customHeight="1" spans="5:29">
      <c r="E651" s="30"/>
      <c r="F651" s="30"/>
      <c r="G651" s="30"/>
      <c r="H651" s="30"/>
      <c r="I651" s="30"/>
      <c r="J651" s="30"/>
      <c r="K651" s="155"/>
      <c r="L651" s="155"/>
      <c r="M651" s="155"/>
      <c r="AC651" s="188"/>
    </row>
    <row r="652" customHeight="1" spans="5:29">
      <c r="E652" s="30"/>
      <c r="F652" s="30"/>
      <c r="G652" s="30"/>
      <c r="H652" s="30"/>
      <c r="I652" s="30"/>
      <c r="J652" s="30"/>
      <c r="K652" s="155"/>
      <c r="L652" s="155"/>
      <c r="M652" s="155"/>
      <c r="AC652" s="188"/>
    </row>
    <row r="653" customHeight="1" spans="5:29">
      <c r="E653" s="30"/>
      <c r="F653" s="30"/>
      <c r="G653" s="30"/>
      <c r="H653" s="30"/>
      <c r="I653" s="30"/>
      <c r="J653" s="30"/>
      <c r="K653" s="155"/>
      <c r="L653" s="155"/>
      <c r="M653" s="155"/>
      <c r="AC653" s="188"/>
    </row>
    <row r="654" customHeight="1" spans="5:29">
      <c r="E654" s="30"/>
      <c r="F654" s="30"/>
      <c r="G654" s="30"/>
      <c r="H654" s="30"/>
      <c r="I654" s="30"/>
      <c r="J654" s="30"/>
      <c r="K654" s="155"/>
      <c r="L654" s="155"/>
      <c r="M654" s="155"/>
      <c r="AC654" s="188"/>
    </row>
    <row r="655" customHeight="1" spans="5:29">
      <c r="E655" s="30"/>
      <c r="F655" s="30"/>
      <c r="G655" s="30"/>
      <c r="H655" s="30"/>
      <c r="I655" s="30"/>
      <c r="J655" s="30"/>
      <c r="K655" s="155"/>
      <c r="L655" s="155"/>
      <c r="M655" s="155"/>
      <c r="AC655" s="188"/>
    </row>
    <row r="656" customHeight="1" spans="5:29">
      <c r="E656" s="30"/>
      <c r="F656" s="30"/>
      <c r="G656" s="30"/>
      <c r="H656" s="30"/>
      <c r="I656" s="30"/>
      <c r="J656" s="30"/>
      <c r="K656" s="155"/>
      <c r="L656" s="155"/>
      <c r="M656" s="155"/>
      <c r="AC656" s="188"/>
    </row>
    <row r="657" customHeight="1" spans="5:29">
      <c r="E657" s="30"/>
      <c r="F657" s="30"/>
      <c r="G657" s="30"/>
      <c r="H657" s="30"/>
      <c r="I657" s="30"/>
      <c r="J657" s="30"/>
      <c r="K657" s="155"/>
      <c r="L657" s="155"/>
      <c r="M657" s="155"/>
      <c r="AC657" s="188"/>
    </row>
    <row r="658" customHeight="1" spans="5:29">
      <c r="E658" s="30"/>
      <c r="F658" s="30"/>
      <c r="G658" s="30"/>
      <c r="H658" s="30"/>
      <c r="I658" s="30"/>
      <c r="J658" s="30"/>
      <c r="K658" s="155"/>
      <c r="L658" s="155"/>
      <c r="M658" s="155"/>
      <c r="AC658" s="188"/>
    </row>
    <row r="659" customHeight="1" spans="5:29">
      <c r="E659" s="30"/>
      <c r="F659" s="30"/>
      <c r="G659" s="30"/>
      <c r="H659" s="30"/>
      <c r="I659" s="30"/>
      <c r="J659" s="30"/>
      <c r="K659" s="155"/>
      <c r="L659" s="155"/>
      <c r="M659" s="155"/>
      <c r="AC659" s="188"/>
    </row>
    <row r="660" customHeight="1" spans="5:29">
      <c r="E660" s="30"/>
      <c r="F660" s="30"/>
      <c r="G660" s="30"/>
      <c r="H660" s="30"/>
      <c r="I660" s="30"/>
      <c r="J660" s="30"/>
      <c r="K660" s="155"/>
      <c r="L660" s="155"/>
      <c r="M660" s="155"/>
      <c r="AC660" s="188"/>
    </row>
    <row r="661" customHeight="1" spans="5:29">
      <c r="E661" s="30"/>
      <c r="F661" s="30"/>
      <c r="G661" s="30"/>
      <c r="H661" s="30"/>
      <c r="I661" s="30"/>
      <c r="J661" s="30"/>
      <c r="K661" s="155"/>
      <c r="L661" s="155"/>
      <c r="M661" s="155"/>
      <c r="AC661" s="188"/>
    </row>
    <row r="662" customHeight="1" spans="5:29">
      <c r="E662" s="30"/>
      <c r="F662" s="30"/>
      <c r="G662" s="30"/>
      <c r="H662" s="30"/>
      <c r="I662" s="30"/>
      <c r="J662" s="30"/>
      <c r="K662" s="155"/>
      <c r="L662" s="155"/>
      <c r="M662" s="155"/>
      <c r="AC662" s="188"/>
    </row>
    <row r="663" customHeight="1" spans="5:29">
      <c r="E663" s="30"/>
      <c r="F663" s="30"/>
      <c r="G663" s="30"/>
      <c r="H663" s="30"/>
      <c r="I663" s="30"/>
      <c r="J663" s="30"/>
      <c r="K663" s="155"/>
      <c r="L663" s="155"/>
      <c r="M663" s="155"/>
      <c r="AC663" s="188"/>
    </row>
    <row r="664" customHeight="1" spans="5:29">
      <c r="E664" s="30"/>
      <c r="F664" s="30"/>
      <c r="G664" s="30"/>
      <c r="H664" s="30"/>
      <c r="I664" s="30"/>
      <c r="J664" s="30"/>
      <c r="K664" s="155"/>
      <c r="L664" s="155"/>
      <c r="M664" s="155"/>
      <c r="AC664" s="188"/>
    </row>
    <row r="665" customHeight="1" spans="5:29">
      <c r="E665" s="30"/>
      <c r="F665" s="30"/>
      <c r="G665" s="30"/>
      <c r="H665" s="30"/>
      <c r="I665" s="30"/>
      <c r="J665" s="30"/>
      <c r="K665" s="155"/>
      <c r="L665" s="155"/>
      <c r="M665" s="155"/>
      <c r="AC665" s="188"/>
    </row>
    <row r="666" customHeight="1" spans="5:29">
      <c r="E666" s="30"/>
      <c r="F666" s="30"/>
      <c r="G666" s="30"/>
      <c r="H666" s="30"/>
      <c r="I666" s="30"/>
      <c r="J666" s="30"/>
      <c r="K666" s="155"/>
      <c r="L666" s="155"/>
      <c r="M666" s="155"/>
      <c r="AC666" s="188"/>
    </row>
    <row r="667" customHeight="1" spans="5:29">
      <c r="E667" s="30"/>
      <c r="F667" s="30"/>
      <c r="G667" s="30"/>
      <c r="H667" s="30"/>
      <c r="I667" s="30"/>
      <c r="J667" s="30"/>
      <c r="K667" s="155"/>
      <c r="L667" s="155"/>
      <c r="M667" s="155"/>
      <c r="AC667" s="188"/>
    </row>
    <row r="668" customHeight="1" spans="5:29">
      <c r="E668" s="30"/>
      <c r="F668" s="30"/>
      <c r="G668" s="30"/>
      <c r="H668" s="30"/>
      <c r="I668" s="30"/>
      <c r="J668" s="30"/>
      <c r="K668" s="155"/>
      <c r="L668" s="155"/>
      <c r="M668" s="155"/>
      <c r="AC668" s="188"/>
    </row>
    <row r="669" customHeight="1" spans="5:29">
      <c r="E669" s="30"/>
      <c r="F669" s="30"/>
      <c r="G669" s="30"/>
      <c r="H669" s="30"/>
      <c r="I669" s="30"/>
      <c r="J669" s="30"/>
      <c r="K669" s="155"/>
      <c r="L669" s="155"/>
      <c r="M669" s="155"/>
      <c r="AC669" s="188"/>
    </row>
    <row r="670" customHeight="1" spans="5:29">
      <c r="E670" s="30"/>
      <c r="F670" s="30"/>
      <c r="G670" s="30"/>
      <c r="H670" s="30"/>
      <c r="I670" s="30"/>
      <c r="J670" s="30"/>
      <c r="K670" s="155"/>
      <c r="L670" s="155"/>
      <c r="M670" s="155"/>
      <c r="AC670" s="188"/>
    </row>
    <row r="671" customHeight="1" spans="5:29">
      <c r="E671" s="30"/>
      <c r="F671" s="30"/>
      <c r="G671" s="30"/>
      <c r="H671" s="30"/>
      <c r="I671" s="30"/>
      <c r="J671" s="30"/>
      <c r="K671" s="155"/>
      <c r="L671" s="155"/>
      <c r="M671" s="155"/>
      <c r="AC671" s="188"/>
    </row>
    <row r="672" customHeight="1" spans="5:29">
      <c r="E672" s="30"/>
      <c r="F672" s="30"/>
      <c r="G672" s="30"/>
      <c r="H672" s="30"/>
      <c r="I672" s="30"/>
      <c r="J672" s="30"/>
      <c r="K672" s="155"/>
      <c r="L672" s="155"/>
      <c r="M672" s="155"/>
      <c r="AC672" s="188"/>
    </row>
    <row r="673" customHeight="1" spans="5:29">
      <c r="E673" s="30"/>
      <c r="F673" s="30"/>
      <c r="G673" s="30"/>
      <c r="H673" s="30"/>
      <c r="I673" s="30"/>
      <c r="J673" s="30"/>
      <c r="K673" s="155"/>
      <c r="L673" s="155"/>
      <c r="M673" s="155"/>
      <c r="AC673" s="188"/>
    </row>
    <row r="674" customHeight="1" spans="5:29">
      <c r="E674" s="30"/>
      <c r="F674" s="30"/>
      <c r="G674" s="30"/>
      <c r="H674" s="30"/>
      <c r="I674" s="30"/>
      <c r="J674" s="30"/>
      <c r="K674" s="155"/>
      <c r="L674" s="155"/>
      <c r="M674" s="155"/>
      <c r="AC674" s="188"/>
    </row>
    <row r="675" customHeight="1" spans="5:29">
      <c r="E675" s="30"/>
      <c r="F675" s="30"/>
      <c r="G675" s="30"/>
      <c r="H675" s="30"/>
      <c r="I675" s="30"/>
      <c r="J675" s="30"/>
      <c r="K675" s="155"/>
      <c r="L675" s="155"/>
      <c r="M675" s="155"/>
      <c r="AC675" s="188"/>
    </row>
    <row r="676" customHeight="1" spans="5:29">
      <c r="E676" s="30"/>
      <c r="F676" s="30"/>
      <c r="G676" s="30"/>
      <c r="H676" s="30"/>
      <c r="I676" s="30"/>
      <c r="J676" s="30"/>
      <c r="K676" s="155"/>
      <c r="L676" s="155"/>
      <c r="M676" s="155"/>
      <c r="AC676" s="188"/>
    </row>
    <row r="677" customHeight="1" spans="5:29">
      <c r="E677" s="30"/>
      <c r="F677" s="30"/>
      <c r="G677" s="30"/>
      <c r="H677" s="30"/>
      <c r="I677" s="30"/>
      <c r="J677" s="30"/>
      <c r="K677" s="155"/>
      <c r="L677" s="155"/>
      <c r="M677" s="155"/>
      <c r="AC677" s="188"/>
    </row>
    <row r="678" customHeight="1" spans="5:29">
      <c r="E678" s="30"/>
      <c r="F678" s="30"/>
      <c r="G678" s="30"/>
      <c r="H678" s="30"/>
      <c r="I678" s="30"/>
      <c r="J678" s="30"/>
      <c r="K678" s="155"/>
      <c r="L678" s="155"/>
      <c r="M678" s="155"/>
      <c r="AC678" s="188"/>
    </row>
    <row r="679" customHeight="1" spans="5:29">
      <c r="E679" s="30"/>
      <c r="F679" s="30"/>
      <c r="G679" s="30"/>
      <c r="H679" s="30"/>
      <c r="I679" s="30"/>
      <c r="J679" s="30"/>
      <c r="K679" s="155"/>
      <c r="L679" s="155"/>
      <c r="M679" s="155"/>
      <c r="AC679" s="188"/>
    </row>
    <row r="680" customHeight="1" spans="5:29">
      <c r="E680" s="30"/>
      <c r="F680" s="30"/>
      <c r="G680" s="30"/>
      <c r="H680" s="30"/>
      <c r="I680" s="30"/>
      <c r="J680" s="30"/>
      <c r="K680" s="155"/>
      <c r="L680" s="155"/>
      <c r="M680" s="155"/>
      <c r="AC680" s="188"/>
    </row>
    <row r="681" customHeight="1" spans="5:29">
      <c r="E681" s="30"/>
      <c r="F681" s="30"/>
      <c r="G681" s="30"/>
      <c r="H681" s="30"/>
      <c r="I681" s="30"/>
      <c r="J681" s="30"/>
      <c r="K681" s="155"/>
      <c r="L681" s="155"/>
      <c r="M681" s="155"/>
      <c r="AC681" s="188"/>
    </row>
    <row r="682" customHeight="1" spans="5:29">
      <c r="E682" s="30"/>
      <c r="F682" s="30"/>
      <c r="G682" s="30"/>
      <c r="H682" s="30"/>
      <c r="I682" s="30"/>
      <c r="J682" s="30"/>
      <c r="K682" s="155"/>
      <c r="L682" s="155"/>
      <c r="M682" s="155"/>
      <c r="AC682" s="188"/>
    </row>
    <row r="683" customHeight="1" spans="5:29">
      <c r="E683" s="30"/>
      <c r="F683" s="30"/>
      <c r="G683" s="30"/>
      <c r="H683" s="30"/>
      <c r="I683" s="30"/>
      <c r="J683" s="30"/>
      <c r="K683" s="155"/>
      <c r="L683" s="155"/>
      <c r="M683" s="155"/>
      <c r="AC683" s="188"/>
    </row>
    <row r="684" customHeight="1" spans="5:29">
      <c r="E684" s="30"/>
      <c r="F684" s="30"/>
      <c r="G684" s="30"/>
      <c r="H684" s="30"/>
      <c r="I684" s="30"/>
      <c r="J684" s="30"/>
      <c r="K684" s="155"/>
      <c r="L684" s="155"/>
      <c r="M684" s="155"/>
      <c r="AC684" s="188"/>
    </row>
    <row r="685" customHeight="1" spans="5:29">
      <c r="E685" s="30"/>
      <c r="F685" s="30"/>
      <c r="G685" s="30"/>
      <c r="H685" s="30"/>
      <c r="I685" s="30"/>
      <c r="J685" s="30"/>
      <c r="K685" s="155"/>
      <c r="L685" s="155"/>
      <c r="M685" s="155"/>
      <c r="AC685" s="188"/>
    </row>
    <row r="686" customHeight="1" spans="5:29">
      <c r="E686" s="30"/>
      <c r="F686" s="30"/>
      <c r="G686" s="30"/>
      <c r="H686" s="30"/>
      <c r="I686" s="30"/>
      <c r="J686" s="30"/>
      <c r="K686" s="155"/>
      <c r="L686" s="155"/>
      <c r="M686" s="155"/>
      <c r="AC686" s="188"/>
    </row>
    <row r="687" customHeight="1" spans="5:29">
      <c r="E687" s="30"/>
      <c r="F687" s="30"/>
      <c r="G687" s="30"/>
      <c r="H687" s="30"/>
      <c r="I687" s="30"/>
      <c r="J687" s="30"/>
      <c r="K687" s="155"/>
      <c r="L687" s="155"/>
      <c r="M687" s="155"/>
      <c r="AC687" s="188"/>
    </row>
    <row r="688" customHeight="1" spans="5:29">
      <c r="E688" s="30"/>
      <c r="F688" s="30"/>
      <c r="G688" s="30"/>
      <c r="H688" s="30"/>
      <c r="I688" s="30"/>
      <c r="J688" s="30"/>
      <c r="K688" s="155"/>
      <c r="L688" s="155"/>
      <c r="M688" s="155"/>
      <c r="AC688" s="188"/>
    </row>
    <row r="689" customHeight="1" spans="5:29">
      <c r="E689" s="30"/>
      <c r="F689" s="30"/>
      <c r="G689" s="30"/>
      <c r="H689" s="30"/>
      <c r="I689" s="30"/>
      <c r="J689" s="30"/>
      <c r="K689" s="155"/>
      <c r="L689" s="155"/>
      <c r="M689" s="155"/>
      <c r="AC689" s="188"/>
    </row>
    <row r="690" customHeight="1" spans="5:29">
      <c r="E690" s="30"/>
      <c r="F690" s="30"/>
      <c r="G690" s="30"/>
      <c r="H690" s="30"/>
      <c r="I690" s="30"/>
      <c r="J690" s="30"/>
      <c r="K690" s="155"/>
      <c r="L690" s="155"/>
      <c r="M690" s="155"/>
      <c r="AC690" s="188"/>
    </row>
    <row r="691" customHeight="1" spans="5:29">
      <c r="E691" s="30"/>
      <c r="F691" s="30"/>
      <c r="G691" s="30"/>
      <c r="H691" s="30"/>
      <c r="I691" s="30"/>
      <c r="J691" s="30"/>
      <c r="K691" s="155"/>
      <c r="L691" s="155"/>
      <c r="M691" s="155"/>
      <c r="AC691" s="188"/>
    </row>
    <row r="692" customHeight="1" spans="5:29">
      <c r="E692" s="30"/>
      <c r="F692" s="30"/>
      <c r="G692" s="30"/>
      <c r="H692" s="30"/>
      <c r="I692" s="30"/>
      <c r="J692" s="30"/>
      <c r="K692" s="155"/>
      <c r="L692" s="155"/>
      <c r="M692" s="155"/>
      <c r="AC692" s="188"/>
    </row>
    <row r="693" customHeight="1" spans="5:29">
      <c r="E693" s="30"/>
      <c r="F693" s="30"/>
      <c r="G693" s="30"/>
      <c r="H693" s="30"/>
      <c r="I693" s="30"/>
      <c r="J693" s="30"/>
      <c r="K693" s="155"/>
      <c r="L693" s="155"/>
      <c r="M693" s="155"/>
      <c r="AC693" s="188"/>
    </row>
    <row r="694" customHeight="1" spans="5:29">
      <c r="E694" s="30"/>
      <c r="F694" s="30"/>
      <c r="G694" s="30"/>
      <c r="H694" s="30"/>
      <c r="I694" s="30"/>
      <c r="J694" s="30"/>
      <c r="K694" s="155"/>
      <c r="L694" s="155"/>
      <c r="M694" s="155"/>
      <c r="AC694" s="188"/>
    </row>
    <row r="695" customHeight="1" spans="5:29">
      <c r="E695" s="30"/>
      <c r="F695" s="30"/>
      <c r="G695" s="30"/>
      <c r="H695" s="30"/>
      <c r="I695" s="30"/>
      <c r="J695" s="30"/>
      <c r="K695" s="155"/>
      <c r="L695" s="155"/>
      <c r="M695" s="155"/>
      <c r="AC695" s="188"/>
    </row>
    <row r="696" customHeight="1" spans="5:29">
      <c r="E696" s="30"/>
      <c r="F696" s="30"/>
      <c r="G696" s="30"/>
      <c r="H696" s="30"/>
      <c r="I696" s="30"/>
      <c r="J696" s="30"/>
      <c r="K696" s="155"/>
      <c r="L696" s="155"/>
      <c r="M696" s="155"/>
      <c r="AC696" s="188"/>
    </row>
    <row r="697" customHeight="1" spans="5:29">
      <c r="E697" s="30"/>
      <c r="F697" s="30"/>
      <c r="G697" s="30"/>
      <c r="H697" s="30"/>
      <c r="I697" s="30"/>
      <c r="J697" s="30"/>
      <c r="K697" s="155"/>
      <c r="L697" s="155"/>
      <c r="M697" s="155"/>
      <c r="AC697" s="188"/>
    </row>
    <row r="698" customHeight="1" spans="5:29">
      <c r="E698" s="30"/>
      <c r="F698" s="30"/>
      <c r="G698" s="30"/>
      <c r="H698" s="30"/>
      <c r="I698" s="30"/>
      <c r="J698" s="30"/>
      <c r="K698" s="155"/>
      <c r="L698" s="155"/>
      <c r="M698" s="155"/>
      <c r="AC698" s="188"/>
    </row>
    <row r="699" customHeight="1" spans="5:29">
      <c r="E699" s="30"/>
      <c r="F699" s="30"/>
      <c r="G699" s="30"/>
      <c r="H699" s="30"/>
      <c r="I699" s="30"/>
      <c r="J699" s="30"/>
      <c r="K699" s="155"/>
      <c r="L699" s="155"/>
      <c r="M699" s="155"/>
      <c r="AC699" s="188"/>
    </row>
    <row r="700" customHeight="1" spans="5:29">
      <c r="E700" s="30"/>
      <c r="F700" s="30"/>
      <c r="G700" s="30"/>
      <c r="H700" s="30"/>
      <c r="I700" s="30"/>
      <c r="J700" s="30"/>
      <c r="K700" s="155"/>
      <c r="L700" s="155"/>
      <c r="M700" s="155"/>
      <c r="AC700" s="188"/>
    </row>
    <row r="701" customHeight="1" spans="5:29">
      <c r="E701" s="30"/>
      <c r="F701" s="30"/>
      <c r="G701" s="30"/>
      <c r="H701" s="30"/>
      <c r="I701" s="30"/>
      <c r="J701" s="30"/>
      <c r="K701" s="155"/>
      <c r="L701" s="155"/>
      <c r="M701" s="155"/>
      <c r="AC701" s="188"/>
    </row>
    <row r="702" customHeight="1" spans="5:29">
      <c r="E702" s="30"/>
      <c r="F702" s="30"/>
      <c r="G702" s="30"/>
      <c r="H702" s="30"/>
      <c r="I702" s="30"/>
      <c r="J702" s="30"/>
      <c r="K702" s="155"/>
      <c r="L702" s="155"/>
      <c r="M702" s="155"/>
      <c r="AC702" s="188"/>
    </row>
    <row r="703" customHeight="1" spans="5:29">
      <c r="E703" s="30"/>
      <c r="F703" s="30"/>
      <c r="G703" s="30"/>
      <c r="H703" s="30"/>
      <c r="I703" s="30"/>
      <c r="J703" s="30"/>
      <c r="K703" s="155"/>
      <c r="L703" s="155"/>
      <c r="M703" s="155"/>
      <c r="AC703" s="188"/>
    </row>
    <row r="704" customHeight="1" spans="5:29">
      <c r="E704" s="30"/>
      <c r="F704" s="30"/>
      <c r="G704" s="30"/>
      <c r="H704" s="30"/>
      <c r="I704" s="30"/>
      <c r="J704" s="30"/>
      <c r="K704" s="155"/>
      <c r="L704" s="155"/>
      <c r="M704" s="155"/>
      <c r="AC704" s="188"/>
    </row>
    <row r="705" customHeight="1" spans="5:29">
      <c r="E705" s="30"/>
      <c r="F705" s="30"/>
      <c r="G705" s="30"/>
      <c r="H705" s="30"/>
      <c r="I705" s="30"/>
      <c r="J705" s="30"/>
      <c r="K705" s="155"/>
      <c r="L705" s="155"/>
      <c r="M705" s="155"/>
      <c r="AC705" s="188"/>
    </row>
    <row r="706" customHeight="1" spans="5:29">
      <c r="E706" s="30"/>
      <c r="F706" s="30"/>
      <c r="G706" s="30"/>
      <c r="H706" s="30"/>
      <c r="I706" s="30"/>
      <c r="J706" s="30"/>
      <c r="K706" s="155"/>
      <c r="L706" s="155"/>
      <c r="M706" s="155"/>
      <c r="AC706" s="188"/>
    </row>
    <row r="707" customHeight="1" spans="5:29">
      <c r="E707" s="30"/>
      <c r="F707" s="30"/>
      <c r="G707" s="30"/>
      <c r="H707" s="30"/>
      <c r="I707" s="30"/>
      <c r="J707" s="30"/>
      <c r="K707" s="155"/>
      <c r="L707" s="155"/>
      <c r="M707" s="155"/>
      <c r="AC707" s="188"/>
    </row>
    <row r="708" customHeight="1" spans="5:29">
      <c r="E708" s="30"/>
      <c r="F708" s="30"/>
      <c r="G708" s="30"/>
      <c r="H708" s="30"/>
      <c r="I708" s="30"/>
      <c r="J708" s="30"/>
      <c r="K708" s="155"/>
      <c r="L708" s="155"/>
      <c r="M708" s="155"/>
      <c r="AC708" s="188"/>
    </row>
    <row r="709" customHeight="1" spans="5:29">
      <c r="E709" s="30"/>
      <c r="F709" s="30"/>
      <c r="G709" s="30"/>
      <c r="H709" s="30"/>
      <c r="I709" s="30"/>
      <c r="J709" s="30"/>
      <c r="K709" s="155"/>
      <c r="L709" s="155"/>
      <c r="M709" s="155"/>
      <c r="AC709" s="188"/>
    </row>
    <row r="710" customHeight="1" spans="5:29">
      <c r="E710" s="30"/>
      <c r="F710" s="30"/>
      <c r="G710" s="30"/>
      <c r="H710" s="30"/>
      <c r="I710" s="30"/>
      <c r="J710" s="30"/>
      <c r="K710" s="155"/>
      <c r="L710" s="155"/>
      <c r="M710" s="155"/>
      <c r="AC710" s="188"/>
    </row>
    <row r="711" customHeight="1" spans="5:29">
      <c r="E711" s="30"/>
      <c r="F711" s="30"/>
      <c r="G711" s="30"/>
      <c r="H711" s="30"/>
      <c r="I711" s="30"/>
      <c r="J711" s="30"/>
      <c r="K711" s="155"/>
      <c r="L711" s="155"/>
      <c r="M711" s="155"/>
      <c r="AC711" s="188"/>
    </row>
    <row r="712" customHeight="1" spans="5:29">
      <c r="E712" s="30"/>
      <c r="F712" s="30"/>
      <c r="G712" s="30"/>
      <c r="H712" s="30"/>
      <c r="I712" s="30"/>
      <c r="J712" s="30"/>
      <c r="K712" s="155"/>
      <c r="L712" s="155"/>
      <c r="M712" s="155"/>
      <c r="AC712" s="188"/>
    </row>
    <row r="713" customHeight="1" spans="5:29">
      <c r="E713" s="30"/>
      <c r="F713" s="30"/>
      <c r="G713" s="30"/>
      <c r="H713" s="30"/>
      <c r="I713" s="30"/>
      <c r="J713" s="30"/>
      <c r="K713" s="155"/>
      <c r="L713" s="155"/>
      <c r="M713" s="155"/>
      <c r="AC713" s="188"/>
    </row>
    <row r="714" customHeight="1" spans="5:29">
      <c r="E714" s="30"/>
      <c r="F714" s="30"/>
      <c r="G714" s="30"/>
      <c r="H714" s="30"/>
      <c r="I714" s="30"/>
      <c r="J714" s="30"/>
      <c r="K714" s="155"/>
      <c r="L714" s="155"/>
      <c r="M714" s="155"/>
      <c r="AC714" s="188"/>
    </row>
    <row r="715" customHeight="1" spans="5:29">
      <c r="E715" s="30"/>
      <c r="F715" s="30"/>
      <c r="G715" s="30"/>
      <c r="H715" s="30"/>
      <c r="I715" s="30"/>
      <c r="J715" s="30"/>
      <c r="K715" s="155"/>
      <c r="L715" s="155"/>
      <c r="M715" s="155"/>
      <c r="AC715" s="188"/>
    </row>
    <row r="716" customHeight="1" spans="5:29">
      <c r="E716" s="30"/>
      <c r="F716" s="30"/>
      <c r="G716" s="30"/>
      <c r="H716" s="30"/>
      <c r="I716" s="30"/>
      <c r="J716" s="30"/>
      <c r="K716" s="155"/>
      <c r="L716" s="155"/>
      <c r="M716" s="155"/>
      <c r="AC716" s="188"/>
    </row>
    <row r="717" customHeight="1" spans="5:29">
      <c r="E717" s="30"/>
      <c r="F717" s="30"/>
      <c r="G717" s="30"/>
      <c r="H717" s="30"/>
      <c r="I717" s="30"/>
      <c r="J717" s="30"/>
      <c r="K717" s="155"/>
      <c r="L717" s="155"/>
      <c r="M717" s="155"/>
      <c r="AC717" s="188"/>
    </row>
    <row r="718" customHeight="1" spans="5:29">
      <c r="E718" s="30"/>
      <c r="F718" s="30"/>
      <c r="G718" s="30"/>
      <c r="H718" s="30"/>
      <c r="I718" s="30"/>
      <c r="J718" s="30"/>
      <c r="K718" s="155"/>
      <c r="L718" s="155"/>
      <c r="M718" s="155"/>
      <c r="AC718" s="188"/>
    </row>
    <row r="719" customHeight="1" spans="5:29">
      <c r="E719" s="30"/>
      <c r="F719" s="30"/>
      <c r="G719" s="30"/>
      <c r="H719" s="30"/>
      <c r="I719" s="30"/>
      <c r="J719" s="30"/>
      <c r="K719" s="155"/>
      <c r="L719" s="155"/>
      <c r="M719" s="155"/>
      <c r="AC719" s="188"/>
    </row>
    <row r="720" customHeight="1" spans="5:29">
      <c r="E720" s="30"/>
      <c r="F720" s="30"/>
      <c r="G720" s="30"/>
      <c r="H720" s="30"/>
      <c r="I720" s="30"/>
      <c r="J720" s="30"/>
      <c r="K720" s="155"/>
      <c r="L720" s="155"/>
      <c r="M720" s="155"/>
      <c r="AC720" s="188"/>
    </row>
    <row r="721" customHeight="1" spans="5:29">
      <c r="E721" s="30"/>
      <c r="F721" s="30"/>
      <c r="G721" s="30"/>
      <c r="H721" s="30"/>
      <c r="I721" s="30"/>
      <c r="J721" s="30"/>
      <c r="K721" s="155"/>
      <c r="L721" s="155"/>
      <c r="M721" s="155"/>
      <c r="AC721" s="188"/>
    </row>
    <row r="722" customHeight="1" spans="5:29">
      <c r="E722" s="30"/>
      <c r="F722" s="30"/>
      <c r="G722" s="30"/>
      <c r="H722" s="30"/>
      <c r="I722" s="30"/>
      <c r="J722" s="30"/>
      <c r="K722" s="155"/>
      <c r="L722" s="155"/>
      <c r="M722" s="155"/>
      <c r="AC722" s="188"/>
    </row>
    <row r="723" customHeight="1" spans="5:29">
      <c r="E723" s="30"/>
      <c r="F723" s="30"/>
      <c r="G723" s="30"/>
      <c r="H723" s="30"/>
      <c r="I723" s="30"/>
      <c r="J723" s="30"/>
      <c r="K723" s="155"/>
      <c r="L723" s="155"/>
      <c r="M723" s="155"/>
      <c r="AC723" s="188"/>
    </row>
    <row r="724" customHeight="1" spans="5:29">
      <c r="E724" s="30"/>
      <c r="F724" s="30"/>
      <c r="G724" s="30"/>
      <c r="H724" s="30"/>
      <c r="I724" s="30"/>
      <c r="J724" s="30"/>
      <c r="K724" s="155"/>
      <c r="L724" s="155"/>
      <c r="M724" s="155"/>
      <c r="AC724" s="188"/>
    </row>
    <row r="725" customHeight="1" spans="5:29">
      <c r="E725" s="30"/>
      <c r="F725" s="30"/>
      <c r="G725" s="30"/>
      <c r="H725" s="30"/>
      <c r="I725" s="30"/>
      <c r="J725" s="30"/>
      <c r="K725" s="155"/>
      <c r="L725" s="155"/>
      <c r="M725" s="155"/>
      <c r="AC725" s="188"/>
    </row>
    <row r="726" customHeight="1" spans="5:29">
      <c r="E726" s="30"/>
      <c r="F726" s="30"/>
      <c r="G726" s="30"/>
      <c r="H726" s="30"/>
      <c r="I726" s="30"/>
      <c r="J726" s="30"/>
      <c r="K726" s="155"/>
      <c r="L726" s="155"/>
      <c r="M726" s="155"/>
      <c r="AC726" s="188"/>
    </row>
    <row r="727" customHeight="1" spans="5:29">
      <c r="E727" s="30"/>
      <c r="F727" s="30"/>
      <c r="G727" s="30"/>
      <c r="H727" s="30"/>
      <c r="I727" s="30"/>
      <c r="J727" s="30"/>
      <c r="K727" s="155"/>
      <c r="L727" s="155"/>
      <c r="M727" s="155"/>
      <c r="AC727" s="188"/>
    </row>
    <row r="728" customHeight="1" spans="5:29">
      <c r="E728" s="30"/>
      <c r="F728" s="30"/>
      <c r="G728" s="30"/>
      <c r="H728" s="30"/>
      <c r="I728" s="30"/>
      <c r="J728" s="30"/>
      <c r="K728" s="155"/>
      <c r="L728" s="155"/>
      <c r="M728" s="155"/>
      <c r="AC728" s="188"/>
    </row>
    <row r="729" customHeight="1" spans="5:29">
      <c r="E729" s="30"/>
      <c r="F729" s="30"/>
      <c r="G729" s="30"/>
      <c r="H729" s="30"/>
      <c r="I729" s="30"/>
      <c r="J729" s="30"/>
      <c r="K729" s="155"/>
      <c r="L729" s="155"/>
      <c r="M729" s="155"/>
      <c r="AC729" s="188"/>
    </row>
    <row r="730" customHeight="1" spans="5:29">
      <c r="E730" s="30"/>
      <c r="F730" s="30"/>
      <c r="G730" s="30"/>
      <c r="H730" s="30"/>
      <c r="I730" s="30"/>
      <c r="J730" s="30"/>
      <c r="K730" s="155"/>
      <c r="L730" s="155"/>
      <c r="M730" s="155"/>
      <c r="AC730" s="188"/>
    </row>
    <row r="731" customHeight="1" spans="5:29">
      <c r="E731" s="30"/>
      <c r="F731" s="30"/>
      <c r="G731" s="30"/>
      <c r="H731" s="30"/>
      <c r="I731" s="30"/>
      <c r="J731" s="30"/>
      <c r="K731" s="155"/>
      <c r="L731" s="155"/>
      <c r="M731" s="155"/>
      <c r="AC731" s="188"/>
    </row>
    <row r="732" customHeight="1" spans="5:29">
      <c r="E732" s="30"/>
      <c r="F732" s="30"/>
      <c r="G732" s="30"/>
      <c r="H732" s="30"/>
      <c r="I732" s="30"/>
      <c r="J732" s="30"/>
      <c r="K732" s="155"/>
      <c r="L732" s="155"/>
      <c r="M732" s="155"/>
      <c r="AC732" s="188"/>
    </row>
    <row r="733" customHeight="1" spans="5:29">
      <c r="E733" s="30"/>
      <c r="F733" s="30"/>
      <c r="G733" s="30"/>
      <c r="H733" s="30"/>
      <c r="I733" s="30"/>
      <c r="J733" s="30"/>
      <c r="K733" s="155"/>
      <c r="L733" s="155"/>
      <c r="M733" s="155"/>
      <c r="AC733" s="188"/>
    </row>
    <row r="734" customHeight="1" spans="5:29">
      <c r="E734" s="30"/>
      <c r="F734" s="30"/>
      <c r="G734" s="30"/>
      <c r="H734" s="30"/>
      <c r="I734" s="30"/>
      <c r="J734" s="30"/>
      <c r="K734" s="155"/>
      <c r="L734" s="155"/>
      <c r="M734" s="155"/>
      <c r="AC734" s="188"/>
    </row>
    <row r="735" customHeight="1" spans="5:29">
      <c r="E735" s="30"/>
      <c r="F735" s="30"/>
      <c r="G735" s="30"/>
      <c r="H735" s="30"/>
      <c r="I735" s="30"/>
      <c r="J735" s="30"/>
      <c r="K735" s="155"/>
      <c r="L735" s="155"/>
      <c r="M735" s="155"/>
      <c r="AC735" s="188"/>
    </row>
    <row r="736" customHeight="1" spans="5:29">
      <c r="E736" s="30"/>
      <c r="F736" s="30"/>
      <c r="G736" s="30"/>
      <c r="H736" s="30"/>
      <c r="I736" s="30"/>
      <c r="J736" s="30"/>
      <c r="K736" s="155"/>
      <c r="L736" s="155"/>
      <c r="M736" s="155"/>
      <c r="AC736" s="188"/>
    </row>
    <row r="737" customHeight="1" spans="5:29">
      <c r="E737" s="30"/>
      <c r="F737" s="30"/>
      <c r="G737" s="30"/>
      <c r="H737" s="30"/>
      <c r="I737" s="30"/>
      <c r="J737" s="30"/>
      <c r="K737" s="155"/>
      <c r="L737" s="155"/>
      <c r="M737" s="155"/>
      <c r="AC737" s="188"/>
    </row>
    <row r="738" customHeight="1" spans="5:29">
      <c r="E738" s="30"/>
      <c r="F738" s="30"/>
      <c r="G738" s="30"/>
      <c r="H738" s="30"/>
      <c r="I738" s="30"/>
      <c r="J738" s="30"/>
      <c r="K738" s="155"/>
      <c r="L738" s="155"/>
      <c r="M738" s="155"/>
      <c r="AC738" s="188"/>
    </row>
    <row r="739" customHeight="1" spans="5:29">
      <c r="E739" s="30"/>
      <c r="F739" s="30"/>
      <c r="G739" s="30"/>
      <c r="H739" s="30"/>
      <c r="I739" s="30"/>
      <c r="J739" s="30"/>
      <c r="K739" s="155"/>
      <c r="L739" s="155"/>
      <c r="M739" s="155"/>
      <c r="AC739" s="188"/>
    </row>
    <row r="740" customHeight="1" spans="5:29">
      <c r="E740" s="30"/>
      <c r="F740" s="30"/>
      <c r="G740" s="30"/>
      <c r="H740" s="30"/>
      <c r="I740" s="30"/>
      <c r="J740" s="30"/>
      <c r="K740" s="155"/>
      <c r="L740" s="155"/>
      <c r="M740" s="155"/>
      <c r="AC740" s="188"/>
    </row>
    <row r="741" customHeight="1" spans="5:29">
      <c r="E741" s="30"/>
      <c r="F741" s="30"/>
      <c r="G741" s="30"/>
      <c r="H741" s="30"/>
      <c r="I741" s="30"/>
      <c r="J741" s="30"/>
      <c r="K741" s="155"/>
      <c r="L741" s="155"/>
      <c r="M741" s="155"/>
      <c r="AC741" s="188"/>
    </row>
    <row r="742" customHeight="1" spans="5:29">
      <c r="E742" s="30"/>
      <c r="F742" s="30"/>
      <c r="G742" s="30"/>
      <c r="H742" s="30"/>
      <c r="I742" s="30"/>
      <c r="J742" s="30"/>
      <c r="K742" s="155"/>
      <c r="L742" s="155"/>
      <c r="M742" s="155"/>
      <c r="AC742" s="188"/>
    </row>
    <row r="743" customHeight="1" spans="5:29">
      <c r="E743" s="30"/>
      <c r="F743" s="30"/>
      <c r="G743" s="30"/>
      <c r="H743" s="30"/>
      <c r="I743" s="30"/>
      <c r="J743" s="30"/>
      <c r="K743" s="155"/>
      <c r="L743" s="155"/>
      <c r="M743" s="155"/>
      <c r="AC743" s="188"/>
    </row>
    <row r="744" customHeight="1" spans="5:29">
      <c r="E744" s="30"/>
      <c r="F744" s="30"/>
      <c r="G744" s="30"/>
      <c r="H744" s="30"/>
      <c r="I744" s="30"/>
      <c r="J744" s="30"/>
      <c r="K744" s="155"/>
      <c r="L744" s="155"/>
      <c r="M744" s="155"/>
      <c r="AC744" s="188"/>
    </row>
    <row r="745" customHeight="1" spans="5:29">
      <c r="E745" s="30"/>
      <c r="F745" s="30"/>
      <c r="G745" s="30"/>
      <c r="H745" s="30"/>
      <c r="I745" s="30"/>
      <c r="J745" s="30"/>
      <c r="K745" s="155"/>
      <c r="L745" s="155"/>
      <c r="M745" s="155"/>
      <c r="AC745" s="188"/>
    </row>
    <row r="746" customHeight="1" spans="5:29">
      <c r="E746" s="30"/>
      <c r="F746" s="30"/>
      <c r="G746" s="30"/>
      <c r="H746" s="30"/>
      <c r="I746" s="30"/>
      <c r="J746" s="30"/>
      <c r="K746" s="155"/>
      <c r="L746" s="155"/>
      <c r="M746" s="155"/>
      <c r="AC746" s="188"/>
    </row>
    <row r="747" customHeight="1" spans="5:29">
      <c r="E747" s="30"/>
      <c r="F747" s="30"/>
      <c r="G747" s="30"/>
      <c r="H747" s="30"/>
      <c r="I747" s="30"/>
      <c r="J747" s="30"/>
      <c r="K747" s="155"/>
      <c r="L747" s="155"/>
      <c r="M747" s="155"/>
      <c r="AC747" s="188"/>
    </row>
    <row r="748" customHeight="1" spans="5:29">
      <c r="E748" s="30"/>
      <c r="F748" s="30"/>
      <c r="G748" s="30"/>
      <c r="H748" s="30"/>
      <c r="I748" s="30"/>
      <c r="J748" s="30"/>
      <c r="K748" s="155"/>
      <c r="L748" s="155"/>
      <c r="M748" s="155"/>
      <c r="AC748" s="188"/>
    </row>
    <row r="749" customHeight="1" spans="5:29">
      <c r="E749" s="30"/>
      <c r="F749" s="30"/>
      <c r="G749" s="30"/>
      <c r="H749" s="30"/>
      <c r="I749" s="30"/>
      <c r="J749" s="30"/>
      <c r="K749" s="155"/>
      <c r="L749" s="155"/>
      <c r="M749" s="155"/>
      <c r="AC749" s="188"/>
    </row>
    <row r="750" customHeight="1" spans="5:29">
      <c r="E750" s="30"/>
      <c r="F750" s="30"/>
      <c r="G750" s="30"/>
      <c r="H750" s="30"/>
      <c r="I750" s="30"/>
      <c r="J750" s="30"/>
      <c r="K750" s="155"/>
      <c r="L750" s="155"/>
      <c r="M750" s="155"/>
      <c r="AC750" s="188"/>
    </row>
    <row r="751" customHeight="1" spans="5:29">
      <c r="E751" s="30"/>
      <c r="F751" s="30"/>
      <c r="G751" s="30"/>
      <c r="H751" s="30"/>
      <c r="I751" s="30"/>
      <c r="J751" s="30"/>
      <c r="K751" s="155"/>
      <c r="L751" s="155"/>
      <c r="M751" s="155"/>
      <c r="AC751" s="188"/>
    </row>
    <row r="752" customHeight="1" spans="5:29">
      <c r="E752" s="30"/>
      <c r="F752" s="30"/>
      <c r="G752" s="30"/>
      <c r="H752" s="30"/>
      <c r="I752" s="30"/>
      <c r="J752" s="30"/>
      <c r="K752" s="155"/>
      <c r="L752" s="155"/>
      <c r="M752" s="155"/>
      <c r="AC752" s="188"/>
    </row>
    <row r="753" customHeight="1" spans="5:29">
      <c r="E753" s="30"/>
      <c r="F753" s="30"/>
      <c r="G753" s="30"/>
      <c r="H753" s="30"/>
      <c r="I753" s="30"/>
      <c r="J753" s="30"/>
      <c r="K753" s="155"/>
      <c r="L753" s="155"/>
      <c r="M753" s="155"/>
      <c r="AC753" s="188"/>
    </row>
    <row r="754" customHeight="1" spans="5:29">
      <c r="E754" s="30"/>
      <c r="F754" s="30"/>
      <c r="G754" s="30"/>
      <c r="H754" s="30"/>
      <c r="I754" s="30"/>
      <c r="J754" s="30"/>
      <c r="K754" s="155"/>
      <c r="L754" s="155"/>
      <c r="M754" s="155"/>
      <c r="AC754" s="188"/>
    </row>
    <row r="755" customHeight="1" spans="5:29">
      <c r="E755" s="30"/>
      <c r="F755" s="30"/>
      <c r="G755" s="30"/>
      <c r="H755" s="30"/>
      <c r="I755" s="30"/>
      <c r="J755" s="30"/>
      <c r="K755" s="155"/>
      <c r="L755" s="155"/>
      <c r="M755" s="155"/>
      <c r="AC755" s="188"/>
    </row>
    <row r="756" customHeight="1" spans="5:29">
      <c r="E756" s="30"/>
      <c r="F756" s="30"/>
      <c r="G756" s="30"/>
      <c r="H756" s="30"/>
      <c r="I756" s="30"/>
      <c r="J756" s="30"/>
      <c r="K756" s="155"/>
      <c r="L756" s="155"/>
      <c r="M756" s="155"/>
      <c r="AC756" s="188"/>
    </row>
    <row r="757" customHeight="1" spans="5:29">
      <c r="E757" s="30"/>
      <c r="F757" s="30"/>
      <c r="G757" s="30"/>
      <c r="H757" s="30"/>
      <c r="I757" s="30"/>
      <c r="J757" s="30"/>
      <c r="K757" s="155"/>
      <c r="L757" s="155"/>
      <c r="M757" s="155"/>
      <c r="AC757" s="188"/>
    </row>
    <row r="758" customHeight="1" spans="5:29">
      <c r="E758" s="30"/>
      <c r="F758" s="30"/>
      <c r="G758" s="30"/>
      <c r="H758" s="30"/>
      <c r="I758" s="30"/>
      <c r="J758" s="30"/>
      <c r="K758" s="155"/>
      <c r="L758" s="155"/>
      <c r="M758" s="155"/>
      <c r="AC758" s="188"/>
    </row>
    <row r="759" customHeight="1" spans="5:29">
      <c r="E759" s="30"/>
      <c r="F759" s="30"/>
      <c r="G759" s="30"/>
      <c r="H759" s="30"/>
      <c r="I759" s="30"/>
      <c r="J759" s="30"/>
      <c r="K759" s="155"/>
      <c r="L759" s="155"/>
      <c r="M759" s="155"/>
      <c r="AC759" s="188"/>
    </row>
    <row r="760" customHeight="1" spans="5:29">
      <c r="E760" s="30"/>
      <c r="F760" s="30"/>
      <c r="G760" s="30"/>
      <c r="H760" s="30"/>
      <c r="I760" s="30"/>
      <c r="J760" s="30"/>
      <c r="K760" s="155"/>
      <c r="L760" s="155"/>
      <c r="M760" s="155"/>
      <c r="AC760" s="188"/>
    </row>
    <row r="761" customHeight="1" spans="5:29">
      <c r="E761" s="30"/>
      <c r="F761" s="30"/>
      <c r="G761" s="30"/>
      <c r="H761" s="30"/>
      <c r="I761" s="30"/>
      <c r="J761" s="30"/>
      <c r="K761" s="155"/>
      <c r="L761" s="155"/>
      <c r="M761" s="155"/>
      <c r="AC761" s="188"/>
    </row>
    <row r="762" customHeight="1" spans="5:29">
      <c r="E762" s="30"/>
      <c r="F762" s="30"/>
      <c r="G762" s="30"/>
      <c r="H762" s="30"/>
      <c r="I762" s="30"/>
      <c r="J762" s="30"/>
      <c r="K762" s="155"/>
      <c r="L762" s="155"/>
      <c r="M762" s="155"/>
      <c r="AC762" s="188"/>
    </row>
    <row r="763" customHeight="1" spans="5:29">
      <c r="E763" s="30"/>
      <c r="F763" s="30"/>
      <c r="G763" s="30"/>
      <c r="H763" s="30"/>
      <c r="I763" s="30"/>
      <c r="J763" s="30"/>
      <c r="K763" s="155"/>
      <c r="L763" s="155"/>
      <c r="M763" s="155"/>
      <c r="AC763" s="188"/>
    </row>
    <row r="764" customHeight="1" spans="5:29">
      <c r="E764" s="30"/>
      <c r="F764" s="30"/>
      <c r="G764" s="30"/>
      <c r="H764" s="30"/>
      <c r="I764" s="30"/>
      <c r="J764" s="30"/>
      <c r="K764" s="155"/>
      <c r="L764" s="155"/>
      <c r="M764" s="155"/>
      <c r="AC764" s="188"/>
    </row>
    <row r="765" customHeight="1" spans="5:29">
      <c r="E765" s="30"/>
      <c r="F765" s="30"/>
      <c r="G765" s="30"/>
      <c r="H765" s="30"/>
      <c r="I765" s="30"/>
      <c r="J765" s="30"/>
      <c r="K765" s="155"/>
      <c r="L765" s="155"/>
      <c r="M765" s="155"/>
      <c r="AC765" s="188"/>
    </row>
    <row r="766" customHeight="1" spans="5:29">
      <c r="E766" s="30"/>
      <c r="F766" s="30"/>
      <c r="G766" s="30"/>
      <c r="H766" s="30"/>
      <c r="I766" s="30"/>
      <c r="J766" s="30"/>
      <c r="K766" s="155"/>
      <c r="L766" s="155"/>
      <c r="M766" s="155"/>
      <c r="AC766" s="188"/>
    </row>
    <row r="767" customHeight="1" spans="5:29">
      <c r="E767" s="30"/>
      <c r="F767" s="30"/>
      <c r="G767" s="30"/>
      <c r="H767" s="30"/>
      <c r="I767" s="30"/>
      <c r="J767" s="30"/>
      <c r="K767" s="155"/>
      <c r="L767" s="155"/>
      <c r="M767" s="155"/>
      <c r="AC767" s="188"/>
    </row>
    <row r="768" customHeight="1" spans="5:29">
      <c r="E768" s="30"/>
      <c r="F768" s="30"/>
      <c r="G768" s="30"/>
      <c r="H768" s="30"/>
      <c r="I768" s="30"/>
      <c r="J768" s="30"/>
      <c r="K768" s="155"/>
      <c r="L768" s="155"/>
      <c r="M768" s="155"/>
      <c r="AC768" s="188"/>
    </row>
    <row r="769" customHeight="1" spans="5:29">
      <c r="E769" s="30"/>
      <c r="F769" s="30"/>
      <c r="G769" s="30"/>
      <c r="H769" s="30"/>
      <c r="I769" s="30"/>
      <c r="J769" s="30"/>
      <c r="K769" s="155"/>
      <c r="L769" s="155"/>
      <c r="M769" s="155"/>
      <c r="AC769" s="188"/>
    </row>
    <row r="770" customHeight="1" spans="5:29">
      <c r="E770" s="30"/>
      <c r="F770" s="30"/>
      <c r="G770" s="30"/>
      <c r="H770" s="30"/>
      <c r="I770" s="30"/>
      <c r="J770" s="30"/>
      <c r="K770" s="155"/>
      <c r="L770" s="155"/>
      <c r="M770" s="155"/>
      <c r="AC770" s="188"/>
    </row>
    <row r="771" customHeight="1" spans="5:29">
      <c r="E771" s="30"/>
      <c r="F771" s="30"/>
      <c r="G771" s="30"/>
      <c r="H771" s="30"/>
      <c r="I771" s="30"/>
      <c r="J771" s="30"/>
      <c r="K771" s="155"/>
      <c r="L771" s="155"/>
      <c r="M771" s="155"/>
      <c r="AC771" s="188"/>
    </row>
    <row r="772" customHeight="1" spans="5:29">
      <c r="E772" s="30"/>
      <c r="F772" s="30"/>
      <c r="G772" s="30"/>
      <c r="H772" s="30"/>
      <c r="I772" s="30"/>
      <c r="J772" s="30"/>
      <c r="K772" s="155"/>
      <c r="L772" s="155"/>
      <c r="M772" s="155"/>
      <c r="AC772" s="188"/>
    </row>
    <row r="773" customHeight="1" spans="5:29">
      <c r="E773" s="30"/>
      <c r="F773" s="30"/>
      <c r="G773" s="30"/>
      <c r="H773" s="30"/>
      <c r="I773" s="30"/>
      <c r="J773" s="30"/>
      <c r="K773" s="155"/>
      <c r="L773" s="155"/>
      <c r="M773" s="155"/>
      <c r="AC773" s="188"/>
    </row>
    <row r="774" customHeight="1" spans="5:29">
      <c r="E774" s="30"/>
      <c r="F774" s="30"/>
      <c r="G774" s="30"/>
      <c r="H774" s="30"/>
      <c r="I774" s="30"/>
      <c r="J774" s="30"/>
      <c r="K774" s="155"/>
      <c r="L774" s="155"/>
      <c r="M774" s="155"/>
      <c r="AC774" s="188"/>
    </row>
    <row r="775" customHeight="1" spans="5:29">
      <c r="E775" s="30"/>
      <c r="F775" s="30"/>
      <c r="G775" s="30"/>
      <c r="H775" s="30"/>
      <c r="I775" s="30"/>
      <c r="J775" s="30"/>
      <c r="K775" s="155"/>
      <c r="L775" s="155"/>
      <c r="M775" s="155"/>
      <c r="AC775" s="188"/>
    </row>
    <row r="776" customHeight="1" spans="5:29">
      <c r="E776" s="30"/>
      <c r="F776" s="30"/>
      <c r="G776" s="30"/>
      <c r="H776" s="30"/>
      <c r="I776" s="30"/>
      <c r="J776" s="30"/>
      <c r="K776" s="155"/>
      <c r="L776" s="155"/>
      <c r="M776" s="155"/>
      <c r="AC776" s="188"/>
    </row>
    <row r="777" customHeight="1" spans="5:29">
      <c r="E777" s="30"/>
      <c r="F777" s="30"/>
      <c r="G777" s="30"/>
      <c r="H777" s="30"/>
      <c r="I777" s="30"/>
      <c r="J777" s="30"/>
      <c r="K777" s="155"/>
      <c r="L777" s="155"/>
      <c r="M777" s="155"/>
      <c r="AC777" s="188"/>
    </row>
    <row r="778" customHeight="1" spans="5:29">
      <c r="E778" s="30"/>
      <c r="F778" s="30"/>
      <c r="G778" s="30"/>
      <c r="H778" s="30"/>
      <c r="I778" s="30"/>
      <c r="J778" s="30"/>
      <c r="K778" s="155"/>
      <c r="L778" s="155"/>
      <c r="M778" s="155"/>
      <c r="AC778" s="188"/>
    </row>
    <row r="779" customHeight="1" spans="5:29">
      <c r="E779" s="30"/>
      <c r="F779" s="30"/>
      <c r="G779" s="30"/>
      <c r="H779" s="30"/>
      <c r="I779" s="30"/>
      <c r="J779" s="30"/>
      <c r="K779" s="155"/>
      <c r="L779" s="155"/>
      <c r="M779" s="155"/>
      <c r="AC779" s="188"/>
    </row>
    <row r="780" customHeight="1" spans="5:29">
      <c r="E780" s="30"/>
      <c r="F780" s="30"/>
      <c r="G780" s="30"/>
      <c r="H780" s="30"/>
      <c r="I780" s="30"/>
      <c r="J780" s="30"/>
      <c r="K780" s="155"/>
      <c r="L780" s="155"/>
      <c r="M780" s="155"/>
      <c r="AC780" s="188"/>
    </row>
    <row r="781" customHeight="1" spans="5:29">
      <c r="E781" s="30"/>
      <c r="F781" s="30"/>
      <c r="G781" s="30"/>
      <c r="H781" s="30"/>
      <c r="I781" s="30"/>
      <c r="J781" s="30"/>
      <c r="K781" s="155"/>
      <c r="L781" s="155"/>
      <c r="M781" s="155"/>
      <c r="AC781" s="188"/>
    </row>
    <row r="782" customHeight="1" spans="5:29">
      <c r="E782" s="30"/>
      <c r="F782" s="30"/>
      <c r="G782" s="30"/>
      <c r="H782" s="30"/>
      <c r="I782" s="30"/>
      <c r="J782" s="30"/>
      <c r="K782" s="155"/>
      <c r="L782" s="155"/>
      <c r="M782" s="155"/>
      <c r="AC782" s="188"/>
    </row>
    <row r="783" customHeight="1" spans="5:29">
      <c r="E783" s="30"/>
      <c r="F783" s="30"/>
      <c r="G783" s="30"/>
      <c r="H783" s="30"/>
      <c r="I783" s="30"/>
      <c r="J783" s="30"/>
      <c r="K783" s="155"/>
      <c r="L783" s="155"/>
      <c r="M783" s="155"/>
      <c r="AC783" s="188"/>
    </row>
    <row r="784" customHeight="1" spans="5:29">
      <c r="E784" s="30"/>
      <c r="F784" s="30"/>
      <c r="G784" s="30"/>
      <c r="H784" s="30"/>
      <c r="I784" s="30"/>
      <c r="J784" s="30"/>
      <c r="K784" s="155"/>
      <c r="L784" s="155"/>
      <c r="M784" s="155"/>
      <c r="AC784" s="188"/>
    </row>
    <row r="785" customHeight="1" spans="5:29">
      <c r="E785" s="30"/>
      <c r="F785" s="30"/>
      <c r="G785" s="30"/>
      <c r="H785" s="30"/>
      <c r="I785" s="30"/>
      <c r="J785" s="30"/>
      <c r="K785" s="155"/>
      <c r="L785" s="155"/>
      <c r="M785" s="155"/>
      <c r="AC785" s="188"/>
    </row>
    <row r="786" customHeight="1" spans="5:29">
      <c r="E786" s="30"/>
      <c r="F786" s="30"/>
      <c r="G786" s="30"/>
      <c r="H786" s="30"/>
      <c r="I786" s="30"/>
      <c r="J786" s="30"/>
      <c r="K786" s="155"/>
      <c r="L786" s="155"/>
      <c r="M786" s="155"/>
      <c r="AC786" s="188"/>
    </row>
    <row r="787" customHeight="1" spans="5:29">
      <c r="E787" s="30"/>
      <c r="F787" s="30"/>
      <c r="G787" s="30"/>
      <c r="H787" s="30"/>
      <c r="I787" s="30"/>
      <c r="J787" s="30"/>
      <c r="K787" s="155"/>
      <c r="L787" s="155"/>
      <c r="M787" s="155"/>
      <c r="AC787" s="188"/>
    </row>
    <row r="788" customHeight="1" spans="5:29">
      <c r="E788" s="30"/>
      <c r="F788" s="30"/>
      <c r="G788" s="30"/>
      <c r="H788" s="30"/>
      <c r="I788" s="30"/>
      <c r="J788" s="30"/>
      <c r="K788" s="155"/>
      <c r="L788" s="155"/>
      <c r="M788" s="155"/>
      <c r="AC788" s="188"/>
    </row>
    <row r="789" customHeight="1" spans="5:29">
      <c r="E789" s="30"/>
      <c r="F789" s="30"/>
      <c r="G789" s="30"/>
      <c r="H789" s="30"/>
      <c r="I789" s="30"/>
      <c r="J789" s="30"/>
      <c r="K789" s="155"/>
      <c r="L789" s="155"/>
      <c r="M789" s="155"/>
      <c r="AC789" s="188"/>
    </row>
    <row r="790" customHeight="1" spans="5:29">
      <c r="E790" s="30"/>
      <c r="F790" s="30"/>
      <c r="G790" s="30"/>
      <c r="H790" s="30"/>
      <c r="I790" s="30"/>
      <c r="J790" s="30"/>
      <c r="K790" s="155"/>
      <c r="L790" s="155"/>
      <c r="M790" s="155"/>
      <c r="AC790" s="188"/>
    </row>
    <row r="791" customHeight="1" spans="5:29">
      <c r="E791" s="30"/>
      <c r="F791" s="30"/>
      <c r="G791" s="30"/>
      <c r="H791" s="30"/>
      <c r="I791" s="30"/>
      <c r="J791" s="30"/>
      <c r="K791" s="155"/>
      <c r="L791" s="155"/>
      <c r="M791" s="155"/>
      <c r="AC791" s="188"/>
    </row>
    <row r="792" customHeight="1" spans="5:29">
      <c r="E792" s="30"/>
      <c r="F792" s="30"/>
      <c r="G792" s="30"/>
      <c r="H792" s="30"/>
      <c r="I792" s="30"/>
      <c r="J792" s="30"/>
      <c r="K792" s="155"/>
      <c r="L792" s="155"/>
      <c r="M792" s="155"/>
      <c r="AC792" s="188"/>
    </row>
    <row r="793" customHeight="1" spans="5:29">
      <c r="E793" s="30"/>
      <c r="F793" s="30"/>
      <c r="G793" s="30"/>
      <c r="H793" s="30"/>
      <c r="I793" s="30"/>
      <c r="J793" s="30"/>
      <c r="K793" s="155"/>
      <c r="L793" s="155"/>
      <c r="M793" s="155"/>
      <c r="AC793" s="188"/>
    </row>
    <row r="794" customHeight="1" spans="5:29">
      <c r="E794" s="30"/>
      <c r="F794" s="30"/>
      <c r="G794" s="30"/>
      <c r="H794" s="30"/>
      <c r="I794" s="30"/>
      <c r="J794" s="30"/>
      <c r="K794" s="155"/>
      <c r="L794" s="155"/>
      <c r="M794" s="155"/>
      <c r="AC794" s="188"/>
    </row>
    <row r="795" customHeight="1" spans="5:29">
      <c r="E795" s="30"/>
      <c r="F795" s="30"/>
      <c r="G795" s="30"/>
      <c r="H795" s="30"/>
      <c r="I795" s="30"/>
      <c r="J795" s="30"/>
      <c r="K795" s="155"/>
      <c r="L795" s="155"/>
      <c r="M795" s="155"/>
      <c r="AC795" s="188"/>
    </row>
    <row r="796" customHeight="1" spans="5:29">
      <c r="E796" s="30"/>
      <c r="F796" s="30"/>
      <c r="G796" s="30"/>
      <c r="H796" s="30"/>
      <c r="I796" s="30"/>
      <c r="J796" s="30"/>
      <c r="K796" s="155"/>
      <c r="L796" s="155"/>
      <c r="M796" s="155"/>
      <c r="AC796" s="188"/>
    </row>
    <row r="797" customHeight="1" spans="5:29">
      <c r="E797" s="30"/>
      <c r="F797" s="30"/>
      <c r="G797" s="30"/>
      <c r="H797" s="30"/>
      <c r="I797" s="30"/>
      <c r="J797" s="30"/>
      <c r="K797" s="155"/>
      <c r="L797" s="155"/>
      <c r="M797" s="155"/>
      <c r="AC797" s="188"/>
    </row>
    <row r="798" customHeight="1" spans="5:29">
      <c r="E798" s="30"/>
      <c r="F798" s="30"/>
      <c r="G798" s="30"/>
      <c r="H798" s="30"/>
      <c r="I798" s="30"/>
      <c r="J798" s="30"/>
      <c r="K798" s="155"/>
      <c r="L798" s="155"/>
      <c r="M798" s="155"/>
      <c r="AC798" s="188"/>
    </row>
    <row r="799" customHeight="1" spans="5:29">
      <c r="E799" s="30"/>
      <c r="F799" s="30"/>
      <c r="G799" s="30"/>
      <c r="H799" s="30"/>
      <c r="I799" s="30"/>
      <c r="J799" s="30"/>
      <c r="K799" s="155"/>
      <c r="L799" s="155"/>
      <c r="M799" s="155"/>
      <c r="AC799" s="188"/>
    </row>
    <row r="800" customHeight="1" spans="5:29">
      <c r="E800" s="30"/>
      <c r="F800" s="30"/>
      <c r="G800" s="30"/>
      <c r="H800" s="30"/>
      <c r="I800" s="30"/>
      <c r="J800" s="30"/>
      <c r="K800" s="155"/>
      <c r="L800" s="155"/>
      <c r="M800" s="155"/>
      <c r="AC800" s="188"/>
    </row>
    <row r="801" customHeight="1" spans="5:29">
      <c r="E801" s="30"/>
      <c r="F801" s="30"/>
      <c r="G801" s="30"/>
      <c r="H801" s="30"/>
      <c r="I801" s="30"/>
      <c r="J801" s="30"/>
      <c r="K801" s="155"/>
      <c r="L801" s="155"/>
      <c r="M801" s="155"/>
      <c r="AC801" s="188"/>
    </row>
    <row r="802" customHeight="1" spans="5:29">
      <c r="E802" s="30"/>
      <c r="F802" s="30"/>
      <c r="G802" s="30"/>
      <c r="H802" s="30"/>
      <c r="I802" s="30"/>
      <c r="J802" s="30"/>
      <c r="K802" s="155"/>
      <c r="L802" s="155"/>
      <c r="M802" s="155"/>
      <c r="AC802" s="188"/>
    </row>
    <row r="803" customHeight="1" spans="5:29">
      <c r="E803" s="30"/>
      <c r="F803" s="30"/>
      <c r="G803" s="30"/>
      <c r="H803" s="30"/>
      <c r="I803" s="30"/>
      <c r="J803" s="30"/>
      <c r="K803" s="155"/>
      <c r="L803" s="155"/>
      <c r="M803" s="155"/>
      <c r="AC803" s="188"/>
    </row>
    <row r="804" customHeight="1" spans="5:29">
      <c r="E804" s="30"/>
      <c r="F804" s="30"/>
      <c r="G804" s="30"/>
      <c r="H804" s="30"/>
      <c r="I804" s="30"/>
      <c r="J804" s="30"/>
      <c r="K804" s="155"/>
      <c r="L804" s="155"/>
      <c r="M804" s="155"/>
      <c r="AC804" s="188"/>
    </row>
    <row r="805" customHeight="1" spans="5:29">
      <c r="E805" s="30"/>
      <c r="F805" s="30"/>
      <c r="G805" s="30"/>
      <c r="H805" s="30"/>
      <c r="I805" s="30"/>
      <c r="J805" s="30"/>
      <c r="K805" s="155"/>
      <c r="L805" s="155"/>
      <c r="M805" s="155"/>
      <c r="AC805" s="188"/>
    </row>
    <row r="806" customHeight="1" spans="5:29">
      <c r="E806" s="30"/>
      <c r="F806" s="30"/>
      <c r="G806" s="30"/>
      <c r="H806" s="30"/>
      <c r="I806" s="30"/>
      <c r="J806" s="30"/>
      <c r="K806" s="155"/>
      <c r="L806" s="155"/>
      <c r="M806" s="155"/>
      <c r="AC806" s="188"/>
    </row>
    <row r="807" customHeight="1" spans="5:29">
      <c r="E807" s="30"/>
      <c r="F807" s="30"/>
      <c r="G807" s="30"/>
      <c r="H807" s="30"/>
      <c r="I807" s="30"/>
      <c r="J807" s="30"/>
      <c r="K807" s="155"/>
      <c r="L807" s="155"/>
      <c r="M807" s="155"/>
      <c r="AC807" s="188"/>
    </row>
    <row r="808" customHeight="1" spans="5:29">
      <c r="E808" s="30"/>
      <c r="F808" s="30"/>
      <c r="G808" s="30"/>
      <c r="H808" s="30"/>
      <c r="I808" s="30"/>
      <c r="J808" s="30"/>
      <c r="K808" s="155"/>
      <c r="L808" s="155"/>
      <c r="M808" s="155"/>
      <c r="AC808" s="188"/>
    </row>
    <row r="809" customHeight="1" spans="5:29">
      <c r="E809" s="30"/>
      <c r="F809" s="30"/>
      <c r="G809" s="30"/>
      <c r="H809" s="30"/>
      <c r="I809" s="30"/>
      <c r="J809" s="30"/>
      <c r="K809" s="155"/>
      <c r="L809" s="155"/>
      <c r="M809" s="155"/>
      <c r="AC809" s="188"/>
    </row>
    <row r="810" customHeight="1" spans="5:29">
      <c r="E810" s="30"/>
      <c r="F810" s="30"/>
      <c r="G810" s="30"/>
      <c r="H810" s="30"/>
      <c r="I810" s="30"/>
      <c r="J810" s="30"/>
      <c r="K810" s="155"/>
      <c r="L810" s="155"/>
      <c r="M810" s="155"/>
      <c r="AC810" s="188"/>
    </row>
    <row r="811" customHeight="1" spans="5:29">
      <c r="E811" s="30"/>
      <c r="F811" s="30"/>
      <c r="G811" s="30"/>
      <c r="H811" s="30"/>
      <c r="I811" s="30"/>
      <c r="J811" s="30"/>
      <c r="K811" s="155"/>
      <c r="L811" s="155"/>
      <c r="M811" s="155"/>
      <c r="AC811" s="188"/>
    </row>
    <row r="812" customHeight="1" spans="5:29">
      <c r="E812" s="30"/>
      <c r="F812" s="30"/>
      <c r="G812" s="30"/>
      <c r="H812" s="30"/>
      <c r="I812" s="30"/>
      <c r="J812" s="30"/>
      <c r="K812" s="155"/>
      <c r="L812" s="155"/>
      <c r="M812" s="155"/>
      <c r="AC812" s="188"/>
    </row>
    <row r="813" customHeight="1" spans="5:29">
      <c r="E813" s="30"/>
      <c r="F813" s="30"/>
      <c r="G813" s="30"/>
      <c r="H813" s="30"/>
      <c r="I813" s="30"/>
      <c r="J813" s="30"/>
      <c r="K813" s="155"/>
      <c r="L813" s="155"/>
      <c r="M813" s="155"/>
      <c r="AC813" s="188"/>
    </row>
    <row r="814" customHeight="1" spans="5:29">
      <c r="E814" s="30"/>
      <c r="F814" s="30"/>
      <c r="G814" s="30"/>
      <c r="H814" s="30"/>
      <c r="I814" s="30"/>
      <c r="J814" s="30"/>
      <c r="K814" s="155"/>
      <c r="L814" s="155"/>
      <c r="M814" s="155"/>
      <c r="AC814" s="188"/>
    </row>
    <row r="815" customHeight="1" spans="5:29">
      <c r="E815" s="30"/>
      <c r="F815" s="30"/>
      <c r="G815" s="30"/>
      <c r="H815" s="30"/>
      <c r="I815" s="30"/>
      <c r="J815" s="30"/>
      <c r="K815" s="155"/>
      <c r="L815" s="155"/>
      <c r="M815" s="155"/>
      <c r="AC815" s="188"/>
    </row>
    <row r="816" customHeight="1" spans="5:29">
      <c r="E816" s="30"/>
      <c r="F816" s="30"/>
      <c r="G816" s="30"/>
      <c r="H816" s="30"/>
      <c r="I816" s="30"/>
      <c r="J816" s="30"/>
      <c r="K816" s="155"/>
      <c r="L816" s="155"/>
      <c r="M816" s="155"/>
      <c r="AC816" s="188"/>
    </row>
    <row r="817" customHeight="1" spans="5:29">
      <c r="E817" s="30"/>
      <c r="F817" s="30"/>
      <c r="G817" s="30"/>
      <c r="H817" s="30"/>
      <c r="I817" s="30"/>
      <c r="J817" s="30"/>
      <c r="K817" s="155"/>
      <c r="L817" s="155"/>
      <c r="M817" s="155"/>
      <c r="AC817" s="188"/>
    </row>
    <row r="818" customHeight="1" spans="5:29">
      <c r="E818" s="30"/>
      <c r="F818" s="30"/>
      <c r="G818" s="30"/>
      <c r="H818" s="30"/>
      <c r="I818" s="30"/>
      <c r="J818" s="30"/>
      <c r="K818" s="155"/>
      <c r="L818" s="155"/>
      <c r="M818" s="155"/>
      <c r="AC818" s="188"/>
    </row>
    <row r="819" customHeight="1" spans="5:29">
      <c r="E819" s="30"/>
      <c r="F819" s="30"/>
      <c r="G819" s="30"/>
      <c r="H819" s="30"/>
      <c r="I819" s="30"/>
      <c r="J819" s="30"/>
      <c r="K819" s="155"/>
      <c r="L819" s="155"/>
      <c r="M819" s="155"/>
      <c r="AC819" s="188"/>
    </row>
    <row r="820" customHeight="1" spans="5:29">
      <c r="E820" s="30"/>
      <c r="F820" s="30"/>
      <c r="G820" s="30"/>
      <c r="H820" s="30"/>
      <c r="I820" s="30"/>
      <c r="J820" s="30"/>
      <c r="K820" s="155"/>
      <c r="L820" s="155"/>
      <c r="M820" s="155"/>
      <c r="AC820" s="188"/>
    </row>
    <row r="821" customHeight="1" spans="5:29">
      <c r="E821" s="30"/>
      <c r="F821" s="30"/>
      <c r="G821" s="30"/>
      <c r="H821" s="30"/>
      <c r="I821" s="30"/>
      <c r="J821" s="30"/>
      <c r="K821" s="155"/>
      <c r="L821" s="155"/>
      <c r="M821" s="155"/>
      <c r="AC821" s="188"/>
    </row>
    <row r="822" customHeight="1" spans="5:29">
      <c r="E822" s="30"/>
      <c r="F822" s="30"/>
      <c r="G822" s="30"/>
      <c r="H822" s="30"/>
      <c r="I822" s="30"/>
      <c r="J822" s="30"/>
      <c r="K822" s="155"/>
      <c r="L822" s="155"/>
      <c r="M822" s="155"/>
      <c r="AC822" s="188"/>
    </row>
    <row r="823" customHeight="1" spans="5:29">
      <c r="E823" s="30"/>
      <c r="F823" s="30"/>
      <c r="G823" s="30"/>
      <c r="H823" s="30"/>
      <c r="I823" s="30"/>
      <c r="J823" s="30"/>
      <c r="K823" s="155"/>
      <c r="L823" s="155"/>
      <c r="M823" s="155"/>
      <c r="AC823" s="188"/>
    </row>
    <row r="824" customHeight="1" spans="5:29">
      <c r="E824" s="30"/>
      <c r="F824" s="30"/>
      <c r="G824" s="30"/>
      <c r="H824" s="30"/>
      <c r="I824" s="30"/>
      <c r="J824" s="30"/>
      <c r="K824" s="155"/>
      <c r="L824" s="155"/>
      <c r="M824" s="155"/>
      <c r="AC824" s="188"/>
    </row>
    <row r="825" customHeight="1" spans="5:29">
      <c r="E825" s="30"/>
      <c r="F825" s="30"/>
      <c r="G825" s="30"/>
      <c r="H825" s="30"/>
      <c r="I825" s="30"/>
      <c r="J825" s="30"/>
      <c r="K825" s="155"/>
      <c r="L825" s="155"/>
      <c r="M825" s="155"/>
      <c r="AC825" s="188"/>
    </row>
    <row r="826" customHeight="1" spans="5:29">
      <c r="E826" s="30"/>
      <c r="F826" s="30"/>
      <c r="G826" s="30"/>
      <c r="H826" s="30"/>
      <c r="I826" s="30"/>
      <c r="J826" s="30"/>
      <c r="K826" s="155"/>
      <c r="L826" s="155"/>
      <c r="M826" s="155"/>
      <c r="AC826" s="188"/>
    </row>
    <row r="827" customHeight="1" spans="5:29">
      <c r="E827" s="30"/>
      <c r="F827" s="30"/>
      <c r="G827" s="30"/>
      <c r="H827" s="30"/>
      <c r="I827" s="30"/>
      <c r="J827" s="30"/>
      <c r="K827" s="155"/>
      <c r="L827" s="155"/>
      <c r="M827" s="155"/>
      <c r="AC827" s="188"/>
    </row>
    <row r="828" customHeight="1" spans="5:29">
      <c r="E828" s="30"/>
      <c r="F828" s="30"/>
      <c r="G828" s="30"/>
      <c r="H828" s="30"/>
      <c r="I828" s="30"/>
      <c r="J828" s="30"/>
      <c r="K828" s="155"/>
      <c r="L828" s="155"/>
      <c r="M828" s="155"/>
      <c r="AC828" s="188"/>
    </row>
    <row r="829" customHeight="1" spans="5:29">
      <c r="E829" s="30"/>
      <c r="F829" s="30"/>
      <c r="G829" s="30"/>
      <c r="H829" s="30"/>
      <c r="I829" s="30"/>
      <c r="J829" s="30"/>
      <c r="K829" s="155"/>
      <c r="L829" s="155"/>
      <c r="M829" s="155"/>
      <c r="AC829" s="188"/>
    </row>
    <row r="830" customHeight="1" spans="5:29">
      <c r="E830" s="30"/>
      <c r="F830" s="30"/>
      <c r="G830" s="30"/>
      <c r="H830" s="30"/>
      <c r="I830" s="30"/>
      <c r="J830" s="30"/>
      <c r="K830" s="155"/>
      <c r="L830" s="155"/>
      <c r="M830" s="155"/>
      <c r="AC830" s="188"/>
    </row>
    <row r="831" customHeight="1" spans="5:29">
      <c r="E831" s="30"/>
      <c r="F831" s="30"/>
      <c r="G831" s="30"/>
      <c r="H831" s="30"/>
      <c r="I831" s="30"/>
      <c r="J831" s="30"/>
      <c r="K831" s="155"/>
      <c r="L831" s="155"/>
      <c r="M831" s="155"/>
      <c r="AC831" s="188"/>
    </row>
    <row r="832" customHeight="1" spans="5:29">
      <c r="E832" s="30"/>
      <c r="F832" s="30"/>
      <c r="G832" s="30"/>
      <c r="H832" s="30"/>
      <c r="I832" s="30"/>
      <c r="J832" s="30"/>
      <c r="K832" s="155"/>
      <c r="L832" s="155"/>
      <c r="M832" s="155"/>
      <c r="AC832" s="188"/>
    </row>
    <row r="833" customHeight="1" spans="5:29">
      <c r="E833" s="30"/>
      <c r="F833" s="30"/>
      <c r="G833" s="30"/>
      <c r="H833" s="30"/>
      <c r="I833" s="30"/>
      <c r="J833" s="30"/>
      <c r="K833" s="155"/>
      <c r="L833" s="155"/>
      <c r="M833" s="155"/>
      <c r="AC833" s="188"/>
    </row>
    <row r="834" customHeight="1" spans="5:29">
      <c r="E834" s="30"/>
      <c r="F834" s="30"/>
      <c r="G834" s="30"/>
      <c r="H834" s="30"/>
      <c r="I834" s="30"/>
      <c r="J834" s="30"/>
      <c r="K834" s="155"/>
      <c r="L834" s="155"/>
      <c r="M834" s="155"/>
      <c r="AC834" s="188"/>
    </row>
    <row r="835" customHeight="1" spans="5:29">
      <c r="E835" s="30"/>
      <c r="F835" s="30"/>
      <c r="G835" s="30"/>
      <c r="H835" s="30"/>
      <c r="I835" s="30"/>
      <c r="J835" s="30"/>
      <c r="K835" s="155"/>
      <c r="L835" s="155"/>
      <c r="M835" s="155"/>
      <c r="AC835" s="188"/>
    </row>
    <row r="836" customHeight="1" spans="5:29">
      <c r="E836" s="30"/>
      <c r="F836" s="30"/>
      <c r="G836" s="30"/>
      <c r="H836" s="30"/>
      <c r="I836" s="30"/>
      <c r="J836" s="30"/>
      <c r="K836" s="155"/>
      <c r="L836" s="155"/>
      <c r="M836" s="155"/>
      <c r="AC836" s="188"/>
    </row>
    <row r="837" customHeight="1" spans="5:29">
      <c r="E837" s="30"/>
      <c r="F837" s="30"/>
      <c r="G837" s="30"/>
      <c r="H837" s="30"/>
      <c r="I837" s="30"/>
      <c r="J837" s="30"/>
      <c r="K837" s="155"/>
      <c r="L837" s="155"/>
      <c r="M837" s="155"/>
      <c r="AC837" s="188"/>
    </row>
    <row r="838" customHeight="1" spans="5:29">
      <c r="E838" s="30"/>
      <c r="F838" s="30"/>
      <c r="G838" s="30"/>
      <c r="H838" s="30"/>
      <c r="I838" s="30"/>
      <c r="J838" s="30"/>
      <c r="K838" s="155"/>
      <c r="L838" s="155"/>
      <c r="M838" s="155"/>
      <c r="AC838" s="188"/>
    </row>
    <row r="839" customHeight="1" spans="5:29">
      <c r="E839" s="30"/>
      <c r="F839" s="30"/>
      <c r="G839" s="30"/>
      <c r="H839" s="30"/>
      <c r="I839" s="30"/>
      <c r="J839" s="30"/>
      <c r="K839" s="155"/>
      <c r="L839" s="155"/>
      <c r="M839" s="155"/>
      <c r="AC839" s="188"/>
    </row>
    <row r="840" customHeight="1" spans="5:29">
      <c r="E840" s="30"/>
      <c r="F840" s="30"/>
      <c r="G840" s="30"/>
      <c r="H840" s="30"/>
      <c r="I840" s="30"/>
      <c r="J840" s="30"/>
      <c r="K840" s="155"/>
      <c r="L840" s="155"/>
      <c r="M840" s="155"/>
      <c r="AC840" s="188"/>
    </row>
    <row r="841" customHeight="1" spans="5:29">
      <c r="E841" s="30"/>
      <c r="F841" s="30"/>
      <c r="G841" s="30"/>
      <c r="H841" s="30"/>
      <c r="I841" s="30"/>
      <c r="J841" s="30"/>
      <c r="K841" s="155"/>
      <c r="L841" s="155"/>
      <c r="M841" s="155"/>
      <c r="AC841" s="188"/>
    </row>
    <row r="842" customHeight="1" spans="5:29">
      <c r="E842" s="30"/>
      <c r="F842" s="30"/>
      <c r="G842" s="30"/>
      <c r="H842" s="30"/>
      <c r="I842" s="30"/>
      <c r="J842" s="30"/>
      <c r="K842" s="155"/>
      <c r="L842" s="155"/>
      <c r="M842" s="155"/>
      <c r="AC842" s="188"/>
    </row>
    <row r="843" customHeight="1" spans="5:29">
      <c r="E843" s="30"/>
      <c r="F843" s="30"/>
      <c r="G843" s="30"/>
      <c r="H843" s="30"/>
      <c r="I843" s="30"/>
      <c r="J843" s="30"/>
      <c r="K843" s="155"/>
      <c r="L843" s="155"/>
      <c r="M843" s="155"/>
      <c r="AC843" s="188"/>
    </row>
    <row r="844" customHeight="1" spans="5:29">
      <c r="E844" s="30"/>
      <c r="F844" s="30"/>
      <c r="G844" s="30"/>
      <c r="H844" s="30"/>
      <c r="I844" s="30"/>
      <c r="J844" s="30"/>
      <c r="K844" s="155"/>
      <c r="L844" s="155"/>
      <c r="M844" s="155"/>
      <c r="AC844" s="188"/>
    </row>
    <row r="845" customHeight="1" spans="5:29">
      <c r="E845" s="30"/>
      <c r="F845" s="30"/>
      <c r="G845" s="30"/>
      <c r="H845" s="30"/>
      <c r="I845" s="30"/>
      <c r="J845" s="30"/>
      <c r="K845" s="155"/>
      <c r="L845" s="155"/>
      <c r="M845" s="155"/>
      <c r="AC845" s="188"/>
    </row>
    <row r="846" customHeight="1" spans="5:29">
      <c r="E846" s="30"/>
      <c r="F846" s="30"/>
      <c r="G846" s="30"/>
      <c r="H846" s="30"/>
      <c r="I846" s="30"/>
      <c r="J846" s="30"/>
      <c r="K846" s="155"/>
      <c r="L846" s="155"/>
      <c r="M846" s="155"/>
      <c r="AC846" s="188"/>
    </row>
    <row r="847" customHeight="1" spans="5:29">
      <c r="E847" s="30"/>
      <c r="F847" s="30"/>
      <c r="G847" s="30"/>
      <c r="H847" s="30"/>
      <c r="I847" s="30"/>
      <c r="J847" s="30"/>
      <c r="K847" s="155"/>
      <c r="L847" s="155"/>
      <c r="M847" s="155"/>
      <c r="AC847" s="188"/>
    </row>
    <row r="848" customHeight="1" spans="5:29">
      <c r="E848" s="30"/>
      <c r="F848" s="30"/>
      <c r="G848" s="30"/>
      <c r="H848" s="30"/>
      <c r="I848" s="30"/>
      <c r="J848" s="30"/>
      <c r="K848" s="155"/>
      <c r="L848" s="155"/>
      <c r="M848" s="155"/>
      <c r="AC848" s="188"/>
    </row>
    <row r="849" customHeight="1" spans="5:29">
      <c r="E849" s="30"/>
      <c r="F849" s="30"/>
      <c r="G849" s="30"/>
      <c r="H849" s="30"/>
      <c r="I849" s="30"/>
      <c r="J849" s="30"/>
      <c r="K849" s="155"/>
      <c r="L849" s="155"/>
      <c r="M849" s="155"/>
      <c r="AC849" s="188"/>
    </row>
    <row r="850" customHeight="1" spans="5:29">
      <c r="E850" s="30"/>
      <c r="F850" s="30"/>
      <c r="G850" s="30"/>
      <c r="H850" s="30"/>
      <c r="I850" s="30"/>
      <c r="J850" s="30"/>
      <c r="K850" s="155"/>
      <c r="L850" s="155"/>
      <c r="M850" s="155"/>
      <c r="AC850" s="188"/>
    </row>
    <row r="851" customHeight="1" spans="5:29">
      <c r="E851" s="30"/>
      <c r="F851" s="30"/>
      <c r="G851" s="30"/>
      <c r="H851" s="30"/>
      <c r="I851" s="30"/>
      <c r="J851" s="30"/>
      <c r="K851" s="155"/>
      <c r="L851" s="155"/>
      <c r="M851" s="155"/>
      <c r="AC851" s="188"/>
    </row>
    <row r="852" customHeight="1" spans="5:29">
      <c r="E852" s="30"/>
      <c r="F852" s="30"/>
      <c r="G852" s="30"/>
      <c r="H852" s="30"/>
      <c r="I852" s="30"/>
      <c r="J852" s="30"/>
      <c r="K852" s="155"/>
      <c r="L852" s="155"/>
      <c r="M852" s="155"/>
      <c r="AC852" s="188"/>
    </row>
    <row r="853" customHeight="1" spans="5:29">
      <c r="E853" s="30"/>
      <c r="F853" s="30"/>
      <c r="G853" s="30"/>
      <c r="H853" s="30"/>
      <c r="I853" s="30"/>
      <c r="J853" s="30"/>
      <c r="K853" s="155"/>
      <c r="L853" s="155"/>
      <c r="M853" s="155"/>
      <c r="AC853" s="188"/>
    </row>
    <row r="854" customHeight="1" spans="5:29">
      <c r="E854" s="30"/>
      <c r="F854" s="30"/>
      <c r="G854" s="30"/>
      <c r="H854" s="30"/>
      <c r="I854" s="30"/>
      <c r="J854" s="30"/>
      <c r="K854" s="155"/>
      <c r="L854" s="155"/>
      <c r="M854" s="155"/>
      <c r="AC854" s="188"/>
    </row>
    <row r="855" customHeight="1" spans="5:29">
      <c r="E855" s="30"/>
      <c r="F855" s="30"/>
      <c r="G855" s="30"/>
      <c r="H855" s="30"/>
      <c r="I855" s="30"/>
      <c r="J855" s="30"/>
      <c r="K855" s="155"/>
      <c r="L855" s="155"/>
      <c r="M855" s="155"/>
      <c r="AC855" s="188"/>
    </row>
    <row r="856" customHeight="1" spans="5:29">
      <c r="E856" s="30"/>
      <c r="F856" s="30"/>
      <c r="G856" s="30"/>
      <c r="H856" s="30"/>
      <c r="I856" s="30"/>
      <c r="J856" s="30"/>
      <c r="K856" s="155"/>
      <c r="L856" s="155"/>
      <c r="M856" s="155"/>
      <c r="AC856" s="188"/>
    </row>
    <row r="857" customHeight="1" spans="5:29">
      <c r="E857" s="30"/>
      <c r="F857" s="30"/>
      <c r="G857" s="30"/>
      <c r="H857" s="30"/>
      <c r="I857" s="30"/>
      <c r="J857" s="30"/>
      <c r="K857" s="155"/>
      <c r="L857" s="155"/>
      <c r="M857" s="155"/>
      <c r="AC857" s="188"/>
    </row>
    <row r="858" customHeight="1" spans="5:29">
      <c r="E858" s="30"/>
      <c r="F858" s="30"/>
      <c r="G858" s="30"/>
      <c r="H858" s="30"/>
      <c r="I858" s="30"/>
      <c r="J858" s="30"/>
      <c r="K858" s="155"/>
      <c r="L858" s="155"/>
      <c r="M858" s="155"/>
      <c r="AC858" s="188"/>
    </row>
    <row r="859" customHeight="1" spans="5:29">
      <c r="E859" s="30"/>
      <c r="F859" s="30"/>
      <c r="G859" s="30"/>
      <c r="H859" s="30"/>
      <c r="I859" s="30"/>
      <c r="J859" s="30"/>
      <c r="K859" s="155"/>
      <c r="L859" s="155"/>
      <c r="M859" s="155"/>
      <c r="AC859" s="188"/>
    </row>
    <row r="860" customHeight="1" spans="5:29">
      <c r="E860" s="30"/>
      <c r="F860" s="30"/>
      <c r="G860" s="30"/>
      <c r="H860" s="30"/>
      <c r="I860" s="30"/>
      <c r="J860" s="30"/>
      <c r="K860" s="155"/>
      <c r="L860" s="155"/>
      <c r="M860" s="155"/>
      <c r="AC860" s="188"/>
    </row>
    <row r="861" customHeight="1" spans="5:29">
      <c r="E861" s="30"/>
      <c r="F861" s="30"/>
      <c r="G861" s="30"/>
      <c r="H861" s="30"/>
      <c r="I861" s="30"/>
      <c r="J861" s="30"/>
      <c r="K861" s="155"/>
      <c r="L861" s="155"/>
      <c r="M861" s="155"/>
      <c r="AC861" s="188"/>
    </row>
    <row r="862" customHeight="1" spans="5:29">
      <c r="E862" s="30"/>
      <c r="F862" s="30"/>
      <c r="G862" s="30"/>
      <c r="H862" s="30"/>
      <c r="I862" s="30"/>
      <c r="J862" s="30"/>
      <c r="K862" s="155"/>
      <c r="L862" s="155"/>
      <c r="M862" s="155"/>
      <c r="AC862" s="188"/>
    </row>
    <row r="863" customHeight="1" spans="5:29">
      <c r="E863" s="30"/>
      <c r="F863" s="30"/>
      <c r="G863" s="30"/>
      <c r="H863" s="30"/>
      <c r="I863" s="30"/>
      <c r="J863" s="30"/>
      <c r="K863" s="155"/>
      <c r="L863" s="155"/>
      <c r="M863" s="155"/>
      <c r="AC863" s="188"/>
    </row>
    <row r="864" customHeight="1" spans="5:29">
      <c r="E864" s="30"/>
      <c r="F864" s="30"/>
      <c r="G864" s="30"/>
      <c r="H864" s="30"/>
      <c r="I864" s="30"/>
      <c r="J864" s="30"/>
      <c r="K864" s="155"/>
      <c r="L864" s="155"/>
      <c r="M864" s="155"/>
      <c r="AC864" s="188"/>
    </row>
    <row r="865" customHeight="1" spans="5:29">
      <c r="E865" s="30"/>
      <c r="F865" s="30"/>
      <c r="G865" s="30"/>
      <c r="H865" s="30"/>
      <c r="I865" s="30"/>
      <c r="J865" s="30"/>
      <c r="K865" s="155"/>
      <c r="L865" s="155"/>
      <c r="M865" s="155"/>
      <c r="AC865" s="188"/>
    </row>
    <row r="866" customHeight="1" spans="5:29">
      <c r="E866" s="30"/>
      <c r="F866" s="30"/>
      <c r="G866" s="30"/>
      <c r="H866" s="30"/>
      <c r="I866" s="30"/>
      <c r="J866" s="30"/>
      <c r="K866" s="155"/>
      <c r="L866" s="155"/>
      <c r="M866" s="155"/>
      <c r="AC866" s="188"/>
    </row>
    <row r="867" customHeight="1" spans="5:29">
      <c r="E867" s="30"/>
      <c r="F867" s="30"/>
      <c r="G867" s="30"/>
      <c r="H867" s="30"/>
      <c r="I867" s="30"/>
      <c r="J867" s="30"/>
      <c r="K867" s="155"/>
      <c r="L867" s="155"/>
      <c r="M867" s="155"/>
      <c r="AC867" s="188"/>
    </row>
    <row r="868" customHeight="1" spans="5:29">
      <c r="E868" s="30"/>
      <c r="F868" s="30"/>
      <c r="G868" s="30"/>
      <c r="H868" s="30"/>
      <c r="I868" s="30"/>
      <c r="J868" s="30"/>
      <c r="K868" s="155"/>
      <c r="L868" s="155"/>
      <c r="M868" s="155"/>
      <c r="AC868" s="188"/>
    </row>
    <row r="869" customHeight="1" spans="5:29">
      <c r="E869" s="30"/>
      <c r="F869" s="30"/>
      <c r="G869" s="30"/>
      <c r="H869" s="30"/>
      <c r="I869" s="30"/>
      <c r="J869" s="30"/>
      <c r="K869" s="155"/>
      <c r="L869" s="155"/>
      <c r="M869" s="155"/>
      <c r="AC869" s="188"/>
    </row>
    <row r="870" customHeight="1" spans="5:29">
      <c r="E870" s="30"/>
      <c r="F870" s="30"/>
      <c r="G870" s="30"/>
      <c r="H870" s="30"/>
      <c r="I870" s="30"/>
      <c r="J870" s="30"/>
      <c r="K870" s="155"/>
      <c r="L870" s="155"/>
      <c r="M870" s="155"/>
      <c r="AC870" s="188"/>
    </row>
    <row r="871" customHeight="1" spans="5:29">
      <c r="E871" s="30"/>
      <c r="F871" s="30"/>
      <c r="G871" s="30"/>
      <c r="H871" s="30"/>
      <c r="I871" s="30"/>
      <c r="J871" s="30"/>
      <c r="K871" s="155"/>
      <c r="L871" s="155"/>
      <c r="M871" s="155"/>
      <c r="AC871" s="188"/>
    </row>
    <row r="872" customHeight="1" spans="5:29">
      <c r="E872" s="30"/>
      <c r="F872" s="30"/>
      <c r="G872" s="30"/>
      <c r="H872" s="30"/>
      <c r="I872" s="30"/>
      <c r="J872" s="30"/>
      <c r="K872" s="155"/>
      <c r="L872" s="155"/>
      <c r="M872" s="155"/>
      <c r="AC872" s="188"/>
    </row>
    <row r="873" customHeight="1" spans="5:29">
      <c r="E873" s="30"/>
      <c r="F873" s="30"/>
      <c r="G873" s="30"/>
      <c r="H873" s="30"/>
      <c r="I873" s="30"/>
      <c r="J873" s="30"/>
      <c r="K873" s="155"/>
      <c r="L873" s="155"/>
      <c r="M873" s="155"/>
      <c r="AC873" s="188"/>
    </row>
    <row r="874" customHeight="1" spans="5:29">
      <c r="E874" s="30"/>
      <c r="F874" s="30"/>
      <c r="G874" s="30"/>
      <c r="H874" s="30"/>
      <c r="I874" s="30"/>
      <c r="J874" s="30"/>
      <c r="K874" s="155"/>
      <c r="L874" s="155"/>
      <c r="M874" s="155"/>
      <c r="AC874" s="188"/>
    </row>
    <row r="875" customHeight="1" spans="5:29">
      <c r="E875" s="30"/>
      <c r="F875" s="30"/>
      <c r="G875" s="30"/>
      <c r="H875" s="30"/>
      <c r="I875" s="30"/>
      <c r="J875" s="30"/>
      <c r="K875" s="155"/>
      <c r="L875" s="155"/>
      <c r="M875" s="155"/>
      <c r="AC875" s="188"/>
    </row>
    <row r="876" customHeight="1" spans="5:29">
      <c r="E876" s="30"/>
      <c r="F876" s="30"/>
      <c r="G876" s="30"/>
      <c r="H876" s="30"/>
      <c r="I876" s="30"/>
      <c r="J876" s="30"/>
      <c r="K876" s="155"/>
      <c r="L876" s="155"/>
      <c r="M876" s="155"/>
      <c r="AC876" s="188"/>
    </row>
    <row r="877" customHeight="1" spans="5:29">
      <c r="E877" s="30"/>
      <c r="F877" s="30"/>
      <c r="G877" s="30"/>
      <c r="H877" s="30"/>
      <c r="I877" s="30"/>
      <c r="J877" s="30"/>
      <c r="K877" s="155"/>
      <c r="L877" s="155"/>
      <c r="M877" s="155"/>
      <c r="AC877" s="188"/>
    </row>
    <row r="878" customHeight="1" spans="5:29">
      <c r="E878" s="30"/>
      <c r="F878" s="30"/>
      <c r="G878" s="30"/>
      <c r="H878" s="30"/>
      <c r="I878" s="30"/>
      <c r="J878" s="30"/>
      <c r="K878" s="155"/>
      <c r="L878" s="155"/>
      <c r="M878" s="155"/>
      <c r="AC878" s="188"/>
    </row>
    <row r="879" customHeight="1" spans="5:29">
      <c r="E879" s="30"/>
      <c r="F879" s="30"/>
      <c r="G879" s="30"/>
      <c r="H879" s="30"/>
      <c r="I879" s="30"/>
      <c r="J879" s="30"/>
      <c r="K879" s="155"/>
      <c r="L879" s="155"/>
      <c r="M879" s="155"/>
      <c r="AC879" s="188"/>
    </row>
    <row r="880" customHeight="1" spans="5:29">
      <c r="E880" s="30"/>
      <c r="F880" s="30"/>
      <c r="G880" s="30"/>
      <c r="H880" s="30"/>
      <c r="I880" s="30"/>
      <c r="J880" s="30"/>
      <c r="K880" s="155"/>
      <c r="L880" s="155"/>
      <c r="M880" s="155"/>
      <c r="AC880" s="188"/>
    </row>
    <row r="881" customHeight="1" spans="5:29">
      <c r="E881" s="30"/>
      <c r="F881" s="30"/>
      <c r="G881" s="30"/>
      <c r="H881" s="30"/>
      <c r="I881" s="30"/>
      <c r="J881" s="30"/>
      <c r="K881" s="155"/>
      <c r="L881" s="155"/>
      <c r="M881" s="155"/>
      <c r="AC881" s="188"/>
    </row>
    <row r="882" customHeight="1" spans="5:29">
      <c r="E882" s="30"/>
      <c r="F882" s="30"/>
      <c r="G882" s="30"/>
      <c r="H882" s="30"/>
      <c r="I882" s="30"/>
      <c r="J882" s="30"/>
      <c r="K882" s="155"/>
      <c r="L882" s="155"/>
      <c r="M882" s="155"/>
      <c r="AC882" s="188"/>
    </row>
    <row r="883" customHeight="1" spans="5:29">
      <c r="E883" s="30"/>
      <c r="F883" s="30"/>
      <c r="G883" s="30"/>
      <c r="H883" s="30"/>
      <c r="I883" s="30"/>
      <c r="J883" s="30"/>
      <c r="K883" s="155"/>
      <c r="L883" s="155"/>
      <c r="M883" s="155"/>
      <c r="AC883" s="188"/>
    </row>
    <row r="884" customHeight="1" spans="5:29">
      <c r="E884" s="30"/>
      <c r="F884" s="30"/>
      <c r="G884" s="30"/>
      <c r="H884" s="30"/>
      <c r="I884" s="30"/>
      <c r="J884" s="30"/>
      <c r="K884" s="155"/>
      <c r="L884" s="155"/>
      <c r="M884" s="155"/>
      <c r="AC884" s="188"/>
    </row>
    <row r="885" customHeight="1" spans="5:29">
      <c r="E885" s="30"/>
      <c r="F885" s="30"/>
      <c r="G885" s="30"/>
      <c r="H885" s="30"/>
      <c r="I885" s="30"/>
      <c r="J885" s="30"/>
      <c r="K885" s="155"/>
      <c r="L885" s="155"/>
      <c r="M885" s="155"/>
      <c r="AC885" s="188"/>
    </row>
    <row r="886" customHeight="1" spans="5:29">
      <c r="E886" s="30"/>
      <c r="F886" s="30"/>
      <c r="G886" s="30"/>
      <c r="H886" s="30"/>
      <c r="I886" s="30"/>
      <c r="J886" s="30"/>
      <c r="K886" s="155"/>
      <c r="L886" s="155"/>
      <c r="M886" s="155"/>
      <c r="AC886" s="188"/>
    </row>
    <row r="887" customHeight="1" spans="5:29">
      <c r="E887" s="30"/>
      <c r="F887" s="30"/>
      <c r="G887" s="30"/>
      <c r="H887" s="30"/>
      <c r="I887" s="30"/>
      <c r="J887" s="30"/>
      <c r="K887" s="155"/>
      <c r="L887" s="155"/>
      <c r="M887" s="155"/>
      <c r="AC887" s="188"/>
    </row>
    <row r="888" customHeight="1" spans="5:29">
      <c r="E888" s="30"/>
      <c r="F888" s="30"/>
      <c r="G888" s="30"/>
      <c r="H888" s="30"/>
      <c r="I888" s="30"/>
      <c r="J888" s="30"/>
      <c r="K888" s="155"/>
      <c r="L888" s="155"/>
      <c r="M888" s="155"/>
      <c r="AC888" s="188"/>
    </row>
    <row r="889" customHeight="1" spans="5:29">
      <c r="E889" s="30"/>
      <c r="F889" s="30"/>
      <c r="G889" s="30"/>
      <c r="H889" s="30"/>
      <c r="I889" s="30"/>
      <c r="J889" s="30"/>
      <c r="K889" s="155"/>
      <c r="L889" s="155"/>
      <c r="M889" s="155"/>
      <c r="AC889" s="188"/>
    </row>
    <row r="890" customHeight="1" spans="5:29">
      <c r="E890" s="30"/>
      <c r="F890" s="30"/>
      <c r="G890" s="30"/>
      <c r="H890" s="30"/>
      <c r="I890" s="30"/>
      <c r="J890" s="30"/>
      <c r="K890" s="155"/>
      <c r="L890" s="155"/>
      <c r="M890" s="155"/>
      <c r="AC890" s="188"/>
    </row>
    <row r="891" customHeight="1" spans="5:29">
      <c r="E891" s="30"/>
      <c r="F891" s="30"/>
      <c r="G891" s="30"/>
      <c r="H891" s="30"/>
      <c r="I891" s="30"/>
      <c r="J891" s="30"/>
      <c r="K891" s="155"/>
      <c r="L891" s="155"/>
      <c r="M891" s="155"/>
      <c r="AC891" s="188"/>
    </row>
    <row r="892" customHeight="1" spans="5:29">
      <c r="E892" s="30"/>
      <c r="F892" s="30"/>
      <c r="G892" s="30"/>
      <c r="H892" s="30"/>
      <c r="I892" s="30"/>
      <c r="J892" s="30"/>
      <c r="K892" s="155"/>
      <c r="L892" s="155"/>
      <c r="M892" s="155"/>
      <c r="AC892" s="188"/>
    </row>
    <row r="893" customHeight="1" spans="5:29">
      <c r="E893" s="30"/>
      <c r="F893" s="30"/>
      <c r="G893" s="30"/>
      <c r="H893" s="30"/>
      <c r="I893" s="30"/>
      <c r="J893" s="30"/>
      <c r="K893" s="155"/>
      <c r="L893" s="155"/>
      <c r="M893" s="155"/>
      <c r="AC893" s="188"/>
    </row>
    <row r="894" customHeight="1" spans="5:29">
      <c r="E894" s="30"/>
      <c r="F894" s="30"/>
      <c r="G894" s="30"/>
      <c r="H894" s="30"/>
      <c r="I894" s="30"/>
      <c r="J894" s="30"/>
      <c r="K894" s="155"/>
      <c r="L894" s="155"/>
      <c r="M894" s="155"/>
      <c r="AC894" s="188"/>
    </row>
    <row r="895" customHeight="1" spans="5:29">
      <c r="E895" s="30"/>
      <c r="F895" s="30"/>
      <c r="G895" s="30"/>
      <c r="H895" s="30"/>
      <c r="I895" s="30"/>
      <c r="J895" s="30"/>
      <c r="K895" s="155"/>
      <c r="L895" s="155"/>
      <c r="M895" s="155"/>
      <c r="AC895" s="188"/>
    </row>
    <row r="896" customHeight="1" spans="5:29">
      <c r="E896" s="30"/>
      <c r="F896" s="30"/>
      <c r="G896" s="30"/>
      <c r="H896" s="30"/>
      <c r="I896" s="30"/>
      <c r="J896" s="30"/>
      <c r="K896" s="155"/>
      <c r="L896" s="155"/>
      <c r="M896" s="155"/>
      <c r="AC896" s="188"/>
    </row>
    <row r="897" customHeight="1" spans="5:29">
      <c r="E897" s="30"/>
      <c r="F897" s="30"/>
      <c r="G897" s="30"/>
      <c r="H897" s="30"/>
      <c r="I897" s="30"/>
      <c r="J897" s="30"/>
      <c r="K897" s="155"/>
      <c r="L897" s="155"/>
      <c r="M897" s="155"/>
      <c r="AC897" s="188"/>
    </row>
    <row r="898" customHeight="1" spans="5:29">
      <c r="E898" s="30"/>
      <c r="F898" s="30"/>
      <c r="G898" s="30"/>
      <c r="H898" s="30"/>
      <c r="I898" s="30"/>
      <c r="J898" s="30"/>
      <c r="K898" s="155"/>
      <c r="L898" s="155"/>
      <c r="M898" s="155"/>
      <c r="AC898" s="188"/>
    </row>
    <row r="899" customHeight="1" spans="5:29">
      <c r="E899" s="30"/>
      <c r="F899" s="30"/>
      <c r="G899" s="30"/>
      <c r="H899" s="30"/>
      <c r="I899" s="30"/>
      <c r="J899" s="30"/>
      <c r="K899" s="155"/>
      <c r="L899" s="155"/>
      <c r="M899" s="155"/>
      <c r="AC899" s="188"/>
    </row>
    <row r="900" customHeight="1" spans="5:29">
      <c r="E900" s="30"/>
      <c r="F900" s="30"/>
      <c r="G900" s="30"/>
      <c r="H900" s="30"/>
      <c r="I900" s="30"/>
      <c r="J900" s="30"/>
      <c r="K900" s="155"/>
      <c r="L900" s="155"/>
      <c r="M900" s="155"/>
      <c r="AC900" s="188"/>
    </row>
    <row r="901" customHeight="1" spans="5:29">
      <c r="E901" s="30"/>
      <c r="F901" s="30"/>
      <c r="G901" s="30"/>
      <c r="H901" s="30"/>
      <c r="I901" s="30"/>
      <c r="J901" s="30"/>
      <c r="K901" s="155"/>
      <c r="L901" s="155"/>
      <c r="M901" s="155"/>
      <c r="AC901" s="188"/>
    </row>
    <row r="902" customHeight="1" spans="5:29">
      <c r="E902" s="30"/>
      <c r="F902" s="30"/>
      <c r="G902" s="30"/>
      <c r="H902" s="30"/>
      <c r="I902" s="30"/>
      <c r="J902" s="30"/>
      <c r="K902" s="155"/>
      <c r="L902" s="155"/>
      <c r="M902" s="155"/>
      <c r="AC902" s="188"/>
    </row>
    <row r="903" customHeight="1" spans="5:29">
      <c r="E903" s="30"/>
      <c r="F903" s="30"/>
      <c r="G903" s="30"/>
      <c r="H903" s="30"/>
      <c r="I903" s="30"/>
      <c r="J903" s="30"/>
      <c r="K903" s="155"/>
      <c r="L903" s="155"/>
      <c r="M903" s="155"/>
      <c r="AC903" s="188"/>
    </row>
    <row r="904" customHeight="1" spans="5:29">
      <c r="E904" s="30"/>
      <c r="F904" s="30"/>
      <c r="G904" s="30"/>
      <c r="H904" s="30"/>
      <c r="I904" s="30"/>
      <c r="J904" s="30"/>
      <c r="K904" s="155"/>
      <c r="L904" s="155"/>
      <c r="M904" s="155"/>
      <c r="AC904" s="188"/>
    </row>
    <row r="905" customHeight="1" spans="5:29">
      <c r="E905" s="30"/>
      <c r="F905" s="30"/>
      <c r="G905" s="30"/>
      <c r="H905" s="30"/>
      <c r="I905" s="30"/>
      <c r="J905" s="30"/>
      <c r="K905" s="155"/>
      <c r="L905" s="155"/>
      <c r="M905" s="155"/>
      <c r="AC905" s="188"/>
    </row>
    <row r="906" customHeight="1" spans="5:29">
      <c r="E906" s="30"/>
      <c r="F906" s="30"/>
      <c r="G906" s="30"/>
      <c r="H906" s="30"/>
      <c r="I906" s="30"/>
      <c r="J906" s="30"/>
      <c r="K906" s="155"/>
      <c r="L906" s="155"/>
      <c r="M906" s="155"/>
      <c r="AC906" s="188"/>
    </row>
    <row r="907" customHeight="1" spans="5:29">
      <c r="E907" s="30"/>
      <c r="F907" s="30"/>
      <c r="G907" s="30"/>
      <c r="H907" s="30"/>
      <c r="I907" s="30"/>
      <c r="J907" s="30"/>
      <c r="K907" s="155"/>
      <c r="L907" s="155"/>
      <c r="M907" s="155"/>
      <c r="AC907" s="188"/>
    </row>
    <row r="908" customHeight="1" spans="5:29">
      <c r="E908" s="30"/>
      <c r="F908" s="30"/>
      <c r="G908" s="30"/>
      <c r="H908" s="30"/>
      <c r="I908" s="30"/>
      <c r="J908" s="30"/>
      <c r="K908" s="155"/>
      <c r="L908" s="155"/>
      <c r="M908" s="155"/>
      <c r="AC908" s="188"/>
    </row>
    <row r="909" customHeight="1" spans="5:29">
      <c r="E909" s="30"/>
      <c r="F909" s="30"/>
      <c r="G909" s="30"/>
      <c r="H909" s="30"/>
      <c r="I909" s="30"/>
      <c r="J909" s="30"/>
      <c r="K909" s="155"/>
      <c r="L909" s="155"/>
      <c r="M909" s="155"/>
      <c r="AC909" s="188"/>
    </row>
    <row r="910" customHeight="1" spans="5:29">
      <c r="E910" s="30"/>
      <c r="F910" s="30"/>
      <c r="G910" s="30"/>
      <c r="H910" s="30"/>
      <c r="I910" s="30"/>
      <c r="J910" s="30"/>
      <c r="K910" s="155"/>
      <c r="L910" s="155"/>
      <c r="M910" s="155"/>
      <c r="AC910" s="188"/>
    </row>
    <row r="911" customHeight="1" spans="5:29">
      <c r="E911" s="30"/>
      <c r="F911" s="30"/>
      <c r="G911" s="30"/>
      <c r="H911" s="30"/>
      <c r="I911" s="30"/>
      <c r="J911" s="30"/>
      <c r="K911" s="155"/>
      <c r="L911" s="155"/>
      <c r="M911" s="155"/>
      <c r="AC911" s="188"/>
    </row>
    <row r="912" customHeight="1" spans="5:29">
      <c r="E912" s="30"/>
      <c r="F912" s="30"/>
      <c r="G912" s="30"/>
      <c r="H912" s="30"/>
      <c r="I912" s="30"/>
      <c r="J912" s="30"/>
      <c r="K912" s="155"/>
      <c r="L912" s="155"/>
      <c r="M912" s="155"/>
      <c r="AC912" s="188"/>
    </row>
    <row r="913" customHeight="1" spans="5:29">
      <c r="E913" s="30"/>
      <c r="F913" s="30"/>
      <c r="G913" s="30"/>
      <c r="H913" s="30"/>
      <c r="I913" s="30"/>
      <c r="J913" s="30"/>
      <c r="K913" s="155"/>
      <c r="L913" s="155"/>
      <c r="M913" s="155"/>
      <c r="AC913" s="188"/>
    </row>
    <row r="914" customHeight="1" spans="5:29">
      <c r="E914" s="30"/>
      <c r="F914" s="30"/>
      <c r="G914" s="30"/>
      <c r="H914" s="30"/>
      <c r="I914" s="30"/>
      <c r="J914" s="30"/>
      <c r="K914" s="155"/>
      <c r="L914" s="155"/>
      <c r="M914" s="155"/>
      <c r="AC914" s="188"/>
    </row>
    <row r="915" customHeight="1" spans="5:29">
      <c r="E915" s="30"/>
      <c r="F915" s="30"/>
      <c r="G915" s="30"/>
      <c r="H915" s="30"/>
      <c r="I915" s="30"/>
      <c r="J915" s="30"/>
      <c r="K915" s="155"/>
      <c r="L915" s="155"/>
      <c r="M915" s="155"/>
      <c r="AC915" s="188"/>
    </row>
    <row r="916" customHeight="1" spans="5:29">
      <c r="E916" s="30"/>
      <c r="F916" s="30"/>
      <c r="G916" s="30"/>
      <c r="H916" s="30"/>
      <c r="I916" s="30"/>
      <c r="J916" s="30"/>
      <c r="K916" s="155"/>
      <c r="L916" s="155"/>
      <c r="M916" s="155"/>
      <c r="AC916" s="188"/>
    </row>
    <row r="917" customHeight="1" spans="5:29">
      <c r="E917" s="30"/>
      <c r="F917" s="30"/>
      <c r="G917" s="30"/>
      <c r="H917" s="30"/>
      <c r="I917" s="30"/>
      <c r="J917" s="30"/>
      <c r="K917" s="155"/>
      <c r="L917" s="155"/>
      <c r="M917" s="155"/>
      <c r="AC917" s="188"/>
    </row>
    <row r="918" customHeight="1" spans="5:29">
      <c r="E918" s="30"/>
      <c r="F918" s="30"/>
      <c r="G918" s="30"/>
      <c r="H918" s="30"/>
      <c r="I918" s="30"/>
      <c r="J918" s="30"/>
      <c r="K918" s="155"/>
      <c r="L918" s="155"/>
      <c r="M918" s="155"/>
      <c r="AC918" s="188"/>
    </row>
    <row r="919" customHeight="1" spans="5:29">
      <c r="E919" s="30"/>
      <c r="F919" s="30"/>
      <c r="G919" s="30"/>
      <c r="H919" s="30"/>
      <c r="I919" s="30"/>
      <c r="J919" s="30"/>
      <c r="K919" s="155"/>
      <c r="L919" s="155"/>
      <c r="M919" s="155"/>
      <c r="AC919" s="188"/>
    </row>
    <row r="920" customHeight="1" spans="5:29">
      <c r="E920" s="30"/>
      <c r="F920" s="30"/>
      <c r="G920" s="30"/>
      <c r="H920" s="30"/>
      <c r="I920" s="30"/>
      <c r="J920" s="30"/>
      <c r="K920" s="155"/>
      <c r="L920" s="155"/>
      <c r="M920" s="155"/>
      <c r="AC920" s="188"/>
    </row>
    <row r="921" customHeight="1" spans="5:29">
      <c r="E921" s="30"/>
      <c r="F921" s="30"/>
      <c r="G921" s="30"/>
      <c r="H921" s="30"/>
      <c r="I921" s="30"/>
      <c r="J921" s="30"/>
      <c r="K921" s="155"/>
      <c r="L921" s="155"/>
      <c r="M921" s="155"/>
      <c r="AC921" s="188"/>
    </row>
    <row r="922" customHeight="1" spans="5:29">
      <c r="E922" s="30"/>
      <c r="F922" s="30"/>
      <c r="G922" s="30"/>
      <c r="H922" s="30"/>
      <c r="I922" s="30"/>
      <c r="J922" s="30"/>
      <c r="K922" s="155"/>
      <c r="L922" s="155"/>
      <c r="M922" s="155"/>
      <c r="AC922" s="188"/>
    </row>
    <row r="923" customHeight="1" spans="5:29">
      <c r="E923" s="30"/>
      <c r="F923" s="30"/>
      <c r="G923" s="30"/>
      <c r="H923" s="30"/>
      <c r="I923" s="30"/>
      <c r="J923" s="30"/>
      <c r="K923" s="155"/>
      <c r="L923" s="155"/>
      <c r="M923" s="155"/>
      <c r="AC923" s="188"/>
    </row>
    <row r="924" customHeight="1" spans="5:29">
      <c r="E924" s="30"/>
      <c r="F924" s="30"/>
      <c r="G924" s="30"/>
      <c r="H924" s="30"/>
      <c r="I924" s="30"/>
      <c r="J924" s="30"/>
      <c r="K924" s="155"/>
      <c r="L924" s="155"/>
      <c r="M924" s="155"/>
      <c r="AC924" s="188"/>
    </row>
    <row r="925" customHeight="1" spans="5:29">
      <c r="E925" s="30"/>
      <c r="F925" s="30"/>
      <c r="G925" s="30"/>
      <c r="H925" s="30"/>
      <c r="I925" s="30"/>
      <c r="J925" s="30"/>
      <c r="K925" s="155"/>
      <c r="L925" s="155"/>
      <c r="M925" s="155"/>
      <c r="AC925" s="188"/>
    </row>
    <row r="926" customHeight="1" spans="5:29">
      <c r="E926" s="30"/>
      <c r="F926" s="30"/>
      <c r="G926" s="30"/>
      <c r="H926" s="30"/>
      <c r="I926" s="30"/>
      <c r="J926" s="30"/>
      <c r="K926" s="155"/>
      <c r="L926" s="155"/>
      <c r="M926" s="155"/>
      <c r="AC926" s="188"/>
    </row>
    <row r="927" customHeight="1" spans="5:29">
      <c r="E927" s="30"/>
      <c r="F927" s="30"/>
      <c r="G927" s="30"/>
      <c r="H927" s="30"/>
      <c r="I927" s="30"/>
      <c r="J927" s="30"/>
      <c r="K927" s="155"/>
      <c r="L927" s="155"/>
      <c r="M927" s="155"/>
      <c r="AC927" s="188"/>
    </row>
    <row r="928" customHeight="1" spans="5:29">
      <c r="E928" s="30"/>
      <c r="F928" s="30"/>
      <c r="G928" s="30"/>
      <c r="H928" s="30"/>
      <c r="I928" s="30"/>
      <c r="J928" s="30"/>
      <c r="K928" s="155"/>
      <c r="L928" s="155"/>
      <c r="M928" s="155"/>
      <c r="AC928" s="188"/>
    </row>
    <row r="929" customHeight="1" spans="5:29">
      <c r="E929" s="30"/>
      <c r="F929" s="30"/>
      <c r="G929" s="30"/>
      <c r="H929" s="30"/>
      <c r="I929" s="30"/>
      <c r="J929" s="30"/>
      <c r="K929" s="155"/>
      <c r="L929" s="155"/>
      <c r="M929" s="155"/>
      <c r="AC929" s="188"/>
    </row>
    <row r="930" customHeight="1" spans="5:29">
      <c r="E930" s="30"/>
      <c r="F930" s="30"/>
      <c r="G930" s="30"/>
      <c r="H930" s="30"/>
      <c r="I930" s="30"/>
      <c r="J930" s="30"/>
      <c r="K930" s="155"/>
      <c r="L930" s="155"/>
      <c r="M930" s="155"/>
      <c r="AC930" s="188"/>
    </row>
    <row r="931" customHeight="1" spans="5:29">
      <c r="E931" s="30"/>
      <c r="F931" s="30"/>
      <c r="G931" s="30"/>
      <c r="H931" s="30"/>
      <c r="I931" s="30"/>
      <c r="J931" s="30"/>
      <c r="K931" s="155"/>
      <c r="L931" s="155"/>
      <c r="M931" s="155"/>
      <c r="AC931" s="188"/>
    </row>
    <row r="932" customHeight="1" spans="5:29">
      <c r="E932" s="30"/>
      <c r="F932" s="30"/>
      <c r="G932" s="30"/>
      <c r="H932" s="30"/>
      <c r="I932" s="30"/>
      <c r="J932" s="30"/>
      <c r="K932" s="155"/>
      <c r="L932" s="155"/>
      <c r="M932" s="155"/>
      <c r="AC932" s="188"/>
    </row>
    <row r="933" customHeight="1" spans="5:29">
      <c r="E933" s="30"/>
      <c r="F933" s="30"/>
      <c r="G933" s="30"/>
      <c r="H933" s="30"/>
      <c r="I933" s="30"/>
      <c r="J933" s="30"/>
      <c r="K933" s="155"/>
      <c r="L933" s="155"/>
      <c r="M933" s="155"/>
      <c r="AC933" s="188"/>
    </row>
    <row r="934" customHeight="1" spans="5:29">
      <c r="E934" s="30"/>
      <c r="F934" s="30"/>
      <c r="G934" s="30"/>
      <c r="H934" s="30"/>
      <c r="I934" s="30"/>
      <c r="J934" s="30"/>
      <c r="K934" s="155"/>
      <c r="L934" s="155"/>
      <c r="M934" s="155"/>
      <c r="AC934" s="188"/>
    </row>
    <row r="935" customHeight="1" spans="5:29">
      <c r="E935" s="30"/>
      <c r="F935" s="30"/>
      <c r="G935" s="30"/>
      <c r="H935" s="30"/>
      <c r="I935" s="30"/>
      <c r="J935" s="30"/>
      <c r="K935" s="155"/>
      <c r="L935" s="155"/>
      <c r="M935" s="155"/>
      <c r="AC935" s="188"/>
    </row>
    <row r="936" customHeight="1" spans="5:29">
      <c r="E936" s="30"/>
      <c r="F936" s="30"/>
      <c r="G936" s="30"/>
      <c r="H936" s="30"/>
      <c r="I936" s="30"/>
      <c r="J936" s="30"/>
      <c r="K936" s="155"/>
      <c r="L936" s="155"/>
      <c r="M936" s="155"/>
      <c r="AC936" s="188"/>
    </row>
    <row r="937" customHeight="1" spans="5:29">
      <c r="E937" s="30"/>
      <c r="F937" s="30"/>
      <c r="G937" s="30"/>
      <c r="H937" s="30"/>
      <c r="I937" s="30"/>
      <c r="J937" s="30"/>
      <c r="K937" s="155"/>
      <c r="L937" s="155"/>
      <c r="M937" s="155"/>
      <c r="AC937" s="188"/>
    </row>
    <row r="938" customHeight="1" spans="5:29">
      <c r="E938" s="30"/>
      <c r="F938" s="30"/>
      <c r="G938" s="30"/>
      <c r="H938" s="30"/>
      <c r="I938" s="30"/>
      <c r="J938" s="30"/>
      <c r="K938" s="155"/>
      <c r="L938" s="155"/>
      <c r="M938" s="155"/>
      <c r="AC938" s="188"/>
    </row>
    <row r="939" customHeight="1" spans="5:29">
      <c r="E939" s="30"/>
      <c r="F939" s="30"/>
      <c r="G939" s="30"/>
      <c r="H939" s="30"/>
      <c r="I939" s="30"/>
      <c r="J939" s="30"/>
      <c r="K939" s="155"/>
      <c r="L939" s="155"/>
      <c r="M939" s="155"/>
      <c r="AC939" s="188"/>
    </row>
    <row r="940" customHeight="1" spans="5:29">
      <c r="E940" s="30"/>
      <c r="F940" s="30"/>
      <c r="G940" s="30"/>
      <c r="H940" s="30"/>
      <c r="I940" s="30"/>
      <c r="J940" s="30"/>
      <c r="K940" s="155"/>
      <c r="L940" s="155"/>
      <c r="M940" s="155"/>
      <c r="AC940" s="188"/>
    </row>
    <row r="941" customHeight="1" spans="5:29">
      <c r="E941" s="30"/>
      <c r="F941" s="30"/>
      <c r="G941" s="30"/>
      <c r="H941" s="30"/>
      <c r="I941" s="30"/>
      <c r="J941" s="30"/>
      <c r="K941" s="155"/>
      <c r="L941" s="155"/>
      <c r="M941" s="155"/>
      <c r="AC941" s="188"/>
    </row>
    <row r="942" customHeight="1" spans="5:29">
      <c r="E942" s="30"/>
      <c r="F942" s="30"/>
      <c r="G942" s="30"/>
      <c r="H942" s="30"/>
      <c r="I942" s="30"/>
      <c r="J942" s="30"/>
      <c r="K942" s="155"/>
      <c r="L942" s="155"/>
      <c r="M942" s="155"/>
      <c r="AC942" s="188"/>
    </row>
    <row r="943" customHeight="1" spans="5:29">
      <c r="E943" s="30"/>
      <c r="F943" s="30"/>
      <c r="G943" s="30"/>
      <c r="H943" s="30"/>
      <c r="I943" s="30"/>
      <c r="J943" s="30"/>
      <c r="K943" s="155"/>
      <c r="L943" s="155"/>
      <c r="M943" s="155"/>
      <c r="AC943" s="188"/>
    </row>
    <row r="944" customHeight="1" spans="5:29">
      <c r="E944" s="30"/>
      <c r="F944" s="30"/>
      <c r="G944" s="30"/>
      <c r="H944" s="30"/>
      <c r="I944" s="30"/>
      <c r="J944" s="30"/>
      <c r="K944" s="155"/>
      <c r="L944" s="155"/>
      <c r="M944" s="155"/>
      <c r="AC944" s="188"/>
    </row>
    <row r="945" customHeight="1" spans="5:29">
      <c r="E945" s="30"/>
      <c r="F945" s="30"/>
      <c r="G945" s="30"/>
      <c r="H945" s="30"/>
      <c r="I945" s="30"/>
      <c r="J945" s="30"/>
      <c r="K945" s="155"/>
      <c r="L945" s="155"/>
      <c r="M945" s="155"/>
      <c r="AC945" s="188"/>
    </row>
    <row r="946" customHeight="1" spans="5:29">
      <c r="E946" s="30"/>
      <c r="F946" s="30"/>
      <c r="G946" s="30"/>
      <c r="H946" s="30"/>
      <c r="I946" s="30"/>
      <c r="J946" s="30"/>
      <c r="K946" s="155"/>
      <c r="L946" s="155"/>
      <c r="M946" s="155"/>
      <c r="AC946" s="188"/>
    </row>
    <row r="947" customHeight="1" spans="5:29">
      <c r="E947" s="30"/>
      <c r="F947" s="30"/>
      <c r="G947" s="30"/>
      <c r="H947" s="30"/>
      <c r="I947" s="30"/>
      <c r="J947" s="30"/>
      <c r="K947" s="155"/>
      <c r="L947" s="155"/>
      <c r="M947" s="155"/>
      <c r="AC947" s="188"/>
    </row>
    <row r="948" customHeight="1" spans="5:29">
      <c r="E948" s="30"/>
      <c r="F948" s="30"/>
      <c r="G948" s="30"/>
      <c r="H948" s="30"/>
      <c r="I948" s="30"/>
      <c r="J948" s="30"/>
      <c r="K948" s="155"/>
      <c r="L948" s="155"/>
      <c r="M948" s="155"/>
      <c r="AC948" s="188"/>
    </row>
    <row r="949" customHeight="1" spans="5:29">
      <c r="E949" s="30"/>
      <c r="F949" s="30"/>
      <c r="G949" s="30"/>
      <c r="H949" s="30"/>
      <c r="I949" s="30"/>
      <c r="J949" s="30"/>
      <c r="K949" s="155"/>
      <c r="L949" s="155"/>
      <c r="M949" s="155"/>
      <c r="AC949" s="188"/>
    </row>
    <row r="950" customHeight="1" spans="5:29">
      <c r="E950" s="30"/>
      <c r="F950" s="30"/>
      <c r="G950" s="30"/>
      <c r="H950" s="30"/>
      <c r="I950" s="30"/>
      <c r="J950" s="30"/>
      <c r="K950" s="155"/>
      <c r="L950" s="155"/>
      <c r="M950" s="155"/>
      <c r="AC950" s="188"/>
    </row>
    <row r="951" customHeight="1" spans="5:29">
      <c r="E951" s="30"/>
      <c r="F951" s="30"/>
      <c r="G951" s="30"/>
      <c r="H951" s="30"/>
      <c r="I951" s="30"/>
      <c r="J951" s="30"/>
      <c r="K951" s="155"/>
      <c r="L951" s="155"/>
      <c r="M951" s="155"/>
      <c r="AC951" s="188"/>
    </row>
    <row r="952" customHeight="1" spans="5:29">
      <c r="E952" s="30"/>
      <c r="F952" s="30"/>
      <c r="G952" s="30"/>
      <c r="H952" s="30"/>
      <c r="I952" s="30"/>
      <c r="J952" s="30"/>
      <c r="K952" s="155"/>
      <c r="L952" s="155"/>
      <c r="M952" s="155"/>
      <c r="AC952" s="188"/>
    </row>
    <row r="953" customHeight="1" spans="5:29">
      <c r="E953" s="30"/>
      <c r="F953" s="30"/>
      <c r="G953" s="30"/>
      <c r="H953" s="30"/>
      <c r="I953" s="30"/>
      <c r="J953" s="30"/>
      <c r="K953" s="155"/>
      <c r="L953" s="155"/>
      <c r="M953" s="155"/>
      <c r="AC953" s="188"/>
    </row>
    <row r="954" customHeight="1" spans="5:29">
      <c r="E954" s="30"/>
      <c r="F954" s="30"/>
      <c r="G954" s="30"/>
      <c r="H954" s="30"/>
      <c r="I954" s="30"/>
      <c r="J954" s="30"/>
      <c r="K954" s="155"/>
      <c r="L954" s="155"/>
      <c r="M954" s="155"/>
      <c r="AC954" s="188"/>
    </row>
    <row r="955" customHeight="1" spans="5:29">
      <c r="E955" s="30"/>
      <c r="F955" s="30"/>
      <c r="G955" s="30"/>
      <c r="H955" s="30"/>
      <c r="I955" s="30"/>
      <c r="J955" s="30"/>
      <c r="K955" s="155"/>
      <c r="L955" s="155"/>
      <c r="M955" s="155"/>
      <c r="AC955" s="188"/>
    </row>
    <row r="956" customHeight="1" spans="5:29">
      <c r="E956" s="30"/>
      <c r="F956" s="30"/>
      <c r="G956" s="30"/>
      <c r="H956" s="30"/>
      <c r="I956" s="30"/>
      <c r="J956" s="30"/>
      <c r="K956" s="155"/>
      <c r="L956" s="155"/>
      <c r="M956" s="155"/>
      <c r="AC956" s="188"/>
    </row>
    <row r="957" customHeight="1" spans="5:29">
      <c r="E957" s="30"/>
      <c r="F957" s="30"/>
      <c r="G957" s="30"/>
      <c r="H957" s="30"/>
      <c r="I957" s="30"/>
      <c r="J957" s="30"/>
      <c r="K957" s="155"/>
      <c r="L957" s="155"/>
      <c r="M957" s="155"/>
      <c r="AC957" s="188"/>
    </row>
    <row r="958" customHeight="1" spans="5:29">
      <c r="E958" s="30"/>
      <c r="F958" s="30"/>
      <c r="G958" s="30"/>
      <c r="H958" s="30"/>
      <c r="I958" s="30"/>
      <c r="J958" s="30"/>
      <c r="K958" s="155"/>
      <c r="L958" s="155"/>
      <c r="M958" s="155"/>
      <c r="AC958" s="188"/>
    </row>
    <row r="959" customHeight="1" spans="5:29">
      <c r="E959" s="30"/>
      <c r="F959" s="30"/>
      <c r="G959" s="30"/>
      <c r="H959" s="30"/>
      <c r="I959" s="30"/>
      <c r="J959" s="30"/>
      <c r="K959" s="155"/>
      <c r="L959" s="155"/>
      <c r="M959" s="155"/>
      <c r="AC959" s="188"/>
    </row>
    <row r="960" customHeight="1" spans="5:29">
      <c r="E960" s="30"/>
      <c r="F960" s="30"/>
      <c r="G960" s="30"/>
      <c r="H960" s="30"/>
      <c r="I960" s="30"/>
      <c r="J960" s="30"/>
      <c r="K960" s="155"/>
      <c r="L960" s="155"/>
      <c r="M960" s="155"/>
      <c r="AC960" s="188"/>
    </row>
    <row r="961" customHeight="1" spans="5:29">
      <c r="E961" s="30"/>
      <c r="F961" s="30"/>
      <c r="G961" s="30"/>
      <c r="H961" s="30"/>
      <c r="I961" s="30"/>
      <c r="J961" s="30"/>
      <c r="K961" s="155"/>
      <c r="L961" s="155"/>
      <c r="M961" s="155"/>
      <c r="AC961" s="188"/>
    </row>
    <row r="962" customHeight="1" spans="5:29">
      <c r="E962" s="30"/>
      <c r="F962" s="30"/>
      <c r="G962" s="30"/>
      <c r="H962" s="30"/>
      <c r="I962" s="30"/>
      <c r="J962" s="30"/>
      <c r="K962" s="155"/>
      <c r="L962" s="155"/>
      <c r="M962" s="155"/>
      <c r="AC962" s="188"/>
    </row>
    <row r="963" customHeight="1" spans="5:29">
      <c r="E963" s="30"/>
      <c r="F963" s="30"/>
      <c r="G963" s="30"/>
      <c r="H963" s="30"/>
      <c r="I963" s="30"/>
      <c r="J963" s="30"/>
      <c r="K963" s="155"/>
      <c r="L963" s="155"/>
      <c r="M963" s="155"/>
      <c r="AC963" s="188"/>
    </row>
    <row r="964" customHeight="1" spans="5:29">
      <c r="E964" s="30"/>
      <c r="F964" s="30"/>
      <c r="G964" s="30"/>
      <c r="H964" s="30"/>
      <c r="I964" s="30"/>
      <c r="J964" s="30"/>
      <c r="K964" s="155"/>
      <c r="L964" s="155"/>
      <c r="M964" s="155"/>
      <c r="AC964" s="188"/>
    </row>
    <row r="965" customHeight="1" spans="5:29">
      <c r="E965" s="30"/>
      <c r="F965" s="30"/>
      <c r="G965" s="30"/>
      <c r="H965" s="30"/>
      <c r="I965" s="30"/>
      <c r="J965" s="30"/>
      <c r="K965" s="155"/>
      <c r="L965" s="155"/>
      <c r="M965" s="155"/>
      <c r="AC965" s="188"/>
    </row>
    <row r="966" customHeight="1" spans="5:29">
      <c r="E966" s="30"/>
      <c r="F966" s="30"/>
      <c r="G966" s="30"/>
      <c r="H966" s="30"/>
      <c r="I966" s="30"/>
      <c r="J966" s="30"/>
      <c r="K966" s="155"/>
      <c r="L966" s="155"/>
      <c r="M966" s="155"/>
      <c r="AC966" s="188"/>
    </row>
    <row r="967" customHeight="1" spans="5:29">
      <c r="E967" s="30"/>
      <c r="F967" s="30"/>
      <c r="G967" s="30"/>
      <c r="H967" s="30"/>
      <c r="I967" s="30"/>
      <c r="J967" s="30"/>
      <c r="K967" s="155"/>
      <c r="L967" s="155"/>
      <c r="M967" s="155"/>
      <c r="AC967" s="188"/>
    </row>
    <row r="968" customHeight="1" spans="5:29">
      <c r="E968" s="30"/>
      <c r="F968" s="30"/>
      <c r="G968" s="30"/>
      <c r="H968" s="30"/>
      <c r="I968" s="30"/>
      <c r="J968" s="30"/>
      <c r="K968" s="155"/>
      <c r="L968" s="155"/>
      <c r="M968" s="155"/>
      <c r="AC968" s="188"/>
    </row>
    <row r="969" customHeight="1" spans="5:29">
      <c r="E969" s="30"/>
      <c r="F969" s="30"/>
      <c r="G969" s="30"/>
      <c r="H969" s="30"/>
      <c r="I969" s="30"/>
      <c r="J969" s="30"/>
      <c r="K969" s="155"/>
      <c r="L969" s="155"/>
      <c r="M969" s="155"/>
      <c r="AC969" s="188"/>
    </row>
    <row r="970" customHeight="1" spans="5:29">
      <c r="E970" s="30"/>
      <c r="F970" s="30"/>
      <c r="G970" s="30"/>
      <c r="H970" s="30"/>
      <c r="I970" s="30"/>
      <c r="J970" s="30"/>
      <c r="K970" s="155"/>
      <c r="L970" s="155"/>
      <c r="M970" s="155"/>
      <c r="AC970" s="188"/>
    </row>
    <row r="971" customHeight="1" spans="5:29">
      <c r="E971" s="30"/>
      <c r="F971" s="30"/>
      <c r="G971" s="30"/>
      <c r="H971" s="30"/>
      <c r="I971" s="30"/>
      <c r="J971" s="30"/>
      <c r="K971" s="155"/>
      <c r="L971" s="155"/>
      <c r="M971" s="155"/>
      <c r="AC971" s="188"/>
    </row>
    <row r="972" customHeight="1" spans="5:29">
      <c r="E972" s="30"/>
      <c r="F972" s="30"/>
      <c r="G972" s="30"/>
      <c r="H972" s="30"/>
      <c r="I972" s="30"/>
      <c r="J972" s="30"/>
      <c r="K972" s="155"/>
      <c r="L972" s="155"/>
      <c r="M972" s="155"/>
      <c r="AC972" s="188"/>
    </row>
    <row r="973" customHeight="1" spans="5:29">
      <c r="E973" s="30"/>
      <c r="F973" s="30"/>
      <c r="G973" s="30"/>
      <c r="H973" s="30"/>
      <c r="I973" s="30"/>
      <c r="J973" s="30"/>
      <c r="K973" s="155"/>
      <c r="L973" s="155"/>
      <c r="M973" s="155"/>
      <c r="AC973" s="188"/>
    </row>
    <row r="974" customHeight="1" spans="5:29">
      <c r="E974" s="30"/>
      <c r="F974" s="30"/>
      <c r="G974" s="30"/>
      <c r="H974" s="30"/>
      <c r="I974" s="30"/>
      <c r="J974" s="30"/>
      <c r="K974" s="155"/>
      <c r="L974" s="155"/>
      <c r="M974" s="155"/>
      <c r="AC974" s="188"/>
    </row>
    <row r="975" customHeight="1" spans="5:29">
      <c r="E975" s="30"/>
      <c r="F975" s="30"/>
      <c r="G975" s="30"/>
      <c r="H975" s="30"/>
      <c r="I975" s="30"/>
      <c r="J975" s="30"/>
      <c r="K975" s="155"/>
      <c r="L975" s="155"/>
      <c r="M975" s="155"/>
      <c r="AC975" s="188"/>
    </row>
    <row r="976" customHeight="1" spans="5:29">
      <c r="E976" s="30"/>
      <c r="F976" s="30"/>
      <c r="G976" s="30"/>
      <c r="H976" s="30"/>
      <c r="I976" s="30"/>
      <c r="J976" s="30"/>
      <c r="K976" s="155"/>
      <c r="L976" s="155"/>
      <c r="M976" s="155"/>
      <c r="AC976" s="188"/>
    </row>
    <row r="977" customHeight="1" spans="5:29">
      <c r="E977" s="30"/>
      <c r="F977" s="30"/>
      <c r="G977" s="30"/>
      <c r="H977" s="30"/>
      <c r="I977" s="30"/>
      <c r="J977" s="30"/>
      <c r="K977" s="155"/>
      <c r="L977" s="155"/>
      <c r="M977" s="155"/>
      <c r="AC977" s="188"/>
    </row>
    <row r="978" customHeight="1" spans="5:29">
      <c r="E978" s="30"/>
      <c r="F978" s="30"/>
      <c r="G978" s="30"/>
      <c r="H978" s="30"/>
      <c r="I978" s="30"/>
      <c r="J978" s="30"/>
      <c r="K978" s="155"/>
      <c r="L978" s="155"/>
      <c r="M978" s="155"/>
      <c r="AC978" s="188"/>
    </row>
    <row r="979" customHeight="1" spans="5:29">
      <c r="E979" s="30"/>
      <c r="F979" s="30"/>
      <c r="G979" s="30"/>
      <c r="H979" s="30"/>
      <c r="I979" s="30"/>
      <c r="J979" s="30"/>
      <c r="K979" s="155"/>
      <c r="L979" s="155"/>
      <c r="M979" s="155"/>
      <c r="AC979" s="188"/>
    </row>
    <row r="980" customHeight="1" spans="5:29">
      <c r="E980" s="30"/>
      <c r="F980" s="30"/>
      <c r="G980" s="30"/>
      <c r="H980" s="30"/>
      <c r="I980" s="30"/>
      <c r="J980" s="30"/>
      <c r="K980" s="155"/>
      <c r="L980" s="155"/>
      <c r="M980" s="155"/>
      <c r="AC980" s="188"/>
    </row>
    <row r="981" customHeight="1" spans="5:29">
      <c r="E981" s="30"/>
      <c r="F981" s="30"/>
      <c r="G981" s="30"/>
      <c r="H981" s="30"/>
      <c r="I981" s="30"/>
      <c r="J981" s="30"/>
      <c r="K981" s="155"/>
      <c r="L981" s="155"/>
      <c r="M981" s="155"/>
      <c r="AC981" s="188"/>
    </row>
    <row r="982" customHeight="1" spans="5:29">
      <c r="E982" s="30"/>
      <c r="F982" s="30"/>
      <c r="G982" s="30"/>
      <c r="H982" s="30"/>
      <c r="I982" s="30"/>
      <c r="J982" s="30"/>
      <c r="K982" s="155"/>
      <c r="L982" s="155"/>
      <c r="M982" s="155"/>
      <c r="AC982" s="188"/>
    </row>
    <row r="983" customHeight="1" spans="5:29">
      <c r="E983" s="30"/>
      <c r="F983" s="30"/>
      <c r="G983" s="30"/>
      <c r="H983" s="30"/>
      <c r="I983" s="30"/>
      <c r="J983" s="30"/>
      <c r="K983" s="155"/>
      <c r="L983" s="155"/>
      <c r="M983" s="155"/>
      <c r="AC983" s="188"/>
    </row>
    <row r="984" customHeight="1" spans="5:29">
      <c r="E984" s="30"/>
      <c r="F984" s="30"/>
      <c r="G984" s="30"/>
      <c r="H984" s="30"/>
      <c r="I984" s="30"/>
      <c r="J984" s="30"/>
      <c r="K984" s="155"/>
      <c r="L984" s="155"/>
      <c r="M984" s="155"/>
      <c r="AC984" s="188"/>
    </row>
    <row r="985" customHeight="1" spans="5:29">
      <c r="E985" s="30"/>
      <c r="F985" s="30"/>
      <c r="G985" s="30"/>
      <c r="H985" s="30"/>
      <c r="I985" s="30"/>
      <c r="J985" s="30"/>
      <c r="K985" s="155"/>
      <c r="L985" s="155"/>
      <c r="M985" s="155"/>
      <c r="AC985" s="188"/>
    </row>
    <row r="986" customHeight="1" spans="5:29">
      <c r="E986" s="30"/>
      <c r="F986" s="30"/>
      <c r="G986" s="30"/>
      <c r="H986" s="30"/>
      <c r="I986" s="30"/>
      <c r="J986" s="30"/>
      <c r="K986" s="155"/>
      <c r="L986" s="155"/>
      <c r="M986" s="155"/>
      <c r="AC986" s="188"/>
    </row>
    <row r="987" customHeight="1" spans="5:29">
      <c r="E987" s="30"/>
      <c r="F987" s="30"/>
      <c r="G987" s="30"/>
      <c r="H987" s="30"/>
      <c r="I987" s="30"/>
      <c r="J987" s="30"/>
      <c r="K987" s="155"/>
      <c r="L987" s="155"/>
      <c r="M987" s="155"/>
      <c r="AC987" s="188"/>
    </row>
    <row r="988" customHeight="1" spans="5:29">
      <c r="E988" s="30"/>
      <c r="F988" s="30"/>
      <c r="G988" s="30"/>
      <c r="H988" s="30"/>
      <c r="I988" s="30"/>
      <c r="J988" s="30"/>
      <c r="K988" s="155"/>
      <c r="L988" s="155"/>
      <c r="M988" s="155"/>
      <c r="AC988" s="188"/>
    </row>
    <row r="989" customHeight="1" spans="5:29">
      <c r="E989" s="30"/>
      <c r="F989" s="30"/>
      <c r="G989" s="30"/>
      <c r="H989" s="30"/>
      <c r="I989" s="30"/>
      <c r="J989" s="30"/>
      <c r="K989" s="155"/>
      <c r="L989" s="155"/>
      <c r="M989" s="155"/>
      <c r="AC989" s="188"/>
    </row>
    <row r="990" customHeight="1" spans="5:29">
      <c r="E990" s="30"/>
      <c r="F990" s="30"/>
      <c r="G990" s="30"/>
      <c r="H990" s="30"/>
      <c r="I990" s="30"/>
      <c r="J990" s="30"/>
      <c r="K990" s="155"/>
      <c r="L990" s="155"/>
      <c r="M990" s="155"/>
      <c r="AC990" s="188"/>
    </row>
    <row r="991" customHeight="1" spans="5:29">
      <c r="E991" s="30"/>
      <c r="F991" s="30"/>
      <c r="G991" s="30"/>
      <c r="H991" s="30"/>
      <c r="I991" s="30"/>
      <c r="J991" s="30"/>
      <c r="K991" s="155"/>
      <c r="L991" s="155"/>
      <c r="M991" s="155"/>
      <c r="AC991" s="188"/>
    </row>
    <row r="992" customHeight="1" spans="5:29">
      <c r="E992" s="30"/>
      <c r="F992" s="30"/>
      <c r="G992" s="30"/>
      <c r="H992" s="30"/>
      <c r="I992" s="30"/>
      <c r="J992" s="30"/>
      <c r="K992" s="155"/>
      <c r="L992" s="155"/>
      <c r="M992" s="155"/>
      <c r="AC992" s="188"/>
    </row>
    <row r="993" customHeight="1" spans="5:29">
      <c r="E993" s="30"/>
      <c r="F993" s="30"/>
      <c r="G993" s="30"/>
      <c r="H993" s="30"/>
      <c r="I993" s="30"/>
      <c r="J993" s="30"/>
      <c r="K993" s="155"/>
      <c r="L993" s="155"/>
      <c r="M993" s="155"/>
      <c r="AC993" s="188"/>
    </row>
    <row r="994" customHeight="1" spans="5:29">
      <c r="E994" s="30"/>
      <c r="F994" s="30"/>
      <c r="G994" s="30"/>
      <c r="H994" s="30"/>
      <c r="I994" s="30"/>
      <c r="J994" s="30"/>
      <c r="K994" s="155"/>
      <c r="L994" s="155"/>
      <c r="M994" s="155"/>
      <c r="AC994" s="188"/>
    </row>
    <row r="995" customHeight="1" spans="5:29">
      <c r="E995" s="30"/>
      <c r="F995" s="30"/>
      <c r="G995" s="30"/>
      <c r="H995" s="30"/>
      <c r="I995" s="30"/>
      <c r="J995" s="30"/>
      <c r="K995" s="155"/>
      <c r="L995" s="155"/>
      <c r="M995" s="155"/>
      <c r="AC995" s="188"/>
    </row>
    <row r="996" customHeight="1" spans="5:29">
      <c r="E996" s="30"/>
      <c r="F996" s="30"/>
      <c r="G996" s="30"/>
      <c r="H996" s="30"/>
      <c r="I996" s="30"/>
      <c r="J996" s="30"/>
      <c r="K996" s="155"/>
      <c r="L996" s="155"/>
      <c r="M996" s="155"/>
      <c r="AC996" s="188"/>
    </row>
    <row r="997" customHeight="1" spans="5:29">
      <c r="E997" s="30"/>
      <c r="F997" s="30"/>
      <c r="G997" s="30"/>
      <c r="H997" s="30"/>
      <c r="I997" s="30"/>
      <c r="J997" s="30"/>
      <c r="K997" s="155"/>
      <c r="L997" s="155"/>
      <c r="M997" s="155"/>
      <c r="AC997" s="188"/>
    </row>
    <row r="998" customHeight="1" spans="5:29">
      <c r="E998" s="30"/>
      <c r="F998" s="30"/>
      <c r="G998" s="30"/>
      <c r="H998" s="30"/>
      <c r="I998" s="30"/>
      <c r="J998" s="30"/>
      <c r="K998" s="155"/>
      <c r="L998" s="155"/>
      <c r="M998" s="155"/>
      <c r="AC998" s="188"/>
    </row>
    <row r="999" customHeight="1" spans="5:29">
      <c r="E999" s="30"/>
      <c r="F999" s="30"/>
      <c r="G999" s="30"/>
      <c r="H999" s="30"/>
      <c r="I999" s="30"/>
      <c r="J999" s="30"/>
      <c r="K999" s="155"/>
      <c r="L999" s="155"/>
      <c r="M999" s="155"/>
      <c r="AC999" s="188"/>
    </row>
    <row r="1000" customHeight="1" spans="5:29">
      <c r="E1000" s="30"/>
      <c r="F1000" s="30"/>
      <c r="G1000" s="30"/>
      <c r="H1000" s="30"/>
      <c r="I1000" s="30"/>
      <c r="J1000" s="30"/>
      <c r="K1000" s="155"/>
      <c r="L1000" s="155"/>
      <c r="M1000" s="155"/>
      <c r="AC1000" s="188"/>
    </row>
    <row r="1001" customHeight="1" spans="5:29">
      <c r="E1001" s="30"/>
      <c r="F1001" s="30"/>
      <c r="G1001" s="30"/>
      <c r="H1001" s="30"/>
      <c r="I1001" s="30"/>
      <c r="J1001" s="30"/>
      <c r="K1001" s="155"/>
      <c r="L1001" s="155"/>
      <c r="M1001" s="155"/>
      <c r="AC1001" s="188"/>
    </row>
    <row r="1002" customHeight="1" spans="5:29">
      <c r="E1002" s="30"/>
      <c r="F1002" s="30"/>
      <c r="G1002" s="30"/>
      <c r="H1002" s="30"/>
      <c r="I1002" s="30"/>
      <c r="J1002" s="30"/>
      <c r="K1002" s="155"/>
      <c r="L1002" s="155"/>
      <c r="M1002" s="155"/>
      <c r="AC1002" s="188"/>
    </row>
    <row r="1003" customHeight="1" spans="5:29">
      <c r="E1003" s="30"/>
      <c r="F1003" s="30"/>
      <c r="G1003" s="30"/>
      <c r="H1003" s="30"/>
      <c r="I1003" s="30"/>
      <c r="J1003" s="30"/>
      <c r="K1003" s="155"/>
      <c r="L1003" s="155"/>
      <c r="M1003" s="155"/>
      <c r="AC1003" s="188"/>
    </row>
    <row r="1004" customHeight="1" spans="5:29">
      <c r="E1004" s="30"/>
      <c r="F1004" s="30"/>
      <c r="G1004" s="30"/>
      <c r="H1004" s="30"/>
      <c r="I1004" s="30"/>
      <c r="J1004" s="30"/>
      <c r="K1004" s="155"/>
      <c r="L1004" s="155"/>
      <c r="M1004" s="155"/>
      <c r="AC1004" s="188"/>
    </row>
    <row r="1005" customHeight="1" spans="5:29">
      <c r="E1005" s="30"/>
      <c r="F1005" s="30"/>
      <c r="G1005" s="30"/>
      <c r="H1005" s="30"/>
      <c r="I1005" s="30"/>
      <c r="J1005" s="30"/>
      <c r="K1005" s="155"/>
      <c r="L1005" s="155"/>
      <c r="M1005" s="155"/>
      <c r="AC1005" s="188"/>
    </row>
    <row r="1006" customHeight="1" spans="5:29">
      <c r="E1006" s="30"/>
      <c r="F1006" s="30"/>
      <c r="G1006" s="30"/>
      <c r="H1006" s="30"/>
      <c r="I1006" s="30"/>
      <c r="J1006" s="30"/>
      <c r="K1006" s="155"/>
      <c r="L1006" s="155"/>
      <c r="M1006" s="155"/>
      <c r="AC1006" s="188"/>
    </row>
    <row r="1007" customHeight="1" spans="5:29">
      <c r="E1007" s="30"/>
      <c r="F1007" s="30"/>
      <c r="G1007" s="30"/>
      <c r="H1007" s="30"/>
      <c r="I1007" s="30"/>
      <c r="J1007" s="30"/>
      <c r="K1007" s="155"/>
      <c r="L1007" s="155"/>
      <c r="M1007" s="155"/>
      <c r="AC1007" s="188"/>
    </row>
    <row r="1008" customHeight="1" spans="5:29">
      <c r="E1008" s="30"/>
      <c r="F1008" s="30"/>
      <c r="G1008" s="30"/>
      <c r="H1008" s="30"/>
      <c r="I1008" s="30"/>
      <c r="J1008" s="30"/>
      <c r="K1008" s="155"/>
      <c r="L1008" s="155"/>
      <c r="M1008" s="155"/>
      <c r="AC1008" s="188"/>
    </row>
    <row r="1009" customHeight="1" spans="5:29">
      <c r="E1009" s="30"/>
      <c r="F1009" s="30"/>
      <c r="G1009" s="30"/>
      <c r="H1009" s="30"/>
      <c r="I1009" s="30"/>
      <c r="J1009" s="30"/>
      <c r="K1009" s="155"/>
      <c r="L1009" s="155"/>
      <c r="M1009" s="155"/>
      <c r="AC1009" s="188"/>
    </row>
    <row r="1010" customHeight="1" spans="5:29">
      <c r="E1010" s="30"/>
      <c r="F1010" s="30"/>
      <c r="G1010" s="30"/>
      <c r="H1010" s="30"/>
      <c r="I1010" s="30"/>
      <c r="J1010" s="30"/>
      <c r="K1010" s="155"/>
      <c r="L1010" s="155"/>
      <c r="M1010" s="155"/>
      <c r="AC1010" s="188"/>
    </row>
    <row r="1011" customHeight="1" spans="5:29">
      <c r="E1011" s="30"/>
      <c r="F1011" s="30"/>
      <c r="G1011" s="30"/>
      <c r="H1011" s="30"/>
      <c r="I1011" s="30"/>
      <c r="J1011" s="30"/>
      <c r="K1011" s="155"/>
      <c r="L1011" s="155"/>
      <c r="M1011" s="155"/>
      <c r="AC1011" s="188"/>
    </row>
    <row r="1012" customHeight="1" spans="5:29">
      <c r="E1012" s="30"/>
      <c r="F1012" s="30"/>
      <c r="G1012" s="30"/>
      <c r="H1012" s="30"/>
      <c r="I1012" s="30"/>
      <c r="J1012" s="30"/>
      <c r="K1012" s="155"/>
      <c r="L1012" s="155"/>
      <c r="M1012" s="155"/>
      <c r="AC1012" s="188"/>
    </row>
    <row r="1013" customHeight="1" spans="5:29">
      <c r="E1013" s="30"/>
      <c r="F1013" s="30"/>
      <c r="G1013" s="30"/>
      <c r="H1013" s="30"/>
      <c r="I1013" s="30"/>
      <c r="J1013" s="30"/>
      <c r="K1013" s="155"/>
      <c r="L1013" s="155"/>
      <c r="M1013" s="155"/>
      <c r="AC1013" s="188"/>
    </row>
    <row r="1014" customHeight="1" spans="5:29">
      <c r="E1014" s="30"/>
      <c r="F1014" s="30"/>
      <c r="G1014" s="30"/>
      <c r="H1014" s="30"/>
      <c r="I1014" s="30"/>
      <c r="J1014" s="30"/>
      <c r="K1014" s="155"/>
      <c r="L1014" s="155"/>
      <c r="M1014" s="155"/>
      <c r="AC1014" s="188"/>
    </row>
    <row r="1015" customHeight="1" spans="5:29">
      <c r="E1015" s="30"/>
      <c r="F1015" s="30"/>
      <c r="G1015" s="30"/>
      <c r="H1015" s="30"/>
      <c r="I1015" s="30"/>
      <c r="J1015" s="30"/>
      <c r="K1015" s="155"/>
      <c r="L1015" s="155"/>
      <c r="M1015" s="155"/>
      <c r="AC1015" s="188"/>
    </row>
    <row r="1016" customHeight="1" spans="5:29">
      <c r="E1016" s="30"/>
      <c r="F1016" s="30"/>
      <c r="G1016" s="30"/>
      <c r="H1016" s="30"/>
      <c r="I1016" s="30"/>
      <c r="J1016" s="30"/>
      <c r="K1016" s="155"/>
      <c r="L1016" s="155"/>
      <c r="M1016" s="155"/>
      <c r="AC1016" s="188"/>
    </row>
    <row r="1017" customHeight="1" spans="5:29">
      <c r="E1017" s="30"/>
      <c r="F1017" s="30"/>
      <c r="G1017" s="30"/>
      <c r="H1017" s="30"/>
      <c r="I1017" s="30"/>
      <c r="J1017" s="30"/>
      <c r="K1017" s="155"/>
      <c r="L1017" s="155"/>
      <c r="M1017" s="155"/>
      <c r="AC1017" s="188"/>
    </row>
    <row r="1018" customHeight="1" spans="5:29">
      <c r="E1018" s="30"/>
      <c r="F1018" s="30"/>
      <c r="G1018" s="30"/>
      <c r="H1018" s="30"/>
      <c r="I1018" s="30"/>
      <c r="J1018" s="30"/>
      <c r="K1018" s="155"/>
      <c r="L1018" s="155"/>
      <c r="M1018" s="155"/>
      <c r="AC1018" s="188"/>
    </row>
    <row r="1019" customHeight="1" spans="5:29">
      <c r="E1019" s="30"/>
      <c r="F1019" s="30"/>
      <c r="G1019" s="30"/>
      <c r="H1019" s="30"/>
      <c r="I1019" s="30"/>
      <c r="J1019" s="30"/>
      <c r="K1019" s="155"/>
      <c r="L1019" s="155"/>
      <c r="M1019" s="155"/>
      <c r="AC1019" s="188"/>
    </row>
    <row r="1020" customHeight="1" spans="5:29">
      <c r="E1020" s="30"/>
      <c r="F1020" s="30"/>
      <c r="G1020" s="30"/>
      <c r="H1020" s="30"/>
      <c r="I1020" s="30"/>
      <c r="J1020" s="30"/>
      <c r="K1020" s="155"/>
      <c r="L1020" s="155"/>
      <c r="M1020" s="155"/>
      <c r="AC1020" s="188"/>
    </row>
    <row r="1021" customHeight="1" spans="5:29">
      <c r="E1021" s="30"/>
      <c r="F1021" s="30"/>
      <c r="G1021" s="30"/>
      <c r="H1021" s="30"/>
      <c r="I1021" s="30"/>
      <c r="J1021" s="30"/>
      <c r="K1021" s="155"/>
      <c r="L1021" s="155"/>
      <c r="M1021" s="155"/>
      <c r="AC1021" s="188"/>
    </row>
    <row r="1022" customHeight="1" spans="5:29">
      <c r="E1022" s="30"/>
      <c r="F1022" s="30"/>
      <c r="G1022" s="30"/>
      <c r="H1022" s="30"/>
      <c r="I1022" s="30"/>
      <c r="J1022" s="30"/>
      <c r="K1022" s="155"/>
      <c r="L1022" s="155"/>
      <c r="M1022" s="155"/>
      <c r="AC1022" s="188"/>
    </row>
    <row r="1023" customHeight="1" spans="5:29">
      <c r="E1023" s="30"/>
      <c r="F1023" s="30"/>
      <c r="G1023" s="30"/>
      <c r="H1023" s="30"/>
      <c r="I1023" s="30"/>
      <c r="J1023" s="30"/>
      <c r="K1023" s="155"/>
      <c r="L1023" s="155"/>
      <c r="M1023" s="155"/>
      <c r="AC1023" s="188"/>
    </row>
    <row r="1024" customHeight="1" spans="5:29">
      <c r="E1024" s="30"/>
      <c r="F1024" s="30"/>
      <c r="G1024" s="30"/>
      <c r="H1024" s="30"/>
      <c r="I1024" s="30"/>
      <c r="J1024" s="30"/>
      <c r="K1024" s="155"/>
      <c r="L1024" s="155"/>
      <c r="M1024" s="155"/>
      <c r="AC1024" s="188"/>
    </row>
    <row r="1025" customHeight="1" spans="5:29">
      <c r="E1025" s="30"/>
      <c r="F1025" s="30"/>
      <c r="G1025" s="30"/>
      <c r="H1025" s="30"/>
      <c r="I1025" s="30"/>
      <c r="J1025" s="30"/>
      <c r="K1025" s="155"/>
      <c r="L1025" s="155"/>
      <c r="M1025" s="155"/>
      <c r="AC1025" s="188"/>
    </row>
    <row r="1026" customHeight="1" spans="5:29">
      <c r="E1026" s="30"/>
      <c r="F1026" s="30"/>
      <c r="G1026" s="30"/>
      <c r="H1026" s="30"/>
      <c r="I1026" s="30"/>
      <c r="J1026" s="30"/>
      <c r="K1026" s="155"/>
      <c r="L1026" s="155"/>
      <c r="M1026" s="155"/>
      <c r="AC1026" s="188"/>
    </row>
    <row r="1027" customHeight="1" spans="5:29">
      <c r="E1027" s="30"/>
      <c r="F1027" s="30"/>
      <c r="G1027" s="30"/>
      <c r="H1027" s="30"/>
      <c r="I1027" s="30"/>
      <c r="J1027" s="30"/>
      <c r="K1027" s="155"/>
      <c r="L1027" s="155"/>
      <c r="M1027" s="155"/>
      <c r="AC1027" s="188"/>
    </row>
    <row r="1028" customHeight="1" spans="5:29">
      <c r="E1028" s="30"/>
      <c r="F1028" s="30"/>
      <c r="G1028" s="30"/>
      <c r="H1028" s="30"/>
      <c r="I1028" s="30"/>
      <c r="J1028" s="30"/>
      <c r="K1028" s="155"/>
      <c r="L1028" s="155"/>
      <c r="M1028" s="155"/>
      <c r="AC1028" s="188"/>
    </row>
    <row r="1029" customHeight="1" spans="5:29">
      <c r="E1029" s="30"/>
      <c r="F1029" s="30"/>
      <c r="G1029" s="30"/>
      <c r="H1029" s="30"/>
      <c r="I1029" s="30"/>
      <c r="J1029" s="30"/>
      <c r="K1029" s="155"/>
      <c r="L1029" s="155"/>
      <c r="M1029" s="155"/>
      <c r="AC1029" s="188"/>
    </row>
    <row r="1030" customHeight="1" spans="5:29">
      <c r="E1030" s="30"/>
      <c r="F1030" s="30"/>
      <c r="G1030" s="30"/>
      <c r="H1030" s="30"/>
      <c r="I1030" s="30"/>
      <c r="J1030" s="30"/>
      <c r="K1030" s="155"/>
      <c r="L1030" s="155"/>
      <c r="M1030" s="155"/>
      <c r="AC1030" s="188"/>
    </row>
    <row r="1031" customHeight="1" spans="5:29">
      <c r="E1031" s="30"/>
      <c r="F1031" s="30"/>
      <c r="G1031" s="30"/>
      <c r="H1031" s="30"/>
      <c r="I1031" s="30"/>
      <c r="J1031" s="30"/>
      <c r="K1031" s="155"/>
      <c r="L1031" s="155"/>
      <c r="M1031" s="155"/>
      <c r="AC1031" s="188"/>
    </row>
    <row r="1032" customHeight="1" spans="5:29">
      <c r="E1032" s="30"/>
      <c r="F1032" s="30"/>
      <c r="G1032" s="30"/>
      <c r="H1032" s="30"/>
      <c r="I1032" s="30"/>
      <c r="J1032" s="30"/>
      <c r="K1032" s="155"/>
      <c r="L1032" s="155"/>
      <c r="M1032" s="155"/>
      <c r="AC1032" s="188"/>
    </row>
    <row r="1033" customHeight="1" spans="5:29">
      <c r="E1033" s="30"/>
      <c r="F1033" s="30"/>
      <c r="G1033" s="30"/>
      <c r="H1033" s="30"/>
      <c r="I1033" s="30"/>
      <c r="J1033" s="30"/>
      <c r="K1033" s="155"/>
      <c r="L1033" s="155"/>
      <c r="M1033" s="155"/>
      <c r="AC1033" s="188"/>
    </row>
    <row r="1034" customHeight="1" spans="5:29">
      <c r="E1034" s="30"/>
      <c r="F1034" s="30"/>
      <c r="G1034" s="30"/>
      <c r="H1034" s="30"/>
      <c r="I1034" s="30"/>
      <c r="J1034" s="30"/>
      <c r="K1034" s="155"/>
      <c r="L1034" s="155"/>
      <c r="M1034" s="155"/>
      <c r="AC1034" s="188"/>
    </row>
    <row r="1035" customHeight="1" spans="5:29">
      <c r="E1035" s="30"/>
      <c r="F1035" s="30"/>
      <c r="G1035" s="30"/>
      <c r="H1035" s="30"/>
      <c r="I1035" s="30"/>
      <c r="J1035" s="30"/>
      <c r="K1035" s="155"/>
      <c r="L1035" s="155"/>
      <c r="M1035" s="155"/>
      <c r="AC1035" s="188"/>
    </row>
    <row r="1036" customHeight="1" spans="5:29">
      <c r="E1036" s="30"/>
      <c r="F1036" s="30"/>
      <c r="G1036" s="30"/>
      <c r="H1036" s="30"/>
      <c r="I1036" s="30"/>
      <c r="J1036" s="30"/>
      <c r="K1036" s="155"/>
      <c r="L1036" s="155"/>
      <c r="M1036" s="155"/>
      <c r="AC1036" s="188"/>
    </row>
    <row r="1037" customHeight="1" spans="5:29">
      <c r="E1037" s="30"/>
      <c r="F1037" s="30"/>
      <c r="G1037" s="30"/>
      <c r="H1037" s="30"/>
      <c r="I1037" s="30"/>
      <c r="J1037" s="30"/>
      <c r="K1037" s="155"/>
      <c r="L1037" s="155"/>
      <c r="M1037" s="155"/>
      <c r="AC1037" s="188"/>
    </row>
    <row r="1038" customHeight="1" spans="5:29">
      <c r="E1038" s="30"/>
      <c r="F1038" s="30"/>
      <c r="G1038" s="30"/>
      <c r="H1038" s="30"/>
      <c r="I1038" s="30"/>
      <c r="J1038" s="30"/>
      <c r="K1038" s="155"/>
      <c r="L1038" s="155"/>
      <c r="M1038" s="155"/>
      <c r="AC1038" s="188"/>
    </row>
    <row r="1039" customHeight="1" spans="5:29">
      <c r="E1039" s="30"/>
      <c r="F1039" s="30"/>
      <c r="G1039" s="30"/>
      <c r="H1039" s="30"/>
      <c r="I1039" s="30"/>
      <c r="J1039" s="30"/>
      <c r="K1039" s="155"/>
      <c r="L1039" s="155"/>
      <c r="M1039" s="155"/>
      <c r="AC1039" s="188"/>
    </row>
    <row r="1040" customHeight="1" spans="5:29">
      <c r="E1040" s="30"/>
      <c r="F1040" s="30"/>
      <c r="G1040" s="30"/>
      <c r="H1040" s="30"/>
      <c r="I1040" s="30"/>
      <c r="J1040" s="30"/>
      <c r="K1040" s="155"/>
      <c r="L1040" s="155"/>
      <c r="M1040" s="155"/>
      <c r="AC1040" s="188"/>
    </row>
    <row r="1041" customHeight="1" spans="5:29">
      <c r="E1041" s="30"/>
      <c r="F1041" s="30"/>
      <c r="G1041" s="30"/>
      <c r="H1041" s="30"/>
      <c r="I1041" s="30"/>
      <c r="J1041" s="30"/>
      <c r="K1041" s="155"/>
      <c r="L1041" s="155"/>
      <c r="M1041" s="155"/>
      <c r="AC1041" s="188"/>
    </row>
    <row r="1042" customHeight="1" spans="5:29">
      <c r="E1042" s="30"/>
      <c r="F1042" s="30"/>
      <c r="G1042" s="30"/>
      <c r="H1042" s="30"/>
      <c r="I1042" s="30"/>
      <c r="J1042" s="30"/>
      <c r="K1042" s="155"/>
      <c r="L1042" s="155"/>
      <c r="M1042" s="155"/>
      <c r="AC1042" s="188"/>
    </row>
    <row r="1043" customHeight="1" spans="5:29">
      <c r="E1043" s="30"/>
      <c r="F1043" s="30"/>
      <c r="G1043" s="30"/>
      <c r="H1043" s="30"/>
      <c r="I1043" s="30"/>
      <c r="J1043" s="30"/>
      <c r="K1043" s="155"/>
      <c r="L1043" s="155"/>
      <c r="M1043" s="155"/>
      <c r="AC1043" s="188"/>
    </row>
    <row r="1044" customHeight="1" spans="5:29">
      <c r="E1044" s="30"/>
      <c r="F1044" s="30"/>
      <c r="G1044" s="30"/>
      <c r="H1044" s="30"/>
      <c r="I1044" s="30"/>
      <c r="J1044" s="30"/>
      <c r="K1044" s="155"/>
      <c r="L1044" s="155"/>
      <c r="M1044" s="155"/>
      <c r="AC1044" s="188"/>
    </row>
    <row r="1045" customHeight="1" spans="5:29">
      <c r="E1045" s="30"/>
      <c r="F1045" s="30"/>
      <c r="G1045" s="30"/>
      <c r="H1045" s="30"/>
      <c r="I1045" s="30"/>
      <c r="J1045" s="30"/>
      <c r="K1045" s="155"/>
      <c r="L1045" s="155"/>
      <c r="M1045" s="155"/>
      <c r="AC1045" s="188"/>
    </row>
    <row r="1046" customHeight="1" spans="5:29">
      <c r="E1046" s="30"/>
      <c r="F1046" s="30"/>
      <c r="G1046" s="30"/>
      <c r="H1046" s="30"/>
      <c r="I1046" s="30"/>
      <c r="J1046" s="30"/>
      <c r="K1046" s="155"/>
      <c r="L1046" s="155"/>
      <c r="M1046" s="155"/>
      <c r="AC1046" s="188"/>
    </row>
    <row r="1047" customHeight="1" spans="5:29">
      <c r="E1047" s="30"/>
      <c r="F1047" s="30"/>
      <c r="G1047" s="30"/>
      <c r="H1047" s="30"/>
      <c r="I1047" s="30"/>
      <c r="J1047" s="30"/>
      <c r="K1047" s="155"/>
      <c r="L1047" s="155"/>
      <c r="M1047" s="155"/>
      <c r="AC1047" s="188"/>
    </row>
    <row r="1048" customHeight="1" spans="5:29">
      <c r="E1048" s="30"/>
      <c r="F1048" s="30"/>
      <c r="G1048" s="30"/>
      <c r="H1048" s="30"/>
      <c r="I1048" s="30"/>
      <c r="J1048" s="30"/>
      <c r="K1048" s="155"/>
      <c r="L1048" s="155"/>
      <c r="M1048" s="155"/>
      <c r="AC1048" s="188"/>
    </row>
    <row r="1049" customHeight="1" spans="5:29">
      <c r="E1049" s="30"/>
      <c r="F1049" s="30"/>
      <c r="G1049" s="30"/>
      <c r="H1049" s="30"/>
      <c r="I1049" s="30"/>
      <c r="J1049" s="30"/>
      <c r="K1049" s="155"/>
      <c r="L1049" s="155"/>
      <c r="M1049" s="155"/>
      <c r="AC1049" s="188"/>
    </row>
    <row r="1050" customHeight="1" spans="5:29">
      <c r="E1050" s="30"/>
      <c r="F1050" s="30"/>
      <c r="G1050" s="30"/>
      <c r="H1050" s="30"/>
      <c r="I1050" s="30"/>
      <c r="J1050" s="30"/>
      <c r="K1050" s="155"/>
      <c r="L1050" s="155"/>
      <c r="M1050" s="155"/>
      <c r="AC1050" s="188"/>
    </row>
    <row r="1051" customHeight="1" spans="5:29">
      <c r="E1051" s="30"/>
      <c r="F1051" s="30"/>
      <c r="G1051" s="30"/>
      <c r="H1051" s="30"/>
      <c r="I1051" s="30"/>
      <c r="J1051" s="30"/>
      <c r="K1051" s="155"/>
      <c r="L1051" s="155"/>
      <c r="M1051" s="155"/>
      <c r="AC1051" s="188"/>
    </row>
    <row r="1052" customHeight="1" spans="5:29">
      <c r="E1052" s="30"/>
      <c r="F1052" s="30"/>
      <c r="G1052" s="30"/>
      <c r="H1052" s="30"/>
      <c r="I1052" s="30"/>
      <c r="J1052" s="30"/>
      <c r="K1052" s="155"/>
      <c r="L1052" s="155"/>
      <c r="M1052" s="155"/>
      <c r="AC1052" s="188"/>
    </row>
    <row r="1053" customHeight="1" spans="5:29">
      <c r="E1053" s="30"/>
      <c r="F1053" s="30"/>
      <c r="G1053" s="30"/>
      <c r="H1053" s="30"/>
      <c r="I1053" s="30"/>
      <c r="J1053" s="30"/>
      <c r="K1053" s="155"/>
      <c r="L1053" s="155"/>
      <c r="M1053" s="155"/>
      <c r="AC1053" s="188"/>
    </row>
    <row r="1054" customHeight="1" spans="5:29">
      <c r="E1054" s="30"/>
      <c r="F1054" s="30"/>
      <c r="G1054" s="30"/>
      <c r="H1054" s="30"/>
      <c r="I1054" s="30"/>
      <c r="J1054" s="30"/>
      <c r="K1054" s="155"/>
      <c r="L1054" s="155"/>
      <c r="M1054" s="155"/>
      <c r="AC1054" s="188"/>
    </row>
    <row r="1055" customHeight="1" spans="5:29">
      <c r="E1055" s="30"/>
      <c r="F1055" s="30"/>
      <c r="G1055" s="30"/>
      <c r="H1055" s="30"/>
      <c r="I1055" s="30"/>
      <c r="J1055" s="30"/>
      <c r="K1055" s="155"/>
      <c r="L1055" s="155"/>
      <c r="M1055" s="155"/>
      <c r="AC1055" s="188"/>
    </row>
    <row r="1056" customHeight="1" spans="5:29">
      <c r="E1056" s="30"/>
      <c r="F1056" s="30"/>
      <c r="G1056" s="30"/>
      <c r="H1056" s="30"/>
      <c r="I1056" s="30"/>
      <c r="J1056" s="30"/>
      <c r="K1056" s="155"/>
      <c r="L1056" s="155"/>
      <c r="M1056" s="155"/>
      <c r="AC1056" s="188"/>
    </row>
    <row r="1057" customHeight="1" spans="5:29">
      <c r="E1057" s="30"/>
      <c r="F1057" s="30"/>
      <c r="G1057" s="30"/>
      <c r="H1057" s="30"/>
      <c r="I1057" s="30"/>
      <c r="J1057" s="30"/>
      <c r="K1057" s="155"/>
      <c r="L1057" s="155"/>
      <c r="M1057" s="155"/>
      <c r="AC1057" s="188"/>
    </row>
    <row r="1058" customHeight="1" spans="5:29">
      <c r="E1058" s="30"/>
      <c r="F1058" s="30"/>
      <c r="G1058" s="30"/>
      <c r="H1058" s="30"/>
      <c r="I1058" s="30"/>
      <c r="J1058" s="30"/>
      <c r="K1058" s="155"/>
      <c r="L1058" s="155"/>
      <c r="M1058" s="155"/>
      <c r="AC1058" s="188"/>
    </row>
    <row r="1059" customHeight="1" spans="5:29">
      <c r="E1059" s="30"/>
      <c r="F1059" s="30"/>
      <c r="G1059" s="30"/>
      <c r="H1059" s="30"/>
      <c r="I1059" s="30"/>
      <c r="J1059" s="30"/>
      <c r="K1059" s="155"/>
      <c r="L1059" s="155"/>
      <c r="M1059" s="155"/>
      <c r="AC1059" s="188"/>
    </row>
    <row r="1060" customHeight="1" spans="5:29">
      <c r="E1060" s="30"/>
      <c r="F1060" s="30"/>
      <c r="G1060" s="30"/>
      <c r="H1060" s="30"/>
      <c r="I1060" s="30"/>
      <c r="J1060" s="30"/>
      <c r="K1060" s="155"/>
      <c r="L1060" s="155"/>
      <c r="M1060" s="155"/>
      <c r="AC1060" s="188"/>
    </row>
    <row r="1061" customHeight="1" spans="5:29">
      <c r="E1061" s="30"/>
      <c r="F1061" s="30"/>
      <c r="G1061" s="30"/>
      <c r="H1061" s="30"/>
      <c r="I1061" s="30"/>
      <c r="J1061" s="30"/>
      <c r="K1061" s="155"/>
      <c r="L1061" s="155"/>
      <c r="M1061" s="155"/>
      <c r="AC1061" s="188"/>
    </row>
    <row r="1062" customHeight="1" spans="5:29">
      <c r="E1062" s="30"/>
      <c r="F1062" s="30"/>
      <c r="G1062" s="30"/>
      <c r="H1062" s="30"/>
      <c r="I1062" s="30"/>
      <c r="J1062" s="30"/>
      <c r="K1062" s="155"/>
      <c r="L1062" s="155"/>
      <c r="M1062" s="155"/>
      <c r="AC1062" s="188"/>
    </row>
    <row r="1063" customHeight="1" spans="5:29">
      <c r="E1063" s="30"/>
      <c r="F1063" s="30"/>
      <c r="G1063" s="30"/>
      <c r="H1063" s="30"/>
      <c r="I1063" s="30"/>
      <c r="J1063" s="30"/>
      <c r="K1063" s="155"/>
      <c r="L1063" s="155"/>
      <c r="M1063" s="155"/>
      <c r="AC1063" s="188"/>
    </row>
    <row r="1064" customHeight="1" spans="5:29">
      <c r="E1064" s="30"/>
      <c r="F1064" s="30"/>
      <c r="G1064" s="30"/>
      <c r="H1064" s="30"/>
      <c r="I1064" s="30"/>
      <c r="J1064" s="30"/>
      <c r="K1064" s="155"/>
      <c r="L1064" s="155"/>
      <c r="M1064" s="155"/>
      <c r="AC1064" s="188"/>
    </row>
    <row r="1065" customHeight="1" spans="5:29">
      <c r="E1065" s="30"/>
      <c r="F1065" s="30"/>
      <c r="G1065" s="30"/>
      <c r="H1065" s="30"/>
      <c r="I1065" s="30"/>
      <c r="J1065" s="30"/>
      <c r="K1065" s="155"/>
      <c r="L1065" s="155"/>
      <c r="M1065" s="155"/>
      <c r="AC1065" s="188"/>
    </row>
    <row r="1066" customHeight="1" spans="5:29">
      <c r="E1066" s="30"/>
      <c r="F1066" s="30"/>
      <c r="G1066" s="30"/>
      <c r="H1066" s="30"/>
      <c r="I1066" s="30"/>
      <c r="J1066" s="30"/>
      <c r="K1066" s="155"/>
      <c r="L1066" s="155"/>
      <c r="M1066" s="155"/>
      <c r="AC1066" s="188"/>
    </row>
    <row r="1067" customHeight="1" spans="5:29">
      <c r="E1067" s="30"/>
      <c r="F1067" s="30"/>
      <c r="G1067" s="30"/>
      <c r="H1067" s="30"/>
      <c r="I1067" s="30"/>
      <c r="J1067" s="30"/>
      <c r="K1067" s="155"/>
      <c r="L1067" s="155"/>
      <c r="M1067" s="155"/>
      <c r="AC1067" s="188"/>
    </row>
    <row r="1068" customHeight="1" spans="5:29">
      <c r="E1068" s="30"/>
      <c r="F1068" s="30"/>
      <c r="G1068" s="30"/>
      <c r="H1068" s="30"/>
      <c r="I1068" s="30"/>
      <c r="J1068" s="30"/>
      <c r="K1068" s="155"/>
      <c r="L1068" s="155"/>
      <c r="M1068" s="155"/>
      <c r="AC1068" s="188"/>
    </row>
    <row r="1069" customHeight="1" spans="5:29">
      <c r="E1069" s="30"/>
      <c r="F1069" s="30"/>
      <c r="G1069" s="30"/>
      <c r="H1069" s="30"/>
      <c r="I1069" s="30"/>
      <c r="J1069" s="30"/>
      <c r="K1069" s="155"/>
      <c r="L1069" s="155"/>
      <c r="M1069" s="155"/>
      <c r="AC1069" s="188"/>
    </row>
    <row r="1070" customHeight="1" spans="5:29">
      <c r="E1070" s="30"/>
      <c r="F1070" s="30"/>
      <c r="G1070" s="30"/>
      <c r="H1070" s="30"/>
      <c r="I1070" s="30"/>
      <c r="J1070" s="30"/>
      <c r="K1070" s="155"/>
      <c r="L1070" s="155"/>
      <c r="M1070" s="155"/>
      <c r="AC1070" s="188"/>
    </row>
    <row r="1071" customHeight="1" spans="5:29">
      <c r="E1071" s="30"/>
      <c r="F1071" s="30"/>
      <c r="G1071" s="30"/>
      <c r="H1071" s="30"/>
      <c r="I1071" s="30"/>
      <c r="J1071" s="30"/>
      <c r="K1071" s="155"/>
      <c r="L1071" s="155"/>
      <c r="M1071" s="155"/>
      <c r="AC1071" s="188"/>
    </row>
    <row r="1072" customHeight="1" spans="5:29">
      <c r="E1072" s="30"/>
      <c r="F1072" s="30"/>
      <c r="G1072" s="30"/>
      <c r="H1072" s="30"/>
      <c r="I1072" s="30"/>
      <c r="J1072" s="30"/>
      <c r="K1072" s="155"/>
      <c r="L1072" s="155"/>
      <c r="M1072" s="155"/>
      <c r="AC1072" s="188"/>
    </row>
    <row r="1073" customHeight="1" spans="5:29">
      <c r="E1073" s="30"/>
      <c r="F1073" s="30"/>
      <c r="G1073" s="30"/>
      <c r="H1073" s="30"/>
      <c r="I1073" s="30"/>
      <c r="J1073" s="30"/>
      <c r="K1073" s="155"/>
      <c r="L1073" s="155"/>
      <c r="M1073" s="155"/>
      <c r="AC1073" s="188"/>
    </row>
    <row r="1074" customHeight="1" spans="5:29">
      <c r="E1074" s="30"/>
      <c r="F1074" s="30"/>
      <c r="G1074" s="30"/>
      <c r="H1074" s="30"/>
      <c r="I1074" s="30"/>
      <c r="J1074" s="30"/>
      <c r="K1074" s="155"/>
      <c r="L1074" s="155"/>
      <c r="M1074" s="155"/>
      <c r="AC1074" s="188"/>
    </row>
    <row r="1075" customHeight="1" spans="5:29">
      <c r="E1075" s="30"/>
      <c r="F1075" s="30"/>
      <c r="G1075" s="30"/>
      <c r="H1075" s="30"/>
      <c r="I1075" s="30"/>
      <c r="J1075" s="30"/>
      <c r="K1075" s="155"/>
      <c r="L1075" s="155"/>
      <c r="M1075" s="155"/>
      <c r="AC1075" s="188"/>
    </row>
    <row r="1076" customHeight="1" spans="5:29">
      <c r="E1076" s="30"/>
      <c r="F1076" s="30"/>
      <c r="G1076" s="30"/>
      <c r="H1076" s="30"/>
      <c r="I1076" s="30"/>
      <c r="J1076" s="30"/>
      <c r="K1076" s="155"/>
      <c r="L1076" s="155"/>
      <c r="M1076" s="155"/>
      <c r="AC1076" s="188"/>
    </row>
    <row r="1077" customHeight="1" spans="5:29">
      <c r="E1077" s="30"/>
      <c r="F1077" s="30"/>
      <c r="G1077" s="30"/>
      <c r="H1077" s="30"/>
      <c r="I1077" s="30"/>
      <c r="J1077" s="30"/>
      <c r="K1077" s="155"/>
      <c r="L1077" s="155"/>
      <c r="M1077" s="155"/>
      <c r="AC1077" s="188"/>
    </row>
    <row r="1078" customHeight="1" spans="5:29">
      <c r="E1078" s="30"/>
      <c r="F1078" s="30"/>
      <c r="G1078" s="30"/>
      <c r="H1078" s="30"/>
      <c r="I1078" s="30"/>
      <c r="J1078" s="30"/>
      <c r="K1078" s="155"/>
      <c r="L1078" s="155"/>
      <c r="M1078" s="155"/>
      <c r="AC1078" s="188"/>
    </row>
    <row r="1079" customHeight="1" spans="5:29">
      <c r="E1079" s="30"/>
      <c r="F1079" s="30"/>
      <c r="G1079" s="30"/>
      <c r="H1079" s="30"/>
      <c r="I1079" s="30"/>
      <c r="J1079" s="30"/>
      <c r="K1079" s="155"/>
      <c r="L1079" s="155"/>
      <c r="M1079" s="155"/>
      <c r="AC1079" s="188"/>
    </row>
    <row r="1080" customHeight="1" spans="5:29">
      <c r="E1080" s="30"/>
      <c r="F1080" s="30"/>
      <c r="G1080" s="30"/>
      <c r="H1080" s="30"/>
      <c r="I1080" s="30"/>
      <c r="J1080" s="30"/>
      <c r="K1080" s="155"/>
      <c r="L1080" s="155"/>
      <c r="M1080" s="155"/>
      <c r="AC1080" s="188"/>
    </row>
    <row r="1081" customHeight="1" spans="5:29">
      <c r="E1081" s="30"/>
      <c r="F1081" s="30"/>
      <c r="G1081" s="30"/>
      <c r="H1081" s="30"/>
      <c r="I1081" s="30"/>
      <c r="J1081" s="30"/>
      <c r="K1081" s="155"/>
      <c r="L1081" s="155"/>
      <c r="M1081" s="155"/>
      <c r="AC1081" s="188"/>
    </row>
    <row r="1082" customHeight="1" spans="5:29">
      <c r="E1082" s="30"/>
      <c r="F1082" s="30"/>
      <c r="G1082" s="30"/>
      <c r="H1082" s="30"/>
      <c r="I1082" s="30"/>
      <c r="J1082" s="30"/>
      <c r="K1082" s="155"/>
      <c r="L1082" s="155"/>
      <c r="M1082" s="155"/>
      <c r="AC1082" s="188"/>
    </row>
    <row r="1083" customHeight="1" spans="5:29">
      <c r="E1083" s="30"/>
      <c r="F1083" s="30"/>
      <c r="G1083" s="30"/>
      <c r="H1083" s="30"/>
      <c r="I1083" s="30"/>
      <c r="J1083" s="30"/>
      <c r="K1083" s="155"/>
      <c r="L1083" s="155"/>
      <c r="M1083" s="155"/>
      <c r="AC1083" s="188"/>
    </row>
    <row r="1084" customHeight="1" spans="5:29">
      <c r="E1084" s="30"/>
      <c r="F1084" s="30"/>
      <c r="G1084" s="30"/>
      <c r="H1084" s="30"/>
      <c r="I1084" s="30"/>
      <c r="J1084" s="30"/>
      <c r="K1084" s="155"/>
      <c r="L1084" s="155"/>
      <c r="M1084" s="155"/>
      <c r="AC1084" s="188"/>
    </row>
    <row r="1085" customHeight="1" spans="5:29">
      <c r="E1085" s="30"/>
      <c r="F1085" s="30"/>
      <c r="G1085" s="30"/>
      <c r="H1085" s="30"/>
      <c r="I1085" s="30"/>
      <c r="J1085" s="30"/>
      <c r="K1085" s="155"/>
      <c r="L1085" s="155"/>
      <c r="M1085" s="155"/>
      <c r="AC1085" s="188"/>
    </row>
    <row r="1086" customHeight="1" spans="5:29">
      <c r="E1086" s="30"/>
      <c r="F1086" s="30"/>
      <c r="G1086" s="30"/>
      <c r="H1086" s="30"/>
      <c r="I1086" s="30"/>
      <c r="J1086" s="30"/>
      <c r="K1086" s="155"/>
      <c r="L1086" s="155"/>
      <c r="M1086" s="155"/>
      <c r="AC1086" s="188"/>
    </row>
    <row r="1087" customHeight="1" spans="5:29">
      <c r="E1087" s="30"/>
      <c r="F1087" s="30"/>
      <c r="G1087" s="30"/>
      <c r="H1087" s="30"/>
      <c r="I1087" s="30"/>
      <c r="J1087" s="30"/>
      <c r="K1087" s="155"/>
      <c r="L1087" s="155"/>
      <c r="M1087" s="155"/>
      <c r="AC1087" s="188"/>
    </row>
    <row r="1088" customHeight="1" spans="5:29">
      <c r="E1088" s="30"/>
      <c r="F1088" s="30"/>
      <c r="G1088" s="30"/>
      <c r="H1088" s="30"/>
      <c r="I1088" s="30"/>
      <c r="J1088" s="30"/>
      <c r="K1088" s="155"/>
      <c r="L1088" s="155"/>
      <c r="M1088" s="155"/>
      <c r="AC1088" s="188"/>
    </row>
    <row r="1089" customHeight="1" spans="5:29">
      <c r="E1089" s="30"/>
      <c r="F1089" s="30"/>
      <c r="G1089" s="30"/>
      <c r="H1089" s="30"/>
      <c r="I1089" s="30"/>
      <c r="J1089" s="30"/>
      <c r="K1089" s="155"/>
      <c r="L1089" s="155"/>
      <c r="M1089" s="155"/>
      <c r="AC1089" s="188"/>
    </row>
    <row r="1090" customHeight="1" spans="5:29">
      <c r="E1090" s="30"/>
      <c r="F1090" s="30"/>
      <c r="G1090" s="30"/>
      <c r="H1090" s="30"/>
      <c r="I1090" s="30"/>
      <c r="J1090" s="30"/>
      <c r="K1090" s="155"/>
      <c r="L1090" s="155"/>
      <c r="M1090" s="155"/>
      <c r="AC1090" s="188"/>
    </row>
    <row r="1091" customHeight="1" spans="5:29">
      <c r="E1091" s="30"/>
      <c r="F1091" s="30"/>
      <c r="G1091" s="30"/>
      <c r="H1091" s="30"/>
      <c r="I1091" s="30"/>
      <c r="J1091" s="30"/>
      <c r="K1091" s="155"/>
      <c r="L1091" s="155"/>
      <c r="M1091" s="155"/>
      <c r="AC1091" s="188"/>
    </row>
    <row r="1092" customHeight="1" spans="5:29">
      <c r="E1092" s="30"/>
      <c r="F1092" s="30"/>
      <c r="G1092" s="30"/>
      <c r="H1092" s="30"/>
      <c r="I1092" s="30"/>
      <c r="J1092" s="30"/>
      <c r="K1092" s="155"/>
      <c r="L1092" s="155"/>
      <c r="M1092" s="155"/>
      <c r="AC1092" s="188"/>
    </row>
    <row r="1093" customHeight="1" spans="5:29">
      <c r="E1093" s="30"/>
      <c r="F1093" s="30"/>
      <c r="G1093" s="30"/>
      <c r="H1093" s="30"/>
      <c r="I1093" s="30"/>
      <c r="J1093" s="30"/>
      <c r="K1093" s="155"/>
      <c r="L1093" s="155"/>
      <c r="M1093" s="155"/>
      <c r="AC1093" s="188"/>
    </row>
    <row r="1094" customHeight="1" spans="5:29">
      <c r="E1094" s="30"/>
      <c r="F1094" s="30"/>
      <c r="G1094" s="30"/>
      <c r="H1094" s="30"/>
      <c r="I1094" s="30"/>
      <c r="J1094" s="30"/>
      <c r="K1094" s="155"/>
      <c r="L1094" s="155"/>
      <c r="M1094" s="155"/>
      <c r="AC1094" s="188"/>
    </row>
    <row r="1095" customHeight="1" spans="5:29">
      <c r="E1095" s="30"/>
      <c r="F1095" s="30"/>
      <c r="G1095" s="30"/>
      <c r="H1095" s="30"/>
      <c r="I1095" s="30"/>
      <c r="J1095" s="30"/>
      <c r="K1095" s="155"/>
      <c r="L1095" s="155"/>
      <c r="M1095" s="155"/>
      <c r="AC1095" s="188"/>
    </row>
    <row r="1096" customHeight="1" spans="5:29">
      <c r="E1096" s="30"/>
      <c r="F1096" s="30"/>
      <c r="G1096" s="30"/>
      <c r="H1096" s="30"/>
      <c r="I1096" s="30"/>
      <c r="J1096" s="30"/>
      <c r="K1096" s="155"/>
      <c r="L1096" s="155"/>
      <c r="M1096" s="155"/>
      <c r="AC1096" s="188"/>
    </row>
    <row r="1097" customHeight="1" spans="5:29">
      <c r="E1097" s="30"/>
      <c r="F1097" s="30"/>
      <c r="G1097" s="30"/>
      <c r="H1097" s="30"/>
      <c r="I1097" s="30"/>
      <c r="J1097" s="30"/>
      <c r="K1097" s="155"/>
      <c r="L1097" s="155"/>
      <c r="M1097" s="155"/>
      <c r="AC1097" s="188"/>
    </row>
    <row r="1098" customHeight="1" spans="5:29">
      <c r="E1098" s="30"/>
      <c r="F1098" s="30"/>
      <c r="G1098" s="30"/>
      <c r="H1098" s="30"/>
      <c r="I1098" s="30"/>
      <c r="J1098" s="30"/>
      <c r="K1098" s="155"/>
      <c r="L1098" s="155"/>
      <c r="M1098" s="155"/>
      <c r="AC1098" s="188"/>
    </row>
    <row r="1099" customHeight="1" spans="5:29">
      <c r="E1099" s="30"/>
      <c r="F1099" s="30"/>
      <c r="G1099" s="30"/>
      <c r="H1099" s="30"/>
      <c r="I1099" s="30"/>
      <c r="J1099" s="30"/>
      <c r="K1099" s="155"/>
      <c r="L1099" s="155"/>
      <c r="M1099" s="155"/>
      <c r="AC1099" s="188"/>
    </row>
    <row r="1100" customHeight="1" spans="5:29">
      <c r="E1100" s="30"/>
      <c r="F1100" s="30"/>
      <c r="G1100" s="30"/>
      <c r="H1100" s="30"/>
      <c r="I1100" s="30"/>
      <c r="J1100" s="30"/>
      <c r="K1100" s="155"/>
      <c r="L1100" s="155"/>
      <c r="M1100" s="155"/>
      <c r="AC1100" s="188"/>
    </row>
    <row r="1101" customHeight="1" spans="5:29">
      <c r="E1101" s="30"/>
      <c r="F1101" s="30"/>
      <c r="G1101" s="30"/>
      <c r="H1101" s="30"/>
      <c r="I1101" s="30"/>
      <c r="J1101" s="30"/>
      <c r="K1101" s="155"/>
      <c r="L1101" s="155"/>
      <c r="M1101" s="155"/>
      <c r="AC1101" s="188"/>
    </row>
    <row r="1102" customHeight="1" spans="5:29">
      <c r="E1102" s="30"/>
      <c r="F1102" s="30"/>
      <c r="G1102" s="30"/>
      <c r="H1102" s="30"/>
      <c r="I1102" s="30"/>
      <c r="J1102" s="30"/>
      <c r="K1102" s="155"/>
      <c r="L1102" s="155"/>
      <c r="M1102" s="155"/>
      <c r="AC1102" s="188"/>
    </row>
    <row r="1103" customHeight="1" spans="5:29">
      <c r="E1103" s="30"/>
      <c r="F1103" s="30"/>
      <c r="G1103" s="30"/>
      <c r="H1103" s="30"/>
      <c r="I1103" s="30"/>
      <c r="J1103" s="30"/>
      <c r="K1103" s="155"/>
      <c r="L1103" s="155"/>
      <c r="M1103" s="155"/>
      <c r="AC1103" s="188"/>
    </row>
    <row r="1104" customHeight="1" spans="5:29">
      <c r="E1104" s="30"/>
      <c r="F1104" s="30"/>
      <c r="G1104" s="30"/>
      <c r="H1104" s="30"/>
      <c r="I1104" s="30"/>
      <c r="J1104" s="30"/>
      <c r="K1104" s="155"/>
      <c r="L1104" s="155"/>
      <c r="M1104" s="155"/>
      <c r="AC1104" s="188"/>
    </row>
    <row r="1105" customHeight="1" spans="5:29">
      <c r="E1105" s="30"/>
      <c r="F1105" s="30"/>
      <c r="G1105" s="30"/>
      <c r="H1105" s="30"/>
      <c r="I1105" s="30"/>
      <c r="J1105" s="30"/>
      <c r="K1105" s="155"/>
      <c r="L1105" s="155"/>
      <c r="M1105" s="155"/>
      <c r="AC1105" s="188"/>
    </row>
    <row r="1106" customHeight="1" spans="5:29">
      <c r="E1106" s="30"/>
      <c r="F1106" s="30"/>
      <c r="G1106" s="30"/>
      <c r="H1106" s="30"/>
      <c r="I1106" s="30"/>
      <c r="J1106" s="30"/>
      <c r="K1106" s="155"/>
      <c r="L1106" s="155"/>
      <c r="M1106" s="155"/>
      <c r="AC1106" s="188"/>
    </row>
    <row r="1107" customHeight="1" spans="5:29">
      <c r="E1107" s="30"/>
      <c r="F1107" s="30"/>
      <c r="G1107" s="30"/>
      <c r="H1107" s="30"/>
      <c r="I1107" s="30"/>
      <c r="J1107" s="30"/>
      <c r="K1107" s="155"/>
      <c r="L1107" s="155"/>
      <c r="M1107" s="155"/>
      <c r="AC1107" s="188"/>
    </row>
    <row r="1108" customHeight="1" spans="5:29">
      <c r="E1108" s="30"/>
      <c r="F1108" s="30"/>
      <c r="G1108" s="30"/>
      <c r="H1108" s="30"/>
      <c r="I1108" s="30"/>
      <c r="J1108" s="30"/>
      <c r="K1108" s="155"/>
      <c r="L1108" s="155"/>
      <c r="M1108" s="155"/>
      <c r="AC1108" s="188"/>
    </row>
    <row r="1109" customHeight="1" spans="5:29">
      <c r="E1109" s="30"/>
      <c r="F1109" s="30"/>
      <c r="G1109" s="30"/>
      <c r="H1109" s="30"/>
      <c r="I1109" s="30"/>
      <c r="J1109" s="30"/>
      <c r="K1109" s="155"/>
      <c r="L1109" s="155"/>
      <c r="M1109" s="155"/>
      <c r="AC1109" s="188"/>
    </row>
    <row r="1110" customHeight="1" spans="5:29">
      <c r="E1110" s="30"/>
      <c r="F1110" s="30"/>
      <c r="G1110" s="30"/>
      <c r="H1110" s="30"/>
      <c r="I1110" s="30"/>
      <c r="J1110" s="30"/>
      <c r="K1110" s="155"/>
      <c r="L1110" s="155"/>
      <c r="M1110" s="155"/>
      <c r="AC1110" s="188"/>
    </row>
    <row r="1111" customHeight="1" spans="5:29">
      <c r="E1111" s="30"/>
      <c r="F1111" s="30"/>
      <c r="G1111" s="30"/>
      <c r="H1111" s="30"/>
      <c r="I1111" s="30"/>
      <c r="J1111" s="30"/>
      <c r="K1111" s="155"/>
      <c r="L1111" s="155"/>
      <c r="M1111" s="155"/>
      <c r="AC1111" s="188"/>
    </row>
    <row r="1112" customHeight="1" spans="5:29">
      <c r="E1112" s="30"/>
      <c r="F1112" s="30"/>
      <c r="G1112" s="30"/>
      <c r="H1112" s="30"/>
      <c r="I1112" s="30"/>
      <c r="J1112" s="30"/>
      <c r="K1112" s="155"/>
      <c r="L1112" s="155"/>
      <c r="M1112" s="155"/>
      <c r="AC1112" s="188"/>
    </row>
    <row r="1113" customHeight="1" spans="5:29">
      <c r="E1113" s="30"/>
      <c r="F1113" s="30"/>
      <c r="G1113" s="30"/>
      <c r="H1113" s="30"/>
      <c r="I1113" s="30"/>
      <c r="J1113" s="30"/>
      <c r="K1113" s="155"/>
      <c r="L1113" s="155"/>
      <c r="M1113" s="155"/>
      <c r="AC1113" s="188"/>
    </row>
    <row r="1114" customHeight="1" spans="5:29">
      <c r="E1114" s="30"/>
      <c r="F1114" s="30"/>
      <c r="G1114" s="30"/>
      <c r="H1114" s="30"/>
      <c r="I1114" s="30"/>
      <c r="J1114" s="30"/>
      <c r="K1114" s="155"/>
      <c r="L1114" s="155"/>
      <c r="M1114" s="155"/>
      <c r="AC1114" s="188"/>
    </row>
    <row r="1115" customHeight="1" spans="5:29">
      <c r="E1115" s="30"/>
      <c r="F1115" s="30"/>
      <c r="G1115" s="30"/>
      <c r="H1115" s="30"/>
      <c r="I1115" s="30"/>
      <c r="J1115" s="30"/>
      <c r="K1115" s="155"/>
      <c r="L1115" s="155"/>
      <c r="M1115" s="155"/>
      <c r="AC1115" s="188"/>
    </row>
    <row r="1116" customHeight="1" spans="5:29">
      <c r="E1116" s="30"/>
      <c r="F1116" s="30"/>
      <c r="G1116" s="30"/>
      <c r="H1116" s="30"/>
      <c r="I1116" s="30"/>
      <c r="J1116" s="30"/>
      <c r="K1116" s="155"/>
      <c r="L1116" s="155"/>
      <c r="M1116" s="155"/>
      <c r="AC1116" s="188"/>
    </row>
    <row r="1117" customHeight="1" spans="5:29">
      <c r="E1117" s="30"/>
      <c r="F1117" s="30"/>
      <c r="G1117" s="30"/>
      <c r="H1117" s="30"/>
      <c r="I1117" s="30"/>
      <c r="J1117" s="30"/>
      <c r="K1117" s="155"/>
      <c r="L1117" s="155"/>
      <c r="M1117" s="155"/>
      <c r="AC1117" s="188"/>
    </row>
    <row r="1118" customHeight="1" spans="5:29">
      <c r="E1118" s="30"/>
      <c r="F1118" s="30"/>
      <c r="G1118" s="30"/>
      <c r="H1118" s="30"/>
      <c r="I1118" s="30"/>
      <c r="J1118" s="30"/>
      <c r="K1118" s="155"/>
      <c r="L1118" s="155"/>
      <c r="M1118" s="155"/>
      <c r="AC1118" s="188"/>
    </row>
    <row r="1119" customHeight="1" spans="5:29">
      <c r="E1119" s="30"/>
      <c r="F1119" s="30"/>
      <c r="G1119" s="30"/>
      <c r="H1119" s="30"/>
      <c r="I1119" s="30"/>
      <c r="J1119" s="30"/>
      <c r="K1119" s="155"/>
      <c r="L1119" s="155"/>
      <c r="M1119" s="155"/>
      <c r="AC1119" s="188"/>
    </row>
    <row r="1120" customHeight="1" spans="5:29">
      <c r="E1120" s="30"/>
      <c r="F1120" s="30"/>
      <c r="G1120" s="30"/>
      <c r="H1120" s="30"/>
      <c r="I1120" s="30"/>
      <c r="J1120" s="30"/>
      <c r="K1120" s="155"/>
      <c r="L1120" s="155"/>
      <c r="M1120" s="155"/>
      <c r="AC1120" s="188"/>
    </row>
    <row r="1121" customHeight="1" spans="5:29">
      <c r="E1121" s="30"/>
      <c r="F1121" s="30"/>
      <c r="G1121" s="30"/>
      <c r="H1121" s="30"/>
      <c r="I1121" s="30"/>
      <c r="J1121" s="30"/>
      <c r="K1121" s="155"/>
      <c r="L1121" s="155"/>
      <c r="M1121" s="155"/>
      <c r="AC1121" s="188"/>
    </row>
    <row r="1122" customHeight="1" spans="5:29">
      <c r="E1122" s="30"/>
      <c r="F1122" s="30"/>
      <c r="G1122" s="30"/>
      <c r="H1122" s="30"/>
      <c r="I1122" s="30"/>
      <c r="J1122" s="30"/>
      <c r="K1122" s="155"/>
      <c r="L1122" s="155"/>
      <c r="M1122" s="155"/>
      <c r="AC1122" s="188"/>
    </row>
    <row r="1123" customHeight="1" spans="5:29">
      <c r="E1123" s="30"/>
      <c r="F1123" s="30"/>
      <c r="G1123" s="30"/>
      <c r="H1123" s="30"/>
      <c r="I1123" s="30"/>
      <c r="J1123" s="30"/>
      <c r="K1123" s="155"/>
      <c r="L1123" s="155"/>
      <c r="M1123" s="155"/>
      <c r="AC1123" s="188"/>
    </row>
    <row r="1124" customHeight="1" spans="5:29">
      <c r="E1124" s="30"/>
      <c r="F1124" s="30"/>
      <c r="G1124" s="30"/>
      <c r="H1124" s="30"/>
      <c r="I1124" s="30"/>
      <c r="J1124" s="30"/>
      <c r="K1124" s="155"/>
      <c r="L1124" s="155"/>
      <c r="M1124" s="155"/>
      <c r="AC1124" s="188"/>
    </row>
    <row r="1125" customHeight="1" spans="5:29">
      <c r="E1125" s="30"/>
      <c r="F1125" s="30"/>
      <c r="G1125" s="30"/>
      <c r="H1125" s="30"/>
      <c r="I1125" s="30"/>
      <c r="J1125" s="30"/>
      <c r="K1125" s="155"/>
      <c r="L1125" s="155"/>
      <c r="M1125" s="155"/>
      <c r="AC1125" s="188"/>
    </row>
    <row r="1126" customHeight="1" spans="5:29">
      <c r="E1126" s="30"/>
      <c r="F1126" s="30"/>
      <c r="G1126" s="30"/>
      <c r="H1126" s="30"/>
      <c r="I1126" s="30"/>
      <c r="J1126" s="30"/>
      <c r="K1126" s="155"/>
      <c r="L1126" s="155"/>
      <c r="M1126" s="155"/>
      <c r="AC1126" s="188"/>
    </row>
    <row r="1127" customHeight="1" spans="5:29">
      <c r="E1127" s="30"/>
      <c r="F1127" s="30"/>
      <c r="G1127" s="30"/>
      <c r="H1127" s="30"/>
      <c r="I1127" s="30"/>
      <c r="J1127" s="30"/>
      <c r="K1127" s="155"/>
      <c r="L1127" s="155"/>
      <c r="M1127" s="155"/>
      <c r="AC1127" s="188"/>
    </row>
    <row r="1128" customHeight="1" spans="5:29">
      <c r="E1128" s="30"/>
      <c r="F1128" s="30"/>
      <c r="G1128" s="30"/>
      <c r="H1128" s="30"/>
      <c r="I1128" s="30"/>
      <c r="J1128" s="30"/>
      <c r="K1128" s="155"/>
      <c r="L1128" s="155"/>
      <c r="M1128" s="155"/>
      <c r="AC1128" s="188"/>
    </row>
    <row r="1129" customHeight="1" spans="5:29">
      <c r="E1129" s="30"/>
      <c r="F1129" s="30"/>
      <c r="G1129" s="30"/>
      <c r="H1129" s="30"/>
      <c r="I1129" s="30"/>
      <c r="J1129" s="30"/>
      <c r="K1129" s="155"/>
      <c r="L1129" s="155"/>
      <c r="M1129" s="155"/>
      <c r="AC1129" s="188"/>
    </row>
    <row r="1130" customHeight="1" spans="5:29">
      <c r="E1130" s="30"/>
      <c r="F1130" s="30"/>
      <c r="G1130" s="30"/>
      <c r="H1130" s="30"/>
      <c r="I1130" s="30"/>
      <c r="J1130" s="30"/>
      <c r="K1130" s="155"/>
      <c r="L1130" s="155"/>
      <c r="M1130" s="155"/>
      <c r="AC1130" s="188"/>
    </row>
    <row r="1131" customHeight="1" spans="5:29">
      <c r="E1131" s="30"/>
      <c r="F1131" s="30"/>
      <c r="G1131" s="30"/>
      <c r="H1131" s="30"/>
      <c r="I1131" s="30"/>
      <c r="J1131" s="30"/>
      <c r="K1131" s="155"/>
      <c r="L1131" s="155"/>
      <c r="M1131" s="155"/>
      <c r="AC1131" s="188"/>
    </row>
    <row r="1132" customHeight="1" spans="5:29">
      <c r="E1132" s="30"/>
      <c r="F1132" s="30"/>
      <c r="G1132" s="30"/>
      <c r="H1132" s="30"/>
      <c r="I1132" s="30"/>
      <c r="J1132" s="30"/>
      <c r="K1132" s="155"/>
      <c r="L1132" s="155"/>
      <c r="M1132" s="155"/>
      <c r="AC1132" s="188"/>
    </row>
    <row r="1133" customHeight="1" spans="5:29">
      <c r="E1133" s="30"/>
      <c r="F1133" s="30"/>
      <c r="G1133" s="30"/>
      <c r="H1133" s="30"/>
      <c r="I1133" s="30"/>
      <c r="J1133" s="30"/>
      <c r="K1133" s="155"/>
      <c r="L1133" s="155"/>
      <c r="M1133" s="155"/>
      <c r="AC1133" s="188"/>
    </row>
    <row r="1134" customHeight="1" spans="5:29">
      <c r="E1134" s="30"/>
      <c r="F1134" s="30"/>
      <c r="G1134" s="30"/>
      <c r="H1134" s="30"/>
      <c r="I1134" s="30"/>
      <c r="J1134" s="30"/>
      <c r="K1134" s="155"/>
      <c r="L1134" s="155"/>
      <c r="M1134" s="155"/>
      <c r="AC1134" s="188"/>
    </row>
    <row r="1135" customHeight="1" spans="5:29">
      <c r="E1135" s="30"/>
      <c r="F1135" s="30"/>
      <c r="G1135" s="30"/>
      <c r="H1135" s="30"/>
      <c r="I1135" s="30"/>
      <c r="J1135" s="30"/>
      <c r="K1135" s="155"/>
      <c r="L1135" s="155"/>
      <c r="M1135" s="155"/>
      <c r="AC1135" s="188"/>
    </row>
    <row r="1136" customHeight="1" spans="5:29">
      <c r="E1136" s="30"/>
      <c r="F1136" s="30"/>
      <c r="G1136" s="30"/>
      <c r="H1136" s="30"/>
      <c r="I1136" s="30"/>
      <c r="J1136" s="30"/>
      <c r="K1136" s="155"/>
      <c r="L1136" s="155"/>
      <c r="M1136" s="155"/>
      <c r="AC1136" s="188"/>
    </row>
    <row r="1137" customHeight="1" spans="5:29">
      <c r="E1137" s="30"/>
      <c r="F1137" s="30"/>
      <c r="G1137" s="30"/>
      <c r="H1137" s="30"/>
      <c r="I1137" s="30"/>
      <c r="J1137" s="30"/>
      <c r="K1137" s="155"/>
      <c r="L1137" s="155"/>
      <c r="M1137" s="155"/>
      <c r="AC1137" s="188"/>
    </row>
    <row r="1138" customHeight="1" spans="5:29">
      <c r="E1138" s="30"/>
      <c r="F1138" s="30"/>
      <c r="G1138" s="30"/>
      <c r="H1138" s="30"/>
      <c r="I1138" s="30"/>
      <c r="J1138" s="30"/>
      <c r="K1138" s="155"/>
      <c r="L1138" s="155"/>
      <c r="M1138" s="155"/>
      <c r="AC1138" s="188"/>
    </row>
    <row r="1139" customHeight="1" spans="5:29">
      <c r="E1139" s="30"/>
      <c r="F1139" s="30"/>
      <c r="G1139" s="30"/>
      <c r="H1139" s="30"/>
      <c r="I1139" s="30"/>
      <c r="J1139" s="30"/>
      <c r="K1139" s="155"/>
      <c r="L1139" s="155"/>
      <c r="M1139" s="155"/>
      <c r="AC1139" s="188"/>
    </row>
    <row r="1140" customHeight="1" spans="5:29">
      <c r="E1140" s="30"/>
      <c r="F1140" s="30"/>
      <c r="G1140" s="30"/>
      <c r="H1140" s="30"/>
      <c r="I1140" s="30"/>
      <c r="J1140" s="30"/>
      <c r="K1140" s="155"/>
      <c r="L1140" s="155"/>
      <c r="M1140" s="155"/>
      <c r="AC1140" s="188"/>
    </row>
    <row r="1141" customHeight="1" spans="5:29">
      <c r="E1141" s="30"/>
      <c r="F1141" s="30"/>
      <c r="G1141" s="30"/>
      <c r="H1141" s="30"/>
      <c r="I1141" s="30"/>
      <c r="J1141" s="30"/>
      <c r="K1141" s="155"/>
      <c r="L1141" s="155"/>
      <c r="M1141" s="155"/>
      <c r="AC1141" s="188"/>
    </row>
    <row r="1142" customHeight="1" spans="5:29">
      <c r="E1142" s="30"/>
      <c r="F1142" s="30"/>
      <c r="G1142" s="30"/>
      <c r="H1142" s="30"/>
      <c r="I1142" s="30"/>
      <c r="J1142" s="30"/>
      <c r="K1142" s="155"/>
      <c r="L1142" s="155"/>
      <c r="M1142" s="155"/>
      <c r="AC1142" s="188"/>
    </row>
    <row r="1143" customHeight="1" spans="5:29">
      <c r="E1143" s="30"/>
      <c r="F1143" s="30"/>
      <c r="G1143" s="30"/>
      <c r="H1143" s="30"/>
      <c r="I1143" s="30"/>
      <c r="J1143" s="30"/>
      <c r="K1143" s="155"/>
      <c r="L1143" s="155"/>
      <c r="M1143" s="155"/>
      <c r="AC1143" s="188"/>
    </row>
    <row r="1144" customHeight="1" spans="5:29">
      <c r="E1144" s="30"/>
      <c r="F1144" s="30"/>
      <c r="G1144" s="30"/>
      <c r="H1144" s="30"/>
      <c r="I1144" s="30"/>
      <c r="J1144" s="30"/>
      <c r="K1144" s="155"/>
      <c r="L1144" s="155"/>
      <c r="M1144" s="155"/>
      <c r="AC1144" s="188"/>
    </row>
    <row r="1145" customHeight="1" spans="5:29">
      <c r="E1145" s="30"/>
      <c r="F1145" s="30"/>
      <c r="G1145" s="30"/>
      <c r="H1145" s="30"/>
      <c r="I1145" s="30"/>
      <c r="J1145" s="30"/>
      <c r="K1145" s="155"/>
      <c r="L1145" s="155"/>
      <c r="M1145" s="155"/>
      <c r="AC1145" s="188"/>
    </row>
    <row r="1146" customHeight="1" spans="5:29">
      <c r="E1146" s="30"/>
      <c r="F1146" s="30"/>
      <c r="G1146" s="30"/>
      <c r="H1146" s="30"/>
      <c r="I1146" s="30"/>
      <c r="J1146" s="30"/>
      <c r="K1146" s="155"/>
      <c r="L1146" s="155"/>
      <c r="M1146" s="155"/>
      <c r="AC1146" s="188"/>
    </row>
    <row r="1147" customHeight="1" spans="5:29">
      <c r="E1147" s="30"/>
      <c r="F1147" s="30"/>
      <c r="G1147" s="30"/>
      <c r="H1147" s="30"/>
      <c r="I1147" s="30"/>
      <c r="J1147" s="30"/>
      <c r="K1147" s="155"/>
      <c r="L1147" s="155"/>
      <c r="M1147" s="155"/>
      <c r="AC1147" s="188"/>
    </row>
    <row r="1148" customHeight="1" spans="5:29">
      <c r="E1148" s="30"/>
      <c r="F1148" s="30"/>
      <c r="G1148" s="30"/>
      <c r="H1148" s="30"/>
      <c r="I1148" s="30"/>
      <c r="J1148" s="30"/>
      <c r="K1148" s="155"/>
      <c r="L1148" s="155"/>
      <c r="M1148" s="155"/>
      <c r="AC1148" s="188"/>
    </row>
    <row r="1149" customHeight="1" spans="5:29">
      <c r="E1149" s="30"/>
      <c r="F1149" s="30"/>
      <c r="G1149" s="30"/>
      <c r="H1149" s="30"/>
      <c r="I1149" s="30"/>
      <c r="J1149" s="30"/>
      <c r="K1149" s="155"/>
      <c r="L1149" s="155"/>
      <c r="M1149" s="155"/>
      <c r="AC1149" s="188"/>
    </row>
    <row r="1150" customHeight="1" spans="5:29">
      <c r="E1150" s="30"/>
      <c r="F1150" s="30"/>
      <c r="G1150" s="30"/>
      <c r="H1150" s="30"/>
      <c r="I1150" s="30"/>
      <c r="J1150" s="30"/>
      <c r="K1150" s="155"/>
      <c r="L1150" s="155"/>
      <c r="M1150" s="155"/>
      <c r="AC1150" s="188"/>
    </row>
    <row r="1151" customHeight="1" spans="5:29">
      <c r="E1151" s="30"/>
      <c r="F1151" s="30"/>
      <c r="G1151" s="30"/>
      <c r="H1151" s="30"/>
      <c r="I1151" s="30"/>
      <c r="J1151" s="30"/>
      <c r="K1151" s="155"/>
      <c r="L1151" s="155"/>
      <c r="M1151" s="155"/>
      <c r="AC1151" s="188"/>
    </row>
    <row r="1152" customHeight="1" spans="5:29">
      <c r="E1152" s="30"/>
      <c r="F1152" s="30"/>
      <c r="G1152" s="30"/>
      <c r="H1152" s="30"/>
      <c r="I1152" s="30"/>
      <c r="J1152" s="30"/>
      <c r="K1152" s="155"/>
      <c r="L1152" s="155"/>
      <c r="M1152" s="155"/>
      <c r="AC1152" s="188"/>
    </row>
    <row r="1153" customHeight="1" spans="5:29">
      <c r="E1153" s="30"/>
      <c r="F1153" s="30"/>
      <c r="G1153" s="30"/>
      <c r="H1153" s="30"/>
      <c r="I1153" s="30"/>
      <c r="J1153" s="30"/>
      <c r="K1153" s="155"/>
      <c r="L1153" s="155"/>
      <c r="M1153" s="155"/>
      <c r="AC1153" s="188"/>
    </row>
    <row r="1154" customHeight="1" spans="5:29">
      <c r="E1154" s="30"/>
      <c r="F1154" s="30"/>
      <c r="G1154" s="30"/>
      <c r="H1154" s="30"/>
      <c r="I1154" s="30"/>
      <c r="J1154" s="30"/>
      <c r="K1154" s="155"/>
      <c r="L1154" s="155"/>
      <c r="M1154" s="155"/>
      <c r="AC1154" s="188"/>
    </row>
    <row r="1155" customHeight="1" spans="5:29">
      <c r="E1155" s="30"/>
      <c r="F1155" s="30"/>
      <c r="G1155" s="30"/>
      <c r="H1155" s="30"/>
      <c r="I1155" s="30"/>
      <c r="J1155" s="30"/>
      <c r="K1155" s="155"/>
      <c r="L1155" s="155"/>
      <c r="M1155" s="155"/>
      <c r="AC1155" s="188"/>
    </row>
    <row r="1156" customHeight="1" spans="5:29">
      <c r="E1156" s="30"/>
      <c r="F1156" s="30"/>
      <c r="G1156" s="30"/>
      <c r="H1156" s="30"/>
      <c r="I1156" s="30"/>
      <c r="J1156" s="30"/>
      <c r="K1156" s="155"/>
      <c r="L1156" s="155"/>
      <c r="M1156" s="155"/>
      <c r="AC1156" s="188"/>
    </row>
    <row r="1157" customHeight="1" spans="5:29">
      <c r="E1157" s="30"/>
      <c r="F1157" s="30"/>
      <c r="G1157" s="30"/>
      <c r="H1157" s="30"/>
      <c r="I1157" s="30"/>
      <c r="J1157" s="30"/>
      <c r="K1157" s="155"/>
      <c r="L1157" s="155"/>
      <c r="M1157" s="155"/>
      <c r="AC1157" s="188"/>
    </row>
    <row r="1158" customHeight="1" spans="5:29">
      <c r="E1158" s="30"/>
      <c r="F1158" s="30"/>
      <c r="G1158" s="30"/>
      <c r="H1158" s="30"/>
      <c r="I1158" s="30"/>
      <c r="J1158" s="30"/>
      <c r="K1158" s="155"/>
      <c r="L1158" s="155"/>
      <c r="M1158" s="155"/>
      <c r="AC1158" s="188"/>
    </row>
    <row r="1159" customHeight="1" spans="5:29">
      <c r="E1159" s="30"/>
      <c r="F1159" s="30"/>
      <c r="G1159" s="30"/>
      <c r="H1159" s="30"/>
      <c r="I1159" s="30"/>
      <c r="J1159" s="30"/>
      <c r="K1159" s="155"/>
      <c r="L1159" s="155"/>
      <c r="M1159" s="155"/>
      <c r="AC1159" s="188"/>
    </row>
    <row r="1160" customHeight="1" spans="5:29">
      <c r="E1160" s="30"/>
      <c r="F1160" s="30"/>
      <c r="G1160" s="30"/>
      <c r="H1160" s="30"/>
      <c r="I1160" s="30"/>
      <c r="J1160" s="30"/>
      <c r="K1160" s="155"/>
      <c r="L1160" s="155"/>
      <c r="M1160" s="155"/>
      <c r="AC1160" s="188"/>
    </row>
    <row r="1161" customHeight="1" spans="5:29">
      <c r="E1161" s="30"/>
      <c r="F1161" s="30"/>
      <c r="G1161" s="30"/>
      <c r="H1161" s="30"/>
      <c r="I1161" s="30"/>
      <c r="J1161" s="30"/>
      <c r="K1161" s="155"/>
      <c r="L1161" s="155"/>
      <c r="M1161" s="155"/>
      <c r="AC1161" s="188"/>
    </row>
    <row r="1162" customHeight="1" spans="5:29">
      <c r="E1162" s="30"/>
      <c r="F1162" s="30"/>
      <c r="G1162" s="30"/>
      <c r="H1162" s="30"/>
      <c r="I1162" s="30"/>
      <c r="J1162" s="30"/>
      <c r="K1162" s="155"/>
      <c r="L1162" s="155"/>
      <c r="M1162" s="155"/>
      <c r="AC1162" s="188"/>
    </row>
    <row r="1163" customHeight="1" spans="5:29">
      <c r="E1163" s="30"/>
      <c r="F1163" s="30"/>
      <c r="G1163" s="30"/>
      <c r="H1163" s="30"/>
      <c r="I1163" s="30"/>
      <c r="J1163" s="30"/>
      <c r="K1163" s="155"/>
      <c r="L1163" s="155"/>
      <c r="M1163" s="155"/>
      <c r="AC1163" s="188"/>
    </row>
    <row r="1164" customHeight="1" spans="5:29">
      <c r="E1164" s="30"/>
      <c r="F1164" s="30"/>
      <c r="G1164" s="30"/>
      <c r="H1164" s="30"/>
      <c r="I1164" s="30"/>
      <c r="J1164" s="30"/>
      <c r="K1164" s="155"/>
      <c r="L1164" s="155"/>
      <c r="M1164" s="155"/>
      <c r="AC1164" s="188"/>
    </row>
    <row r="1165" customHeight="1" spans="5:29">
      <c r="E1165" s="30"/>
      <c r="F1165" s="30"/>
      <c r="G1165" s="30"/>
      <c r="H1165" s="30"/>
      <c r="I1165" s="30"/>
      <c r="J1165" s="30"/>
      <c r="K1165" s="155"/>
      <c r="L1165" s="155"/>
      <c r="M1165" s="155"/>
      <c r="AC1165" s="188"/>
    </row>
    <row r="1166" customHeight="1" spans="5:29">
      <c r="E1166" s="30"/>
      <c r="F1166" s="30"/>
      <c r="G1166" s="30"/>
      <c r="H1166" s="30"/>
      <c r="I1166" s="30"/>
      <c r="J1166" s="30"/>
      <c r="K1166" s="155"/>
      <c r="L1166" s="155"/>
      <c r="M1166" s="155"/>
      <c r="AC1166" s="188"/>
    </row>
    <row r="1167" customHeight="1" spans="5:29">
      <c r="E1167" s="30"/>
      <c r="F1167" s="30"/>
      <c r="G1167" s="30"/>
      <c r="H1167" s="30"/>
      <c r="I1167" s="30"/>
      <c r="J1167" s="30"/>
      <c r="K1167" s="155"/>
      <c r="L1167" s="155"/>
      <c r="M1167" s="155"/>
      <c r="AC1167" s="188"/>
    </row>
    <row r="1168" customHeight="1" spans="5:29">
      <c r="E1168" s="30"/>
      <c r="F1168" s="30"/>
      <c r="G1168" s="30"/>
      <c r="H1168" s="30"/>
      <c r="I1168" s="30"/>
      <c r="J1168" s="30"/>
      <c r="K1168" s="155"/>
      <c r="L1168" s="155"/>
      <c r="M1168" s="155"/>
      <c r="AC1168" s="188"/>
    </row>
    <row r="1169" customHeight="1" spans="5:29">
      <c r="E1169" s="30"/>
      <c r="F1169" s="30"/>
      <c r="G1169" s="30"/>
      <c r="H1169" s="30"/>
      <c r="I1169" s="30"/>
      <c r="J1169" s="30"/>
      <c r="K1169" s="155"/>
      <c r="L1169" s="155"/>
      <c r="M1169" s="155"/>
      <c r="AC1169" s="188"/>
    </row>
    <row r="1170" customHeight="1" spans="5:29">
      <c r="E1170" s="30"/>
      <c r="F1170" s="30"/>
      <c r="G1170" s="30"/>
      <c r="H1170" s="30"/>
      <c r="I1170" s="30"/>
      <c r="J1170" s="30"/>
      <c r="K1170" s="155"/>
      <c r="L1170" s="155"/>
      <c r="M1170" s="155"/>
      <c r="AC1170" s="188"/>
    </row>
    <row r="1171" customHeight="1" spans="5:29">
      <c r="E1171" s="30"/>
      <c r="F1171" s="30"/>
      <c r="G1171" s="30"/>
      <c r="H1171" s="30"/>
      <c r="I1171" s="30"/>
      <c r="J1171" s="30"/>
      <c r="K1171" s="155"/>
      <c r="L1171" s="155"/>
      <c r="M1171" s="155"/>
      <c r="AC1171" s="188"/>
    </row>
    <row r="1172" customHeight="1" spans="5:29">
      <c r="E1172" s="30"/>
      <c r="F1172" s="30"/>
      <c r="G1172" s="30"/>
      <c r="H1172" s="30"/>
      <c r="I1172" s="30"/>
      <c r="J1172" s="30"/>
      <c r="K1172" s="155"/>
      <c r="L1172" s="155"/>
      <c r="M1172" s="155"/>
      <c r="AC1172" s="188"/>
    </row>
    <row r="1173" customHeight="1" spans="5:29">
      <c r="E1173" s="30"/>
      <c r="F1173" s="30"/>
      <c r="G1173" s="30"/>
      <c r="H1173" s="30"/>
      <c r="I1173" s="30"/>
      <c r="J1173" s="30"/>
      <c r="K1173" s="155"/>
      <c r="L1173" s="155"/>
      <c r="M1173" s="155"/>
      <c r="AC1173" s="188"/>
    </row>
    <row r="1174" customHeight="1" spans="5:29">
      <c r="E1174" s="30"/>
      <c r="F1174" s="30"/>
      <c r="G1174" s="30"/>
      <c r="H1174" s="30"/>
      <c r="I1174" s="30"/>
      <c r="J1174" s="30"/>
      <c r="K1174" s="155"/>
      <c r="L1174" s="155"/>
      <c r="M1174" s="155"/>
      <c r="AC1174" s="188"/>
    </row>
    <row r="1175" customHeight="1" spans="5:29">
      <c r="E1175" s="30"/>
      <c r="F1175" s="30"/>
      <c r="G1175" s="30"/>
      <c r="H1175" s="30"/>
      <c r="I1175" s="30"/>
      <c r="J1175" s="30"/>
      <c r="K1175" s="155"/>
      <c r="L1175" s="155"/>
      <c r="M1175" s="155"/>
      <c r="AC1175" s="188"/>
    </row>
    <row r="1176" customHeight="1" spans="5:29">
      <c r="E1176" s="30"/>
      <c r="F1176" s="30"/>
      <c r="G1176" s="30"/>
      <c r="H1176" s="30"/>
      <c r="I1176" s="30"/>
      <c r="J1176" s="30"/>
      <c r="K1176" s="155"/>
      <c r="L1176" s="155"/>
      <c r="M1176" s="155"/>
      <c r="AC1176" s="188"/>
    </row>
    <row r="1177" customHeight="1" spans="5:29">
      <c r="E1177" s="30"/>
      <c r="F1177" s="30"/>
      <c r="G1177" s="30"/>
      <c r="H1177" s="30"/>
      <c r="I1177" s="30"/>
      <c r="J1177" s="30"/>
      <c r="K1177" s="155"/>
      <c r="L1177" s="155"/>
      <c r="M1177" s="155"/>
      <c r="AC1177" s="188"/>
    </row>
    <row r="1178" customHeight="1" spans="5:29">
      <c r="E1178" s="30"/>
      <c r="F1178" s="30"/>
      <c r="G1178" s="30"/>
      <c r="H1178" s="30"/>
      <c r="I1178" s="30"/>
      <c r="J1178" s="30"/>
      <c r="K1178" s="155"/>
      <c r="L1178" s="155"/>
      <c r="M1178" s="155"/>
      <c r="AC1178" s="188"/>
    </row>
    <row r="1179" customHeight="1" spans="5:29">
      <c r="E1179" s="30"/>
      <c r="F1179" s="30"/>
      <c r="G1179" s="30"/>
      <c r="H1179" s="30"/>
      <c r="I1179" s="30"/>
      <c r="J1179" s="30"/>
      <c r="K1179" s="155"/>
      <c r="L1179" s="155"/>
      <c r="M1179" s="155"/>
      <c r="AC1179" s="188"/>
    </row>
    <row r="1180" customHeight="1" spans="5:29">
      <c r="E1180" s="30"/>
      <c r="F1180" s="30"/>
      <c r="G1180" s="30"/>
      <c r="H1180" s="30"/>
      <c r="I1180" s="30"/>
      <c r="J1180" s="30"/>
      <c r="K1180" s="155"/>
      <c r="L1180" s="155"/>
      <c r="M1180" s="155"/>
      <c r="AC1180" s="188"/>
    </row>
    <row r="1181" customHeight="1" spans="5:29">
      <c r="E1181" s="30"/>
      <c r="F1181" s="30"/>
      <c r="G1181" s="30"/>
      <c r="H1181" s="30"/>
      <c r="I1181" s="30"/>
      <c r="J1181" s="30"/>
      <c r="K1181" s="155"/>
      <c r="L1181" s="155"/>
      <c r="M1181" s="155"/>
      <c r="AC1181" s="188"/>
    </row>
    <row r="1182" customHeight="1" spans="5:29">
      <c r="E1182" s="30"/>
      <c r="F1182" s="30"/>
      <c r="G1182" s="30"/>
      <c r="H1182" s="30"/>
      <c r="I1182" s="30"/>
      <c r="J1182" s="30"/>
      <c r="K1182" s="155"/>
      <c r="L1182" s="155"/>
      <c r="M1182" s="155"/>
      <c r="AC1182" s="188"/>
    </row>
    <row r="1183" customHeight="1" spans="5:29">
      <c r="E1183" s="30"/>
      <c r="F1183" s="30"/>
      <c r="G1183" s="30"/>
      <c r="H1183" s="30"/>
      <c r="I1183" s="30"/>
      <c r="J1183" s="30"/>
      <c r="K1183" s="155"/>
      <c r="L1183" s="155"/>
      <c r="M1183" s="155"/>
      <c r="AC1183" s="188"/>
    </row>
    <row r="1184" customHeight="1" spans="5:29">
      <c r="E1184" s="30"/>
      <c r="F1184" s="30"/>
      <c r="G1184" s="30"/>
      <c r="H1184" s="30"/>
      <c r="I1184" s="30"/>
      <c r="J1184" s="30"/>
      <c r="K1184" s="155"/>
      <c r="L1184" s="155"/>
      <c r="M1184" s="155"/>
      <c r="AC1184" s="188"/>
    </row>
    <row r="1185" customHeight="1" spans="5:29">
      <c r="E1185" s="30"/>
      <c r="F1185" s="30"/>
      <c r="G1185" s="30"/>
      <c r="H1185" s="30"/>
      <c r="I1185" s="30"/>
      <c r="J1185" s="30"/>
      <c r="K1185" s="155"/>
      <c r="L1185" s="155"/>
      <c r="M1185" s="155"/>
      <c r="AC1185" s="188"/>
    </row>
    <row r="1186" customHeight="1" spans="5:29">
      <c r="E1186" s="30"/>
      <c r="F1186" s="30"/>
      <c r="G1186" s="30"/>
      <c r="H1186" s="30"/>
      <c r="I1186" s="30"/>
      <c r="J1186" s="30"/>
      <c r="K1186" s="155"/>
      <c r="L1186" s="155"/>
      <c r="M1186" s="155"/>
      <c r="AC1186" s="188"/>
    </row>
    <row r="1187" customHeight="1" spans="5:29">
      <c r="E1187" s="30"/>
      <c r="F1187" s="30"/>
      <c r="G1187" s="30"/>
      <c r="H1187" s="30"/>
      <c r="I1187" s="30"/>
      <c r="J1187" s="30"/>
      <c r="K1187" s="155"/>
      <c r="L1187" s="155"/>
      <c r="M1187" s="155"/>
      <c r="AC1187" s="188"/>
    </row>
    <row r="1188" customHeight="1" spans="5:29">
      <c r="E1188" s="30"/>
      <c r="F1188" s="30"/>
      <c r="G1188" s="30"/>
      <c r="H1188" s="30"/>
      <c r="I1188" s="30"/>
      <c r="J1188" s="30"/>
      <c r="K1188" s="155"/>
      <c r="L1188" s="155"/>
      <c r="M1188" s="155"/>
      <c r="AC1188" s="188"/>
    </row>
    <row r="1189" customHeight="1" spans="5:29">
      <c r="E1189" s="30"/>
      <c r="F1189" s="30"/>
      <c r="G1189" s="30"/>
      <c r="H1189" s="30"/>
      <c r="I1189" s="30"/>
      <c r="J1189" s="30"/>
      <c r="K1189" s="155"/>
      <c r="L1189" s="155"/>
      <c r="M1189" s="155"/>
      <c r="AC1189" s="188"/>
    </row>
    <row r="1190" customHeight="1" spans="5:29">
      <c r="E1190" s="30"/>
      <c r="F1190" s="30"/>
      <c r="G1190" s="30"/>
      <c r="H1190" s="30"/>
      <c r="I1190" s="30"/>
      <c r="J1190" s="30"/>
      <c r="K1190" s="155"/>
      <c r="L1190" s="155"/>
      <c r="M1190" s="155"/>
      <c r="AC1190" s="188"/>
    </row>
    <row r="1191" customHeight="1" spans="5:29">
      <c r="E1191" s="30"/>
      <c r="F1191" s="30"/>
      <c r="G1191" s="30"/>
      <c r="H1191" s="30"/>
      <c r="I1191" s="30"/>
      <c r="J1191" s="30"/>
      <c r="K1191" s="155"/>
      <c r="L1191" s="155"/>
      <c r="M1191" s="155"/>
      <c r="AC1191" s="188"/>
    </row>
    <row r="1192" customHeight="1" spans="5:29">
      <c r="E1192" s="30"/>
      <c r="F1192" s="30"/>
      <c r="G1192" s="30"/>
      <c r="H1192" s="30"/>
      <c r="I1192" s="30"/>
      <c r="J1192" s="30"/>
      <c r="K1192" s="155"/>
      <c r="L1192" s="155"/>
      <c r="M1192" s="155"/>
      <c r="AC1192" s="188"/>
    </row>
    <row r="1193" customHeight="1" spans="5:29">
      <c r="E1193" s="30"/>
      <c r="F1193" s="30"/>
      <c r="G1193" s="30"/>
      <c r="H1193" s="30"/>
      <c r="I1193" s="30"/>
      <c r="J1193" s="30"/>
      <c r="K1193" s="155"/>
      <c r="L1193" s="155"/>
      <c r="M1193" s="155"/>
      <c r="AC1193" s="188"/>
    </row>
    <row r="1194" customHeight="1" spans="5:29">
      <c r="E1194" s="30"/>
      <c r="F1194" s="30"/>
      <c r="G1194" s="30"/>
      <c r="H1194" s="30"/>
      <c r="I1194" s="30"/>
      <c r="J1194" s="30"/>
      <c r="K1194" s="155"/>
      <c r="L1194" s="155"/>
      <c r="M1194" s="155"/>
      <c r="AC1194" s="188"/>
    </row>
    <row r="1195" customHeight="1" spans="5:29">
      <c r="E1195" s="30"/>
      <c r="F1195" s="30"/>
      <c r="G1195" s="30"/>
      <c r="H1195" s="30"/>
      <c r="I1195" s="30"/>
      <c r="J1195" s="30"/>
      <c r="K1195" s="155"/>
      <c r="L1195" s="155"/>
      <c r="M1195" s="155"/>
      <c r="AC1195" s="188"/>
    </row>
    <row r="1196" customHeight="1" spans="5:29">
      <c r="E1196" s="30"/>
      <c r="F1196" s="30"/>
      <c r="G1196" s="30"/>
      <c r="H1196" s="30"/>
      <c r="I1196" s="30"/>
      <c r="J1196" s="30"/>
      <c r="K1196" s="155"/>
      <c r="L1196" s="155"/>
      <c r="M1196" s="155"/>
      <c r="AC1196" s="188"/>
    </row>
    <row r="1197" customHeight="1" spans="5:29">
      <c r="E1197" s="30"/>
      <c r="F1197" s="30"/>
      <c r="G1197" s="30"/>
      <c r="H1197" s="30"/>
      <c r="I1197" s="30"/>
      <c r="J1197" s="30"/>
      <c r="K1197" s="155"/>
      <c r="L1197" s="155"/>
      <c r="M1197" s="155"/>
      <c r="AC1197" s="188"/>
    </row>
    <row r="1198" customHeight="1" spans="5:29">
      <c r="E1198" s="30"/>
      <c r="F1198" s="30"/>
      <c r="G1198" s="30"/>
      <c r="H1198" s="30"/>
      <c r="I1198" s="30"/>
      <c r="J1198" s="30"/>
      <c r="K1198" s="155"/>
      <c r="L1198" s="155"/>
      <c r="M1198" s="155"/>
      <c r="AC1198" s="188"/>
    </row>
    <row r="1199" customHeight="1" spans="5:29">
      <c r="E1199" s="30"/>
      <c r="F1199" s="30"/>
      <c r="G1199" s="30"/>
      <c r="H1199" s="30"/>
      <c r="I1199" s="30"/>
      <c r="J1199" s="30"/>
      <c r="K1199" s="155"/>
      <c r="L1199" s="155"/>
      <c r="M1199" s="155"/>
      <c r="AC1199" s="188"/>
    </row>
    <row r="1200" customHeight="1" spans="5:29">
      <c r="E1200" s="30"/>
      <c r="F1200" s="30"/>
      <c r="G1200" s="30"/>
      <c r="H1200" s="30"/>
      <c r="I1200" s="30"/>
      <c r="J1200" s="30"/>
      <c r="K1200" s="155"/>
      <c r="L1200" s="155"/>
      <c r="M1200" s="155"/>
      <c r="AC1200" s="188"/>
    </row>
    <row r="1201" customHeight="1" spans="5:29">
      <c r="E1201" s="30"/>
      <c r="F1201" s="30"/>
      <c r="G1201" s="30"/>
      <c r="H1201" s="30"/>
      <c r="I1201" s="30"/>
      <c r="J1201" s="30"/>
      <c r="K1201" s="155"/>
      <c r="L1201" s="155"/>
      <c r="M1201" s="155"/>
      <c r="AC1201" s="188"/>
    </row>
    <row r="1202" customHeight="1" spans="5:29">
      <c r="E1202" s="30"/>
      <c r="F1202" s="30"/>
      <c r="G1202" s="30"/>
      <c r="H1202" s="30"/>
      <c r="I1202" s="30"/>
      <c r="J1202" s="30"/>
      <c r="K1202" s="155"/>
      <c r="L1202" s="155"/>
      <c r="M1202" s="155"/>
      <c r="AC1202" s="188"/>
    </row>
    <row r="1203" customHeight="1" spans="5:29">
      <c r="E1203" s="30"/>
      <c r="F1203" s="30"/>
      <c r="G1203" s="30"/>
      <c r="H1203" s="30"/>
      <c r="I1203" s="30"/>
      <c r="J1203" s="30"/>
      <c r="K1203" s="155"/>
      <c r="L1203" s="155"/>
      <c r="M1203" s="155"/>
      <c r="AC1203" s="188"/>
    </row>
  </sheetData>
  <mergeCells count="273">
    <mergeCell ref="D1:F1"/>
    <mergeCell ref="I1:L1"/>
    <mergeCell ref="P1:R1"/>
    <mergeCell ref="S1:U1"/>
    <mergeCell ref="W1:Y1"/>
    <mergeCell ref="Z1:AB1"/>
    <mergeCell ref="AD1:AE1"/>
    <mergeCell ref="D2:F2"/>
    <mergeCell ref="I2:J2"/>
    <mergeCell ref="K2:L2"/>
    <mergeCell ref="M2:N2"/>
    <mergeCell ref="Q2:V2"/>
    <mergeCell ref="W2:Y2"/>
    <mergeCell ref="Z2:AB2"/>
    <mergeCell ref="D3:F3"/>
    <mergeCell ref="I3:J3"/>
    <mergeCell ref="K3:L3"/>
    <mergeCell ref="M3:N3"/>
    <mergeCell ref="Q3:V3"/>
    <mergeCell ref="Z3:AA3"/>
    <mergeCell ref="D4:F4"/>
    <mergeCell ref="I4:J4"/>
    <mergeCell ref="K4:L4"/>
    <mergeCell ref="M4:N4"/>
    <mergeCell ref="P4:U4"/>
    <mergeCell ref="V4:Y4"/>
    <mergeCell ref="Z4:AB4"/>
    <mergeCell ref="A5:B5"/>
    <mergeCell ref="D5:E5"/>
    <mergeCell ref="I5:L5"/>
    <mergeCell ref="M5:N5"/>
    <mergeCell ref="P5:U5"/>
    <mergeCell ref="V5:Y5"/>
    <mergeCell ref="Z5:AB5"/>
    <mergeCell ref="BW5:BX5"/>
    <mergeCell ref="DH5:DJ5"/>
    <mergeCell ref="DK5:DM5"/>
    <mergeCell ref="E6:J6"/>
    <mergeCell ref="K6:M6"/>
    <mergeCell ref="AI6:AK6"/>
    <mergeCell ref="AL6:AP6"/>
    <mergeCell ref="AQ6:AW6"/>
    <mergeCell ref="AX6:BA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3:B83"/>
    <mergeCell ref="A84:B84"/>
    <mergeCell ref="A85:B85"/>
    <mergeCell ref="A86:B86"/>
    <mergeCell ref="A87:B87"/>
    <mergeCell ref="A88:B88"/>
    <mergeCell ref="A89:B89"/>
    <mergeCell ref="A90:B90"/>
    <mergeCell ref="A91:B91"/>
    <mergeCell ref="A92:B92"/>
    <mergeCell ref="A93:B93"/>
    <mergeCell ref="A94:B94"/>
    <mergeCell ref="A95:B95"/>
    <mergeCell ref="A96:B96"/>
    <mergeCell ref="A97:B97"/>
    <mergeCell ref="A98:B98"/>
    <mergeCell ref="A99:B99"/>
    <mergeCell ref="A100:B100"/>
    <mergeCell ref="A101:B101"/>
    <mergeCell ref="A102:B102"/>
    <mergeCell ref="A103:B103"/>
    <mergeCell ref="A104:B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86:B186"/>
    <mergeCell ref="A187:B187"/>
    <mergeCell ref="A188:B188"/>
    <mergeCell ref="A189:B189"/>
    <mergeCell ref="A190:B190"/>
    <mergeCell ref="A191:B191"/>
    <mergeCell ref="A192:B192"/>
    <mergeCell ref="A193:B193"/>
    <mergeCell ref="A194:B194"/>
    <mergeCell ref="A195:B195"/>
    <mergeCell ref="A196:B196"/>
    <mergeCell ref="A197:B197"/>
    <mergeCell ref="A198:B198"/>
    <mergeCell ref="A199:B199"/>
    <mergeCell ref="A200:B200"/>
    <mergeCell ref="A201:B201"/>
    <mergeCell ref="A202:B202"/>
    <mergeCell ref="A203:B203"/>
    <mergeCell ref="A204:B204"/>
    <mergeCell ref="A205:B205"/>
    <mergeCell ref="A206:B206"/>
    <mergeCell ref="A207:B207"/>
    <mergeCell ref="A208:B208"/>
    <mergeCell ref="A209:B209"/>
    <mergeCell ref="I212:J212"/>
    <mergeCell ref="Q212:S212"/>
    <mergeCell ref="V212:X212"/>
    <mergeCell ref="G213:H213"/>
    <mergeCell ref="I213:J213"/>
    <mergeCell ref="Q213:S213"/>
    <mergeCell ref="W213:X213"/>
    <mergeCell ref="G214:H214"/>
    <mergeCell ref="I214:J214"/>
    <mergeCell ref="Q214:S214"/>
    <mergeCell ref="G215:H215"/>
    <mergeCell ref="I215:J215"/>
    <mergeCell ref="G216:H216"/>
    <mergeCell ref="I216:J216"/>
    <mergeCell ref="R220:T220"/>
    <mergeCell ref="E221:G221"/>
    <mergeCell ref="R222:T222"/>
    <mergeCell ref="A224:B224"/>
    <mergeCell ref="R225:T225"/>
    <mergeCell ref="R226:T226"/>
    <mergeCell ref="R227:T227"/>
    <mergeCell ref="A229:B229"/>
    <mergeCell ref="R230:T230"/>
    <mergeCell ref="V231:V232"/>
    <mergeCell ref="A3:B4"/>
    <mergeCell ref="G1:H5"/>
    <mergeCell ref="V219:Z222"/>
  </mergeCells>
  <conditionalFormatting sqref="P1">
    <cfRule type="containsText" dxfId="0" priority="8" operator="between" text="rotate">
      <formula>NOT(ISERROR(SEARCH("rotate",P1)))</formula>
    </cfRule>
  </conditionalFormatting>
  <conditionalFormatting sqref="Z1:AB1">
    <cfRule type="containsText" dxfId="1" priority="10" operator="between" text="LIVE">
      <formula>NOT(ISERROR(SEARCH("LIVE",Z1)))</formula>
    </cfRule>
    <cfRule type="containsText" dxfId="2" priority="11" operator="between" text="PTU">
      <formula>NOT(ISERROR(SEARCH("PTU",Z1)))</formula>
    </cfRule>
  </conditionalFormatting>
  <conditionalFormatting sqref="O8:O209 O224 O229">
    <cfRule type="containsText" dxfId="3" priority="1" operator="between" text="night">
      <formula>NOT(ISERROR(SEARCH("night",O8)))</formula>
    </cfRule>
    <cfRule type="containsText" dxfId="4" priority="2" operator="between" text="Twilight">
      <formula>NOT(ISERROR(SEARCH("Twilight",O8)))</formula>
    </cfRule>
    <cfRule type="containsText" dxfId="5" priority="3" operator="between" text="Morning">
      <formula>NOT(ISERROR(SEARCH("Morning",O8)))</formula>
    </cfRule>
    <cfRule type="containsText" dxfId="5" priority="4" operator="between" text="Day">
      <formula>NOT(ISERROR(SEARCH("Day",O8)))</formula>
    </cfRule>
    <cfRule type="containsText" dxfId="6" priority="5" operator="between" text="noon">
      <formula>NOT(ISERROR(SEARCH("noon",O8)))</formula>
    </cfRule>
  </conditionalFormatting>
  <conditionalFormatting sqref="V8:V209 V224 V229">
    <cfRule type="containsText" dxfId="5" priority="6" operator="between" text="Sets">
      <formula>NOT(ISERROR(SEARCH("Sets",V8)))</formula>
    </cfRule>
    <cfRule type="containsText" dxfId="7" priority="7" operator="between" text="Obstructed">
      <formula>NOT(ISERROR(SEARCH("Obstructed",V8)))</formula>
    </cfRule>
    <cfRule type="containsText" dxfId="5" priority="9" operator="between" text="Clear">
      <formula>NOT(ISERROR(SEARCH("Clear",V8)))</formula>
    </cfRule>
  </conditionalFormatting>
  <dataValidations count="9">
    <dataValidation type="list" allowBlank="1" showErrorMessage="1" sqref="B1">
      <formula1>BodySelection</formula1>
    </dataValidation>
    <dataValidation type="list" allowBlank="1" sqref="Z1">
      <formula1>DatabaseSelection</formula1>
    </dataValidation>
    <dataValidation type="list" allowBlank="1" showErrorMessage="1" sqref="B2">
      <formula1>"-12,-11,-10,-9,-8,-7,-6,-5,-4,-3,-2,-1,+0,+1,+2,+3,+4,+5,+6,+7,+8,+9,+10,+11,+12"</formula1>
    </dataValidation>
    <dataValidation type="custom" allowBlank="1" showInputMessage="1" prompt="'Now' or Date Format dd/mm/yyyy hh:mm (24h time) " sqref="A5">
      <formula1>OR(NOT(ISERROR(DATEVALUE(A5))),AND(ISNUMBER(A5),LEFT(CELL("format",A5))="D"))</formula1>
    </dataValidation>
    <dataValidation type="list" allowBlank="1" showErrorMessage="1" sqref="D5">
      <formula1>"Outpost Type,Longitude"</formula1>
    </dataValidation>
    <dataValidation type="list" allowBlank="1" showErrorMessage="1" sqref="V5">
      <formula1>OffWorldSelection</formula1>
    </dataValidation>
    <dataValidation type="list" allowBlank="1" sqref="Z5">
      <formula1>NavTargetSelection</formula1>
    </dataValidation>
    <dataValidation type="list" allowBlank="1" showErrorMessage="1" sqref="C7">
      <formula1>$BB$1:$BB$5</formula1>
    </dataValidation>
    <dataValidation type="list" allowBlank="1" sqref="G213:G216 M2:M5">
      <formula1>QTMarkerSelection</formula1>
    </dataValidation>
  </dataValidations>
  <hyperlinks>
    <hyperlink ref="Q2" r:id="rId3" display="NovaNav parameters"/>
    <hyperlink ref="I5" r:id="rId4" display="Google Drive Charts Directory"/>
  </hyperlinks>
  <pageMargins left="0.75" right="0.75" top="1" bottom="1" header="0.5" footer="0.5"/>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523"/>
  <sheetViews>
    <sheetView workbookViewId="0">
      <selection activeCell="A1" sqref="A1"/>
    </sheetView>
  </sheetViews>
  <sheetFormatPr defaultColWidth="12.6285714285714" defaultRowHeight="15.75" customHeight="1"/>
  <sheetData>
    <row r="1" customHeight="1" spans="1:18">
      <c r="A1" s="1" t="s">
        <v>0</v>
      </c>
      <c r="B1" s="35" t="s">
        <v>1</v>
      </c>
      <c r="E1" s="1" t="s">
        <v>191</v>
      </c>
      <c r="F1" s="2">
        <f>VLOOKUP(CONCATENATE(B1," R00"),Database,15,FALSE)</f>
        <v>1000</v>
      </c>
      <c r="G1" s="1" t="s">
        <v>16</v>
      </c>
      <c r="H1" s="2">
        <f>VLOOKUP(CONCATENATE(B1," R00"),Database,14,FALSE)</f>
        <v>1439.593</v>
      </c>
      <c r="J1" s="67" t="s">
        <v>192</v>
      </c>
      <c r="K1" s="97">
        <f>TimeLocal</f>
        <v>45683.7115509259</v>
      </c>
      <c r="O1" s="98" t="s">
        <v>193</v>
      </c>
      <c r="P1" s="99"/>
      <c r="Q1" s="99"/>
      <c r="R1" s="115"/>
    </row>
    <row r="2" customHeight="1" spans="5:18">
      <c r="E2" s="4" t="s">
        <v>194</v>
      </c>
      <c r="F2" s="4" t="str">
        <f>CONCATENATE(1.1*F1," km")</f>
        <v>1100 km</v>
      </c>
      <c r="G2" s="4" t="str">
        <f>CONCATENATE(F1*0.1*1000," meters")</f>
        <v>100000 meters</v>
      </c>
      <c r="O2" s="100" t="str">
        <f>C27</f>
        <v>New Babbage</v>
      </c>
      <c r="P2" s="30" t="str">
        <f>C28</f>
        <v>Port Tressler</v>
      </c>
      <c r="Q2" s="30" t="str">
        <f>C29</f>
        <v>MT DataCenter E2Q-NSG-Y</v>
      </c>
      <c r="R2" s="116" t="str">
        <f>C30</f>
        <v>Calhoun Pass Emergency Shelter</v>
      </c>
    </row>
    <row r="3" customHeight="1" spans="1:18">
      <c r="A3" s="67" t="s">
        <v>195</v>
      </c>
      <c r="C3" s="68" t="b">
        <v>1</v>
      </c>
      <c r="D3" s="69" t="s">
        <v>40</v>
      </c>
      <c r="E3" s="70"/>
      <c r="H3" s="30" t="s">
        <v>115</v>
      </c>
      <c r="I3" s="30" t="s">
        <v>116</v>
      </c>
      <c r="J3" s="30" t="s">
        <v>117</v>
      </c>
      <c r="K3" s="30" t="s">
        <v>118</v>
      </c>
      <c r="L3" s="30" t="s">
        <v>119</v>
      </c>
      <c r="M3" s="30" t="s">
        <v>120</v>
      </c>
      <c r="N3" s="30" t="str">
        <f>B1</f>
        <v>microTech</v>
      </c>
      <c r="O3" s="101" t="str">
        <f>IF($A$25,E27,"")</f>
        <v/>
      </c>
      <c r="P3" s="102" t="str">
        <f>IF($A$25,E28,"")</f>
        <v/>
      </c>
      <c r="Q3" s="102" t="str">
        <f>IF($A$25,E29,"")</f>
        <v/>
      </c>
      <c r="R3" s="117" t="str">
        <f>IF($A$25,E30,"")</f>
        <v/>
      </c>
    </row>
    <row r="4" customHeight="1" spans="1:18">
      <c r="A4" s="67" t="s">
        <v>196</v>
      </c>
      <c r="B4" s="71" t="str">
        <f>IF(A17,CONCATENATE("Database Location: ",B18),IF(A25,CONCATENATE("Multilaterated Position: ",J130," Altitude: ",ROUND(I130*1000,0)," meters"),IF(A36,CONCATENATE("PBD Location: ",ROUND(E143,1)," km ",F142," of ",B38),IF(A42,CONCATENATE("Intersection of ",B44," R-",IF(K161&lt;100,"0",""),IF(K161&lt;10,"0",""),K161," / ",B45," R-",IF(K162&lt;100,"0",""),IF(K162&lt;10,"0",""),K162),IF(A32,CONCATENATE("Specified ECEF coordinate: x:",ROUND(D145,3),", y:",ROUND(E145,3),", z:",ROUND(F145,3)),IF(A20,CONCATENATE("Specified Lat/Long: ",J130," Altitude: ",ROUND(I130*1000,0)," meters"),IF(A47,CONCATENATE("UTM Grid ",L149," ",M149," ",N149),"Choose Origin")))))))</f>
        <v>Database Location: New Babbage</v>
      </c>
      <c r="H4" s="72">
        <f>ROUND(SQRT(D130^2+E130^2+(F130-$H$1)^2),3)</f>
        <v>965.064</v>
      </c>
      <c r="I4" s="72">
        <f>ROUND(SQRT(D130^2+E130^2+(F130+$H$1)^2),3)</f>
        <v>2283.329</v>
      </c>
      <c r="J4" s="72">
        <f>ROUND(SQRT(D130^2+(E130-$H$1)^2+F130^2),3)</f>
        <v>1365.665</v>
      </c>
      <c r="K4" s="72">
        <f>ROUND(SQRT(D130^2+(E130+$H$1)^2+F130^2),3)</f>
        <v>2068.791</v>
      </c>
      <c r="L4" s="72">
        <f>ROUND(SQRT((D130-$H$1)^2+E130^2+F130^2),3)</f>
        <v>1254.277</v>
      </c>
      <c r="M4" s="72">
        <f>ROUND(SQRT((D130+$H$1)^2+E130^2+F130^2),3)</f>
        <v>2138.16</v>
      </c>
      <c r="N4" s="72">
        <f>ROUND(SQRT(D130^2+E130^2+F130^2),3)</f>
        <v>1000.021</v>
      </c>
      <c r="O4" s="103">
        <f>ROUND(SQRT((D130-D135)^2+(E130-E135)^2+(F130-F135)^2),3)</f>
        <v>0</v>
      </c>
      <c r="P4" s="72">
        <f>ROUND(SQRT((D130-D136)^2+(E130-E136)^2+(F130-F136)^2),3)</f>
        <v>148.013</v>
      </c>
      <c r="Q4" s="72">
        <f>ROUND(SQRT((D130-D137)^2+(E130-E137)^2+(F130-F137)^2),3)</f>
        <v>1189.951</v>
      </c>
      <c r="R4" s="118">
        <f>ROUND(SQRT((D130-D138)^2+(E130-E138)^2+(F130-F138)^2),3)</f>
        <v>1126.789</v>
      </c>
    </row>
    <row r="5" customHeight="1" spans="1:18">
      <c r="A5" s="67" t="s">
        <v>197</v>
      </c>
      <c r="B5" s="41" t="str">
        <f>IF(G17,CONCATENATE("Database Location: ",H18),IF(G20,CONCATENATE("Specified ECEF coordinate: x:",ROUND(D225,3),", y:",ROUND(E225,3),", z:",ROUND(F225,3)),IF(G24,CONCATENATE("Specified Lat/Long: ",J225," Altitude: ",ROUND(I225*1000,0)," meters"),IF(G29,CONCATENATE("UTM Grid ",L240," ",M240," ",N240),IF(G33,CONCATENATE("Multilaterated Position: ",J225," Altitude: ",ROUND(I225*1000,0)," meters"),IF(M22,CONCATENATE("PBD Location: ",ROUND(E249,1)," km ",F248," of ",N22),IF(M24,CONCATENATE("PBD Location: ",ROUND(E249,1)," km ",F248," of ","Specified ECEF coordinate: x:",ROUND(D230,3),", y:",ROUND(E230,3),", z:",ROUND(F230,3)),IF(M27,CONCATENATE("PBD Location: ",ROUND(E249,1)," km ",F248," of ","Specified Lat/Long: ",J232," Altitude: ",ROUND(I225*1000,0)," meters"),IF(M30,CONCATENATE("PBD Location: ",ROUND(E249,1)," km ",F248," of ","UTM Grid ",L240," ",M240," ",N240),IF(M33,CONCATENATE("PBD Location: ",ROUND(E249,1)," km ",F248," of ","Multilaterated Position: ",J234," Altitude: ",ROUND(I225*1000,0)," meters"),"Choose Destination"))))))))))</f>
        <v>Database Location: River 35R</v>
      </c>
      <c r="H5" s="73">
        <f>ROUND(SQRT(D225^2+E225^2+(F225-$H$1)^2),3)</f>
        <v>1371.408</v>
      </c>
      <c r="I5" s="73">
        <f>ROUND(SQRT(D225^2+E225^2+(F225+$H$1)^2),3)</f>
        <v>2065.968</v>
      </c>
      <c r="J5" s="73">
        <f>ROUND(SQRT(D225^2+(E225-$H$1)^2+F225^2),3)</f>
        <v>1360.835</v>
      </c>
      <c r="K5" s="73">
        <f>ROUND(SQRT(D225^2+(E225+$H$1)^2+F225^2),3)</f>
        <v>2072.948</v>
      </c>
      <c r="L5" s="73">
        <f>ROUND(SQRT((D225-$H$1)^2+E225^2+F225^2),3)</f>
        <v>868.041</v>
      </c>
      <c r="M5" s="73">
        <f>ROUND(SQRT((D225+$H$1)^2+E225^2+F225^2),3)</f>
        <v>2322.819</v>
      </c>
      <c r="N5" s="73">
        <f>ROUND(SQRT(D225^2+E225^2+F225^2),3)</f>
        <v>1001.032</v>
      </c>
      <c r="O5" s="104">
        <f>ROUND(SQRT((D225-D135)^2+(E225-E135)^2+(F225-F135)^2),3)</f>
        <v>435.611</v>
      </c>
      <c r="P5" s="73">
        <f>ROUND(SQRT((D225-D136)^2+(E225-E136)^2+(F225-F136)^2),3)</f>
        <v>479.544</v>
      </c>
      <c r="Q5" s="73">
        <f>ROUND(SQRT((D225-D137)^2+(E225-E137)^2+(F225-F137)^2),3)</f>
        <v>812.177</v>
      </c>
      <c r="R5" s="119">
        <f>ROUND(SQRT((D225-D138)^2+(E225-E138)^2+(F225-F138)^2),3)</f>
        <v>872.196</v>
      </c>
    </row>
    <row r="6" customHeight="1" spans="1:18">
      <c r="A6" s="67" t="s">
        <v>198</v>
      </c>
      <c r="B6" s="74" t="str">
        <f>IF(Q17,CONCATENATE("Database Location: ",R18),IF(Q20,CONCATENATE("Specified ECEF coordinate: x:",ROUND(D265,3),", y:",ROUND(E265,3),", z:",ROUND(F265,3)),IF(Q25,CONCATENATE("Specified Lat/Long: ",J265," Altitude: ",ROUND(I265*1000,0)," meters"),IF(Q30,CONCATENATE("UTM Grid ",L280," ",M280," ",N280),IF(Q34,CONCATENATE("Multilaterated Position: ",J265," Altitude: ",ROUND(I265*1000,0)," meters"),"No Bullseye Set")))))</f>
        <v>Specified ECEF coordinate: x:673.892, y:442.875, z:591.38</v>
      </c>
      <c r="N6" s="67"/>
      <c r="O6" s="105" t="s">
        <v>199</v>
      </c>
      <c r="P6" s="106"/>
      <c r="Q6" s="106"/>
      <c r="R6" s="120"/>
    </row>
    <row r="7" customHeight="1" spans="2:18">
      <c r="B7" s="75" t="str">
        <f>IF(C3,"OM3 North","")</f>
        <v>OM3 North</v>
      </c>
      <c r="J7" s="30" t="s">
        <v>200</v>
      </c>
      <c r="P7" s="30"/>
      <c r="Q7" s="30"/>
      <c r="R7" s="30"/>
    </row>
    <row r="8" customHeight="1" spans="1:20">
      <c r="A8" s="30" t="str">
        <f>CONCATENATE("Fly heading ",IF(E116&lt;100,"0",""),IF(E116&lt;10,"0",""),E116,"°",IF(C$3,"M","T")," for ",IF(G117&lt;1,CONCATENATE(ROUND(I117*1000,0)," meters"),CONCATENATE(H117," km")))</f>
        <v>Fly heading 083°M for 438.9 km</v>
      </c>
      <c r="D8" s="30" t="str">
        <f>CONCATENATE("Time to Fly: ",G120," (h:mm:ss.s) at ",ROUND(C119*1000,0)," m/s")</f>
        <v>Time to Fly: 0:20:54 (h:mm:ss.s) at 350 m/s</v>
      </c>
      <c r="G8" s="30" t="str">
        <f>CONCATENATE("Great Circle Distance: ",IF(G117&lt;1,CONCATENATE(ROUND(G117*1000,0)," meters"),CONCATENATE(E117," km")))</f>
        <v>Great Circle Distance: 438.9 km</v>
      </c>
      <c r="J8" s="93" t="str">
        <f>CONCATENATE("Rise: ",TEXT(O130,"hh:mm")," / Set: ",TEXT(P130,"hh:mm")," / Duration of daylight: ",HOUR(O131),"h ",MINUTE(O131),"m")</f>
        <v>Rise: 17:30 / Set: 19:41 / Duration of daylight: 2h 11m</v>
      </c>
      <c r="N8" s="30" t="str">
        <f>M131</f>
        <v>After midnight / Rises in 26m</v>
      </c>
      <c r="Q8" s="30"/>
      <c r="R8" s="30"/>
      <c r="S8" s="30"/>
      <c r="T8" s="30"/>
    </row>
    <row r="9" customHeight="1" spans="2:17">
      <c r="B9" s="30" t="str">
        <f>CONCATENATE("Pitch ",L118," / Direction ",IF(G116&lt;1000,"0",""),IF(G116&lt;100,"0",""),IF(G116&lt;10,"0",""),G116," mils")</f>
        <v>Pitch -12° / Direction 1482 mils</v>
      </c>
      <c r="D9" s="67" t="s">
        <v>201</v>
      </c>
      <c r="E9" s="36">
        <v>350</v>
      </c>
      <c r="F9" s="1" t="s">
        <v>202</v>
      </c>
      <c r="G9" s="30" t="str">
        <f>CONCATENATE("Direct Distance: ",IF(G118&lt;1,CONCATENATE(ROUND(G118*1000,0)," meters"),CONCATENATE(E118," km")))</f>
        <v>Direct Distance: 435.6 km</v>
      </c>
      <c r="J9" s="84" t="str">
        <f>CONCATENATE("Rise: ",TEXT(O225,"hh:mm")," / Set: ",TEXT(P225,"hh:mm")," / Duration of daylight: ",HOUR(O226),"h ",MINUTE(O226),"m")</f>
        <v>Rise: 17:38 / Set: 19:49 / Duration of daylight: 2h 10m</v>
      </c>
      <c r="N9" s="30" t="str">
        <f>M226</f>
        <v>After midnight / Rises in 34m</v>
      </c>
      <c r="Q9" s="30"/>
    </row>
    <row r="10" customHeight="1" spans="1:11">
      <c r="A10" s="1"/>
      <c r="B10" s="1"/>
      <c r="D10" s="67" t="s">
        <v>203</v>
      </c>
      <c r="E10" s="76">
        <v>0</v>
      </c>
      <c r="J10" s="1" t="s">
        <v>41</v>
      </c>
      <c r="K10" s="107">
        <f>IF(Rotation,I109,"")</f>
        <v>0.1716666625</v>
      </c>
    </row>
    <row r="11" customHeight="1" spans="1:18">
      <c r="A11" s="45"/>
      <c r="B11" s="45"/>
      <c r="G11" s="45"/>
      <c r="H11" s="45"/>
      <c r="Q11" s="45"/>
      <c r="R11" s="45"/>
    </row>
    <row r="12" customHeight="1" spans="1:23">
      <c r="A12" s="77" t="s">
        <v>204</v>
      </c>
      <c r="B12" s="77" t="s">
        <v>205</v>
      </c>
      <c r="C12" s="71"/>
      <c r="D12" s="71"/>
      <c r="E12" s="71"/>
      <c r="F12" s="71"/>
      <c r="G12" s="78" t="s">
        <v>206</v>
      </c>
      <c r="H12" s="78" t="s">
        <v>207</v>
      </c>
      <c r="I12" s="41"/>
      <c r="J12" s="41"/>
      <c r="K12" s="41"/>
      <c r="L12" s="41"/>
      <c r="M12" s="41"/>
      <c r="N12" s="41"/>
      <c r="O12" s="41"/>
      <c r="P12" s="41"/>
      <c r="Q12" s="121" t="s">
        <v>208</v>
      </c>
      <c r="R12" s="121" t="s">
        <v>209</v>
      </c>
      <c r="S12" s="74"/>
      <c r="T12" s="74"/>
      <c r="U12" s="74"/>
      <c r="V12" s="74"/>
      <c r="W12" s="74"/>
    </row>
    <row r="13" customHeight="1" spans="1:23">
      <c r="A13" s="71"/>
      <c r="B13" s="71" t="str">
        <f>IF(C131,"",CONCATENATE(J130," Altitude: ",ROUND(I130*1000,0)," meters"))</f>
        <v>N 48° 02.5' / E 038° 50.8' Altitude: 21 meters</v>
      </c>
      <c r="C13" s="71"/>
      <c r="D13" s="71"/>
      <c r="E13" s="71" t="str">
        <f>IF(C131,"",CONCATENATE("x:",ROUND(D130,3)," y:",ROUND(E130,3)," z:",ROUND(F130,3)))</f>
        <v>x:520.723 y:419.364 z:743.655</v>
      </c>
      <c r="F13" s="71"/>
      <c r="G13" s="41"/>
      <c r="H13" s="41" t="str">
        <f>IF(C226,"",CONCATENATE(J225," Altitude: ",ROUND(I225*1000,0)," meters"))</f>
        <v>N 24° 28.1' / E 027° 46.7' Altitude: 1032 meters</v>
      </c>
      <c r="I13" s="41"/>
      <c r="J13" s="41"/>
      <c r="K13" s="41" t="str">
        <f>IF(C226,"",CONCATENATE("x:",ROUND(D225,3)," y:",ROUND(E225,3)," z:",ROUND(F225,3)))</f>
        <v>x:806.13 y:424.642 z:414.608</v>
      </c>
      <c r="L13" s="41"/>
      <c r="M13" s="41"/>
      <c r="N13" s="41"/>
      <c r="O13" s="41"/>
      <c r="P13" s="41"/>
      <c r="Q13" s="121" t="s">
        <v>210</v>
      </c>
      <c r="R13" s="74" t="str">
        <f>IF(C266,"",CONCATENATE(J265," Altitude: ",ROUND(I265*1000,0)," meters"))</f>
        <v>N 36° 15.3' / E 033° 18.8' Altitude: -1 meters</v>
      </c>
      <c r="S13" s="74"/>
      <c r="T13" s="74"/>
      <c r="U13" s="74" t="str">
        <f>IF(C266,"",CONCATENATE("x:",ROUND(D265,3)," y:",ROUND(E265,3)," z:",ROUND(F265,3)))</f>
        <v>x:673.892 y:442.875 z:591.38</v>
      </c>
      <c r="V13" s="74"/>
      <c r="W13" s="74"/>
    </row>
    <row r="14" customHeight="1" spans="1:23">
      <c r="A14" s="71"/>
      <c r="B14" s="71" t="str">
        <f>IF(C131,"Choose Starting Location",CONCATENATE("UTM: ",M136," / MGRS: ",N136," / GARS: ",L141))</f>
        <v>UTM: 37U 498206 838163 / MGRS: 37U DJ 982381 / GARS: 438MN48</v>
      </c>
      <c r="C14" s="71"/>
      <c r="D14" s="71"/>
      <c r="E14" s="71"/>
      <c r="F14" s="71"/>
      <c r="G14" s="41"/>
      <c r="H14" s="41" t="str">
        <f>IF(C226,"Choose Destination",CONCATENATE("UTM: ",M231," / MGRS: ",N231," / GARS: ",L236))</f>
        <v>UTM: 35R 512366 426905 / MGRS: 35R NE 123269 / GARS: 416KN21</v>
      </c>
      <c r="I14" s="41"/>
      <c r="J14" s="41"/>
      <c r="K14" s="41"/>
      <c r="L14" s="41"/>
      <c r="M14" s="41"/>
      <c r="N14" s="41"/>
      <c r="O14" s="41"/>
      <c r="P14" s="41"/>
      <c r="Q14" s="74"/>
      <c r="R14" s="74" t="str">
        <f>IF(C266,"No Bullseye Set",CONCATENATE("UTM: ",M271," / MGRS: ",N271," / GARS: ",L276))</f>
        <v>UTM: 36S 504396 632523 / MGRS: 36S WM 043325 / GARS: 427LN27</v>
      </c>
      <c r="S14" s="74"/>
      <c r="T14" s="74"/>
      <c r="U14" s="74"/>
      <c r="V14" s="74"/>
      <c r="W14" s="74"/>
    </row>
    <row r="15" customHeight="1" spans="1:23">
      <c r="A15" s="71"/>
      <c r="B15" s="71" t="str">
        <f>IF(C131,"",IF(C266,"",IFERROR(CONCATENATE(D128," of Bullseye (Direction ",IF(D126&lt;1000,"0",""),IF(D126&lt;100,"0",""),IF(D126&lt;10,"0",""),D126,") R-",IF(D124&lt;100,"0",""),IF(D124&lt;10,"0",""),D124," / ",D127," km"),CONCATENATE("At Bullseye"))))</f>
        <v>NNE of Bullseye (Direction 0309) R-017 / 217.7 km</v>
      </c>
      <c r="C15" s="71"/>
      <c r="D15" s="71"/>
      <c r="E15" s="71" t="str">
        <f>IF(C131,"",CONCATENATE("Distance to Horizon: ",ROUND(M133,1),"km"))</f>
        <v>Distance to Horizon: 7.1km</v>
      </c>
      <c r="F15" s="71"/>
      <c r="G15" s="41"/>
      <c r="H15" s="41" t="str">
        <f>IF(C226,"",IF(C266,"",IFERROR(CONCATENATE(E128," of Bullseye (Direction ",IF(E126&lt;1000,"0",""),IF(E126&lt;100,"0",""),IF(E126&lt;10,"0",""),E126,") R-",IF(E124&lt;100,"0",""),IF(E124&lt;10,"0",""),E124," / ",E127," km"),CONCATENATE("At Bullseye"))))</f>
        <v>SSW of Bullseye (Direction 3618) R-204 / 221.9 km</v>
      </c>
      <c r="I15" s="41"/>
      <c r="J15" s="41"/>
      <c r="K15" s="41" t="str">
        <f>IF(C226,"",CONCATENATE("Distance to Horizon: ",ROUND(M228,1),"km"))</f>
        <v>Distance to Horizon: 49.9km</v>
      </c>
      <c r="L15" s="41"/>
      <c r="M15" s="41"/>
      <c r="N15" s="41"/>
      <c r="O15" s="41"/>
      <c r="P15" s="41"/>
      <c r="Q15" s="74"/>
      <c r="R15" s="74"/>
      <c r="S15" s="74"/>
      <c r="T15" s="74"/>
      <c r="U15" s="74"/>
      <c r="V15" s="74"/>
      <c r="W15" s="74"/>
    </row>
    <row r="16" customHeight="1" spans="1:23">
      <c r="A16" s="71"/>
      <c r="B16" s="71"/>
      <c r="C16" s="71"/>
      <c r="D16" s="71"/>
      <c r="E16" s="71"/>
      <c r="F16" s="71"/>
      <c r="G16" s="41"/>
      <c r="H16" s="41"/>
      <c r="I16" s="41"/>
      <c r="J16" s="41"/>
      <c r="K16" s="41"/>
      <c r="L16" s="41"/>
      <c r="M16" s="41"/>
      <c r="N16" s="41"/>
      <c r="O16" s="41"/>
      <c r="P16" s="41"/>
      <c r="Q16" s="74"/>
      <c r="R16" s="74"/>
      <c r="S16" s="74"/>
      <c r="T16" s="74"/>
      <c r="U16" s="74"/>
      <c r="V16" s="74"/>
      <c r="W16" s="74"/>
    </row>
    <row r="17" customHeight="1" spans="1:23">
      <c r="A17" s="71" t="b">
        <v>1</v>
      </c>
      <c r="B17" s="71" t="s">
        <v>211</v>
      </c>
      <c r="C17" s="71"/>
      <c r="D17" s="71"/>
      <c r="E17" s="71"/>
      <c r="F17" s="71"/>
      <c r="G17" s="41" t="b">
        <v>1</v>
      </c>
      <c r="H17" s="41" t="s">
        <v>211</v>
      </c>
      <c r="I17" s="41"/>
      <c r="J17" s="41"/>
      <c r="K17" s="41"/>
      <c r="L17" s="41"/>
      <c r="M17" s="41" t="s">
        <v>212</v>
      </c>
      <c r="N17" s="41"/>
      <c r="O17" s="41"/>
      <c r="P17" s="41"/>
      <c r="Q17" s="74" t="b">
        <v>0</v>
      </c>
      <c r="R17" s="74" t="s">
        <v>211</v>
      </c>
      <c r="S17" s="74"/>
      <c r="T17" s="74"/>
      <c r="U17" s="74"/>
      <c r="V17" s="74"/>
      <c r="W17" s="74"/>
    </row>
    <row r="18" customHeight="1" spans="1:23">
      <c r="A18" s="71"/>
      <c r="B18" s="79" t="s">
        <v>213</v>
      </c>
      <c r="C18" s="80"/>
      <c r="D18" s="81"/>
      <c r="E18" s="71"/>
      <c r="F18" s="71"/>
      <c r="G18" s="41"/>
      <c r="H18" s="79" t="s">
        <v>214</v>
      </c>
      <c r="I18" s="80"/>
      <c r="J18" s="81"/>
      <c r="K18" s="41"/>
      <c r="L18" s="41"/>
      <c r="M18" s="41"/>
      <c r="N18" s="108" t="str">
        <f>CONCATENATE("Bearing FROM ",IF(M24,"XYZ coordinate  ",IF(M27,"Lat/Long  ",IF(M33,"Multilatered position  ","reference point  "))))</f>
        <v>Bearing FROM reference point</v>
      </c>
      <c r="O18" s="94">
        <v>270</v>
      </c>
      <c r="P18" s="41" t="s">
        <v>215</v>
      </c>
      <c r="Q18" s="74"/>
      <c r="R18" s="79"/>
      <c r="S18" s="80"/>
      <c r="T18" s="81"/>
      <c r="U18" s="74"/>
      <c r="V18" s="74"/>
      <c r="W18" s="74"/>
    </row>
    <row r="19" customHeight="1" spans="1:23">
      <c r="A19" s="71"/>
      <c r="B19" s="71"/>
      <c r="C19" s="71"/>
      <c r="D19" s="71"/>
      <c r="E19" s="71"/>
      <c r="F19" s="71"/>
      <c r="G19" s="41"/>
      <c r="H19" s="41"/>
      <c r="I19" s="41"/>
      <c r="J19" s="41"/>
      <c r="K19" s="41"/>
      <c r="L19" s="41"/>
      <c r="M19" s="41"/>
      <c r="N19" s="108" t="str">
        <f>CONCATENATE("Distance from ",IF(M24,"XYZ coordinate  ",IF(M27,"Lat/Long  ",IF(M33,"Multilatered position  ","reference point  "))))</f>
        <v>Distance from reference point</v>
      </c>
      <c r="O19" s="95">
        <v>32</v>
      </c>
      <c r="P19" s="41" t="s">
        <v>216</v>
      </c>
      <c r="Q19" s="74"/>
      <c r="R19" s="74"/>
      <c r="S19" s="74"/>
      <c r="T19" s="74"/>
      <c r="U19" s="74"/>
      <c r="V19" s="74"/>
      <c r="W19" s="74"/>
    </row>
    <row r="20" customHeight="1" spans="1:23">
      <c r="A20" s="71" t="b">
        <v>0</v>
      </c>
      <c r="B20" s="71" t="s">
        <v>217</v>
      </c>
      <c r="C20" s="71"/>
      <c r="D20" s="71"/>
      <c r="E20" s="71"/>
      <c r="F20" s="71"/>
      <c r="G20" s="41" t="b">
        <v>0</v>
      </c>
      <c r="H20" s="41" t="s">
        <v>218</v>
      </c>
      <c r="I20" s="41"/>
      <c r="J20" s="41"/>
      <c r="K20" s="41"/>
      <c r="L20" s="41"/>
      <c r="M20" s="41"/>
      <c r="N20" s="41"/>
      <c r="O20" s="41"/>
      <c r="P20" s="41"/>
      <c r="Q20" s="74" t="b">
        <v>1</v>
      </c>
      <c r="R20" s="74" t="s">
        <v>218</v>
      </c>
      <c r="S20" s="74"/>
      <c r="T20" s="74"/>
      <c r="U20" s="74"/>
      <c r="V20" s="74"/>
      <c r="W20" s="74"/>
    </row>
    <row r="21" customHeight="1" spans="1:23">
      <c r="A21" s="71"/>
      <c r="B21" s="71" t="s">
        <v>18</v>
      </c>
      <c r="C21" s="82">
        <v>30</v>
      </c>
      <c r="D21" s="71" t="s">
        <v>219</v>
      </c>
      <c r="E21" s="71" t="s">
        <v>52</v>
      </c>
      <c r="F21" s="82">
        <v>1015.4</v>
      </c>
      <c r="G21" s="41"/>
      <c r="H21" s="83">
        <v>806.13</v>
      </c>
      <c r="I21" s="83">
        <v>424.642</v>
      </c>
      <c r="J21" s="83">
        <v>414.608</v>
      </c>
      <c r="K21" s="41"/>
      <c r="L21" s="41"/>
      <c r="M21" s="41"/>
      <c r="N21" s="41" t="s">
        <v>220</v>
      </c>
      <c r="O21" s="41"/>
      <c r="P21" s="41"/>
      <c r="Q21" s="74"/>
      <c r="R21" s="83">
        <v>673.892</v>
      </c>
      <c r="S21" s="83">
        <v>442.875</v>
      </c>
      <c r="T21" s="83">
        <v>591.38</v>
      </c>
      <c r="U21" s="74"/>
      <c r="V21" s="74"/>
      <c r="W21" s="74"/>
    </row>
    <row r="22" customHeight="1" spans="1:23">
      <c r="A22" s="71"/>
      <c r="B22" s="71" t="s">
        <v>19</v>
      </c>
      <c r="C22" s="82">
        <v>90</v>
      </c>
      <c r="D22" s="71" t="s">
        <v>221</v>
      </c>
      <c r="E22" s="71"/>
      <c r="F22" s="71" t="s">
        <v>216</v>
      </c>
      <c r="G22" s="41"/>
      <c r="H22" s="84" t="s">
        <v>222</v>
      </c>
      <c r="I22" s="84" t="s">
        <v>223</v>
      </c>
      <c r="J22" s="84" t="s">
        <v>224</v>
      </c>
      <c r="K22" s="41"/>
      <c r="L22" s="41"/>
      <c r="M22" s="41" t="b">
        <v>0</v>
      </c>
      <c r="N22" s="109" t="str">
        <f>H18</f>
        <v>River 35R</v>
      </c>
      <c r="Q22" s="74"/>
      <c r="R22" s="122">
        <f t="shared" ref="R22:T22" si="0">D290</f>
        <v>673.892446525499</v>
      </c>
      <c r="S22" s="122">
        <f t="shared" si="0"/>
        <v>442.874801380708</v>
      </c>
      <c r="T22" s="122">
        <f t="shared" si="0"/>
        <v>591.380487349622</v>
      </c>
      <c r="U22" s="123" t="s">
        <v>225</v>
      </c>
      <c r="W22" s="74"/>
    </row>
    <row r="23" customHeight="1" spans="1:23">
      <c r="A23" s="71"/>
      <c r="B23" s="71" t="s">
        <v>114</v>
      </c>
      <c r="C23" s="82">
        <v>15000</v>
      </c>
      <c r="D23" s="71" t="s">
        <v>226</v>
      </c>
      <c r="E23" s="71">
        <f>(F21-F1)*1000</f>
        <v>15400</v>
      </c>
      <c r="F23" s="71" t="s">
        <v>226</v>
      </c>
      <c r="G23" s="41"/>
      <c r="H23" s="41"/>
      <c r="I23" s="41"/>
      <c r="J23" s="41"/>
      <c r="K23" s="41"/>
      <c r="L23" s="41"/>
      <c r="M23" s="41"/>
      <c r="N23" s="41"/>
      <c r="O23" s="41"/>
      <c r="P23" s="41"/>
      <c r="Q23" s="74"/>
      <c r="R23" s="123" t="s">
        <v>222</v>
      </c>
      <c r="S23" s="123" t="s">
        <v>223</v>
      </c>
      <c r="T23" s="123" t="s">
        <v>224</v>
      </c>
      <c r="U23" s="74"/>
      <c r="V23" s="74"/>
      <c r="W23" s="74"/>
    </row>
    <row r="24" customHeight="1" spans="1:23">
      <c r="A24" s="71"/>
      <c r="B24" s="71"/>
      <c r="C24" s="71"/>
      <c r="D24" s="71"/>
      <c r="E24" s="71"/>
      <c r="F24" s="71"/>
      <c r="G24" s="41" t="b">
        <v>0</v>
      </c>
      <c r="H24" s="41" t="s">
        <v>217</v>
      </c>
      <c r="I24" s="41"/>
      <c r="J24" s="41"/>
      <c r="K24" s="41"/>
      <c r="L24" s="41"/>
      <c r="M24" s="41" t="b">
        <v>0</v>
      </c>
      <c r="N24" s="41" t="s">
        <v>218</v>
      </c>
      <c r="O24" s="41"/>
      <c r="P24" s="41"/>
      <c r="Q24" s="74"/>
      <c r="R24" s="74"/>
      <c r="S24" s="74"/>
      <c r="T24" s="74"/>
      <c r="U24" s="74"/>
      <c r="V24" s="74"/>
      <c r="W24" s="74"/>
    </row>
    <row r="25" customHeight="1" spans="1:23">
      <c r="A25" s="71" t="b">
        <v>0</v>
      </c>
      <c r="B25" s="71" t="s">
        <v>227</v>
      </c>
      <c r="C25" s="71"/>
      <c r="D25" s="71"/>
      <c r="E25" s="71"/>
      <c r="F25" s="85" t="s">
        <v>228</v>
      </c>
      <c r="G25" s="41"/>
      <c r="H25" s="41" t="s">
        <v>18</v>
      </c>
      <c r="I25" s="82">
        <v>44.49</v>
      </c>
      <c r="J25" s="41" t="s">
        <v>219</v>
      </c>
      <c r="K25" s="41" t="s">
        <v>52</v>
      </c>
      <c r="L25" s="82">
        <v>1015.4</v>
      </c>
      <c r="M25" s="41"/>
      <c r="N25" s="41" t="str">
        <f>CONCATENATE("x: ",ROUND(D230,3),", y: ",ROUND(E230,3),", z: ",ROUND(F230,3))</f>
        <v>x: 806.13, y: 424.642, z: 414.608</v>
      </c>
      <c r="O25" s="41"/>
      <c r="P25" s="41"/>
      <c r="Q25" s="74" t="b">
        <v>0</v>
      </c>
      <c r="R25" s="74" t="s">
        <v>217</v>
      </c>
      <c r="S25" s="74"/>
      <c r="T25" s="74"/>
      <c r="U25" s="74"/>
      <c r="V25" s="74"/>
      <c r="W25" s="74"/>
    </row>
    <row r="26" customHeight="1" spans="1:23">
      <c r="A26" s="71"/>
      <c r="B26" s="71"/>
      <c r="C26" s="71" t="s">
        <v>229</v>
      </c>
      <c r="D26" s="71"/>
      <c r="E26" s="71" t="s">
        <v>6</v>
      </c>
      <c r="F26" s="86" t="s">
        <v>230</v>
      </c>
      <c r="G26" s="41"/>
      <c r="H26" s="41" t="s">
        <v>19</v>
      </c>
      <c r="I26" s="82">
        <v>212.65</v>
      </c>
      <c r="J26" s="41" t="s">
        <v>221</v>
      </c>
      <c r="K26" s="41"/>
      <c r="L26" s="41" t="s">
        <v>216</v>
      </c>
      <c r="M26" s="41"/>
      <c r="N26" s="41"/>
      <c r="O26" s="41"/>
      <c r="P26" s="41"/>
      <c r="Q26" s="74"/>
      <c r="R26" s="74" t="s">
        <v>18</v>
      </c>
      <c r="S26" s="82">
        <v>90</v>
      </c>
      <c r="T26" s="74" t="s">
        <v>219</v>
      </c>
      <c r="U26" s="74" t="s">
        <v>52</v>
      </c>
      <c r="V26" s="82">
        <v>1090</v>
      </c>
      <c r="W26" s="74" t="s">
        <v>216</v>
      </c>
    </row>
    <row r="27" customHeight="1" spans="1:23">
      <c r="A27" s="71"/>
      <c r="B27" s="71" t="s">
        <v>145</v>
      </c>
      <c r="C27" s="87" t="s">
        <v>213</v>
      </c>
      <c r="D27" s="81"/>
      <c r="E27" s="88">
        <v>436.933</v>
      </c>
      <c r="F27" s="89" t="str">
        <f>IF(A25,ROUND(SQRT((D130-D135)^2+(E130-E135)^2+(F130-F135)^2),3),"")</f>
        <v/>
      </c>
      <c r="G27" s="41"/>
      <c r="H27" s="41" t="s">
        <v>114</v>
      </c>
      <c r="I27" s="82">
        <v>0</v>
      </c>
      <c r="J27" s="41" t="s">
        <v>226</v>
      </c>
      <c r="K27" s="41">
        <f>(L25-F1)*1000</f>
        <v>15400</v>
      </c>
      <c r="L27" s="41" t="s">
        <v>226</v>
      </c>
      <c r="M27" s="41" t="b">
        <v>0</v>
      </c>
      <c r="N27" s="41" t="s">
        <v>231</v>
      </c>
      <c r="O27" s="41"/>
      <c r="P27" s="41"/>
      <c r="Q27" s="74"/>
      <c r="R27" s="74" t="s">
        <v>19</v>
      </c>
      <c r="S27" s="82">
        <v>0</v>
      </c>
      <c r="T27" s="74" t="s">
        <v>221</v>
      </c>
      <c r="U27" s="74"/>
      <c r="V27" s="74"/>
      <c r="W27" s="74"/>
    </row>
    <row r="28" customHeight="1" spans="1:23">
      <c r="A28" s="71"/>
      <c r="B28" s="71" t="s">
        <v>148</v>
      </c>
      <c r="C28" s="87" t="s">
        <v>232</v>
      </c>
      <c r="D28" s="81"/>
      <c r="E28" s="88">
        <v>482.755</v>
      </c>
      <c r="F28" s="89" t="str">
        <f>IF(A25,ROUND(SQRT((D130-D136)^2+(E130-E136)^2+(F130-F136)^2),3),"")</f>
        <v/>
      </c>
      <c r="G28" s="41"/>
      <c r="H28" s="41"/>
      <c r="I28" s="41"/>
      <c r="J28" s="41"/>
      <c r="K28" s="41"/>
      <c r="L28" s="41"/>
      <c r="M28" s="41"/>
      <c r="N28" s="41" t="str">
        <f>CONCATENATE(J232," Altitude: ",ROUND(I232*1000,0)," meters")</f>
        <v>N 44° 29.4' / W 147° 21.0' Altitude: 0 meters</v>
      </c>
      <c r="O28" s="41"/>
      <c r="P28" s="41"/>
      <c r="Q28" s="74"/>
      <c r="R28" s="74" t="s">
        <v>114</v>
      </c>
      <c r="S28" s="82">
        <v>90000</v>
      </c>
      <c r="T28" s="74" t="s">
        <v>226</v>
      </c>
      <c r="U28" s="74">
        <f>(V26-F1)*1000</f>
        <v>90000</v>
      </c>
      <c r="V28" s="74" t="s">
        <v>226</v>
      </c>
      <c r="W28" s="74"/>
    </row>
    <row r="29" customHeight="1" spans="1:23">
      <c r="A29" s="71"/>
      <c r="B29" s="71" t="s">
        <v>150</v>
      </c>
      <c r="C29" s="87" t="s">
        <v>233</v>
      </c>
      <c r="D29" s="81"/>
      <c r="E29" s="88">
        <v>810.038</v>
      </c>
      <c r="F29" s="89" t="str">
        <f>IF(A25,ROUND(SQRT((D130-D137)^2+(E130-E137)^2+(F130-F137)^2),3),"")</f>
        <v/>
      </c>
      <c r="G29" s="41" t="b">
        <v>0</v>
      </c>
      <c r="H29" s="41" t="s">
        <v>45</v>
      </c>
      <c r="I29" s="41"/>
      <c r="J29" s="41"/>
      <c r="K29" s="41"/>
      <c r="L29" s="41"/>
      <c r="M29" s="41"/>
      <c r="N29" s="41"/>
      <c r="O29" s="41"/>
      <c r="P29" s="41"/>
      <c r="Q29" s="74"/>
      <c r="R29" s="74"/>
      <c r="S29" s="74"/>
      <c r="T29" s="74"/>
      <c r="U29" s="74"/>
      <c r="V29" s="74"/>
      <c r="W29" s="74"/>
    </row>
    <row r="30" customHeight="1" spans="1:23">
      <c r="A30" s="71"/>
      <c r="B30" s="71" t="s">
        <v>152</v>
      </c>
      <c r="C30" s="87" t="s">
        <v>234</v>
      </c>
      <c r="D30" s="81"/>
      <c r="E30" s="88">
        <v>863.941</v>
      </c>
      <c r="F30" s="90" t="str">
        <f>IF(A25,ROUND(SQRT((D130-D138)^2+(E130-E138)^2+(F130-F138)^2),3),"")</f>
        <v/>
      </c>
      <c r="G30" s="41"/>
      <c r="H30" s="91" t="s">
        <v>235</v>
      </c>
      <c r="I30" s="91">
        <v>512366</v>
      </c>
      <c r="J30" s="91">
        <v>426905</v>
      </c>
      <c r="K30" s="91">
        <v>1032</v>
      </c>
      <c r="L30" s="41"/>
      <c r="M30" s="41" t="b">
        <v>0</v>
      </c>
      <c r="N30" s="41" t="s">
        <v>45</v>
      </c>
      <c r="O30" s="41"/>
      <c r="P30" s="41"/>
      <c r="Q30" s="74" t="b">
        <v>0</v>
      </c>
      <c r="R30" s="74" t="s">
        <v>45</v>
      </c>
      <c r="S30" s="74"/>
      <c r="T30" s="74"/>
      <c r="U30" s="74"/>
      <c r="V30" s="74"/>
      <c r="W30" s="74"/>
    </row>
    <row r="31" customHeight="1" spans="1:23">
      <c r="A31" s="71"/>
      <c r="B31" s="71"/>
      <c r="C31" s="71"/>
      <c r="D31" s="71"/>
      <c r="E31" s="71"/>
      <c r="F31" s="71"/>
      <c r="G31" s="41"/>
      <c r="H31" s="92" t="s">
        <v>236</v>
      </c>
      <c r="I31" s="92" t="s">
        <v>237</v>
      </c>
      <c r="J31" s="92" t="s">
        <v>238</v>
      </c>
      <c r="K31" s="92" t="s">
        <v>239</v>
      </c>
      <c r="L31" s="41"/>
      <c r="M31" s="41"/>
      <c r="N31" s="41" t="str">
        <f>CONCATENATE(J240," Altitude: ",ROUND(I240*1000,0)," meters")</f>
        <v>N 24° 28.1' / E 027° 46.7' Altitude: 1032 meters</v>
      </c>
      <c r="O31" s="41"/>
      <c r="P31" s="41"/>
      <c r="Q31" s="74"/>
      <c r="R31" s="91" t="s">
        <v>240</v>
      </c>
      <c r="S31" s="91">
        <v>504396</v>
      </c>
      <c r="T31" s="91">
        <v>632523</v>
      </c>
      <c r="U31" s="91">
        <v>0</v>
      </c>
      <c r="V31" s="74"/>
      <c r="W31" s="74"/>
    </row>
    <row r="32" customHeight="1" spans="1:23">
      <c r="A32" s="71" t="b">
        <v>0</v>
      </c>
      <c r="B32" s="71" t="s">
        <v>218</v>
      </c>
      <c r="C32" s="71"/>
      <c r="D32" s="71"/>
      <c r="E32" s="71"/>
      <c r="F32" s="71"/>
      <c r="G32" s="41"/>
      <c r="H32" s="41"/>
      <c r="I32" s="41"/>
      <c r="J32" s="41"/>
      <c r="K32" s="41"/>
      <c r="L32" s="41"/>
      <c r="M32" s="41"/>
      <c r="N32" s="41"/>
      <c r="O32" s="41"/>
      <c r="P32" s="41"/>
      <c r="Q32" s="74"/>
      <c r="R32" s="124" t="s">
        <v>236</v>
      </c>
      <c r="S32" s="124" t="s">
        <v>237</v>
      </c>
      <c r="T32" s="124" t="s">
        <v>238</v>
      </c>
      <c r="U32" s="124" t="s">
        <v>239</v>
      </c>
      <c r="V32" s="74"/>
      <c r="W32" s="74"/>
    </row>
    <row r="33" customHeight="1" spans="1:23">
      <c r="A33" s="71"/>
      <c r="B33" s="83">
        <v>520.723</v>
      </c>
      <c r="C33" s="83">
        <v>419.364</v>
      </c>
      <c r="D33" s="83">
        <v>743.655</v>
      </c>
      <c r="E33" s="71"/>
      <c r="F33" s="71"/>
      <c r="G33" s="41" t="b">
        <v>0</v>
      </c>
      <c r="H33" s="41" t="s">
        <v>241</v>
      </c>
      <c r="I33" s="41"/>
      <c r="J33" s="41"/>
      <c r="K33" s="41"/>
      <c r="L33" s="110" t="s">
        <v>228</v>
      </c>
      <c r="M33" s="41" t="b">
        <v>0</v>
      </c>
      <c r="N33" s="41" t="s">
        <v>227</v>
      </c>
      <c r="O33" s="41"/>
      <c r="P33" s="41"/>
      <c r="Q33" s="74"/>
      <c r="R33" s="74"/>
      <c r="S33" s="74"/>
      <c r="T33" s="74"/>
      <c r="U33" s="74"/>
      <c r="V33" s="74"/>
      <c r="W33" s="74"/>
    </row>
    <row r="34" customHeight="1" spans="1:23">
      <c r="A34" s="71"/>
      <c r="B34" s="93" t="s">
        <v>222</v>
      </c>
      <c r="C34" s="93" t="s">
        <v>223</v>
      </c>
      <c r="D34" s="93" t="s">
        <v>224</v>
      </c>
      <c r="E34" s="71"/>
      <c r="F34" s="71"/>
      <c r="G34" s="41"/>
      <c r="H34" s="41"/>
      <c r="I34" s="41" t="s">
        <v>229</v>
      </c>
      <c r="J34" s="41"/>
      <c r="K34" s="41" t="s">
        <v>6</v>
      </c>
      <c r="L34" s="111" t="s">
        <v>230</v>
      </c>
      <c r="M34" s="41"/>
      <c r="N34" s="41" t="str">
        <f>CONCATENATE(J234," Altitude: ",ROUND(I234*1000,0)," meters")</f>
        <v>N 24° 28.1' / E 027° 46.7' Altitude: 1031 meters</v>
      </c>
      <c r="O34" s="41"/>
      <c r="P34" s="41"/>
      <c r="Q34" s="74" t="b">
        <v>0</v>
      </c>
      <c r="R34" s="74" t="s">
        <v>241</v>
      </c>
      <c r="S34" s="74"/>
      <c r="T34" s="74"/>
      <c r="U34" s="74"/>
      <c r="V34" s="125" t="s">
        <v>228</v>
      </c>
      <c r="W34" s="74"/>
    </row>
    <row r="35" customHeight="1" spans="1:23">
      <c r="A35" s="71"/>
      <c r="B35" s="71"/>
      <c r="C35" s="71"/>
      <c r="D35" s="71"/>
      <c r="E35" s="71"/>
      <c r="F35" s="71"/>
      <c r="G35" s="41"/>
      <c r="H35" s="41" t="s">
        <v>145</v>
      </c>
      <c r="I35" s="87" t="s">
        <v>242</v>
      </c>
      <c r="J35" s="81"/>
      <c r="K35" s="112">
        <v>1371.408</v>
      </c>
      <c r="L35" s="113" t="str">
        <f>IF(G33,ROUND(SQRT((D225-D235)^2+(E225-E235)^2+(F225-F235)^2),3),"")</f>
        <v/>
      </c>
      <c r="M35" s="41"/>
      <c r="N35" s="41"/>
      <c r="O35" s="41"/>
      <c r="P35" s="41"/>
      <c r="Q35" s="74"/>
      <c r="R35" s="74"/>
      <c r="S35" s="74" t="s">
        <v>229</v>
      </c>
      <c r="T35" s="74"/>
      <c r="U35" s="74" t="s">
        <v>6</v>
      </c>
      <c r="V35" s="126" t="s">
        <v>230</v>
      </c>
      <c r="W35" s="74"/>
    </row>
    <row r="36" customHeight="1" spans="1:23">
      <c r="A36" s="71" t="b">
        <v>0</v>
      </c>
      <c r="B36" s="71" t="s">
        <v>212</v>
      </c>
      <c r="C36" s="71"/>
      <c r="D36" s="71"/>
      <c r="E36" s="71"/>
      <c r="F36" s="71"/>
      <c r="G36" s="41"/>
      <c r="H36" s="41" t="s">
        <v>148</v>
      </c>
      <c r="I36" s="87" t="s">
        <v>243</v>
      </c>
      <c r="J36" s="81"/>
      <c r="K36" s="112">
        <v>2065.968</v>
      </c>
      <c r="L36" s="113" t="str">
        <f>IF(G33,ROUND(SQRT((D225-D236)^2+(E225-E236)^2+(F225-F236)^2),3),"")</f>
        <v/>
      </c>
      <c r="M36" s="41"/>
      <c r="N36" s="41"/>
      <c r="O36" s="41"/>
      <c r="P36" s="41"/>
      <c r="Q36" s="74"/>
      <c r="R36" s="74" t="s">
        <v>145</v>
      </c>
      <c r="S36" s="127" t="s">
        <v>242</v>
      </c>
      <c r="T36" s="81"/>
      <c r="U36" s="83">
        <v>1170.356</v>
      </c>
      <c r="V36" s="128" t="str">
        <f>IF(Q34,ROUND(SQRT((D265-D275)^2+(E265-E275)^2+(F265-F275)^2),3),"")</f>
        <v/>
      </c>
      <c r="W36" s="74"/>
    </row>
    <row r="37" customHeight="1" spans="1:23">
      <c r="A37" s="71"/>
      <c r="B37" s="71" t="s">
        <v>244</v>
      </c>
      <c r="C37" s="71"/>
      <c r="D37" s="71"/>
      <c r="E37" s="71"/>
      <c r="F37" s="71"/>
      <c r="G37" s="41"/>
      <c r="H37" s="41" t="s">
        <v>150</v>
      </c>
      <c r="I37" s="87" t="s">
        <v>245</v>
      </c>
      <c r="J37" s="81"/>
      <c r="K37" s="112">
        <v>1360.835</v>
      </c>
      <c r="L37" s="113" t="str">
        <f>IF(G33,ROUND(SQRT((D225-D237)^2+(E225-E237)^2+(F225-F237)^2),3),"")</f>
        <v/>
      </c>
      <c r="M37" s="41"/>
      <c r="N37" s="41"/>
      <c r="O37" s="41"/>
      <c r="P37" s="41"/>
      <c r="Q37" s="74"/>
      <c r="R37" s="74" t="s">
        <v>148</v>
      </c>
      <c r="S37" s="127" t="s">
        <v>243</v>
      </c>
      <c r="T37" s="81"/>
      <c r="U37" s="83">
        <v>2185.205</v>
      </c>
      <c r="V37" s="128" t="str">
        <f>IF(Q34,ROUND(SQRT((D265-D276)^2+(E265-E276)^2+(F265-F276)^2),3),"")</f>
        <v/>
      </c>
      <c r="W37" s="74"/>
    </row>
    <row r="38" customHeight="1" spans="1:23">
      <c r="A38" s="71"/>
      <c r="B38" s="79" t="s">
        <v>246</v>
      </c>
      <c r="C38" s="80"/>
      <c r="D38" s="81"/>
      <c r="E38" s="71"/>
      <c r="F38" s="71"/>
      <c r="G38" s="41"/>
      <c r="H38" s="41" t="s">
        <v>152</v>
      </c>
      <c r="I38" s="87" t="s">
        <v>247</v>
      </c>
      <c r="J38" s="81"/>
      <c r="K38" s="112">
        <v>868.041</v>
      </c>
      <c r="L38" s="114" t="str">
        <f>IF(G33,ROUND(SQRT((D225-D238)^2+(E225-E238)^2+(F225-F238)^2),3),"")</f>
        <v/>
      </c>
      <c r="M38" s="41"/>
      <c r="N38" s="41"/>
      <c r="O38" s="41"/>
      <c r="P38" s="41"/>
      <c r="Q38" s="74"/>
      <c r="R38" s="74" t="s">
        <v>150</v>
      </c>
      <c r="S38" s="127" t="s">
        <v>245</v>
      </c>
      <c r="T38" s="81"/>
      <c r="U38" s="83">
        <v>1340.637</v>
      </c>
      <c r="V38" s="128" t="str">
        <f>IF(Q34,ROUND(SQRT((D265-D277)^2+(E265-E277)^2+(F265-F277)^2),3),"")</f>
        <v/>
      </c>
      <c r="W38" s="74"/>
    </row>
    <row r="39" customHeight="1" spans="1:23">
      <c r="A39" s="71"/>
      <c r="B39" s="71" t="s">
        <v>248</v>
      </c>
      <c r="C39" s="71"/>
      <c r="D39" s="94">
        <v>175</v>
      </c>
      <c r="E39" s="71" t="s">
        <v>215</v>
      </c>
      <c r="F39" s="71"/>
      <c r="G39" s="41"/>
      <c r="H39" s="41"/>
      <c r="I39" s="41"/>
      <c r="J39" s="41"/>
      <c r="K39" s="41"/>
      <c r="L39" s="41"/>
      <c r="M39" s="41"/>
      <c r="N39" s="41"/>
      <c r="O39" s="41"/>
      <c r="P39" s="41"/>
      <c r="Q39" s="74"/>
      <c r="R39" s="74" t="s">
        <v>152</v>
      </c>
      <c r="S39" s="127" t="s">
        <v>247</v>
      </c>
      <c r="T39" s="81"/>
      <c r="U39" s="83">
        <v>1064.033</v>
      </c>
      <c r="V39" s="129" t="str">
        <f>IF(Q34,ROUND(SQRT((D265-D278)^2+(E265-E278)^2+(F265-F278)^2),3),"")</f>
        <v/>
      </c>
      <c r="W39" s="74"/>
    </row>
    <row r="40" customHeight="1" spans="1:23">
      <c r="A40" s="71"/>
      <c r="B40" s="71" t="s">
        <v>249</v>
      </c>
      <c r="C40" s="71"/>
      <c r="D40" s="95">
        <v>68</v>
      </c>
      <c r="E40" s="71" t="s">
        <v>216</v>
      </c>
      <c r="F40" s="71"/>
      <c r="G40" s="41"/>
      <c r="H40" s="41"/>
      <c r="I40" s="41"/>
      <c r="J40" s="41"/>
      <c r="K40" s="41"/>
      <c r="L40" s="41"/>
      <c r="M40" s="41"/>
      <c r="N40" s="41"/>
      <c r="O40" s="41"/>
      <c r="P40" s="41"/>
      <c r="Q40" s="74"/>
      <c r="R40" s="74"/>
      <c r="S40" s="74"/>
      <c r="T40" s="74"/>
      <c r="U40" s="74"/>
      <c r="V40" s="74"/>
      <c r="W40" s="74"/>
    </row>
    <row r="41" customHeight="1" spans="1:23">
      <c r="A41" s="71"/>
      <c r="B41" s="71"/>
      <c r="C41" s="71"/>
      <c r="D41" s="71"/>
      <c r="E41" s="71"/>
      <c r="F41" s="71"/>
      <c r="G41" s="41"/>
      <c r="H41" s="41"/>
      <c r="I41" s="41"/>
      <c r="J41" s="41"/>
      <c r="K41" s="41"/>
      <c r="L41" s="41"/>
      <c r="M41" s="41"/>
      <c r="N41" s="41"/>
      <c r="O41" s="41"/>
      <c r="P41" s="41"/>
      <c r="Q41" s="74"/>
      <c r="R41" s="74"/>
      <c r="S41" s="74"/>
      <c r="T41" s="74"/>
      <c r="U41" s="74"/>
      <c r="V41" s="74"/>
      <c r="W41" s="74"/>
    </row>
    <row r="42" customHeight="1" spans="1:23">
      <c r="A42" s="71" t="b">
        <v>0</v>
      </c>
      <c r="B42" s="71" t="s">
        <v>250</v>
      </c>
      <c r="C42" s="71"/>
      <c r="D42" s="71"/>
      <c r="E42" s="71"/>
      <c r="F42" s="71"/>
      <c r="G42" s="41"/>
      <c r="H42" s="41"/>
      <c r="I42" s="41"/>
      <c r="J42" s="41"/>
      <c r="K42" s="41"/>
      <c r="L42" s="41"/>
      <c r="M42" s="41"/>
      <c r="N42" s="41"/>
      <c r="O42" s="41"/>
      <c r="P42" s="41"/>
      <c r="Q42" s="74"/>
      <c r="R42" s="74"/>
      <c r="S42" s="74"/>
      <c r="T42" s="74"/>
      <c r="U42" s="74"/>
      <c r="V42" s="74"/>
      <c r="W42" s="74"/>
    </row>
    <row r="43" customHeight="1" spans="1:23">
      <c r="A43" s="71"/>
      <c r="B43" s="71" t="s">
        <v>244</v>
      </c>
      <c r="C43" s="71"/>
      <c r="D43" s="71"/>
      <c r="E43" s="71" t="s">
        <v>248</v>
      </c>
      <c r="F43" s="71"/>
      <c r="G43" s="41"/>
      <c r="H43" s="41"/>
      <c r="I43" s="41"/>
      <c r="J43" s="41"/>
      <c r="K43" s="41"/>
      <c r="L43" s="41"/>
      <c r="M43" s="41"/>
      <c r="N43" s="41"/>
      <c r="O43" s="41"/>
      <c r="P43" s="41"/>
      <c r="Q43" s="74"/>
      <c r="R43" s="74"/>
      <c r="S43" s="74"/>
      <c r="T43" s="74"/>
      <c r="U43" s="74"/>
      <c r="V43" s="74"/>
      <c r="W43" s="74"/>
    </row>
    <row r="44" customHeight="1" spans="1:23">
      <c r="A44" s="71"/>
      <c r="B44" s="79" t="s">
        <v>251</v>
      </c>
      <c r="C44" s="80"/>
      <c r="D44" s="81"/>
      <c r="E44" s="82">
        <v>233</v>
      </c>
      <c r="F44" s="71" t="s">
        <v>215</v>
      </c>
      <c r="G44" s="41"/>
      <c r="H44" s="41"/>
      <c r="I44" s="41"/>
      <c r="J44" s="41"/>
      <c r="K44" s="41"/>
      <c r="L44" s="41"/>
      <c r="M44" s="41"/>
      <c r="N44" s="41"/>
      <c r="O44" s="41"/>
      <c r="P44" s="41"/>
      <c r="Q44" s="74"/>
      <c r="R44" s="74"/>
      <c r="S44" s="74"/>
      <c r="T44" s="74"/>
      <c r="U44" s="74"/>
      <c r="V44" s="74"/>
      <c r="W44" s="74"/>
    </row>
    <row r="45" customHeight="1" spans="1:23">
      <c r="A45" s="71"/>
      <c r="B45" s="79" t="s">
        <v>252</v>
      </c>
      <c r="C45" s="80"/>
      <c r="D45" s="81"/>
      <c r="E45" s="82">
        <v>351</v>
      </c>
      <c r="F45" s="71" t="s">
        <v>215</v>
      </c>
      <c r="G45" s="41"/>
      <c r="H45" s="41"/>
      <c r="I45" s="41"/>
      <c r="J45" s="41"/>
      <c r="K45" s="41"/>
      <c r="L45" s="41"/>
      <c r="M45" s="41"/>
      <c r="N45" s="41"/>
      <c r="O45" s="41"/>
      <c r="P45" s="41"/>
      <c r="Q45" s="74"/>
      <c r="R45" s="74"/>
      <c r="S45" s="74"/>
      <c r="T45" s="74"/>
      <c r="U45" s="74"/>
      <c r="V45" s="74"/>
      <c r="W45" s="74"/>
    </row>
    <row r="46" customHeight="1" spans="1:23">
      <c r="A46" s="71"/>
      <c r="B46" s="71"/>
      <c r="C46" s="71"/>
      <c r="D46" s="71"/>
      <c r="E46" s="71"/>
      <c r="F46" s="71"/>
      <c r="G46" s="41"/>
      <c r="H46" s="41"/>
      <c r="I46" s="41"/>
      <c r="J46" s="41"/>
      <c r="K46" s="41"/>
      <c r="L46" s="41"/>
      <c r="M46" s="41"/>
      <c r="N46" s="41"/>
      <c r="O46" s="41"/>
      <c r="P46" s="41"/>
      <c r="Q46" s="74"/>
      <c r="R46" s="74"/>
      <c r="S46" s="74"/>
      <c r="T46" s="74"/>
      <c r="U46" s="74"/>
      <c r="V46" s="74"/>
      <c r="W46" s="74"/>
    </row>
    <row r="47" customHeight="1" spans="1:23">
      <c r="A47" s="71" t="b">
        <v>0</v>
      </c>
      <c r="B47" s="71" t="s">
        <v>45</v>
      </c>
      <c r="C47" s="71"/>
      <c r="D47" s="71"/>
      <c r="E47" s="71"/>
      <c r="F47" s="71"/>
      <c r="G47" s="41"/>
      <c r="H47" s="41"/>
      <c r="I47" s="41"/>
      <c r="J47" s="41"/>
      <c r="K47" s="41"/>
      <c r="L47" s="41"/>
      <c r="M47" s="41"/>
      <c r="N47" s="41"/>
      <c r="O47" s="41"/>
      <c r="P47" s="41"/>
      <c r="Q47" s="74"/>
      <c r="R47" s="74"/>
      <c r="S47" s="74"/>
      <c r="T47" s="74"/>
      <c r="U47" s="74"/>
      <c r="V47" s="74"/>
      <c r="W47" s="74"/>
    </row>
    <row r="48" customHeight="1" spans="1:23">
      <c r="A48" s="71"/>
      <c r="B48" s="91" t="s">
        <v>253</v>
      </c>
      <c r="C48" s="91">
        <v>498206</v>
      </c>
      <c r="D48" s="91">
        <v>838163</v>
      </c>
      <c r="E48" s="91">
        <v>21</v>
      </c>
      <c r="F48" s="71"/>
      <c r="G48" s="41"/>
      <c r="H48" s="41"/>
      <c r="I48" s="41"/>
      <c r="J48" s="41"/>
      <c r="K48" s="41"/>
      <c r="L48" s="41"/>
      <c r="M48" s="41"/>
      <c r="N48" s="41"/>
      <c r="O48" s="41"/>
      <c r="P48" s="41"/>
      <c r="Q48" s="74"/>
      <c r="R48" s="74"/>
      <c r="S48" s="74"/>
      <c r="T48" s="74"/>
      <c r="U48" s="74"/>
      <c r="V48" s="74"/>
      <c r="W48" s="74"/>
    </row>
    <row r="49" customHeight="1" spans="1:23">
      <c r="A49" s="71"/>
      <c r="B49" s="96" t="s">
        <v>236</v>
      </c>
      <c r="C49" s="96" t="s">
        <v>237</v>
      </c>
      <c r="D49" s="96" t="s">
        <v>238</v>
      </c>
      <c r="E49" s="96" t="s">
        <v>239</v>
      </c>
      <c r="F49" s="71"/>
      <c r="G49" s="41"/>
      <c r="H49" s="41"/>
      <c r="I49" s="41"/>
      <c r="J49" s="41"/>
      <c r="K49" s="41"/>
      <c r="L49" s="41"/>
      <c r="M49" s="41"/>
      <c r="N49" s="41"/>
      <c r="O49" s="41"/>
      <c r="P49" s="41"/>
      <c r="Q49" s="74"/>
      <c r="R49" s="74"/>
      <c r="S49" s="74"/>
      <c r="T49" s="74"/>
      <c r="U49" s="74"/>
      <c r="V49" s="74"/>
      <c r="W49" s="74"/>
    </row>
    <row r="50" customHeight="1" spans="1:23">
      <c r="A50" s="71"/>
      <c r="B50" s="71"/>
      <c r="C50" s="71"/>
      <c r="D50" s="71"/>
      <c r="E50" s="71"/>
      <c r="F50" s="71"/>
      <c r="G50" s="41"/>
      <c r="H50" s="41"/>
      <c r="I50" s="41"/>
      <c r="J50" s="41"/>
      <c r="K50" s="41"/>
      <c r="L50" s="41"/>
      <c r="M50" s="41"/>
      <c r="N50" s="41"/>
      <c r="O50" s="41"/>
      <c r="P50" s="41"/>
      <c r="Q50" s="74"/>
      <c r="R50" s="74"/>
      <c r="S50" s="74"/>
      <c r="T50" s="74"/>
      <c r="U50" s="74"/>
      <c r="V50" s="74"/>
      <c r="W50" s="74"/>
    </row>
    <row r="51" customHeight="1" spans="1:23">
      <c r="A51" s="71"/>
      <c r="B51" s="71"/>
      <c r="C51" s="71"/>
      <c r="D51" s="71"/>
      <c r="E51" s="71"/>
      <c r="F51" s="71"/>
      <c r="G51" s="41"/>
      <c r="H51" s="41"/>
      <c r="I51" s="41"/>
      <c r="J51" s="41"/>
      <c r="K51" s="41"/>
      <c r="L51" s="41"/>
      <c r="M51" s="41"/>
      <c r="N51" s="41"/>
      <c r="O51" s="41"/>
      <c r="P51" s="41"/>
      <c r="Q51" s="74"/>
      <c r="R51" s="74"/>
      <c r="S51" s="74"/>
      <c r="T51" s="74"/>
      <c r="U51" s="74"/>
      <c r="V51" s="74"/>
      <c r="W51" s="74"/>
    </row>
    <row r="52" customHeight="1" spans="7:17">
      <c r="G52" s="1"/>
      <c r="H52" s="1"/>
      <c r="I52" s="1"/>
      <c r="Q52" s="1"/>
    </row>
    <row r="53" customHeight="1" spans="7:17">
      <c r="G53" s="1"/>
      <c r="H53" s="1"/>
      <c r="I53" s="1"/>
      <c r="Q53" s="1"/>
    </row>
    <row r="54" customHeight="1" spans="7:17">
      <c r="G54" s="1"/>
      <c r="H54" s="1"/>
      <c r="I54" s="1"/>
      <c r="Q54" s="1"/>
    </row>
    <row r="55" customHeight="1" spans="7:17">
      <c r="G55" s="1"/>
      <c r="H55" s="1"/>
      <c r="I55" s="1"/>
      <c r="Q55" s="1"/>
    </row>
    <row r="56" customHeight="1" spans="7:17">
      <c r="G56" s="1"/>
      <c r="H56" s="1"/>
      <c r="I56" s="1"/>
      <c r="Q56" s="1"/>
    </row>
    <row r="57" customHeight="1" spans="7:17">
      <c r="G57" s="1"/>
      <c r="H57" s="1"/>
      <c r="I57" s="1"/>
      <c r="Q57" s="1"/>
    </row>
    <row r="58" customHeight="1" spans="7:17">
      <c r="G58" s="1"/>
      <c r="H58" s="1"/>
      <c r="I58" s="1"/>
      <c r="Q58" s="1"/>
    </row>
    <row r="59" customHeight="1" spans="7:17">
      <c r="G59" s="1"/>
      <c r="H59" s="1"/>
      <c r="I59" s="1"/>
      <c r="Q59" s="1"/>
    </row>
    <row r="60" customHeight="1" spans="7:17">
      <c r="G60" s="1"/>
      <c r="H60" s="1"/>
      <c r="I60" s="1"/>
      <c r="Q60" s="1"/>
    </row>
    <row r="61" customHeight="1" spans="7:17">
      <c r="G61" s="1"/>
      <c r="H61" s="1"/>
      <c r="I61" s="1"/>
      <c r="Q61" s="1"/>
    </row>
    <row r="62" customHeight="1" spans="7:17">
      <c r="G62" s="1"/>
      <c r="H62" s="1"/>
      <c r="I62" s="1"/>
      <c r="Q62" s="1"/>
    </row>
    <row r="63" customHeight="1" spans="7:17">
      <c r="G63" s="1"/>
      <c r="H63" s="1"/>
      <c r="I63" s="1"/>
      <c r="Q63" s="1"/>
    </row>
    <row r="64" customHeight="1" spans="1:17">
      <c r="A64" s="1"/>
      <c r="D64" s="1"/>
      <c r="E64" s="1"/>
      <c r="F64" s="1"/>
      <c r="G64" s="1"/>
      <c r="H64" s="1"/>
      <c r="I64" s="1"/>
      <c r="Q64" s="1"/>
    </row>
    <row r="65" customHeight="1" spans="1:17">
      <c r="A65" s="1"/>
      <c r="D65" s="1"/>
      <c r="E65" s="1"/>
      <c r="F65" s="1"/>
      <c r="G65" s="1"/>
      <c r="H65" s="1"/>
      <c r="I65" s="1"/>
      <c r="Q65" s="1"/>
    </row>
    <row r="66" customHeight="1" spans="1:17">
      <c r="A66" s="1"/>
      <c r="D66" s="1"/>
      <c r="E66" s="1"/>
      <c r="F66" s="1"/>
      <c r="G66" s="1"/>
      <c r="H66" s="1"/>
      <c r="I66" s="1"/>
      <c r="Q66" s="1"/>
    </row>
    <row r="67" customHeight="1" spans="1:17">
      <c r="A67" s="1"/>
      <c r="D67" s="1"/>
      <c r="E67" s="1"/>
      <c r="F67" s="1"/>
      <c r="G67" s="1"/>
      <c r="H67" s="1"/>
      <c r="I67" s="1"/>
      <c r="Q67" s="1"/>
    </row>
    <row r="68" customHeight="1" spans="1:17">
      <c r="A68" s="1"/>
      <c r="D68" s="1"/>
      <c r="E68" s="1"/>
      <c r="F68" s="1"/>
      <c r="G68" s="1"/>
      <c r="H68" s="1"/>
      <c r="I68" s="1"/>
      <c r="Q68" s="1"/>
    </row>
    <row r="69" customHeight="1" spans="1:17">
      <c r="A69" s="1"/>
      <c r="D69" s="1"/>
      <c r="E69" s="1"/>
      <c r="F69" s="1"/>
      <c r="G69" s="1"/>
      <c r="H69" s="1"/>
      <c r="I69" s="1"/>
      <c r="Q69" s="1"/>
    </row>
    <row r="70" customHeight="1" spans="1:17">
      <c r="A70" s="1"/>
      <c r="D70" s="1"/>
      <c r="E70" s="1"/>
      <c r="F70" s="1"/>
      <c r="G70" s="1"/>
      <c r="H70" s="1"/>
      <c r="I70" s="1"/>
      <c r="Q70" s="1"/>
    </row>
    <row r="71" customHeight="1" spans="1:17">
      <c r="A71" s="1"/>
      <c r="D71" s="1"/>
      <c r="E71" s="1"/>
      <c r="F71" s="1"/>
      <c r="G71" s="1"/>
      <c r="H71" s="1"/>
      <c r="I71" s="1"/>
      <c r="Q71" s="1"/>
    </row>
    <row r="72" customHeight="1" spans="1:17">
      <c r="A72" s="1"/>
      <c r="D72" s="1"/>
      <c r="E72" s="1"/>
      <c r="F72" s="1"/>
      <c r="G72" s="1"/>
      <c r="H72" s="1"/>
      <c r="I72" s="1"/>
      <c r="Q72" s="1"/>
    </row>
    <row r="73" customHeight="1" spans="1:17">
      <c r="A73" s="1"/>
      <c r="D73" s="1"/>
      <c r="E73" s="1"/>
      <c r="F73" s="1"/>
      <c r="G73" s="1"/>
      <c r="H73" s="1"/>
      <c r="I73" s="1"/>
      <c r="Q73" s="1"/>
    </row>
    <row r="74" customHeight="1" spans="1:17">
      <c r="A74" s="1"/>
      <c r="D74" s="1"/>
      <c r="E74" s="1"/>
      <c r="F74" s="1"/>
      <c r="G74" s="1"/>
      <c r="H74" s="1"/>
      <c r="I74" s="1"/>
      <c r="Q74" s="1"/>
    </row>
    <row r="75" customHeight="1" spans="1:17">
      <c r="A75" s="1"/>
      <c r="D75" s="1"/>
      <c r="E75" s="1"/>
      <c r="F75" s="1"/>
      <c r="G75" s="1"/>
      <c r="H75" s="1"/>
      <c r="I75" s="1"/>
      <c r="Q75" s="1"/>
    </row>
    <row r="76" customHeight="1" spans="1:17">
      <c r="A76" s="1"/>
      <c r="D76" s="1"/>
      <c r="E76" s="1"/>
      <c r="F76" s="1"/>
      <c r="G76" s="1"/>
      <c r="H76" s="1"/>
      <c r="I76" s="1"/>
      <c r="Q76" s="1"/>
    </row>
    <row r="77" customHeight="1" spans="1:17">
      <c r="A77" s="1"/>
      <c r="D77" s="1"/>
      <c r="E77" s="1"/>
      <c r="F77" s="1"/>
      <c r="G77" s="1"/>
      <c r="H77" s="1"/>
      <c r="I77" s="1"/>
      <c r="Q77" s="1"/>
    </row>
    <row r="78" customHeight="1" spans="1:17">
      <c r="A78" s="1"/>
      <c r="D78" s="1"/>
      <c r="E78" s="1"/>
      <c r="F78" s="1"/>
      <c r="G78" s="1"/>
      <c r="H78" s="1"/>
      <c r="I78" s="1"/>
      <c r="Q78" s="1"/>
    </row>
    <row r="79" customHeight="1" spans="1:17">
      <c r="A79" s="1"/>
      <c r="D79" s="1"/>
      <c r="E79" s="1"/>
      <c r="F79" s="1"/>
      <c r="G79" s="1"/>
      <c r="H79" s="1"/>
      <c r="I79" s="1"/>
      <c r="Q79" s="1"/>
    </row>
    <row r="80" customHeight="1" spans="1:17">
      <c r="A80" s="1"/>
      <c r="D80" s="1"/>
      <c r="E80" s="1"/>
      <c r="F80" s="1"/>
      <c r="G80" s="1"/>
      <c r="H80" s="1"/>
      <c r="I80" s="1"/>
      <c r="Q80" s="1"/>
    </row>
    <row r="81" customHeight="1" spans="1:17">
      <c r="A81" s="1"/>
      <c r="D81" s="1"/>
      <c r="E81" s="1"/>
      <c r="F81" s="1"/>
      <c r="G81" s="1"/>
      <c r="H81" s="1"/>
      <c r="I81" s="1"/>
      <c r="Q81" s="1"/>
    </row>
    <row r="82" customHeight="1" spans="1:17">
      <c r="A82" s="1"/>
      <c r="D82" s="1"/>
      <c r="E82" s="1"/>
      <c r="F82" s="1"/>
      <c r="G82" s="1"/>
      <c r="H82" s="1"/>
      <c r="I82" s="1"/>
      <c r="Q82" s="1"/>
    </row>
    <row r="83" customHeight="1" spans="1:17">
      <c r="A83" s="1"/>
      <c r="D83" s="1"/>
      <c r="E83" s="1"/>
      <c r="F83" s="1"/>
      <c r="G83" s="1"/>
      <c r="H83" s="1"/>
      <c r="I83" s="1"/>
      <c r="Q83" s="1"/>
    </row>
    <row r="84" customHeight="1" spans="1:17">
      <c r="A84" s="1"/>
      <c r="D84" s="1"/>
      <c r="E84" s="1"/>
      <c r="F84" s="1"/>
      <c r="G84" s="1"/>
      <c r="H84" s="1"/>
      <c r="I84" s="1"/>
      <c r="Q84" s="1"/>
    </row>
    <row r="85" customHeight="1" spans="1:17">
      <c r="A85" s="1"/>
      <c r="D85" s="1"/>
      <c r="E85" s="1"/>
      <c r="F85" s="1"/>
      <c r="G85" s="1"/>
      <c r="H85" s="1"/>
      <c r="I85" s="1"/>
      <c r="Q85" s="1"/>
    </row>
    <row r="86" customHeight="1" spans="1:17">
      <c r="A86" s="1"/>
      <c r="D86" s="1"/>
      <c r="E86" s="1"/>
      <c r="F86" s="1"/>
      <c r="G86" s="1"/>
      <c r="H86" s="1"/>
      <c r="I86" s="1"/>
      <c r="Q86" s="1"/>
    </row>
    <row r="87" customHeight="1" spans="1:17">
      <c r="A87" s="1"/>
      <c r="D87" s="1"/>
      <c r="E87" s="1"/>
      <c r="F87" s="1"/>
      <c r="G87" s="1"/>
      <c r="H87" s="1"/>
      <c r="I87" s="1"/>
      <c r="Q87" s="1"/>
    </row>
    <row r="88" customHeight="1" spans="1:17">
      <c r="A88" s="1"/>
      <c r="D88" s="1"/>
      <c r="E88" s="1"/>
      <c r="F88" s="1"/>
      <c r="G88" s="1"/>
      <c r="H88" s="1"/>
      <c r="I88" s="1"/>
      <c r="Q88" s="1"/>
    </row>
    <row r="89" customHeight="1" spans="1:17">
      <c r="A89" s="1"/>
      <c r="D89" s="1"/>
      <c r="E89" s="1"/>
      <c r="F89" s="1"/>
      <c r="G89" s="1"/>
      <c r="H89" s="1"/>
      <c r="I89" s="1"/>
      <c r="Q89" s="1"/>
    </row>
    <row r="90" customHeight="1" spans="1:17">
      <c r="A90" s="1"/>
      <c r="D90" s="1"/>
      <c r="E90" s="1"/>
      <c r="F90" s="1"/>
      <c r="G90" s="1"/>
      <c r="H90" s="1"/>
      <c r="I90" s="1"/>
      <c r="Q90" s="1"/>
    </row>
    <row r="91" customHeight="1" spans="1:17">
      <c r="A91" s="1"/>
      <c r="D91" s="1"/>
      <c r="E91" s="1"/>
      <c r="F91" s="1"/>
      <c r="G91" s="1"/>
      <c r="H91" s="1"/>
      <c r="I91" s="1"/>
      <c r="Q91" s="1"/>
    </row>
    <row r="92" customHeight="1" spans="1:17">
      <c r="A92" s="1"/>
      <c r="D92" s="1"/>
      <c r="E92" s="1"/>
      <c r="F92" s="1"/>
      <c r="G92" s="1"/>
      <c r="H92" s="1"/>
      <c r="I92" s="1"/>
      <c r="Q92" s="1"/>
    </row>
    <row r="93" customHeight="1" spans="1:17">
      <c r="A93" s="1"/>
      <c r="D93" s="1"/>
      <c r="E93" s="1"/>
      <c r="F93" s="1"/>
      <c r="G93" s="1"/>
      <c r="H93" s="1"/>
      <c r="I93" s="1"/>
      <c r="Q93" s="1"/>
    </row>
    <row r="94" customHeight="1" spans="1:17">
      <c r="A94" s="1"/>
      <c r="D94" s="1"/>
      <c r="E94" s="1"/>
      <c r="F94" s="1"/>
      <c r="G94" s="1"/>
      <c r="H94" s="1"/>
      <c r="I94" s="1"/>
      <c r="Q94" s="1"/>
    </row>
    <row r="95" customHeight="1" spans="1:17">
      <c r="A95" s="1"/>
      <c r="D95" s="1"/>
      <c r="E95" s="1"/>
      <c r="F95" s="1"/>
      <c r="G95" s="1"/>
      <c r="H95" s="1"/>
      <c r="I95" s="1"/>
      <c r="Q95" s="1"/>
    </row>
    <row r="96" customHeight="1" spans="1:17">
      <c r="A96" s="1"/>
      <c r="D96" s="1"/>
      <c r="E96" s="1"/>
      <c r="F96" s="1"/>
      <c r="G96" s="1"/>
      <c r="H96" s="1"/>
      <c r="I96" s="1"/>
      <c r="Q96" s="1"/>
    </row>
    <row r="97" customHeight="1" spans="1:17">
      <c r="A97" s="1"/>
      <c r="D97" s="1"/>
      <c r="E97" s="1"/>
      <c r="F97" s="1"/>
      <c r="G97" s="1"/>
      <c r="H97" s="1"/>
      <c r="I97" s="1"/>
      <c r="Q97" s="1"/>
    </row>
    <row r="98" customHeight="1" spans="1:17">
      <c r="A98" s="1"/>
      <c r="D98" s="1"/>
      <c r="E98" s="1"/>
      <c r="F98" s="1"/>
      <c r="G98" s="1"/>
      <c r="H98" s="1"/>
      <c r="I98" s="1"/>
      <c r="Q98" s="1"/>
    </row>
    <row r="99" customHeight="1" spans="1:17">
      <c r="A99" s="1"/>
      <c r="D99" s="1"/>
      <c r="E99" s="1"/>
      <c r="F99" s="1"/>
      <c r="G99" s="1"/>
      <c r="H99" s="1"/>
      <c r="I99" s="1"/>
      <c r="Q99" s="1"/>
    </row>
    <row r="100" customHeight="1" spans="1:17">
      <c r="A100" s="1"/>
      <c r="D100" s="1"/>
      <c r="E100" s="1"/>
      <c r="F100" s="1"/>
      <c r="G100" s="1"/>
      <c r="H100" s="1"/>
      <c r="I100" s="1"/>
      <c r="Q100" s="1"/>
    </row>
    <row r="101" customHeight="1" spans="1:17">
      <c r="A101" s="1"/>
      <c r="D101" s="1"/>
      <c r="E101" s="1"/>
      <c r="F101" s="1"/>
      <c r="G101" s="1"/>
      <c r="H101" s="1"/>
      <c r="I101" s="1"/>
      <c r="Q101" s="1"/>
    </row>
    <row r="102" customHeight="1" spans="1:17">
      <c r="A102" s="1"/>
      <c r="D102" s="1"/>
      <c r="E102" s="1"/>
      <c r="F102" s="1"/>
      <c r="G102" s="1"/>
      <c r="H102" s="1"/>
      <c r="I102" s="1"/>
      <c r="Q102" s="1"/>
    </row>
    <row r="103" customHeight="1" spans="1:17">
      <c r="A103" s="1"/>
      <c r="D103" s="1"/>
      <c r="E103" s="1"/>
      <c r="F103" s="1"/>
      <c r="G103" s="1"/>
      <c r="H103" s="1"/>
      <c r="I103" s="1"/>
      <c r="Q103" s="1"/>
    </row>
    <row r="104" customHeight="1" spans="1:17">
      <c r="A104" s="1"/>
      <c r="D104" s="1"/>
      <c r="E104" s="1"/>
      <c r="F104" s="1"/>
      <c r="G104" s="1"/>
      <c r="H104" s="1"/>
      <c r="I104" s="1"/>
      <c r="Q104" s="1"/>
    </row>
    <row r="105" customHeight="1" spans="1:17">
      <c r="A105" s="1"/>
      <c r="D105" s="1"/>
      <c r="E105" s="1"/>
      <c r="F105" s="1"/>
      <c r="G105" s="1"/>
      <c r="H105" s="1"/>
      <c r="I105" s="1"/>
      <c r="Q105" s="1"/>
    </row>
    <row r="106" customHeight="1" spans="1:17">
      <c r="A106" s="1"/>
      <c r="D106" s="1"/>
      <c r="E106" s="1"/>
      <c r="F106" s="1"/>
      <c r="G106" s="1"/>
      <c r="H106" s="1"/>
      <c r="I106" s="1"/>
      <c r="Q106" s="1"/>
    </row>
    <row r="107" customHeight="1" spans="1:17">
      <c r="A107" s="1"/>
      <c r="D107" s="1"/>
      <c r="E107" s="1"/>
      <c r="F107" s="1"/>
      <c r="G107" s="1"/>
      <c r="H107" s="1"/>
      <c r="I107" s="1"/>
      <c r="Q107" s="1"/>
    </row>
    <row r="108" customHeight="1" spans="1:26">
      <c r="A108" s="1"/>
      <c r="D108" s="1"/>
      <c r="E108" s="1"/>
      <c r="F108" s="1"/>
      <c r="G108" s="1"/>
      <c r="H108" s="1" t="s">
        <v>30</v>
      </c>
      <c r="I108" s="1">
        <f>VALUE(VLOOKUP(CONCATENATE(P108," R00"),Database,18,FALSE))</f>
        <v>4.1199999</v>
      </c>
      <c r="K108" s="1" t="s">
        <v>254</v>
      </c>
      <c r="L108" s="1">
        <f>DEGREES(ACOS((((SQRT(X109^2+Y109^2+Z109^2))^2)+((SQRT(X109^2+Y109^2))^2)-(Z109^2))/(2*(SQRT(X109^2+Y109^2+Z109^2))*(SQRT(X109^2+Y109^2)))))*IF(Z109&lt;0,-1,1)</f>
        <v>3.95633806723453</v>
      </c>
      <c r="P108" s="1" t="str">
        <f>B1</f>
        <v>microTech</v>
      </c>
      <c r="Q108" s="62">
        <f>VLOOKUP(CONCATENATE(P108," R00"),Database,6,FALSE)</f>
        <v>22462085.2524846</v>
      </c>
      <c r="R108" s="62">
        <f>VLOOKUP(CONCATENATE(P108," R00"),Database,7,FALSE)</f>
        <v>37185744.9648301</v>
      </c>
      <c r="S108" s="62">
        <f>VLOOKUP(CONCATENATE(P108," R00"),Database,8,FALSE)</f>
        <v>0</v>
      </c>
      <c r="T108" s="132">
        <f>VLOOKUP(CONCATENATE(P108," R00"),Database,15,FALSE)</f>
        <v>1000</v>
      </c>
      <c r="U108" s="132">
        <f>VLOOKUP(CONCATENATE(P108," R00"),Database,14,FALSE)</f>
        <v>1439.593</v>
      </c>
      <c r="W108" s="133">
        <f>VLOOKUP(CONCATENATE(P108," R00"),Database,9,FALSE)</f>
        <v>1</v>
      </c>
      <c r="X108" s="133">
        <f>VLOOKUP(CONCATENATE(P108," R00"),Database,10,FALSE)</f>
        <v>0</v>
      </c>
      <c r="Y108" s="133">
        <f>VLOOKUP(CONCATENATE(P108," R00"),Database,11,FALSE)</f>
        <v>0</v>
      </c>
      <c r="Z108" s="133">
        <f>VLOOKUP(CONCATENATE(P108," R00"),Database,12,FALSE)</f>
        <v>0</v>
      </c>
    </row>
    <row r="109" customHeight="1" spans="7:26">
      <c r="G109" s="1"/>
      <c r="H109" s="1" t="s">
        <v>41</v>
      </c>
      <c r="I109" s="1">
        <f>3600*I108/86400</f>
        <v>0.1716666625</v>
      </c>
      <c r="K109" s="1" t="s">
        <v>255</v>
      </c>
      <c r="L109" s="1">
        <f>DEGREES(ASIN(T109/(SQRT((X109)^2+(Y109)^2+(Z109)^2))))</f>
        <v>0.9412323886089</v>
      </c>
      <c r="Q109" s="62">
        <f>VLOOKUP(CONCATENATE(PrimaryStar," R00"),Database,6,FALSE)</f>
        <v>136049.869550902</v>
      </c>
      <c r="R109" s="62">
        <f>VLOOKUP(CONCATENATE(PrimaryStar," R00"),Database,7,FALSE)</f>
        <v>1294427.3997762</v>
      </c>
      <c r="S109" s="62">
        <f>VLOOKUP(CONCATENATE(PrimaryStar," R00"),Database,8,FALSE)</f>
        <v>2923345.3678455</v>
      </c>
      <c r="T109" s="132">
        <f>VLOOKUP(CONCATENATE(PrimaryStar," R00"),Database,15,FALSE)</f>
        <v>696000</v>
      </c>
      <c r="U109" s="4"/>
      <c r="V109" s="3">
        <f>DEGREES(ASIN(T109/(SQRT((X109)^2+(Y109)^2+(Z109)^2))))</f>
        <v>0.9412323886089</v>
      </c>
      <c r="W109" s="3" t="s">
        <v>44</v>
      </c>
      <c r="X109" s="62">
        <f>((1-(2*Y108^2)-(2*Z108^2))*(Q109-Q108))+(((2*X108*Y108)-(2*Z108*W108))*(R109-R108))+(((2*X108*Z108)+(2*Y108*W108))*(S109-S108))</f>
        <v>-22326035.3829337</v>
      </c>
      <c r="Y109" s="62">
        <f>(((2*X108*Y108)+(2*Z108*W108))*(Q109-Q108))+((1-(2*X108^2)-(2*Z108^2))*(R109-R108))+(((2*Y108*Z108)-(2*X108*W108))*(S109-S108))</f>
        <v>-35891317.5650539</v>
      </c>
      <c r="Z109" s="62">
        <f>(((2*X108*Z108)-(2*Y108*W108))*(Q109-Q108))+(((2*Y108*Z108)+(2*X108*W108))*(R109-R108))+((1-(2*X108^2)-(2*Y108^2))*(S109-S108))</f>
        <v>2923345.3678455</v>
      </c>
    </row>
    <row r="110" customHeight="1" spans="7:17">
      <c r="G110" s="1"/>
      <c r="H110" s="1"/>
      <c r="I110" s="1">
        <f>IFERROR((JulianDate/I109),1)</f>
        <v>10792.4947333669</v>
      </c>
      <c r="K110" s="1" t="s">
        <v>256</v>
      </c>
      <c r="L110" s="2">
        <f>F1</f>
        <v>1000</v>
      </c>
      <c r="Q110" s="1"/>
    </row>
    <row r="111" customHeight="1" spans="7:17">
      <c r="G111" s="1"/>
      <c r="H111" s="1"/>
      <c r="I111" s="20">
        <f>VLOOKUP(CONCATENATE(P108," R00"),Database,19,FALSE)</f>
        <v>158.012884649985</v>
      </c>
      <c r="K111" s="1" t="s">
        <v>257</v>
      </c>
      <c r="L111" s="20">
        <f>MOD(360-MOD(I110,1)*360-I111,360)</f>
        <v>23.8831032651375</v>
      </c>
      <c r="Q111" s="1"/>
    </row>
    <row r="112" customHeight="1" spans="7:17">
      <c r="G112" s="1"/>
      <c r="H112" s="1"/>
      <c r="I112" s="1"/>
      <c r="K112" s="1" t="s">
        <v>258</v>
      </c>
      <c r="L112" s="1">
        <f>DEGREES(MOD((ATAN2(X109,Y109)-(PI()/2)),2*PI()))</f>
        <v>148.116504949765</v>
      </c>
      <c r="Q112" s="1"/>
    </row>
    <row r="113" customHeight="1" spans="1:17">
      <c r="A113" s="1"/>
      <c r="D113" s="1"/>
      <c r="E113" s="1"/>
      <c r="F113" s="1"/>
      <c r="G113" s="1"/>
      <c r="H113" s="1"/>
      <c r="I113" s="1"/>
      <c r="K113" s="1" t="s">
        <v>259</v>
      </c>
      <c r="L113" s="1">
        <f>IF(I108=0,0,6/I108)</f>
        <v>1.456310714959</v>
      </c>
      <c r="Q113" s="1"/>
    </row>
    <row r="114" customHeight="1" spans="1:17">
      <c r="A114" s="1" t="s">
        <v>260</v>
      </c>
      <c r="D114" s="1" t="s">
        <v>12</v>
      </c>
      <c r="E114" s="1" t="s">
        <v>13</v>
      </c>
      <c r="F114" s="1" t="s">
        <v>14</v>
      </c>
      <c r="G114" s="1" t="s">
        <v>18</v>
      </c>
      <c r="H114" s="1" t="s">
        <v>19</v>
      </c>
      <c r="I114" s="1" t="s">
        <v>114</v>
      </c>
      <c r="Q114" s="1" t="s">
        <v>261</v>
      </c>
    </row>
    <row r="115" customHeight="1" spans="17:21">
      <c r="Q115" s="1">
        <v>50</v>
      </c>
      <c r="S115" s="4" t="s">
        <v>22</v>
      </c>
      <c r="T115" s="4"/>
      <c r="U115" s="4"/>
    </row>
    <row r="116" customHeight="1" spans="1:21">
      <c r="A116" s="1" t="s">
        <v>262</v>
      </c>
      <c r="E116" s="1">
        <f>IF(C3,H128,H127)</f>
        <v>83</v>
      </c>
      <c r="F116" s="1">
        <f>IF(C3,I128,I127)</f>
        <v>83.3619191627302</v>
      </c>
      <c r="G116" s="1">
        <f>IF(ROUND(F116*160/9,0)=0,6400,ROUND(F116*160/9,0))</f>
        <v>1482</v>
      </c>
      <c r="Q116" s="1">
        <v>100</v>
      </c>
      <c r="S116" s="4" t="s">
        <v>34</v>
      </c>
      <c r="T116" s="4" t="s">
        <v>35</v>
      </c>
      <c r="U116" s="4" t="s">
        <v>36</v>
      </c>
    </row>
    <row r="117" customHeight="1" spans="1:21">
      <c r="A117" s="1" t="s">
        <v>263</v>
      </c>
      <c r="E117" s="1">
        <f>ROUND((ACOS(SIN(RADIANS(G130))*SIN(RADIANS(G225))+COS(RADIANS(G130))*COS(RADIANS(G225))*COS(RADIANS(H225-H130)))*L110),1)</f>
        <v>438.9</v>
      </c>
      <c r="F117" s="1" t="s">
        <v>216</v>
      </c>
      <c r="G117" s="1">
        <f>ACOS(SIN(RADIANS(G130))*SIN(RADIANS(G225))+COS(RADIANS(G130))*COS(RADIANS(G225))*COS(RADIANS(H225-H130)))*L110</f>
        <v>438.894741532465</v>
      </c>
      <c r="H117" s="1">
        <f>IF(E117&gt;E118,E117,E118)</f>
        <v>438.9</v>
      </c>
      <c r="I117" s="1">
        <f>IF(G117&gt;G118,G117,G118)</f>
        <v>438.894741532465</v>
      </c>
      <c r="L117" s="1" t="s">
        <v>264</v>
      </c>
      <c r="M117" s="130">
        <f>E10</f>
        <v>0</v>
      </c>
      <c r="Q117" s="1">
        <v>150</v>
      </c>
      <c r="S117" s="4" t="s">
        <v>46</v>
      </c>
      <c r="T117" s="4" t="s">
        <v>47</v>
      </c>
      <c r="U117" s="4"/>
    </row>
    <row r="118" customHeight="1" spans="1:20">
      <c r="A118" s="1" t="s">
        <v>265</v>
      </c>
      <c r="E118" s="1">
        <f>ROUND(SQRT((D130-D225)^2+(E130-E225)^2+(F130-F225)^2),1)</f>
        <v>435.6</v>
      </c>
      <c r="F118" s="1" t="s">
        <v>216</v>
      </c>
      <c r="G118" s="1">
        <f>SQRT((D130-D225)^2+(E130-E225)^2+(F130-F225)^2)</f>
        <v>435.610773189511</v>
      </c>
      <c r="J118" s="1" t="s">
        <v>266</v>
      </c>
      <c r="K118" s="1">
        <f>ROUND(DEGREES(ACOS(((SQRT(D130^2+E130^2+F130^2))^2+G118^2-(SQRT(D225^2+E225^2+F225^2))^2)/(2*SQRT(D130^2+E130^2+F130^2)*G118)))-90,0)</f>
        <v>-12</v>
      </c>
      <c r="L118" s="1" t="str">
        <f>CONCATENATE(IF(K118+M117&gt;0,"+","-"),IF(ABS(K118+M117)&lt;10,"0",""),ABS(K118+M117),"°")</f>
        <v>-12°</v>
      </c>
      <c r="Q118" s="1">
        <v>200</v>
      </c>
      <c r="S118" s="4" t="s">
        <v>37</v>
      </c>
      <c r="T118" s="4"/>
    </row>
    <row r="119" customHeight="1" spans="1:20">
      <c r="A119" s="1" t="s">
        <v>267</v>
      </c>
      <c r="B119" s="1" t="s">
        <v>268</v>
      </c>
      <c r="C119" s="1">
        <f>E9/1000</f>
        <v>0.35</v>
      </c>
      <c r="D119" s="1" t="s">
        <v>269</v>
      </c>
      <c r="E119" s="1">
        <f>E117/C119</f>
        <v>1254</v>
      </c>
      <c r="F119" s="1" t="s">
        <v>270</v>
      </c>
      <c r="G119" s="1">
        <f>INT(E119/60)</f>
        <v>20</v>
      </c>
      <c r="H119" s="1" t="s">
        <v>271</v>
      </c>
      <c r="I119" s="131">
        <f>ROUND(MOD(E119,60),1)</f>
        <v>54</v>
      </c>
      <c r="J119" s="1" t="s">
        <v>270</v>
      </c>
      <c r="Q119" s="1">
        <v>250</v>
      </c>
      <c r="S119" s="4" t="s">
        <v>48</v>
      </c>
      <c r="T119" s="4" t="s">
        <v>49</v>
      </c>
    </row>
    <row r="120" customHeight="1" spans="1:17">
      <c r="A120" s="1"/>
      <c r="G120" s="1" t="str">
        <f>CONCATENATE(IF(G119&lt;60,"0",ROUND(G119/60,0)),":",IF(MOD(G119,60)&lt;10,"0",""),MOD(G119,60),":",IF(I119&lt;10,"0",""),I119)</f>
        <v>0:20:54</v>
      </c>
      <c r="Q120" s="1">
        <v>300</v>
      </c>
    </row>
    <row r="121" customHeight="1" spans="17:20">
      <c r="Q121" s="1">
        <v>350</v>
      </c>
      <c r="S121" s="4">
        <v>0.9996</v>
      </c>
      <c r="T121" s="4">
        <v>0.994</v>
      </c>
    </row>
    <row r="122" customHeight="1" spans="1:22">
      <c r="A122" s="1" t="s">
        <v>272</v>
      </c>
      <c r="C122" s="1">
        <f>R18</f>
        <v>0</v>
      </c>
      <c r="D122" s="2">
        <f t="shared" ref="D122:F122" si="1">D265</f>
        <v>673.892</v>
      </c>
      <c r="E122" s="2">
        <f t="shared" si="1"/>
        <v>442.875</v>
      </c>
      <c r="F122" s="2">
        <f t="shared" si="1"/>
        <v>591.38</v>
      </c>
      <c r="G122" s="1">
        <f>DEGREES(ATAN2(SQRT(D122^2+E122^2),F122))</f>
        <v>36.2550195175211</v>
      </c>
      <c r="H122" s="1">
        <f>IF(ABS(G122)=90,0,IF(DEGREES(MOD((ATAN2(D122,E122)),2*PI()))&gt;180,-(360-DEGREES(MOD((ATAN2(D122,E122)),2*PI()))),DEGREES(MOD((ATAN2(D122,E122)),2*PI()))))</f>
        <v>33.3125122757735</v>
      </c>
      <c r="I122" s="2">
        <f>SQRT(D122^2+E122^2+F122^2)-L110</f>
        <v>-0.000501155625556748</v>
      </c>
      <c r="Q122" s="1">
        <v>400</v>
      </c>
      <c r="S122" s="1">
        <f>_xlfn.IFS(L110&lt;750,10000,L110&lt;7500,100000,L110&gt;7500,1000000)</f>
        <v>100000</v>
      </c>
      <c r="T122" s="3">
        <f>_xlfn.IFS(L110&lt;=750,50000,L110&lt;=7500,500000,L110&gt;7500,5000000)</f>
        <v>500000</v>
      </c>
      <c r="U122" s="3">
        <f>IF(L110&lt;=600,200000,IF(L110&lt;=1200,200000,IF(L110&gt;=7000,2000000,2000000)))</f>
        <v>200000</v>
      </c>
      <c r="V122" s="3">
        <f>IF(L110&lt;=600,1000000,IF(L110&lt;=1200,2000000,IF(L110&gt;=7000,12000000,10000000)))</f>
        <v>2000000</v>
      </c>
    </row>
    <row r="123" customHeight="1" spans="1:17">
      <c r="A123" s="1"/>
      <c r="D123" s="1" t="s">
        <v>273</v>
      </c>
      <c r="E123" s="1" t="s">
        <v>274</v>
      </c>
      <c r="Q123" s="1">
        <v>450</v>
      </c>
    </row>
    <row r="124" customHeight="1" spans="1:17">
      <c r="A124" s="1"/>
      <c r="B124" s="1" t="s">
        <v>275</v>
      </c>
      <c r="C124" s="1" t="s">
        <v>276</v>
      </c>
      <c r="D124" s="1">
        <f>MOD((ROUND(DEGREES(ATAN2((COS(RADIANS(G122))*SIN(RADIANS(G130))-SIN(RADIANS(G122))*COS(RADIANS(G130))*COS(RADIANS(H130-H122))),(SIN(RADIANS(H130-H122))*COS(RADIANS(G130))))),0))+360,360)</f>
        <v>17</v>
      </c>
      <c r="E124" s="1">
        <f>MOD((ROUND(DEGREES(ATAN2((COS(RADIANS(G122))*SIN(RADIANS(G225))-SIN(RADIANS(G122))*COS(RADIANS(G225))*COS(RADIANS(H225-H122))),(SIN(RADIANS(H225-H122))*COS(RADIANS(G225))))),0))+360,360)</f>
        <v>204</v>
      </c>
      <c r="Q124" s="1">
        <v>500</v>
      </c>
    </row>
    <row r="125" customHeight="1" spans="1:19">
      <c r="A125" s="1"/>
      <c r="C125" s="1"/>
      <c r="D125" s="1">
        <f>MOD((DEGREES(ATAN2((COS(RADIANS(G122))*SIN(RADIANS(G130))-SIN(RADIANS(G122))*COS(RADIANS(G130))*COS(RADIANS(H130-H122))),(SIN(RADIANS(H130-H122))*COS(RADIANS(G130))))))+360,360)</f>
        <v>17.3689749485252</v>
      </c>
      <c r="E125" s="1">
        <f>MOD((DEGREES(ATAN2((COS(RADIANS(G122))*SIN(RADIANS(G225))-SIN(RADIANS(G122))*COS(RADIANS(G225))*COS(RADIANS(H225-H122))),(SIN(RADIANS(H225-H122))*COS(RADIANS(G225))))))+360,360)</f>
        <v>203.509559483323</v>
      </c>
      <c r="Q125" s="1">
        <v>600</v>
      </c>
      <c r="S125" s="4" t="s">
        <v>25</v>
      </c>
    </row>
    <row r="126" customHeight="1" spans="1:17">
      <c r="A126" s="1"/>
      <c r="C126" s="1" t="s">
        <v>277</v>
      </c>
      <c r="D126" s="1">
        <f t="shared" ref="D126:E126" si="2">IF(ROUND(D125*160/9,0)=0,6400,ROUND(D125*160/9,0))</f>
        <v>309</v>
      </c>
      <c r="E126" s="1">
        <f t="shared" si="2"/>
        <v>3618</v>
      </c>
      <c r="Q126" s="1">
        <v>700</v>
      </c>
    </row>
    <row r="127" customHeight="1" spans="1:17">
      <c r="A127" s="1"/>
      <c r="C127" s="1" t="s">
        <v>278</v>
      </c>
      <c r="D127" s="1">
        <f>ROUND((ACOS(SIN(RADIANS(G122))*SIN(RADIANS(G130))+COS(RADIANS(G122))*COS(RADIANS(G130))*COS(RADIANS(H130-H122)))*L110),1)</f>
        <v>217.7</v>
      </c>
      <c r="E127" s="1">
        <f>ROUND((ACOS(SIN(RADIANS(G122))*SIN(RADIANS(G225))+COS(RADIANS(G122))*COS(RADIANS(G225))*COS(RADIANS(H225-H122)))*L110),1)</f>
        <v>221.9</v>
      </c>
      <c r="G127" s="1" t="s">
        <v>279</v>
      </c>
      <c r="H127" s="1">
        <f>MOD((ROUND(DEGREES(ATAN2((COS(RADIANS(G130))*SIN(RADIANS(G225))-SIN(RADIANS(G130))*COS(RADIANS(G225))*COS(RADIANS(H225-H130))),(SIN(RADIANS(H225-H130))*COS(RADIANS(G225))))),0))+360,360)</f>
        <v>204</v>
      </c>
      <c r="I127" s="1">
        <f>MOD((DEGREES(ATAN2((COS(RADIANS(G130))*SIN(RADIANS(G225))-SIN(RADIANS(G130))*COS(RADIANS(G225))*COS(RADIANS(H225-H130))),(SIN(RADIANS(H225-H130))*COS(RADIANS(G225))))))+360,360)</f>
        <v>204.278891497558</v>
      </c>
      <c r="L127" s="1" t="s">
        <v>280</v>
      </c>
      <c r="M127" s="1" t="s">
        <v>281</v>
      </c>
      <c r="N127" s="1" t="s">
        <v>84</v>
      </c>
      <c r="O127" s="1" t="s">
        <v>125</v>
      </c>
      <c r="P127" s="1" t="s">
        <v>127</v>
      </c>
      <c r="Q127" s="1">
        <v>800</v>
      </c>
    </row>
    <row r="128" customHeight="1" spans="1:17">
      <c r="A128" s="1"/>
      <c r="D128" s="1" t="str">
        <f t="shared" ref="D128:E128" si="3">IF(OR(AND(D124&gt;=349,D124&lt;=360),AND(D124&gt;=0,D124&lt;=11)),"N",IF(AND(D124&gt;=12,D124&lt;=33),"NNE",IF(AND(D124&gt;=34,D124&lt;=56),"NE",IF(AND(D124&gt;=57,D124&lt;=78),"ENE",IF(AND(D124&gt;=79,D124&lt;=101),"E",IF(AND(D124&gt;=102,D124&lt;=123),"ESE",IF(AND(D124&gt;=124,D124&lt;=146),"SE",IF(AND(D124&gt;=147,D124&lt;=168),"SSE",IF(AND(D124&gt;=169,D124&lt;=191),"S",IF(AND(D124&gt;=192,D124&lt;=213),"SSW",IF(AND(D124&gt;=214,D124&lt;=236),"SW",IF(AND(D124&gt;=237,D124&lt;=258),"WSW",IF(AND(D124&gt;=259,D124&lt;=281),"W",IF(AND(D124&gt;=282,D124&lt;=303),"WNW",IF(AND(D124&gt;=304,D124&lt;=326),"NW",IF(AND(D124&gt;=327,D124&lt;=348),"NNW"))))))))))))))))</f>
        <v>NNE</v>
      </c>
      <c r="E128" s="1" t="str">
        <f t="shared" si="3"/>
        <v>SSW</v>
      </c>
      <c r="G128" s="1" t="s">
        <v>282</v>
      </c>
      <c r="H128" s="1">
        <f>MOD((ROUND(DEGREES(ATAN2((COS(RADIANS(G129))*SIN(RADIANS(G224))-SIN(RADIANS(G129))*COS(RADIANS(G224))*COS(RADIANS(H224-H129))),(SIN(RADIANS(H224-H129))*COS(RADIANS(G224))))),0))+360,360)</f>
        <v>83</v>
      </c>
      <c r="I128" s="1">
        <f>MOD((DEGREES(ATAN2((COS(RADIANS(G129))*SIN(RADIANS(G224))-SIN(RADIANS(G129))*COS(RADIANS(G224))*COS(RADIANS(H224-H129))),(SIN(RADIANS(H224-H129))*COS(RADIANS(G224))))))+360,360)</f>
        <v>83.3619191627302</v>
      </c>
      <c r="P128" s="1" t="s">
        <v>283</v>
      </c>
      <c r="Q128" s="1">
        <v>900</v>
      </c>
    </row>
    <row r="129" customHeight="1" spans="1:17">
      <c r="A129" s="1"/>
      <c r="B129" s="1" t="s">
        <v>284</v>
      </c>
      <c r="D129" s="2">
        <f>-D130</f>
        <v>-520.722992113</v>
      </c>
      <c r="E129" s="2">
        <f>F130</f>
        <v>743.654685314</v>
      </c>
      <c r="F129" s="2">
        <f>E130</f>
        <v>419.364313161999</v>
      </c>
      <c r="G129" s="1">
        <f>DEGREES(ATAN2(SQRT(D129^2+E129^2),F129))</f>
        <v>24.7939158406446</v>
      </c>
      <c r="H129" s="1">
        <f>IF(ABS(G129)=90,0,IF(DEGREES(MOD((ATAN2(D129,E129)),2*PI()))&gt;180,-(360-DEGREES(MOD((ATAN2(D129,E129)),2*PI()))),DEGREES(MOD((ATAN2(D129,E129)),2*PI()))))</f>
        <v>125.000536404029</v>
      </c>
      <c r="I129" s="2">
        <f>SQRT(D129^2+E129^2+F129^2)-L110</f>
        <v>0.0205761175191128</v>
      </c>
      <c r="J129" s="1" t="str">
        <f t="shared" ref="J129:J130" si="4">CONCATENATE(IF(G129&lt;0,CONCATENATE("S ",IF(ABS(G129)&lt;10,"0",""),INT(ABS(G129)),"° ",IF(INT(60*(ABS(G129)-INT(ABS(G129))))&lt;10,"0",""),ROUND(60*(ABS(G129)-INT(ABS(G129))),1),IF(LEN(ROUND(60*(ABS(G129)-INT(ABS(G129))),1))&lt;3,".0",""),"' "),CONCATENATE("N ",IF(ABS(G129)&lt;10,"0",""),INT(ABS(G129)),"° ",IF(INT(60*(ABS(G129)-INT(ABS(G129))))&lt;10,"0",""),ROUND(60*(ABS(G129)-INT(ABS(G129))),1),IF(LEN(ROUND(60*(ABS(G129)-INT(ABS(G129))),1))&lt;3,".0",""),"' ")),"/ ",IF(H129&lt;0,CONCATENATE("W ",IF(ABS(H129)&lt;10,"00",IF(ABS(H129)&lt;100,"0","")),INT(ABS(H129)),"° ",IF(INT(60*(ABS(H129)-INT(ABS(H129))))&lt;10,"0",""),ROUND(60*(ABS(H129)-INT(ABS(H129))),1),IF(LEN(ROUND(60*(ABS(H129)-INT(ABS(H129))),1))&lt;3,".0",""),"'"),CONCATENATE("E ",IF(ABS(H129)&lt;10,"00",IF(ABS(H129)&lt;100,"0","")),INT(ABS(H129)),"° ",IF(INT(60*(ABS(H129)-INT(ABS(H129))))&lt;10,"0",""),ROUND(60*(ABS(H129)-INT(ABS(H129))),1),IF(LEN(ROUND(60*(ABS(H129)-INT(ABS(H129))),1))&lt;3,".0",""),"'")))</f>
        <v>N 24° 47.6' / E 125° 00.0'</v>
      </c>
      <c r="Q129" s="1">
        <v>1000</v>
      </c>
    </row>
    <row r="130" customHeight="1" spans="1:17">
      <c r="A130" s="1" t="s">
        <v>285</v>
      </c>
      <c r="D130" s="2">
        <f t="shared" ref="D130:I130" si="5">IF($C132,D132,IF($C134,D134,IF($C140,D140,IF($C145,D145,IF($C147,D147,IF($C149,D149,IF($C160,D160,0)))))))</f>
        <v>520.722992113</v>
      </c>
      <c r="E130" s="2">
        <f t="shared" si="5"/>
        <v>419.364313161999</v>
      </c>
      <c r="F130" s="2">
        <f t="shared" si="5"/>
        <v>743.654685314</v>
      </c>
      <c r="G130" s="2">
        <f t="shared" si="5"/>
        <v>48.0423650686789</v>
      </c>
      <c r="H130" s="2">
        <f t="shared" si="5"/>
        <v>38.8462345236517</v>
      </c>
      <c r="I130" s="2">
        <f t="shared" si="5"/>
        <v>0.0205761175191128</v>
      </c>
      <c r="J130" s="1" t="str">
        <f t="shared" si="4"/>
        <v>N 48° 02.5' / E 038° 50.8'</v>
      </c>
      <c r="L130" s="1">
        <f>DEGREES(ACOS(-TAN(RADIANS(G130))*TAN(RADIANS(L108))))+L109+DEGREES(ACOS(L110/(L110+IF(I130&lt;0,0,I130))))</f>
        <v>95.7206451608074</v>
      </c>
      <c r="M130" s="1">
        <f>IF(ABS(G130)=90,0,DEGREES(MOD((ATAN2(D130,E130)),2*PI())))</f>
        <v>38.8462345236517</v>
      </c>
      <c r="N130" s="20">
        <f>IF(MOD(L111-MOD(M130-L112,360),360)&gt;180,MOD(L111-MOD(M130-L112,360),360)-360,MOD(L111-MOD(M130-L112,360),360))</f>
        <v>133.153373691251</v>
      </c>
      <c r="O130" s="65">
        <f>IF(N130&gt;L130,(N130-L130)/L113/1440,(N130-L130+360)/L113/1440)+TimeLocal</f>
        <v>45683.7294007914</v>
      </c>
      <c r="P130" s="65">
        <f>IF(N130&gt;-(L130),(N130+L130)/L113/1440,(N130+L130+360)/L113/1440)+TimeLocal</f>
        <v>45683.820689923</v>
      </c>
      <c r="Q130" s="1">
        <v>1100</v>
      </c>
    </row>
    <row r="131" customHeight="1" spans="1:17">
      <c r="A131" s="1" t="s">
        <v>286</v>
      </c>
      <c r="C131" s="1" t="b">
        <f>NOT(OR(C132,C134,C140,C145,C147,C149,C160))</f>
        <v>0</v>
      </c>
      <c r="D131" s="2"/>
      <c r="E131" s="2"/>
      <c r="F131" s="2"/>
      <c r="M131" s="1" t="str">
        <f>IF(ABS(G130)&gt;ABS(90-ABS(L108)),IF(P131&lt;0,"Night","Daylight"),IF(N130=0,"Noon",IF(N130=-L130,"Sunset",IF(N130=L130,"Sunrise",IF(N130=180,"Midnight",IF(AND(N130&gt;-L130,N130&lt;0),CONCATENATE("Afternoon",IF(Rotation,CONCATENATE(" / Sets in ",ROUND((P130-TimeLocal)*1440,0),"m"),"")),IF(AND(N130&gt;0,N130&lt;L130),CONCATENATE("Morning",IF(Rotation,CONCATENATE(" / Sets in ",ROUND((P130-TimeLocal)*1440,0),"m"),"")),IF(AND(N130&gt;L130,N130&lt;(L130+18)),CONCATENATE("Morning Twilight",IF(Rotation,CONCATENATE(" / Rises in ",ROUND((O130-TimeLocal)*1440,0),"m"),"")),IF(AND(N130&gt;-(L130+18),N130&lt;-L130),CONCATENATE("Evening Twilight",IF(Rotation,CONCATENATE(" / Rises in ",ROUND((O130-TimeLocal)*1440,0),"m"),"")),IF(AND(N130&gt;-180,N130&lt;-(L130+18)),CONCATENATE("Night",IF(Rotation,CONCATENATE(" / Rises in ",ROUND((O130-TimeLocal)*1440,0),"m"),"")),CONCATENATE("After midnight",IF(Rotation,CONCATENATE(" / Rises in ",ROUND((O130-TimeLocal)*1440,0),"m"),""))))))))))))</f>
        <v>After midnight / Rises in 26m</v>
      </c>
      <c r="O131" s="136">
        <f>IF(NOT(Rotation),IF(ABS(G130)&gt;ABS(90-ABS(L108)),IF(P131&lt;0,"None","Continuous"),IF(ABS(N130)&gt;ABS(L130+18),"None","Continuous")),IFERROR(((2*L130)/L113)/1440,IF(P131&gt;0,"Continuous","None")))</f>
        <v>0.0912891315950142</v>
      </c>
      <c r="P131" s="1">
        <f>IFERROR(DEGREES(ACOS((SQRT(D130^2+E130^2+F130^2)^2+(SQRT(SQRT(D130^2+E130^2+F130^2)^2+SQRT(X109^2+Y109^2+Z109^2)^2-(2*SQRT(D130^2+E130^2+F130^2)*SQRT(X109^2+Y109^2+Z109^2)*COS(RADIANS(ABS(L108-G130))))))^2-SQRT(X109^2+Y109^2+Z109^2)^2)/(2*SQRT(D130^2+E130^2+F130^2)*(SQRT(SQRT(D130^2+E130^2+F130^2)^2+SQRT(X109^2+Y109^2+Z109^2)^2-(2*SQRT(D130^2+E130^2+F130^2)*SQRT(X109^2+Y109^2+Z109^2)*COS(RADIANS(ABS(L108-G130)))))))))-90,90)</f>
        <v>45.9130321275594</v>
      </c>
      <c r="Q131" s="1">
        <v>1200</v>
      </c>
    </row>
    <row r="132" customHeight="1" spans="1:17">
      <c r="A132" s="1" t="s">
        <v>287</v>
      </c>
      <c r="C132" s="1" t="b">
        <f>A17</f>
        <v>1</v>
      </c>
      <c r="D132" s="2">
        <f>VLOOKUP(B18,$C$315:$J$523,2,FALSE)</f>
        <v>520.722992113</v>
      </c>
      <c r="E132" s="2">
        <f>VLOOKUP(B18,$C$315:$J$523,3,FALSE)</f>
        <v>419.364313161999</v>
      </c>
      <c r="F132" s="2">
        <f>VLOOKUP(B18,$C$315:$J$523,4,FALSE)</f>
        <v>743.654685314</v>
      </c>
      <c r="G132" s="1">
        <f>DEGREES(ATAN2(SQRT(D132^2+E132^2),F132))</f>
        <v>48.0423650686789</v>
      </c>
      <c r="H132" s="1">
        <f>IF(ABS(G132)=90,0,IF(DEGREES(MOD((ATAN2(D132,E132)),2*PI()))&gt;180,-(360-DEGREES(MOD((ATAN2(D132,E132)),2*PI()))),DEGREES(MOD((ATAN2(D132,E132)),2*PI()))))</f>
        <v>38.8462345236517</v>
      </c>
      <c r="I132" s="2">
        <f>SQRT(D132^2+E132^2+F132^2)-L110</f>
        <v>0.0205761175191128</v>
      </c>
      <c r="Q132" s="1">
        <v>1300</v>
      </c>
    </row>
    <row r="133" customHeight="1" spans="4:17">
      <c r="D133" s="2"/>
      <c r="E133" s="2"/>
      <c r="F133" s="2"/>
      <c r="M133" s="1">
        <f>SQRT(2*L110*I130/0.8279)</f>
        <v>7.05030284367226</v>
      </c>
      <c r="N133" s="1" t="s">
        <v>288</v>
      </c>
      <c r="O133" s="1">
        <f>SQRT((L110+I130)^2-L110^2)</f>
        <v>6.41503378126679</v>
      </c>
      <c r="Q133" s="1">
        <v>1400</v>
      </c>
    </row>
    <row r="134" customHeight="1" spans="1:17">
      <c r="A134" s="1" t="s">
        <v>289</v>
      </c>
      <c r="C134" s="1" t="b">
        <f>A25</f>
        <v>0</v>
      </c>
      <c r="D134" s="2">
        <f>_xlfn.IFNA((((((E28^2)-(E27^2)+(D135^2)+(E135^2)+(F135^2)-(D136^2)-(E136^2)-(F136^2))/2)*(E135-E137)*(F135-F138))+((E135-E136)*(F135-F137)*(((E30^2)-(E27^2)+(D135^2)+(E135^2)+(F135^2)-(D138^2)-(E138^2)-(F138^2))/2))+((F135-F136)*(((E29^2)-(E27^2)+(D135^2)+(E135^2)+(F135^2)-(D137^2)-(E137^2)-(F137^2))/2)*(E135-E138))-((((E30^2)-(E27^2)+(D135^2)+(E135^2)+(F135^2)-(D138^2)-(E138^2)-(F138^2))/2)*(E135-E137)*(F135-F136))-((E135-E138)*(F135-F137)*(((E28^2)-(E27^2)+(D135^2)+(E135^2)+(F135^2)-(D136^2)-(E136^2)-(F136^2))/2))-((F135-F138)*(((E29^2)-(E27^2)+(D135^2)+(E135^2)+(F135^2)-(D137^2)-(E137^2)-(F137^2))/2)*(E135-E136)))/(((D135-D136)*(E135-E137)*(F135-F138))+((E135-E136)*(F135-F137)*(D135-D138))+((F135-F136)*(D135-D137)*(E135-E138))-((D135-D138)*(E135-E137)*(F135-F136))-((E135-E138)*(F135-F137)*(D135-D136))-((F135-F138)*(D135-D137)*(E135-E136))),"")</f>
        <v>809.446850975329</v>
      </c>
      <c r="E134" s="2">
        <f>_xlfn.IFNA((((D135-D136)*(((E29^2)-(E27^2)+(D135^2)+(E135^2)+(F135^2)-(D137^2)-(E137^2)-(F137^2))/2)*(F135-F138))+((((E28^2)-(E27^2)+(D135^2)+(E135^2)+(F135^2)-(D136^2)-(E136^2)-(F136^2))/2)*(F135-F137)*(D135-D138))+((F135-F136)*(D135-D137)*(((E30^2)-(E27^2)+(D135^2)+(E135^2)+(F135^2)-(D138^2)-(E138^2)-(F138^2))/2))-((D135-D138)*(((E29^2)-(E27^2)+(D135^2)+(E135^2)+(F135^2)-(D137^2)-(E137^2)-(F137^2))/2)*(F135-F136))-((((E30^2)-(E27^2)+(D135^2)+(E135^2)+(F135^2)-(D138^2)-(E138^2)-(F138^2))/2)*(F135-F137)*(D135-D136))-((F135-F138)*(D135-D137)*(((E28^2)-(E27^2)+(D135^2)+(E135^2)+(F135^2)-(D136^2)-(E136^2)-(F136^2))/2)))/(((D135-D136)*(E135-E137)*(F135-F138))+((E135-E136)*(F135-F137)*(D135-D138))+((F135-F136)*(D135-D137)*(E135-E138))-((D135-D138)*(E135-E137)*(F135-F136))-((E135-E138)*(F135-F137)*(D135-D136))-((F135-F138)*(D135-D137)*(E135-E136))),"")</f>
        <v>415.378988414307</v>
      </c>
      <c r="F134" s="2">
        <f>_xlfn.IFNA((((D135-D136)*(E135-E137)*(((E30^2)-(E27^2)+(D135^2)+(E135^2)+(F135^2)-(D138^2)-(E138^2)-(F138^2))/2))+((E135-E136)*(((E29^2)-(E27^2)+(D135^2)+(E135^2)+(F135^2)-(D137^2)-(E137^2)-(F137^2))/2)*(D135-D138))+((((E28^2)-(E27^2)+(D135^2)+(E135^2)+(F135^2)-(D136^2)-(E136^2)-(F136^2))/2)*(D135-D137)*(E135-E138))-((D135-D138)*(E135-E137)*(((E28^2)-(E27^2)+(D135^2)+(E135^2)+(F135^2)-(D136^2)-(E136^2)-(F136^2))/2))-((E135-E138)*(((E29^2)-(E27^2)+(D135^2)+(E135^2)+(F135^2)-(D137^2)-(E137^2)-(F137^2))/2)*(D135-D136))-((((E30^2)-(E27^2)+(D135^2)+(E135^2)+(F135^2)-(D138^2)-(E138^2)-(F138^2))/2)*(D135-D137)*(E135-E136)))/(((D135-D136)*(E135-E137)*(F135-F138))+((E135-E136)*(F135-F137)*(D135-D138))+((F135-F136)*(D135-D137)*(E135-E138))-((D135-D138)*(E135-E137)*(F135-F136))-((E135-E138)*(F135-F137)*(D135-D136))-((F135-F138)*(D135-D137)*(E135-E136))),"")</f>
        <v>415.657699751297</v>
      </c>
      <c r="G134" s="1">
        <f t="shared" ref="G134:G138" si="6">DEGREES(ATAN2(SQRT(D134^2+E134^2),F134))</f>
        <v>24.5539990178344</v>
      </c>
      <c r="H134" s="1">
        <f t="shared" ref="H134:H138" si="7">IF(ABS(G134)=90,0,IF(DEGREES(MOD((ATAN2(D134,E134)),2*PI()))&gt;180,-(360-DEGREES(MOD((ATAN2(D134,E134)),2*PI()))),DEGREES(MOD((ATAN2(D134,E134)),2*PI()))))</f>
        <v>27.1652622049318</v>
      </c>
      <c r="I134" s="2">
        <f>SQRT(D134^2+E134^2+F134^2)-L110</f>
        <v>0.257582791807295</v>
      </c>
      <c r="Q134" s="1">
        <v>1500</v>
      </c>
    </row>
    <row r="135" customHeight="1" spans="4:9">
      <c r="D135" s="2">
        <f t="shared" ref="D135:D138" si="8">VLOOKUP(C27,$C$315:$J$523,2,FALSE)</f>
        <v>520.722992113</v>
      </c>
      <c r="E135" s="2">
        <f t="shared" ref="E135:E138" si="9">VLOOKUP(C27,$C$315:$J$523,3,FALSE)</f>
        <v>419.364313161999</v>
      </c>
      <c r="F135" s="2">
        <f t="shared" ref="F135:F138" si="10">VLOOKUP(C27,$C$315:$J$523,4,FALSE)</f>
        <v>743.654685314</v>
      </c>
      <c r="G135" s="1">
        <f t="shared" si="6"/>
        <v>48.0423650686789</v>
      </c>
      <c r="H135" s="1">
        <f t="shared" si="7"/>
        <v>38.8462345236517</v>
      </c>
      <c r="I135" s="2">
        <f>SQRT(D135^2+E135^2+F135^2)-br</f>
        <v>0.0205761175191128</v>
      </c>
    </row>
    <row r="136" customHeight="1" spans="4:14">
      <c r="D136" s="2">
        <f t="shared" si="8"/>
        <v>561.471046150999</v>
      </c>
      <c r="E136" s="2">
        <f t="shared" si="9"/>
        <v>545.853017028999</v>
      </c>
      <c r="F136" s="2">
        <f t="shared" si="10"/>
        <v>808.831762530999</v>
      </c>
      <c r="G136" s="1">
        <f t="shared" si="6"/>
        <v>45.9269825365524</v>
      </c>
      <c r="H136" s="1">
        <f t="shared" si="7"/>
        <v>44.1919368031871</v>
      </c>
      <c r="I136" s="2">
        <f>SQRT(D136^2+E136^2+F136^2)-br</f>
        <v>125.794862283782</v>
      </c>
      <c r="M136" s="1" t="str">
        <f>CONCATENATE(M137," ",O137," ",R137)</f>
        <v>37U 498206 838163</v>
      </c>
      <c r="N136" s="1" t="str">
        <f>CONCATENATE(M137," ",N137,Q137," ",LEFT(P137,3),LEFT(S137,3))</f>
        <v>37U DJ 982381</v>
      </c>
    </row>
    <row r="137" customHeight="1" spans="4:19">
      <c r="D137" s="2">
        <f t="shared" si="8"/>
        <v>916.831795390999</v>
      </c>
      <c r="E137" s="2">
        <f t="shared" si="9"/>
        <v>187.159489357999</v>
      </c>
      <c r="F137" s="2">
        <f t="shared" si="10"/>
        <v>-354.144106525</v>
      </c>
      <c r="G137" s="1">
        <f t="shared" si="6"/>
        <v>-20.7298624184193</v>
      </c>
      <c r="H137" s="1">
        <f t="shared" si="7"/>
        <v>11.5376779212275</v>
      </c>
      <c r="I137" s="2">
        <f>SQRT(D137^2+E137^2+F137^2)-br</f>
        <v>0.513500000384852</v>
      </c>
      <c r="L137" s="1" t="b">
        <f>IF(ABS(G130)&gt;80,TRUE,FALSE)</f>
        <v>0</v>
      </c>
      <c r="M137" s="1" t="str">
        <f>IF(AND(G130&lt;=80,G130&gt;=-80),IF(AND(H130&gt;=-180,H130&lt;=180),CONCATENATE(IF(INT((IF(H130&gt;=180,-180,H130)+180)/6)+1&lt;10,"0",""),INT((IF(H130&gt;=180,-180,H130)+180)/6)+1,MID($S$115,INT((G130+80)/8)+1,1))),IF(G130&gt;0,IF(H130&lt;0,"Y","Z"),IF(H130&lt;0,"A","B")))</f>
        <v>37U</v>
      </c>
      <c r="N137" s="1" t="str">
        <f>IF(NOT(L137),_xlfn.IFS(MOD(M138,3)=0,MID($U$116,INT(P138/$S$122),1),MOD(M138,3)=1,MID($S$116,INT(P138/$S$122),1),MOD(M138,3)=2,MID($T$116,INT(P138/$S$122),1)),IF(P138&gt;=$U$122,MID($S$118,(MOD(INT(ABS(O138)/$S$122),18)+1),1),MID($S$118,19-(MOD(INT(ABS(O138)/$S$122),18)+1),1)))</f>
        <v>D</v>
      </c>
      <c r="O137" s="1" t="str">
        <f>CONCATENATE(INT(P138/$S$122),P137)</f>
        <v>498206</v>
      </c>
      <c r="P137" s="1" t="str">
        <f>CONCATENATE(IF($S$122&gt;100000,IF(ROUND(P138-(INT(P138/$S$122)*$S$122),3)&lt;100000,"0",""),""),IF($S$122&gt;10000,IF(ROUND(P138-(INT(P138/$S$122)*$S$122),3)&lt;10000,"0",""),""),IF(ROUND(P138-(INT(P138/$S$122)*$S$122),3)&lt;1000,"0",""),IF(ROUND(P138-(INT(P138/$S$122)*$S$122),3)&lt;100,"0",""),IF(ROUND(P138-(INT(P138/$S$122)*$S$122),3)&lt;10,"0",""),INT(P138-(INT(P138/$S$122)*$S$122)))</f>
        <v>98206</v>
      </c>
      <c r="Q137" s="1" t="str">
        <f>IF(NOT(L137),_xlfn.IFS(MOD(M138,2)=0,MID($T$117,IF(G130&gt;=0,(MOD(INT(ABS(R138)/$S$122),20)+1),21-(MOD(INT(ABS(R138)/$S$122),20)+1)),1),MOD(M138,2)=1,MID($S$117,IF(G130&gt;=0,(MOD(INT(ABS(R138)/$S$122),20)+1),21-(MOD(INT(ABS(R138)/$S$122),20)+1)),1)),IF(S138&gt;=$U$122,IF(G130&lt;0,MID($S$119,(MOD(INT(ABS(R138)/$S$122),24)+1),1),MID($T$119,(MOD(INT(ABS(R138)/$S$122),24)+1),1)),IF(G130&lt;0,MID($S$119,25-(MOD(INT(ABS(R138)/$S$122),24)+1),1),MID($T$119,25-(MOD(INT(ABS(R138)/$S$122),24)+1),1))))</f>
        <v>J</v>
      </c>
      <c r="R137" s="1" t="str">
        <f>CONCATENATE(INT(S138/$S$122),S137)</f>
        <v>838163</v>
      </c>
      <c r="S137" s="1" t="str">
        <f>CONCATENATE(IF($S$122&gt;100000,IF(ROUND(S138-(INT(S138/$S$122)*$S$122),3)&lt;100000,"0",""),""),IF($S$122&gt;10000,IF(ROUND(S138-(INT(S138/$S$122)*$S$122),3)&lt;10000,"0",""),""),IF(ROUND(S138-(INT(S138/$S$122)*$S$122),3)&lt;1000,"0",""),IF(ROUND(S138-(INT(S138/$S$122)*$S$122),3)&lt;100,"0",""),IF(ROUND(S138-(INT(S138/$S$122)*$S$122),3)&lt;10,"0",""),INT(S138-(INT(S138/$S$122)*$S$122)))</f>
        <v>38163</v>
      </c>
    </row>
    <row r="138" customHeight="1" spans="4:19">
      <c r="D138" s="2">
        <f t="shared" si="8"/>
        <v>938.116231367</v>
      </c>
      <c r="E138" s="2">
        <f t="shared" si="9"/>
        <v>-347.817930592</v>
      </c>
      <c r="F138" s="2">
        <f t="shared" si="10"/>
        <v>31.707663433</v>
      </c>
      <c r="G138" s="1">
        <f t="shared" si="6"/>
        <v>1.81516438951962</v>
      </c>
      <c r="H138" s="1">
        <f t="shared" si="7"/>
        <v>-20.3428706333117</v>
      </c>
      <c r="I138" s="2">
        <f>SQRT(D138^2+E138^2+F138^2)-br</f>
        <v>1.02185406508693</v>
      </c>
      <c r="M138" s="1">
        <f>INT((IF(H130&gt;=180,-180,H130)+180)/6)+1</f>
        <v>37</v>
      </c>
      <c r="N138" s="1">
        <f>IF(NOT(L137),(M138*6)-183,0)</f>
        <v>39</v>
      </c>
      <c r="O138" s="1">
        <f>IF(NOT(L137),L110*$S$121*ATANH(COS(RADIANS(G130))*SIN(RADIANS(H130)-RADIANS(N138)))*1000,L110*(2*$T$121/(1+SIN(RADIANS(N139))*SIN(RADIANS(G130))+COS(RADIANS(N139))*COS(RADIANS(G130))*COS(RADIANS(H130)-RADIANS(N138))))*COS(RADIANS(G130))*SIN(RADIANS(H130)-RADIANS(N138))*1000)</f>
        <v>-1793.56196655185</v>
      </c>
      <c r="P138" s="1">
        <f>IF(NOT(L137),$T$122+ROUND(O138,4),$U$122+ROUND(O138,4))</f>
        <v>498206.438</v>
      </c>
      <c r="R138" s="1">
        <f>IF(NOT(L137),L110*$S$121*ATAN(TAN(RADIANS(G130))/COS(RADIANS(H130)-RADIANS(N138)))*1000,L110*(2*$T$121/(1+SIN(RADIANS(N139))*SIN(RADIANS(G130))+COS(RADIANS(N139))*COS(RADIANS(G130))*COS(RADIANS(H130)-RADIANS(N138))))*(COS(RADIANS(N139))*SIN(RADIANS(G130))-SIN(RADIANS(N139))*COS(RADIANS(G130))*COS(RADIANS(H130)-RADIANS(N138)))*1000)</f>
        <v>838163.84163477</v>
      </c>
      <c r="S138" s="1">
        <f>IF(NOT(L137),IF(R138&gt;=0,ROUND(R138,4),$V$122+ROUND(R138,4)),$U$122+ROUND(R138,4))</f>
        <v>838163.8416</v>
      </c>
    </row>
    <row r="139" customHeight="1" spans="4:14">
      <c r="D139" s="2"/>
      <c r="E139" s="2"/>
      <c r="F139" s="2"/>
      <c r="N139" s="1">
        <f>IF(NOT(L137),0,IF(G130&gt;0,90,-90))</f>
        <v>0</v>
      </c>
    </row>
    <row r="140" customHeight="1" spans="1:9">
      <c r="A140" s="1" t="s">
        <v>290</v>
      </c>
      <c r="C140" s="1" t="b">
        <f>A36</f>
        <v>0</v>
      </c>
      <c r="D140" s="2">
        <f>(L110+I140)*COS(RADIANS(G140))*COS(RADIANS(H140))</f>
        <v>913.041784990172</v>
      </c>
      <c r="E140" s="2">
        <f>(L110+I140)*COS(RADIANS(G140))*SIN(RADIANS(H140))</f>
        <v>-392.939428007573</v>
      </c>
      <c r="F140" s="2">
        <f>(L110+I140)*SIN(RADIANS(G140))</f>
        <v>111.374805485097</v>
      </c>
      <c r="G140" s="1">
        <f>DEGREES(ASIN(SIN(RADIANS(G141))*COS(E143/L110)+COS(RADIANS(G141))*SIN(E143/L110)*COS(RADIANS(E142))))</f>
        <v>6.39312550610256</v>
      </c>
      <c r="H140" s="1">
        <f>DEGREES(RADIANS(H141)+(ATAN2(COS(E143/L110)-SIN(RADIANS(G141))*SIN(RADIANS(G140)),SIN(RADIANS(E142))*SIN(E143/L110)*COS(RADIANS(G141)))))</f>
        <v>-23.2852567363152</v>
      </c>
      <c r="I140" s="2">
        <f>I141</f>
        <v>0.22549583471482</v>
      </c>
    </row>
    <row r="141" customHeight="1" spans="1:18">
      <c r="A141" s="1"/>
      <c r="D141" s="2">
        <f>VLOOKUP(B38,$C$315:$J$523,2,FALSE)</f>
        <v>920.210111885</v>
      </c>
      <c r="E141" s="2">
        <f>VLOOKUP(B38,$C$315:$J$523,3,FALSE)</f>
        <v>-389.541681947999</v>
      </c>
      <c r="F141" s="2">
        <f>VLOOKUP(B38,$C$315:$J$523,4,FALSE)</f>
        <v>43.8368626559999</v>
      </c>
      <c r="G141" s="1">
        <f>DEGREES(ATAN2(SQRT(D141^2+E141^2),F141))</f>
        <v>2.51190555898718</v>
      </c>
      <c r="H141" s="1">
        <f>IF(ABS(G141)=90,0,IF(DEGREES(MOD((ATAN2(D141,E141)),2*PI()))&gt;180,-(360-DEGREES(MOD((ATAN2(D141,E141)),2*PI()))),DEGREES(MOD((ATAN2(D141,E141)),2*PI()))))</f>
        <v>-22.9438244693873</v>
      </c>
      <c r="I141" s="2">
        <f>SQRT(D141^2+E141^2+F141^2)-L110</f>
        <v>0.22549583471482</v>
      </c>
      <c r="L141" s="1" t="str">
        <f>CONCATENATE(IF(M141&lt;100,"0",""),IF(M141&lt;10,"0",""),M141,N141,O141,P141)</f>
        <v>438MN48</v>
      </c>
      <c r="M141" s="1">
        <f>IF(ABS(G130)=90,1,INT(MOD(H130+180,360)/0.5)+1)</f>
        <v>438</v>
      </c>
      <c r="N141" s="1" t="str">
        <f>CONCATENATE(MID($S$125,INT(INT((G130+90)/0.5)/24)+1,1),MID($S$125,MOD(INT((G130+90)/0.5),24)+1,1))</f>
        <v>MN</v>
      </c>
      <c r="O141" s="1">
        <f>_xlfn.IFS(AND(IF(MOD((G130+90)/0.5,1)&gt;=0.5,TRUE,FALSE),NOT(IF(MOD(MOD(H130+180,360)/0.5,1)&gt;=0.5,TRUE,FALSE))),1,AND(IF(MOD((G130+90)/0.5,1)&gt;=0.5,TRUE,FALSE),IF(MOD(MOD(H130+180,360)/0.5,1)&gt;=0.5,TRUE,FALSE)),2,AND(NOT(IF(MOD((G130+90)/0.5,1)&gt;=0.5,TRUE,FALSE)),NOT(IF(MOD(MOD(H130+180,360)/0.5,1)&gt;=0.5,TRUE,FALSE))),3,AND(NOT(IF(MOD((G130+90)/0.5,1)&gt;=0.5,TRUE,FALSE)),IF(MOD(MOD(H130+180,360)/0.5,1)&gt;=0.5,TRUE,FALSE)),4)</f>
        <v>4</v>
      </c>
      <c r="P141" s="1">
        <f>_xlfn.IFS(AND(Q141=0,R141=2),1,AND(Q141=1,R141=2),2,AND(Q141=2,R141=2),3,AND(Q141=0,R141=1),4,AND(Q141=1,R141=1),5,AND(Q141=2,R141=1),6,AND(Q141=0,R141=0),7,AND(Q141=1,R141=0),8,AND(Q141=2,R141=0),9)</f>
        <v>8</v>
      </c>
      <c r="Q141" s="1">
        <f>INT(6*IF(IF(MOD(MOD(H130+180,360)/0.5,1)&gt;=0.5,TRUE,FALSE),MOD(MOD(H130+180,360)/0.5,1)-0.5,MOD(MOD(H130+180,360)/0.5,1)))</f>
        <v>1</v>
      </c>
      <c r="R141" s="1">
        <f>INT(6*IF(IF(MOD((G130+90)/0.5,1)&gt;=0.5,TRUE,FALSE),MOD((G130+90)/0.5,1)-0.5,MOD((G130+90)/0.5,1)))</f>
        <v>0</v>
      </c>
    </row>
    <row r="142" customHeight="1" spans="1:6">
      <c r="A142" s="1"/>
      <c r="D142" s="2" t="s">
        <v>291</v>
      </c>
      <c r="E142" s="134">
        <f>IF(D39+180&gt;360,ROUND(D39-180,0),ROUND(D39+180,0))</f>
        <v>355</v>
      </c>
      <c r="F142" s="1" t="str">
        <f>IF(OR(AND(E142&gt;=349,E142&lt;=360),AND(E142&gt;=0,E142&lt;=11)),"N",IF(AND(E142&gt;=12,E142&lt;=33),"NNE",IF(AND(E142&gt;=34,E142&lt;=56),"NE",IF(AND(E142&gt;=57,E142&lt;=78),"ENE",IF(AND(E142&gt;=79,E142&lt;=101),"E",IF(AND(E142&gt;=102,E142&lt;=123),"ESE",IF(AND(E142&gt;=124,E142&lt;=146),"SE",IF(AND(E142&gt;=147,E142&lt;=168),"SSE",IF(AND(E142&gt;=169,E142&lt;=191),"S",IF(AND(E142&gt;=192,E142&lt;=213),"SSW",IF(AND(E142&gt;=214,E142&lt;=236),"SW",IF(AND(E142&gt;=237,E142&lt;=258),"WSW",IF(AND(E142&gt;=259,E142&lt;=281),"W",IF(AND(E142&gt;=282,E142&lt;=303),"WNW",IF(AND(E142&gt;=304,E142&lt;=326),"NW",IF(AND(E142&gt;=327,E142&lt;=348),"NNW"))))))))))))))))</f>
        <v>N</v>
      </c>
    </row>
    <row r="143" customHeight="1" spans="1:6">
      <c r="A143" s="1"/>
      <c r="D143" s="2" t="s">
        <v>86</v>
      </c>
      <c r="E143" s="131">
        <f>D40</f>
        <v>68</v>
      </c>
      <c r="F143" s="2"/>
    </row>
    <row r="144" customHeight="1" spans="1:6">
      <c r="A144" s="1"/>
      <c r="D144" s="2"/>
      <c r="E144" s="2"/>
      <c r="F144" s="2"/>
    </row>
    <row r="145" customHeight="1" spans="1:9">
      <c r="A145" s="1" t="s">
        <v>292</v>
      </c>
      <c r="C145" s="1" t="b">
        <f>A32</f>
        <v>0</v>
      </c>
      <c r="D145" s="2">
        <f t="shared" ref="D145:F145" si="11">B33</f>
        <v>520.723</v>
      </c>
      <c r="E145" s="2">
        <f t="shared" si="11"/>
        <v>419.364</v>
      </c>
      <c r="F145" s="2">
        <f t="shared" si="11"/>
        <v>743.655</v>
      </c>
      <c r="G145" s="1">
        <f>DEGREES(ATAN2(SQRT(D145^2+E145^2),F145))</f>
        <v>48.0423852303464</v>
      </c>
      <c r="H145" s="1">
        <f>IF(ABS(G145)=90,0,IF(DEGREES(MOD((ATAN2(D145,E145)),2*PI()))&gt;180,-(360-DEGREES(MOD((ATAN2(D145,E145)),2*PI()))),DEGREES(MOD((ATAN2(D145,E145)),2*PI()))))</f>
        <v>38.8462131984437</v>
      </c>
      <c r="I145" s="2">
        <f>SQRT(D145^2+E145^2+F145^2)-L110</f>
        <v>0.0206829111085653</v>
      </c>
    </row>
    <row r="146" customHeight="1" spans="1:6">
      <c r="A146" s="1"/>
      <c r="D146" s="2"/>
      <c r="E146" s="2"/>
      <c r="F146" s="2"/>
    </row>
    <row r="147" customHeight="1" spans="1:10">
      <c r="A147" s="1" t="s">
        <v>293</v>
      </c>
      <c r="C147" s="1" t="b">
        <f>A20</f>
        <v>0</v>
      </c>
      <c r="D147" s="2">
        <f>(L110+I147)*COS(RADIANS(G147))*COS(RADIANS(H147))</f>
        <v>5.3824193365289e-14</v>
      </c>
      <c r="E147" s="2">
        <f>(L110+I147)*COS(RADIANS(G147))*SIN(RADIANS(H147))</f>
        <v>879.015784841205</v>
      </c>
      <c r="F147" s="2">
        <f>(L110+I147)*SIN(RADIANS(G147))</f>
        <v>507.5</v>
      </c>
      <c r="G147" s="1">
        <f>C21</f>
        <v>30</v>
      </c>
      <c r="H147" s="1">
        <f>IF(C22&gt;180,C22-360,C22)</f>
        <v>90</v>
      </c>
      <c r="I147" s="1">
        <f>C23/1000</f>
        <v>15</v>
      </c>
      <c r="J147" s="1" t="str">
        <f>CONCATENATE(IF(G147&lt;0,CONCATENATE("S ",IF(ABS(G147)&lt;10,"0",""),INT(ABS(G147)),"° ",IF(INT(60*(ABS(G147)-INT(ABS(G147))))&lt;10,"0",""),ROUND(60*(ABS(G147)-INT(ABS(G147))),1),IF(LEN(ROUND(60*(ABS(G147)-INT(ABS(G147))),1))&lt;3,".0",""),"' "),CONCATENATE("N ",IF(ABS(G147)&lt;10,"0",""),INT(ABS(G147)),"° ",IF(INT(60*(ABS(G147)-INT(ABS(G147))))&lt;10,"0",""),ROUND(60*(ABS(G147)-INT(ABS(G147))),1),IF(LEN(ROUND(60*(ABS(G147)-INT(ABS(G147))),1))&lt;3,".0",""),"' ")),"/ ",IF(H147&lt;0,CONCATENATE("W ",IF(ABS(H147)&lt;10,"00",IF(ABS(H147)&lt;100,"0","")),INT(ABS(H147)),"° ",IF(INT(60*(ABS(H147)-INT(ABS(H147))))&lt;10,"0",""),ROUND(60*(ABS(H147)-INT(ABS(H147))),1),IF(LEN(ROUND(60*(ABS(H147)-INT(ABS(H147))),1))&lt;3,".0",""),"'"),CONCATENATE("E ",IF(ABS(H147)&lt;10,"00",IF(ABS(H147)&lt;100,"0","")),INT(ABS(H147)),"° ",IF(INT(60*(ABS(H147)-INT(ABS(H147))))&lt;10,"0",""),ROUND(60*(ABS(H147)-INT(ABS(H147))),1),IF(LEN(ROUND(60*(ABS(H147)-INT(ABS(H147))),1))&lt;3,".0",""),"'")))</f>
        <v>N 30° 00.0' / E 090° 00.0'</v>
      </c>
    </row>
    <row r="148" customHeight="1" spans="1:6">
      <c r="A148" s="1"/>
      <c r="D148" s="2"/>
      <c r="E148" s="2"/>
      <c r="F148" s="2"/>
    </row>
    <row r="149" customHeight="1" spans="1:14">
      <c r="A149" s="1" t="s">
        <v>45</v>
      </c>
      <c r="C149" s="1" t="b">
        <f>A47</f>
        <v>0</v>
      </c>
      <c r="D149" s="2">
        <f>(L110+I149)*COS(RADIANS(G149))*COS(RADIANS(H149))</f>
        <v>520.723974802974</v>
      </c>
      <c r="E149" s="2">
        <f>(L110+I149)*COS(RADIANS(G149))*SIN(RADIANS(H149))</f>
        <v>419.364544070685</v>
      </c>
      <c r="F149" s="2">
        <f>(L110+I149)*SIN(RADIANS(G149))</f>
        <v>743.654437008734</v>
      </c>
      <c r="G149" s="1">
        <f>IF(NOT(L152),DEGREES(ASIN(SIN((N150/(L110*$S$121))+RADIANS(0))/COSH(M150/(L110*$S$121)))),IF(NOT(O150),DEGREES(ASIN((COS(2*ATAN(SQRT(M150^2+N150^2)/(2*L110*$T$121)))*SIN(RADIANS(L151)))+(N150*SIN(2*ATAN(SQRT(M150^2+N150^2)/(2*L110*$T$121)))*COS(RADIANS(L151))/SQRT(M150^2+N150^2)))),L151))</f>
        <v>48.0423167773224</v>
      </c>
      <c r="H149" s="1">
        <f>IF(NOT(L152),DEGREES(RADIANS(L150)+ATAN((SINH(M150/(L110*$S$121)))/(COS((N150/(L110*$S$121))+RADIANS(0))))),IF(NOT(O150),IF(OR(AND(L151&gt;0,N150&lt;0),AND(L151&lt;0,N150&gt;0)),DEGREES(ATAN(M150*SIN(2*ATAN(SQRT(M150^2+N150^2)/(2*L110*$T$121)))/(SQRT(M150^2+N150^2)*COS(RADIANS(L151))*COS(2*ATAN(SQRT(M150^2+N150^2)/(2*L110*$T$121)))-N150*SIN(RADIANS(L151))*SIN(2*ATAN(SQRT(M150^2+N150^2)/(2*L110*$T$121)))))),IF(M150&gt;=0,180+DEGREES(ATAN(M150*SIN(2*ATAN(SQRT(M150^2+N150^2)/(2*L110*$T$121)))/(SQRT(M150^2+N150^2)*COS(RADIANS(L151))*COS(2*ATAN(SQRT(M150^2+N150^2)/(2*L110*$T$121)))-N150*SIN(RADIANS(L151))*SIN(2*ATAN(SQRT(M150^2+N150^2)/(2*L110*$T$121)))))),-180+DEGREES(ATAN(M150*SIN(2*ATAN(SQRT(M150^2+N150^2)/(2*L110*$T$121)))/(SQRT(M150^2+N150^2)*COS(RADIANS(L151))*COS(2*ATAN(SQRT(M150^2+N150^2)/(2*L110*$T$121)))-N150*SIN(RADIANS(L151))*SIN(2*ATAN(SQRT(M150^2+N150^2)/(2*L110*$T$121)))))))),0))</f>
        <v>38.8461971143873</v>
      </c>
      <c r="I149" s="1">
        <f>E48/1000</f>
        <v>0.021</v>
      </c>
      <c r="J149" s="1" t="str">
        <f>CONCATENATE(IF(G149&lt;0,CONCATENATE("S ",IF(ABS(G149)&lt;10,"0",""),INT(ABS(G149)),"° ",IF(INT(60*(ABS(G149)-INT(ABS(G149))))&lt;10,"0",""),ROUND(60*(ABS(G149)-INT(ABS(G149))),1),IF(LEN(ROUND(60*(ABS(G149)-INT(ABS(G149))),1))&lt;3,".0",""),"' "),CONCATENATE("N ",IF(ABS(G149)&lt;10,"0",""),INT(ABS(G149)),"° ",IF(INT(60*(ABS(G149)-INT(ABS(G149))))&lt;10,"0",""),ROUND(60*(ABS(G149)-INT(ABS(G149))),1),IF(LEN(ROUND(60*(ABS(G149)-INT(ABS(G149))),1))&lt;3,".0",""),"' ")),"/ ",IF(H149&lt;0,CONCATENATE("W ",IF(ABS(H149)&lt;10,"00",IF(ABS(H149)&lt;100,"0","")),INT(ABS(H149)),"° ",IF(INT(60*(ABS(H149)-INT(ABS(H149))))&lt;10,"0",""),ROUND(60*(ABS(H149)-INT(ABS(H149))),1),IF(LEN(ROUND(60*(ABS(H149)-INT(ABS(H149))),1))&lt;3,".0",""),"'"),CONCATENATE("E ",IF(ABS(H149)&lt;10,"00",IF(ABS(H149)&lt;100,"0","")),INT(ABS(H149)),"° ",IF(INT(60*(ABS(H149)-INT(ABS(H149))))&lt;10,"0",""),ROUND(60*(ABS(H149)-INT(ABS(H149))),1),IF(LEN(ROUND(60*(ABS(H149)-INT(ABS(H149))),1))&lt;3,".0",""),"'")))</f>
        <v>N 48° 02.5' / E 038° 50.8'</v>
      </c>
      <c r="L149" s="1" t="str">
        <f t="shared" ref="L149:N149" si="12">B48</f>
        <v>37U</v>
      </c>
      <c r="M149" s="1">
        <f t="shared" si="12"/>
        <v>498206</v>
      </c>
      <c r="N149" s="1">
        <f t="shared" si="12"/>
        <v>838163</v>
      </c>
    </row>
    <row r="150" customHeight="1" spans="1:15">
      <c r="A150" s="1"/>
      <c r="D150" s="2"/>
      <c r="E150" s="2"/>
      <c r="F150" s="2"/>
      <c r="I150" s="1"/>
      <c r="L150" s="1">
        <f>IF(NOT(L152),(M151*6)-183,IF((N152-10)&lt;=0,0,180))</f>
        <v>39</v>
      </c>
      <c r="M150" s="1">
        <f>IF(NOT(L152),(M149-$T$122)/1000,(M149-$U$122)/1000)</f>
        <v>-1.794</v>
      </c>
      <c r="N150" s="1">
        <f>IF(NOT(L152),IF((N152-10)&lt;=0,(N149-$V$122)/1000,N149/1000),(N149-$U$122)/1000)</f>
        <v>838.163</v>
      </c>
      <c r="O150" s="1" t="b">
        <f>IF(AND(M150=0,N150=0),TRUE,FALSE)</f>
        <v>0</v>
      </c>
    </row>
    <row r="151" customHeight="1" spans="1:14">
      <c r="A151" s="1"/>
      <c r="D151" s="2"/>
      <c r="E151" s="2"/>
      <c r="F151" s="2"/>
      <c r="I151" s="1"/>
      <c r="L151" s="1">
        <f>IF(NOT(L152),0,IF(OR(N151="A",N151="B"),-90,90))</f>
        <v>0</v>
      </c>
      <c r="M151" s="1">
        <f>VALUE(LEFT(L149,M152-1))</f>
        <v>37</v>
      </c>
      <c r="N151" s="1" t="str">
        <f>IF(LEN(L149)=1,UPPER(L149),UPPER(RIGHT(L149,1)))</f>
        <v>U</v>
      </c>
    </row>
    <row r="152" customHeight="1" spans="1:14">
      <c r="A152" s="1"/>
      <c r="D152" s="2"/>
      <c r="E152" s="2"/>
      <c r="F152" s="2"/>
      <c r="I152" s="1"/>
      <c r="L152" s="1" t="b">
        <f>IF(LEN(L149)=1,TRUE,FALSE)</f>
        <v>0</v>
      </c>
      <c r="M152" s="1">
        <f>FIND(N151,UPPER(L149))</f>
        <v>3</v>
      </c>
      <c r="N152" s="1">
        <f>IF(NOT(L152),FIND(N151,$S$115),"")</f>
        <v>17</v>
      </c>
    </row>
    <row r="153" customHeight="1" spans="1:9">
      <c r="A153" s="1"/>
      <c r="D153" s="2"/>
      <c r="E153" s="2"/>
      <c r="F153" s="2"/>
      <c r="I153" s="1"/>
    </row>
    <row r="154" customHeight="1" spans="1:9">
      <c r="A154" s="1"/>
      <c r="D154" s="2"/>
      <c r="E154" s="2"/>
      <c r="F154" s="2"/>
      <c r="I154" s="1"/>
    </row>
    <row r="155" customHeight="1" spans="1:9">
      <c r="A155" s="1"/>
      <c r="D155" s="2"/>
      <c r="E155" s="2"/>
      <c r="F155" s="2"/>
      <c r="I155" s="1"/>
    </row>
    <row r="156" customHeight="1" spans="1:9">
      <c r="A156" s="1"/>
      <c r="D156" s="2"/>
      <c r="E156" s="2"/>
      <c r="F156" s="2"/>
      <c r="I156" s="1"/>
    </row>
    <row r="157" customHeight="1" spans="1:9">
      <c r="A157" s="1"/>
      <c r="D157" s="2"/>
      <c r="E157" s="2"/>
      <c r="F157" s="2"/>
      <c r="I157" s="1"/>
    </row>
    <row r="158" customHeight="1" spans="1:9">
      <c r="A158" s="1"/>
      <c r="D158" s="2"/>
      <c r="E158" s="2"/>
      <c r="F158" s="2"/>
      <c r="I158" s="1"/>
    </row>
    <row r="159" customHeight="1" spans="1:9">
      <c r="A159" s="1"/>
      <c r="D159" s="2"/>
      <c r="E159" s="2"/>
      <c r="F159" s="2"/>
      <c r="I159" s="1"/>
    </row>
    <row r="160" customHeight="1" spans="1:10">
      <c r="A160" s="1" t="s">
        <v>294</v>
      </c>
      <c r="C160" s="1" t="b">
        <f>A42</f>
        <v>0</v>
      </c>
      <c r="D160" s="2">
        <f>(L110+I160)*COS(RADIANS(G160))*COS(RADIANS(H160))</f>
        <v>184.469881887215</v>
      </c>
      <c r="E160" s="2">
        <f>(L110+I160)*COS(RADIANS(G160))*SIN(RADIANS(H160))</f>
        <v>-916.323659350797</v>
      </c>
      <c r="F160" s="2">
        <f>(L110+I160)*SIN(RADIANS(G160))</f>
        <v>355.41780201684</v>
      </c>
      <c r="G160" s="1">
        <f>IF(AND(NOT(E174),NOT(E175)),DEGREES(E178),0)</f>
        <v>20.8190526676503</v>
      </c>
      <c r="H160" s="1">
        <f>IF(AND(NOT(E174),NOT(E175)),DEGREES(E180),0)</f>
        <v>-78.6176286932532</v>
      </c>
      <c r="I160" s="1">
        <v>0</v>
      </c>
      <c r="J160" s="1" t="str">
        <f>CONCATENATE(IF(G160&lt;0,CONCATENATE("S ",IF(ABS(G160)&lt;10,"0",""),INT(ABS(G160)),"° ",IF(INT(60*(ABS(G160)-INT(ABS(G160))))&lt;10,"0",""),ROUND(60*(ABS(G160)-INT(ABS(G160))),1),IF(LEN(ROUND(60*(ABS(G160)-INT(ABS(G160))),1))&lt;3,".0",""),"' "),CONCATENATE("N ",IF(ABS(G160)&lt;10,"0",""),INT(ABS(G160)),"° ",IF(INT(60*(ABS(G160)-INT(ABS(G160))))&lt;10,"0",""),ROUND(60*(ABS(G160)-INT(ABS(G160))),1),IF(LEN(ROUND(60*(ABS(G160)-INT(ABS(G160))),1))&lt;3,".0",""),"' ")),"/ ",IF(H160&lt;0,CONCATENATE("W ",IF(ABS(H160)&lt;10,"00",IF(ABS(H160)&lt;100,"0","")),INT(ABS(H160)),"° ",IF(INT(60*(ABS(H160)-INT(ABS(H160))))&lt;10,"0",""),ROUND(60*(ABS(H160)-INT(ABS(H160))),1),IF(LEN(ROUND(60*(ABS(H160)-INT(ABS(H160))),1))&lt;3,".0",""),"'"),CONCATENATE("E ",IF(ABS(H160)&lt;10,"00",IF(ABS(H160)&lt;100,"0","")),INT(ABS(H160)),"° ",IF(INT(60*(ABS(H160)-INT(ABS(H160))))&lt;10,"0",""),ROUND(60*(ABS(H160)-INT(ABS(H160))),1),IF(LEN(ROUND(60*(ABS(H160)-INT(ABS(H160))),1))&lt;3,".0",""),"'")))</f>
        <v>N 20° 49.1' / W 078° 37.1'</v>
      </c>
    </row>
    <row r="161" customHeight="1" spans="1:12">
      <c r="A161" s="1"/>
      <c r="B161" s="1" t="str">
        <f t="shared" ref="B161:B162" si="13">B44</f>
        <v>Shubin Mining Facility SM0-13 (PB)</v>
      </c>
      <c r="D161" s="2">
        <f t="shared" ref="D161:D162" si="14">VLOOKUP(B44,$C$315:$J$523,2,FALSE)</f>
        <v>-172.818644799</v>
      </c>
      <c r="E161" s="2">
        <f t="shared" ref="E161:E162" si="15">VLOOKUP(B44,$C$315:$J$523,3,FALSE)</f>
        <v>-981.308336199</v>
      </c>
      <c r="F161" s="2">
        <f t="shared" ref="F161:F162" si="16">VLOOKUP(B44,$C$315:$J$523,4,FALSE)</f>
        <v>97.7671820489999</v>
      </c>
      <c r="G161" s="1">
        <f t="shared" ref="G161:G162" si="17">DEGREES(ATAN2(SQRT(D161^2+E161^2),F161))</f>
        <v>5.60389308609372</v>
      </c>
      <c r="H161" s="1">
        <f t="shared" ref="H161:H162" si="18">IF(ABS(G161)=90,0,IF(DEGREES(MOD((ATAN2(D161,E161)),2*PI()))&gt;180,-(360-DEGREES(MOD((ATAN2(D161,E161)),2*PI()))),DEGREES(MOD((ATAN2(D161,E161)),2*PI()))))</f>
        <v>-99.9879669083583</v>
      </c>
      <c r="I161" s="2">
        <f>SQRT(D161^2+E161^2+F161^2)-L110</f>
        <v>1.19466467296695</v>
      </c>
      <c r="K161" s="1">
        <f t="shared" ref="K161:K162" si="19">MOD(E44-180,360)</f>
        <v>53</v>
      </c>
      <c r="L161" s="1" t="str">
        <f t="shared" ref="L161:L162" si="20">IF(OR(AND(K161&gt;=349,K161&lt;=360),AND(K161&gt;=0,K161&lt;=11)),"N",IF(AND(K161&gt;=12,K161&lt;=33),"NNE",IF(AND(K161&gt;=34,K161&lt;=56),"NE",IF(AND(K161&gt;=57,K161&lt;=78),"ENE",IF(AND(K161&gt;=79,K161&lt;=101),"E",IF(AND(K161&gt;=102,K161&lt;=123),"ESE",IF(AND(K161&gt;=124,K161&lt;=146),"SE",IF(AND(K161&gt;=147,K161&lt;=168),"SSE",IF(AND(K161&gt;=169,K161&lt;=191),"S",IF(AND(K161&gt;=192,K161&lt;=213),"SSW",IF(AND(K161&gt;=214,K161&lt;=236),"SW",IF(AND(K161&gt;=237,K161&lt;=258),"WSW",IF(AND(K161&gt;=259,K161&lt;=281),"W",IF(AND(K161&gt;=282,K161&lt;=303),"WNW",IF(AND(K161&gt;=304,K161&lt;=326),"NW",IF(AND(K161&gt;=327,K161&lt;=348),"NNW"))))))))))))))))</f>
        <v>NE</v>
      </c>
    </row>
    <row r="162" customHeight="1" spans="1:12">
      <c r="A162" s="1"/>
      <c r="B162" s="1" t="str">
        <f t="shared" si="13"/>
        <v>Shubin Mining Facility SM0-22 (PB)</v>
      </c>
      <c r="D162" s="2">
        <f t="shared" si="14"/>
        <v>24.29854894</v>
      </c>
      <c r="E162" s="2">
        <f t="shared" si="15"/>
        <v>-822.590691274998</v>
      </c>
      <c r="F162" s="2">
        <f t="shared" si="16"/>
        <v>568.174190107999</v>
      </c>
      <c r="G162" s="1">
        <f t="shared" si="17"/>
        <v>34.6216638629816</v>
      </c>
      <c r="H162" s="1">
        <f t="shared" si="18"/>
        <v>-88.3080290064449</v>
      </c>
      <c r="I162" s="2">
        <f>SQRT(D162^2+E162^2+F162^2)-L110</f>
        <v>0.0338870047100954</v>
      </c>
      <c r="K162" s="1">
        <f t="shared" si="19"/>
        <v>171</v>
      </c>
      <c r="L162" s="1" t="str">
        <f t="shared" si="20"/>
        <v>S</v>
      </c>
    </row>
    <row r="163" customHeight="1" spans="1:6">
      <c r="A163" s="1"/>
      <c r="D163" s="2"/>
      <c r="E163" s="2"/>
      <c r="F163" s="2"/>
    </row>
    <row r="164" customHeight="1" spans="1:9">
      <c r="A164" s="1"/>
      <c r="D164" s="1" t="s">
        <v>295</v>
      </c>
      <c r="E164" s="1">
        <f t="shared" ref="E164:E165" si="21">RADIANS(G161)</f>
        <v>0.0978063852820814</v>
      </c>
      <c r="F164" s="1" t="s">
        <v>296</v>
      </c>
      <c r="G164" s="1">
        <f t="shared" ref="G164:G165" si="22">RADIANS(H161)</f>
        <v>-1.74511923492599</v>
      </c>
      <c r="H164" s="1" t="s">
        <v>297</v>
      </c>
      <c r="I164" s="1">
        <f t="shared" ref="I164:I165" si="23">RADIANS(K161)</f>
        <v>0.925024503556995</v>
      </c>
    </row>
    <row r="165" customHeight="1" spans="1:9">
      <c r="A165" s="1"/>
      <c r="D165" s="1" t="s">
        <v>298</v>
      </c>
      <c r="E165" s="1">
        <f t="shared" si="21"/>
        <v>0.604262026927769</v>
      </c>
      <c r="F165" s="1" t="s">
        <v>299</v>
      </c>
      <c r="G165" s="1">
        <f t="shared" si="22"/>
        <v>-1.54126586210912</v>
      </c>
      <c r="H165" s="1" t="s">
        <v>300</v>
      </c>
      <c r="I165" s="1">
        <f t="shared" si="23"/>
        <v>2.9845130209103</v>
      </c>
    </row>
    <row r="166" customHeight="1" spans="1:7">
      <c r="A166" s="1"/>
      <c r="D166" s="1" t="s">
        <v>301</v>
      </c>
      <c r="E166" s="1">
        <f>E165-E164</f>
        <v>0.506455641645687</v>
      </c>
      <c r="F166" s="1" t="s">
        <v>302</v>
      </c>
      <c r="G166" s="1">
        <f>G165-G164</f>
        <v>0.203853372816867</v>
      </c>
    </row>
    <row r="167" customHeight="1" spans="1:6">
      <c r="A167" s="1"/>
      <c r="D167" s="1" t="s">
        <v>303</v>
      </c>
      <c r="E167" s="1">
        <f>2*ASIN(SQRT(SIN(E166/2)*SIN(E166/2)+COS(E164)*COS(E165)*SIN(G166/2)*SIN(G166/2)))</f>
        <v>0.540384139056373</v>
      </c>
      <c r="F167" s="2"/>
    </row>
    <row r="168" customHeight="1" spans="1:5">
      <c r="A168" s="1"/>
      <c r="D168" s="1" t="s">
        <v>304</v>
      </c>
      <c r="E168" s="1">
        <f>(SIN(E165)-SIN(E164)*COS(E167))/SIN(E167)*COS(E164)</f>
        <v>0.937095766594384</v>
      </c>
    </row>
    <row r="169" customHeight="1" spans="1:7">
      <c r="A169" s="1"/>
      <c r="D169" s="1" t="s">
        <v>305</v>
      </c>
      <c r="E169" s="1">
        <f>(SIN(E164)-SIN(E165)*COS(E167))/SIN(E167)*COS(E165)</f>
        <v>-0.623108924429176</v>
      </c>
      <c r="F169" s="226" t="s">
        <v>306</v>
      </c>
      <c r="G169" s="1">
        <f>SIN(G165-G164)</f>
        <v>0.202444408391634</v>
      </c>
    </row>
    <row r="170" customHeight="1" spans="1:7">
      <c r="A170" s="1"/>
      <c r="D170" s="135" t="s">
        <v>307</v>
      </c>
      <c r="E170" s="1">
        <f t="shared" ref="E170:E171" si="24">ACOS(MIN(MAX(E168,-1),1))</f>
        <v>0.356581029318874</v>
      </c>
      <c r="F170" s="1" t="s">
        <v>308</v>
      </c>
      <c r="G170" s="1">
        <f>IF(G169&gt;0,E170,2*PI()-E170)</f>
        <v>0.356581029318874</v>
      </c>
    </row>
    <row r="171" customHeight="1" spans="1:7">
      <c r="A171" s="1"/>
      <c r="D171" s="135" t="s">
        <v>309</v>
      </c>
      <c r="E171" s="1">
        <f t="shared" si="24"/>
        <v>2.24350768662102</v>
      </c>
      <c r="F171" s="1" t="s">
        <v>310</v>
      </c>
      <c r="G171" s="1">
        <f>IF(G169&gt;0,2*PI()-E171,E171)</f>
        <v>4.03967762055856</v>
      </c>
    </row>
    <row r="172" customHeight="1" spans="1:6">
      <c r="A172" s="1"/>
      <c r="D172" s="1" t="s">
        <v>311</v>
      </c>
      <c r="E172" s="1">
        <f>I164-G170</f>
        <v>0.568443474238121</v>
      </c>
      <c r="F172" s="2"/>
    </row>
    <row r="173" customHeight="1" spans="1:6">
      <c r="A173" s="1"/>
      <c r="D173" s="1" t="s">
        <v>312</v>
      </c>
      <c r="E173" s="1">
        <f>G171-I165</f>
        <v>1.05516459964826</v>
      </c>
      <c r="F173" s="2"/>
    </row>
    <row r="174" customHeight="1" spans="1:6">
      <c r="A174" s="1"/>
      <c r="D174" s="59" t="s">
        <v>313</v>
      </c>
      <c r="E174" s="2" t="b">
        <f>IF(AND(SIN(E172)=0,SIN(E173)=0),TRUE,FALSE)</f>
        <v>0</v>
      </c>
      <c r="F174" s="2"/>
    </row>
    <row r="175" customHeight="1" spans="1:6">
      <c r="A175" s="1"/>
      <c r="D175" s="59" t="s">
        <v>314</v>
      </c>
      <c r="E175" s="2" t="b">
        <f>IF(SIN(E172)*SIN(E173)&lt;0,TRUE,FALSE)</f>
        <v>0</v>
      </c>
      <c r="F175" s="2"/>
    </row>
    <row r="176" customHeight="1" spans="1:6">
      <c r="A176" s="1"/>
      <c r="D176" s="2" t="s">
        <v>315</v>
      </c>
      <c r="E176" s="1">
        <f>-COS(E172)*COS(E173)+SIN(E172)*SIN(E173)*COS(E167)</f>
        <v>-0.0139445054529563</v>
      </c>
      <c r="F176" s="2"/>
    </row>
    <row r="177" customHeight="1" spans="1:12">
      <c r="A177" s="1"/>
      <c r="D177" s="1" t="s">
        <v>316</v>
      </c>
      <c r="E177" s="1">
        <f>ATAN2(L177,J177)</f>
        <v>0.46410078217079</v>
      </c>
      <c r="F177" s="2"/>
      <c r="I177" s="1" t="s">
        <v>12</v>
      </c>
      <c r="J177" s="1">
        <f>SIN(E167)*SIN(E172)*SIN(E173)</f>
        <v>0.240939194305785</v>
      </c>
      <c r="K177" s="1" t="s">
        <v>13</v>
      </c>
      <c r="L177" s="1">
        <f>COS(E173)+COS(E172)*E176</f>
        <v>0.481332947040917</v>
      </c>
    </row>
    <row r="178" customHeight="1" spans="1:6">
      <c r="A178" s="1"/>
      <c r="D178" s="2" t="s">
        <v>317</v>
      </c>
      <c r="E178" s="1">
        <f>ASIN(MIN(MAX(SIN(E164)*COS(E177)+COS(E164)*SIN(E177)*COS(I164),-1),1))</f>
        <v>0.363361016196607</v>
      </c>
      <c r="F178" s="2"/>
    </row>
    <row r="179" customHeight="1" spans="1:16">
      <c r="A179" s="1"/>
      <c r="D179" s="2" t="s">
        <v>318</v>
      </c>
      <c r="E179" s="1">
        <f>ATAN2(L179,J179)</f>
        <v>0.372982764118351</v>
      </c>
      <c r="F179" s="2"/>
      <c r="G179" s="1"/>
      <c r="H179" s="1"/>
      <c r="I179" s="1" t="s">
        <v>12</v>
      </c>
      <c r="J179" s="1">
        <f>SIN(I164)*SIN(E177)*COS(E164)</f>
        <v>0.355775831665382</v>
      </c>
      <c r="K179" s="1" t="s">
        <v>13</v>
      </c>
      <c r="L179" s="1">
        <f>COS(E177-SIN(E164)*SIN(E178))</f>
        <v>0.909218186427152</v>
      </c>
      <c r="N179" s="1"/>
      <c r="O179" s="66"/>
      <c r="P179" s="66"/>
    </row>
    <row r="180" customHeight="1" spans="1:16">
      <c r="A180" s="1"/>
      <c r="D180" s="2" t="s">
        <v>319</v>
      </c>
      <c r="E180" s="1">
        <f>G164+E179</f>
        <v>-1.37213647080764</v>
      </c>
      <c r="F180" s="2"/>
      <c r="H180" s="1"/>
      <c r="I180" s="1"/>
      <c r="N180" s="1"/>
      <c r="O180" s="66"/>
      <c r="P180" s="66"/>
    </row>
    <row r="181" customHeight="1" spans="1:16">
      <c r="A181" s="1"/>
      <c r="D181" s="2"/>
      <c r="E181" s="2"/>
      <c r="F181" s="2"/>
      <c r="G181" s="1"/>
      <c r="H181" s="1"/>
      <c r="I181" s="1"/>
      <c r="N181" s="1"/>
      <c r="O181" s="66"/>
      <c r="P181" s="66"/>
    </row>
    <row r="182" customHeight="1" spans="1:16">
      <c r="A182" s="1"/>
      <c r="D182" s="2"/>
      <c r="E182" s="2"/>
      <c r="F182" s="2"/>
      <c r="G182" s="1"/>
      <c r="H182" s="1"/>
      <c r="I182" s="1"/>
      <c r="N182" s="1"/>
      <c r="O182" s="66"/>
      <c r="P182" s="66"/>
    </row>
    <row r="183" customHeight="1" spans="1:16">
      <c r="A183" s="1"/>
      <c r="D183" s="2"/>
      <c r="E183" s="2"/>
      <c r="F183" s="2"/>
      <c r="G183" s="1"/>
      <c r="H183" s="1"/>
      <c r="I183" s="1"/>
      <c r="N183" s="1"/>
      <c r="O183" s="66"/>
      <c r="P183" s="66"/>
    </row>
    <row r="184" customHeight="1" spans="1:16">
      <c r="A184" s="1"/>
      <c r="D184" s="2"/>
      <c r="E184" s="2"/>
      <c r="F184" s="2"/>
      <c r="G184" s="1"/>
      <c r="H184" s="1"/>
      <c r="I184" s="1"/>
      <c r="N184" s="1"/>
      <c r="O184" s="66"/>
      <c r="P184" s="66"/>
    </row>
    <row r="185" customHeight="1" spans="1:16">
      <c r="A185" s="1"/>
      <c r="D185" s="2"/>
      <c r="E185" s="2"/>
      <c r="F185" s="2"/>
      <c r="G185" s="1"/>
      <c r="H185" s="1"/>
      <c r="I185" s="1"/>
      <c r="N185" s="1"/>
      <c r="O185" s="66"/>
      <c r="P185" s="66"/>
    </row>
    <row r="186" customHeight="1" spans="1:16">
      <c r="A186" s="1"/>
      <c r="D186" s="2"/>
      <c r="E186" s="2"/>
      <c r="F186" s="2"/>
      <c r="G186" s="1"/>
      <c r="H186" s="1"/>
      <c r="I186" s="1"/>
      <c r="N186" s="1"/>
      <c r="O186" s="66"/>
      <c r="P186" s="66"/>
    </row>
    <row r="187" customHeight="1" spans="1:16">
      <c r="A187" s="1"/>
      <c r="D187" s="2"/>
      <c r="E187" s="2"/>
      <c r="F187" s="2"/>
      <c r="G187" s="1"/>
      <c r="H187" s="1"/>
      <c r="I187" s="1"/>
      <c r="N187" s="1"/>
      <c r="O187" s="66"/>
      <c r="P187" s="66"/>
    </row>
    <row r="188" customHeight="1" spans="1:16">
      <c r="A188" s="1"/>
      <c r="D188" s="2"/>
      <c r="E188" s="2"/>
      <c r="F188" s="2"/>
      <c r="G188" s="1"/>
      <c r="H188" s="1"/>
      <c r="I188" s="1"/>
      <c r="N188" s="1"/>
      <c r="O188" s="66"/>
      <c r="P188" s="66"/>
    </row>
    <row r="189" customHeight="1" spans="1:16">
      <c r="A189" s="1"/>
      <c r="D189" s="2"/>
      <c r="E189" s="2"/>
      <c r="F189" s="2"/>
      <c r="G189" s="1"/>
      <c r="H189" s="1"/>
      <c r="I189" s="1"/>
      <c r="N189" s="1"/>
      <c r="O189" s="66"/>
      <c r="P189" s="66"/>
    </row>
    <row r="190" customHeight="1" spans="1:16">
      <c r="A190" s="1"/>
      <c r="D190" s="2"/>
      <c r="E190" s="2"/>
      <c r="F190" s="2"/>
      <c r="G190" s="1"/>
      <c r="H190" s="1"/>
      <c r="I190" s="1"/>
      <c r="N190" s="1"/>
      <c r="O190" s="66"/>
      <c r="P190" s="66"/>
    </row>
    <row r="191" customHeight="1" spans="1:16">
      <c r="A191" s="1"/>
      <c r="D191" s="2"/>
      <c r="E191" s="2"/>
      <c r="F191" s="2"/>
      <c r="G191" s="1"/>
      <c r="H191" s="1"/>
      <c r="I191" s="1"/>
      <c r="N191" s="1"/>
      <c r="O191" s="66"/>
      <c r="P191" s="66"/>
    </row>
    <row r="192" customHeight="1" spans="1:16">
      <c r="A192" s="1"/>
      <c r="D192" s="2"/>
      <c r="E192" s="2"/>
      <c r="F192" s="2"/>
      <c r="G192" s="1"/>
      <c r="H192" s="1"/>
      <c r="I192" s="1"/>
      <c r="N192" s="1"/>
      <c r="O192" s="66"/>
      <c r="P192" s="66"/>
    </row>
    <row r="193" customHeight="1" spans="1:16">
      <c r="A193" s="1"/>
      <c r="D193" s="2"/>
      <c r="E193" s="2"/>
      <c r="F193" s="2"/>
      <c r="G193" s="1"/>
      <c r="H193" s="1"/>
      <c r="I193" s="1"/>
      <c r="N193" s="1"/>
      <c r="O193" s="66"/>
      <c r="P193" s="66"/>
    </row>
    <row r="194" customHeight="1" spans="1:16">
      <c r="A194" s="1"/>
      <c r="D194" s="2"/>
      <c r="E194" s="2"/>
      <c r="F194" s="2"/>
      <c r="G194" s="1"/>
      <c r="H194" s="1"/>
      <c r="I194" s="1"/>
      <c r="N194" s="1"/>
      <c r="O194" s="66"/>
      <c r="P194" s="66"/>
    </row>
    <row r="195" customHeight="1" spans="1:16">
      <c r="A195" s="1"/>
      <c r="D195" s="2"/>
      <c r="E195" s="2"/>
      <c r="F195" s="2"/>
      <c r="G195" s="1"/>
      <c r="H195" s="1"/>
      <c r="I195" s="1"/>
      <c r="N195" s="1"/>
      <c r="O195" s="66"/>
      <c r="P195" s="66"/>
    </row>
    <row r="196" customHeight="1" spans="1:16">
      <c r="A196" s="1"/>
      <c r="D196" s="2"/>
      <c r="E196" s="2"/>
      <c r="F196" s="2"/>
      <c r="G196" s="1"/>
      <c r="H196" s="1"/>
      <c r="I196" s="1"/>
      <c r="N196" s="1"/>
      <c r="O196" s="66"/>
      <c r="P196" s="66"/>
    </row>
    <row r="197" customHeight="1" spans="1:16">
      <c r="A197" s="1"/>
      <c r="D197" s="2"/>
      <c r="E197" s="2"/>
      <c r="F197" s="2"/>
      <c r="G197" s="1"/>
      <c r="H197" s="1"/>
      <c r="I197" s="1"/>
      <c r="N197" s="1"/>
      <c r="O197" s="66"/>
      <c r="P197" s="66"/>
    </row>
    <row r="198" customHeight="1" spans="1:16">
      <c r="A198" s="1"/>
      <c r="D198" s="2"/>
      <c r="E198" s="2"/>
      <c r="F198" s="2"/>
      <c r="G198" s="1"/>
      <c r="H198" s="1"/>
      <c r="I198" s="1"/>
      <c r="N198" s="1"/>
      <c r="O198" s="66"/>
      <c r="P198" s="66"/>
    </row>
    <row r="199" customHeight="1" spans="1:16">
      <c r="A199" s="1"/>
      <c r="D199" s="2"/>
      <c r="E199" s="2"/>
      <c r="F199" s="2"/>
      <c r="G199" s="1"/>
      <c r="H199" s="1"/>
      <c r="I199" s="1"/>
      <c r="N199" s="1"/>
      <c r="O199" s="66"/>
      <c r="P199" s="66"/>
    </row>
    <row r="200" customHeight="1" spans="1:16">
      <c r="A200" s="1"/>
      <c r="D200" s="2"/>
      <c r="E200" s="2"/>
      <c r="F200" s="2"/>
      <c r="G200" s="1"/>
      <c r="H200" s="1"/>
      <c r="I200" s="1"/>
      <c r="N200" s="1"/>
      <c r="O200" s="66"/>
      <c r="P200" s="66"/>
    </row>
    <row r="201" customHeight="1" spans="1:16">
      <c r="A201" s="1"/>
      <c r="D201" s="2"/>
      <c r="E201" s="2"/>
      <c r="F201" s="2"/>
      <c r="G201" s="1"/>
      <c r="H201" s="1"/>
      <c r="I201" s="1"/>
      <c r="N201" s="1"/>
      <c r="O201" s="66"/>
      <c r="P201" s="66"/>
    </row>
    <row r="202" customHeight="1" spans="1:16">
      <c r="A202" s="1"/>
      <c r="D202" s="2"/>
      <c r="E202" s="2"/>
      <c r="F202" s="2"/>
      <c r="G202" s="1"/>
      <c r="H202" s="1"/>
      <c r="I202" s="1"/>
      <c r="N202" s="1"/>
      <c r="O202" s="66"/>
      <c r="P202" s="66"/>
    </row>
    <row r="203" customHeight="1" spans="1:16">
      <c r="A203" s="1"/>
      <c r="D203" s="2"/>
      <c r="E203" s="2"/>
      <c r="F203" s="2"/>
      <c r="G203" s="1"/>
      <c r="H203" s="1"/>
      <c r="I203" s="1"/>
      <c r="N203" s="1"/>
      <c r="O203" s="66"/>
      <c r="P203" s="66"/>
    </row>
    <row r="204" customHeight="1" spans="1:16">
      <c r="A204" s="1"/>
      <c r="D204" s="2"/>
      <c r="E204" s="2"/>
      <c r="F204" s="2"/>
      <c r="G204" s="1"/>
      <c r="H204" s="1"/>
      <c r="I204" s="1"/>
      <c r="N204" s="1"/>
      <c r="O204" s="66"/>
      <c r="P204" s="66"/>
    </row>
    <row r="205" customHeight="1" spans="1:16">
      <c r="A205" s="1"/>
      <c r="D205" s="2"/>
      <c r="E205" s="2"/>
      <c r="F205" s="2"/>
      <c r="G205" s="1"/>
      <c r="H205" s="1"/>
      <c r="I205" s="1"/>
      <c r="N205" s="1"/>
      <c r="O205" s="66"/>
      <c r="P205" s="66"/>
    </row>
    <row r="206" customHeight="1" spans="1:16">
      <c r="A206" s="1"/>
      <c r="D206" s="2"/>
      <c r="E206" s="2"/>
      <c r="F206" s="2"/>
      <c r="G206" s="1"/>
      <c r="H206" s="1"/>
      <c r="I206" s="1"/>
      <c r="N206" s="1"/>
      <c r="O206" s="66"/>
      <c r="P206" s="66"/>
    </row>
    <row r="207" customHeight="1" spans="1:16">
      <c r="A207" s="1"/>
      <c r="D207" s="2"/>
      <c r="E207" s="2"/>
      <c r="F207" s="2"/>
      <c r="G207" s="1"/>
      <c r="H207" s="1"/>
      <c r="I207" s="1"/>
      <c r="N207" s="1"/>
      <c r="O207" s="66"/>
      <c r="P207" s="66"/>
    </row>
    <row r="208" customHeight="1" spans="1:16">
      <c r="A208" s="1"/>
      <c r="D208" s="2"/>
      <c r="E208" s="2"/>
      <c r="F208" s="2"/>
      <c r="G208" s="1"/>
      <c r="H208" s="1"/>
      <c r="I208" s="1"/>
      <c r="N208" s="1"/>
      <c r="O208" s="66"/>
      <c r="P208" s="66"/>
    </row>
    <row r="209" customHeight="1" spans="1:16">
      <c r="A209" s="1"/>
      <c r="D209" s="2"/>
      <c r="E209" s="2"/>
      <c r="F209" s="2"/>
      <c r="G209" s="1"/>
      <c r="H209" s="1"/>
      <c r="I209" s="1"/>
      <c r="N209" s="1"/>
      <c r="O209" s="66"/>
      <c r="P209" s="66"/>
    </row>
    <row r="210" customHeight="1" spans="1:16">
      <c r="A210" s="1"/>
      <c r="D210" s="2"/>
      <c r="E210" s="2"/>
      <c r="F210" s="2"/>
      <c r="G210" s="1"/>
      <c r="H210" s="1"/>
      <c r="I210" s="1"/>
      <c r="N210" s="1"/>
      <c r="O210" s="66"/>
      <c r="P210" s="66"/>
    </row>
    <row r="211" customHeight="1" spans="1:16">
      <c r="A211" s="1"/>
      <c r="D211" s="2"/>
      <c r="E211" s="2"/>
      <c r="F211" s="2"/>
      <c r="G211" s="1"/>
      <c r="H211" s="1"/>
      <c r="I211" s="1"/>
      <c r="N211" s="1"/>
      <c r="O211" s="66"/>
      <c r="P211" s="66"/>
    </row>
    <row r="212" customHeight="1" spans="1:16">
      <c r="A212" s="1"/>
      <c r="D212" s="2"/>
      <c r="E212" s="2"/>
      <c r="F212" s="2"/>
      <c r="G212" s="1"/>
      <c r="H212" s="1"/>
      <c r="I212" s="1"/>
      <c r="N212" s="1"/>
      <c r="O212" s="66"/>
      <c r="P212" s="66"/>
    </row>
    <row r="213" customHeight="1" spans="1:16">
      <c r="A213" s="1"/>
      <c r="D213" s="2"/>
      <c r="E213" s="2"/>
      <c r="F213" s="2"/>
      <c r="G213" s="1"/>
      <c r="H213" s="1"/>
      <c r="I213" s="1"/>
      <c r="N213" s="1"/>
      <c r="O213" s="66"/>
      <c r="P213" s="66"/>
    </row>
    <row r="214" customHeight="1" spans="1:16">
      <c r="A214" s="1"/>
      <c r="D214" s="2"/>
      <c r="E214" s="2"/>
      <c r="F214" s="2"/>
      <c r="G214" s="1"/>
      <c r="H214" s="1"/>
      <c r="I214" s="1"/>
      <c r="N214" s="1"/>
      <c r="O214" s="66"/>
      <c r="P214" s="66"/>
    </row>
    <row r="215" customHeight="1" spans="1:16">
      <c r="A215" s="1"/>
      <c r="D215" s="2"/>
      <c r="E215" s="2"/>
      <c r="F215" s="2"/>
      <c r="G215" s="1"/>
      <c r="H215" s="1"/>
      <c r="I215" s="1"/>
      <c r="P215" s="66"/>
    </row>
    <row r="216" customHeight="1" spans="1:16">
      <c r="A216" s="1"/>
      <c r="D216" s="2"/>
      <c r="E216" s="2"/>
      <c r="F216" s="2"/>
      <c r="G216" s="1"/>
      <c r="H216" s="1"/>
      <c r="I216" s="1"/>
      <c r="P216" s="66"/>
    </row>
    <row r="217" customHeight="1" spans="1:16">
      <c r="A217" s="1"/>
      <c r="D217" s="2"/>
      <c r="E217" s="2"/>
      <c r="F217" s="2"/>
      <c r="G217" s="1"/>
      <c r="H217" s="1"/>
      <c r="I217" s="1"/>
      <c r="P217" s="66"/>
    </row>
    <row r="218" customHeight="1" spans="1:16">
      <c r="A218" s="1"/>
      <c r="D218" s="2"/>
      <c r="E218" s="2"/>
      <c r="F218" s="2"/>
      <c r="G218" s="1"/>
      <c r="H218" s="1"/>
      <c r="I218" s="1"/>
      <c r="P218" s="66"/>
    </row>
    <row r="219" customHeight="1" spans="1:16">
      <c r="A219" s="1"/>
      <c r="D219" s="2"/>
      <c r="E219" s="2"/>
      <c r="F219" s="2"/>
      <c r="G219" s="1"/>
      <c r="H219" s="1"/>
      <c r="I219" s="1"/>
      <c r="N219" s="1"/>
      <c r="O219" s="66"/>
      <c r="P219" s="66"/>
    </row>
    <row r="220" customHeight="1" spans="1:16">
      <c r="A220" s="1"/>
      <c r="D220" s="2"/>
      <c r="E220" s="2"/>
      <c r="F220" s="2"/>
      <c r="G220" s="1"/>
      <c r="H220" s="1"/>
      <c r="I220" s="1"/>
      <c r="N220" s="1"/>
      <c r="O220" s="66"/>
      <c r="P220" s="66"/>
    </row>
    <row r="221" customHeight="1" spans="1:16">
      <c r="A221" s="1"/>
      <c r="D221" s="2"/>
      <c r="E221" s="2"/>
      <c r="F221" s="2"/>
      <c r="G221" s="1"/>
      <c r="H221" s="1"/>
      <c r="I221" s="1"/>
      <c r="N221" s="1"/>
      <c r="O221" s="66"/>
      <c r="P221" s="66"/>
    </row>
    <row r="222" customHeight="1" spans="1:16">
      <c r="A222" s="1"/>
      <c r="D222" s="2"/>
      <c r="E222" s="2"/>
      <c r="F222" s="2"/>
      <c r="G222" s="1"/>
      <c r="H222" s="1"/>
      <c r="I222" s="1"/>
      <c r="N222" s="1"/>
      <c r="O222" s="66"/>
      <c r="P222" s="66"/>
    </row>
    <row r="223" customHeight="1" spans="1:16">
      <c r="A223" s="1"/>
      <c r="D223" s="2"/>
      <c r="E223" s="2"/>
      <c r="F223" s="2"/>
      <c r="G223" s="1"/>
      <c r="H223" s="1"/>
      <c r="I223" s="1"/>
      <c r="N223" s="1"/>
      <c r="O223" s="66"/>
      <c r="P223" s="66"/>
    </row>
    <row r="224" customHeight="1" spans="1:16">
      <c r="A224" s="1"/>
      <c r="B224" s="1" t="s">
        <v>320</v>
      </c>
      <c r="D224" s="2">
        <f>-D225</f>
        <v>-806.12952788544</v>
      </c>
      <c r="E224" s="2">
        <f>F225</f>
        <v>414.60756717617</v>
      </c>
      <c r="F224" s="2">
        <f>E225</f>
        <v>424.64153803191</v>
      </c>
      <c r="G224" s="1">
        <f>DEGREES(ATAN2(SQRT(D224^2+E224^2),F224))</f>
        <v>25.100279476614</v>
      </c>
      <c r="H224" s="1">
        <f>IF(ABS(G224)=90,0,IF(DEGREES(MOD((ATAN2(D224,E224)),2*PI()))&gt;180,-(360-DEGREES(MOD((ATAN2(D224,E224)),2*PI()))),DEGREES(MOD((ATAN2(D224,E224)),2*PI()))))</f>
        <v>152.782389542349</v>
      </c>
      <c r="I224" s="2">
        <f>SQRT(D224^2+E224^2+F224^2)-L110</f>
        <v>1.03181083852212</v>
      </c>
      <c r="J224" s="1" t="str">
        <f t="shared" ref="J224:J225" si="25">CONCATENATE(IF(G224&lt;0,CONCATENATE("S ",IF(ABS(G224)&lt;10,"0",""),INT(ABS(G224)),"° ",IF(INT(60*(ABS(G224)-INT(ABS(G224))))&lt;10,"0",""),ROUND(60*(ABS(G224)-INT(ABS(G224))),1),IF(LEN(ROUND(60*(ABS(G224)-INT(ABS(G224))),1))&lt;3,".0",""),"' "),CONCATENATE("N ",IF(ABS(G224)&lt;10,"0",""),INT(ABS(G224)),"° ",IF(INT(60*(ABS(G224)-INT(ABS(G224))))&lt;10,"0",""),ROUND(60*(ABS(G224)-INT(ABS(G224))),1),IF(LEN(ROUND(60*(ABS(G224)-INT(ABS(G224))),1))&lt;3,".0",""),"' ")),"/ ",IF(H224&lt;0,CONCATENATE("W ",IF(ABS(H224)&lt;10,"00",IF(ABS(H224)&lt;100,"0","")),INT(ABS(H224)),"° ",IF(INT(60*(ABS(H224)-INT(ABS(H224))))&lt;10,"0",""),ROUND(60*(ABS(H224)-INT(ABS(H224))),1),IF(LEN(ROUND(60*(ABS(H224)-INT(ABS(H224))),1))&lt;3,".0",""),"'"),CONCATENATE("E ",IF(ABS(H224)&lt;10,"00",IF(ABS(H224)&lt;100,"0","")),INT(ABS(H224)),"° ",IF(INT(60*(ABS(H224)-INT(ABS(H224))))&lt;10,"0",""),ROUND(60*(ABS(H224)-INT(ABS(H224))),1),IF(LEN(ROUND(60*(ABS(H224)-INT(ABS(H224))),1))&lt;3,".0",""),"'")))</f>
        <v>N 25° 06.0' / E 152° 46.9'</v>
      </c>
      <c r="N224" s="1"/>
      <c r="O224" s="66"/>
      <c r="P224" s="66"/>
    </row>
    <row r="225" customHeight="1" spans="1:16">
      <c r="A225" s="1" t="s">
        <v>321</v>
      </c>
      <c r="D225" s="2">
        <f t="shared" ref="D225:I225" si="26">IF($C228,D228,IF($C230,D230,IF($C232,D232,IF($C234,D234,IF($C240,D240,IF($C246,D246,IF($C251,D251,IF($C254,D254,IF($C257,D257,IF($C259,D259,0))))))))))</f>
        <v>806.12952788544</v>
      </c>
      <c r="E225" s="2">
        <f t="shared" si="26"/>
        <v>424.64153803191</v>
      </c>
      <c r="F225" s="2">
        <f t="shared" si="26"/>
        <v>414.60756717617</v>
      </c>
      <c r="G225" s="2">
        <f t="shared" si="26"/>
        <v>24.4677011048078</v>
      </c>
      <c r="H225" s="2">
        <f t="shared" si="26"/>
        <v>27.7787315922288</v>
      </c>
      <c r="I225" s="2">
        <f t="shared" si="26"/>
        <v>1.03181083852212</v>
      </c>
      <c r="J225" s="1" t="str">
        <f t="shared" si="25"/>
        <v>N 24° 28.1' / E 027° 46.7'</v>
      </c>
      <c r="L225" s="1">
        <f>DEGREES(ACOS(-TAN(RADIANS(G225))*TAN(RADIANS(L108))))+L109+DEGREES(ACOS(L110/(L110+IF(I225&lt;0,0,I225))))</f>
        <v>95.3463743603124</v>
      </c>
      <c r="M225" s="1">
        <f>IF(ABS(G225)=90,0,DEGREES(MOD((ATAN2(D225,E225)),2*PI())))</f>
        <v>27.7787315922288</v>
      </c>
      <c r="N225" s="20">
        <f>IF(MOD(L111-MOD(M225-L112,360),360)&gt;180,MOD(L111-MOD(M225-L112,360),360)-360,MOD(L111-MOD(M225-L112,360),360))</f>
        <v>144.220876622674</v>
      </c>
      <c r="O225" s="66">
        <f>IF(N225&gt;L225,(N225-L225)/L113/1440,(N225-L225+360)/L113/1440)+TimeLocal</f>
        <v>45683.7348568223</v>
      </c>
      <c r="P225" s="66">
        <f>IF(N225&gt;-(L225),(N225+L225)/L113/1440,(N225+L225+360)/L113/1440)+TimeLocal</f>
        <v>45683.8257890104</v>
      </c>
    </row>
    <row r="226" customHeight="1" spans="1:16">
      <c r="A226" s="1" t="s">
        <v>322</v>
      </c>
      <c r="C226" s="1" t="b">
        <f>NOT(OR(C228,C230,C232,C234,C240,C246,C251,C254,C257,C259))</f>
        <v>0</v>
      </c>
      <c r="D226" s="2"/>
      <c r="E226" s="2"/>
      <c r="F226" s="2"/>
      <c r="M226" s="1" t="str">
        <f>IF(ABS(G225)&gt;ABS(90-ABS(L108)),IF(P226&lt;0,"Night","Daylight"),IF(N225=0,"Noon",IF(N225=-L225,"Sunset",IF(N225=L225,"Sunrise",IF(N225=180,"Midnight",IF(AND(N225&gt;-L225,N225&lt;0),CONCATENATE("Afternoon",IF(Rotation,CONCATENATE(" / Sets in ",ROUND((P225-TimeLocal)*1440,0),"m"),"")),IF(AND(N225&gt;0,N225&lt;L225),CONCATENATE("Morning",IF(Rotation,CONCATENATE(" / Sets in ",ROUND((P225-TimeLocal)*1440,0),"m"),"")),IF(AND(N225&gt;L225,N225&lt;(L225+18)),CONCATENATE("Morning Twilight",IF(Rotation,CONCATENATE(" / Rises in ",ROUND((O225-TimeLocal)*1440,0),"m"),"")),IF(AND(N225&gt;-(L225+18),N225&lt;-L225),CONCATENATE("Evening Twilight",IF(Rotation,CONCATENATE(" / Rises in ",ROUND((O225-TimeLocal)*1440,0),"m"),"")),IF(AND(N225&gt;-180,N225&lt;-(L225+18)),CONCATENATE("Night",IF(Rotation,CONCATENATE(" / Rises in ",ROUND((O225-TimeLocal)*1440,0),"m"),"")),CONCATENATE("After midnight",IF(Rotation,CONCATENATE(" / Rises in ",ROUND((O225-TimeLocal)*1440,0),"m"),""))))))))))))</f>
        <v>After midnight / Rises in 34m</v>
      </c>
      <c r="O226" s="137">
        <f>IF(NOT(Rotation),IF(ABS(G225)&gt;ABS(90-ABS(L108)),IF(P226&lt;0,"None","Continuous"),IF(ABS(N225)&gt;ABS(L225+18),"None","Continuous")),IFERROR(((2*L225)/L113)/1440,IF(P226&gt;0,"Continuous","None")))</f>
        <v>0.0909321881550577</v>
      </c>
      <c r="P226" s="3">
        <f>IFERROR(DEGREES(ACOS((SQRT(D225^2+E225^2+F225^2)^2+(SQRT(SQRT(D225^2+E225^2+F225^2)^2+SQRT(X109^2+Y109^2+Z109^2)^2-(2*SQRT(D225^2+E225^2+F225^2)*SQRT(X109^2+Y109^2+Z109^2)*COS(RADIANS(ABS(L108-G225))))))^2-SQRT(X109^2+Y109^2+Z109^2)^2)/(2*SQRT(D225^2+E225^2+F225^2)*(SQRT(SQRT(D225^2+E225^2+F225^2)^2+SQRT(X109^2+Y109^2+Z109^2)^2-(2*SQRT(D225^2+E225^2+F225^2)*SQRT(X109^2+Y109^2+Z109^2)*COS(RADIANS(ABS(L108-G225)))))))))-90,90)</f>
        <v>69.488162632238</v>
      </c>
    </row>
    <row r="227" customHeight="1" spans="1:6">
      <c r="A227" s="1"/>
      <c r="D227" s="2"/>
      <c r="E227" s="2"/>
      <c r="F227" s="2"/>
    </row>
    <row r="228" customHeight="1" spans="1:15">
      <c r="A228" s="1" t="s">
        <v>323</v>
      </c>
      <c r="C228" s="1" t="b">
        <f>G17</f>
        <v>1</v>
      </c>
      <c r="D228" s="2">
        <f>VLOOKUP(H18,$C$315:$J$523,2,FALSE)</f>
        <v>806.12952788544</v>
      </c>
      <c r="E228" s="2">
        <f>VLOOKUP(H18,$C$315:$J$523,3,FALSE)</f>
        <v>424.64153803191</v>
      </c>
      <c r="F228" s="2">
        <f>VLOOKUP(H18,$C$315:$J$523,4,FALSE)</f>
        <v>414.60756717617</v>
      </c>
      <c r="G228" s="1">
        <f>DEGREES(ATAN2(SQRT(D228^2+E228^2),F228))</f>
        <v>24.4677011048078</v>
      </c>
      <c r="H228" s="1">
        <f>IF(ABS(G228)=90,0,IF(DEGREES(MOD((ATAN2(D228,E228)),2*PI()))&gt;180,-(360-DEGREES(MOD((ATAN2(D228,E228)),2*PI()))),DEGREES(MOD((ATAN2(D228,E228)),2*PI()))))</f>
        <v>27.7787315922288</v>
      </c>
      <c r="I228" s="2">
        <f>SQRT(D228^2+E228^2+F228^2)-L110</f>
        <v>1.03181083852212</v>
      </c>
      <c r="M228" s="1">
        <f>SQRT(2*L110*I225/0.8279)</f>
        <v>49.9259226232392</v>
      </c>
      <c r="O228" s="1">
        <f>SQRT((L110+I225)^2-L110^2)</f>
        <v>45.4388194240429</v>
      </c>
    </row>
    <row r="229" customHeight="1" spans="4:6">
      <c r="D229" s="2"/>
      <c r="E229" s="2"/>
      <c r="F229" s="2"/>
    </row>
    <row r="230" customHeight="1" spans="1:9">
      <c r="A230" s="1" t="s">
        <v>324</v>
      </c>
      <c r="C230" s="1" t="b">
        <f>G20</f>
        <v>0</v>
      </c>
      <c r="D230" s="2">
        <f t="shared" ref="D230:F230" si="27">H21</f>
        <v>806.13</v>
      </c>
      <c r="E230" s="2">
        <f t="shared" si="27"/>
        <v>424.642</v>
      </c>
      <c r="F230" s="2">
        <f t="shared" si="27"/>
        <v>414.608</v>
      </c>
      <c r="G230" s="1">
        <f>DEGREES(ATAN2(SQRT(D230^2+E230^2),F230))</f>
        <v>24.4677086471201</v>
      </c>
      <c r="H230" s="1">
        <f>IF(ABS(G230)=90,0,IF(DEGREES(MOD((ATAN2(D230,E230)),2*PI()))&gt;180,-(360-DEGREES(MOD((ATAN2(D230,E230)),2*PI()))),DEGREES(MOD((ATAN2(D230,E230)),2*PI()))))</f>
        <v>27.778743458138</v>
      </c>
      <c r="I230" s="2">
        <f>SQRT(D230^2+E230^2+F230^2)-L110</f>
        <v>1.03256626745167</v>
      </c>
    </row>
    <row r="231" customHeight="1" spans="4:14">
      <c r="D231" s="2"/>
      <c r="E231" s="2"/>
      <c r="F231" s="2"/>
      <c r="M231" s="1" t="str">
        <f>CONCATENATE(M232," ",O232," ",R232)</f>
        <v>35R 512366 426905</v>
      </c>
      <c r="N231" s="1" t="str">
        <f>CONCATENATE(M232," ",N232,Q232," ",LEFT(P232,3),LEFT(S232,3))</f>
        <v>35R NE 123269</v>
      </c>
    </row>
    <row r="232" customHeight="1" spans="1:19">
      <c r="A232" s="1" t="s">
        <v>293</v>
      </c>
      <c r="C232" s="1" t="b">
        <f>G24</f>
        <v>0</v>
      </c>
      <c r="D232" s="2">
        <f>(L110+I232)*COS(RADIANS(G232))*COS(RADIANS(H232))</f>
        <v>-600.646967511963</v>
      </c>
      <c r="E232" s="2">
        <f>(L110+I232)*COS(RADIANS(G232))*SIN(RADIANS(H232))</f>
        <v>-384.868717155784</v>
      </c>
      <c r="F232" s="2">
        <f>(L110+I232)*SIN(RADIANS(G232))</f>
        <v>700.784767937734</v>
      </c>
      <c r="G232" s="1">
        <f>I25</f>
        <v>44.49</v>
      </c>
      <c r="H232" s="1">
        <f>IF(I26&gt;180,I26-360,I26)</f>
        <v>-147.35</v>
      </c>
      <c r="I232" s="1">
        <f>I27/1000</f>
        <v>0</v>
      </c>
      <c r="J232" s="1" t="str">
        <f>CONCATENATE(IF(G232&lt;0,CONCATENATE("S ",IF(ABS(G232)&lt;10,"0",""),INT(ABS(G232)),"° ",IF(INT(60*(ABS(G232)-INT(ABS(G232))))&lt;10,"0",""),ROUND(60*(ABS(G232)-INT(ABS(G232))),1),IF(LEN(ROUND(60*(ABS(G232)-INT(ABS(G232))),1))&lt;3,".0",""),"' "),CONCATENATE("N ",IF(ABS(G232)&lt;10,"0",""),INT(ABS(G232)),"° ",IF(INT(60*(ABS(G232)-INT(ABS(G232))))&lt;10,"0",""),ROUND(60*(ABS(G232)-INT(ABS(G232))),1),IF(LEN(ROUND(60*(ABS(G232)-INT(ABS(G232))),1))&lt;3,".0",""),"' ")),"/ ",IF(H232&lt;0,CONCATENATE("W ",IF(ABS(H232)&lt;10,"00",IF(ABS(H232)&lt;100,"0","")),INT(ABS(H232)),"° ",IF(INT(60*(ABS(H232)-INT(ABS(H232))))&lt;10,"0",""),ROUND(60*(ABS(H232)-INT(ABS(H232))),1),IF(LEN(ROUND(60*(ABS(H232)-INT(ABS(H232))),1))&lt;3,".0",""),"'"),CONCATENATE("E ",IF(ABS(H232)&lt;10,"00",IF(ABS(H232)&lt;100,"0","")),INT(ABS(H232)),"° ",IF(INT(60*(ABS(H232)-INT(ABS(H232))))&lt;10,"0",""),ROUND(60*(ABS(H232)-INT(ABS(H232))),1),IF(LEN(ROUND(60*(ABS(H232)-INT(ABS(H232))),1))&lt;3,".0",""),"'")))</f>
        <v>N 44° 29.4' / W 147° 21.0'</v>
      </c>
      <c r="L232" s="1" t="b">
        <f>IF(ABS(G225)&gt;80,TRUE,FALSE)</f>
        <v>0</v>
      </c>
      <c r="M232" s="1" t="str">
        <f>IF(AND(G225&lt;=80,G225&gt;=-80),IF(AND(H225&gt;=-180,H225&lt;=180),CONCATENATE(IF(INT((IF(H225&gt;=180,-180,H225)+180)/6)+1&lt;10,"0",""),INT((IF(H225&gt;=180,-180,H225)+180)/6)+1,MID($S$115,INT((G225+80)/8)+1,1))),IF(G225&gt;0,IF(H225&lt;0,"Y","Z"),IF(H225&lt;0,"A","B")))</f>
        <v>35R</v>
      </c>
      <c r="N232" s="1" t="str">
        <f>IF(NOT(L232),_xlfn.IFS(MOD(M233,3)=0,MID($U$116,INT(P233/$S$122),1),MOD(M233,3)=1,MID($S$116,INT(P233/$S$122),1),MOD(M233,3)=2,MID($T$116,INT(P233/$S$122),1)),IF(P233&gt;=$U$122,MID($S$118,(MOD(INT(ABS(O233)/$S$122),18)+1),1),MID($S$118,19-(MOD(INT(ABS(O233)/$S$122),18)+1),1)))</f>
        <v>N</v>
      </c>
      <c r="O232" s="1" t="str">
        <f>CONCATENATE(INT(P233/$S$122),P232)</f>
        <v>512366</v>
      </c>
      <c r="P232" s="1" t="str">
        <f>CONCATENATE(IF($S$122&gt;100000,IF(ROUND(P233-(INT(P233/$S$122)*$S$122),3)&lt;100000,"0",""),""),IF($S$122&gt;10000,IF(ROUND(P233-(INT(P233/$S$122)*$S$122),3)&lt;10000,"0",""),""),IF(ROUND(P233-(INT(P233/$S$122)*$S$122),3)&lt;1000,"0",""),IF(ROUND(P233-(INT(P233/$S$122)*$S$122),3)&lt;100,"0",""),IF(ROUND(P233-(INT(P233/$S$122)*$S$122),3)&lt;10,"0",""),INT(P233-(INT(P233/$S$122)*$S$122)))</f>
        <v>12366</v>
      </c>
      <c r="Q232" s="1" t="str">
        <f>IF(NOT(L232),_xlfn.IFS(MOD(M233,2)=0,MID($T$117,IF(G225&gt;=0,(MOD(INT(ABS(R233)/$S$122),20)+1),21-(MOD(INT(ABS(R233)/$S$122),20)+1)),1),MOD(M233,2)=1,MID($S$117,IF(G225&gt;=0,(MOD(INT(ABS(R233)/$S$122),20)+1),21-(MOD(INT(ABS(R233)/$S$122),20)+1)),1)),IF(S233&gt;=$U$122,IF(G225&lt;0,MID($S$119,(MOD(INT(ABS(R233)/$S$122),24)+1),1),MID($T$119,(MOD(INT(ABS(R233)/$S$122),24)+1),1)),IF(G225&lt;0,MID($S$119,25-(MOD(INT(ABS(R233)/$S$122),24)+1),1),MID($T$119,25-(MOD(INT(ABS(R233)/$S$122),24)+1),1))))</f>
        <v>E</v>
      </c>
      <c r="R232" s="1" t="str">
        <f>CONCATENATE(INT(S233/$S$122),S232)</f>
        <v>426905</v>
      </c>
      <c r="S232" s="1" t="str">
        <f>CONCATENATE(IF($S$122&gt;100000,IF(ROUND(S233-(INT(S233/$S$122)*$S$122),3)&lt;100000,"0",""),""),IF($S$122&gt;10000,IF(ROUND(S233-(INT(S233/$S$122)*$S$122),3)&lt;10000,"0",""),""),IF(ROUND(S233-(INT(S233/$S$122)*$S$122),3)&lt;1000,"0",""),IF(ROUND(S233-(INT(S233/$S$122)*$S$122),3)&lt;100,"0",""),IF(ROUND(S233-(INT(S233/$S$122)*$S$122),3)&lt;10,"0",""),INT(S233-(INT(S233/$S$122)*$S$122)))</f>
        <v>26905</v>
      </c>
    </row>
    <row r="233" customHeight="1" spans="4:19">
      <c r="D233" s="2"/>
      <c r="E233" s="2"/>
      <c r="F233" s="2"/>
      <c r="M233" s="1">
        <f>INT((IF(H225&gt;=180,-180,H225)+180)/6)+1</f>
        <v>35</v>
      </c>
      <c r="N233" s="1">
        <f>IF(NOT(L232),(M233*6)-183,0)</f>
        <v>27</v>
      </c>
      <c r="O233" s="1">
        <f>IF(NOT(L232),L110*$S$121*ATANH(COS(RADIANS(G225))*SIN(RADIANS(H225)-RADIANS(N233)))*1000,L110*(2*$T$121/(1+SIN(RADIANS(N234))*SIN(RADIANS(G225))+COS(RADIANS(N234))*COS(RADIANS(G225))*COS(RADIANS(H225)-RADIANS(N233))))*COS(RADIANS(G225))*SIN(RADIANS(H225)-RADIANS(N233))*1000)</f>
        <v>12366.1522528778</v>
      </c>
      <c r="P233" s="1">
        <f>IF(NOT(L232),$T$122+ROUND(O233,4),$U$122+ROUND(O233,4))</f>
        <v>512366.1523</v>
      </c>
      <c r="R233" s="1">
        <f>IF(NOT(L232),L110*$S$121*ATAN(TAN(RADIANS(G225))/COS(RADIANS(H225)-RADIANS(N233)))*1000,L110*(2*$T$121/(1+SIN(RADIANS(N234))*SIN(RADIANS(G225))+COS(RADIANS(N234))*COS(RADIANS(G225))*COS(RADIANS(H225)-RADIANS(N233))))*(COS(RADIANS(N234))*SIN(RADIANS(G225))-SIN(RADIANS(N234))*COS(RADIANS(G225))*COS(RADIANS(H225)-RADIANS(N233)))*1000)</f>
        <v>426905.935718048</v>
      </c>
      <c r="S233" s="1">
        <f>IF(NOT(L232),IF(R233&gt;=0,ROUND(R233,4),$V$122+ROUND(R233,4)),$U$122+ROUND(R233,4))</f>
        <v>426905.9357</v>
      </c>
    </row>
    <row r="234" customHeight="1" spans="1:14">
      <c r="A234" s="1" t="s">
        <v>325</v>
      </c>
      <c r="C234" s="1" t="b">
        <f>G33</f>
        <v>0</v>
      </c>
      <c r="D234" s="2">
        <f>_xlfn.IFNA((((((K36^2)-(K35^2)+(D235^2)+(E235^2)+(F235^2)-(D236^2)-(E236^2)-(F236^2))/2)*(E235-E237)*(F235-F238))+((E235-E236)*(F235-F237)*(((K38^2)-(K35^2)+(D235^2)+(E235^2)+(F235^2)-(D238^2)-(E238^2)-(F238^2))/2))+((F235-F236)*(((K37^2)-(K35^2)+(D235^2)+(E235^2)+(F235^2)-(D237^2)-(E237^2)-(F237^2))/2)*(E235-E238))-((((K38^2)-(K35^2)+(D235^2)+(E235^2)+(F235^2)-(D238^2)-(E238^2)-(F238^2))/2)*(E235-E237)*(F235-F236))-((E235-E238)*(F235-F237)*(((K36^2)-(K35^2)+(D235^2)+(E235^2)+(F235^2)-(D236^2)-(E236^2)-(F236^2))/2))-((F235-F238)*(((K37^2)-(K35^2)+(D235^2)+(E235^2)+(F235^2)-(D237^2)-(E237^2)-(F237^2))/2)*(E235-E236)))/(((D235-D236)*(E235-E237)*(F235-F238))+((E235-E236)*(F235-F237)*(D235-D238))+((F235-F236)*(D235-D237)*(E235-E238))-((D235-D238)*(E235-E237)*(F235-F236))-((E235-E238)*(F235-F237)*(D235-D236))-((F235-F238)*(D235-D237)*(E235-E236))),"")</f>
        <v>806.129462307402</v>
      </c>
      <c r="E234" s="2">
        <f>_xlfn.IFNA((((D235-D236)*(((K37^2)-(K35^2)+(D235^2)+(E235^2)+(F235^2)-(D237^2)-(E237^2)-(F237^2))/2)*(F235-F238))+((((K36^2)-(K35^2)+(D235^2)+(E235^2)+(F235^2)-(D236^2)-(E236^2)-(F236^2))/2)*(F235-F237)*(D235-D238))+((F235-F236)*(D235-D237)*(((K38^2)-(K35^2)+(D235^2)+(E235^2)+(F235^2)-(D238^2)-(E238^2)-(F238^2))/2))-((D235-D238)*(((K37^2)-(K35^2)+(D235^2)+(E235^2)+(F235^2)-(D237^2)-(E237^2)-(F237^2))/2)*(F235-F236))-((((K38^2)-(K35^2)+(D235^2)+(E235^2)+(F235^2)-(D238^2)-(E238^2)-(F238^2))/2)*(F235-F237)*(D235-D236))-((F235-F238)*(D235-D237)*(((K36^2)-(K35^2)+(D235^2)+(E235^2)+(F235^2)-(D236^2)-(E236^2)-(F236^2))/2)))/(((D235-D236)*(E235-E237)*(F235-F238))+((E235-E236)*(F235-F237)*(D235-D238))+((F235-F236)*(D235-D237)*(E235-E238))-((D235-D238)*(E235-E237)*(F235-F236))-((E235-E238)*(F235-F237)*(D235-D236))-((F235-F238)*(D235-D237)*(E235-E236))),"")</f>
        <v>424.640833387978</v>
      </c>
      <c r="F234" s="2">
        <f>_xlfn.IFNA((((D235-D236)*(E235-E237)*(((K38^2)-(K35^2)+(D235^2)+(E235^2)+(F235^2)-(D238^2)-(E238^2)-(F238^2))/2))+((E235-E236)*(((K37^2)-(K35^2)+(D235^2)+(E235^2)+(F235^2)-(D237^2)-(E237^2)-(F237^2))/2)*(D235-D238))+((((K36^2)-(K35^2)+(D235^2)+(E235^2)+(F235^2)-(D236^2)-(E236^2)-(F236^2))/2)*(D235-D237)*(E235-E238))-((D235-D238)*(E235-E237)*(((K36^2)-(K35^2)+(D235^2)+(E235^2)+(F235^2)-(D236^2)-(E236^2)-(F236^2))/2))-((E235-E238)*(((K37^2)-(K35^2)+(D235^2)+(E235^2)+(F235^2)-(D237^2)-(E237^2)-(F237^2))/2)*(D235-D236))-((((K38^2)-(K35^2)+(D235^2)+(E235^2)+(F235^2)-(D238^2)-(E238^2)-(F238^2))/2)*(D235-D237)*(E235-E236)))/(((D235-D236)*(E235-E237)*(F235-F238))+((E235-E236)*(F235-F237)*(D235-D238))+((F235-F236)*(D235-D237)*(E235-E238))-((D235-D238)*(E235-E237)*(F235-F236))-((E235-E238)*(F235-F237)*(D235-D236))-((F235-F238)*(D235-D237)*(E235-E236))),"")</f>
        <v>414.607440186219</v>
      </c>
      <c r="G234" s="1">
        <f t="shared" ref="G234:G238" si="28">DEGREES(ATAN2(SQRT(D234^2+E234^2),F234))</f>
        <v>24.46770364979</v>
      </c>
      <c r="H234" s="1">
        <f t="shared" ref="H234:H238" si="29">IF(ABS(G234)=90,0,IF(DEGREES(MOD((ATAN2(D234,E234)),2*PI()))&gt;180,-(360-DEGREES(MOD((ATAN2(D234,E234)),2*PI()))),DEGREES(MOD((ATAN2(D234,E234)),2*PI()))))</f>
        <v>27.7786943099464</v>
      </c>
      <c r="I234" s="2">
        <f>SQRT(D234^2+E234^2+F234^2)-L110</f>
        <v>1.0314065194093</v>
      </c>
      <c r="J234" s="1" t="str">
        <f>CONCATENATE(IF(G234&lt;0,CONCATENATE("S ",IF(ABS(G234)&lt;10,"0",""),INT(ABS(G234)),"° ",IF(INT(60*(ABS(G234)-INT(ABS(G234))))&lt;10,"0",""),ROUND(60*(ABS(G234)-INT(ABS(G234))),1),IF(LEN(ROUND(60*(ABS(G234)-INT(ABS(G234))),1))&lt;3,".0",""),"' "),CONCATENATE("N ",IF(ABS(G234)&lt;10,"0",""),INT(ABS(G234)),"° ",IF(INT(60*(ABS(G234)-INT(ABS(G234))))&lt;10,"0",""),ROUND(60*(ABS(G234)-INT(ABS(G234))),1),IF(LEN(ROUND(60*(ABS(G234)-INT(ABS(G234))),1))&lt;3,".0",""),"' ")),"/ ",IF(H234&lt;0,CONCATENATE("W ",IF(ABS(H234)&lt;10,"00",IF(ABS(H234)&lt;100,"0","")),INT(ABS(H234)),"° ",IF(INT(60*(ABS(H234)-INT(ABS(H234))))&lt;10,"0",""),ROUND(60*(ABS(H234)-INT(ABS(H234))),1),IF(LEN(ROUND(60*(ABS(H234)-INT(ABS(H234))),1))&lt;3,".0",""),"'"),CONCATENATE("E ",IF(ABS(H234)&lt;10,"00",IF(ABS(H234)&lt;100,"0","")),INT(ABS(H234)),"° ",IF(INT(60*(ABS(H234)-INT(ABS(H234))))&lt;10,"0",""),ROUND(60*(ABS(H234)-INT(ABS(H234))),1),IF(LEN(ROUND(60*(ABS(H234)-INT(ABS(H234))),1))&lt;3,".0",""),"'")))</f>
        <v>N 24° 28.1' / E 027° 46.7'</v>
      </c>
      <c r="N234" s="1">
        <f>IF(NOT(L232),0,IF(G225&gt;0,90,-90))</f>
        <v>0</v>
      </c>
    </row>
    <row r="235" customHeight="1" spans="4:9">
      <c r="D235" s="2">
        <f t="shared" ref="D235:D238" si="30">VLOOKUP(I35,$C$315:$J$523,2,FALSE)</f>
        <v>0</v>
      </c>
      <c r="E235" s="2">
        <f t="shared" ref="E235:E238" si="31">VLOOKUP(I35,$C$315:$J$523,3,FALSE)</f>
        <v>0</v>
      </c>
      <c r="F235" s="2">
        <f t="shared" ref="F235:F238" si="32">VLOOKUP(I35,$C$315:$J$523,4,FALSE)</f>
        <v>1439.593</v>
      </c>
      <c r="G235" s="1">
        <f t="shared" si="28"/>
        <v>90</v>
      </c>
      <c r="H235" s="1">
        <f t="shared" si="29"/>
        <v>0</v>
      </c>
      <c r="I235" s="2">
        <f>SQRT(D235^2+E235^2+F235^2)-L110</f>
        <v>439.593</v>
      </c>
    </row>
    <row r="236" customHeight="1" spans="4:18">
      <c r="D236" s="2">
        <f t="shared" si="30"/>
        <v>0</v>
      </c>
      <c r="E236" s="2">
        <f t="shared" si="31"/>
        <v>0</v>
      </c>
      <c r="F236" s="2">
        <f t="shared" si="32"/>
        <v>-1439.593</v>
      </c>
      <c r="G236" s="1">
        <f t="shared" si="28"/>
        <v>-90</v>
      </c>
      <c r="H236" s="1">
        <f t="shared" si="29"/>
        <v>0</v>
      </c>
      <c r="I236" s="2">
        <f>SQRT(D236^2+E236^2+F236^2)-L110</f>
        <v>439.593</v>
      </c>
      <c r="L236" s="1" t="str">
        <f>CONCATENATE(IF(M236&lt;100,"0",""),IF(M236&lt;10,"0",""),M236,N236,O236,P236)</f>
        <v>416KN21</v>
      </c>
      <c r="M236" s="1">
        <f>IF(ABS(G225)=90,1,INT(MOD(H225+180,360)/0.5)+1)</f>
        <v>416</v>
      </c>
      <c r="N236" s="1" t="str">
        <f>CONCATENATE(MID($S$125,INT(INT((G225+90)/0.5)/24)+1,1),MID($S$125,MOD(INT((G225+90)/0.5),24)+1,1))</f>
        <v>KN</v>
      </c>
      <c r="O236" s="1">
        <f>_xlfn.IFS(AND(IF(MOD((G225+90)/0.5,1)&gt;=0.5,TRUE,FALSE),NOT(IF(MOD(MOD(H225+180,360)/0.5,1)&gt;=0.5,TRUE,FALSE))),1,AND(IF(MOD((G225+90)/0.5,1)&gt;=0.5,TRUE,FALSE),IF(MOD(MOD(H225+180,360)/0.5,1)&gt;=0.5,TRUE,FALSE)),2,AND(NOT(IF(MOD((G225+90)/0.5,1)&gt;=0.5,TRUE,FALSE)),NOT(IF(MOD(MOD(H225+180,360)/0.5,1)&gt;=0.5,TRUE,FALSE))),3,AND(NOT(IF(MOD((G225+90)/0.5,1)&gt;=0.5,TRUE,FALSE)),IF(MOD(MOD(H225+180,360)/0.5,1)&gt;=0.5,TRUE,FALSE)),4)</f>
        <v>2</v>
      </c>
      <c r="P236" s="1">
        <f>_xlfn.IFS(AND(Q236=0,R236=2),1,AND(Q236=1,R236=2),2,AND(Q236=2,R236=2),3,AND(Q236=0,R236=1),4,AND(Q236=1,R236=1),5,AND(Q236=2,R236=1),6,AND(Q236=0,R236=0),7,AND(Q236=1,R236=0),8,AND(Q236=2,R236=0),9)</f>
        <v>1</v>
      </c>
      <c r="Q236" s="1">
        <f>INT(6*IF(IF(MOD(MOD(H225+180,360)/0.5,1)&gt;=0.5,TRUE,FALSE),MOD(MOD(H225+180,360)/0.5,1)-0.5,MOD(MOD(H225+180,360)/0.5,1)))</f>
        <v>0</v>
      </c>
      <c r="R236" s="1">
        <f>INT(6*IF(IF(MOD((G225+90)/0.5,1)&gt;=0.5,TRUE,FALSE),MOD((G225+90)/0.5,1)-0.5,MOD((G225+90)/0.5,1)))</f>
        <v>2</v>
      </c>
    </row>
    <row r="237" customHeight="1" spans="4:9">
      <c r="D237" s="2">
        <f t="shared" si="30"/>
        <v>0</v>
      </c>
      <c r="E237" s="2">
        <f t="shared" si="31"/>
        <v>1439.593</v>
      </c>
      <c r="F237" s="2">
        <f t="shared" si="32"/>
        <v>0</v>
      </c>
      <c r="G237" s="1">
        <f t="shared" si="28"/>
        <v>0</v>
      </c>
      <c r="H237" s="1">
        <f t="shared" si="29"/>
        <v>90</v>
      </c>
      <c r="I237" s="2">
        <f>SQRT(D237^2+E237^2+F237^2)-L110</f>
        <v>439.593</v>
      </c>
    </row>
    <row r="238" customHeight="1" spans="4:9">
      <c r="D238" s="2">
        <f t="shared" si="30"/>
        <v>1439.593</v>
      </c>
      <c r="E238" s="2">
        <f t="shared" si="31"/>
        <v>0</v>
      </c>
      <c r="F238" s="2">
        <f t="shared" si="32"/>
        <v>0</v>
      </c>
      <c r="G238" s="1">
        <f t="shared" si="28"/>
        <v>0</v>
      </c>
      <c r="H238" s="1">
        <f t="shared" si="29"/>
        <v>0</v>
      </c>
      <c r="I238" s="2">
        <f>SQRT(D238^2+E238^2+F238^2)-L110</f>
        <v>439.593</v>
      </c>
    </row>
    <row r="240" customHeight="1" spans="1:14">
      <c r="A240" s="1" t="s">
        <v>45</v>
      </c>
      <c r="C240" s="1" t="b">
        <f>G29</f>
        <v>0</v>
      </c>
      <c r="D240" s="2">
        <f>(L110+I240)*COS(RADIANS(G240))*COS(RADIANS(H240))</f>
        <v>806.13009676536</v>
      </c>
      <c r="E240" s="2">
        <f>(L110+I240)*COS(RADIANS(G240))*SIN(RADIANS(H240))</f>
        <v>424.641659420961</v>
      </c>
      <c r="F240" s="2">
        <f>(L110+I240)*SIN(RADIANS(G240))</f>
        <v>414.606793477005</v>
      </c>
      <c r="G240" s="1">
        <f>IF(NOT(L243),DEGREES(ASIN(SIN((N241/(L110*$S$121))+RADIANS(0))/COSH(M241/(L110*$S$121)))),IF(NOT(O241),DEGREES(ASIN((COS(2*ATAN(SQRT(M241^2+N241^2)/(2*L110*$T$121)))*SIN(RADIANS(L242)))+(N241*SIN(2*ATAN(SQRT(M241^2+N241^2)/(2*L110*$T$121)))*COS(RADIANS(L242))/SQRT(M241^2+N241^2)))),L242))</f>
        <v>24.4676475247376</v>
      </c>
      <c r="H240" s="1">
        <f>IF(NOT(L243),DEGREES(RADIANS(L241)+ATAN((SINH(M241/(L110*$S$121)))/(COS((N241/(L110*$S$121))+RADIANS(0))))),IF(NOT(O241),IF(OR(AND(L242&gt;0,N241&lt;0),AND(L242&lt;0,N241&gt;0)),DEGREES(ATAN(M241*SIN(2*ATAN(SQRT(M241^2+N241^2)/(2*L110*$T$121)))/(SQRT(M241^2+N241^2)*COS(RADIANS(L242))*COS(2*ATAN(SQRT(M241^2+N241^2)/(2*L110*$T$121)))-N241*SIN(RADIANS(L242))*SIN(2*ATAN(SQRT(M241^2+N241^2)/(2*L110*$T$121)))))),IF(M241&gt;=0,180+DEGREES(ATAN(M241*SIN(2*ATAN(SQRT(M241^2+N241^2)/(2*L110*$T$121)))/(SQRT(M241^2+N241^2)*COS(RADIANS(L242))*COS(2*ATAN(SQRT(M241^2+N241^2)/(2*L110*$T$121)))-N241*SIN(RADIANS(L242))*SIN(2*ATAN(SQRT(M241^2+N241^2)/(2*L110*$T$121)))))),-180+DEGREES(ATAN(M241*SIN(2*ATAN(SQRT(M241^2+N241^2)/(2*L110*$T$121)))/(SQRT(M241^2+N241^2)*COS(RADIANS(L242))*COS(2*ATAN(SQRT(M241^2+N241^2)/(2*L110*$T$121)))-N241*SIN(RADIANS(L242))*SIN(2*ATAN(SQRT(M241^2+N241^2)/(2*L110*$T$121)))))))),0))</f>
        <v>27.7787216734285</v>
      </c>
      <c r="I240" s="1">
        <f>K30/1000</f>
        <v>1.032</v>
      </c>
      <c r="J240" s="1" t="str">
        <f>CONCATENATE(IF(G240&lt;0,CONCATENATE("S ",IF(ABS(G240)&lt;10,"0",""),INT(ABS(G240)),"° ",IF(INT(60*(ABS(G240)-INT(ABS(G240))))&lt;10,"0",""),ROUND(60*(ABS(G240)-INT(ABS(G240))),1),IF(LEN(ROUND(60*(ABS(G240)-INT(ABS(G240))),1))&lt;3,".0",""),"' "),CONCATENATE("N ",IF(ABS(G240)&lt;10,"0",""),INT(ABS(G240)),"° ",IF(INT(60*(ABS(G240)-INT(ABS(G240))))&lt;10,"0",""),ROUND(60*(ABS(G240)-INT(ABS(G240))),1),IF(LEN(ROUND(60*(ABS(G240)-INT(ABS(G240))),1))&lt;3,".0",""),"' ")),"/ ",IF(H240&lt;0,CONCATENATE("W ",IF(ABS(H240)&lt;10,"00",IF(ABS(H240)&lt;100,"0","")),INT(ABS(H240)),"° ",IF(INT(60*(ABS(H240)-INT(ABS(H240))))&lt;10,"0",""),ROUND(60*(ABS(H240)-INT(ABS(H240))),1),IF(LEN(ROUND(60*(ABS(H240)-INT(ABS(H240))),1))&lt;3,".0",""),"'"),CONCATENATE("E ",IF(ABS(H240)&lt;10,"00",IF(ABS(H240)&lt;100,"0","")),INT(ABS(H240)),"° ",IF(INT(60*(ABS(H240)-INT(ABS(H240))))&lt;10,"0",""),ROUND(60*(ABS(H240)-INT(ABS(H240))),1),IF(LEN(ROUND(60*(ABS(H240)-INT(ABS(H240))),1))&lt;3,".0",""),"'")))</f>
        <v>N 24° 28.1' / E 027° 46.7'</v>
      </c>
      <c r="L240" s="1" t="str">
        <f t="shared" ref="L240:N240" si="33">H30</f>
        <v>35R</v>
      </c>
      <c r="M240" s="1">
        <f t="shared" si="33"/>
        <v>512366</v>
      </c>
      <c r="N240" s="1">
        <f t="shared" si="33"/>
        <v>426905</v>
      </c>
    </row>
    <row r="241" customHeight="1" spans="1:15">
      <c r="A241" s="1"/>
      <c r="D241" s="2"/>
      <c r="E241" s="2"/>
      <c r="F241" s="2"/>
      <c r="L241" s="1">
        <f>IF(NOT(L243),(M242*6)-183,IF((N243-10)&lt;=0,0,180))</f>
        <v>27</v>
      </c>
      <c r="M241" s="1">
        <f>IF(NOT(L243),(M240-$T$122)/1000,(M240-$U$122)/1000)</f>
        <v>12.366</v>
      </c>
      <c r="N241" s="1">
        <f>IF(NOT(L243),IF((N243-10)&lt;=0,(N240-$V$122)/1000,N240/1000),(N240-$U$122)/1000)</f>
        <v>426.905</v>
      </c>
      <c r="O241" s="1" t="b">
        <f>IF(AND(M241=0,N241=0),TRUE,FALSE)</f>
        <v>0</v>
      </c>
    </row>
    <row r="242" customHeight="1" spans="1:14">
      <c r="A242" s="1"/>
      <c r="D242" s="2"/>
      <c r="E242" s="2"/>
      <c r="F242" s="2"/>
      <c r="L242" s="1">
        <f>IF(NOT(L243),0,IF(OR(N242="A",N242="B"),-90,90))</f>
        <v>0</v>
      </c>
      <c r="M242" s="1">
        <f>VALUE(LEFT(L240,M243-1))</f>
        <v>35</v>
      </c>
      <c r="N242" s="1" t="str">
        <f>IF(LEN(L240)=1,UPPER(L240),UPPER(RIGHT(L240,1)))</f>
        <v>R</v>
      </c>
    </row>
    <row r="243" customHeight="1" spans="1:14">
      <c r="A243" s="1"/>
      <c r="D243" s="2"/>
      <c r="E243" s="2"/>
      <c r="F243" s="2"/>
      <c r="L243" s="1" t="b">
        <f>IF(LEN(L240)=1,TRUE,FALSE)</f>
        <v>0</v>
      </c>
      <c r="M243" s="1">
        <f>FIND(N242,UPPER(L240))</f>
        <v>3</v>
      </c>
      <c r="N243" s="1">
        <f>IF(NOT(L243),FIND(N242,$S$115),"")</f>
        <v>14</v>
      </c>
    </row>
    <row r="244" customHeight="1" spans="1:8">
      <c r="A244" s="1"/>
      <c r="D244" s="2"/>
      <c r="E244" s="2"/>
      <c r="F244" s="2"/>
      <c r="G244" s="1">
        <f>IF(NOT(L247),DEGREES(ASIN(SIN((N245/(br*$S$121))+RADIANS(0))/COSH(M245/(br*$S$121)))),IF(NOT(O245),DEGREES(ASIN((COS(2*ATAN(SQRT(M245^2+N245^2)/(2*br*$T$121)))*SIN(RADIANS(L246)))+(N245*SIN(2*ATAN(SQRT(M245^2+N245^2)/(2*br*$T$121)))*COS(RADIANS(L246))/SQRT(M245^2+N245^2)))),L246))</f>
        <v>0</v>
      </c>
      <c r="H244" s="1">
        <f>IF(NOT(L247),DEGREES(RADIANS(L245)+ATAN((SINH((M245/1000)/(br*$S$121)))/(COS(((N245/1000)/(br*$S$121))+RADIANS(0))))),IF(NOT(O245),IF(OR(AND(L246&gt;0,N245&lt;0),AND(L246&lt;0,N245&gt;0)),DEGREES(ATAN(M245*SIN(2*ATAN(SQRT(M245^2+N245^2)/(2*br*$T$121)))/(SQRT(M245^2+N245^2)*COS(RADIANS(L246))*COS(2*ATAN(SQRT(M245^2+N245^2)/(2*br*$T$121)))-N245*SIN(RADIANS(L246))*SIN(2*ATAN(SQRT(M245^2+N245^2)/(2*br*$T$121)))))),IF(M245&gt;=0,180+DEGREES(ATAN(M245*SIN(2*ATAN(SQRT(M245^2+N245^2)/(2*br*$T$121)))/(SQRT(M245^2+N245^2)*COS(RADIANS(L246))*COS(2*ATAN(SQRT(M245^2+N245^2)/(2*br*$T$121)))-N245*SIN(RADIANS(L246))*SIN(2*ATAN(SQRT(M245^2+N245^2)/(2*br*$T$121)))))),-180+DEGREES(ATAN(M245*SIN(2*ATAN(SQRT(M245^2+N245^2)/(2*br*$T$121)))/(SQRT(M245^2+N245^2)*COS(RADIANS(L246))*COS(2*ATAN(SQRT(M245^2+N245^2)/(2*br*$T$121)))-N245*SIN(RADIANS(L246))*SIN(2*ATAN(SQRT(M245^2+N245^2)/(2*br*$T$121)))))))),0))</f>
        <v>0</v>
      </c>
    </row>
    <row r="245" customHeight="1" spans="1:6">
      <c r="A245" s="1"/>
      <c r="D245" s="2"/>
      <c r="E245" s="2"/>
      <c r="F245" s="2"/>
    </row>
    <row r="246" customHeight="1" spans="1:16">
      <c r="A246" s="1" t="s">
        <v>326</v>
      </c>
      <c r="C246" s="1" t="b">
        <f>M22</f>
        <v>0</v>
      </c>
      <c r="D246" s="2">
        <f>(L110+I246)*COS(RADIANS(G246))*COS(RADIANS(H246))</f>
        <v>820.643529227801</v>
      </c>
      <c r="E246" s="2">
        <f>(L110+I246)*COS(RADIANS(G246))*SIN(RADIANS(H246))</f>
        <v>396.087634790128</v>
      </c>
      <c r="F246" s="2">
        <f>(L110+I246)*SIN(RADIANS(G246))</f>
        <v>414.395306215639</v>
      </c>
      <c r="G246" s="1">
        <f>DEGREES(ASIN(SIN(RADIANS(G247))*COS(E$249/L110)+COS(RADIANS(G247))*SIN(E$249/L110)*COS(RADIANS(E$248))))</f>
        <v>24.4543539877838</v>
      </c>
      <c r="H246" s="1">
        <f>DEGREES(RADIANS(H247)+ATAN2(COS(E$249/L110)-SIN(RADIANS(G247))*SIN(RADIANS(G246)),SIN(RADIANS(E$248))*SIN(E$249/L110)*COS(RADIANS(G247))))</f>
        <v>25.7645086994117</v>
      </c>
      <c r="I246" s="2">
        <f>I247</f>
        <v>1.03181083852212</v>
      </c>
      <c r="P246" s="138"/>
    </row>
    <row r="247" customHeight="1" spans="4:9">
      <c r="D247" s="2">
        <f t="shared" ref="D247:F247" si="34">D228</f>
        <v>806.12952788544</v>
      </c>
      <c r="E247" s="2">
        <f t="shared" si="34"/>
        <v>424.64153803191</v>
      </c>
      <c r="F247" s="2">
        <f t="shared" si="34"/>
        <v>414.60756717617</v>
      </c>
      <c r="G247" s="1">
        <f>DEGREES(ATAN2(SQRT(D247^2+E247^2),F247))</f>
        <v>24.4677011048078</v>
      </c>
      <c r="H247" s="1">
        <f>IF(ABS(G247)=90,0,IF(DEGREES(MOD((ATAN2(D247,E247)),2*PI()))&gt;180,-(360-DEGREES(MOD((ATAN2(D247,E247)),2*PI()))),DEGREES(MOD((ATAN2(D247,E247)),2*PI()))))</f>
        <v>27.7787315922288</v>
      </c>
      <c r="I247" s="2">
        <f>SQRT(D247^2+E247^2+F247^2)-L110</f>
        <v>1.03181083852212</v>
      </c>
    </row>
    <row r="248" customHeight="1" spans="4:6">
      <c r="D248" s="1" t="s">
        <v>327</v>
      </c>
      <c r="E248" s="134">
        <f>ROUND(O18,0)</f>
        <v>270</v>
      </c>
      <c r="F248" s="1" t="str">
        <f>IF(OR(AND(E248&gt;=349,E248&lt;=360),AND(E248&gt;=0,E248&lt;=11)),"N",IF(AND(E248&gt;=12,E248&lt;=33),"NNE",IF(AND(E248&gt;=34,E248&lt;=56),"NE",IF(AND(E248&gt;=57,E248&lt;=78),"ENE",IF(AND(E248&gt;=79,E248&lt;=101),"E",IF(AND(E248&gt;=102,E248&lt;=123),"ESE",IF(AND(E248&gt;=124,E248&lt;=146),"SE",IF(AND(E248&gt;=147,E248&lt;=168),"SSE",IF(AND(E248&gt;=169,E248&lt;=191),"S",IF(AND(E248&gt;=192,E248&lt;=213),"SSW",IF(AND(E248&gt;=214,E248&lt;=236),"SW",IF(AND(E248&gt;=237,E248&lt;=258),"WSW",IF(AND(E248&gt;=259,E248&lt;=281),"W",IF(AND(E248&gt;=282,E248&lt;=303),"WNW",IF(AND(E248&gt;=304,E248&lt;=326),"NW",IF(AND(E248&gt;=327,E248&lt;=348),"NNW"))))))))))))))))</f>
        <v>W</v>
      </c>
    </row>
    <row r="249" customHeight="1" spans="4:5">
      <c r="D249" s="1" t="s">
        <v>86</v>
      </c>
      <c r="E249" s="131">
        <f>O19</f>
        <v>32</v>
      </c>
    </row>
    <row r="251" customHeight="1" spans="1:9">
      <c r="A251" s="1" t="s">
        <v>328</v>
      </c>
      <c r="C251" s="1" t="b">
        <f>M24</f>
        <v>0</v>
      </c>
      <c r="D251" s="2">
        <f>(L110+I251)*COS(RADIANS(G251))*COS(RADIANS(H251))</f>
        <v>820.644018233571</v>
      </c>
      <c r="E251" s="2">
        <f>(L110+I251)*COS(RADIANS(G251))*SIN(RADIANS(H251))</f>
        <v>396.08807822887</v>
      </c>
      <c r="F251" s="2">
        <f>(L110+I251)*SIN(RADIANS(G251))</f>
        <v>414.395738817882</v>
      </c>
      <c r="G251" s="1">
        <f>DEGREES(ASIN(SIN(RADIANS(G230))*COS(E$249/L110)+COS(RADIANS(G230))*SIN(E$249/L110)*COS(RADIANS(E$248))))</f>
        <v>24.4543615254359</v>
      </c>
      <c r="H251" s="1">
        <f>DEGREES(RADIANS(H230)+ATAN2(COS(E$249/L110)-SIN(RADIANS(G230))*SIN(RADIANS(G251)),SIN(RADIANS(E$248))*SIN(E$249/L110)*COS(RADIANS(G230))))</f>
        <v>25.7645204447655</v>
      </c>
      <c r="I251" s="2">
        <f>I230</f>
        <v>1.03256626745167</v>
      </c>
    </row>
    <row r="254" customHeight="1" spans="1:9">
      <c r="A254" s="1" t="s">
        <v>329</v>
      </c>
      <c r="C254" s="1" t="b">
        <f>M27</f>
        <v>0</v>
      </c>
      <c r="D254" s="2">
        <f>(L110+I254)*COS(RADIANS(G254))*COS(RADIANS(H254))</f>
        <v>-617.600700497906</v>
      </c>
      <c r="E254" s="2">
        <f>(L110+I254)*COS(RADIANS(G254))*SIN(RADIANS(H254))</f>
        <v>-357.732858173107</v>
      </c>
      <c r="F254" s="2">
        <f>(L110+I254)*SIN(RADIANS(G254))</f>
        <v>700.425996753258</v>
      </c>
      <c r="G254" s="1">
        <f>DEGREES(ASIN(SIN(RADIANS(G232))*COS(E$249/L110)+COS(RADIANS(G232))*SIN(E$249/L110)*COS(RADIANS(E$248))))</f>
        <v>44.4611917792864</v>
      </c>
      <c r="H254" s="1">
        <f>DEGREES(RADIANS(H232)+ATAN2(COS(E$249/L110)-SIN(RADIANS(G232))*SIN(RADIANS(G254)),SIN(RADIANS(E$248))*SIN(E$249/L110)*COS(RADIANS(G232))))</f>
        <v>-149.919289958064</v>
      </c>
      <c r="I254" s="1">
        <f>I232</f>
        <v>0</v>
      </c>
    </row>
    <row r="257" customHeight="1" spans="1:9">
      <c r="A257" s="1" t="s">
        <v>330</v>
      </c>
      <c r="C257" s="1" t="b">
        <f>M33</f>
        <v>0</v>
      </c>
      <c r="D257" s="2">
        <f>(L110+I257)*COS(RADIANS(G257))*COS(RADIANS(H257))</f>
        <v>820.643439215885</v>
      </c>
      <c r="E257" s="2">
        <f>(L110+I257)*COS(RADIANS(G257))*SIN(RADIANS(H257))</f>
        <v>396.086932239349</v>
      </c>
      <c r="F257" s="2">
        <f>(L110+I257)*SIN(RADIANS(G257))</f>
        <v>414.395179290701</v>
      </c>
      <c r="G257" s="1">
        <f>DEGREES(ASIN(SIN(RADIANS(G234))*COS(E$249/L110)+COS(RADIANS(G234))*SIN(E$249/L110)*COS(RADIANS(E$248))))</f>
        <v>24.4543565311935</v>
      </c>
      <c r="H257" s="1">
        <f>DEGREES(RADIANS(H234)+ATAN2(COS(E$249/L110)-SIN(RADIANS(G234))*SIN(RADIANS(G257)),SIN(RADIANS(E$248))*SIN(E$249/L110)*COS(RADIANS(G234))))</f>
        <v>25.7644713764506</v>
      </c>
      <c r="I257" s="2">
        <f>I234</f>
        <v>1.0314065194093</v>
      </c>
    </row>
    <row r="259" customHeight="1" spans="1:9">
      <c r="A259" s="1" t="s">
        <v>331</v>
      </c>
      <c r="C259" s="1" t="b">
        <f>M30</f>
        <v>0</v>
      </c>
      <c r="D259" s="2">
        <f>(L110+I259)*COS(RADIANS(G259))*COS(RADIANS(H259))</f>
        <v>820.64409573163</v>
      </c>
      <c r="E259" s="2">
        <f>(L110+I259)*COS(RADIANS(G259))*SIN(RADIANS(H259))</f>
        <v>396.087748178336</v>
      </c>
      <c r="F259" s="2">
        <f>(L110+I259)*SIN(RADIANS(G259))</f>
        <v>414.394532912574</v>
      </c>
      <c r="G259" s="1">
        <f>DEGREES(ASIN(SIN(RADIANS(G240))*COS(E$249/L110)+COS(RADIANS(G240))*SIN(E$249/L110)*COS(RADIANS(E$248))))</f>
        <v>24.4543004408189</v>
      </c>
      <c r="H259" s="1">
        <f>DEGREES(RADIANS(H240)+ATAN2(COS(E$249/L110)-SIN(RADIANS(G240))*SIN(RADIANS(G259)),SIN(RADIANS(E$248))*SIN(E$249/L110)*COS(RADIANS(G240))))</f>
        <v>25.7644996370271</v>
      </c>
      <c r="I259" s="1">
        <f>I240</f>
        <v>1.032</v>
      </c>
    </row>
    <row r="265" customHeight="1" spans="1:16">
      <c r="A265" s="1" t="s">
        <v>332</v>
      </c>
      <c r="D265" s="2">
        <f t="shared" ref="D265:I265" si="35">IF($C268,D268,IF($C270,D270,IF($C272,D272,IF($C274,D274,IF($C280,D280,0)))))</f>
        <v>673.892</v>
      </c>
      <c r="E265" s="2">
        <f t="shared" si="35"/>
        <v>442.875</v>
      </c>
      <c r="F265" s="2">
        <f t="shared" si="35"/>
        <v>591.38</v>
      </c>
      <c r="G265" s="2">
        <f t="shared" si="35"/>
        <v>36.2550195175211</v>
      </c>
      <c r="H265" s="2">
        <f t="shared" si="35"/>
        <v>33.3125122757735</v>
      </c>
      <c r="I265" s="2">
        <f t="shared" si="35"/>
        <v>-0.000501155625556748</v>
      </c>
      <c r="J265" s="1" t="str">
        <f>CONCATENATE(IF(G265&lt;0,CONCATENATE("S ",IF(ABS(G265)&lt;10,"0",""),INT(ABS(G265)),"° ",IF(INT(60*(ABS(G265)-INT(ABS(G265))))&lt;10,"0",""),ROUND(60*(ABS(G265)-INT(ABS(G265))),1),IF(LEN(ROUND(60*(ABS(G265)-INT(ABS(G265))),1))&lt;3,".0",""),"' "),CONCATENATE("N ",IF(ABS(G265)&lt;10,"0",""),INT(ABS(G265)),"° ",IF(INT(60*(ABS(G265)-INT(ABS(G265))))&lt;10,"0",""),ROUND(60*(ABS(G265)-INT(ABS(G265))),1),IF(LEN(ROUND(60*(ABS(G265)-INT(ABS(G265))),1))&lt;3,".0",""),"' ")),"/ ",IF(H265&lt;0,CONCATENATE("W ",IF(ABS(H265)&lt;10,"00",IF(ABS(H265)&lt;100,"0","")),INT(ABS(H265)),"° ",IF(INT(60*(ABS(H265)-INT(ABS(H265))))&lt;10,"0",""),ROUND(60*(ABS(H265)-INT(ABS(H265))),1),IF(LEN(ROUND(60*(ABS(H265)-INT(ABS(H265))),1))&lt;3,".0",""),"'"),CONCATENATE("E ",IF(ABS(H265)&lt;10,"00",IF(ABS(H265)&lt;100,"0","")),INT(ABS(H265)),"° ",IF(INT(60*(ABS(H265)-INT(ABS(H265))))&lt;10,"0",""),ROUND(60*(ABS(H265)-INT(ABS(H265))),1),IF(LEN(ROUND(60*(ABS(H265)-INT(ABS(H265))),1))&lt;3,".0",""),"'")))</f>
        <v>N 36° 15.3' / E 033° 18.8'</v>
      </c>
      <c r="L265" s="1">
        <f>DEGREES(ACOS(-TAN(RADIANS(G265))*TAN(RADIANS(L108))))+L109+DEGREES(ACOS(L110/(L110+IF(I265&lt;0,0,I265))))</f>
        <v>93.8485401269089</v>
      </c>
      <c r="M265" s="1">
        <f>IF(ABS(G265)=90,0,DEGREES(MOD((ATAN2(D265,E265)),2*PI())))</f>
        <v>33.3125122757735</v>
      </c>
      <c r="N265" s="20">
        <f>IF(MOD(L111-MOD(M265-L112,360),360)&gt;180,MOD(L111-MOD(M265-L112,360),360)-360,MOD(L111-MOD(M265-L112,360),360))</f>
        <v>138.687095939129</v>
      </c>
      <c r="O265" s="66">
        <f>IF(N265&gt;L265,(N265-L265)/L113/1440,(N265-L265+360)/L113/1440)+TimeLocal</f>
        <v>45683.7329322738</v>
      </c>
      <c r="P265" s="66">
        <f>IF(N265&gt;-(L265),(N265+L265)/L113/1440,(N265+L265+360)/L113/1440)+TimeLocal</f>
        <v>45683.8224359719</v>
      </c>
    </row>
    <row r="266" customHeight="1" spans="1:16">
      <c r="A266" s="1" t="s">
        <v>333</v>
      </c>
      <c r="C266" s="1" t="b">
        <f>NOT(OR(C268,C270,C272,C274,C280))</f>
        <v>0</v>
      </c>
      <c r="M266" s="1" t="str">
        <f>IF(ABS(G265)&gt;ABS(90-ABS(L108)),IF(P266&lt;0,"Night","Daylight"),IF(N265=0,"Noon",IF(N265=-L265,"Sunset",IF(N265=L265,"Sunrise",IF(N265=180,"Midnight",IF(AND(N265&gt;-L265,N265&lt;0),CONCATENATE("Afternoon",IF(Rotation,CONCATENATE(" / Sets in ",ROUND((P265-TimeLocal)*1440,0),"m"),"")),IF(AND(N265&gt;0,N265&lt;L265),CONCATENATE("Morning",IF(Rotation,CONCATENATE(" / Sets in ",ROUND((P265-TimeLocal)*1440,0),"m"),"")),IF(AND(N265&gt;L265,N265&lt;(L265+18)),CONCATENATE("Morning Twilight",IF(Rotation,CONCATENATE(" / Rises in ",ROUND((O265-TimeLocal)*1440,0),"m"),"")),IF(AND(N265&gt;-(L265+18),N265&lt;-L265),CONCATENATE("Evening Twilight",IF(Rotation,CONCATENATE(" / Rises in ",ROUND((O265-TimeLocal)*1440,0),"m"),"")),IF(AND(N265&gt;-180,N265&lt;-(L265+18)),CONCATENATE("Night",IF(Rotation,CONCATENATE(" / Rises in ",ROUND((O265-TimeLocal)*1440,0),"m"),"")),CONCATENATE("After midnight",IF(Rotation,CONCATENATE(" / Rises in ",ROUND((O265-TimeLocal)*1440,0),"m"),""))))))))))))</f>
        <v>After midnight / Rises in 31m</v>
      </c>
      <c r="O266" s="137">
        <f>IF(NOT(Rotation),IF(ABS(G265)&gt;ABS(90-ABS(L108)),IF(P266&lt;0,"None","Continuous"),IF(ABS(N265)&gt;ABS(L265+18),"None","Continuous")),IFERROR(((2*L265)/L113)/1440,IF(P266&gt;0,"Continuous","None")))</f>
        <v>0.0895036981337986</v>
      </c>
      <c r="P266" s="3">
        <f>IFERROR(DEGREES(ACOS((SQRT(D265^2+E265^2+F265^2)^2+(SQRT(SQRT(D265^2+E265^2+F265^2)^2+SQRT(X109^2+Y109^2+Z109^2)^2-(2*SQRT(D265^2+E265^2+F265^2)*SQRT(X109^2+Y109^2+Z109^2)*COS(RADIANS(ABS(L108-G265))))))^2-SQRT(X109^2+Y109^2+Z109^2)^2)/(2*SQRT(D265^2+E265^2+F265^2)*(SQRT(SQRT(D265^2+E265^2+F265^2)^2+SQRT(X109^2+Y109^2+Z109^2)^2-(2*SQRT(D265^2+E265^2+F265^2)*SQRT(X109^2+Y109^2+Z109^2)*COS(RADIANS(ABS(L108-G265)))))))))-90,90)</f>
        <v>57.7005959653595</v>
      </c>
    </row>
    <row r="268" customHeight="1" spans="1:9">
      <c r="A268" s="1" t="s">
        <v>211</v>
      </c>
      <c r="C268" s="1" t="b">
        <f>Q17</f>
        <v>0</v>
      </c>
      <c r="D268" s="2" t="e">
        <f>VLOOKUP(R18,$C$315:$J$523,2,FALSE)</f>
        <v>#N/A</v>
      </c>
      <c r="E268" s="2" t="e">
        <f>VLOOKUP(R18,$C$315:$J$523,3,FALSE)</f>
        <v>#N/A</v>
      </c>
      <c r="F268" s="2" t="e">
        <f>VLOOKUP(R18,$C$315:$J$523,4,FALSE)</f>
        <v>#N/A</v>
      </c>
      <c r="G268" s="1" t="e">
        <f>DEGREES(ATAN2(SQRT(D268^2+E268^2),F268))</f>
        <v>#N/A</v>
      </c>
      <c r="H268" s="1" t="e">
        <f>IF(ABS(G268)=90,0,IF(DEGREES(MOD((ATAN2(D268,E268)),2*PI()))&gt;180,-(360-DEGREES(MOD((ATAN2(D268,E268)),2*PI()))),DEGREES(MOD((ATAN2(D268,E268)),2*PI()))))</f>
        <v>#N/A</v>
      </c>
      <c r="I268" s="1" t="e">
        <f>SQRT(D268^2+E268^2+F268^2)-L110</f>
        <v>#N/A</v>
      </c>
    </row>
    <row r="270" customHeight="1" spans="1:18">
      <c r="A270" s="1" t="s">
        <v>324</v>
      </c>
      <c r="C270" s="1" t="b">
        <f>Q20</f>
        <v>1</v>
      </c>
      <c r="D270" s="2">
        <f t="shared" ref="D270:F270" si="36">R21</f>
        <v>673.892</v>
      </c>
      <c r="E270" s="2">
        <f t="shared" si="36"/>
        <v>442.875</v>
      </c>
      <c r="F270" s="2">
        <f t="shared" si="36"/>
        <v>591.38</v>
      </c>
      <c r="G270" s="1">
        <f>DEGREES(ATAN2(SQRT(D270^2+E270^2),F270))</f>
        <v>36.2550195175211</v>
      </c>
      <c r="H270" s="1">
        <f>IF(ABS(G270)=90,0,IF(DEGREES(MOD((ATAN2(D270,E270)),2*PI()))&gt;180,-(360-DEGREES(MOD((ATAN2(D270,E270)),2*PI()))),DEGREES(MOD((ATAN2(D270,E270)),2*PI()))))</f>
        <v>33.3125122757735</v>
      </c>
      <c r="I270" s="2">
        <f>SQRT(D270^2+E270^2+F270^2)-L110</f>
        <v>-0.000501155625556748</v>
      </c>
      <c r="R270" s="4"/>
    </row>
    <row r="271" customHeight="1" spans="13:14">
      <c r="M271" s="1" t="str">
        <f>CONCATENATE(M272," ",O272," ",R272)</f>
        <v>36S 504396 632523</v>
      </c>
      <c r="N271" s="1" t="str">
        <f>CONCATENATE(M272," ",N272,Q272," ",LEFT(P272,3),LEFT(S272,3))</f>
        <v>36S WM 043325</v>
      </c>
    </row>
    <row r="272" customHeight="1" spans="1:19">
      <c r="A272" s="1" t="s">
        <v>293</v>
      </c>
      <c r="C272" s="1" t="b">
        <f>Q25</f>
        <v>0</v>
      </c>
      <c r="D272" s="2">
        <f>(L110+I272)*COS(RADIANS(G272))*COS(RADIANS(H272))</f>
        <v>6.67432505535307e-14</v>
      </c>
      <c r="E272" s="2">
        <f>(L110+I272)*COS(RADIANS(G272))*SIN(RADIANS(H272))</f>
        <v>0</v>
      </c>
      <c r="F272" s="2">
        <f>(L110+I272)*SIN(RADIANS(G272))</f>
        <v>1090</v>
      </c>
      <c r="G272" s="1">
        <f>S26</f>
        <v>90</v>
      </c>
      <c r="H272" s="1">
        <f>IF(S27&gt;180,S27-360,S27)</f>
        <v>0</v>
      </c>
      <c r="I272" s="1">
        <f>S28/1000</f>
        <v>90</v>
      </c>
      <c r="J272" s="1" t="str">
        <f>CONCATENATE(IF(G272&lt;0,CONCATENATE("S ",IF(ABS(G272)&lt;10,"0",""),INT(ABS(G272)),"° ",IF(INT(60*(ABS(G272)-INT(ABS(G272))))&lt;10,"0",""),ROUND(60*(ABS(G272)-INT(ABS(G272))),1),IF(LEN(ROUND(60*(ABS(G272)-INT(ABS(G272))),1))&lt;3,".0",""),"' "),CONCATENATE("N ",IF(ABS(G272)&lt;10,"0",""),INT(ABS(G272)),"° ",IF(INT(60*(ABS(G272)-INT(ABS(G272))))&lt;10,"0",""),ROUND(60*(ABS(G272)-INT(ABS(G272))),1),IF(LEN(ROUND(60*(ABS(G272)-INT(ABS(G272))),1))&lt;3,".0",""),"' ")),"/ ",IF(H272&lt;0,CONCATENATE("W ",IF(ABS(H272)&lt;10,"00",IF(ABS(H272)&lt;100,"0","")),INT(ABS(H272)),"° ",IF(INT(60*(ABS(H272)-INT(ABS(H272))))&lt;10,"0",""),ROUND(60*(ABS(H272)-INT(ABS(H272))),1),IF(LEN(ROUND(60*(ABS(H272)-INT(ABS(H272))),1))&lt;3,".0",""),"'"),CONCATENATE("E ",IF(ABS(H272)&lt;10,"00",IF(ABS(H272)&lt;100,"0","")),INT(ABS(H272)),"° ",IF(INT(60*(ABS(H272)-INT(ABS(H272))))&lt;10,"0",""),ROUND(60*(ABS(H272)-INT(ABS(H272))),1),IF(LEN(ROUND(60*(ABS(H272)-INT(ABS(H272))),1))&lt;3,".0",""),"'")))</f>
        <v>N 90° 00.0' / E 000° 00.0'</v>
      </c>
      <c r="L272" s="1" t="b">
        <f>IF(ABS(G265)&gt;80,TRUE,FALSE)</f>
        <v>0</v>
      </c>
      <c r="M272" s="1" t="str">
        <f>IF(AND(G265&lt;=80,G265&gt;=-80),IF(AND(H265&gt;=-180,H265&lt;=180),CONCATENATE(IF(INT((IF(H265&gt;=180,-180,H265)+180)/6)+1&lt;10,"0",""),INT((IF(H265&gt;=180,-180,H265)+180)/6)+1,MID($S$115,INT((G265+80)/8)+1,1))),IF(G265&gt;0,IF(H265&lt;0,"Y","Z"),IF(H265&lt;0,"A","B")))</f>
        <v>36S</v>
      </c>
      <c r="N272" s="1" t="str">
        <f>IF(NOT(L272),_xlfn.IFS(MOD(M273,3)=0,MID($U$116,INT(P273/$S$122),1),MOD(M273,3)=1,MID($S$116,INT(P273/$S$122),1),MOD(M273,3)=2,MID($T$116,INT(P273/$S$122),1)),IF(P273&gt;=$U$122,MID($S$118,(MOD(INT(ABS(O273)/$S$122),18)+1),1),MID($S$118,19-(MOD(INT(ABS(O273)/$S$122),18)+1),1)))</f>
        <v>W</v>
      </c>
      <c r="O272" s="1" t="str">
        <f>CONCATENATE(INT(P273/$S$122),P272)</f>
        <v>504396</v>
      </c>
      <c r="P272" s="1" t="str">
        <f>CONCATENATE(IF($S$122&gt;100000,IF(ROUND(P273-(INT(P273/$S$122)*$S$122),3)&lt;100000,"0",""),""),IF($S$122&gt;10000,IF(ROUND(P273-(INT(P273/$S$122)*$S$122),3)&lt;10000,"0",""),""),IF(ROUND(P273-(INT(P273/$S$122)*$S$122),3)&lt;1000,"0",""),IF(ROUND(P273-(INT(P273/$S$122)*$S$122),3)&lt;100,"0",""),IF(ROUND(P273-(INT(P273/$S$122)*$S$122),3)&lt;10,"0",""),INT(P273-(INT(P273/$S$122)*$S$122)))</f>
        <v>04396</v>
      </c>
      <c r="Q272" s="1" t="str">
        <f>IF(NOT(L272),_xlfn.IFS(MOD(M273,2)=0,MID($T$117,IF(G265&gt;=0,(MOD(INT(ABS(R273)/$S$122),20)+1),21-(MOD(INT(ABS(R273)/$S$122),20)+1)),1),MOD(M273,2)=1,MID($S$117,IF(G265&gt;=0,(MOD(INT(ABS(R273)/$S$122),20)+1),21-(MOD(INT(ABS(R273)/$S$122),20)+1)),1)),IF(S273&gt;=$U$122,IF(G265&lt;0,MID($S$119,(MOD(INT(ABS(R273)/$S$122),24)+1),1),MID($T$119,(MOD(INT(ABS(R273)/$S$122),24)+1),1)),IF(G265&lt;0,MID($S$119,25-(MOD(INT(ABS(R273)/$S$122),24)+1),1),MID($T$119,25-(MOD(INT(ABS(R273)/$S$122),24)+1),1))))</f>
        <v>M</v>
      </c>
      <c r="R272" s="1" t="str">
        <f>CONCATENATE(INT(S273/$S$122),S272)</f>
        <v>632523</v>
      </c>
      <c r="S272" s="1" t="str">
        <f>CONCATENATE(IF($S$122&gt;100000,IF(ROUND(S273-(INT(S273/$S$122)*$S$122),3)&lt;100000,"0",""),""),IF($S$122&gt;10000,IF(ROUND(S273-(INT(S273/$S$122)*$S$122),3)&lt;10000,"0",""),""),IF(ROUND(S273-(INT(S273/$S$122)*$S$122),3)&lt;1000,"0",""),IF(ROUND(S273-(INT(S273/$S$122)*$S$122),3)&lt;100,"0",""),IF(ROUND(S273-(INT(S273/$S$122)*$S$122),3)&lt;10,"0",""),INT(S273-(INT(S273/$S$122)*$S$122)))</f>
        <v>32523</v>
      </c>
    </row>
    <row r="273" customHeight="1" spans="13:19">
      <c r="M273" s="1">
        <f>INT((IF(H265&gt;=180,-180,H265)+180)/6)+1</f>
        <v>36</v>
      </c>
      <c r="N273" s="1">
        <f>IF(NOT(L272),(M273*6)-183,0)</f>
        <v>33</v>
      </c>
      <c r="O273" s="1">
        <f>IF(NOT(L272),L110*$S$121*ATANH(COS(RADIANS(G265))*SIN(RADIANS(H265)-RADIANS(N273)))*1000,L110*(2*$T$121/(1+SIN(RADIANS(N274))*SIN(RADIANS(G265))+COS(RADIANS(N274))*COS(RADIANS(G265))*COS(RADIANS(H265)-RADIANS(N273))))*COS(RADIANS(G265))*SIN(RADIANS(H265)-RADIANS(N273))*1000)</f>
        <v>4396.61041372933</v>
      </c>
      <c r="P273" s="1">
        <f>IF(NOT(L272),$T$122+ROUND(O273,4),$U$122+ROUND(O273,4))</f>
        <v>504396.6104</v>
      </c>
      <c r="R273" s="1">
        <f>IF(NOT(L272),L110*$S$121*ATAN(TAN(RADIANS(G265))/COS(RADIANS(H265)-RADIANS(N273)))*1000,L110*(2*$T$121/(1+SIN(RADIANS(N274))*SIN(RADIANS(G265))+COS(RADIANS(N274))*COS(RADIANS(G265))*COS(RADIANS(H265)-RADIANS(N273))))*(COS(RADIANS(N274))*SIN(RADIANS(G265))-SIN(RADIANS(N274))*COS(RADIANS(G265))*COS(RADIANS(H265)-RADIANS(N273)))*1000)</f>
        <v>632523.444077771</v>
      </c>
      <c r="S273" s="1">
        <f>IF(NOT(L272),IF(R273&gt;=0,ROUND(R273,4),$V$122+ROUND(R273,4)),$U$122+ROUND(R273,4))</f>
        <v>632523.4441</v>
      </c>
    </row>
    <row r="274" customHeight="1" spans="1:14">
      <c r="A274" s="1" t="s">
        <v>325</v>
      </c>
      <c r="C274" s="1" t="b">
        <f>Q34</f>
        <v>0</v>
      </c>
      <c r="D274" s="2">
        <f>_xlfn.IFNA((((((U37^2)-(U36^2)+(D275^2)+(E275^2)+(F275^2)-(D276^2)-(E276^2)-(F276^2))/2)*(E275-E277)*(F275-F278))+((E275-E276)*(F275-F277)*(((U39^2)-(U36^2)+(D275^2)+(E275^2)+(F275^2)-(D278^2)-(E278^2)-(F278^2))/2))+((F275-F276)*(((U38^2)-(U36^2)+(D275^2)+(E275^2)+(F275^2)-(D277^2)-(E277^2)-(F277^2))/2)*(E275-E278))-((((U39^2)-(U36^2)+(D275^2)+(E275^2)+(F275^2)-(D278^2)-(E278^2)-(F278^2))/2)*(E275-E277)*(F275-F276))-((E275-E278)*(F275-F277)*(((U37^2)-(U36^2)+(D275^2)+(E275^2)+(F275^2)-(D276^2)-(E276^2)-(F276^2))/2))-((F275-F278)*(((U38^2)-(U36^2)+(D275^2)+(E275^2)+(F275^2)-(D277^2)-(E277^2)-(F277^2))/2)*(E275-E276)))/(((D275-D276)*(E275-E277)*(F275-F278))+((E275-E276)*(F275-F277)*(D275-D278))+((F275-F276)*(D275-D277)*(E275-E278))-((D275-D278)*(E275-E277)*(F275-F276))-((E275-E278)*(F275-F277)*(D275-D276))-((F275-F278)*(D275-D277)*(E275-E276))),"")</f>
        <v>673.8921362814</v>
      </c>
      <c r="E274" s="2">
        <f>_xlfn.IFNA((((D275-D276)*(((U38^2)-(U36^2)+(D275^2)+(E275^2)+(F275^2)-(D277^2)-(E277^2)-(F277^2))/2)*(F275-F278))+((((U37^2)-(U36^2)+(D275^2)+(E275^2)+(F275^2)-(D276^2)-(E276^2)-(F276^2))/2)*(F275-F277)*(D275-D278))+((F275-F276)*(D275-D277)*(((U39^2)-(U36^2)+(D275^2)+(E275^2)+(F275^2)-(D278^2)-(E278^2)-(F278^2))/2))-((D275-D278)*(((U38^2)-(U36^2)+(D275^2)+(E275^2)+(F275^2)-(D277^2)-(E277^2)-(F277^2))/2)*(F275-F276))-((((U39^2)-(U36^2)+(D275^2)+(E275^2)+(F275^2)-(D278^2)-(E278^2)-(F278^2))/2)*(F275-F277)*(D275-D276))-((F275-F278)*(D275-D277)*(((U37^2)-(U36^2)+(D275^2)+(E275^2)+(F275^2)-(D276^2)-(E276^2)-(F276^2))/2)))/(((D275-D276)*(E275-E277)*(F275-F278))+((E275-E276)*(F275-F277)*(D275-D278))+((F275-F276)*(D275-D277)*(E275-E278))-((D275-D278)*(E275-E277)*(F275-F276))-((E275-E278)*(F275-F277)*(D275-D276))-((F275-F278)*(D275-D277)*(E275-E276))),"")</f>
        <v>442.874987448362</v>
      </c>
      <c r="F274" s="2">
        <f>_xlfn.IFNA((((D275-D276)*(E275-E277)*(((U39^2)-(U36^2)+(D275^2)+(E275^2)+(F275^2)-(D278^2)-(E278^2)-(F278^2))/2))+((E275-E276)*(((U38^2)-(U36^2)+(D275^2)+(E275^2)+(F275^2)-(D277^2)-(E277^2)-(F277^2))/2)*(D275-D278))+((((U37^2)-(U36^2)+(D275^2)+(E275^2)+(F275^2)-(D276^2)-(E276^2)-(F276^2))/2)*(D275-D277)*(E275-E278))-((D275-D278)*(E275-E277)*(((U37^2)-(U36^2)+(D275^2)+(E275^2)+(F275^2)-(D276^2)-(E276^2)-(F276^2))/2))-((E275-E278)*(((U38^2)-(U36^2)+(D275^2)+(E275^2)+(F275^2)-(D277^2)-(E277^2)-(F277^2))/2)*(D275-D276))-((((U39^2)-(U36^2)+(D275^2)+(E275^2)+(F275^2)-(D278^2)-(E278^2)-(F278^2))/2)*(D275-D277)*(E275-E276)))/(((D275-D276)*(E275-E277)*(F275-F278))+((E275-E276)*(F275-F277)*(D275-D278))+((F275-F276)*(D275-D277)*(E275-E278))-((D275-D278)*(E275-E277)*(F275-F276))-((E275-E278)*(F275-F277)*(D275-D276))-((F275-F278)*(D275-D277)*(E275-E276))),"")</f>
        <v>591.380293820719</v>
      </c>
      <c r="G274" s="1">
        <f t="shared" ref="G274:G278" si="37">DEGREES(ATAN2(SQRT(D274^2+E274^2),F274))</f>
        <v>36.2550294675107</v>
      </c>
      <c r="H274" s="1">
        <f t="shared" ref="H274:H278" si="38">IF(ABS(G274)=90,0,IF(DEGREES(MOD((ATAN2(D274,E274)),2*PI()))&gt;180,-(360-DEGREES(MOD((ATAN2(D274,E274)),2*PI()))),DEGREES(MOD((ATAN2(D274,E274)),2*PI()))))</f>
        <v>33.3125062125023</v>
      </c>
      <c r="I274" s="2">
        <f>SQRT(D274^2+E274^2+F274^2)-L110</f>
        <v>-0.000241115641301803</v>
      </c>
      <c r="J274" s="1" t="str">
        <f>CONCATENATE(IF(G274&lt;0,CONCATENATE("S ",IF(ABS(G274)&lt;10,"0",""),INT(ABS(G274)),"° ",IF(INT(60*(ABS(G274)-INT(ABS(G274))))&lt;10,"0",""),ROUND(60*(ABS(G274)-INT(ABS(G274))),1),IF(LEN(ROUND(60*(ABS(G274)-INT(ABS(G274))),1))&lt;3,".0",""),"' "),CONCATENATE("N ",IF(ABS(G274)&lt;10,"0",""),INT(ABS(G274)),"° ",IF(INT(60*(ABS(G274)-INT(ABS(G274))))&lt;10,"0",""),ROUND(60*(ABS(G274)-INT(ABS(G274))),1),IF(LEN(ROUND(60*(ABS(G274)-INT(ABS(G274))),1))&lt;3,".0",""),"' ")),"/ ",IF(H274&lt;0,CONCATENATE("W ",IF(ABS(H274)&lt;10,"00",IF(ABS(H274)&lt;100,"0","")),INT(ABS(H274)),"° ",IF(INT(60*(ABS(H274)-INT(ABS(H274))))&lt;10,"0",""),ROUND(60*(ABS(H274)-INT(ABS(H274))),1),IF(LEN(ROUND(60*(ABS(H274)-INT(ABS(H274))),1))&lt;3,".0",""),"'"),CONCATENATE("E ",IF(ABS(H274)&lt;10,"00",IF(ABS(H274)&lt;100,"0","")),INT(ABS(H274)),"° ",IF(INT(60*(ABS(H274)-INT(ABS(H274))))&lt;10,"0",""),ROUND(60*(ABS(H274)-INT(ABS(H274))),1),IF(LEN(ROUND(60*(ABS(H274)-INT(ABS(H274))),1))&lt;3,".0",""),"'")))</f>
        <v>N 36° 15.3' / E 033° 18.8'</v>
      </c>
      <c r="N274" s="1">
        <f>IF(NOT(L272),0,IF(G265&gt;0,90,-90))</f>
        <v>0</v>
      </c>
    </row>
    <row r="275" customHeight="1" spans="4:18">
      <c r="D275" s="2">
        <f t="shared" ref="D275:D278" si="39">VLOOKUP(S36,$C$315:$J$523,2,FALSE)</f>
        <v>0</v>
      </c>
      <c r="E275" s="2">
        <f t="shared" ref="E275:E278" si="40">VLOOKUP(S36,$C$315:$J$523,3,FALSE)</f>
        <v>0</v>
      </c>
      <c r="F275" s="2">
        <f t="shared" ref="F275:F278" si="41">VLOOKUP(S36,$C$315:$J$523,4,FALSE)</f>
        <v>1439.593</v>
      </c>
      <c r="G275" s="1">
        <f t="shared" si="37"/>
        <v>90</v>
      </c>
      <c r="H275" s="1">
        <f t="shared" si="38"/>
        <v>0</v>
      </c>
      <c r="I275" s="2">
        <f>SQRT(D275^2+E275^2+F275^2)-L110</f>
        <v>439.593</v>
      </c>
      <c r="R275" s="4"/>
    </row>
    <row r="276" customHeight="1" spans="4:18">
      <c r="D276" s="2">
        <f t="shared" si="39"/>
        <v>0</v>
      </c>
      <c r="E276" s="2">
        <f t="shared" si="40"/>
        <v>0</v>
      </c>
      <c r="F276" s="2">
        <f t="shared" si="41"/>
        <v>-1439.593</v>
      </c>
      <c r="G276" s="1">
        <f t="shared" si="37"/>
        <v>-90</v>
      </c>
      <c r="H276" s="1">
        <f t="shared" si="38"/>
        <v>0</v>
      </c>
      <c r="I276" s="2">
        <f>SQRT(D276^2+E276^2+F276^2)-L110</f>
        <v>439.593</v>
      </c>
      <c r="L276" s="1" t="str">
        <f>CONCATENATE(IF(M276&lt;100,"0",""),IF(M276&lt;10,"0",""),M276,N276,O276,P276)</f>
        <v>427LN27</v>
      </c>
      <c r="M276" s="1">
        <f>IF(ABS(G265)=90,1,INT(MOD(H265+180,360)/0.5)+1)</f>
        <v>427</v>
      </c>
      <c r="N276" s="1" t="str">
        <f>CONCATENATE(MID($S$125,INT(INT((G265+90)/0.5)/24)+1,1),MID($S$125,MOD(INT((G265+90)/0.5),24)+1,1))</f>
        <v>LN</v>
      </c>
      <c r="O276" s="1">
        <f>_xlfn.IFS(AND(IF(MOD((G265+90)/0.5,1)&gt;=0.5,TRUE,FALSE),NOT(IF(MOD(MOD(H265+180,360)/0.5,1)&gt;=0.5,TRUE,FALSE))),1,AND(IF(MOD((G265+90)/0.5,1)&gt;=0.5,TRUE,FALSE),IF(MOD(MOD(H265+180,360)/0.5,1)&gt;=0.5,TRUE,FALSE)),2,AND(NOT(IF(MOD((G265+90)/0.5,1)&gt;=0.5,TRUE,FALSE)),NOT(IF(MOD(MOD(H265+180,360)/0.5,1)&gt;=0.5,TRUE,FALSE))),3,AND(NOT(IF(MOD((G265+90)/0.5,1)&gt;=0.5,TRUE,FALSE)),IF(MOD(MOD(H265+180,360)/0.5,1)&gt;=0.5,TRUE,FALSE)),4)</f>
        <v>2</v>
      </c>
      <c r="P276" s="1">
        <f>_xlfn.IFS(AND(Q276=0,R276=2),1,AND(Q276=1,R276=2),2,AND(Q276=2,R276=2),3,AND(Q276=0,R276=1),4,AND(Q276=1,R276=1),5,AND(Q276=2,R276=1),6,AND(Q276=0,R276=0),7,AND(Q276=1,R276=0),8,AND(Q276=2,R276=0),9)</f>
        <v>7</v>
      </c>
      <c r="Q276" s="1">
        <f>INT(6*IF(IF(MOD(MOD(H265+180,360)/0.5,1)&gt;=0.5,TRUE,FALSE),MOD(MOD(H265+180,360)/0.5,1)-0.5,MOD(MOD(H265+180,360)/0.5,1)))</f>
        <v>0</v>
      </c>
      <c r="R276" s="1">
        <f>INT(6*IF(IF(MOD((G265+90)/0.5,1)&gt;=0.5,TRUE,FALSE),MOD((G265+90)/0.5,1)-0.5,MOD((G265+90)/0.5,1)))</f>
        <v>0</v>
      </c>
    </row>
    <row r="277" customHeight="1" spans="4:18">
      <c r="D277" s="2">
        <f t="shared" si="39"/>
        <v>0</v>
      </c>
      <c r="E277" s="2">
        <f t="shared" si="40"/>
        <v>1439.593</v>
      </c>
      <c r="F277" s="2">
        <f t="shared" si="41"/>
        <v>0</v>
      </c>
      <c r="G277" s="1">
        <f t="shared" si="37"/>
        <v>0</v>
      </c>
      <c r="H277" s="1">
        <f t="shared" si="38"/>
        <v>90</v>
      </c>
      <c r="I277" s="2">
        <f>SQRT(D277^2+E277^2+F277^2)-L110</f>
        <v>439.593</v>
      </c>
      <c r="R277" s="4"/>
    </row>
    <row r="278" customHeight="1" spans="4:18">
      <c r="D278" s="2">
        <f t="shared" si="39"/>
        <v>1439.593</v>
      </c>
      <c r="E278" s="2">
        <f t="shared" si="40"/>
        <v>0</v>
      </c>
      <c r="F278" s="2">
        <f t="shared" si="41"/>
        <v>0</v>
      </c>
      <c r="G278" s="1">
        <f t="shared" si="37"/>
        <v>0</v>
      </c>
      <c r="H278" s="1">
        <f t="shared" si="38"/>
        <v>0</v>
      </c>
      <c r="I278" s="2">
        <f>SQRT(D278^2+E278^2+F278^2)-L110</f>
        <v>439.593</v>
      </c>
      <c r="R278" s="4"/>
    </row>
    <row r="279" customHeight="1" spans="18:18">
      <c r="R279" s="4"/>
    </row>
    <row r="280" customHeight="1" spans="1:18">
      <c r="A280" s="1" t="s">
        <v>45</v>
      </c>
      <c r="C280" s="1" t="b">
        <f>Q30</f>
        <v>0</v>
      </c>
      <c r="D280" s="2">
        <f>(L110+I280)*COS(RADIANS(G280))*COS(RADIANS(H280))</f>
        <v>673.89289246175</v>
      </c>
      <c r="E280" s="2">
        <f>(L110+I280)*COS(RADIANS(G280))*SIN(RADIANS(H280))</f>
        <v>442.874854087617</v>
      </c>
      <c r="F280" s="2">
        <f>(L110+I280)*SIN(RADIANS(G280))</f>
        <v>591.379939722686</v>
      </c>
      <c r="G280" s="1">
        <f>IF(NOT(L283),DEGREES(ASIN(SIN((N281/(L110*$S$121))+RADIANS(0))/COSH(M281/(L110*$S$121)))),IF(NOT(O281),DEGREES(ASIN((COS(2*ATAN(SQRT(M281^2+N281^2)/(2*L110*$T$121)))*SIN(RADIANS(L282)))+(N281*SIN(2*ATAN(SQRT(M281^2+N281^2)/(2*L110*$T$121)))*COS(RADIANS(L282))/SQRT(M281^2+N281^2)))),L282))</f>
        <v>36.2549941767855</v>
      </c>
      <c r="H280" s="1">
        <f>IF(NOT(L283),DEGREES(RADIANS(L281)+ATAN((SINH(M281/(L110*$S$121)))/(COS((N281/(L110*$S$121))+RADIANS(0))))),IF(NOT(O281),IF(OR(AND(L282&gt;0,N281&lt;0),AND(L282&lt;0,N281&gt;0)),DEGREES(ATAN(M281*SIN(2*ATAN(SQRT(M281^2+N281^2)/(2*L110*$T$121)))/(SQRT(M281^2+N281^2)*COS(RADIANS(L282))*COS(2*ATAN(SQRT(M281^2+N281^2)/(2*L110*$T$121)))-N281*SIN(RADIANS(L282))*SIN(2*ATAN(SQRT(M281^2+N281^2)/(2*L110*$T$121)))))),IF(M281&gt;=0,180+DEGREES(ATAN(M281*SIN(2*ATAN(SQRT(M281^2+N281^2)/(2*L110*$T$121)))/(SQRT(M281^2+N281^2)*COS(RADIANS(L282))*COS(2*ATAN(SQRT(M281^2+N281^2)/(2*L110*$T$121)))-N281*SIN(RADIANS(L282))*SIN(2*ATAN(SQRT(M281^2+N281^2)/(2*L110*$T$121)))))),-180+DEGREES(ATAN(M281*SIN(2*ATAN(SQRT(M281^2+N281^2)/(2*L110*$T$121)))/(SQRT(M281^2+N281^2)*COS(RADIANS(L282))*COS(2*ATAN(SQRT(M281^2+N281^2)/(2*L110*$T$121)))-N281*SIN(RADIANS(L282))*SIN(2*ATAN(SQRT(M281^2+N281^2)/(2*L110*$T$121)))))))),0))</f>
        <v>33.3124687861764</v>
      </c>
      <c r="I280" s="1">
        <f>U31/1000</f>
        <v>0</v>
      </c>
      <c r="J280" s="1" t="str">
        <f>CONCATENATE(IF(G280&lt;0,CONCATENATE("S ",IF(ABS(G280)&lt;10,"0",""),INT(ABS(G280)),"° ",IF(INT(60*(ABS(G280)-INT(ABS(G280))))&lt;10,"0",""),ROUND(60*(ABS(G280)-INT(ABS(G280))),1),IF(LEN(ROUND(60*(ABS(G280)-INT(ABS(G280))),1))&lt;3,".0",""),"' "),CONCATENATE("N ",IF(ABS(G280)&lt;10,"0",""),INT(ABS(G280)),"° ",IF(INT(60*(ABS(G280)-INT(ABS(G280))))&lt;10,"0",""),ROUND(60*(ABS(G280)-INT(ABS(G280))),1),IF(LEN(ROUND(60*(ABS(G280)-INT(ABS(G280))),1))&lt;3,".0",""),"' ")),"/ ",IF(H280&lt;0,CONCATENATE("W ",IF(ABS(H280)&lt;10,"00",IF(ABS(H280)&lt;100,"0","")),INT(ABS(H280)),"° ",IF(INT(60*(ABS(H280)-INT(ABS(H280))))&lt;10,"0",""),ROUND(60*(ABS(H280)-INT(ABS(H280))),1),IF(LEN(ROUND(60*(ABS(H280)-INT(ABS(H280))),1))&lt;3,".0",""),"'"),CONCATENATE("E ",IF(ABS(H280)&lt;10,"00",IF(ABS(H280)&lt;100,"0","")),INT(ABS(H280)),"° ",IF(INT(60*(ABS(H280)-INT(ABS(H280))))&lt;10,"0",""),ROUND(60*(ABS(H280)-INT(ABS(H280))),1),IF(LEN(ROUND(60*(ABS(H280)-INT(ABS(H280))),1))&lt;3,".0",""),"'")))</f>
        <v>N 36° 15.3' / E 033° 18.7'</v>
      </c>
      <c r="L280" s="1" t="str">
        <f t="shared" ref="L280:N280" si="42">R31</f>
        <v>36S</v>
      </c>
      <c r="M280" s="1">
        <f t="shared" si="42"/>
        <v>504396</v>
      </c>
      <c r="N280" s="1">
        <f t="shared" si="42"/>
        <v>632523</v>
      </c>
      <c r="R280" s="4"/>
    </row>
    <row r="281" customHeight="1" spans="12:18">
      <c r="L281" s="1">
        <f>IF(NOT(L283),(M282*6)-183,IF((N283-10)&lt;=0,0,180))</f>
        <v>33</v>
      </c>
      <c r="M281" s="1">
        <f>IF(NOT(L283),(M280-$T$122)/1000,(M280-$U$122)/1000)</f>
        <v>4.396</v>
      </c>
      <c r="N281" s="1">
        <f>IF(NOT(L283),IF((N283-10)&lt;=0,(N280-$V$122)/1000,N280/1000),(N280-$U$122)/1000)</f>
        <v>632.523</v>
      </c>
      <c r="O281" s="1" t="b">
        <f>IF(AND(M281=0,N281=0),TRUE,FALSE)</f>
        <v>0</v>
      </c>
      <c r="R281" s="4"/>
    </row>
    <row r="282" customHeight="1" spans="12:18">
      <c r="L282" s="1">
        <f>IF(NOT(L283),0,IF(OR(N282="A",N282="B"),-90,90))</f>
        <v>0</v>
      </c>
      <c r="M282" s="1">
        <f>VALUE(LEFT(L280,M283-1))</f>
        <v>36</v>
      </c>
      <c r="N282" s="1" t="str">
        <f>IF(LEN(L280)=1,UPPER(L280),UPPER(RIGHT(L280,1)))</f>
        <v>S</v>
      </c>
      <c r="R282" s="4"/>
    </row>
    <row r="283" customHeight="1" spans="12:18">
      <c r="L283" s="1" t="b">
        <f>IF(LEN(L280)=1,TRUE,FALSE)</f>
        <v>0</v>
      </c>
      <c r="M283" s="1">
        <f>FIND(N282,UPPER(L280))</f>
        <v>3</v>
      </c>
      <c r="N283" s="1">
        <f>IF(NOT(L283),FIND(N282,$S$115),"")</f>
        <v>15</v>
      </c>
      <c r="R283" s="4"/>
    </row>
    <row r="284" customHeight="1" spans="18:18">
      <c r="R284" s="4"/>
    </row>
    <row r="285" customHeight="1" spans="18:18">
      <c r="R285" s="4"/>
    </row>
    <row r="286" customHeight="1" spans="18:18">
      <c r="R286" s="4"/>
    </row>
    <row r="287" customHeight="1" spans="18:18">
      <c r="R287" s="4"/>
    </row>
    <row r="288" customHeight="1" spans="18:18">
      <c r="R288" s="4"/>
    </row>
    <row r="289" customHeight="1" spans="18:18">
      <c r="R289" s="4"/>
    </row>
    <row r="290" customHeight="1" spans="1:18">
      <c r="A290" s="1" t="s">
        <v>225</v>
      </c>
      <c r="D290" s="2">
        <f>(L110+I290)*COS(RADIANS(G290))*COS(RADIANS(H290))</f>
        <v>673.892446525499</v>
      </c>
      <c r="E290" s="2">
        <f>(L110+I290)*COS(RADIANS(G290))*SIN(RADIANS(H290))</f>
        <v>442.874801380708</v>
      </c>
      <c r="F290" s="2">
        <f>(L110+I290)*SIN(RADIANS(G290))</f>
        <v>591.380487349622</v>
      </c>
      <c r="G290" s="1">
        <f>(G225+G130)/2</f>
        <v>36.2550330867434</v>
      </c>
      <c r="H290" s="1">
        <f>IF((IF(H225&lt;0,H225+360,H225)+IF(H130&lt;0,H130+360,H130))/2&gt;180,(IF(H225&lt;0,H225+360,H225)+IF(H130&lt;0,H130+360,H130))/2-360,(IF(H225&lt;0,H225+360,H225)+IF(H130&lt;0,H130+360,H130))/2)</f>
        <v>33.3124830579403</v>
      </c>
      <c r="I290" s="1">
        <v>0</v>
      </c>
      <c r="J290" s="1" t="str">
        <f>CONCATENATE(IF(G290&lt;0,CONCATENATE("S ",IF(ABS(G290)&lt;10,"0",""),INT(ABS(G290)),"° ",IF(INT(60*(ABS(G290)-INT(ABS(G290))))&lt;10,"0",""),ROUND(60*(ABS(G290)-INT(ABS(G290))),1),IF(LEN(ROUND(60*(ABS(G290)-INT(ABS(G290))),1))&lt;3,".0",""),"' "),CONCATENATE("N ",IF(ABS(G290)&lt;10,"0",""),INT(ABS(G290)),"° ",IF(INT(60*(ABS(G290)-INT(ABS(G290))))&lt;10,"0",""),ROUND(60*(ABS(G290)-INT(ABS(G290))),1),IF(LEN(ROUND(60*(ABS(G290)-INT(ABS(G290))),1))&lt;3,".0",""),"' ")),"/ ",IF(H290&lt;0,CONCATENATE("W ",IF(ABS(H290)&lt;10,"00",IF(ABS(H290)&lt;100,"0","")),INT(ABS(H290)),"° ",IF(INT(60*(ABS(H290)-INT(ABS(H290))))&lt;10,"0",""),ROUND(60*(ABS(H290)-INT(ABS(H290))),1),IF(LEN(ROUND(60*(ABS(H290)-INT(ABS(H290))),1))&lt;3,".0",""),"'"),CONCATENATE("E ",IF(ABS(H290)&lt;10,"00",IF(ABS(H290)&lt;100,"0","")),INT(ABS(H290)),"° ",IF(INT(60*(ABS(H290)-INT(ABS(H290))))&lt;10,"0",""),ROUND(60*(ABS(H290)-INT(ABS(H290))),1),IF(LEN(ROUND(60*(ABS(H290)-INT(ABS(H290))),1))&lt;3,".0",""),"'")))</f>
        <v>N 36° 15.3' / E 033° 18.7'</v>
      </c>
      <c r="R290" s="4"/>
    </row>
    <row r="291" customHeight="1" spans="18:18">
      <c r="R291" s="4"/>
    </row>
    <row r="292" customHeight="1" spans="18:18">
      <c r="R292" s="4"/>
    </row>
    <row r="293" customHeight="1" spans="18:18">
      <c r="R293" s="4"/>
    </row>
    <row r="294" customHeight="1" spans="18:18">
      <c r="R294" s="4"/>
    </row>
    <row r="295" customHeight="1" spans="10:18">
      <c r="J295" s="2">
        <f>IF(H130&lt;0,H130+360,H130)</f>
        <v>38.8462345236517</v>
      </c>
      <c r="R295" s="4"/>
    </row>
    <row r="296" customHeight="1" spans="10:18">
      <c r="J296" s="2">
        <f>IF(H225&lt;0,H225+360,H225)</f>
        <v>27.7787315922288</v>
      </c>
      <c r="R296" s="4"/>
    </row>
    <row r="297" customHeight="1" spans="10:18">
      <c r="J297" s="1">
        <f>(J295+J296)/2</f>
        <v>33.3124830579403</v>
      </c>
      <c r="R297" s="4"/>
    </row>
    <row r="298" customHeight="1" spans="10:18">
      <c r="J298" s="1">
        <f>IF(J297&gt;180,J297-360,J297)</f>
        <v>33.3124830579403</v>
      </c>
      <c r="R298" s="4"/>
    </row>
    <row r="299" customHeight="1" spans="18:18">
      <c r="R299" s="4"/>
    </row>
    <row r="300" customHeight="1" spans="18:18">
      <c r="R300" s="4"/>
    </row>
    <row r="313" customHeight="1" spans="2:2">
      <c r="B313" s="1" t="s">
        <v>179</v>
      </c>
    </row>
    <row r="314" customHeight="1" spans="2:10">
      <c r="B314" s="1" t="s">
        <v>181</v>
      </c>
      <c r="C314" s="1" t="s">
        <v>182</v>
      </c>
      <c r="D314" s="1" t="s">
        <v>12</v>
      </c>
      <c r="E314" s="1" t="s">
        <v>13</v>
      </c>
      <c r="F314" s="1" t="s">
        <v>14</v>
      </c>
      <c r="G314" s="1" t="s">
        <v>183</v>
      </c>
      <c r="H314" s="1" t="s">
        <v>184</v>
      </c>
      <c r="I314" s="1" t="s">
        <v>185</v>
      </c>
      <c r="J314" s="1" t="s">
        <v>186</v>
      </c>
    </row>
    <row r="315" customHeight="1" spans="2:6">
      <c r="B315" s="1" t="str">
        <f t="shared" ref="B315:B321" si="43">C315</f>
        <v>microTech</v>
      </c>
      <c r="C315" s="1" t="str">
        <f>B1</f>
        <v>microTech</v>
      </c>
      <c r="D315" s="1">
        <v>0</v>
      </c>
      <c r="E315" s="1">
        <v>0</v>
      </c>
      <c r="F315" s="1">
        <v>0</v>
      </c>
    </row>
    <row r="316" customHeight="1" spans="2:6">
      <c r="B316" s="1" t="str">
        <f t="shared" si="43"/>
        <v>OM1</v>
      </c>
      <c r="C316" s="1" t="str">
        <f>IF(MID(C$315,4,2)="-L","","OM1")</f>
        <v>OM1</v>
      </c>
      <c r="D316" s="1">
        <v>0</v>
      </c>
      <c r="E316" s="1">
        <v>0</v>
      </c>
      <c r="F316" s="2">
        <f>H1</f>
        <v>1439.593</v>
      </c>
    </row>
    <row r="317" customHeight="1" spans="2:6">
      <c r="B317" s="1" t="str">
        <f t="shared" si="43"/>
        <v>OM2</v>
      </c>
      <c r="C317" s="1" t="str">
        <f>IF(MID(C$315,4,2)="-L","","OM2")</f>
        <v>OM2</v>
      </c>
      <c r="D317" s="1">
        <v>0</v>
      </c>
      <c r="E317" s="1">
        <v>0</v>
      </c>
      <c r="F317" s="2">
        <f>-H1</f>
        <v>-1439.593</v>
      </c>
    </row>
    <row r="318" customHeight="1" spans="2:6">
      <c r="B318" s="1" t="str">
        <f t="shared" si="43"/>
        <v>OM3</v>
      </c>
      <c r="C318" s="1" t="str">
        <f>IF(MID(C$315,4,2)="-L","","OM3")</f>
        <v>OM3</v>
      </c>
      <c r="D318" s="1">
        <v>0</v>
      </c>
      <c r="E318" s="2">
        <f>H1</f>
        <v>1439.593</v>
      </c>
      <c r="F318" s="1">
        <v>0</v>
      </c>
    </row>
    <row r="319" customHeight="1" spans="2:6">
      <c r="B319" s="1" t="str">
        <f t="shared" si="43"/>
        <v>OM4</v>
      </c>
      <c r="C319" s="1" t="str">
        <f>IF(MID(C$315,4,2)="-L","","OM4")</f>
        <v>OM4</v>
      </c>
      <c r="D319" s="1">
        <v>0</v>
      </c>
      <c r="E319" s="2">
        <f>-H1</f>
        <v>-1439.593</v>
      </c>
      <c r="F319" s="1">
        <v>0</v>
      </c>
    </row>
    <row r="320" customHeight="1" spans="2:6">
      <c r="B320" s="1" t="str">
        <f t="shared" si="43"/>
        <v>OM5</v>
      </c>
      <c r="C320" s="1" t="str">
        <f>IF(MID(C$315,4,2)="-L","","OM5")</f>
        <v>OM5</v>
      </c>
      <c r="D320" s="2">
        <f>H1</f>
        <v>1439.593</v>
      </c>
      <c r="E320" s="1">
        <v>0</v>
      </c>
      <c r="F320" s="1">
        <v>0</v>
      </c>
    </row>
    <row r="321" customHeight="1" spans="2:6">
      <c r="B321" s="1" t="str">
        <f t="shared" si="43"/>
        <v>OM6</v>
      </c>
      <c r="C321" s="1" t="str">
        <f>IF(MID(C$315,4,2)="-L","","OM6")</f>
        <v>OM6</v>
      </c>
      <c r="D321" s="2">
        <f>-H1</f>
        <v>-1439.593</v>
      </c>
      <c r="E321" s="1">
        <v>0</v>
      </c>
      <c r="F321" s="1">
        <v>0</v>
      </c>
    </row>
    <row r="322" customHeight="1" spans="1:11">
      <c r="A322" s="1">
        <v>1</v>
      </c>
      <c r="B322" s="1" t="str">
        <f t="shared" ref="B322:B523" si="44">_xlfn.IFNA(IF(K322,C322,""),"")</f>
        <v>New Babbage</v>
      </c>
      <c r="C322" s="1" t="str">
        <f t="shared" ref="C322:C385" si="45">_xlfn.IFNA(VLOOKUP(CONCATENATE(C$315," ",IF(A322&lt;10,"0",""),A322),Database,4,FALSE),"")</f>
        <v>New Babbage</v>
      </c>
      <c r="D322" s="1">
        <f t="shared" ref="D322:D385" si="46">_xlfn.IFNA(VLOOKUP(CONCATENATE(C$315," ",IF(A322&lt;10,"0",""),A322),Database,6,FALSE),"")</f>
        <v>520.722992113</v>
      </c>
      <c r="E322" s="1">
        <f t="shared" ref="E322:E385" si="47">_xlfn.IFNA(VLOOKUP(CONCATENATE(C$315," ",IF(A322&lt;10,"0",""),A322),Database,7,FALSE),"")</f>
        <v>419.364313161999</v>
      </c>
      <c r="F322" s="1">
        <f t="shared" ref="F322:F385" si="48">_xlfn.IFNA(VLOOKUP(CONCATENATE(C$315," ",IF(A322&lt;10,"0",""),A322),Database,8,FALSE),"")</f>
        <v>743.654685314</v>
      </c>
      <c r="G322" s="1">
        <f t="shared" ref="G322:G385" si="49">_xlfn.IFNA(VLOOKUP(CONCATENATE(C$315," ",IF(A322&lt;10,"0",""),A322),Database,9,FALSE),"")</f>
        <v>0</v>
      </c>
      <c r="H322" s="1">
        <f t="shared" ref="H322:H385" si="50">_xlfn.IFNA(VLOOKUP(CONCATENATE(C$315," ",IF(A322&lt;10,"0",""),A322),Database,10,FALSE),"")</f>
        <v>0</v>
      </c>
      <c r="I322" s="1">
        <f t="shared" ref="I322:I385" si="51">_xlfn.IFNA(VLOOKUP(CONCATENATE(C$315," ",IF(A322&lt;10,"0",""),A322),Database,11,FALSE),"")</f>
        <v>0</v>
      </c>
      <c r="J322" s="1">
        <f t="shared" ref="J322:J385" si="52">_xlfn.IFNA(VLOOKUP(CONCATENATE(C$315," ",IF(A322&lt;10,"0",""),A322),Database,12,FALSE),"")</f>
        <v>0</v>
      </c>
      <c r="K322" s="1" t="b">
        <f t="shared" ref="K322:K385" si="53">_xlfn.IFNA(VLOOKUP(CONCATENATE(C$315," ",IF(A322&lt;10,"0",""),A322),Database,13,FALSE),"")</f>
        <v>1</v>
      </c>
    </row>
    <row r="323" customHeight="1" spans="1:11">
      <c r="A323" s="1">
        <v>2</v>
      </c>
      <c r="B323" s="1" t="str">
        <f t="shared" si="44"/>
        <v>Port Tressler</v>
      </c>
      <c r="C323" s="1" t="str">
        <f t="shared" si="45"/>
        <v>Port Tressler</v>
      </c>
      <c r="D323" s="1">
        <f t="shared" si="46"/>
        <v>561.471046150999</v>
      </c>
      <c r="E323" s="1">
        <f t="shared" si="47"/>
        <v>545.853017028999</v>
      </c>
      <c r="F323" s="1">
        <f t="shared" si="48"/>
        <v>808.831762530999</v>
      </c>
      <c r="G323" s="1">
        <f t="shared" si="49"/>
        <v>0</v>
      </c>
      <c r="H323" s="1">
        <f t="shared" si="50"/>
        <v>0</v>
      </c>
      <c r="I323" s="1">
        <f t="shared" si="51"/>
        <v>0</v>
      </c>
      <c r="J323" s="1">
        <f t="shared" si="52"/>
        <v>0</v>
      </c>
      <c r="K323" s="1" t="b">
        <f t="shared" si="53"/>
        <v>1</v>
      </c>
    </row>
    <row r="324" customHeight="1" spans="1:18">
      <c r="A324" s="1">
        <v>3</v>
      </c>
      <c r="B324" s="1" t="str">
        <f t="shared" si="44"/>
        <v>Rayari Deltana Research Outpost (PB)</v>
      </c>
      <c r="C324" s="1" t="str">
        <f t="shared" si="45"/>
        <v>Rayari Deltana Research Outpost (PB)</v>
      </c>
      <c r="D324" s="1">
        <f t="shared" si="46"/>
        <v>-693.909981009999</v>
      </c>
      <c r="E324" s="1">
        <f t="shared" si="47"/>
        <v>-648.298794758999</v>
      </c>
      <c r="F324" s="1">
        <f t="shared" si="48"/>
        <v>316.681366334</v>
      </c>
      <c r="G324" s="1">
        <f t="shared" si="49"/>
        <v>0</v>
      </c>
      <c r="H324" s="1">
        <f t="shared" si="50"/>
        <v>0</v>
      </c>
      <c r="I324" s="1">
        <f t="shared" si="51"/>
        <v>0</v>
      </c>
      <c r="J324" s="1">
        <f t="shared" si="52"/>
        <v>0</v>
      </c>
      <c r="K324" s="1" t="b">
        <f t="shared" si="53"/>
        <v>1</v>
      </c>
      <c r="R324" s="4"/>
    </row>
    <row r="325" customHeight="1" spans="1:18">
      <c r="A325" s="1">
        <v>4</v>
      </c>
      <c r="B325" s="1" t="str">
        <f t="shared" si="44"/>
        <v>Shubin Mining Facility SM0-10 (PB)</v>
      </c>
      <c r="C325" s="1" t="str">
        <f t="shared" si="45"/>
        <v>Shubin Mining Facility SM0-10 (PB)</v>
      </c>
      <c r="D325" s="1">
        <f t="shared" si="46"/>
        <v>85.476133747</v>
      </c>
      <c r="E325" s="1">
        <f t="shared" si="47"/>
        <v>-950.855885394999</v>
      </c>
      <c r="F325" s="1">
        <f t="shared" si="48"/>
        <v>298.799440766</v>
      </c>
      <c r="G325" s="1">
        <f t="shared" si="49"/>
        <v>0</v>
      </c>
      <c r="H325" s="1">
        <f t="shared" si="50"/>
        <v>0</v>
      </c>
      <c r="I325" s="1">
        <f t="shared" si="51"/>
        <v>0</v>
      </c>
      <c r="J325" s="1">
        <f t="shared" si="52"/>
        <v>0</v>
      </c>
      <c r="K325" s="1" t="b">
        <f t="shared" si="53"/>
        <v>1</v>
      </c>
      <c r="R325" s="4"/>
    </row>
    <row r="326" customHeight="1" spans="1:18">
      <c r="A326" s="1">
        <v>5</v>
      </c>
      <c r="B326" s="1" t="str">
        <f t="shared" si="44"/>
        <v>Shubin Mining Facility SM0-13 (PB)</v>
      </c>
      <c r="C326" s="1" t="str">
        <f t="shared" si="45"/>
        <v>Shubin Mining Facility SM0-13 (PB)</v>
      </c>
      <c r="D326" s="1">
        <f t="shared" si="46"/>
        <v>-172.818644799</v>
      </c>
      <c r="E326" s="1">
        <f t="shared" si="47"/>
        <v>-981.308336199</v>
      </c>
      <c r="F326" s="1">
        <f t="shared" si="48"/>
        <v>97.7671820489999</v>
      </c>
      <c r="G326" s="1">
        <f t="shared" si="49"/>
        <v>0</v>
      </c>
      <c r="H326" s="1">
        <f t="shared" si="50"/>
        <v>0</v>
      </c>
      <c r="I326" s="1">
        <f t="shared" si="51"/>
        <v>0</v>
      </c>
      <c r="J326" s="1">
        <f t="shared" si="52"/>
        <v>0</v>
      </c>
      <c r="K326" s="1" t="b">
        <f t="shared" si="53"/>
        <v>1</v>
      </c>
      <c r="R326" s="4"/>
    </row>
    <row r="327" customHeight="1" spans="1:18">
      <c r="A327" s="1">
        <v>6</v>
      </c>
      <c r="B327" s="1" t="str">
        <f t="shared" si="44"/>
        <v>Shubin Mining Facility SM0-18 (PB)</v>
      </c>
      <c r="C327" s="1" t="str">
        <f t="shared" si="45"/>
        <v>Shubin Mining Facility SM0-18 (PB)</v>
      </c>
      <c r="D327" s="1">
        <f t="shared" si="46"/>
        <v>920.210111885</v>
      </c>
      <c r="E327" s="1">
        <f t="shared" si="47"/>
        <v>-389.541681947999</v>
      </c>
      <c r="F327" s="1">
        <f t="shared" si="48"/>
        <v>43.8368626559999</v>
      </c>
      <c r="G327" s="1">
        <f t="shared" si="49"/>
        <v>0</v>
      </c>
      <c r="H327" s="1">
        <f t="shared" si="50"/>
        <v>0</v>
      </c>
      <c r="I327" s="1">
        <f t="shared" si="51"/>
        <v>0</v>
      </c>
      <c r="J327" s="1">
        <f t="shared" si="52"/>
        <v>0</v>
      </c>
      <c r="K327" s="1" t="b">
        <f t="shared" si="53"/>
        <v>1</v>
      </c>
      <c r="R327" s="4"/>
    </row>
    <row r="328" customHeight="1" spans="1:18">
      <c r="A328" s="1">
        <v>7</v>
      </c>
      <c r="B328" s="1" t="str">
        <f t="shared" si="44"/>
        <v>Shubin Mining Facility SM0-22 (PB)</v>
      </c>
      <c r="C328" s="1" t="str">
        <f t="shared" si="45"/>
        <v>Shubin Mining Facility SM0-22 (PB)</v>
      </c>
      <c r="D328" s="1">
        <f t="shared" si="46"/>
        <v>24.29854894</v>
      </c>
      <c r="E328" s="1">
        <f t="shared" si="47"/>
        <v>-822.590691274998</v>
      </c>
      <c r="F328" s="1">
        <f t="shared" si="48"/>
        <v>568.174190107999</v>
      </c>
      <c r="G328" s="1">
        <f t="shared" si="49"/>
        <v>0</v>
      </c>
      <c r="H328" s="1">
        <f t="shared" si="50"/>
        <v>0</v>
      </c>
      <c r="I328" s="1">
        <f t="shared" si="51"/>
        <v>0</v>
      </c>
      <c r="J328" s="1">
        <f t="shared" si="52"/>
        <v>0</v>
      </c>
      <c r="K328" s="1" t="b">
        <f t="shared" si="53"/>
        <v>1</v>
      </c>
      <c r="R328" s="4"/>
    </row>
    <row r="329" customHeight="1" spans="1:18">
      <c r="A329" s="1">
        <v>8</v>
      </c>
      <c r="B329" s="1" t="str">
        <f t="shared" si="44"/>
        <v>Raven's Roost</v>
      </c>
      <c r="C329" s="1" t="str">
        <f t="shared" si="45"/>
        <v>Raven's Roost</v>
      </c>
      <c r="D329" s="1">
        <f t="shared" si="46"/>
        <v>355.903594579999</v>
      </c>
      <c r="E329" s="1">
        <f t="shared" si="47"/>
        <v>-75.593839481</v>
      </c>
      <c r="F329" s="1">
        <f t="shared" si="48"/>
        <v>932.64525482</v>
      </c>
      <c r="G329" s="1">
        <f t="shared" si="49"/>
        <v>0</v>
      </c>
      <c r="H329" s="1">
        <f t="shared" si="50"/>
        <v>0</v>
      </c>
      <c r="I329" s="1">
        <f t="shared" si="51"/>
        <v>0</v>
      </c>
      <c r="J329" s="1">
        <f t="shared" si="52"/>
        <v>0</v>
      </c>
      <c r="K329" s="1" t="b">
        <f t="shared" si="53"/>
        <v>1</v>
      </c>
      <c r="R329" s="4"/>
    </row>
    <row r="330" customHeight="1" spans="1:18">
      <c r="A330" s="1">
        <v>9</v>
      </c>
      <c r="B330" s="1" t="str">
        <f t="shared" si="44"/>
        <v>Necropolis (Stash House)</v>
      </c>
      <c r="C330" s="1" t="str">
        <f t="shared" si="45"/>
        <v>Necropolis (Stash House)</v>
      </c>
      <c r="D330" s="1">
        <f t="shared" si="46"/>
        <v>63.642723848</v>
      </c>
      <c r="E330" s="1">
        <f t="shared" si="47"/>
        <v>-162.08523741</v>
      </c>
      <c r="F330" s="1">
        <f t="shared" si="48"/>
        <v>985.651018458</v>
      </c>
      <c r="G330" s="1">
        <f t="shared" si="49"/>
        <v>0</v>
      </c>
      <c r="H330" s="1">
        <f t="shared" si="50"/>
        <v>0</v>
      </c>
      <c r="I330" s="1">
        <f t="shared" si="51"/>
        <v>0</v>
      </c>
      <c r="J330" s="1">
        <f t="shared" si="52"/>
        <v>0</v>
      </c>
      <c r="K330" s="1" t="b">
        <f t="shared" si="53"/>
        <v>1</v>
      </c>
      <c r="R330" s="4"/>
    </row>
    <row r="331" customHeight="1" spans="1:18">
      <c r="A331" s="1">
        <v>10</v>
      </c>
      <c r="B331" s="1" t="str">
        <f t="shared" si="44"/>
        <v>Outpost 54 (Stash House)</v>
      </c>
      <c r="C331" s="1" t="str">
        <f t="shared" si="45"/>
        <v>Outpost 54 (Stash House)</v>
      </c>
      <c r="D331" s="1">
        <f t="shared" si="46"/>
        <v>113.566409472</v>
      </c>
      <c r="E331" s="1">
        <f t="shared" si="47"/>
        <v>14.479383223</v>
      </c>
      <c r="F331" s="1">
        <f t="shared" si="48"/>
        <v>-994.362778214</v>
      </c>
      <c r="G331" s="1">
        <f t="shared" si="49"/>
        <v>0</v>
      </c>
      <c r="H331" s="1">
        <f t="shared" si="50"/>
        <v>0</v>
      </c>
      <c r="I331" s="1">
        <f t="shared" si="51"/>
        <v>0</v>
      </c>
      <c r="J331" s="1">
        <f t="shared" si="52"/>
        <v>0</v>
      </c>
      <c r="K331" s="1" t="b">
        <f t="shared" si="53"/>
        <v>1</v>
      </c>
      <c r="R331" s="4"/>
    </row>
    <row r="332" customHeight="1" spans="1:18">
      <c r="A332" s="1">
        <v>11</v>
      </c>
      <c r="B332" s="1" t="str">
        <f t="shared" si="44"/>
        <v>MT DataCenter 2UB-RB9-5</v>
      </c>
      <c r="C332" s="1" t="str">
        <f t="shared" si="45"/>
        <v>MT DataCenter 2UB-RB9-5</v>
      </c>
      <c r="D332" s="1">
        <f t="shared" si="46"/>
        <v>907.001926866</v>
      </c>
      <c r="E332" s="1">
        <f t="shared" si="47"/>
        <v>139.908078669</v>
      </c>
      <c r="F332" s="1">
        <f t="shared" si="48"/>
        <v>-397.662409549999</v>
      </c>
      <c r="G332" s="1">
        <f t="shared" si="49"/>
        <v>0</v>
      </c>
      <c r="H332" s="1">
        <f t="shared" si="50"/>
        <v>0</v>
      </c>
      <c r="I332" s="1">
        <f t="shared" si="51"/>
        <v>0</v>
      </c>
      <c r="J332" s="1">
        <f t="shared" si="52"/>
        <v>0</v>
      </c>
      <c r="K332" s="1" t="b">
        <f t="shared" si="53"/>
        <v>1</v>
      </c>
      <c r="R332" s="4"/>
    </row>
    <row r="333" customHeight="1" spans="1:18">
      <c r="A333" s="1">
        <v>12</v>
      </c>
      <c r="B333" s="1" t="str">
        <f t="shared" si="44"/>
        <v>MT DataCenter 4HJ-LVE-A</v>
      </c>
      <c r="C333" s="1" t="str">
        <f t="shared" si="45"/>
        <v>MT DataCenter 4HJ-LVE-A</v>
      </c>
      <c r="D333" s="1">
        <f t="shared" si="46"/>
        <v>-100.841420526999</v>
      </c>
      <c r="E333" s="1">
        <f t="shared" si="47"/>
        <v>962.406628046</v>
      </c>
      <c r="F333" s="1">
        <f t="shared" si="48"/>
        <v>-255.721361148</v>
      </c>
      <c r="G333" s="1">
        <f t="shared" si="49"/>
        <v>0</v>
      </c>
      <c r="H333" s="1">
        <f t="shared" si="50"/>
        <v>0</v>
      </c>
      <c r="I333" s="1">
        <f t="shared" si="51"/>
        <v>0</v>
      </c>
      <c r="J333" s="1">
        <f t="shared" si="52"/>
        <v>0</v>
      </c>
      <c r="K333" s="1" t="b">
        <f t="shared" si="53"/>
        <v>1</v>
      </c>
      <c r="R333" s="4"/>
    </row>
    <row r="334" customHeight="1" spans="1:18">
      <c r="A334" s="1">
        <v>13</v>
      </c>
      <c r="B334" s="1" t="str">
        <f t="shared" si="44"/>
        <v>MT DataCenter 5WQ-R2V-C</v>
      </c>
      <c r="C334" s="1" t="str">
        <f t="shared" si="45"/>
        <v>MT DataCenter 5WQ-R2V-C</v>
      </c>
      <c r="D334" s="1">
        <f t="shared" si="46"/>
        <v>959.880006009</v>
      </c>
      <c r="E334" s="1">
        <f t="shared" si="47"/>
        <v>40.2947158029998</v>
      </c>
      <c r="F334" s="1">
        <f t="shared" si="48"/>
        <v>-279.073290281999</v>
      </c>
      <c r="G334" s="1">
        <f t="shared" si="49"/>
        <v>0</v>
      </c>
      <c r="H334" s="1">
        <f t="shared" si="50"/>
        <v>0</v>
      </c>
      <c r="I334" s="1">
        <f t="shared" si="51"/>
        <v>0</v>
      </c>
      <c r="J334" s="1">
        <f t="shared" si="52"/>
        <v>0</v>
      </c>
      <c r="K334" s="1" t="b">
        <f t="shared" si="53"/>
        <v>1</v>
      </c>
      <c r="R334" s="4"/>
    </row>
    <row r="335" customHeight="1" spans="1:18">
      <c r="A335" s="1">
        <v>14</v>
      </c>
      <c r="B335" s="1" t="str">
        <f t="shared" si="44"/>
        <v>MT DataCenter 8FK-Q2X-K</v>
      </c>
      <c r="C335" s="1" t="str">
        <f t="shared" si="45"/>
        <v>MT DataCenter 8FK-Q2X-K</v>
      </c>
      <c r="D335" s="1">
        <f t="shared" si="46"/>
        <v>22.3972399909999</v>
      </c>
      <c r="E335" s="1">
        <f t="shared" si="47"/>
        <v>2.904963732</v>
      </c>
      <c r="F335" s="1">
        <f t="shared" si="48"/>
        <v>-1000.724867091</v>
      </c>
      <c r="G335" s="1">
        <f t="shared" si="49"/>
        <v>0</v>
      </c>
      <c r="H335" s="1">
        <f t="shared" si="50"/>
        <v>0</v>
      </c>
      <c r="I335" s="1">
        <f t="shared" si="51"/>
        <v>0</v>
      </c>
      <c r="J335" s="1">
        <f t="shared" si="52"/>
        <v>0</v>
      </c>
      <c r="K335" s="1" t="b">
        <f t="shared" si="53"/>
        <v>1</v>
      </c>
      <c r="R335" s="4"/>
    </row>
    <row r="336" customHeight="1" spans="1:18">
      <c r="A336" s="1">
        <v>15</v>
      </c>
      <c r="B336" s="1" t="str">
        <f t="shared" si="44"/>
        <v>MT DataCenter D79-ECG-R</v>
      </c>
      <c r="C336" s="1" t="str">
        <f t="shared" si="45"/>
        <v>MT DataCenter D79-ECG-R</v>
      </c>
      <c r="D336" s="1">
        <f t="shared" si="46"/>
        <v>200.928137781</v>
      </c>
      <c r="E336" s="1">
        <f t="shared" si="47"/>
        <v>308.739605014999</v>
      </c>
      <c r="F336" s="1">
        <f t="shared" si="48"/>
        <v>-929.820080088</v>
      </c>
      <c r="G336" s="1">
        <f t="shared" si="49"/>
        <v>0</v>
      </c>
      <c r="H336" s="1">
        <f t="shared" si="50"/>
        <v>0</v>
      </c>
      <c r="I336" s="1">
        <f t="shared" si="51"/>
        <v>0</v>
      </c>
      <c r="J336" s="1">
        <f t="shared" si="52"/>
        <v>0</v>
      </c>
      <c r="K336" s="1" t="b">
        <f t="shared" si="53"/>
        <v>1</v>
      </c>
      <c r="R336" s="4"/>
    </row>
    <row r="337" customHeight="1" spans="1:18">
      <c r="A337" s="1">
        <v>16</v>
      </c>
      <c r="B337" s="1" t="str">
        <f t="shared" si="44"/>
        <v>MT DataCenter E2Q-NSG-Y</v>
      </c>
      <c r="C337" s="1" t="str">
        <f t="shared" si="45"/>
        <v>MT DataCenter E2Q-NSG-Y</v>
      </c>
      <c r="D337" s="1">
        <f t="shared" si="46"/>
        <v>916.831795390999</v>
      </c>
      <c r="E337" s="1">
        <f t="shared" si="47"/>
        <v>187.159489357999</v>
      </c>
      <c r="F337" s="1">
        <f t="shared" si="48"/>
        <v>-354.144106525</v>
      </c>
      <c r="G337" s="1">
        <f t="shared" si="49"/>
        <v>0</v>
      </c>
      <c r="H337" s="1">
        <f t="shared" si="50"/>
        <v>0</v>
      </c>
      <c r="I337" s="1">
        <f t="shared" si="51"/>
        <v>0</v>
      </c>
      <c r="J337" s="1">
        <f t="shared" si="52"/>
        <v>0</v>
      </c>
      <c r="K337" s="1" t="b">
        <f t="shared" si="53"/>
        <v>1</v>
      </c>
      <c r="R337" s="4"/>
    </row>
    <row r="338" customHeight="1" spans="1:18">
      <c r="A338" s="1">
        <v>17</v>
      </c>
      <c r="B338" s="1" t="str">
        <f t="shared" si="44"/>
        <v>MT DataCenter KH3-AAE-L</v>
      </c>
      <c r="C338" s="1" t="str">
        <f t="shared" si="45"/>
        <v>MT DataCenter KH3-AAE-L</v>
      </c>
      <c r="D338" s="1">
        <f t="shared" si="46"/>
        <v>-468.928187746</v>
      </c>
      <c r="E338" s="1">
        <f t="shared" si="47"/>
        <v>801.472605984</v>
      </c>
      <c r="F338" s="1">
        <f t="shared" si="48"/>
        <v>-375.315782979</v>
      </c>
      <c r="G338" s="1">
        <f t="shared" si="49"/>
        <v>0</v>
      </c>
      <c r="H338" s="1">
        <f t="shared" si="50"/>
        <v>0</v>
      </c>
      <c r="I338" s="1">
        <f t="shared" si="51"/>
        <v>0</v>
      </c>
      <c r="J338" s="1">
        <f t="shared" si="52"/>
        <v>0</v>
      </c>
      <c r="K338" s="1" t="b">
        <f t="shared" si="53"/>
        <v>1</v>
      </c>
      <c r="R338" s="4"/>
    </row>
    <row r="339" customHeight="1" spans="1:18">
      <c r="A339" s="1">
        <v>18</v>
      </c>
      <c r="B339" s="1" t="str">
        <f t="shared" si="44"/>
        <v>MT DataCenter L8P-JUC-8</v>
      </c>
      <c r="C339" s="1" t="str">
        <f t="shared" si="45"/>
        <v>MT DataCenter L8P-JUC-8</v>
      </c>
      <c r="D339" s="1">
        <f t="shared" si="46"/>
        <v>-86.563453194</v>
      </c>
      <c r="E339" s="1">
        <f t="shared" si="47"/>
        <v>218.55998655</v>
      </c>
      <c r="F339" s="1">
        <f t="shared" si="48"/>
        <v>-972.069793889999</v>
      </c>
      <c r="G339" s="1">
        <f t="shared" si="49"/>
        <v>0</v>
      </c>
      <c r="H339" s="1">
        <f t="shared" si="50"/>
        <v>0</v>
      </c>
      <c r="I339" s="1">
        <f t="shared" si="51"/>
        <v>0</v>
      </c>
      <c r="J339" s="1">
        <f t="shared" si="52"/>
        <v>0</v>
      </c>
      <c r="K339" s="1" t="b">
        <f t="shared" si="53"/>
        <v>1</v>
      </c>
      <c r="R339" s="4"/>
    </row>
    <row r="340" customHeight="1" spans="1:18">
      <c r="A340" s="1">
        <v>19</v>
      </c>
      <c r="B340" s="1" t="str">
        <f t="shared" si="44"/>
        <v>MT DataCenter QVX-J88-J</v>
      </c>
      <c r="C340" s="1" t="str">
        <f t="shared" si="45"/>
        <v>MT DataCenter QVX-J88-J</v>
      </c>
      <c r="D340" s="1">
        <f t="shared" si="46"/>
        <v>-247.944541911</v>
      </c>
      <c r="E340" s="1">
        <f t="shared" si="47"/>
        <v>892.69862661</v>
      </c>
      <c r="F340" s="1">
        <f t="shared" si="48"/>
        <v>-379.677863927</v>
      </c>
      <c r="G340" s="1">
        <f t="shared" si="49"/>
        <v>0</v>
      </c>
      <c r="H340" s="1">
        <f t="shared" si="50"/>
        <v>0</v>
      </c>
      <c r="I340" s="1">
        <f t="shared" si="51"/>
        <v>0</v>
      </c>
      <c r="J340" s="1">
        <f t="shared" si="52"/>
        <v>0</v>
      </c>
      <c r="K340" s="1" t="b">
        <f t="shared" si="53"/>
        <v>1</v>
      </c>
      <c r="R340" s="4"/>
    </row>
    <row r="341" customHeight="1" spans="1:18">
      <c r="A341" s="1">
        <v>20</v>
      </c>
      <c r="B341" s="1" t="str">
        <f t="shared" si="44"/>
        <v>MT DataCenter TMG-XEV-2</v>
      </c>
      <c r="C341" s="1" t="str">
        <f t="shared" si="45"/>
        <v>MT DataCenter TMG-XEV-2</v>
      </c>
      <c r="D341" s="1">
        <f t="shared" si="46"/>
        <v>-160.991677441999</v>
      </c>
      <c r="E341" s="1">
        <f t="shared" si="47"/>
        <v>62.4419799809999</v>
      </c>
      <c r="F341" s="1">
        <f t="shared" si="48"/>
        <v>985.997622497</v>
      </c>
      <c r="G341" s="1">
        <f t="shared" si="49"/>
        <v>0</v>
      </c>
      <c r="H341" s="1">
        <f t="shared" si="50"/>
        <v>0</v>
      </c>
      <c r="I341" s="1">
        <f t="shared" si="51"/>
        <v>0</v>
      </c>
      <c r="J341" s="1">
        <f t="shared" si="52"/>
        <v>0</v>
      </c>
      <c r="K341" s="1" t="b">
        <f t="shared" si="53"/>
        <v>1</v>
      </c>
      <c r="R341" s="4"/>
    </row>
    <row r="342" customHeight="1" spans="1:18">
      <c r="A342" s="1">
        <v>21</v>
      </c>
      <c r="B342" s="1" t="str">
        <f t="shared" si="44"/>
        <v>MT OpCenter LTI-4</v>
      </c>
      <c r="C342" s="1" t="str">
        <f t="shared" si="45"/>
        <v>MT OpCenter LTI-4</v>
      </c>
      <c r="D342" s="1">
        <f t="shared" si="46"/>
        <v>68.3643821809999</v>
      </c>
      <c r="E342" s="1">
        <f t="shared" si="47"/>
        <v>64.2762099499999</v>
      </c>
      <c r="F342" s="1">
        <f t="shared" si="48"/>
        <v>-996.489556525</v>
      </c>
      <c r="G342" s="1">
        <f t="shared" si="49"/>
        <v>0</v>
      </c>
      <c r="H342" s="1">
        <f t="shared" si="50"/>
        <v>0</v>
      </c>
      <c r="I342" s="1">
        <f t="shared" si="51"/>
        <v>0</v>
      </c>
      <c r="J342" s="1">
        <f t="shared" si="52"/>
        <v>0</v>
      </c>
      <c r="K342" s="1" t="b">
        <f t="shared" si="53"/>
        <v>1</v>
      </c>
      <c r="R342" s="4"/>
    </row>
    <row r="343" customHeight="1" spans="1:18">
      <c r="A343" s="1">
        <v>22</v>
      </c>
      <c r="B343" s="1" t="str">
        <f t="shared" si="44"/>
        <v>Calhoun Pass Emergency Shelter</v>
      </c>
      <c r="C343" s="1" t="str">
        <f t="shared" si="45"/>
        <v>Calhoun Pass Emergency Shelter</v>
      </c>
      <c r="D343" s="1">
        <f t="shared" si="46"/>
        <v>938.116231367</v>
      </c>
      <c r="E343" s="1">
        <f t="shared" si="47"/>
        <v>-347.817930592</v>
      </c>
      <c r="F343" s="1">
        <f t="shared" si="48"/>
        <v>31.707663433</v>
      </c>
      <c r="G343" s="1">
        <f t="shared" si="49"/>
        <v>0</v>
      </c>
      <c r="H343" s="1">
        <f t="shared" si="50"/>
        <v>0</v>
      </c>
      <c r="I343" s="1">
        <f t="shared" si="51"/>
        <v>0</v>
      </c>
      <c r="J343" s="1">
        <f t="shared" si="52"/>
        <v>0</v>
      </c>
      <c r="K343" s="1" t="b">
        <f t="shared" si="53"/>
        <v>1</v>
      </c>
      <c r="R343" s="4"/>
    </row>
    <row r="344" customHeight="1" spans="1:18">
      <c r="A344" s="1">
        <v>23</v>
      </c>
      <c r="B344" s="1" t="str">
        <f t="shared" si="44"/>
        <v>Clear View Emergency Shelter</v>
      </c>
      <c r="C344" s="1" t="str">
        <f t="shared" si="45"/>
        <v>Clear View Emergency Shelter</v>
      </c>
      <c r="D344" s="1">
        <f t="shared" si="46"/>
        <v>-609.561071826</v>
      </c>
      <c r="E344" s="1">
        <f t="shared" si="47"/>
        <v>-688.363323031999</v>
      </c>
      <c r="F344" s="1">
        <f t="shared" si="48"/>
        <v>393.203256016</v>
      </c>
      <c r="G344" s="1">
        <f t="shared" si="49"/>
        <v>0</v>
      </c>
      <c r="H344" s="1">
        <f t="shared" si="50"/>
        <v>0</v>
      </c>
      <c r="I344" s="1">
        <f t="shared" si="51"/>
        <v>0</v>
      </c>
      <c r="J344" s="1">
        <f t="shared" si="52"/>
        <v>0</v>
      </c>
      <c r="K344" s="1" t="b">
        <f t="shared" si="53"/>
        <v>1</v>
      </c>
      <c r="R344" s="4"/>
    </row>
    <row r="345" customHeight="1" spans="1:18">
      <c r="A345" s="1">
        <v>24</v>
      </c>
      <c r="B345" s="1" t="str">
        <f t="shared" si="44"/>
        <v/>
      </c>
      <c r="C345" s="1" t="str">
        <f t="shared" si="45"/>
        <v>New Babbage Interstellar Spaceport</v>
      </c>
      <c r="D345" s="1">
        <f t="shared" si="46"/>
        <v>520.320401830282</v>
      </c>
      <c r="E345" s="1">
        <f t="shared" si="47"/>
        <v>435.102213305407</v>
      </c>
      <c r="F345" s="1">
        <f t="shared" si="48"/>
        <v>736.226011636578</v>
      </c>
      <c r="G345" s="1">
        <f t="shared" si="49"/>
        <v>0</v>
      </c>
      <c r="H345" s="1">
        <f t="shared" si="50"/>
        <v>0</v>
      </c>
      <c r="I345" s="1">
        <f t="shared" si="51"/>
        <v>0</v>
      </c>
      <c r="J345" s="1">
        <f t="shared" si="52"/>
        <v>0</v>
      </c>
      <c r="K345" s="1" t="b">
        <f t="shared" si="53"/>
        <v>0</v>
      </c>
      <c r="R345" s="4"/>
    </row>
    <row r="346" customHeight="1" spans="1:11">
      <c r="A346" s="1">
        <v>25</v>
      </c>
      <c r="B346" s="1" t="str">
        <f t="shared" si="44"/>
        <v>Point Wain Emergency Shelter</v>
      </c>
      <c r="C346" s="1" t="str">
        <f t="shared" si="45"/>
        <v>Point Wain Emergency Shelter</v>
      </c>
      <c r="D346" s="1">
        <f t="shared" si="46"/>
        <v>-627.440743631</v>
      </c>
      <c r="E346" s="1">
        <f t="shared" si="47"/>
        <v>-485.258151323998</v>
      </c>
      <c r="F346" s="1">
        <f t="shared" si="48"/>
        <v>611.733181289999</v>
      </c>
      <c r="G346" s="1">
        <f t="shared" si="49"/>
        <v>0</v>
      </c>
      <c r="H346" s="1">
        <f t="shared" si="50"/>
        <v>0</v>
      </c>
      <c r="I346" s="1">
        <f t="shared" si="51"/>
        <v>0</v>
      </c>
      <c r="J346" s="1">
        <f t="shared" si="52"/>
        <v>0</v>
      </c>
      <c r="K346" s="1" t="b">
        <f t="shared" si="53"/>
        <v>1</v>
      </c>
    </row>
    <row r="347" customHeight="1" spans="1:11">
      <c r="A347" s="1">
        <v>26</v>
      </c>
      <c r="B347" s="1" t="str">
        <f t="shared" si="44"/>
        <v>Ghost Hollow (Reclaimer Wreck)</v>
      </c>
      <c r="C347" s="1" t="str">
        <f t="shared" si="45"/>
        <v>Ghost Hollow (Reclaimer Wreck)</v>
      </c>
      <c r="D347" s="1">
        <f t="shared" si="46"/>
        <v>-127.193553939</v>
      </c>
      <c r="E347" s="1">
        <f t="shared" si="47"/>
        <v>982.003985381999</v>
      </c>
      <c r="F347" s="1">
        <f t="shared" si="48"/>
        <v>149.145067474999</v>
      </c>
      <c r="G347" s="1">
        <f t="shared" si="49"/>
        <v>0</v>
      </c>
      <c r="H347" s="1">
        <f t="shared" si="50"/>
        <v>0</v>
      </c>
      <c r="I347" s="1">
        <f t="shared" si="51"/>
        <v>0</v>
      </c>
      <c r="J347" s="1">
        <f t="shared" si="52"/>
        <v>0</v>
      </c>
      <c r="K347" s="1" t="b">
        <f t="shared" si="53"/>
        <v>1</v>
      </c>
    </row>
    <row r="348" customHeight="1" spans="1:11">
      <c r="A348" s="1">
        <v>27</v>
      </c>
      <c r="B348" s="1" t="str">
        <f t="shared" si="44"/>
        <v>Comm Array ST4-22</v>
      </c>
      <c r="C348" s="1" t="str">
        <f t="shared" si="45"/>
        <v>Comm Array ST4-22</v>
      </c>
      <c r="D348" s="1">
        <f t="shared" si="46"/>
        <v>1395.18702770233</v>
      </c>
      <c r="E348" s="1">
        <f t="shared" si="47"/>
        <v>1967.74453779602</v>
      </c>
      <c r="F348" s="1">
        <f t="shared" si="48"/>
        <v>24</v>
      </c>
      <c r="G348" s="1">
        <f t="shared" si="49"/>
        <v>0</v>
      </c>
      <c r="H348" s="1">
        <f t="shared" si="50"/>
        <v>0</v>
      </c>
      <c r="I348" s="1">
        <f t="shared" si="51"/>
        <v>0</v>
      </c>
      <c r="J348" s="1">
        <f t="shared" si="52"/>
        <v>0</v>
      </c>
      <c r="K348" s="1" t="b">
        <f t="shared" si="53"/>
        <v>1</v>
      </c>
    </row>
    <row r="349" customHeight="1" spans="1:11">
      <c r="A349" s="1">
        <v>28</v>
      </c>
      <c r="B349" s="1" t="str">
        <f t="shared" si="44"/>
        <v>Astor's Clearing (Ewok Village)</v>
      </c>
      <c r="C349" s="1" t="str">
        <f t="shared" si="45"/>
        <v>Astor's Clearing (Ewok Village)</v>
      </c>
      <c r="D349" s="1">
        <f t="shared" si="46"/>
        <v>-810.219016957</v>
      </c>
      <c r="E349" s="1">
        <f t="shared" si="47"/>
        <v>577.883641289</v>
      </c>
      <c r="F349" s="1">
        <f t="shared" si="48"/>
        <v>-101.430451723</v>
      </c>
      <c r="G349" s="1">
        <f t="shared" si="49"/>
        <v>0</v>
      </c>
      <c r="H349" s="1">
        <f t="shared" si="50"/>
        <v>0</v>
      </c>
      <c r="I349" s="1">
        <f t="shared" si="51"/>
        <v>0</v>
      </c>
      <c r="J349" s="1">
        <f t="shared" si="52"/>
        <v>0</v>
      </c>
      <c r="K349" s="1" t="b">
        <f t="shared" si="53"/>
        <v>1</v>
      </c>
    </row>
    <row r="350" customHeight="1" spans="1:11">
      <c r="A350" s="1">
        <v>29</v>
      </c>
      <c r="B350" s="1" t="str">
        <f t="shared" si="44"/>
        <v/>
      </c>
      <c r="C350" s="1" t="str">
        <f t="shared" si="45"/>
        <v>Bloodshot Ridge</v>
      </c>
      <c r="D350" s="1">
        <f t="shared" si="46"/>
        <v>733.939579616999</v>
      </c>
      <c r="E350" s="1">
        <f t="shared" si="47"/>
        <v>-674.64842261</v>
      </c>
      <c r="F350" s="1">
        <f t="shared" si="48"/>
        <v>101.875648837999</v>
      </c>
      <c r="G350" s="1">
        <f t="shared" si="49"/>
        <v>0</v>
      </c>
      <c r="H350" s="1">
        <f t="shared" si="50"/>
        <v>0</v>
      </c>
      <c r="I350" s="1">
        <f t="shared" si="51"/>
        <v>0</v>
      </c>
      <c r="J350" s="1">
        <f t="shared" si="52"/>
        <v>0</v>
      </c>
      <c r="K350" s="1" t="b">
        <f t="shared" si="53"/>
        <v>0</v>
      </c>
    </row>
    <row r="351" customHeight="1" spans="1:11">
      <c r="A351" s="1">
        <v>30</v>
      </c>
      <c r="B351" s="1" t="str">
        <f t="shared" si="44"/>
        <v>Dunboro (Megaton)</v>
      </c>
      <c r="C351" s="1" t="str">
        <f t="shared" si="45"/>
        <v>Dunboro (Megaton)</v>
      </c>
      <c r="D351" s="1">
        <f t="shared" si="46"/>
        <v>-735.672192799999</v>
      </c>
      <c r="E351" s="1">
        <f t="shared" si="47"/>
        <v>678.040346404999</v>
      </c>
      <c r="F351" s="1">
        <f t="shared" si="48"/>
        <v>9.30993913099999</v>
      </c>
      <c r="G351" s="1">
        <f t="shared" si="49"/>
        <v>0</v>
      </c>
      <c r="H351" s="1">
        <f t="shared" si="50"/>
        <v>0</v>
      </c>
      <c r="I351" s="1">
        <f t="shared" si="51"/>
        <v>0</v>
      </c>
      <c r="J351" s="1">
        <f t="shared" si="52"/>
        <v>0</v>
      </c>
      <c r="K351" s="1" t="b">
        <f t="shared" si="53"/>
        <v>1</v>
      </c>
    </row>
    <row r="352" customHeight="1" spans="1:11">
      <c r="A352" s="1">
        <v>31</v>
      </c>
      <c r="B352" s="1" t="str">
        <f t="shared" si="44"/>
        <v/>
      </c>
      <c r="C352" s="1" t="str">
        <f t="shared" si="45"/>
        <v>Frostbite (Windy Cove)</v>
      </c>
      <c r="D352" s="1">
        <f t="shared" si="46"/>
        <v>539.619934335</v>
      </c>
      <c r="E352" s="1">
        <f t="shared" si="47"/>
        <v>762.338992717999</v>
      </c>
      <c r="F352" s="1">
        <f t="shared" si="48"/>
        <v>-361.447888067</v>
      </c>
      <c r="G352" s="1">
        <f t="shared" si="49"/>
        <v>0</v>
      </c>
      <c r="H352" s="1">
        <f t="shared" si="50"/>
        <v>0</v>
      </c>
      <c r="I352" s="1">
        <f t="shared" si="51"/>
        <v>0</v>
      </c>
      <c r="J352" s="1">
        <f t="shared" si="52"/>
        <v>0</v>
      </c>
      <c r="K352" s="1" t="b">
        <f t="shared" si="53"/>
        <v>0</v>
      </c>
    </row>
    <row r="353" customHeight="1" spans="1:11">
      <c r="A353" s="1">
        <v>32</v>
      </c>
      <c r="B353" s="1" t="str">
        <f t="shared" si="44"/>
        <v>Harper's Point</v>
      </c>
      <c r="C353" s="1" t="str">
        <f t="shared" si="45"/>
        <v>Harper's Point</v>
      </c>
      <c r="D353" s="1">
        <f t="shared" si="46"/>
        <v>-687.373417784</v>
      </c>
      <c r="E353" s="1">
        <f t="shared" si="47"/>
        <v>716.61301141</v>
      </c>
      <c r="F353" s="1">
        <f t="shared" si="48"/>
        <v>128.227454472</v>
      </c>
      <c r="G353" s="1">
        <f t="shared" si="49"/>
        <v>0</v>
      </c>
      <c r="H353" s="1">
        <f t="shared" si="50"/>
        <v>0</v>
      </c>
      <c r="I353" s="1">
        <f t="shared" si="51"/>
        <v>0</v>
      </c>
      <c r="J353" s="1">
        <f t="shared" si="52"/>
        <v>0</v>
      </c>
      <c r="K353" s="1" t="b">
        <f t="shared" si="53"/>
        <v>1</v>
      </c>
    </row>
    <row r="354" customHeight="1" spans="1:11">
      <c r="A354" s="1">
        <v>33</v>
      </c>
      <c r="B354" s="1" t="str">
        <f t="shared" si="44"/>
        <v/>
      </c>
      <c r="C354" s="1" t="str">
        <f t="shared" si="45"/>
        <v>Moreland Hills</v>
      </c>
      <c r="D354" s="1">
        <f t="shared" si="46"/>
        <v>-665.087764925</v>
      </c>
      <c r="E354" s="1">
        <f t="shared" si="47"/>
        <v>726.918075026</v>
      </c>
      <c r="F354" s="1">
        <f t="shared" si="48"/>
        <v>178.063924494</v>
      </c>
      <c r="G354" s="1">
        <f t="shared" si="49"/>
        <v>0</v>
      </c>
      <c r="H354" s="1">
        <f t="shared" si="50"/>
        <v>0</v>
      </c>
      <c r="I354" s="1">
        <f t="shared" si="51"/>
        <v>0</v>
      </c>
      <c r="J354" s="1">
        <f t="shared" si="52"/>
        <v>0</v>
      </c>
      <c r="K354" s="1" t="b">
        <f t="shared" si="53"/>
        <v>0</v>
      </c>
    </row>
    <row r="355" customHeight="1" spans="1:11">
      <c r="A355" s="1">
        <v>34</v>
      </c>
      <c r="B355" s="1" t="str">
        <f t="shared" si="44"/>
        <v/>
      </c>
      <c r="C355" s="1" t="str">
        <f t="shared" si="45"/>
        <v>Razor's Edge</v>
      </c>
      <c r="D355" s="1">
        <f t="shared" si="46"/>
        <v>-666.067306713999</v>
      </c>
      <c r="E355" s="1">
        <f t="shared" si="47"/>
        <v>726.221158387999</v>
      </c>
      <c r="F355" s="1">
        <f t="shared" si="48"/>
        <v>179.517785705999</v>
      </c>
      <c r="G355" s="1">
        <f t="shared" si="49"/>
        <v>0</v>
      </c>
      <c r="H355" s="1">
        <f t="shared" si="50"/>
        <v>0</v>
      </c>
      <c r="I355" s="1">
        <f t="shared" si="51"/>
        <v>0</v>
      </c>
      <c r="J355" s="1">
        <f t="shared" si="52"/>
        <v>0</v>
      </c>
      <c r="K355" s="1" t="b">
        <f t="shared" si="53"/>
        <v>0</v>
      </c>
    </row>
    <row r="356" customHeight="1" spans="1:11">
      <c r="A356" s="1">
        <v>35</v>
      </c>
      <c r="B356" s="1" t="str">
        <f t="shared" si="44"/>
        <v>Covalex Distribution Centre S4DC05</v>
      </c>
      <c r="C356" s="1" t="str">
        <f t="shared" si="45"/>
        <v>Covalex Distribution Centre S4DC05</v>
      </c>
      <c r="D356" s="1">
        <f t="shared" si="46"/>
        <v>-332.505016295999</v>
      </c>
      <c r="E356" s="1">
        <f t="shared" si="47"/>
        <v>897.833806883999</v>
      </c>
      <c r="F356" s="1">
        <f t="shared" si="48"/>
        <v>-290.234081721</v>
      </c>
      <c r="G356" s="1">
        <f t="shared" si="49"/>
        <v>0</v>
      </c>
      <c r="H356" s="1">
        <f t="shared" si="50"/>
        <v>0</v>
      </c>
      <c r="I356" s="1">
        <f t="shared" si="51"/>
        <v>0</v>
      </c>
      <c r="J356" s="1">
        <f t="shared" si="52"/>
        <v>0</v>
      </c>
      <c r="K356" s="1" t="b">
        <f t="shared" si="53"/>
        <v>1</v>
      </c>
    </row>
    <row r="357" customHeight="1" spans="1:11">
      <c r="A357" s="1">
        <v>36</v>
      </c>
      <c r="B357" s="1" t="str">
        <f t="shared" si="44"/>
        <v>Cry-Astro Processing Plant 19-02</v>
      </c>
      <c r="C357" s="1" t="str">
        <f t="shared" si="45"/>
        <v>Cry-Astro Processing Plant 19-02</v>
      </c>
      <c r="D357" s="1">
        <f t="shared" si="46"/>
        <v>584.139223971999</v>
      </c>
      <c r="E357" s="1">
        <f t="shared" si="47"/>
        <v>-0.789386706</v>
      </c>
      <c r="F357" s="1">
        <f t="shared" si="48"/>
        <v>812.169190745</v>
      </c>
      <c r="G357" s="1">
        <f t="shared" si="49"/>
        <v>0</v>
      </c>
      <c r="H357" s="1">
        <f t="shared" si="50"/>
        <v>0</v>
      </c>
      <c r="I357" s="1">
        <f t="shared" si="51"/>
        <v>0</v>
      </c>
      <c r="J357" s="1">
        <f t="shared" si="52"/>
        <v>0</v>
      </c>
      <c r="K357" s="1" t="b">
        <f t="shared" si="53"/>
        <v>1</v>
      </c>
    </row>
    <row r="358" customHeight="1" spans="1:11">
      <c r="A358" s="1">
        <v>37</v>
      </c>
      <c r="B358" s="1" t="str">
        <f t="shared" si="44"/>
        <v>Cry-Astro Processing Plant 34-12</v>
      </c>
      <c r="C358" s="1" t="str">
        <f t="shared" si="45"/>
        <v>Cry-Astro Processing Plant 34-12</v>
      </c>
      <c r="D358" s="1">
        <f t="shared" si="46"/>
        <v>-316.284851151</v>
      </c>
      <c r="E358" s="1">
        <f t="shared" si="47"/>
        <v>-882.04033701</v>
      </c>
      <c r="F358" s="1">
        <f t="shared" si="48"/>
        <v>-350.639382315</v>
      </c>
      <c r="G358" s="1">
        <f t="shared" si="49"/>
        <v>0</v>
      </c>
      <c r="H358" s="1">
        <f t="shared" si="50"/>
        <v>0</v>
      </c>
      <c r="I358" s="1">
        <f t="shared" si="51"/>
        <v>0</v>
      </c>
      <c r="J358" s="1">
        <f t="shared" si="52"/>
        <v>0</v>
      </c>
      <c r="K358" s="1" t="b">
        <f t="shared" si="53"/>
        <v>1</v>
      </c>
    </row>
    <row r="359" customHeight="1" spans="1:11">
      <c r="A359" s="1">
        <v>38</v>
      </c>
      <c r="B359" s="1" t="str">
        <f t="shared" si="44"/>
        <v>Greycat Stanton IV Production Complex-A</v>
      </c>
      <c r="C359" s="1" t="str">
        <f t="shared" si="45"/>
        <v>Greycat Stanton IV Production Complex-A</v>
      </c>
      <c r="D359" s="1">
        <f t="shared" si="46"/>
        <v>-423.347337066999</v>
      </c>
      <c r="E359" s="1">
        <f t="shared" si="47"/>
        <v>-141.168748082</v>
      </c>
      <c r="F359" s="1">
        <f t="shared" si="48"/>
        <v>-895.144870543</v>
      </c>
      <c r="G359" s="1">
        <f t="shared" si="49"/>
        <v>0</v>
      </c>
      <c r="H359" s="1">
        <f t="shared" si="50"/>
        <v>0</v>
      </c>
      <c r="I359" s="1">
        <f t="shared" si="51"/>
        <v>0</v>
      </c>
      <c r="J359" s="1">
        <f t="shared" si="52"/>
        <v>0</v>
      </c>
      <c r="K359" s="1" t="b">
        <f t="shared" si="53"/>
        <v>1</v>
      </c>
    </row>
    <row r="360" customHeight="1" spans="1:11">
      <c r="A360" s="1">
        <v>39</v>
      </c>
      <c r="B360" s="1" t="str">
        <f t="shared" si="44"/>
        <v>microTech Logistics Depot S4LD01</v>
      </c>
      <c r="C360" s="1" t="str">
        <f t="shared" si="45"/>
        <v>microTech Logistics Depot S4LD01</v>
      </c>
      <c r="D360" s="1">
        <f t="shared" si="46"/>
        <v>884.615003940999</v>
      </c>
      <c r="E360" s="1">
        <f t="shared" si="47"/>
        <v>467.867816999999</v>
      </c>
      <c r="F360" s="1">
        <f t="shared" si="48"/>
        <v>-19.1525361889999</v>
      </c>
      <c r="G360" s="1">
        <f t="shared" si="49"/>
        <v>0</v>
      </c>
      <c r="H360" s="1">
        <f t="shared" si="50"/>
        <v>0</v>
      </c>
      <c r="I360" s="1">
        <f t="shared" si="51"/>
        <v>0</v>
      </c>
      <c r="J360" s="1">
        <f t="shared" si="52"/>
        <v>0</v>
      </c>
      <c r="K360" s="1" t="b">
        <f t="shared" si="53"/>
        <v>1</v>
      </c>
    </row>
    <row r="361" customHeight="1" spans="1:11">
      <c r="A361" s="1">
        <v>40</v>
      </c>
      <c r="B361" s="1" t="str">
        <f t="shared" si="44"/>
        <v>microTech Logistics Depot S4LD13</v>
      </c>
      <c r="C361" s="1" t="str">
        <f t="shared" si="45"/>
        <v>microTech Logistics Depot S4LD13</v>
      </c>
      <c r="D361" s="1">
        <f t="shared" si="46"/>
        <v>843.837953494</v>
      </c>
      <c r="E361" s="1">
        <f t="shared" si="47"/>
        <v>-179.534831679</v>
      </c>
      <c r="F361" s="1">
        <f t="shared" si="48"/>
        <v>505.834097438</v>
      </c>
      <c r="G361" s="1">
        <f t="shared" si="49"/>
        <v>0</v>
      </c>
      <c r="H361" s="1">
        <f t="shared" si="50"/>
        <v>0</v>
      </c>
      <c r="I361" s="1">
        <f t="shared" si="51"/>
        <v>0</v>
      </c>
      <c r="J361" s="1">
        <f t="shared" si="52"/>
        <v>0</v>
      </c>
      <c r="K361" s="1" t="b">
        <f t="shared" si="53"/>
        <v>1</v>
      </c>
    </row>
    <row r="362" customHeight="1" spans="1:11">
      <c r="A362" s="1">
        <v>41</v>
      </c>
      <c r="B362" s="1" t="str">
        <f t="shared" si="44"/>
        <v>Sakura Sun Goldenrod Workcenter</v>
      </c>
      <c r="C362" s="1" t="str">
        <f t="shared" si="45"/>
        <v>Sakura Sun Goldenrod Workcenter</v>
      </c>
      <c r="D362" s="1">
        <f t="shared" si="46"/>
        <v>-173.422432138</v>
      </c>
      <c r="E362" s="1">
        <f t="shared" si="47"/>
        <v>-923.630455717999</v>
      </c>
      <c r="F362" s="1">
        <f t="shared" si="48"/>
        <v>-343.264571051999</v>
      </c>
      <c r="G362" s="1">
        <f t="shared" si="49"/>
        <v>0</v>
      </c>
      <c r="H362" s="1">
        <f t="shared" si="50"/>
        <v>0</v>
      </c>
      <c r="I362" s="1">
        <f t="shared" si="51"/>
        <v>0</v>
      </c>
      <c r="J362" s="1">
        <f t="shared" si="52"/>
        <v>0</v>
      </c>
      <c r="K362" s="1" t="b">
        <f t="shared" si="53"/>
        <v>1</v>
      </c>
    </row>
    <row r="363" customHeight="1" spans="1:11">
      <c r="A363" s="1">
        <v>42</v>
      </c>
      <c r="B363" s="1" t="str">
        <f t="shared" si="44"/>
        <v/>
      </c>
      <c r="C363" s="1" t="str">
        <f t="shared" si="45"/>
        <v>Settlement 14N</v>
      </c>
      <c r="D363" s="1">
        <f t="shared" si="46"/>
        <v>-154.512351289</v>
      </c>
      <c r="E363" s="1">
        <f t="shared" si="47"/>
        <v>-984.296107581999</v>
      </c>
      <c r="F363" s="1">
        <f t="shared" si="48"/>
        <v>93.975155987</v>
      </c>
      <c r="G363" s="1">
        <f t="shared" si="49"/>
        <v>0</v>
      </c>
      <c r="H363" s="1">
        <f t="shared" si="50"/>
        <v>0</v>
      </c>
      <c r="I363" s="1">
        <f t="shared" si="51"/>
        <v>0</v>
      </c>
      <c r="J363" s="1">
        <f t="shared" si="52"/>
        <v>0</v>
      </c>
      <c r="K363" s="1" t="b">
        <f t="shared" si="53"/>
        <v>0</v>
      </c>
    </row>
    <row r="364" customHeight="1" spans="1:11">
      <c r="A364" s="1">
        <v>43</v>
      </c>
      <c r="B364" s="1" t="str">
        <f t="shared" si="44"/>
        <v/>
      </c>
      <c r="C364" s="1" t="str">
        <f t="shared" si="45"/>
        <v>Settlement 16N</v>
      </c>
      <c r="D364" s="1">
        <f t="shared" si="46"/>
        <v>20.614093015</v>
      </c>
      <c r="E364" s="1">
        <f t="shared" si="47"/>
        <v>-1000.709692701</v>
      </c>
      <c r="F364" s="1">
        <f t="shared" si="48"/>
        <v>8.921606672</v>
      </c>
      <c r="G364" s="1">
        <f t="shared" si="49"/>
        <v>0</v>
      </c>
      <c r="H364" s="1">
        <f t="shared" si="50"/>
        <v>0</v>
      </c>
      <c r="I364" s="1">
        <f t="shared" si="51"/>
        <v>0</v>
      </c>
      <c r="J364" s="1">
        <f t="shared" si="52"/>
        <v>0</v>
      </c>
      <c r="K364" s="1" t="b">
        <f t="shared" si="53"/>
        <v>0</v>
      </c>
    </row>
    <row r="365" customHeight="1" spans="1:11">
      <c r="A365" s="1">
        <v>44</v>
      </c>
      <c r="B365" s="1" t="str">
        <f t="shared" si="44"/>
        <v/>
      </c>
      <c r="C365" s="1" t="str">
        <f t="shared" si="45"/>
        <v>Settlement 23N</v>
      </c>
      <c r="D365" s="1">
        <f t="shared" si="46"/>
        <v>669.478935367999</v>
      </c>
      <c r="E365" s="1">
        <f t="shared" si="47"/>
        <v>-731.271787499999</v>
      </c>
      <c r="F365" s="1">
        <f t="shared" si="48"/>
        <v>138.155074789</v>
      </c>
      <c r="G365" s="1">
        <f t="shared" si="49"/>
        <v>0</v>
      </c>
      <c r="H365" s="1">
        <f t="shared" si="50"/>
        <v>0</v>
      </c>
      <c r="I365" s="1">
        <f t="shared" si="51"/>
        <v>0</v>
      </c>
      <c r="J365" s="1">
        <f t="shared" si="52"/>
        <v>0</v>
      </c>
      <c r="K365" s="1" t="b">
        <f t="shared" si="53"/>
        <v>0</v>
      </c>
    </row>
    <row r="366" customHeight="1" spans="1:11">
      <c r="A366" s="1">
        <v>45</v>
      </c>
      <c r="B366" s="1" t="str">
        <f t="shared" si="44"/>
        <v/>
      </c>
      <c r="C366" s="1" t="str">
        <f t="shared" si="45"/>
        <v>Settlement 34V</v>
      </c>
      <c r="D366" s="1">
        <f t="shared" si="46"/>
        <v>420.962127608</v>
      </c>
      <c r="E366" s="1">
        <f t="shared" si="47"/>
        <v>172.436136824999</v>
      </c>
      <c r="F366" s="1">
        <f t="shared" si="48"/>
        <v>890.822923225</v>
      </c>
      <c r="G366" s="1">
        <f t="shared" si="49"/>
        <v>0</v>
      </c>
      <c r="H366" s="1">
        <f t="shared" si="50"/>
        <v>0</v>
      </c>
      <c r="I366" s="1">
        <f t="shared" si="51"/>
        <v>0</v>
      </c>
      <c r="J366" s="1">
        <f t="shared" si="52"/>
        <v>0</v>
      </c>
      <c r="K366" s="1" t="b">
        <f t="shared" si="53"/>
        <v>0</v>
      </c>
    </row>
    <row r="367" customHeight="1" spans="1:11">
      <c r="A367" s="1">
        <v>46</v>
      </c>
      <c r="B367" s="1" t="str">
        <f t="shared" si="44"/>
        <v/>
      </c>
      <c r="C367" s="1" t="str">
        <f t="shared" si="45"/>
        <v>Settlement 35R</v>
      </c>
      <c r="D367" s="1">
        <f t="shared" si="46"/>
        <v>808.969948483</v>
      </c>
      <c r="E367" s="1">
        <f t="shared" si="47"/>
        <v>416.799127286</v>
      </c>
      <c r="F367" s="1">
        <f t="shared" si="48"/>
        <v>415.698917468</v>
      </c>
      <c r="G367" s="1">
        <f t="shared" si="49"/>
        <v>0</v>
      </c>
      <c r="H367" s="1">
        <f t="shared" si="50"/>
        <v>0</v>
      </c>
      <c r="I367" s="1">
        <f t="shared" si="51"/>
        <v>0</v>
      </c>
      <c r="J367" s="1">
        <f t="shared" si="52"/>
        <v>0</v>
      </c>
      <c r="K367" s="1" t="b">
        <f t="shared" si="53"/>
        <v>0</v>
      </c>
    </row>
    <row r="368" customHeight="1" spans="1:11">
      <c r="A368" s="1">
        <v>47</v>
      </c>
      <c r="B368" s="1" t="str">
        <f t="shared" si="44"/>
        <v/>
      </c>
      <c r="C368" s="1" t="str">
        <f t="shared" si="45"/>
        <v>Settlement 36T</v>
      </c>
      <c r="D368" s="1">
        <f t="shared" si="46"/>
        <v>559.167050289</v>
      </c>
      <c r="E368" s="1">
        <f t="shared" si="47"/>
        <v>386.753813170999</v>
      </c>
      <c r="F368" s="1">
        <f t="shared" si="48"/>
        <v>733.407084939999</v>
      </c>
      <c r="G368" s="1">
        <f t="shared" si="49"/>
        <v>0</v>
      </c>
      <c r="H368" s="1">
        <f t="shared" si="50"/>
        <v>0</v>
      </c>
      <c r="I368" s="1">
        <f t="shared" si="51"/>
        <v>0</v>
      </c>
      <c r="J368" s="1">
        <f t="shared" si="52"/>
        <v>0</v>
      </c>
      <c r="K368" s="1" t="b">
        <f t="shared" si="53"/>
        <v>0</v>
      </c>
    </row>
    <row r="369" customHeight="1" spans="1:18">
      <c r="A369" s="1">
        <v>48</v>
      </c>
      <c r="B369" s="1" t="str">
        <f t="shared" si="44"/>
        <v/>
      </c>
      <c r="C369" s="1" t="str">
        <f t="shared" si="45"/>
        <v>Settlement 36U</v>
      </c>
      <c r="D369" s="1">
        <f t="shared" si="46"/>
        <v>517.841119621</v>
      </c>
      <c r="E369" s="1">
        <f t="shared" si="47"/>
        <v>361.649282301</v>
      </c>
      <c r="F369" s="1">
        <f t="shared" si="48"/>
        <v>777.067530642</v>
      </c>
      <c r="G369" s="1">
        <f t="shared" si="49"/>
        <v>0</v>
      </c>
      <c r="H369" s="1">
        <f t="shared" si="50"/>
        <v>0</v>
      </c>
      <c r="I369" s="1">
        <f t="shared" si="51"/>
        <v>0</v>
      </c>
      <c r="J369" s="1">
        <f t="shared" si="52"/>
        <v>0</v>
      </c>
      <c r="K369" s="1" t="b">
        <f t="shared" si="53"/>
        <v>0</v>
      </c>
      <c r="R369" s="4"/>
    </row>
    <row r="370" customHeight="1" spans="1:18">
      <c r="A370" s="1">
        <v>49</v>
      </c>
      <c r="B370" s="1" t="str">
        <f t="shared" si="44"/>
        <v/>
      </c>
      <c r="C370" s="1" t="str">
        <f t="shared" si="45"/>
        <v>Settlement 36X</v>
      </c>
      <c r="D370" s="1">
        <f t="shared" si="46"/>
        <v>242.686449006999</v>
      </c>
      <c r="E370" s="1">
        <f t="shared" si="47"/>
        <v>159.040409961</v>
      </c>
      <c r="F370" s="1">
        <f t="shared" si="48"/>
        <v>957.158602271</v>
      </c>
      <c r="G370" s="1">
        <f t="shared" si="49"/>
        <v>0</v>
      </c>
      <c r="H370" s="1">
        <f t="shared" si="50"/>
        <v>0</v>
      </c>
      <c r="I370" s="1">
        <f t="shared" si="51"/>
        <v>0</v>
      </c>
      <c r="J370" s="1">
        <f t="shared" si="52"/>
        <v>0</v>
      </c>
      <c r="K370" s="1" t="b">
        <f t="shared" si="53"/>
        <v>0</v>
      </c>
      <c r="R370" s="4"/>
    </row>
    <row r="371" customHeight="1" spans="1:18">
      <c r="A371" s="1">
        <v>50</v>
      </c>
      <c r="B371" s="1" t="str">
        <f t="shared" si="44"/>
        <v/>
      </c>
      <c r="C371" s="1" t="str">
        <f t="shared" si="45"/>
        <v>Settlement 38U</v>
      </c>
      <c r="D371" s="1">
        <f t="shared" si="46"/>
        <v>488.986771232999</v>
      </c>
      <c r="E371" s="1">
        <f t="shared" si="47"/>
        <v>440.90672323</v>
      </c>
      <c r="F371" s="1">
        <f t="shared" si="48"/>
        <v>753.943556719999</v>
      </c>
      <c r="G371" s="1">
        <f t="shared" si="49"/>
        <v>0</v>
      </c>
      <c r="H371" s="1">
        <f t="shared" si="50"/>
        <v>0</v>
      </c>
      <c r="I371" s="1">
        <f t="shared" si="51"/>
        <v>0</v>
      </c>
      <c r="J371" s="1">
        <f t="shared" si="52"/>
        <v>0</v>
      </c>
      <c r="K371" s="1" t="b">
        <f t="shared" si="53"/>
        <v>0</v>
      </c>
      <c r="R371" s="4"/>
    </row>
    <row r="372" customHeight="1" spans="1:18">
      <c r="A372" s="1">
        <v>51</v>
      </c>
      <c r="B372" s="1" t="str">
        <f t="shared" si="44"/>
        <v/>
      </c>
      <c r="C372" s="1" t="str">
        <f t="shared" si="45"/>
        <v>Settlement 50K</v>
      </c>
      <c r="D372" s="1">
        <f t="shared" si="46"/>
        <v>-458.492768339</v>
      </c>
      <c r="E372" s="1">
        <f t="shared" si="47"/>
        <v>807.380966956999</v>
      </c>
      <c r="F372" s="1">
        <f t="shared" si="48"/>
        <v>-371.930131793999</v>
      </c>
      <c r="G372" s="1">
        <f t="shared" si="49"/>
        <v>0</v>
      </c>
      <c r="H372" s="1">
        <f t="shared" si="50"/>
        <v>0</v>
      </c>
      <c r="I372" s="1">
        <f t="shared" si="51"/>
        <v>0</v>
      </c>
      <c r="J372" s="1">
        <f t="shared" si="52"/>
        <v>0</v>
      </c>
      <c r="K372" s="1" t="b">
        <f t="shared" si="53"/>
        <v>0</v>
      </c>
      <c r="R372" s="4"/>
    </row>
    <row r="373" customHeight="1" spans="1:18">
      <c r="A373" s="1">
        <v>52</v>
      </c>
      <c r="B373" s="1" t="str">
        <f t="shared" si="44"/>
        <v/>
      </c>
      <c r="C373" s="1" t="str">
        <f t="shared" si="45"/>
        <v>Rock Cave 22W</v>
      </c>
      <c r="D373" s="1">
        <f t="shared" si="46"/>
        <v>209.18863974215</v>
      </c>
      <c r="E373" s="1">
        <f t="shared" si="47"/>
        <v>-260.050155152496</v>
      </c>
      <c r="F373" s="1">
        <f t="shared" si="48"/>
        <v>944.768433512743</v>
      </c>
      <c r="G373" s="1">
        <f t="shared" si="49"/>
        <v>0</v>
      </c>
      <c r="H373" s="1">
        <f t="shared" si="50"/>
        <v>0</v>
      </c>
      <c r="I373" s="1">
        <f t="shared" si="51"/>
        <v>0</v>
      </c>
      <c r="J373" s="1">
        <f t="shared" si="52"/>
        <v>0</v>
      </c>
      <c r="K373" s="1" t="b">
        <f t="shared" si="53"/>
        <v>0</v>
      </c>
      <c r="R373" s="4"/>
    </row>
    <row r="374" customHeight="1" spans="1:18">
      <c r="A374" s="1">
        <v>53</v>
      </c>
      <c r="B374" s="1" t="str">
        <f t="shared" si="44"/>
        <v/>
      </c>
      <c r="C374" s="1" t="str">
        <f t="shared" si="45"/>
        <v>Rock Cave 27N</v>
      </c>
      <c r="D374" s="1">
        <f t="shared" si="46"/>
        <v>914.966506301299</v>
      </c>
      <c r="E374" s="1">
        <f t="shared" si="47"/>
        <v>-405.202815290598</v>
      </c>
      <c r="F374" s="1">
        <f t="shared" si="48"/>
        <v>40.824910437408</v>
      </c>
      <c r="G374" s="1">
        <f t="shared" si="49"/>
        <v>0</v>
      </c>
      <c r="H374" s="1">
        <f t="shared" si="50"/>
        <v>0</v>
      </c>
      <c r="I374" s="1">
        <f t="shared" si="51"/>
        <v>0</v>
      </c>
      <c r="J374" s="1">
        <f t="shared" si="52"/>
        <v>0</v>
      </c>
      <c r="K374" s="1" t="b">
        <f t="shared" si="53"/>
        <v>0</v>
      </c>
      <c r="R374" s="4"/>
    </row>
    <row r="375" customHeight="1" spans="1:18">
      <c r="A375" s="1">
        <v>54</v>
      </c>
      <c r="B375" s="1" t="str">
        <f t="shared" si="44"/>
        <v/>
      </c>
      <c r="C375" s="1" t="str">
        <f t="shared" si="45"/>
        <v>Rock Cave 30Q</v>
      </c>
      <c r="D375" s="1">
        <f t="shared" si="46"/>
        <v>940.940022176765</v>
      </c>
      <c r="E375" s="1">
        <f t="shared" si="47"/>
        <v>-23.790363417196</v>
      </c>
      <c r="F375" s="1">
        <f t="shared" si="48"/>
        <v>343.678614255491</v>
      </c>
      <c r="G375" s="1">
        <f t="shared" si="49"/>
        <v>0</v>
      </c>
      <c r="H375" s="1">
        <f t="shared" si="50"/>
        <v>0</v>
      </c>
      <c r="I375" s="1">
        <f t="shared" si="51"/>
        <v>0</v>
      </c>
      <c r="J375" s="1">
        <f t="shared" si="52"/>
        <v>0</v>
      </c>
      <c r="K375" s="1" t="b">
        <f t="shared" si="53"/>
        <v>0</v>
      </c>
      <c r="R375" s="4"/>
    </row>
    <row r="376" customHeight="1" spans="1:18">
      <c r="A376" s="1">
        <v>55</v>
      </c>
      <c r="B376" s="1" t="str">
        <f t="shared" si="44"/>
        <v/>
      </c>
      <c r="C376" s="1" t="str">
        <f t="shared" si="45"/>
        <v>Rock Cave 35S</v>
      </c>
      <c r="D376" s="1">
        <f t="shared" si="46"/>
        <v>679.115112802588</v>
      </c>
      <c r="E376" s="1">
        <f t="shared" si="47"/>
        <v>379.184993189556</v>
      </c>
      <c r="F376" s="1">
        <f t="shared" si="48"/>
        <v>630.074051183402</v>
      </c>
      <c r="G376" s="1">
        <f t="shared" si="49"/>
        <v>0</v>
      </c>
      <c r="H376" s="1">
        <f t="shared" si="50"/>
        <v>0</v>
      </c>
      <c r="I376" s="1">
        <f t="shared" si="51"/>
        <v>0</v>
      </c>
      <c r="J376" s="1">
        <f t="shared" si="52"/>
        <v>0</v>
      </c>
      <c r="K376" s="1" t="b">
        <f t="shared" si="53"/>
        <v>0</v>
      </c>
      <c r="R376" s="4"/>
    </row>
    <row r="377" customHeight="1" spans="1:18">
      <c r="A377" s="1">
        <v>56</v>
      </c>
      <c r="B377" s="1" t="str">
        <f t="shared" si="44"/>
        <v/>
      </c>
      <c r="C377" s="1" t="str">
        <f t="shared" si="45"/>
        <v>Rock Cave 38U</v>
      </c>
      <c r="D377" s="1">
        <f t="shared" si="46"/>
        <v>495.284955224999</v>
      </c>
      <c r="E377" s="1">
        <f t="shared" si="47"/>
        <v>446.712846874999</v>
      </c>
      <c r="F377" s="1">
        <f t="shared" si="48"/>
        <v>749.188305691999</v>
      </c>
      <c r="G377" s="1">
        <f t="shared" si="49"/>
        <v>0</v>
      </c>
      <c r="H377" s="1">
        <f t="shared" si="50"/>
        <v>0</v>
      </c>
      <c r="I377" s="1">
        <f t="shared" si="51"/>
        <v>0</v>
      </c>
      <c r="J377" s="1">
        <f t="shared" si="52"/>
        <v>0</v>
      </c>
      <c r="K377" s="1" t="b">
        <f t="shared" si="53"/>
        <v>0</v>
      </c>
      <c r="R377" s="4"/>
    </row>
    <row r="378" customHeight="1" spans="1:18">
      <c r="A378" s="1">
        <v>57</v>
      </c>
      <c r="B378" s="1" t="str">
        <f t="shared" si="44"/>
        <v/>
      </c>
      <c r="C378" s="1" t="str">
        <f t="shared" si="45"/>
        <v>Rock Cave 50M</v>
      </c>
      <c r="D378" s="1">
        <f t="shared" si="46"/>
        <v>-428.145065818594</v>
      </c>
      <c r="E378" s="1">
        <f t="shared" si="47"/>
        <v>903.758319505118</v>
      </c>
      <c r="F378" s="1">
        <f t="shared" si="48"/>
        <v>-31.123730709993</v>
      </c>
      <c r="G378" s="1">
        <f t="shared" si="49"/>
        <v>0</v>
      </c>
      <c r="H378" s="1">
        <f t="shared" si="50"/>
        <v>0</v>
      </c>
      <c r="I378" s="1">
        <f t="shared" si="51"/>
        <v>0</v>
      </c>
      <c r="J378" s="1">
        <f t="shared" si="52"/>
        <v>0</v>
      </c>
      <c r="K378" s="1" t="b">
        <f t="shared" si="53"/>
        <v>0</v>
      </c>
      <c r="R378" s="4"/>
    </row>
    <row r="379" customHeight="1" spans="1:18">
      <c r="A379" s="1">
        <v>58</v>
      </c>
      <c r="B379" s="1" t="str">
        <f t="shared" si="44"/>
        <v/>
      </c>
      <c r="C379" s="1" t="str">
        <f t="shared" si="45"/>
        <v>Caterpillar Wreck 34V</v>
      </c>
      <c r="D379" s="1">
        <f t="shared" si="46"/>
        <v>422.030565493172</v>
      </c>
      <c r="E379" s="1">
        <f t="shared" si="47"/>
        <v>170.8188762115</v>
      </c>
      <c r="F379" s="1">
        <f t="shared" si="48"/>
        <v>890.497381315684</v>
      </c>
      <c r="G379" s="1">
        <f t="shared" si="49"/>
        <v>0</v>
      </c>
      <c r="H379" s="1">
        <f t="shared" si="50"/>
        <v>0</v>
      </c>
      <c r="I379" s="1">
        <f t="shared" si="51"/>
        <v>0</v>
      </c>
      <c r="J379" s="1">
        <f t="shared" si="52"/>
        <v>0</v>
      </c>
      <c r="K379" s="1" t="b">
        <f t="shared" si="53"/>
        <v>0</v>
      </c>
      <c r="R379" s="4"/>
    </row>
    <row r="380" customHeight="1" spans="1:11">
      <c r="A380" s="1">
        <v>59</v>
      </c>
      <c r="B380" s="1" t="str">
        <f t="shared" si="44"/>
        <v/>
      </c>
      <c r="C380" s="1" t="str">
        <f t="shared" si="45"/>
        <v>Caterpillar Wreck 47M</v>
      </c>
      <c r="D380" s="1">
        <f t="shared" si="46"/>
        <v>-174.985191389468</v>
      </c>
      <c r="E380" s="1">
        <f t="shared" si="47"/>
        <v>978.25858424416</v>
      </c>
      <c r="F380" s="1">
        <f t="shared" si="48"/>
        <v>-116.906611973531</v>
      </c>
      <c r="G380" s="1">
        <f t="shared" si="49"/>
        <v>0</v>
      </c>
      <c r="H380" s="1">
        <f t="shared" si="50"/>
        <v>0</v>
      </c>
      <c r="I380" s="1">
        <f t="shared" si="51"/>
        <v>0</v>
      </c>
      <c r="J380" s="1">
        <f t="shared" si="52"/>
        <v>0</v>
      </c>
      <c r="K380" s="1" t="b">
        <f t="shared" si="53"/>
        <v>0</v>
      </c>
    </row>
    <row r="381" customHeight="1" spans="1:11">
      <c r="A381" s="1">
        <v>60</v>
      </c>
      <c r="B381" s="1" t="str">
        <f t="shared" si="44"/>
        <v/>
      </c>
      <c r="C381" s="1" t="str">
        <f t="shared" si="45"/>
        <v>Caterpillar Wreck 52W</v>
      </c>
      <c r="D381" s="1">
        <f t="shared" si="46"/>
        <v>-267.953108728863</v>
      </c>
      <c r="E381" s="1">
        <f t="shared" si="47"/>
        <v>310.782251487106</v>
      </c>
      <c r="F381" s="1">
        <f t="shared" si="48"/>
        <v>912.085579711613</v>
      </c>
      <c r="G381" s="1">
        <f t="shared" si="49"/>
        <v>0</v>
      </c>
      <c r="H381" s="1">
        <f t="shared" si="50"/>
        <v>0</v>
      </c>
      <c r="I381" s="1">
        <f t="shared" si="51"/>
        <v>0</v>
      </c>
      <c r="J381" s="1">
        <f t="shared" si="52"/>
        <v>0</v>
      </c>
      <c r="K381" s="1" t="b">
        <f t="shared" si="53"/>
        <v>0</v>
      </c>
    </row>
    <row r="382" customHeight="1" spans="1:11">
      <c r="A382" s="1">
        <v>61</v>
      </c>
      <c r="B382" s="1" t="str">
        <f t="shared" si="44"/>
        <v/>
      </c>
      <c r="C382" s="1" t="str">
        <f t="shared" si="45"/>
        <v>Caterpillar Wreck 53W</v>
      </c>
      <c r="D382" s="1">
        <f t="shared" si="46"/>
        <v>-223.633552985958</v>
      </c>
      <c r="E382" s="1">
        <f t="shared" si="47"/>
        <v>218.51939659621</v>
      </c>
      <c r="F382" s="1">
        <f t="shared" si="48"/>
        <v>949.902150956804</v>
      </c>
      <c r="G382" s="1">
        <f t="shared" si="49"/>
        <v>0</v>
      </c>
      <c r="H382" s="1">
        <f t="shared" si="50"/>
        <v>0</v>
      </c>
      <c r="I382" s="1">
        <f t="shared" si="51"/>
        <v>0</v>
      </c>
      <c r="J382" s="1">
        <f t="shared" si="52"/>
        <v>0</v>
      </c>
      <c r="K382" s="1" t="b">
        <f t="shared" si="53"/>
        <v>0</v>
      </c>
    </row>
    <row r="383" customHeight="1" spans="1:11">
      <c r="A383" s="1">
        <v>62</v>
      </c>
      <c r="B383" s="1" t="str">
        <f t="shared" si="44"/>
        <v/>
      </c>
      <c r="C383" s="1" t="str">
        <f t="shared" si="45"/>
        <v>Constellation Wreck 08N</v>
      </c>
      <c r="D383" s="1">
        <f t="shared" si="46"/>
        <v>-676.717865094178</v>
      </c>
      <c r="E383" s="1">
        <f t="shared" si="47"/>
        <v>-728.925426829962</v>
      </c>
      <c r="F383" s="1">
        <f t="shared" si="48"/>
        <v>112.129584296142</v>
      </c>
      <c r="G383" s="1">
        <f t="shared" si="49"/>
        <v>0</v>
      </c>
      <c r="H383" s="1">
        <f t="shared" si="50"/>
        <v>0</v>
      </c>
      <c r="I383" s="1">
        <f t="shared" si="51"/>
        <v>0</v>
      </c>
      <c r="J383" s="1">
        <f t="shared" si="52"/>
        <v>0</v>
      </c>
      <c r="K383" s="1" t="b">
        <f t="shared" si="53"/>
        <v>0</v>
      </c>
    </row>
    <row r="384" customHeight="1" spans="1:11">
      <c r="A384" s="1">
        <v>63</v>
      </c>
      <c r="B384" s="1" t="str">
        <f t="shared" si="44"/>
        <v/>
      </c>
      <c r="C384" s="1" t="str">
        <f t="shared" si="45"/>
        <v>Constellation Wreck 26L</v>
      </c>
      <c r="D384" s="1">
        <f t="shared" si="46"/>
        <v>875.200546632067</v>
      </c>
      <c r="E384" s="1">
        <f t="shared" si="47"/>
        <v>-465.380147321214</v>
      </c>
      <c r="F384" s="1">
        <f t="shared" si="48"/>
        <v>-142.68191251041</v>
      </c>
      <c r="G384" s="1">
        <f t="shared" si="49"/>
        <v>0</v>
      </c>
      <c r="H384" s="1">
        <f t="shared" si="50"/>
        <v>0</v>
      </c>
      <c r="I384" s="1">
        <f t="shared" si="51"/>
        <v>0</v>
      </c>
      <c r="J384" s="1">
        <f t="shared" si="52"/>
        <v>0</v>
      </c>
      <c r="K384" s="1" t="b">
        <f t="shared" si="53"/>
        <v>0</v>
      </c>
    </row>
    <row r="385" customHeight="1" spans="1:11">
      <c r="A385" s="1">
        <v>64</v>
      </c>
      <c r="B385" s="1" t="str">
        <f t="shared" si="44"/>
        <v/>
      </c>
      <c r="C385" s="1" t="str">
        <f t="shared" si="45"/>
        <v>Constellation Wreck 42M</v>
      </c>
      <c r="D385" s="1">
        <f t="shared" si="46"/>
        <v>376.775847030883</v>
      </c>
      <c r="E385" s="1">
        <f t="shared" si="47"/>
        <v>920.915695519137</v>
      </c>
      <c r="F385" s="1">
        <f t="shared" si="48"/>
        <v>-105.955657172639</v>
      </c>
      <c r="G385" s="1">
        <f t="shared" si="49"/>
        <v>0</v>
      </c>
      <c r="H385" s="1">
        <f t="shared" si="50"/>
        <v>0</v>
      </c>
      <c r="I385" s="1">
        <f t="shared" si="51"/>
        <v>0</v>
      </c>
      <c r="J385" s="1">
        <f t="shared" si="52"/>
        <v>0</v>
      </c>
      <c r="K385" s="1" t="b">
        <f t="shared" si="53"/>
        <v>0</v>
      </c>
    </row>
    <row r="386" customHeight="1" spans="1:11">
      <c r="A386" s="1">
        <v>65</v>
      </c>
      <c r="B386" s="1" t="str">
        <f t="shared" si="44"/>
        <v/>
      </c>
      <c r="C386" s="1" t="str">
        <f t="shared" ref="C386:C449" si="54">_xlfn.IFNA(VLOOKUP(CONCATENATE(C$315," ",IF(A386&lt;10,"0",""),A386),Database,4,FALSE),"")</f>
        <v>Constellation Wreck 47L</v>
      </c>
      <c r="D386" s="1">
        <f t="shared" ref="D386:D449" si="55">_xlfn.IFNA(VLOOKUP(CONCATENATE(C$315," ",IF(A386&lt;10,"0",""),A386),Database,6,FALSE),"")</f>
        <v>-167.210361350261</v>
      </c>
      <c r="E386" s="1">
        <f t="shared" ref="E386:E449" si="56">_xlfn.IFNA(VLOOKUP(CONCATENATE(C$315," ",IF(A386&lt;10,"0",""),A386),Database,7,FALSE),"")</f>
        <v>960.391198845134</v>
      </c>
      <c r="F386" s="1">
        <f t="shared" ref="F386:F449" si="57">_xlfn.IFNA(VLOOKUP(CONCATENATE(C$315," ",IF(A386&lt;10,"0",""),A386),Database,8,FALSE),"")</f>
        <v>-228.479705824038</v>
      </c>
      <c r="G386" s="1">
        <f t="shared" ref="G386:G449" si="58">_xlfn.IFNA(VLOOKUP(CONCATENATE(C$315," ",IF(A386&lt;10,"0",""),A386),Database,9,FALSE),"")</f>
        <v>0</v>
      </c>
      <c r="H386" s="1">
        <f t="shared" ref="H386:H449" si="59">_xlfn.IFNA(VLOOKUP(CONCATENATE(C$315," ",IF(A386&lt;10,"0",""),A386),Database,10,FALSE),"")</f>
        <v>0</v>
      </c>
      <c r="I386" s="1">
        <f t="shared" ref="I386:I449" si="60">_xlfn.IFNA(VLOOKUP(CONCATENATE(C$315," ",IF(A386&lt;10,"0",""),A386),Database,11,FALSE),"")</f>
        <v>0</v>
      </c>
      <c r="J386" s="1">
        <f t="shared" ref="J386:J449" si="61">_xlfn.IFNA(VLOOKUP(CONCATENATE(C$315," ",IF(A386&lt;10,"0",""),A386),Database,12,FALSE),"")</f>
        <v>0</v>
      </c>
      <c r="K386" s="1" t="b">
        <f t="shared" ref="K386:K449" si="62">_xlfn.IFNA(VLOOKUP(CONCATENATE(C$315," ",IF(A386&lt;10,"0",""),A386),Database,13,FALSE),"")</f>
        <v>0</v>
      </c>
    </row>
    <row r="387" customHeight="1" spans="1:11">
      <c r="A387" s="1">
        <v>66</v>
      </c>
      <c r="B387" s="1" t="str">
        <f t="shared" si="44"/>
        <v/>
      </c>
      <c r="C387" s="1" t="str">
        <f t="shared" si="54"/>
        <v>Freelancer Wreck 03N</v>
      </c>
      <c r="D387" s="1">
        <f t="shared" si="55"/>
        <v>-973.703809272717</v>
      </c>
      <c r="E387" s="1">
        <f t="shared" si="56"/>
        <v>-225.634764877147</v>
      </c>
      <c r="F387" s="1">
        <f t="shared" si="57"/>
        <v>40.800499864769</v>
      </c>
      <c r="G387" s="1">
        <f t="shared" si="58"/>
        <v>0</v>
      </c>
      <c r="H387" s="1">
        <f t="shared" si="59"/>
        <v>0</v>
      </c>
      <c r="I387" s="1">
        <f t="shared" si="60"/>
        <v>0</v>
      </c>
      <c r="J387" s="1">
        <f t="shared" si="61"/>
        <v>0</v>
      </c>
      <c r="K387" s="1" t="b">
        <f t="shared" si="62"/>
        <v>0</v>
      </c>
    </row>
    <row r="388" customHeight="1" spans="1:11">
      <c r="A388" s="1">
        <v>67</v>
      </c>
      <c r="B388" s="1" t="str">
        <f t="shared" si="44"/>
        <v/>
      </c>
      <c r="C388" s="1" t="str">
        <f t="shared" si="54"/>
        <v>Freelancer Wreck 04L</v>
      </c>
      <c r="D388" s="1">
        <f t="shared" si="55"/>
        <v>-933.299747754197</v>
      </c>
      <c r="E388" s="1">
        <f t="shared" si="56"/>
        <v>-309.024262314054</v>
      </c>
      <c r="F388" s="1">
        <f t="shared" si="57"/>
        <v>-189.531586515152</v>
      </c>
      <c r="G388" s="1">
        <f t="shared" si="58"/>
        <v>0</v>
      </c>
      <c r="H388" s="1">
        <f t="shared" si="59"/>
        <v>0</v>
      </c>
      <c r="I388" s="1">
        <f t="shared" si="60"/>
        <v>0</v>
      </c>
      <c r="J388" s="1">
        <f t="shared" si="61"/>
        <v>0</v>
      </c>
      <c r="K388" s="1" t="b">
        <f t="shared" si="62"/>
        <v>0</v>
      </c>
    </row>
    <row r="389" customHeight="1" spans="1:11">
      <c r="A389" s="1">
        <v>68</v>
      </c>
      <c r="B389" s="1" t="str">
        <f t="shared" si="44"/>
        <v/>
      </c>
      <c r="C389" s="1" t="str">
        <f t="shared" si="54"/>
        <v>Freelancer Wreck 08N-A24</v>
      </c>
      <c r="D389" s="1">
        <f t="shared" si="55"/>
        <v>-686.687642149452</v>
      </c>
      <c r="E389" s="1">
        <f t="shared" si="56"/>
        <v>-719.066830458095</v>
      </c>
      <c r="F389" s="1">
        <f t="shared" si="57"/>
        <v>111.168182463832</v>
      </c>
      <c r="G389" s="1">
        <f t="shared" si="58"/>
        <v>0</v>
      </c>
      <c r="H389" s="1">
        <f t="shared" si="59"/>
        <v>0</v>
      </c>
      <c r="I389" s="1">
        <f t="shared" si="60"/>
        <v>0</v>
      </c>
      <c r="J389" s="1">
        <f t="shared" si="61"/>
        <v>0</v>
      </c>
      <c r="K389" s="1" t="b">
        <f t="shared" si="62"/>
        <v>0</v>
      </c>
    </row>
    <row r="390" customHeight="1" spans="1:11">
      <c r="A390" s="1">
        <v>69</v>
      </c>
      <c r="B390" s="1" t="str">
        <f t="shared" si="44"/>
        <v/>
      </c>
      <c r="C390" s="1" t="str">
        <f t="shared" si="54"/>
        <v>Freelancer Wreck 08N-D43</v>
      </c>
      <c r="D390" s="1">
        <f t="shared" si="55"/>
        <v>-683.47693031583</v>
      </c>
      <c r="E390" s="1">
        <f t="shared" si="56"/>
        <v>-719.404561508934</v>
      </c>
      <c r="F390" s="1">
        <f t="shared" si="57"/>
        <v>134.431148172863</v>
      </c>
      <c r="G390" s="1">
        <f t="shared" si="58"/>
        <v>0</v>
      </c>
      <c r="H390" s="1">
        <f t="shared" si="59"/>
        <v>0</v>
      </c>
      <c r="I390" s="1">
        <f t="shared" si="60"/>
        <v>0</v>
      </c>
      <c r="J390" s="1">
        <f t="shared" si="61"/>
        <v>0</v>
      </c>
      <c r="K390" s="1" t="b">
        <f t="shared" si="62"/>
        <v>0</v>
      </c>
    </row>
    <row r="391" customHeight="1" spans="1:11">
      <c r="A391" s="1">
        <v>70</v>
      </c>
      <c r="B391" s="1" t="str">
        <f t="shared" si="44"/>
        <v/>
      </c>
      <c r="C391" s="1" t="str">
        <f t="shared" si="54"/>
        <v>Starfarer Wreck 52M</v>
      </c>
      <c r="D391" s="1">
        <f t="shared" si="55"/>
        <v>-588.08975842639</v>
      </c>
      <c r="E391" s="1">
        <f t="shared" si="56"/>
        <v>805.331386539117</v>
      </c>
      <c r="F391" s="1">
        <f t="shared" si="57"/>
        <v>-78.362321435307</v>
      </c>
      <c r="G391" s="1">
        <f t="shared" si="58"/>
        <v>0</v>
      </c>
      <c r="H391" s="1">
        <f t="shared" si="59"/>
        <v>0</v>
      </c>
      <c r="I391" s="1">
        <f t="shared" si="60"/>
        <v>0</v>
      </c>
      <c r="J391" s="1">
        <f t="shared" si="61"/>
        <v>0</v>
      </c>
      <c r="K391" s="1" t="b">
        <f t="shared" si="62"/>
        <v>0</v>
      </c>
    </row>
    <row r="392" customHeight="1" spans="1:11">
      <c r="A392" s="1">
        <v>71</v>
      </c>
      <c r="B392" s="1" t="str">
        <f t="shared" si="44"/>
        <v/>
      </c>
      <c r="C392" s="1" t="str">
        <f t="shared" si="54"/>
        <v>Starfarer Wreck 52P</v>
      </c>
      <c r="D392" s="1">
        <f t="shared" si="55"/>
        <v>-637.938300534408</v>
      </c>
      <c r="E392" s="1">
        <f t="shared" si="56"/>
        <v>747.781923474108</v>
      </c>
      <c r="F392" s="1">
        <f t="shared" si="57"/>
        <v>185.557559019559</v>
      </c>
      <c r="G392" s="1">
        <f t="shared" si="58"/>
        <v>0</v>
      </c>
      <c r="H392" s="1">
        <f t="shared" si="59"/>
        <v>0</v>
      </c>
      <c r="I392" s="1">
        <f t="shared" si="60"/>
        <v>0</v>
      </c>
      <c r="J392" s="1">
        <f t="shared" si="61"/>
        <v>0</v>
      </c>
      <c r="K392" s="1" t="b">
        <f t="shared" si="62"/>
        <v>0</v>
      </c>
    </row>
    <row r="393" customHeight="1" spans="1:11">
      <c r="A393" s="1">
        <v>72</v>
      </c>
      <c r="B393" s="1" t="str">
        <f t="shared" si="44"/>
        <v/>
      </c>
      <c r="C393" s="1" t="str">
        <f t="shared" si="54"/>
        <v>Starfarer Wreck 53W</v>
      </c>
      <c r="D393" s="1">
        <f t="shared" si="55"/>
        <v>-226.007572205983</v>
      </c>
      <c r="E393" s="1">
        <f t="shared" si="56"/>
        <v>212.796556926972</v>
      </c>
      <c r="F393" s="1">
        <f t="shared" si="57"/>
        <v>950.747037600446</v>
      </c>
      <c r="G393" s="1">
        <f t="shared" si="58"/>
        <v>0</v>
      </c>
      <c r="H393" s="1">
        <f t="shared" si="59"/>
        <v>0</v>
      </c>
      <c r="I393" s="1">
        <f t="shared" si="60"/>
        <v>0</v>
      </c>
      <c r="J393" s="1">
        <f t="shared" si="61"/>
        <v>0</v>
      </c>
      <c r="K393" s="1" t="b">
        <f t="shared" si="62"/>
        <v>0</v>
      </c>
    </row>
    <row r="394" customHeight="1" spans="1:11">
      <c r="A394" s="1">
        <v>73</v>
      </c>
      <c r="B394" s="1" t="str">
        <f t="shared" si="44"/>
        <v/>
      </c>
      <c r="C394" s="1" t="str">
        <f t="shared" si="54"/>
        <v>Starfarer Wreck ZBG</v>
      </c>
      <c r="D394" s="1">
        <f t="shared" si="55"/>
        <v>9.472077956748</v>
      </c>
      <c r="E394" s="1">
        <f t="shared" si="56"/>
        <v>103.799998156201</v>
      </c>
      <c r="F394" s="1">
        <f t="shared" si="57"/>
        <v>995.340544819772</v>
      </c>
      <c r="G394" s="1">
        <f t="shared" si="58"/>
        <v>0</v>
      </c>
      <c r="H394" s="1">
        <f t="shared" si="59"/>
        <v>0</v>
      </c>
      <c r="I394" s="1">
        <f t="shared" si="60"/>
        <v>0</v>
      </c>
      <c r="J394" s="1">
        <f t="shared" si="61"/>
        <v>0</v>
      </c>
      <c r="K394" s="1" t="b">
        <f t="shared" si="62"/>
        <v>0</v>
      </c>
    </row>
    <row r="395" customHeight="1" spans="1:11">
      <c r="A395" s="1">
        <v>74</v>
      </c>
      <c r="B395" s="1" t="str">
        <f t="shared" si="44"/>
        <v/>
      </c>
      <c r="C395" s="1" t="str">
        <f t="shared" si="54"/>
        <v>River 35R</v>
      </c>
      <c r="D395" s="1">
        <f t="shared" si="55"/>
        <v>806.12952788544</v>
      </c>
      <c r="E395" s="1">
        <f t="shared" si="56"/>
        <v>424.64153803191</v>
      </c>
      <c r="F395" s="1">
        <f t="shared" si="57"/>
        <v>414.60756717617</v>
      </c>
      <c r="G395" s="1">
        <f t="shared" si="58"/>
        <v>0</v>
      </c>
      <c r="H395" s="1">
        <f t="shared" si="59"/>
        <v>0</v>
      </c>
      <c r="I395" s="1">
        <f t="shared" si="60"/>
        <v>0</v>
      </c>
      <c r="J395" s="1">
        <f t="shared" si="61"/>
        <v>0</v>
      </c>
      <c r="K395" s="1" t="b">
        <f t="shared" si="62"/>
        <v>0</v>
      </c>
    </row>
    <row r="396" customHeight="1" spans="1:11">
      <c r="A396" s="1">
        <v>75</v>
      </c>
      <c r="B396" s="1" t="str">
        <f t="shared" si="44"/>
        <v/>
      </c>
      <c r="C396" s="1" t="str">
        <f t="shared" si="54"/>
        <v>River 52M</v>
      </c>
      <c r="D396" s="1">
        <f t="shared" si="55"/>
        <v>-653.17005538579</v>
      </c>
      <c r="E396" s="1">
        <f t="shared" si="56"/>
        <v>758.01399892978</v>
      </c>
      <c r="F396" s="1">
        <f t="shared" si="57"/>
        <v>-1.19610378766</v>
      </c>
      <c r="G396" s="1">
        <f t="shared" si="58"/>
        <v>0</v>
      </c>
      <c r="H396" s="1">
        <f t="shared" si="59"/>
        <v>0</v>
      </c>
      <c r="I396" s="1">
        <f t="shared" si="60"/>
        <v>0</v>
      </c>
      <c r="J396" s="1">
        <f t="shared" si="61"/>
        <v>0</v>
      </c>
      <c r="K396" s="1" t="b">
        <f t="shared" si="62"/>
        <v>0</v>
      </c>
    </row>
    <row r="397" customHeight="1" spans="1:11">
      <c r="A397" s="1">
        <v>76</v>
      </c>
      <c r="B397" s="1" t="str">
        <f t="shared" si="44"/>
        <v/>
      </c>
      <c r="C397" s="1" t="str">
        <f t="shared" si="54"/>
        <v>River 53N-625</v>
      </c>
      <c r="D397" s="1">
        <f t="shared" si="55"/>
        <v>-671.95912652879</v>
      </c>
      <c r="E397" s="1">
        <f t="shared" si="56"/>
        <v>741.26646720449</v>
      </c>
      <c r="F397" s="1">
        <f t="shared" si="57"/>
        <v>19.68942692564</v>
      </c>
      <c r="G397" s="1">
        <f t="shared" si="58"/>
        <v>0</v>
      </c>
      <c r="H397" s="1">
        <f t="shared" si="59"/>
        <v>0</v>
      </c>
      <c r="I397" s="1">
        <f t="shared" si="60"/>
        <v>0</v>
      </c>
      <c r="J397" s="1">
        <f t="shared" si="61"/>
        <v>0</v>
      </c>
      <c r="K397" s="1" t="b">
        <f t="shared" si="62"/>
        <v>0</v>
      </c>
    </row>
    <row r="398" customHeight="1" spans="1:11">
      <c r="A398" s="1">
        <v>77</v>
      </c>
      <c r="B398" s="1" t="str">
        <f t="shared" si="44"/>
        <v/>
      </c>
      <c r="C398" s="1" t="str">
        <f t="shared" si="54"/>
        <v>River 53N-627</v>
      </c>
      <c r="D398" s="1">
        <f t="shared" si="55"/>
        <v>-682.27331957135</v>
      </c>
      <c r="E398" s="1">
        <f t="shared" si="56"/>
        <v>731.64156839804</v>
      </c>
      <c r="F398" s="1">
        <f t="shared" si="57"/>
        <v>6.84236910808</v>
      </c>
      <c r="G398" s="1">
        <f t="shared" si="58"/>
        <v>0</v>
      </c>
      <c r="H398" s="1">
        <f t="shared" si="59"/>
        <v>0</v>
      </c>
      <c r="I398" s="1">
        <f t="shared" si="60"/>
        <v>0</v>
      </c>
      <c r="J398" s="1">
        <f t="shared" si="61"/>
        <v>0</v>
      </c>
      <c r="K398" s="1" t="b">
        <f t="shared" si="62"/>
        <v>0</v>
      </c>
    </row>
    <row r="399" customHeight="1" spans="1:11">
      <c r="A399" s="1">
        <v>78</v>
      </c>
      <c r="B399" s="1" t="str">
        <f t="shared" si="44"/>
        <v/>
      </c>
      <c r="C399" s="1" t="str">
        <f t="shared" si="54"/>
        <v>River 53N-628</v>
      </c>
      <c r="D399" s="1">
        <f t="shared" si="55"/>
        <v>-690.11601783916</v>
      </c>
      <c r="E399" s="1">
        <f t="shared" si="56"/>
        <v>715.07065117631</v>
      </c>
      <c r="F399" s="1">
        <f t="shared" si="57"/>
        <v>126.72312525077</v>
      </c>
      <c r="G399" s="1">
        <f t="shared" si="58"/>
        <v>0</v>
      </c>
      <c r="H399" s="1">
        <f t="shared" si="59"/>
        <v>0</v>
      </c>
      <c r="I399" s="1">
        <f t="shared" si="60"/>
        <v>0</v>
      </c>
      <c r="J399" s="1">
        <f t="shared" si="61"/>
        <v>0</v>
      </c>
      <c r="K399" s="1" t="b">
        <f t="shared" si="62"/>
        <v>0</v>
      </c>
    </row>
    <row r="400" customHeight="1" spans="1:11">
      <c r="A400" s="1">
        <v>79</v>
      </c>
      <c r="B400" s="1" t="str">
        <f t="shared" si="44"/>
        <v/>
      </c>
      <c r="C400" s="1" t="str">
        <f t="shared" si="54"/>
        <v>River 53N-630</v>
      </c>
      <c r="D400" s="1">
        <f t="shared" si="55"/>
        <v>-707.00629584817</v>
      </c>
      <c r="E400" s="1">
        <f t="shared" si="56"/>
        <v>708.48388936968</v>
      </c>
      <c r="F400" s="1">
        <f t="shared" si="57"/>
        <v>3.99330654078</v>
      </c>
      <c r="G400" s="1">
        <f t="shared" si="58"/>
        <v>0</v>
      </c>
      <c r="H400" s="1">
        <f t="shared" si="59"/>
        <v>0</v>
      </c>
      <c r="I400" s="1">
        <f t="shared" si="60"/>
        <v>0</v>
      </c>
      <c r="J400" s="1">
        <f t="shared" si="61"/>
        <v>0</v>
      </c>
      <c r="K400" s="1" t="b">
        <f t="shared" si="62"/>
        <v>0</v>
      </c>
    </row>
    <row r="401" customHeight="1" spans="1:11">
      <c r="A401" s="1">
        <v>80</v>
      </c>
      <c r="B401" s="1" t="str">
        <f t="shared" si="44"/>
        <v/>
      </c>
      <c r="C401" s="1" t="str">
        <f t="shared" si="54"/>
        <v>River 53N-633</v>
      </c>
      <c r="D401" s="1">
        <f t="shared" si="55"/>
        <v>-724.49010855951</v>
      </c>
      <c r="E401" s="1">
        <f t="shared" si="56"/>
        <v>690.56441334727</v>
      </c>
      <c r="F401" s="1">
        <f t="shared" si="57"/>
        <v>11.37279001968</v>
      </c>
      <c r="G401" s="1">
        <f t="shared" si="58"/>
        <v>0</v>
      </c>
      <c r="H401" s="1">
        <f t="shared" si="59"/>
        <v>0</v>
      </c>
      <c r="I401" s="1">
        <f t="shared" si="60"/>
        <v>0</v>
      </c>
      <c r="J401" s="1">
        <f t="shared" si="61"/>
        <v>0</v>
      </c>
      <c r="K401" s="1" t="b">
        <f t="shared" si="62"/>
        <v>0</v>
      </c>
    </row>
    <row r="402" customHeight="1" spans="1:11">
      <c r="A402" s="1">
        <v>81</v>
      </c>
      <c r="B402" s="1" t="str">
        <f t="shared" si="44"/>
        <v/>
      </c>
      <c r="C402" s="1" t="str">
        <f t="shared" si="54"/>
        <v>River 53N-635</v>
      </c>
      <c r="D402" s="1">
        <f t="shared" si="55"/>
        <v>-737.61605488143</v>
      </c>
      <c r="E402" s="1">
        <f t="shared" si="56"/>
        <v>676.62032420707</v>
      </c>
      <c r="F402" s="1">
        <f t="shared" si="57"/>
        <v>0.80486141263</v>
      </c>
      <c r="G402" s="1">
        <f t="shared" si="58"/>
        <v>0</v>
      </c>
      <c r="H402" s="1">
        <f t="shared" si="59"/>
        <v>0</v>
      </c>
      <c r="I402" s="1">
        <f t="shared" si="60"/>
        <v>0</v>
      </c>
      <c r="J402" s="1">
        <f t="shared" si="61"/>
        <v>0</v>
      </c>
      <c r="K402" s="1" t="b">
        <f t="shared" si="62"/>
        <v>0</v>
      </c>
    </row>
    <row r="403" customHeight="1" spans="1:11">
      <c r="A403" s="1">
        <v>82</v>
      </c>
      <c r="B403" s="1" t="str">
        <f t="shared" si="44"/>
        <v/>
      </c>
      <c r="C403" s="1" t="str">
        <f t="shared" si="54"/>
        <v>River 53N-636</v>
      </c>
      <c r="D403" s="1">
        <f t="shared" si="55"/>
        <v>-740.63392725701</v>
      </c>
      <c r="E403" s="1">
        <f t="shared" si="56"/>
        <v>673.33522484449</v>
      </c>
      <c r="F403" s="1">
        <f t="shared" si="57"/>
        <v>8.85046959811</v>
      </c>
      <c r="G403" s="1">
        <f t="shared" si="58"/>
        <v>0</v>
      </c>
      <c r="H403" s="1">
        <f t="shared" si="59"/>
        <v>0</v>
      </c>
      <c r="I403" s="1">
        <f t="shared" si="60"/>
        <v>0</v>
      </c>
      <c r="J403" s="1">
        <f t="shared" si="61"/>
        <v>0</v>
      </c>
      <c r="K403" s="1" t="b">
        <f t="shared" si="62"/>
        <v>0</v>
      </c>
    </row>
    <row r="404" customHeight="1" spans="1:11">
      <c r="A404" s="1">
        <v>83</v>
      </c>
      <c r="B404" s="1" t="str">
        <f t="shared" si="44"/>
        <v/>
      </c>
      <c r="C404" s="1" t="str">
        <f t="shared" si="54"/>
        <v>River 53P-625</v>
      </c>
      <c r="D404" s="1">
        <f t="shared" si="55"/>
        <v>-661.28154028757</v>
      </c>
      <c r="E404" s="1">
        <f t="shared" si="56"/>
        <v>725.22427655367</v>
      </c>
      <c r="F404" s="1">
        <f t="shared" si="57"/>
        <v>196.11160539173</v>
      </c>
      <c r="G404" s="1">
        <f t="shared" si="58"/>
        <v>0</v>
      </c>
      <c r="H404" s="1">
        <f t="shared" si="59"/>
        <v>0</v>
      </c>
      <c r="I404" s="1">
        <f t="shared" si="60"/>
        <v>0</v>
      </c>
      <c r="J404" s="1">
        <f t="shared" si="61"/>
        <v>0</v>
      </c>
      <c r="K404" s="1" t="b">
        <f t="shared" si="62"/>
        <v>0</v>
      </c>
    </row>
    <row r="405" customHeight="1" spans="1:11">
      <c r="A405" s="1">
        <v>84</v>
      </c>
      <c r="B405" s="1" t="str">
        <f t="shared" si="44"/>
        <v/>
      </c>
      <c r="C405" s="1" t="str">
        <f t="shared" si="54"/>
        <v>River 53P-630</v>
      </c>
      <c r="D405" s="1">
        <f t="shared" si="55"/>
        <v>-694.519747280249</v>
      </c>
      <c r="E405" s="1">
        <f t="shared" si="56"/>
        <v>703.15465518414</v>
      </c>
      <c r="F405" s="1">
        <f t="shared" si="57"/>
        <v>166.0948089991</v>
      </c>
      <c r="G405" s="1">
        <f t="shared" si="58"/>
        <v>0</v>
      </c>
      <c r="H405" s="1">
        <f t="shared" si="59"/>
        <v>0</v>
      </c>
      <c r="I405" s="1">
        <f t="shared" si="60"/>
        <v>0</v>
      </c>
      <c r="J405" s="1">
        <f t="shared" si="61"/>
        <v>0</v>
      </c>
      <c r="K405" s="1" t="b">
        <f t="shared" si="62"/>
        <v>0</v>
      </c>
    </row>
    <row r="406" customHeight="1" spans="1:11">
      <c r="A406" s="1">
        <v>85</v>
      </c>
      <c r="B406" s="1" t="str">
        <f t="shared" si="44"/>
        <v/>
      </c>
      <c r="C406" s="1" t="str">
        <f t="shared" si="54"/>
        <v>River 53P-631</v>
      </c>
      <c r="D406" s="1">
        <f t="shared" si="55"/>
        <v>-693.64940424645</v>
      </c>
      <c r="E406" s="1">
        <f t="shared" si="56"/>
        <v>687.63526013252</v>
      </c>
      <c r="F406" s="1">
        <f t="shared" si="57"/>
        <v>219.20152316351</v>
      </c>
      <c r="G406" s="1">
        <f t="shared" si="58"/>
        <v>0</v>
      </c>
      <c r="H406" s="1">
        <f t="shared" si="59"/>
        <v>0</v>
      </c>
      <c r="I406" s="1">
        <f t="shared" si="60"/>
        <v>0</v>
      </c>
      <c r="J406" s="1">
        <f t="shared" si="61"/>
        <v>0</v>
      </c>
      <c r="K406" s="1" t="b">
        <f t="shared" si="62"/>
        <v>0</v>
      </c>
    </row>
    <row r="407" customHeight="1" spans="1:11">
      <c r="A407" s="1">
        <v>86</v>
      </c>
      <c r="B407" s="1" t="str">
        <f t="shared" si="44"/>
        <v/>
      </c>
      <c r="C407" s="1" t="str">
        <f t="shared" si="54"/>
        <v>River 54M</v>
      </c>
      <c r="D407" s="1">
        <f t="shared" si="55"/>
        <v>-801.08808977709</v>
      </c>
      <c r="E407" s="1">
        <f t="shared" si="56"/>
        <v>601.46299101323</v>
      </c>
      <c r="F407" s="1">
        <f t="shared" si="57"/>
        <v>-5.71770008787</v>
      </c>
      <c r="G407" s="1">
        <f t="shared" si="58"/>
        <v>0</v>
      </c>
      <c r="H407" s="1">
        <f t="shared" si="59"/>
        <v>0</v>
      </c>
      <c r="I407" s="1">
        <f t="shared" si="60"/>
        <v>0</v>
      </c>
      <c r="J407" s="1">
        <f t="shared" si="61"/>
        <v>0</v>
      </c>
      <c r="K407" s="1" t="b">
        <f t="shared" si="62"/>
        <v>0</v>
      </c>
    </row>
    <row r="408" customHeight="1" spans="1:11">
      <c r="A408" s="1">
        <v>87</v>
      </c>
      <c r="B408" s="1" t="str">
        <f t="shared" si="44"/>
        <v/>
      </c>
      <c r="C408" s="1" t="str">
        <f t="shared" si="54"/>
        <v>River 54N-638</v>
      </c>
      <c r="D408" s="1">
        <f t="shared" si="55"/>
        <v>-754.61837282719</v>
      </c>
      <c r="E408" s="1">
        <f t="shared" si="56"/>
        <v>657.4929587854</v>
      </c>
      <c r="F408" s="1">
        <f t="shared" si="57"/>
        <v>15.87634694054</v>
      </c>
      <c r="G408" s="1">
        <f t="shared" si="58"/>
        <v>0</v>
      </c>
      <c r="H408" s="1">
        <f t="shared" si="59"/>
        <v>0</v>
      </c>
      <c r="I408" s="1">
        <f t="shared" si="60"/>
        <v>0</v>
      </c>
      <c r="J408" s="1">
        <f t="shared" si="61"/>
        <v>0</v>
      </c>
      <c r="K408" s="1" t="b">
        <f t="shared" si="62"/>
        <v>0</v>
      </c>
    </row>
    <row r="409" customHeight="1" spans="1:11">
      <c r="A409" s="1">
        <v>88</v>
      </c>
      <c r="B409" s="1" t="str">
        <f t="shared" si="44"/>
        <v/>
      </c>
      <c r="C409" s="1" t="str">
        <f t="shared" si="54"/>
        <v>River 54N-639</v>
      </c>
      <c r="D409" s="1">
        <f t="shared" si="55"/>
        <v>-758.59063795013</v>
      </c>
      <c r="E409" s="1">
        <f t="shared" si="56"/>
        <v>653.09384087314</v>
      </c>
      <c r="F409" s="1">
        <f t="shared" si="57"/>
        <v>16.50549280405</v>
      </c>
      <c r="G409" s="1">
        <f t="shared" si="58"/>
        <v>0</v>
      </c>
      <c r="H409" s="1">
        <f t="shared" si="59"/>
        <v>0</v>
      </c>
      <c r="I409" s="1">
        <f t="shared" si="60"/>
        <v>0</v>
      </c>
      <c r="J409" s="1">
        <f t="shared" si="61"/>
        <v>0</v>
      </c>
      <c r="K409" s="1" t="b">
        <f t="shared" si="62"/>
        <v>0</v>
      </c>
    </row>
    <row r="410" customHeight="1" spans="1:11">
      <c r="A410" s="1">
        <v>89</v>
      </c>
      <c r="B410" s="1" t="str">
        <f t="shared" si="44"/>
        <v/>
      </c>
      <c r="C410" s="1" t="str">
        <f t="shared" si="54"/>
        <v>River 54N-642</v>
      </c>
      <c r="D410" s="1">
        <f t="shared" si="55"/>
        <v>-776.95680492816</v>
      </c>
      <c r="E410" s="1">
        <f t="shared" si="56"/>
        <v>631.82575742003</v>
      </c>
      <c r="F410" s="1">
        <f t="shared" si="57"/>
        <v>12.12209835673</v>
      </c>
      <c r="G410" s="1">
        <f t="shared" si="58"/>
        <v>0</v>
      </c>
      <c r="H410" s="1">
        <f t="shared" si="59"/>
        <v>0</v>
      </c>
      <c r="I410" s="1">
        <f t="shared" si="60"/>
        <v>0</v>
      </c>
      <c r="J410" s="1">
        <f t="shared" si="61"/>
        <v>0</v>
      </c>
      <c r="K410" s="1" t="b">
        <f t="shared" si="62"/>
        <v>0</v>
      </c>
    </row>
    <row r="411" customHeight="1" spans="1:11">
      <c r="A411" s="1">
        <v>90</v>
      </c>
      <c r="B411" s="1" t="str">
        <f t="shared" si="44"/>
        <v/>
      </c>
      <c r="C411" s="1" t="str">
        <f t="shared" si="54"/>
        <v>River 54N-647</v>
      </c>
      <c r="D411" s="1">
        <f t="shared" si="55"/>
        <v>-803.65533737428</v>
      </c>
      <c r="E411" s="1">
        <f t="shared" si="56"/>
        <v>596.95426384438</v>
      </c>
      <c r="F411" s="1">
        <f t="shared" si="57"/>
        <v>6.09849944024</v>
      </c>
      <c r="G411" s="1">
        <f t="shared" si="58"/>
        <v>0</v>
      </c>
      <c r="H411" s="1">
        <f t="shared" si="59"/>
        <v>0</v>
      </c>
      <c r="I411" s="1">
        <f t="shared" si="60"/>
        <v>0</v>
      </c>
      <c r="J411" s="1">
        <f t="shared" si="61"/>
        <v>0</v>
      </c>
      <c r="K411" s="1" t="b">
        <f t="shared" si="62"/>
        <v>0</v>
      </c>
    </row>
    <row r="412" customHeight="1" spans="1:11">
      <c r="A412" s="1">
        <v>91</v>
      </c>
      <c r="B412" s="1" t="str">
        <f t="shared" si="44"/>
        <v/>
      </c>
      <c r="C412" s="1" t="str">
        <f t="shared" si="54"/>
        <v>River 55N</v>
      </c>
      <c r="D412" s="1">
        <f t="shared" si="55"/>
        <v>-820.73159667614</v>
      </c>
      <c r="E412" s="1">
        <f t="shared" si="56"/>
        <v>568.35011354749</v>
      </c>
      <c r="F412" s="1">
        <f t="shared" si="57"/>
        <v>72.12896686881</v>
      </c>
      <c r="G412" s="1">
        <f t="shared" si="58"/>
        <v>0</v>
      </c>
      <c r="H412" s="1">
        <f t="shared" si="59"/>
        <v>0</v>
      </c>
      <c r="I412" s="1">
        <f t="shared" si="60"/>
        <v>0</v>
      </c>
      <c r="J412" s="1">
        <f t="shared" si="61"/>
        <v>0</v>
      </c>
      <c r="K412" s="1" t="b">
        <f t="shared" si="62"/>
        <v>0</v>
      </c>
    </row>
    <row r="413" customHeight="1" spans="1:11">
      <c r="A413" s="1">
        <v>92</v>
      </c>
      <c r="B413" s="1" t="str">
        <f t="shared" si="44"/>
        <v/>
      </c>
      <c r="C413" s="1" t="str">
        <f t="shared" si="54"/>
        <v>Test Facility Octagon</v>
      </c>
      <c r="D413" s="1">
        <f t="shared" si="55"/>
        <v>635.765</v>
      </c>
      <c r="E413" s="1">
        <f t="shared" si="56"/>
        <v>-155.464</v>
      </c>
      <c r="F413" s="1">
        <f t="shared" si="57"/>
        <v>758.837</v>
      </c>
      <c r="G413" s="1">
        <f t="shared" si="58"/>
        <v>0</v>
      </c>
      <c r="H413" s="1">
        <f t="shared" si="59"/>
        <v>0</v>
      </c>
      <c r="I413" s="1">
        <f t="shared" si="60"/>
        <v>0</v>
      </c>
      <c r="J413" s="1">
        <f t="shared" si="61"/>
        <v>0</v>
      </c>
      <c r="K413" s="1" t="b">
        <f t="shared" si="62"/>
        <v>0</v>
      </c>
    </row>
    <row r="414" customHeight="1" spans="1:11">
      <c r="A414" s="1">
        <v>93</v>
      </c>
      <c r="B414" s="1" t="str">
        <f t="shared" si="44"/>
        <v/>
      </c>
      <c r="C414" s="1" t="str">
        <f t="shared" si="54"/>
        <v>Chestnuts on an open fire</v>
      </c>
      <c r="D414" s="1">
        <f t="shared" si="55"/>
        <v>520.693326411756</v>
      </c>
      <c r="E414" s="1">
        <f t="shared" si="56"/>
        <v>419.260263867295</v>
      </c>
      <c r="F414" s="1">
        <f t="shared" si="57"/>
        <v>743.713993715584</v>
      </c>
      <c r="G414" s="1">
        <f t="shared" si="58"/>
        <v>0</v>
      </c>
      <c r="H414" s="1">
        <f t="shared" si="59"/>
        <v>0</v>
      </c>
      <c r="I414" s="1">
        <f t="shared" si="60"/>
        <v>0</v>
      </c>
      <c r="J414" s="1">
        <f t="shared" si="61"/>
        <v>0</v>
      </c>
      <c r="K414" s="1" t="b">
        <f t="shared" si="62"/>
        <v>0</v>
      </c>
    </row>
    <row r="415" customHeight="1" spans="1:11">
      <c r="A415" s="1">
        <v>94</v>
      </c>
      <c r="B415" s="1" t="str">
        <f t="shared" si="44"/>
        <v/>
      </c>
      <c r="C415" s="1" t="str">
        <f t="shared" si="54"/>
        <v>Lakeside Chairs</v>
      </c>
      <c r="D415" s="1">
        <f t="shared" si="55"/>
        <v>524.873227220621</v>
      </c>
      <c r="E415" s="1">
        <f t="shared" si="56"/>
        <v>425.682953869917</v>
      </c>
      <c r="F415" s="1">
        <f t="shared" si="57"/>
        <v>737.102441837138</v>
      </c>
      <c r="G415" s="1">
        <f t="shared" si="58"/>
        <v>0</v>
      </c>
      <c r="H415" s="1">
        <f t="shared" si="59"/>
        <v>0</v>
      </c>
      <c r="I415" s="1">
        <f t="shared" si="60"/>
        <v>0</v>
      </c>
      <c r="J415" s="1">
        <f t="shared" si="61"/>
        <v>0</v>
      </c>
      <c r="K415" s="1" t="b">
        <f t="shared" si="62"/>
        <v>0</v>
      </c>
    </row>
    <row r="416" customHeight="1" spans="1:11">
      <c r="A416" s="1">
        <v>95</v>
      </c>
      <c r="B416" s="1" t="str">
        <f t="shared" si="44"/>
        <v/>
      </c>
      <c r="C416" s="1" t="str">
        <f t="shared" si="54"/>
        <v>Mountainside Chairs</v>
      </c>
      <c r="D416" s="1">
        <f t="shared" si="55"/>
        <v>506.681654210353</v>
      </c>
      <c r="E416" s="1">
        <f t="shared" si="56"/>
        <v>421.171165357204</v>
      </c>
      <c r="F416" s="1">
        <f t="shared" si="57"/>
        <v>754.682731680966</v>
      </c>
      <c r="G416" s="1">
        <f t="shared" si="58"/>
        <v>0</v>
      </c>
      <c r="H416" s="1">
        <f t="shared" si="59"/>
        <v>0</v>
      </c>
      <c r="I416" s="1">
        <f t="shared" si="60"/>
        <v>0</v>
      </c>
      <c r="J416" s="1">
        <f t="shared" si="61"/>
        <v>0</v>
      </c>
      <c r="K416" s="1" t="b">
        <f t="shared" si="62"/>
        <v>0</v>
      </c>
    </row>
    <row r="417" customHeight="1" spans="1:11">
      <c r="A417" s="1">
        <v>96</v>
      </c>
      <c r="B417" s="1" t="str">
        <f t="shared" si="44"/>
        <v/>
      </c>
      <c r="C417" s="1" t="str">
        <f t="shared" si="54"/>
        <v>Tears of Fire Painting</v>
      </c>
      <c r="D417" s="1">
        <f t="shared" si="55"/>
        <v>518.388064604595</v>
      </c>
      <c r="E417" s="1">
        <f t="shared" si="56"/>
        <v>416.270524745018</v>
      </c>
      <c r="F417" s="1">
        <f t="shared" si="57"/>
        <v>747.875548809016</v>
      </c>
      <c r="G417" s="1">
        <f t="shared" si="58"/>
        <v>0</v>
      </c>
      <c r="H417" s="1">
        <f t="shared" si="59"/>
        <v>0</v>
      </c>
      <c r="I417" s="1">
        <f t="shared" si="60"/>
        <v>0</v>
      </c>
      <c r="J417" s="1">
        <f t="shared" si="61"/>
        <v>0</v>
      </c>
      <c r="K417" s="1" t="b">
        <f t="shared" si="62"/>
        <v>0</v>
      </c>
    </row>
    <row r="418" customHeight="1" spans="1:11">
      <c r="A418" s="1">
        <v>97</v>
      </c>
      <c r="B418" s="1" t="e">
        <f t="shared" si="44"/>
        <v>#VALUE!</v>
      </c>
      <c r="C418" s="1" t="str">
        <f t="shared" si="54"/>
        <v/>
      </c>
      <c r="D418" s="1" t="str">
        <f t="shared" si="55"/>
        <v/>
      </c>
      <c r="E418" s="1" t="str">
        <f t="shared" si="56"/>
        <v/>
      </c>
      <c r="F418" s="1" t="str">
        <f t="shared" si="57"/>
        <v/>
      </c>
      <c r="G418" s="1" t="str">
        <f t="shared" si="58"/>
        <v/>
      </c>
      <c r="H418" s="1" t="str">
        <f t="shared" si="59"/>
        <v/>
      </c>
      <c r="I418" s="1" t="str">
        <f t="shared" si="60"/>
        <v/>
      </c>
      <c r="J418" s="1" t="str">
        <f t="shared" si="61"/>
        <v/>
      </c>
      <c r="K418" s="1" t="str">
        <f t="shared" si="62"/>
        <v/>
      </c>
    </row>
    <row r="419" customHeight="1" spans="1:11">
      <c r="A419" s="1">
        <v>98</v>
      </c>
      <c r="B419" s="1" t="e">
        <f t="shared" si="44"/>
        <v>#VALUE!</v>
      </c>
      <c r="C419" s="1" t="str">
        <f t="shared" si="54"/>
        <v/>
      </c>
      <c r="D419" s="1" t="str">
        <f t="shared" si="55"/>
        <v/>
      </c>
      <c r="E419" s="1" t="str">
        <f t="shared" si="56"/>
        <v/>
      </c>
      <c r="F419" s="1" t="str">
        <f t="shared" si="57"/>
        <v/>
      </c>
      <c r="G419" s="1" t="str">
        <f t="shared" si="58"/>
        <v/>
      </c>
      <c r="H419" s="1" t="str">
        <f t="shared" si="59"/>
        <v/>
      </c>
      <c r="I419" s="1" t="str">
        <f t="shared" si="60"/>
        <v/>
      </c>
      <c r="J419" s="1" t="str">
        <f t="shared" si="61"/>
        <v/>
      </c>
      <c r="K419" s="1" t="str">
        <f t="shared" si="62"/>
        <v/>
      </c>
    </row>
    <row r="420" customHeight="1" spans="1:11">
      <c r="A420" s="1">
        <v>99</v>
      </c>
      <c r="B420" s="1" t="e">
        <f t="shared" si="44"/>
        <v>#VALUE!</v>
      </c>
      <c r="C420" s="1" t="str">
        <f t="shared" si="54"/>
        <v/>
      </c>
      <c r="D420" s="1" t="str">
        <f t="shared" si="55"/>
        <v/>
      </c>
      <c r="E420" s="1" t="str">
        <f t="shared" si="56"/>
        <v/>
      </c>
      <c r="F420" s="1" t="str">
        <f t="shared" si="57"/>
        <v/>
      </c>
      <c r="G420" s="1" t="str">
        <f t="shared" si="58"/>
        <v/>
      </c>
      <c r="H420" s="1" t="str">
        <f t="shared" si="59"/>
        <v/>
      </c>
      <c r="I420" s="1" t="str">
        <f t="shared" si="60"/>
        <v/>
      </c>
      <c r="J420" s="1" t="str">
        <f t="shared" si="61"/>
        <v/>
      </c>
      <c r="K420" s="1" t="str">
        <f t="shared" si="62"/>
        <v/>
      </c>
    </row>
    <row r="421" customHeight="1" spans="1:11">
      <c r="A421" s="1">
        <v>100</v>
      </c>
      <c r="B421" s="1" t="e">
        <f t="shared" si="44"/>
        <v>#VALUE!</v>
      </c>
      <c r="C421" s="1" t="str">
        <f t="shared" si="54"/>
        <v/>
      </c>
      <c r="D421" s="1" t="str">
        <f t="shared" si="55"/>
        <v/>
      </c>
      <c r="E421" s="1" t="str">
        <f t="shared" si="56"/>
        <v/>
      </c>
      <c r="F421" s="1" t="str">
        <f t="shared" si="57"/>
        <v/>
      </c>
      <c r="G421" s="1" t="str">
        <f t="shared" si="58"/>
        <v/>
      </c>
      <c r="H421" s="1" t="str">
        <f t="shared" si="59"/>
        <v/>
      </c>
      <c r="I421" s="1" t="str">
        <f t="shared" si="60"/>
        <v/>
      </c>
      <c r="J421" s="1" t="str">
        <f t="shared" si="61"/>
        <v/>
      </c>
      <c r="K421" s="1" t="str">
        <f t="shared" si="62"/>
        <v/>
      </c>
    </row>
    <row r="422" customHeight="1" spans="1:11">
      <c r="A422" s="1">
        <v>101</v>
      </c>
      <c r="B422" s="1" t="e">
        <f t="shared" si="44"/>
        <v>#VALUE!</v>
      </c>
      <c r="C422" s="1" t="str">
        <f t="shared" si="54"/>
        <v/>
      </c>
      <c r="D422" s="1" t="str">
        <f t="shared" si="55"/>
        <v/>
      </c>
      <c r="E422" s="1" t="str">
        <f t="shared" si="56"/>
        <v/>
      </c>
      <c r="F422" s="1" t="str">
        <f t="shared" si="57"/>
        <v/>
      </c>
      <c r="G422" s="1" t="str">
        <f t="shared" si="58"/>
        <v/>
      </c>
      <c r="H422" s="1" t="str">
        <f t="shared" si="59"/>
        <v/>
      </c>
      <c r="I422" s="1" t="str">
        <f t="shared" si="60"/>
        <v/>
      </c>
      <c r="J422" s="1" t="str">
        <f t="shared" si="61"/>
        <v/>
      </c>
      <c r="K422" s="1" t="str">
        <f t="shared" si="62"/>
        <v/>
      </c>
    </row>
    <row r="423" customHeight="1" spans="1:11">
      <c r="A423" s="1">
        <v>102</v>
      </c>
      <c r="B423" s="1" t="e">
        <f t="shared" si="44"/>
        <v>#VALUE!</v>
      </c>
      <c r="C423" s="1" t="str">
        <f t="shared" si="54"/>
        <v/>
      </c>
      <c r="D423" s="1" t="str">
        <f t="shared" si="55"/>
        <v/>
      </c>
      <c r="E423" s="1" t="str">
        <f t="shared" si="56"/>
        <v/>
      </c>
      <c r="F423" s="1" t="str">
        <f t="shared" si="57"/>
        <v/>
      </c>
      <c r="G423" s="1" t="str">
        <f t="shared" si="58"/>
        <v/>
      </c>
      <c r="H423" s="1" t="str">
        <f t="shared" si="59"/>
        <v/>
      </c>
      <c r="I423" s="1" t="str">
        <f t="shared" si="60"/>
        <v/>
      </c>
      <c r="J423" s="1" t="str">
        <f t="shared" si="61"/>
        <v/>
      </c>
      <c r="K423" s="1" t="str">
        <f t="shared" si="62"/>
        <v/>
      </c>
    </row>
    <row r="424" customHeight="1" spans="1:11">
      <c r="A424" s="1">
        <v>103</v>
      </c>
      <c r="B424" s="1" t="e">
        <f t="shared" si="44"/>
        <v>#VALUE!</v>
      </c>
      <c r="C424" s="1" t="str">
        <f t="shared" si="54"/>
        <v/>
      </c>
      <c r="D424" s="1" t="str">
        <f t="shared" si="55"/>
        <v/>
      </c>
      <c r="E424" s="1" t="str">
        <f t="shared" si="56"/>
        <v/>
      </c>
      <c r="F424" s="1" t="str">
        <f t="shared" si="57"/>
        <v/>
      </c>
      <c r="G424" s="1" t="str">
        <f t="shared" si="58"/>
        <v/>
      </c>
      <c r="H424" s="1" t="str">
        <f t="shared" si="59"/>
        <v/>
      </c>
      <c r="I424" s="1" t="str">
        <f t="shared" si="60"/>
        <v/>
      </c>
      <c r="J424" s="1" t="str">
        <f t="shared" si="61"/>
        <v/>
      </c>
      <c r="K424" s="1" t="str">
        <f t="shared" si="62"/>
        <v/>
      </c>
    </row>
    <row r="425" customHeight="1" spans="1:11">
      <c r="A425" s="1">
        <v>104</v>
      </c>
      <c r="B425" s="1" t="e">
        <f t="shared" si="44"/>
        <v>#VALUE!</v>
      </c>
      <c r="C425" s="1" t="str">
        <f t="shared" si="54"/>
        <v/>
      </c>
      <c r="D425" s="1" t="str">
        <f t="shared" si="55"/>
        <v/>
      </c>
      <c r="E425" s="1" t="str">
        <f t="shared" si="56"/>
        <v/>
      </c>
      <c r="F425" s="1" t="str">
        <f t="shared" si="57"/>
        <v/>
      </c>
      <c r="G425" s="1" t="str">
        <f t="shared" si="58"/>
        <v/>
      </c>
      <c r="H425" s="1" t="str">
        <f t="shared" si="59"/>
        <v/>
      </c>
      <c r="I425" s="1" t="str">
        <f t="shared" si="60"/>
        <v/>
      </c>
      <c r="J425" s="1" t="str">
        <f t="shared" si="61"/>
        <v/>
      </c>
      <c r="K425" s="1" t="str">
        <f t="shared" si="62"/>
        <v/>
      </c>
    </row>
    <row r="426" customHeight="1" spans="1:11">
      <c r="A426" s="1">
        <v>105</v>
      </c>
      <c r="B426" s="1" t="e">
        <f t="shared" si="44"/>
        <v>#VALUE!</v>
      </c>
      <c r="C426" s="1" t="str">
        <f t="shared" si="54"/>
        <v/>
      </c>
      <c r="D426" s="1" t="str">
        <f t="shared" si="55"/>
        <v/>
      </c>
      <c r="E426" s="1" t="str">
        <f t="shared" si="56"/>
        <v/>
      </c>
      <c r="F426" s="1" t="str">
        <f t="shared" si="57"/>
        <v/>
      </c>
      <c r="G426" s="1" t="str">
        <f t="shared" si="58"/>
        <v/>
      </c>
      <c r="H426" s="1" t="str">
        <f t="shared" si="59"/>
        <v/>
      </c>
      <c r="I426" s="1" t="str">
        <f t="shared" si="60"/>
        <v/>
      </c>
      <c r="J426" s="1" t="str">
        <f t="shared" si="61"/>
        <v/>
      </c>
      <c r="K426" s="1" t="str">
        <f t="shared" si="62"/>
        <v/>
      </c>
    </row>
    <row r="427" customHeight="1" spans="1:11">
      <c r="A427" s="1">
        <v>106</v>
      </c>
      <c r="B427" s="1" t="e">
        <f t="shared" si="44"/>
        <v>#VALUE!</v>
      </c>
      <c r="C427" s="1" t="str">
        <f t="shared" si="54"/>
        <v/>
      </c>
      <c r="D427" s="1" t="str">
        <f t="shared" si="55"/>
        <v/>
      </c>
      <c r="E427" s="1" t="str">
        <f t="shared" si="56"/>
        <v/>
      </c>
      <c r="F427" s="1" t="str">
        <f t="shared" si="57"/>
        <v/>
      </c>
      <c r="G427" s="1" t="str">
        <f t="shared" si="58"/>
        <v/>
      </c>
      <c r="H427" s="1" t="str">
        <f t="shared" si="59"/>
        <v/>
      </c>
      <c r="I427" s="1" t="str">
        <f t="shared" si="60"/>
        <v/>
      </c>
      <c r="J427" s="1" t="str">
        <f t="shared" si="61"/>
        <v/>
      </c>
      <c r="K427" s="1" t="str">
        <f t="shared" si="62"/>
        <v/>
      </c>
    </row>
    <row r="428" customHeight="1" spans="1:11">
      <c r="A428" s="1">
        <v>107</v>
      </c>
      <c r="B428" s="1" t="e">
        <f t="shared" si="44"/>
        <v>#VALUE!</v>
      </c>
      <c r="C428" s="1" t="str">
        <f t="shared" si="54"/>
        <v/>
      </c>
      <c r="D428" s="1" t="str">
        <f t="shared" si="55"/>
        <v/>
      </c>
      <c r="E428" s="1" t="str">
        <f t="shared" si="56"/>
        <v/>
      </c>
      <c r="F428" s="1" t="str">
        <f t="shared" si="57"/>
        <v/>
      </c>
      <c r="G428" s="1" t="str">
        <f t="shared" si="58"/>
        <v/>
      </c>
      <c r="H428" s="1" t="str">
        <f t="shared" si="59"/>
        <v/>
      </c>
      <c r="I428" s="1" t="str">
        <f t="shared" si="60"/>
        <v/>
      </c>
      <c r="J428" s="1" t="str">
        <f t="shared" si="61"/>
        <v/>
      </c>
      <c r="K428" s="1" t="str">
        <f t="shared" si="62"/>
        <v/>
      </c>
    </row>
    <row r="429" customHeight="1" spans="1:11">
      <c r="A429" s="1">
        <v>108</v>
      </c>
      <c r="B429" s="1" t="e">
        <f t="shared" si="44"/>
        <v>#VALUE!</v>
      </c>
      <c r="C429" s="1" t="str">
        <f t="shared" si="54"/>
        <v/>
      </c>
      <c r="D429" s="1" t="str">
        <f t="shared" si="55"/>
        <v/>
      </c>
      <c r="E429" s="1" t="str">
        <f t="shared" si="56"/>
        <v/>
      </c>
      <c r="F429" s="1" t="str">
        <f t="shared" si="57"/>
        <v/>
      </c>
      <c r="G429" s="1" t="str">
        <f t="shared" si="58"/>
        <v/>
      </c>
      <c r="H429" s="1" t="str">
        <f t="shared" si="59"/>
        <v/>
      </c>
      <c r="I429" s="1" t="str">
        <f t="shared" si="60"/>
        <v/>
      </c>
      <c r="J429" s="1" t="str">
        <f t="shared" si="61"/>
        <v/>
      </c>
      <c r="K429" s="1" t="str">
        <f t="shared" si="62"/>
        <v/>
      </c>
    </row>
    <row r="430" customHeight="1" spans="1:11">
      <c r="A430" s="1">
        <v>109</v>
      </c>
      <c r="B430" s="1" t="e">
        <f t="shared" si="44"/>
        <v>#VALUE!</v>
      </c>
      <c r="C430" s="1" t="str">
        <f t="shared" si="54"/>
        <v/>
      </c>
      <c r="D430" s="1" t="str">
        <f t="shared" si="55"/>
        <v/>
      </c>
      <c r="E430" s="1" t="str">
        <f t="shared" si="56"/>
        <v/>
      </c>
      <c r="F430" s="1" t="str">
        <f t="shared" si="57"/>
        <v/>
      </c>
      <c r="G430" s="1" t="str">
        <f t="shared" si="58"/>
        <v/>
      </c>
      <c r="H430" s="1" t="str">
        <f t="shared" si="59"/>
        <v/>
      </c>
      <c r="I430" s="1" t="str">
        <f t="shared" si="60"/>
        <v/>
      </c>
      <c r="J430" s="1" t="str">
        <f t="shared" si="61"/>
        <v/>
      </c>
      <c r="K430" s="1" t="str">
        <f t="shared" si="62"/>
        <v/>
      </c>
    </row>
    <row r="431" customHeight="1" spans="1:11">
      <c r="A431" s="1">
        <v>110</v>
      </c>
      <c r="B431" s="1" t="e">
        <f t="shared" si="44"/>
        <v>#VALUE!</v>
      </c>
      <c r="C431" s="1" t="str">
        <f t="shared" si="54"/>
        <v/>
      </c>
      <c r="D431" s="1" t="str">
        <f t="shared" si="55"/>
        <v/>
      </c>
      <c r="E431" s="1" t="str">
        <f t="shared" si="56"/>
        <v/>
      </c>
      <c r="F431" s="1" t="str">
        <f t="shared" si="57"/>
        <v/>
      </c>
      <c r="G431" s="1" t="str">
        <f t="shared" si="58"/>
        <v/>
      </c>
      <c r="H431" s="1" t="str">
        <f t="shared" si="59"/>
        <v/>
      </c>
      <c r="I431" s="1" t="str">
        <f t="shared" si="60"/>
        <v/>
      </c>
      <c r="J431" s="1" t="str">
        <f t="shared" si="61"/>
        <v/>
      </c>
      <c r="K431" s="1" t="str">
        <f t="shared" si="62"/>
        <v/>
      </c>
    </row>
    <row r="432" customHeight="1" spans="1:11">
      <c r="A432" s="1">
        <v>111</v>
      </c>
      <c r="B432" s="1" t="e">
        <f t="shared" si="44"/>
        <v>#VALUE!</v>
      </c>
      <c r="C432" s="1" t="str">
        <f t="shared" si="54"/>
        <v/>
      </c>
      <c r="D432" s="1" t="str">
        <f t="shared" si="55"/>
        <v/>
      </c>
      <c r="E432" s="1" t="str">
        <f t="shared" si="56"/>
        <v/>
      </c>
      <c r="F432" s="1" t="str">
        <f t="shared" si="57"/>
        <v/>
      </c>
      <c r="G432" s="1" t="str">
        <f t="shared" si="58"/>
        <v/>
      </c>
      <c r="H432" s="1" t="str">
        <f t="shared" si="59"/>
        <v/>
      </c>
      <c r="I432" s="1" t="str">
        <f t="shared" si="60"/>
        <v/>
      </c>
      <c r="J432" s="1" t="str">
        <f t="shared" si="61"/>
        <v/>
      </c>
      <c r="K432" s="1" t="str">
        <f t="shared" si="62"/>
        <v/>
      </c>
    </row>
    <row r="433" customHeight="1" spans="1:11">
      <c r="A433" s="1">
        <v>112</v>
      </c>
      <c r="B433" s="1" t="e">
        <f t="shared" si="44"/>
        <v>#VALUE!</v>
      </c>
      <c r="C433" s="1" t="str">
        <f t="shared" si="54"/>
        <v/>
      </c>
      <c r="D433" s="1" t="str">
        <f t="shared" si="55"/>
        <v/>
      </c>
      <c r="E433" s="1" t="str">
        <f t="shared" si="56"/>
        <v/>
      </c>
      <c r="F433" s="1" t="str">
        <f t="shared" si="57"/>
        <v/>
      </c>
      <c r="G433" s="1" t="str">
        <f t="shared" si="58"/>
        <v/>
      </c>
      <c r="H433" s="1" t="str">
        <f t="shared" si="59"/>
        <v/>
      </c>
      <c r="I433" s="1" t="str">
        <f t="shared" si="60"/>
        <v/>
      </c>
      <c r="J433" s="1" t="str">
        <f t="shared" si="61"/>
        <v/>
      </c>
      <c r="K433" s="1" t="str">
        <f t="shared" si="62"/>
        <v/>
      </c>
    </row>
    <row r="434" customHeight="1" spans="1:11">
      <c r="A434" s="1">
        <v>113</v>
      </c>
      <c r="B434" s="1" t="e">
        <f t="shared" si="44"/>
        <v>#VALUE!</v>
      </c>
      <c r="C434" s="1" t="str">
        <f t="shared" si="54"/>
        <v/>
      </c>
      <c r="D434" s="1" t="str">
        <f t="shared" si="55"/>
        <v/>
      </c>
      <c r="E434" s="1" t="str">
        <f t="shared" si="56"/>
        <v/>
      </c>
      <c r="F434" s="1" t="str">
        <f t="shared" si="57"/>
        <v/>
      </c>
      <c r="G434" s="1" t="str">
        <f t="shared" si="58"/>
        <v/>
      </c>
      <c r="H434" s="1" t="str">
        <f t="shared" si="59"/>
        <v/>
      </c>
      <c r="I434" s="1" t="str">
        <f t="shared" si="60"/>
        <v/>
      </c>
      <c r="J434" s="1" t="str">
        <f t="shared" si="61"/>
        <v/>
      </c>
      <c r="K434" s="1" t="str">
        <f t="shared" si="62"/>
        <v/>
      </c>
    </row>
    <row r="435" customHeight="1" spans="1:11">
      <c r="A435" s="1">
        <v>114</v>
      </c>
      <c r="B435" s="1" t="e">
        <f t="shared" si="44"/>
        <v>#VALUE!</v>
      </c>
      <c r="C435" s="1" t="str">
        <f t="shared" si="54"/>
        <v/>
      </c>
      <c r="D435" s="1" t="str">
        <f t="shared" si="55"/>
        <v/>
      </c>
      <c r="E435" s="1" t="str">
        <f t="shared" si="56"/>
        <v/>
      </c>
      <c r="F435" s="1" t="str">
        <f t="shared" si="57"/>
        <v/>
      </c>
      <c r="G435" s="1" t="str">
        <f t="shared" si="58"/>
        <v/>
      </c>
      <c r="H435" s="1" t="str">
        <f t="shared" si="59"/>
        <v/>
      </c>
      <c r="I435" s="1" t="str">
        <f t="shared" si="60"/>
        <v/>
      </c>
      <c r="J435" s="1" t="str">
        <f t="shared" si="61"/>
        <v/>
      </c>
      <c r="K435" s="1" t="str">
        <f t="shared" si="62"/>
        <v/>
      </c>
    </row>
    <row r="436" customHeight="1" spans="1:11">
      <c r="A436" s="1">
        <v>115</v>
      </c>
      <c r="B436" s="1" t="e">
        <f t="shared" si="44"/>
        <v>#VALUE!</v>
      </c>
      <c r="C436" s="1" t="str">
        <f t="shared" si="54"/>
        <v/>
      </c>
      <c r="D436" s="1" t="str">
        <f t="shared" si="55"/>
        <v/>
      </c>
      <c r="E436" s="1" t="str">
        <f t="shared" si="56"/>
        <v/>
      </c>
      <c r="F436" s="1" t="str">
        <f t="shared" si="57"/>
        <v/>
      </c>
      <c r="G436" s="1" t="str">
        <f t="shared" si="58"/>
        <v/>
      </c>
      <c r="H436" s="1" t="str">
        <f t="shared" si="59"/>
        <v/>
      </c>
      <c r="I436" s="1" t="str">
        <f t="shared" si="60"/>
        <v/>
      </c>
      <c r="J436" s="1" t="str">
        <f t="shared" si="61"/>
        <v/>
      </c>
      <c r="K436" s="1" t="str">
        <f t="shared" si="62"/>
        <v/>
      </c>
    </row>
    <row r="437" customHeight="1" spans="1:11">
      <c r="A437" s="1">
        <v>116</v>
      </c>
      <c r="B437" s="1" t="e">
        <f t="shared" si="44"/>
        <v>#VALUE!</v>
      </c>
      <c r="C437" s="1" t="str">
        <f t="shared" si="54"/>
        <v/>
      </c>
      <c r="D437" s="1" t="str">
        <f t="shared" si="55"/>
        <v/>
      </c>
      <c r="E437" s="1" t="str">
        <f t="shared" si="56"/>
        <v/>
      </c>
      <c r="F437" s="1" t="str">
        <f t="shared" si="57"/>
        <v/>
      </c>
      <c r="G437" s="1" t="str">
        <f t="shared" si="58"/>
        <v/>
      </c>
      <c r="H437" s="1" t="str">
        <f t="shared" si="59"/>
        <v/>
      </c>
      <c r="I437" s="1" t="str">
        <f t="shared" si="60"/>
        <v/>
      </c>
      <c r="J437" s="1" t="str">
        <f t="shared" si="61"/>
        <v/>
      </c>
      <c r="K437" s="1" t="str">
        <f t="shared" si="62"/>
        <v/>
      </c>
    </row>
    <row r="438" customHeight="1" spans="1:11">
      <c r="A438" s="1">
        <v>117</v>
      </c>
      <c r="B438" s="1" t="e">
        <f t="shared" si="44"/>
        <v>#VALUE!</v>
      </c>
      <c r="C438" s="1" t="str">
        <f t="shared" si="54"/>
        <v/>
      </c>
      <c r="D438" s="1" t="str">
        <f t="shared" si="55"/>
        <v/>
      </c>
      <c r="E438" s="1" t="str">
        <f t="shared" si="56"/>
        <v/>
      </c>
      <c r="F438" s="1" t="str">
        <f t="shared" si="57"/>
        <v/>
      </c>
      <c r="G438" s="1" t="str">
        <f t="shared" si="58"/>
        <v/>
      </c>
      <c r="H438" s="1" t="str">
        <f t="shared" si="59"/>
        <v/>
      </c>
      <c r="I438" s="1" t="str">
        <f t="shared" si="60"/>
        <v/>
      </c>
      <c r="J438" s="1" t="str">
        <f t="shared" si="61"/>
        <v/>
      </c>
      <c r="K438" s="1" t="str">
        <f t="shared" si="62"/>
        <v/>
      </c>
    </row>
    <row r="439" customHeight="1" spans="1:11">
      <c r="A439" s="1">
        <v>118</v>
      </c>
      <c r="B439" s="1" t="e">
        <f t="shared" si="44"/>
        <v>#VALUE!</v>
      </c>
      <c r="C439" s="1" t="str">
        <f t="shared" si="54"/>
        <v/>
      </c>
      <c r="D439" s="1" t="str">
        <f t="shared" si="55"/>
        <v/>
      </c>
      <c r="E439" s="1" t="str">
        <f t="shared" si="56"/>
        <v/>
      </c>
      <c r="F439" s="1" t="str">
        <f t="shared" si="57"/>
        <v/>
      </c>
      <c r="G439" s="1" t="str">
        <f t="shared" si="58"/>
        <v/>
      </c>
      <c r="H439" s="1" t="str">
        <f t="shared" si="59"/>
        <v/>
      </c>
      <c r="I439" s="1" t="str">
        <f t="shared" si="60"/>
        <v/>
      </c>
      <c r="J439" s="1" t="str">
        <f t="shared" si="61"/>
        <v/>
      </c>
      <c r="K439" s="1" t="str">
        <f t="shared" si="62"/>
        <v/>
      </c>
    </row>
    <row r="440" customHeight="1" spans="1:11">
      <c r="A440" s="1">
        <v>119</v>
      </c>
      <c r="B440" s="1" t="e">
        <f t="shared" si="44"/>
        <v>#VALUE!</v>
      </c>
      <c r="C440" s="1" t="str">
        <f t="shared" si="54"/>
        <v/>
      </c>
      <c r="D440" s="1" t="str">
        <f t="shared" si="55"/>
        <v/>
      </c>
      <c r="E440" s="1" t="str">
        <f t="shared" si="56"/>
        <v/>
      </c>
      <c r="F440" s="1" t="str">
        <f t="shared" si="57"/>
        <v/>
      </c>
      <c r="G440" s="1" t="str">
        <f t="shared" si="58"/>
        <v/>
      </c>
      <c r="H440" s="1" t="str">
        <f t="shared" si="59"/>
        <v/>
      </c>
      <c r="I440" s="1" t="str">
        <f t="shared" si="60"/>
        <v/>
      </c>
      <c r="J440" s="1" t="str">
        <f t="shared" si="61"/>
        <v/>
      </c>
      <c r="K440" s="1" t="str">
        <f t="shared" si="62"/>
        <v/>
      </c>
    </row>
    <row r="441" customHeight="1" spans="1:11">
      <c r="A441" s="1">
        <v>120</v>
      </c>
      <c r="B441" s="1" t="e">
        <f t="shared" si="44"/>
        <v>#VALUE!</v>
      </c>
      <c r="C441" s="1" t="str">
        <f t="shared" si="54"/>
        <v/>
      </c>
      <c r="D441" s="1" t="str">
        <f t="shared" si="55"/>
        <v/>
      </c>
      <c r="E441" s="1" t="str">
        <f t="shared" si="56"/>
        <v/>
      </c>
      <c r="F441" s="1" t="str">
        <f t="shared" si="57"/>
        <v/>
      </c>
      <c r="G441" s="1" t="str">
        <f t="shared" si="58"/>
        <v/>
      </c>
      <c r="H441" s="1" t="str">
        <f t="shared" si="59"/>
        <v/>
      </c>
      <c r="I441" s="1" t="str">
        <f t="shared" si="60"/>
        <v/>
      </c>
      <c r="J441" s="1" t="str">
        <f t="shared" si="61"/>
        <v/>
      </c>
      <c r="K441" s="1" t="str">
        <f t="shared" si="62"/>
        <v/>
      </c>
    </row>
    <row r="442" customHeight="1" spans="1:11">
      <c r="A442" s="1">
        <v>121</v>
      </c>
      <c r="B442" s="1" t="e">
        <f t="shared" si="44"/>
        <v>#VALUE!</v>
      </c>
      <c r="C442" s="1" t="str">
        <f t="shared" si="54"/>
        <v/>
      </c>
      <c r="D442" s="1" t="str">
        <f t="shared" si="55"/>
        <v/>
      </c>
      <c r="E442" s="1" t="str">
        <f t="shared" si="56"/>
        <v/>
      </c>
      <c r="F442" s="1" t="str">
        <f t="shared" si="57"/>
        <v/>
      </c>
      <c r="G442" s="1" t="str">
        <f t="shared" si="58"/>
        <v/>
      </c>
      <c r="H442" s="1" t="str">
        <f t="shared" si="59"/>
        <v/>
      </c>
      <c r="I442" s="1" t="str">
        <f t="shared" si="60"/>
        <v/>
      </c>
      <c r="J442" s="1" t="str">
        <f t="shared" si="61"/>
        <v/>
      </c>
      <c r="K442" s="1" t="str">
        <f t="shared" si="62"/>
        <v/>
      </c>
    </row>
    <row r="443" customHeight="1" spans="1:11">
      <c r="A443" s="1">
        <v>122</v>
      </c>
      <c r="B443" s="1" t="e">
        <f t="shared" si="44"/>
        <v>#VALUE!</v>
      </c>
      <c r="C443" s="1" t="str">
        <f t="shared" si="54"/>
        <v/>
      </c>
      <c r="D443" s="1" t="str">
        <f t="shared" si="55"/>
        <v/>
      </c>
      <c r="E443" s="1" t="str">
        <f t="shared" si="56"/>
        <v/>
      </c>
      <c r="F443" s="1" t="str">
        <f t="shared" si="57"/>
        <v/>
      </c>
      <c r="G443" s="1" t="str">
        <f t="shared" si="58"/>
        <v/>
      </c>
      <c r="H443" s="1" t="str">
        <f t="shared" si="59"/>
        <v/>
      </c>
      <c r="I443" s="1" t="str">
        <f t="shared" si="60"/>
        <v/>
      </c>
      <c r="J443" s="1" t="str">
        <f t="shared" si="61"/>
        <v/>
      </c>
      <c r="K443" s="1" t="str">
        <f t="shared" si="62"/>
        <v/>
      </c>
    </row>
    <row r="444" customHeight="1" spans="1:11">
      <c r="A444" s="1">
        <v>123</v>
      </c>
      <c r="B444" s="1" t="e">
        <f t="shared" si="44"/>
        <v>#VALUE!</v>
      </c>
      <c r="C444" s="1" t="str">
        <f t="shared" si="54"/>
        <v/>
      </c>
      <c r="D444" s="1" t="str">
        <f t="shared" si="55"/>
        <v/>
      </c>
      <c r="E444" s="1" t="str">
        <f t="shared" si="56"/>
        <v/>
      </c>
      <c r="F444" s="1" t="str">
        <f t="shared" si="57"/>
        <v/>
      </c>
      <c r="G444" s="1" t="str">
        <f t="shared" si="58"/>
        <v/>
      </c>
      <c r="H444" s="1" t="str">
        <f t="shared" si="59"/>
        <v/>
      </c>
      <c r="I444" s="1" t="str">
        <f t="shared" si="60"/>
        <v/>
      </c>
      <c r="J444" s="1" t="str">
        <f t="shared" si="61"/>
        <v/>
      </c>
      <c r="K444" s="1" t="str">
        <f t="shared" si="62"/>
        <v/>
      </c>
    </row>
    <row r="445" customHeight="1" spans="1:11">
      <c r="A445" s="1">
        <v>124</v>
      </c>
      <c r="B445" s="1" t="e">
        <f t="shared" si="44"/>
        <v>#VALUE!</v>
      </c>
      <c r="C445" s="1" t="str">
        <f t="shared" si="54"/>
        <v/>
      </c>
      <c r="D445" s="1" t="str">
        <f t="shared" si="55"/>
        <v/>
      </c>
      <c r="E445" s="1" t="str">
        <f t="shared" si="56"/>
        <v/>
      </c>
      <c r="F445" s="1" t="str">
        <f t="shared" si="57"/>
        <v/>
      </c>
      <c r="G445" s="1" t="str">
        <f t="shared" si="58"/>
        <v/>
      </c>
      <c r="H445" s="1" t="str">
        <f t="shared" si="59"/>
        <v/>
      </c>
      <c r="I445" s="1" t="str">
        <f t="shared" si="60"/>
        <v/>
      </c>
      <c r="J445" s="1" t="str">
        <f t="shared" si="61"/>
        <v/>
      </c>
      <c r="K445" s="1" t="str">
        <f t="shared" si="62"/>
        <v/>
      </c>
    </row>
    <row r="446" customHeight="1" spans="1:11">
      <c r="A446" s="1">
        <v>125</v>
      </c>
      <c r="B446" s="1" t="e">
        <f t="shared" si="44"/>
        <v>#VALUE!</v>
      </c>
      <c r="C446" s="1" t="str">
        <f t="shared" si="54"/>
        <v/>
      </c>
      <c r="D446" s="1" t="str">
        <f t="shared" si="55"/>
        <v/>
      </c>
      <c r="E446" s="1" t="str">
        <f t="shared" si="56"/>
        <v/>
      </c>
      <c r="F446" s="1" t="str">
        <f t="shared" si="57"/>
        <v/>
      </c>
      <c r="G446" s="1" t="str">
        <f t="shared" si="58"/>
        <v/>
      </c>
      <c r="H446" s="1" t="str">
        <f t="shared" si="59"/>
        <v/>
      </c>
      <c r="I446" s="1" t="str">
        <f t="shared" si="60"/>
        <v/>
      </c>
      <c r="J446" s="1" t="str">
        <f t="shared" si="61"/>
        <v/>
      </c>
      <c r="K446" s="1" t="str">
        <f t="shared" si="62"/>
        <v/>
      </c>
    </row>
    <row r="447" customHeight="1" spans="1:11">
      <c r="A447" s="1">
        <v>126</v>
      </c>
      <c r="B447" s="1" t="e">
        <f t="shared" si="44"/>
        <v>#VALUE!</v>
      </c>
      <c r="C447" s="1" t="str">
        <f t="shared" si="54"/>
        <v/>
      </c>
      <c r="D447" s="1" t="str">
        <f t="shared" si="55"/>
        <v/>
      </c>
      <c r="E447" s="1" t="str">
        <f t="shared" si="56"/>
        <v/>
      </c>
      <c r="F447" s="1" t="str">
        <f t="shared" si="57"/>
        <v/>
      </c>
      <c r="G447" s="1" t="str">
        <f t="shared" si="58"/>
        <v/>
      </c>
      <c r="H447" s="1" t="str">
        <f t="shared" si="59"/>
        <v/>
      </c>
      <c r="I447" s="1" t="str">
        <f t="shared" si="60"/>
        <v/>
      </c>
      <c r="J447" s="1" t="str">
        <f t="shared" si="61"/>
        <v/>
      </c>
      <c r="K447" s="1" t="str">
        <f t="shared" si="62"/>
        <v/>
      </c>
    </row>
    <row r="448" customHeight="1" spans="1:11">
      <c r="A448" s="1">
        <v>127</v>
      </c>
      <c r="B448" s="1" t="e">
        <f t="shared" si="44"/>
        <v>#VALUE!</v>
      </c>
      <c r="C448" s="1" t="str">
        <f t="shared" si="54"/>
        <v/>
      </c>
      <c r="D448" s="1" t="str">
        <f t="shared" si="55"/>
        <v/>
      </c>
      <c r="E448" s="1" t="str">
        <f t="shared" si="56"/>
        <v/>
      </c>
      <c r="F448" s="1" t="str">
        <f t="shared" si="57"/>
        <v/>
      </c>
      <c r="G448" s="1" t="str">
        <f t="shared" si="58"/>
        <v/>
      </c>
      <c r="H448" s="1" t="str">
        <f t="shared" si="59"/>
        <v/>
      </c>
      <c r="I448" s="1" t="str">
        <f t="shared" si="60"/>
        <v/>
      </c>
      <c r="J448" s="1" t="str">
        <f t="shared" si="61"/>
        <v/>
      </c>
      <c r="K448" s="1" t="str">
        <f t="shared" si="62"/>
        <v/>
      </c>
    </row>
    <row r="449" customHeight="1" spans="1:11">
      <c r="A449" s="1">
        <v>128</v>
      </c>
      <c r="B449" s="1" t="e">
        <f t="shared" si="44"/>
        <v>#VALUE!</v>
      </c>
      <c r="C449" s="1" t="str">
        <f t="shared" si="54"/>
        <v/>
      </c>
      <c r="D449" s="1" t="str">
        <f t="shared" si="55"/>
        <v/>
      </c>
      <c r="E449" s="1" t="str">
        <f t="shared" si="56"/>
        <v/>
      </c>
      <c r="F449" s="1" t="str">
        <f t="shared" si="57"/>
        <v/>
      </c>
      <c r="G449" s="1" t="str">
        <f t="shared" si="58"/>
        <v/>
      </c>
      <c r="H449" s="1" t="str">
        <f t="shared" si="59"/>
        <v/>
      </c>
      <c r="I449" s="1" t="str">
        <f t="shared" si="60"/>
        <v/>
      </c>
      <c r="J449" s="1" t="str">
        <f t="shared" si="61"/>
        <v/>
      </c>
      <c r="K449" s="1" t="str">
        <f t="shared" si="62"/>
        <v/>
      </c>
    </row>
    <row r="450" customHeight="1" spans="1:11">
      <c r="A450" s="1">
        <v>129</v>
      </c>
      <c r="B450" s="1" t="e">
        <f t="shared" si="44"/>
        <v>#VALUE!</v>
      </c>
      <c r="C450" s="1" t="str">
        <f t="shared" ref="C450:C513" si="63">_xlfn.IFNA(VLOOKUP(CONCATENATE(C$315," ",IF(A450&lt;10,"0",""),A450),Database,4,FALSE),"")</f>
        <v/>
      </c>
      <c r="D450" s="1" t="str">
        <f t="shared" ref="D450:D513" si="64">_xlfn.IFNA(VLOOKUP(CONCATENATE(C$315," ",IF(A450&lt;10,"0",""),A450),Database,6,FALSE),"")</f>
        <v/>
      </c>
      <c r="E450" s="1" t="str">
        <f t="shared" ref="E450:E513" si="65">_xlfn.IFNA(VLOOKUP(CONCATENATE(C$315," ",IF(A450&lt;10,"0",""),A450),Database,7,FALSE),"")</f>
        <v/>
      </c>
      <c r="F450" s="1" t="str">
        <f t="shared" ref="F450:F513" si="66">_xlfn.IFNA(VLOOKUP(CONCATENATE(C$315," ",IF(A450&lt;10,"0",""),A450),Database,8,FALSE),"")</f>
        <v/>
      </c>
      <c r="G450" s="1" t="str">
        <f t="shared" ref="G450:G513" si="67">_xlfn.IFNA(VLOOKUP(CONCATENATE(C$315," ",IF(A450&lt;10,"0",""),A450),Database,9,FALSE),"")</f>
        <v/>
      </c>
      <c r="H450" s="1" t="str">
        <f t="shared" ref="H450:H513" si="68">_xlfn.IFNA(VLOOKUP(CONCATENATE(C$315," ",IF(A450&lt;10,"0",""),A450),Database,10,FALSE),"")</f>
        <v/>
      </c>
      <c r="I450" s="1" t="str">
        <f t="shared" ref="I450:I513" si="69">_xlfn.IFNA(VLOOKUP(CONCATENATE(C$315," ",IF(A450&lt;10,"0",""),A450),Database,11,FALSE),"")</f>
        <v/>
      </c>
      <c r="J450" s="1" t="str">
        <f t="shared" ref="J450:J513" si="70">_xlfn.IFNA(VLOOKUP(CONCATENATE(C$315," ",IF(A450&lt;10,"0",""),A450),Database,12,FALSE),"")</f>
        <v/>
      </c>
      <c r="K450" s="1" t="str">
        <f t="shared" ref="K450:K513" si="71">_xlfn.IFNA(VLOOKUP(CONCATENATE(C$315," ",IF(A450&lt;10,"0",""),A450),Database,13,FALSE),"")</f>
        <v/>
      </c>
    </row>
    <row r="451" customHeight="1" spans="1:11">
      <c r="A451" s="1">
        <v>130</v>
      </c>
      <c r="B451" s="1" t="e">
        <f t="shared" si="44"/>
        <v>#VALUE!</v>
      </c>
      <c r="C451" s="1" t="str">
        <f t="shared" si="63"/>
        <v/>
      </c>
      <c r="D451" s="1" t="str">
        <f t="shared" si="64"/>
        <v/>
      </c>
      <c r="E451" s="1" t="str">
        <f t="shared" si="65"/>
        <v/>
      </c>
      <c r="F451" s="1" t="str">
        <f t="shared" si="66"/>
        <v/>
      </c>
      <c r="G451" s="1" t="str">
        <f t="shared" si="67"/>
        <v/>
      </c>
      <c r="H451" s="1" t="str">
        <f t="shared" si="68"/>
        <v/>
      </c>
      <c r="I451" s="1" t="str">
        <f t="shared" si="69"/>
        <v/>
      </c>
      <c r="J451" s="1" t="str">
        <f t="shared" si="70"/>
        <v/>
      </c>
      <c r="K451" s="1" t="str">
        <f t="shared" si="71"/>
        <v/>
      </c>
    </row>
    <row r="452" customHeight="1" spans="1:11">
      <c r="A452" s="1">
        <v>131</v>
      </c>
      <c r="B452" s="1" t="e">
        <f t="shared" si="44"/>
        <v>#VALUE!</v>
      </c>
      <c r="C452" s="1" t="str">
        <f t="shared" si="63"/>
        <v/>
      </c>
      <c r="D452" s="1" t="str">
        <f t="shared" si="64"/>
        <v/>
      </c>
      <c r="E452" s="1" t="str">
        <f t="shared" si="65"/>
        <v/>
      </c>
      <c r="F452" s="1" t="str">
        <f t="shared" si="66"/>
        <v/>
      </c>
      <c r="G452" s="1" t="str">
        <f t="shared" si="67"/>
        <v/>
      </c>
      <c r="H452" s="1" t="str">
        <f t="shared" si="68"/>
        <v/>
      </c>
      <c r="I452" s="1" t="str">
        <f t="shared" si="69"/>
        <v/>
      </c>
      <c r="J452" s="1" t="str">
        <f t="shared" si="70"/>
        <v/>
      </c>
      <c r="K452" s="1" t="str">
        <f t="shared" si="71"/>
        <v/>
      </c>
    </row>
    <row r="453" customHeight="1" spans="1:11">
      <c r="A453" s="1">
        <v>132</v>
      </c>
      <c r="B453" s="1" t="e">
        <f t="shared" si="44"/>
        <v>#VALUE!</v>
      </c>
      <c r="C453" s="1" t="str">
        <f t="shared" si="63"/>
        <v/>
      </c>
      <c r="D453" s="1" t="str">
        <f t="shared" si="64"/>
        <v/>
      </c>
      <c r="E453" s="1" t="str">
        <f t="shared" si="65"/>
        <v/>
      </c>
      <c r="F453" s="1" t="str">
        <f t="shared" si="66"/>
        <v/>
      </c>
      <c r="G453" s="1" t="str">
        <f t="shared" si="67"/>
        <v/>
      </c>
      <c r="H453" s="1" t="str">
        <f t="shared" si="68"/>
        <v/>
      </c>
      <c r="I453" s="1" t="str">
        <f t="shared" si="69"/>
        <v/>
      </c>
      <c r="J453" s="1" t="str">
        <f t="shared" si="70"/>
        <v/>
      </c>
      <c r="K453" s="1" t="str">
        <f t="shared" si="71"/>
        <v/>
      </c>
    </row>
    <row r="454" customHeight="1" spans="1:11">
      <c r="A454" s="1">
        <v>133</v>
      </c>
      <c r="B454" s="1" t="e">
        <f t="shared" si="44"/>
        <v>#VALUE!</v>
      </c>
      <c r="C454" s="1" t="str">
        <f t="shared" si="63"/>
        <v/>
      </c>
      <c r="D454" s="1" t="str">
        <f t="shared" si="64"/>
        <v/>
      </c>
      <c r="E454" s="1" t="str">
        <f t="shared" si="65"/>
        <v/>
      </c>
      <c r="F454" s="1" t="str">
        <f t="shared" si="66"/>
        <v/>
      </c>
      <c r="G454" s="1" t="str">
        <f t="shared" si="67"/>
        <v/>
      </c>
      <c r="H454" s="1" t="str">
        <f t="shared" si="68"/>
        <v/>
      </c>
      <c r="I454" s="1" t="str">
        <f t="shared" si="69"/>
        <v/>
      </c>
      <c r="J454" s="1" t="str">
        <f t="shared" si="70"/>
        <v/>
      </c>
      <c r="K454" s="1" t="str">
        <f t="shared" si="71"/>
        <v/>
      </c>
    </row>
    <row r="455" customHeight="1" spans="1:11">
      <c r="A455" s="1">
        <v>134</v>
      </c>
      <c r="B455" s="1" t="e">
        <f t="shared" si="44"/>
        <v>#VALUE!</v>
      </c>
      <c r="C455" s="1" t="str">
        <f t="shared" si="63"/>
        <v/>
      </c>
      <c r="D455" s="1" t="str">
        <f t="shared" si="64"/>
        <v/>
      </c>
      <c r="E455" s="1" t="str">
        <f t="shared" si="65"/>
        <v/>
      </c>
      <c r="F455" s="1" t="str">
        <f t="shared" si="66"/>
        <v/>
      </c>
      <c r="G455" s="1" t="str">
        <f t="shared" si="67"/>
        <v/>
      </c>
      <c r="H455" s="1" t="str">
        <f t="shared" si="68"/>
        <v/>
      </c>
      <c r="I455" s="1" t="str">
        <f t="shared" si="69"/>
        <v/>
      </c>
      <c r="J455" s="1" t="str">
        <f t="shared" si="70"/>
        <v/>
      </c>
      <c r="K455" s="1" t="str">
        <f t="shared" si="71"/>
        <v/>
      </c>
    </row>
    <row r="456" customHeight="1" spans="1:11">
      <c r="A456" s="1">
        <v>135</v>
      </c>
      <c r="B456" s="1" t="e">
        <f t="shared" si="44"/>
        <v>#VALUE!</v>
      </c>
      <c r="C456" s="1" t="str">
        <f t="shared" si="63"/>
        <v/>
      </c>
      <c r="D456" s="1" t="str">
        <f t="shared" si="64"/>
        <v/>
      </c>
      <c r="E456" s="1" t="str">
        <f t="shared" si="65"/>
        <v/>
      </c>
      <c r="F456" s="1" t="str">
        <f t="shared" si="66"/>
        <v/>
      </c>
      <c r="G456" s="1" t="str">
        <f t="shared" si="67"/>
        <v/>
      </c>
      <c r="H456" s="1" t="str">
        <f t="shared" si="68"/>
        <v/>
      </c>
      <c r="I456" s="1" t="str">
        <f t="shared" si="69"/>
        <v/>
      </c>
      <c r="J456" s="1" t="str">
        <f t="shared" si="70"/>
        <v/>
      </c>
      <c r="K456" s="1" t="str">
        <f t="shared" si="71"/>
        <v/>
      </c>
    </row>
    <row r="457" customHeight="1" spans="1:11">
      <c r="A457" s="1">
        <v>136</v>
      </c>
      <c r="B457" s="1" t="e">
        <f t="shared" si="44"/>
        <v>#VALUE!</v>
      </c>
      <c r="C457" s="1" t="str">
        <f t="shared" si="63"/>
        <v/>
      </c>
      <c r="D457" s="1" t="str">
        <f t="shared" si="64"/>
        <v/>
      </c>
      <c r="E457" s="1" t="str">
        <f t="shared" si="65"/>
        <v/>
      </c>
      <c r="F457" s="1" t="str">
        <f t="shared" si="66"/>
        <v/>
      </c>
      <c r="G457" s="1" t="str">
        <f t="shared" si="67"/>
        <v/>
      </c>
      <c r="H457" s="1" t="str">
        <f t="shared" si="68"/>
        <v/>
      </c>
      <c r="I457" s="1" t="str">
        <f t="shared" si="69"/>
        <v/>
      </c>
      <c r="J457" s="1" t="str">
        <f t="shared" si="70"/>
        <v/>
      </c>
      <c r="K457" s="1" t="str">
        <f t="shared" si="71"/>
        <v/>
      </c>
    </row>
    <row r="458" customHeight="1" spans="1:11">
      <c r="A458" s="1">
        <v>137</v>
      </c>
      <c r="B458" s="1" t="e">
        <f t="shared" si="44"/>
        <v>#VALUE!</v>
      </c>
      <c r="C458" s="1" t="str">
        <f t="shared" si="63"/>
        <v/>
      </c>
      <c r="D458" s="1" t="str">
        <f t="shared" si="64"/>
        <v/>
      </c>
      <c r="E458" s="1" t="str">
        <f t="shared" si="65"/>
        <v/>
      </c>
      <c r="F458" s="1" t="str">
        <f t="shared" si="66"/>
        <v/>
      </c>
      <c r="G458" s="1" t="str">
        <f t="shared" si="67"/>
        <v/>
      </c>
      <c r="H458" s="1" t="str">
        <f t="shared" si="68"/>
        <v/>
      </c>
      <c r="I458" s="1" t="str">
        <f t="shared" si="69"/>
        <v/>
      </c>
      <c r="J458" s="1" t="str">
        <f t="shared" si="70"/>
        <v/>
      </c>
      <c r="K458" s="1" t="str">
        <f t="shared" si="71"/>
        <v/>
      </c>
    </row>
    <row r="459" customHeight="1" spans="1:11">
      <c r="A459" s="1">
        <v>138</v>
      </c>
      <c r="B459" s="1" t="e">
        <f t="shared" si="44"/>
        <v>#VALUE!</v>
      </c>
      <c r="C459" s="1" t="str">
        <f t="shared" si="63"/>
        <v/>
      </c>
      <c r="D459" s="1" t="str">
        <f t="shared" si="64"/>
        <v/>
      </c>
      <c r="E459" s="1" t="str">
        <f t="shared" si="65"/>
        <v/>
      </c>
      <c r="F459" s="1" t="str">
        <f t="shared" si="66"/>
        <v/>
      </c>
      <c r="G459" s="1" t="str">
        <f t="shared" si="67"/>
        <v/>
      </c>
      <c r="H459" s="1" t="str">
        <f t="shared" si="68"/>
        <v/>
      </c>
      <c r="I459" s="1" t="str">
        <f t="shared" si="69"/>
        <v/>
      </c>
      <c r="J459" s="1" t="str">
        <f t="shared" si="70"/>
        <v/>
      </c>
      <c r="K459" s="1" t="str">
        <f t="shared" si="71"/>
        <v/>
      </c>
    </row>
    <row r="460" customHeight="1" spans="1:11">
      <c r="A460" s="1">
        <v>139</v>
      </c>
      <c r="B460" s="1" t="e">
        <f t="shared" si="44"/>
        <v>#VALUE!</v>
      </c>
      <c r="C460" s="1" t="str">
        <f t="shared" si="63"/>
        <v/>
      </c>
      <c r="D460" s="1" t="str">
        <f t="shared" si="64"/>
        <v/>
      </c>
      <c r="E460" s="1" t="str">
        <f t="shared" si="65"/>
        <v/>
      </c>
      <c r="F460" s="1" t="str">
        <f t="shared" si="66"/>
        <v/>
      </c>
      <c r="G460" s="1" t="str">
        <f t="shared" si="67"/>
        <v/>
      </c>
      <c r="H460" s="1" t="str">
        <f t="shared" si="68"/>
        <v/>
      </c>
      <c r="I460" s="1" t="str">
        <f t="shared" si="69"/>
        <v/>
      </c>
      <c r="J460" s="1" t="str">
        <f t="shared" si="70"/>
        <v/>
      </c>
      <c r="K460" s="1" t="str">
        <f t="shared" si="71"/>
        <v/>
      </c>
    </row>
    <row r="461" customHeight="1" spans="1:11">
      <c r="A461" s="1">
        <v>140</v>
      </c>
      <c r="B461" s="1" t="e">
        <f t="shared" si="44"/>
        <v>#VALUE!</v>
      </c>
      <c r="C461" s="1" t="str">
        <f t="shared" si="63"/>
        <v/>
      </c>
      <c r="D461" s="1" t="str">
        <f t="shared" si="64"/>
        <v/>
      </c>
      <c r="E461" s="1" t="str">
        <f t="shared" si="65"/>
        <v/>
      </c>
      <c r="F461" s="1" t="str">
        <f t="shared" si="66"/>
        <v/>
      </c>
      <c r="G461" s="1" t="str">
        <f t="shared" si="67"/>
        <v/>
      </c>
      <c r="H461" s="1" t="str">
        <f t="shared" si="68"/>
        <v/>
      </c>
      <c r="I461" s="1" t="str">
        <f t="shared" si="69"/>
        <v/>
      </c>
      <c r="J461" s="1" t="str">
        <f t="shared" si="70"/>
        <v/>
      </c>
      <c r="K461" s="1" t="str">
        <f t="shared" si="71"/>
        <v/>
      </c>
    </row>
    <row r="462" customHeight="1" spans="1:11">
      <c r="A462" s="1">
        <v>141</v>
      </c>
      <c r="B462" s="1" t="e">
        <f t="shared" si="44"/>
        <v>#VALUE!</v>
      </c>
      <c r="C462" s="1" t="str">
        <f t="shared" si="63"/>
        <v/>
      </c>
      <c r="D462" s="1" t="str">
        <f t="shared" si="64"/>
        <v/>
      </c>
      <c r="E462" s="1" t="str">
        <f t="shared" si="65"/>
        <v/>
      </c>
      <c r="F462" s="1" t="str">
        <f t="shared" si="66"/>
        <v/>
      </c>
      <c r="G462" s="1" t="str">
        <f t="shared" si="67"/>
        <v/>
      </c>
      <c r="H462" s="1" t="str">
        <f t="shared" si="68"/>
        <v/>
      </c>
      <c r="I462" s="1" t="str">
        <f t="shared" si="69"/>
        <v/>
      </c>
      <c r="J462" s="1" t="str">
        <f t="shared" si="70"/>
        <v/>
      </c>
      <c r="K462" s="1" t="str">
        <f t="shared" si="71"/>
        <v/>
      </c>
    </row>
    <row r="463" customHeight="1" spans="1:11">
      <c r="A463" s="1">
        <v>142</v>
      </c>
      <c r="B463" s="1" t="e">
        <f t="shared" si="44"/>
        <v>#VALUE!</v>
      </c>
      <c r="C463" s="1" t="str">
        <f t="shared" si="63"/>
        <v/>
      </c>
      <c r="D463" s="1" t="str">
        <f t="shared" si="64"/>
        <v/>
      </c>
      <c r="E463" s="1" t="str">
        <f t="shared" si="65"/>
        <v/>
      </c>
      <c r="F463" s="1" t="str">
        <f t="shared" si="66"/>
        <v/>
      </c>
      <c r="G463" s="1" t="str">
        <f t="shared" si="67"/>
        <v/>
      </c>
      <c r="H463" s="1" t="str">
        <f t="shared" si="68"/>
        <v/>
      </c>
      <c r="I463" s="1" t="str">
        <f t="shared" si="69"/>
        <v/>
      </c>
      <c r="J463" s="1" t="str">
        <f t="shared" si="70"/>
        <v/>
      </c>
      <c r="K463" s="1" t="str">
        <f t="shared" si="71"/>
        <v/>
      </c>
    </row>
    <row r="464" customHeight="1" spans="1:11">
      <c r="A464" s="1">
        <v>143</v>
      </c>
      <c r="B464" s="1" t="e">
        <f t="shared" si="44"/>
        <v>#VALUE!</v>
      </c>
      <c r="C464" s="1" t="str">
        <f t="shared" si="63"/>
        <v/>
      </c>
      <c r="D464" s="1" t="str">
        <f t="shared" si="64"/>
        <v/>
      </c>
      <c r="E464" s="1" t="str">
        <f t="shared" si="65"/>
        <v/>
      </c>
      <c r="F464" s="1" t="str">
        <f t="shared" si="66"/>
        <v/>
      </c>
      <c r="G464" s="1" t="str">
        <f t="shared" si="67"/>
        <v/>
      </c>
      <c r="H464" s="1" t="str">
        <f t="shared" si="68"/>
        <v/>
      </c>
      <c r="I464" s="1" t="str">
        <f t="shared" si="69"/>
        <v/>
      </c>
      <c r="J464" s="1" t="str">
        <f t="shared" si="70"/>
        <v/>
      </c>
      <c r="K464" s="1" t="str">
        <f t="shared" si="71"/>
        <v/>
      </c>
    </row>
    <row r="465" customHeight="1" spans="1:11">
      <c r="A465" s="1">
        <v>144</v>
      </c>
      <c r="B465" s="1" t="e">
        <f t="shared" si="44"/>
        <v>#VALUE!</v>
      </c>
      <c r="C465" s="1" t="str">
        <f t="shared" si="63"/>
        <v/>
      </c>
      <c r="D465" s="1" t="str">
        <f t="shared" si="64"/>
        <v/>
      </c>
      <c r="E465" s="1" t="str">
        <f t="shared" si="65"/>
        <v/>
      </c>
      <c r="F465" s="1" t="str">
        <f t="shared" si="66"/>
        <v/>
      </c>
      <c r="G465" s="1" t="str">
        <f t="shared" si="67"/>
        <v/>
      </c>
      <c r="H465" s="1" t="str">
        <f t="shared" si="68"/>
        <v/>
      </c>
      <c r="I465" s="1" t="str">
        <f t="shared" si="69"/>
        <v/>
      </c>
      <c r="J465" s="1" t="str">
        <f t="shared" si="70"/>
        <v/>
      </c>
      <c r="K465" s="1" t="str">
        <f t="shared" si="71"/>
        <v/>
      </c>
    </row>
    <row r="466" customHeight="1" spans="1:11">
      <c r="A466" s="1">
        <v>145</v>
      </c>
      <c r="B466" s="1" t="e">
        <f t="shared" si="44"/>
        <v>#VALUE!</v>
      </c>
      <c r="C466" s="1" t="str">
        <f t="shared" si="63"/>
        <v/>
      </c>
      <c r="D466" s="1" t="str">
        <f t="shared" si="64"/>
        <v/>
      </c>
      <c r="E466" s="1" t="str">
        <f t="shared" si="65"/>
        <v/>
      </c>
      <c r="F466" s="1" t="str">
        <f t="shared" si="66"/>
        <v/>
      </c>
      <c r="G466" s="1" t="str">
        <f t="shared" si="67"/>
        <v/>
      </c>
      <c r="H466" s="1" t="str">
        <f t="shared" si="68"/>
        <v/>
      </c>
      <c r="I466" s="1" t="str">
        <f t="shared" si="69"/>
        <v/>
      </c>
      <c r="J466" s="1" t="str">
        <f t="shared" si="70"/>
        <v/>
      </c>
      <c r="K466" s="1" t="str">
        <f t="shared" si="71"/>
        <v/>
      </c>
    </row>
    <row r="467" customHeight="1" spans="1:11">
      <c r="A467" s="1">
        <v>146</v>
      </c>
      <c r="B467" s="1" t="e">
        <f t="shared" si="44"/>
        <v>#VALUE!</v>
      </c>
      <c r="C467" s="1" t="str">
        <f t="shared" si="63"/>
        <v/>
      </c>
      <c r="D467" s="1" t="str">
        <f t="shared" si="64"/>
        <v/>
      </c>
      <c r="E467" s="1" t="str">
        <f t="shared" si="65"/>
        <v/>
      </c>
      <c r="F467" s="1" t="str">
        <f t="shared" si="66"/>
        <v/>
      </c>
      <c r="G467" s="1" t="str">
        <f t="shared" si="67"/>
        <v/>
      </c>
      <c r="H467" s="1" t="str">
        <f t="shared" si="68"/>
        <v/>
      </c>
      <c r="I467" s="1" t="str">
        <f t="shared" si="69"/>
        <v/>
      </c>
      <c r="J467" s="1" t="str">
        <f t="shared" si="70"/>
        <v/>
      </c>
      <c r="K467" s="1" t="str">
        <f t="shared" si="71"/>
        <v/>
      </c>
    </row>
    <row r="468" customHeight="1" spans="1:11">
      <c r="A468" s="1">
        <v>147</v>
      </c>
      <c r="B468" s="1" t="e">
        <f t="shared" si="44"/>
        <v>#VALUE!</v>
      </c>
      <c r="C468" s="1" t="str">
        <f t="shared" si="63"/>
        <v/>
      </c>
      <c r="D468" s="1" t="str">
        <f t="shared" si="64"/>
        <v/>
      </c>
      <c r="E468" s="1" t="str">
        <f t="shared" si="65"/>
        <v/>
      </c>
      <c r="F468" s="1" t="str">
        <f t="shared" si="66"/>
        <v/>
      </c>
      <c r="G468" s="1" t="str">
        <f t="shared" si="67"/>
        <v/>
      </c>
      <c r="H468" s="1" t="str">
        <f t="shared" si="68"/>
        <v/>
      </c>
      <c r="I468" s="1" t="str">
        <f t="shared" si="69"/>
        <v/>
      </c>
      <c r="J468" s="1" t="str">
        <f t="shared" si="70"/>
        <v/>
      </c>
      <c r="K468" s="1" t="str">
        <f t="shared" si="71"/>
        <v/>
      </c>
    </row>
    <row r="469" customHeight="1" spans="1:11">
      <c r="A469" s="1">
        <v>148</v>
      </c>
      <c r="B469" s="1" t="e">
        <f t="shared" si="44"/>
        <v>#VALUE!</v>
      </c>
      <c r="C469" s="1" t="str">
        <f t="shared" si="63"/>
        <v/>
      </c>
      <c r="D469" s="1" t="str">
        <f t="shared" si="64"/>
        <v/>
      </c>
      <c r="E469" s="1" t="str">
        <f t="shared" si="65"/>
        <v/>
      </c>
      <c r="F469" s="1" t="str">
        <f t="shared" si="66"/>
        <v/>
      </c>
      <c r="G469" s="1" t="str">
        <f t="shared" si="67"/>
        <v/>
      </c>
      <c r="H469" s="1" t="str">
        <f t="shared" si="68"/>
        <v/>
      </c>
      <c r="I469" s="1" t="str">
        <f t="shared" si="69"/>
        <v/>
      </c>
      <c r="J469" s="1" t="str">
        <f t="shared" si="70"/>
        <v/>
      </c>
      <c r="K469" s="1" t="str">
        <f t="shared" si="71"/>
        <v/>
      </c>
    </row>
    <row r="470" customHeight="1" spans="1:11">
      <c r="A470" s="1">
        <v>149</v>
      </c>
      <c r="B470" s="1" t="e">
        <f t="shared" si="44"/>
        <v>#VALUE!</v>
      </c>
      <c r="C470" s="1" t="str">
        <f t="shared" si="63"/>
        <v/>
      </c>
      <c r="D470" s="1" t="str">
        <f t="shared" si="64"/>
        <v/>
      </c>
      <c r="E470" s="1" t="str">
        <f t="shared" si="65"/>
        <v/>
      </c>
      <c r="F470" s="1" t="str">
        <f t="shared" si="66"/>
        <v/>
      </c>
      <c r="G470" s="1" t="str">
        <f t="shared" si="67"/>
        <v/>
      </c>
      <c r="H470" s="1" t="str">
        <f t="shared" si="68"/>
        <v/>
      </c>
      <c r="I470" s="1" t="str">
        <f t="shared" si="69"/>
        <v/>
      </c>
      <c r="J470" s="1" t="str">
        <f t="shared" si="70"/>
        <v/>
      </c>
      <c r="K470" s="1" t="str">
        <f t="shared" si="71"/>
        <v/>
      </c>
    </row>
    <row r="471" customHeight="1" spans="1:11">
      <c r="A471" s="1">
        <v>150</v>
      </c>
      <c r="B471" s="1" t="e">
        <f t="shared" si="44"/>
        <v>#VALUE!</v>
      </c>
      <c r="C471" s="1" t="str">
        <f t="shared" si="63"/>
        <v/>
      </c>
      <c r="D471" s="1" t="str">
        <f t="shared" si="64"/>
        <v/>
      </c>
      <c r="E471" s="1" t="str">
        <f t="shared" si="65"/>
        <v/>
      </c>
      <c r="F471" s="1" t="str">
        <f t="shared" si="66"/>
        <v/>
      </c>
      <c r="G471" s="1" t="str">
        <f t="shared" si="67"/>
        <v/>
      </c>
      <c r="H471" s="1" t="str">
        <f t="shared" si="68"/>
        <v/>
      </c>
      <c r="I471" s="1" t="str">
        <f t="shared" si="69"/>
        <v/>
      </c>
      <c r="J471" s="1" t="str">
        <f t="shared" si="70"/>
        <v/>
      </c>
      <c r="K471" s="1" t="str">
        <f t="shared" si="71"/>
        <v/>
      </c>
    </row>
    <row r="472" customHeight="1" spans="1:11">
      <c r="A472" s="1">
        <v>151</v>
      </c>
      <c r="B472" s="1" t="e">
        <f t="shared" si="44"/>
        <v>#VALUE!</v>
      </c>
      <c r="C472" s="1" t="str">
        <f t="shared" si="63"/>
        <v/>
      </c>
      <c r="D472" s="1" t="str">
        <f t="shared" si="64"/>
        <v/>
      </c>
      <c r="E472" s="1" t="str">
        <f t="shared" si="65"/>
        <v/>
      </c>
      <c r="F472" s="1" t="str">
        <f t="shared" si="66"/>
        <v/>
      </c>
      <c r="G472" s="1" t="str">
        <f t="shared" si="67"/>
        <v/>
      </c>
      <c r="H472" s="1" t="str">
        <f t="shared" si="68"/>
        <v/>
      </c>
      <c r="I472" s="1" t="str">
        <f t="shared" si="69"/>
        <v/>
      </c>
      <c r="J472" s="1" t="str">
        <f t="shared" si="70"/>
        <v/>
      </c>
      <c r="K472" s="1" t="str">
        <f t="shared" si="71"/>
        <v/>
      </c>
    </row>
    <row r="473" customHeight="1" spans="1:11">
      <c r="A473" s="1">
        <v>152</v>
      </c>
      <c r="B473" s="1" t="e">
        <f t="shared" si="44"/>
        <v>#VALUE!</v>
      </c>
      <c r="C473" s="1" t="str">
        <f t="shared" si="63"/>
        <v/>
      </c>
      <c r="D473" s="1" t="str">
        <f t="shared" si="64"/>
        <v/>
      </c>
      <c r="E473" s="1" t="str">
        <f t="shared" si="65"/>
        <v/>
      </c>
      <c r="F473" s="1" t="str">
        <f t="shared" si="66"/>
        <v/>
      </c>
      <c r="G473" s="1" t="str">
        <f t="shared" si="67"/>
        <v/>
      </c>
      <c r="H473" s="1" t="str">
        <f t="shared" si="68"/>
        <v/>
      </c>
      <c r="I473" s="1" t="str">
        <f t="shared" si="69"/>
        <v/>
      </c>
      <c r="J473" s="1" t="str">
        <f t="shared" si="70"/>
        <v/>
      </c>
      <c r="K473" s="1" t="str">
        <f t="shared" si="71"/>
        <v/>
      </c>
    </row>
    <row r="474" customHeight="1" spans="1:11">
      <c r="A474" s="1">
        <v>153</v>
      </c>
      <c r="B474" s="1" t="e">
        <f t="shared" si="44"/>
        <v>#VALUE!</v>
      </c>
      <c r="C474" s="1" t="str">
        <f t="shared" si="63"/>
        <v/>
      </c>
      <c r="D474" s="1" t="str">
        <f t="shared" si="64"/>
        <v/>
      </c>
      <c r="E474" s="1" t="str">
        <f t="shared" si="65"/>
        <v/>
      </c>
      <c r="F474" s="1" t="str">
        <f t="shared" si="66"/>
        <v/>
      </c>
      <c r="G474" s="1" t="str">
        <f t="shared" si="67"/>
        <v/>
      </c>
      <c r="H474" s="1" t="str">
        <f t="shared" si="68"/>
        <v/>
      </c>
      <c r="I474" s="1" t="str">
        <f t="shared" si="69"/>
        <v/>
      </c>
      <c r="J474" s="1" t="str">
        <f t="shared" si="70"/>
        <v/>
      </c>
      <c r="K474" s="1" t="str">
        <f t="shared" si="71"/>
        <v/>
      </c>
    </row>
    <row r="475" customHeight="1" spans="1:11">
      <c r="A475" s="1">
        <v>154</v>
      </c>
      <c r="B475" s="1" t="e">
        <f t="shared" si="44"/>
        <v>#VALUE!</v>
      </c>
      <c r="C475" s="1" t="str">
        <f t="shared" si="63"/>
        <v/>
      </c>
      <c r="D475" s="1" t="str">
        <f t="shared" si="64"/>
        <v/>
      </c>
      <c r="E475" s="1" t="str">
        <f t="shared" si="65"/>
        <v/>
      </c>
      <c r="F475" s="1" t="str">
        <f t="shared" si="66"/>
        <v/>
      </c>
      <c r="G475" s="1" t="str">
        <f t="shared" si="67"/>
        <v/>
      </c>
      <c r="H475" s="1" t="str">
        <f t="shared" si="68"/>
        <v/>
      </c>
      <c r="I475" s="1" t="str">
        <f t="shared" si="69"/>
        <v/>
      </c>
      <c r="J475" s="1" t="str">
        <f t="shared" si="70"/>
        <v/>
      </c>
      <c r="K475" s="1" t="str">
        <f t="shared" si="71"/>
        <v/>
      </c>
    </row>
    <row r="476" customHeight="1" spans="1:11">
      <c r="A476" s="1">
        <v>155</v>
      </c>
      <c r="B476" s="1" t="e">
        <f t="shared" si="44"/>
        <v>#VALUE!</v>
      </c>
      <c r="C476" s="1" t="str">
        <f t="shared" si="63"/>
        <v/>
      </c>
      <c r="D476" s="1" t="str">
        <f t="shared" si="64"/>
        <v/>
      </c>
      <c r="E476" s="1" t="str">
        <f t="shared" si="65"/>
        <v/>
      </c>
      <c r="F476" s="1" t="str">
        <f t="shared" si="66"/>
        <v/>
      </c>
      <c r="G476" s="1" t="str">
        <f t="shared" si="67"/>
        <v/>
      </c>
      <c r="H476" s="1" t="str">
        <f t="shared" si="68"/>
        <v/>
      </c>
      <c r="I476" s="1" t="str">
        <f t="shared" si="69"/>
        <v/>
      </c>
      <c r="J476" s="1" t="str">
        <f t="shared" si="70"/>
        <v/>
      </c>
      <c r="K476" s="1" t="str">
        <f t="shared" si="71"/>
        <v/>
      </c>
    </row>
    <row r="477" customHeight="1" spans="1:11">
      <c r="A477" s="1">
        <v>156</v>
      </c>
      <c r="B477" s="1" t="e">
        <f t="shared" si="44"/>
        <v>#VALUE!</v>
      </c>
      <c r="C477" s="1" t="str">
        <f t="shared" si="63"/>
        <v/>
      </c>
      <c r="D477" s="1" t="str">
        <f t="shared" si="64"/>
        <v/>
      </c>
      <c r="E477" s="1" t="str">
        <f t="shared" si="65"/>
        <v/>
      </c>
      <c r="F477" s="1" t="str">
        <f t="shared" si="66"/>
        <v/>
      </c>
      <c r="G477" s="1" t="str">
        <f t="shared" si="67"/>
        <v/>
      </c>
      <c r="H477" s="1" t="str">
        <f t="shared" si="68"/>
        <v/>
      </c>
      <c r="I477" s="1" t="str">
        <f t="shared" si="69"/>
        <v/>
      </c>
      <c r="J477" s="1" t="str">
        <f t="shared" si="70"/>
        <v/>
      </c>
      <c r="K477" s="1" t="str">
        <f t="shared" si="71"/>
        <v/>
      </c>
    </row>
    <row r="478" customHeight="1" spans="1:11">
      <c r="A478" s="1">
        <v>157</v>
      </c>
      <c r="B478" s="1" t="e">
        <f t="shared" si="44"/>
        <v>#VALUE!</v>
      </c>
      <c r="C478" s="1" t="str">
        <f t="shared" si="63"/>
        <v/>
      </c>
      <c r="D478" s="1" t="str">
        <f t="shared" si="64"/>
        <v/>
      </c>
      <c r="E478" s="1" t="str">
        <f t="shared" si="65"/>
        <v/>
      </c>
      <c r="F478" s="1" t="str">
        <f t="shared" si="66"/>
        <v/>
      </c>
      <c r="G478" s="1" t="str">
        <f t="shared" si="67"/>
        <v/>
      </c>
      <c r="H478" s="1" t="str">
        <f t="shared" si="68"/>
        <v/>
      </c>
      <c r="I478" s="1" t="str">
        <f t="shared" si="69"/>
        <v/>
      </c>
      <c r="J478" s="1" t="str">
        <f t="shared" si="70"/>
        <v/>
      </c>
      <c r="K478" s="1" t="str">
        <f t="shared" si="71"/>
        <v/>
      </c>
    </row>
    <row r="479" customHeight="1" spans="1:11">
      <c r="A479" s="1">
        <v>158</v>
      </c>
      <c r="B479" s="1" t="e">
        <f t="shared" si="44"/>
        <v>#VALUE!</v>
      </c>
      <c r="C479" s="1" t="str">
        <f t="shared" si="63"/>
        <v/>
      </c>
      <c r="D479" s="1" t="str">
        <f t="shared" si="64"/>
        <v/>
      </c>
      <c r="E479" s="1" t="str">
        <f t="shared" si="65"/>
        <v/>
      </c>
      <c r="F479" s="1" t="str">
        <f t="shared" si="66"/>
        <v/>
      </c>
      <c r="G479" s="1" t="str">
        <f t="shared" si="67"/>
        <v/>
      </c>
      <c r="H479" s="1" t="str">
        <f t="shared" si="68"/>
        <v/>
      </c>
      <c r="I479" s="1" t="str">
        <f t="shared" si="69"/>
        <v/>
      </c>
      <c r="J479" s="1" t="str">
        <f t="shared" si="70"/>
        <v/>
      </c>
      <c r="K479" s="1" t="str">
        <f t="shared" si="71"/>
        <v/>
      </c>
    </row>
    <row r="480" customHeight="1" spans="1:11">
      <c r="A480" s="1">
        <v>159</v>
      </c>
      <c r="B480" s="1" t="e">
        <f t="shared" si="44"/>
        <v>#VALUE!</v>
      </c>
      <c r="C480" s="1" t="str">
        <f t="shared" si="63"/>
        <v/>
      </c>
      <c r="D480" s="1" t="str">
        <f t="shared" si="64"/>
        <v/>
      </c>
      <c r="E480" s="1" t="str">
        <f t="shared" si="65"/>
        <v/>
      </c>
      <c r="F480" s="1" t="str">
        <f t="shared" si="66"/>
        <v/>
      </c>
      <c r="G480" s="1" t="str">
        <f t="shared" si="67"/>
        <v/>
      </c>
      <c r="H480" s="1" t="str">
        <f t="shared" si="68"/>
        <v/>
      </c>
      <c r="I480" s="1" t="str">
        <f t="shared" si="69"/>
        <v/>
      </c>
      <c r="J480" s="1" t="str">
        <f t="shared" si="70"/>
        <v/>
      </c>
      <c r="K480" s="1" t="str">
        <f t="shared" si="71"/>
        <v/>
      </c>
    </row>
    <row r="481" customHeight="1" spans="1:11">
      <c r="A481" s="1">
        <v>160</v>
      </c>
      <c r="B481" s="1" t="e">
        <f t="shared" si="44"/>
        <v>#VALUE!</v>
      </c>
      <c r="C481" s="1" t="str">
        <f t="shared" si="63"/>
        <v/>
      </c>
      <c r="D481" s="1" t="str">
        <f t="shared" si="64"/>
        <v/>
      </c>
      <c r="E481" s="1" t="str">
        <f t="shared" si="65"/>
        <v/>
      </c>
      <c r="F481" s="1" t="str">
        <f t="shared" si="66"/>
        <v/>
      </c>
      <c r="G481" s="1" t="str">
        <f t="shared" si="67"/>
        <v/>
      </c>
      <c r="H481" s="1" t="str">
        <f t="shared" si="68"/>
        <v/>
      </c>
      <c r="I481" s="1" t="str">
        <f t="shared" si="69"/>
        <v/>
      </c>
      <c r="J481" s="1" t="str">
        <f t="shared" si="70"/>
        <v/>
      </c>
      <c r="K481" s="1" t="str">
        <f t="shared" si="71"/>
        <v/>
      </c>
    </row>
    <row r="482" customHeight="1" spans="1:11">
      <c r="A482" s="1">
        <v>161</v>
      </c>
      <c r="B482" s="1" t="e">
        <f t="shared" si="44"/>
        <v>#VALUE!</v>
      </c>
      <c r="C482" s="1" t="str">
        <f t="shared" si="63"/>
        <v/>
      </c>
      <c r="D482" s="1" t="str">
        <f t="shared" si="64"/>
        <v/>
      </c>
      <c r="E482" s="1" t="str">
        <f t="shared" si="65"/>
        <v/>
      </c>
      <c r="F482" s="1" t="str">
        <f t="shared" si="66"/>
        <v/>
      </c>
      <c r="G482" s="1" t="str">
        <f t="shared" si="67"/>
        <v/>
      </c>
      <c r="H482" s="1" t="str">
        <f t="shared" si="68"/>
        <v/>
      </c>
      <c r="I482" s="1" t="str">
        <f t="shared" si="69"/>
        <v/>
      </c>
      <c r="J482" s="1" t="str">
        <f t="shared" si="70"/>
        <v/>
      </c>
      <c r="K482" s="1" t="str">
        <f t="shared" si="71"/>
        <v/>
      </c>
    </row>
    <row r="483" customHeight="1" spans="1:11">
      <c r="A483" s="1">
        <v>162</v>
      </c>
      <c r="B483" s="1" t="e">
        <f t="shared" si="44"/>
        <v>#VALUE!</v>
      </c>
      <c r="C483" s="1" t="str">
        <f t="shared" si="63"/>
        <v/>
      </c>
      <c r="D483" s="1" t="str">
        <f t="shared" si="64"/>
        <v/>
      </c>
      <c r="E483" s="1" t="str">
        <f t="shared" si="65"/>
        <v/>
      </c>
      <c r="F483" s="1" t="str">
        <f t="shared" si="66"/>
        <v/>
      </c>
      <c r="G483" s="1" t="str">
        <f t="shared" si="67"/>
        <v/>
      </c>
      <c r="H483" s="1" t="str">
        <f t="shared" si="68"/>
        <v/>
      </c>
      <c r="I483" s="1" t="str">
        <f t="shared" si="69"/>
        <v/>
      </c>
      <c r="J483" s="1" t="str">
        <f t="shared" si="70"/>
        <v/>
      </c>
      <c r="K483" s="1" t="str">
        <f t="shared" si="71"/>
        <v/>
      </c>
    </row>
    <row r="484" customHeight="1" spans="1:11">
      <c r="A484" s="1">
        <v>163</v>
      </c>
      <c r="B484" s="1" t="e">
        <f t="shared" si="44"/>
        <v>#VALUE!</v>
      </c>
      <c r="C484" s="1" t="str">
        <f t="shared" si="63"/>
        <v/>
      </c>
      <c r="D484" s="1" t="str">
        <f t="shared" si="64"/>
        <v/>
      </c>
      <c r="E484" s="1" t="str">
        <f t="shared" si="65"/>
        <v/>
      </c>
      <c r="F484" s="1" t="str">
        <f t="shared" si="66"/>
        <v/>
      </c>
      <c r="G484" s="1" t="str">
        <f t="shared" si="67"/>
        <v/>
      </c>
      <c r="H484" s="1" t="str">
        <f t="shared" si="68"/>
        <v/>
      </c>
      <c r="I484" s="1" t="str">
        <f t="shared" si="69"/>
        <v/>
      </c>
      <c r="J484" s="1" t="str">
        <f t="shared" si="70"/>
        <v/>
      </c>
      <c r="K484" s="1" t="str">
        <f t="shared" si="71"/>
        <v/>
      </c>
    </row>
    <row r="485" customHeight="1" spans="1:11">
      <c r="A485" s="1">
        <v>164</v>
      </c>
      <c r="B485" s="1" t="e">
        <f t="shared" si="44"/>
        <v>#VALUE!</v>
      </c>
      <c r="C485" s="1" t="str">
        <f t="shared" si="63"/>
        <v/>
      </c>
      <c r="D485" s="1" t="str">
        <f t="shared" si="64"/>
        <v/>
      </c>
      <c r="E485" s="1" t="str">
        <f t="shared" si="65"/>
        <v/>
      </c>
      <c r="F485" s="1" t="str">
        <f t="shared" si="66"/>
        <v/>
      </c>
      <c r="G485" s="1" t="str">
        <f t="shared" si="67"/>
        <v/>
      </c>
      <c r="H485" s="1" t="str">
        <f t="shared" si="68"/>
        <v/>
      </c>
      <c r="I485" s="1" t="str">
        <f t="shared" si="69"/>
        <v/>
      </c>
      <c r="J485" s="1" t="str">
        <f t="shared" si="70"/>
        <v/>
      </c>
      <c r="K485" s="1" t="str">
        <f t="shared" si="71"/>
        <v/>
      </c>
    </row>
    <row r="486" customHeight="1" spans="1:11">
      <c r="A486" s="1">
        <v>165</v>
      </c>
      <c r="B486" s="1" t="e">
        <f t="shared" si="44"/>
        <v>#VALUE!</v>
      </c>
      <c r="C486" s="1" t="str">
        <f t="shared" si="63"/>
        <v/>
      </c>
      <c r="D486" s="1" t="str">
        <f t="shared" si="64"/>
        <v/>
      </c>
      <c r="E486" s="1" t="str">
        <f t="shared" si="65"/>
        <v/>
      </c>
      <c r="F486" s="1" t="str">
        <f t="shared" si="66"/>
        <v/>
      </c>
      <c r="G486" s="1" t="str">
        <f t="shared" si="67"/>
        <v/>
      </c>
      <c r="H486" s="1" t="str">
        <f t="shared" si="68"/>
        <v/>
      </c>
      <c r="I486" s="1" t="str">
        <f t="shared" si="69"/>
        <v/>
      </c>
      <c r="J486" s="1" t="str">
        <f t="shared" si="70"/>
        <v/>
      </c>
      <c r="K486" s="1" t="str">
        <f t="shared" si="71"/>
        <v/>
      </c>
    </row>
    <row r="487" customHeight="1" spans="1:11">
      <c r="A487" s="1">
        <v>166</v>
      </c>
      <c r="B487" s="1" t="e">
        <f t="shared" si="44"/>
        <v>#VALUE!</v>
      </c>
      <c r="C487" s="1" t="str">
        <f t="shared" si="63"/>
        <v/>
      </c>
      <c r="D487" s="1" t="str">
        <f t="shared" si="64"/>
        <v/>
      </c>
      <c r="E487" s="1" t="str">
        <f t="shared" si="65"/>
        <v/>
      </c>
      <c r="F487" s="1" t="str">
        <f t="shared" si="66"/>
        <v/>
      </c>
      <c r="G487" s="1" t="str">
        <f t="shared" si="67"/>
        <v/>
      </c>
      <c r="H487" s="1" t="str">
        <f t="shared" si="68"/>
        <v/>
      </c>
      <c r="I487" s="1" t="str">
        <f t="shared" si="69"/>
        <v/>
      </c>
      <c r="J487" s="1" t="str">
        <f t="shared" si="70"/>
        <v/>
      </c>
      <c r="K487" s="1" t="str">
        <f t="shared" si="71"/>
        <v/>
      </c>
    </row>
    <row r="488" customHeight="1" spans="1:11">
      <c r="A488" s="1">
        <v>167</v>
      </c>
      <c r="B488" s="1" t="e">
        <f t="shared" si="44"/>
        <v>#VALUE!</v>
      </c>
      <c r="C488" s="1" t="str">
        <f t="shared" si="63"/>
        <v/>
      </c>
      <c r="D488" s="1" t="str">
        <f t="shared" si="64"/>
        <v/>
      </c>
      <c r="E488" s="1" t="str">
        <f t="shared" si="65"/>
        <v/>
      </c>
      <c r="F488" s="1" t="str">
        <f t="shared" si="66"/>
        <v/>
      </c>
      <c r="G488" s="1" t="str">
        <f t="shared" si="67"/>
        <v/>
      </c>
      <c r="H488" s="1" t="str">
        <f t="shared" si="68"/>
        <v/>
      </c>
      <c r="I488" s="1" t="str">
        <f t="shared" si="69"/>
        <v/>
      </c>
      <c r="J488" s="1" t="str">
        <f t="shared" si="70"/>
        <v/>
      </c>
      <c r="K488" s="1" t="str">
        <f t="shared" si="71"/>
        <v/>
      </c>
    </row>
    <row r="489" customHeight="1" spans="1:11">
      <c r="A489" s="1">
        <v>168</v>
      </c>
      <c r="B489" s="1" t="e">
        <f t="shared" si="44"/>
        <v>#VALUE!</v>
      </c>
      <c r="C489" s="1" t="str">
        <f t="shared" si="63"/>
        <v/>
      </c>
      <c r="D489" s="1" t="str">
        <f t="shared" si="64"/>
        <v/>
      </c>
      <c r="E489" s="1" t="str">
        <f t="shared" si="65"/>
        <v/>
      </c>
      <c r="F489" s="1" t="str">
        <f t="shared" si="66"/>
        <v/>
      </c>
      <c r="G489" s="1" t="str">
        <f t="shared" si="67"/>
        <v/>
      </c>
      <c r="H489" s="1" t="str">
        <f t="shared" si="68"/>
        <v/>
      </c>
      <c r="I489" s="1" t="str">
        <f t="shared" si="69"/>
        <v/>
      </c>
      <c r="J489" s="1" t="str">
        <f t="shared" si="70"/>
        <v/>
      </c>
      <c r="K489" s="1" t="str">
        <f t="shared" si="71"/>
        <v/>
      </c>
    </row>
    <row r="490" customHeight="1" spans="1:11">
      <c r="A490" s="1">
        <v>169</v>
      </c>
      <c r="B490" s="1" t="e">
        <f t="shared" si="44"/>
        <v>#VALUE!</v>
      </c>
      <c r="C490" s="1" t="str">
        <f t="shared" si="63"/>
        <v/>
      </c>
      <c r="D490" s="1" t="str">
        <f t="shared" si="64"/>
        <v/>
      </c>
      <c r="E490" s="1" t="str">
        <f t="shared" si="65"/>
        <v/>
      </c>
      <c r="F490" s="1" t="str">
        <f t="shared" si="66"/>
        <v/>
      </c>
      <c r="G490" s="1" t="str">
        <f t="shared" si="67"/>
        <v/>
      </c>
      <c r="H490" s="1" t="str">
        <f t="shared" si="68"/>
        <v/>
      </c>
      <c r="I490" s="1" t="str">
        <f t="shared" si="69"/>
        <v/>
      </c>
      <c r="J490" s="1" t="str">
        <f t="shared" si="70"/>
        <v/>
      </c>
      <c r="K490" s="1" t="str">
        <f t="shared" si="71"/>
        <v/>
      </c>
    </row>
    <row r="491" customHeight="1" spans="1:11">
      <c r="A491" s="1">
        <v>170</v>
      </c>
      <c r="B491" s="1" t="e">
        <f t="shared" si="44"/>
        <v>#VALUE!</v>
      </c>
      <c r="C491" s="1" t="str">
        <f t="shared" si="63"/>
        <v/>
      </c>
      <c r="D491" s="1" t="str">
        <f t="shared" si="64"/>
        <v/>
      </c>
      <c r="E491" s="1" t="str">
        <f t="shared" si="65"/>
        <v/>
      </c>
      <c r="F491" s="1" t="str">
        <f t="shared" si="66"/>
        <v/>
      </c>
      <c r="G491" s="1" t="str">
        <f t="shared" si="67"/>
        <v/>
      </c>
      <c r="H491" s="1" t="str">
        <f t="shared" si="68"/>
        <v/>
      </c>
      <c r="I491" s="1" t="str">
        <f t="shared" si="69"/>
        <v/>
      </c>
      <c r="J491" s="1" t="str">
        <f t="shared" si="70"/>
        <v/>
      </c>
      <c r="K491" s="1" t="str">
        <f t="shared" si="71"/>
        <v/>
      </c>
    </row>
    <row r="492" customHeight="1" spans="1:11">
      <c r="A492" s="1">
        <v>171</v>
      </c>
      <c r="B492" s="1" t="e">
        <f t="shared" si="44"/>
        <v>#VALUE!</v>
      </c>
      <c r="C492" s="1" t="str">
        <f t="shared" si="63"/>
        <v/>
      </c>
      <c r="D492" s="1" t="str">
        <f t="shared" si="64"/>
        <v/>
      </c>
      <c r="E492" s="1" t="str">
        <f t="shared" si="65"/>
        <v/>
      </c>
      <c r="F492" s="1" t="str">
        <f t="shared" si="66"/>
        <v/>
      </c>
      <c r="G492" s="1" t="str">
        <f t="shared" si="67"/>
        <v/>
      </c>
      <c r="H492" s="1" t="str">
        <f t="shared" si="68"/>
        <v/>
      </c>
      <c r="I492" s="1" t="str">
        <f t="shared" si="69"/>
        <v/>
      </c>
      <c r="J492" s="1" t="str">
        <f t="shared" si="70"/>
        <v/>
      </c>
      <c r="K492" s="1" t="str">
        <f t="shared" si="71"/>
        <v/>
      </c>
    </row>
    <row r="493" customHeight="1" spans="1:11">
      <c r="A493" s="1">
        <v>172</v>
      </c>
      <c r="B493" s="1" t="e">
        <f t="shared" si="44"/>
        <v>#VALUE!</v>
      </c>
      <c r="C493" s="1" t="str">
        <f t="shared" si="63"/>
        <v/>
      </c>
      <c r="D493" s="1" t="str">
        <f t="shared" si="64"/>
        <v/>
      </c>
      <c r="E493" s="1" t="str">
        <f t="shared" si="65"/>
        <v/>
      </c>
      <c r="F493" s="1" t="str">
        <f t="shared" si="66"/>
        <v/>
      </c>
      <c r="G493" s="1" t="str">
        <f t="shared" si="67"/>
        <v/>
      </c>
      <c r="H493" s="1" t="str">
        <f t="shared" si="68"/>
        <v/>
      </c>
      <c r="I493" s="1" t="str">
        <f t="shared" si="69"/>
        <v/>
      </c>
      <c r="J493" s="1" t="str">
        <f t="shared" si="70"/>
        <v/>
      </c>
      <c r="K493" s="1" t="str">
        <f t="shared" si="71"/>
        <v/>
      </c>
    </row>
    <row r="494" customHeight="1" spans="1:11">
      <c r="A494" s="1">
        <v>173</v>
      </c>
      <c r="B494" s="1" t="e">
        <f t="shared" si="44"/>
        <v>#VALUE!</v>
      </c>
      <c r="C494" s="1" t="str">
        <f t="shared" si="63"/>
        <v/>
      </c>
      <c r="D494" s="1" t="str">
        <f t="shared" si="64"/>
        <v/>
      </c>
      <c r="E494" s="1" t="str">
        <f t="shared" si="65"/>
        <v/>
      </c>
      <c r="F494" s="1" t="str">
        <f t="shared" si="66"/>
        <v/>
      </c>
      <c r="G494" s="1" t="str">
        <f t="shared" si="67"/>
        <v/>
      </c>
      <c r="H494" s="1" t="str">
        <f t="shared" si="68"/>
        <v/>
      </c>
      <c r="I494" s="1" t="str">
        <f t="shared" si="69"/>
        <v/>
      </c>
      <c r="J494" s="1" t="str">
        <f t="shared" si="70"/>
        <v/>
      </c>
      <c r="K494" s="1" t="str">
        <f t="shared" si="71"/>
        <v/>
      </c>
    </row>
    <row r="495" customHeight="1" spans="1:11">
      <c r="A495" s="1">
        <v>174</v>
      </c>
      <c r="B495" s="1" t="e">
        <f t="shared" si="44"/>
        <v>#VALUE!</v>
      </c>
      <c r="C495" s="1" t="str">
        <f t="shared" si="63"/>
        <v/>
      </c>
      <c r="D495" s="1" t="str">
        <f t="shared" si="64"/>
        <v/>
      </c>
      <c r="E495" s="1" t="str">
        <f t="shared" si="65"/>
        <v/>
      </c>
      <c r="F495" s="1" t="str">
        <f t="shared" si="66"/>
        <v/>
      </c>
      <c r="G495" s="1" t="str">
        <f t="shared" si="67"/>
        <v/>
      </c>
      <c r="H495" s="1" t="str">
        <f t="shared" si="68"/>
        <v/>
      </c>
      <c r="I495" s="1" t="str">
        <f t="shared" si="69"/>
        <v/>
      </c>
      <c r="J495" s="1" t="str">
        <f t="shared" si="70"/>
        <v/>
      </c>
      <c r="K495" s="1" t="str">
        <f t="shared" si="71"/>
        <v/>
      </c>
    </row>
    <row r="496" customHeight="1" spans="1:11">
      <c r="A496" s="1">
        <v>175</v>
      </c>
      <c r="B496" s="1" t="e">
        <f t="shared" si="44"/>
        <v>#VALUE!</v>
      </c>
      <c r="C496" s="1" t="str">
        <f t="shared" si="63"/>
        <v/>
      </c>
      <c r="D496" s="1" t="str">
        <f t="shared" si="64"/>
        <v/>
      </c>
      <c r="E496" s="1" t="str">
        <f t="shared" si="65"/>
        <v/>
      </c>
      <c r="F496" s="1" t="str">
        <f t="shared" si="66"/>
        <v/>
      </c>
      <c r="G496" s="1" t="str">
        <f t="shared" si="67"/>
        <v/>
      </c>
      <c r="H496" s="1" t="str">
        <f t="shared" si="68"/>
        <v/>
      </c>
      <c r="I496" s="1" t="str">
        <f t="shared" si="69"/>
        <v/>
      </c>
      <c r="J496" s="1" t="str">
        <f t="shared" si="70"/>
        <v/>
      </c>
      <c r="K496" s="1" t="str">
        <f t="shared" si="71"/>
        <v/>
      </c>
    </row>
    <row r="497" customHeight="1" spans="1:11">
      <c r="A497" s="1">
        <v>176</v>
      </c>
      <c r="B497" s="1" t="e">
        <f t="shared" si="44"/>
        <v>#VALUE!</v>
      </c>
      <c r="C497" s="1" t="str">
        <f t="shared" si="63"/>
        <v/>
      </c>
      <c r="D497" s="1" t="str">
        <f t="shared" si="64"/>
        <v/>
      </c>
      <c r="E497" s="1" t="str">
        <f t="shared" si="65"/>
        <v/>
      </c>
      <c r="F497" s="1" t="str">
        <f t="shared" si="66"/>
        <v/>
      </c>
      <c r="G497" s="1" t="str">
        <f t="shared" si="67"/>
        <v/>
      </c>
      <c r="H497" s="1" t="str">
        <f t="shared" si="68"/>
        <v/>
      </c>
      <c r="I497" s="1" t="str">
        <f t="shared" si="69"/>
        <v/>
      </c>
      <c r="J497" s="1" t="str">
        <f t="shared" si="70"/>
        <v/>
      </c>
      <c r="K497" s="1" t="str">
        <f t="shared" si="71"/>
        <v/>
      </c>
    </row>
    <row r="498" customHeight="1" spans="1:11">
      <c r="A498" s="1">
        <v>177</v>
      </c>
      <c r="B498" s="1" t="e">
        <f t="shared" si="44"/>
        <v>#VALUE!</v>
      </c>
      <c r="C498" s="1" t="str">
        <f t="shared" si="63"/>
        <v/>
      </c>
      <c r="D498" s="1" t="str">
        <f t="shared" si="64"/>
        <v/>
      </c>
      <c r="E498" s="1" t="str">
        <f t="shared" si="65"/>
        <v/>
      </c>
      <c r="F498" s="1" t="str">
        <f t="shared" si="66"/>
        <v/>
      </c>
      <c r="G498" s="1" t="str">
        <f t="shared" si="67"/>
        <v/>
      </c>
      <c r="H498" s="1" t="str">
        <f t="shared" si="68"/>
        <v/>
      </c>
      <c r="I498" s="1" t="str">
        <f t="shared" si="69"/>
        <v/>
      </c>
      <c r="J498" s="1" t="str">
        <f t="shared" si="70"/>
        <v/>
      </c>
      <c r="K498" s="1" t="str">
        <f t="shared" si="71"/>
        <v/>
      </c>
    </row>
    <row r="499" customHeight="1" spans="1:11">
      <c r="A499" s="1">
        <v>178</v>
      </c>
      <c r="B499" s="1" t="e">
        <f t="shared" si="44"/>
        <v>#VALUE!</v>
      </c>
      <c r="C499" s="1" t="str">
        <f t="shared" si="63"/>
        <v/>
      </c>
      <c r="D499" s="1" t="str">
        <f t="shared" si="64"/>
        <v/>
      </c>
      <c r="E499" s="1" t="str">
        <f t="shared" si="65"/>
        <v/>
      </c>
      <c r="F499" s="1" t="str">
        <f t="shared" si="66"/>
        <v/>
      </c>
      <c r="G499" s="1" t="str">
        <f t="shared" si="67"/>
        <v/>
      </c>
      <c r="H499" s="1" t="str">
        <f t="shared" si="68"/>
        <v/>
      </c>
      <c r="I499" s="1" t="str">
        <f t="shared" si="69"/>
        <v/>
      </c>
      <c r="J499" s="1" t="str">
        <f t="shared" si="70"/>
        <v/>
      </c>
      <c r="K499" s="1" t="str">
        <f t="shared" si="71"/>
        <v/>
      </c>
    </row>
    <row r="500" customHeight="1" spans="1:11">
      <c r="A500" s="1">
        <v>179</v>
      </c>
      <c r="B500" s="1" t="e">
        <f t="shared" si="44"/>
        <v>#VALUE!</v>
      </c>
      <c r="C500" s="1" t="str">
        <f t="shared" si="63"/>
        <v/>
      </c>
      <c r="D500" s="1" t="str">
        <f t="shared" si="64"/>
        <v/>
      </c>
      <c r="E500" s="1" t="str">
        <f t="shared" si="65"/>
        <v/>
      </c>
      <c r="F500" s="1" t="str">
        <f t="shared" si="66"/>
        <v/>
      </c>
      <c r="G500" s="1" t="str">
        <f t="shared" si="67"/>
        <v/>
      </c>
      <c r="H500" s="1" t="str">
        <f t="shared" si="68"/>
        <v/>
      </c>
      <c r="I500" s="1" t="str">
        <f t="shared" si="69"/>
        <v/>
      </c>
      <c r="J500" s="1" t="str">
        <f t="shared" si="70"/>
        <v/>
      </c>
      <c r="K500" s="1" t="str">
        <f t="shared" si="71"/>
        <v/>
      </c>
    </row>
    <row r="501" customHeight="1" spans="1:11">
      <c r="A501" s="1">
        <v>180</v>
      </c>
      <c r="B501" s="1" t="e">
        <f t="shared" si="44"/>
        <v>#VALUE!</v>
      </c>
      <c r="C501" s="1" t="str">
        <f t="shared" si="63"/>
        <v/>
      </c>
      <c r="D501" s="1" t="str">
        <f t="shared" si="64"/>
        <v/>
      </c>
      <c r="E501" s="1" t="str">
        <f t="shared" si="65"/>
        <v/>
      </c>
      <c r="F501" s="1" t="str">
        <f t="shared" si="66"/>
        <v/>
      </c>
      <c r="G501" s="1" t="str">
        <f t="shared" si="67"/>
        <v/>
      </c>
      <c r="H501" s="1" t="str">
        <f t="shared" si="68"/>
        <v/>
      </c>
      <c r="I501" s="1" t="str">
        <f t="shared" si="69"/>
        <v/>
      </c>
      <c r="J501" s="1" t="str">
        <f t="shared" si="70"/>
        <v/>
      </c>
      <c r="K501" s="1" t="str">
        <f t="shared" si="71"/>
        <v/>
      </c>
    </row>
    <row r="502" customHeight="1" spans="1:11">
      <c r="A502" s="1">
        <v>181</v>
      </c>
      <c r="B502" s="1" t="e">
        <f t="shared" si="44"/>
        <v>#VALUE!</v>
      </c>
      <c r="C502" s="1" t="str">
        <f t="shared" si="63"/>
        <v/>
      </c>
      <c r="D502" s="1" t="str">
        <f t="shared" si="64"/>
        <v/>
      </c>
      <c r="E502" s="1" t="str">
        <f t="shared" si="65"/>
        <v/>
      </c>
      <c r="F502" s="1" t="str">
        <f t="shared" si="66"/>
        <v/>
      </c>
      <c r="G502" s="1" t="str">
        <f t="shared" si="67"/>
        <v/>
      </c>
      <c r="H502" s="1" t="str">
        <f t="shared" si="68"/>
        <v/>
      </c>
      <c r="I502" s="1" t="str">
        <f t="shared" si="69"/>
        <v/>
      </c>
      <c r="J502" s="1" t="str">
        <f t="shared" si="70"/>
        <v/>
      </c>
      <c r="K502" s="1" t="str">
        <f t="shared" si="71"/>
        <v/>
      </c>
    </row>
    <row r="503" customHeight="1" spans="1:11">
      <c r="A503" s="1">
        <v>182</v>
      </c>
      <c r="B503" s="1" t="e">
        <f t="shared" si="44"/>
        <v>#VALUE!</v>
      </c>
      <c r="C503" s="1" t="str">
        <f t="shared" si="63"/>
        <v/>
      </c>
      <c r="D503" s="1" t="str">
        <f t="shared" si="64"/>
        <v/>
      </c>
      <c r="E503" s="1" t="str">
        <f t="shared" si="65"/>
        <v/>
      </c>
      <c r="F503" s="1" t="str">
        <f t="shared" si="66"/>
        <v/>
      </c>
      <c r="G503" s="1" t="str">
        <f t="shared" si="67"/>
        <v/>
      </c>
      <c r="H503" s="1" t="str">
        <f t="shared" si="68"/>
        <v/>
      </c>
      <c r="I503" s="1" t="str">
        <f t="shared" si="69"/>
        <v/>
      </c>
      <c r="J503" s="1" t="str">
        <f t="shared" si="70"/>
        <v/>
      </c>
      <c r="K503" s="1" t="str">
        <f t="shared" si="71"/>
        <v/>
      </c>
    </row>
    <row r="504" customHeight="1" spans="1:11">
      <c r="A504" s="1">
        <v>183</v>
      </c>
      <c r="B504" s="1" t="e">
        <f t="shared" si="44"/>
        <v>#VALUE!</v>
      </c>
      <c r="C504" s="1" t="str">
        <f t="shared" si="63"/>
        <v/>
      </c>
      <c r="D504" s="1" t="str">
        <f t="shared" si="64"/>
        <v/>
      </c>
      <c r="E504" s="1" t="str">
        <f t="shared" si="65"/>
        <v/>
      </c>
      <c r="F504" s="1" t="str">
        <f t="shared" si="66"/>
        <v/>
      </c>
      <c r="G504" s="1" t="str">
        <f t="shared" si="67"/>
        <v/>
      </c>
      <c r="H504" s="1" t="str">
        <f t="shared" si="68"/>
        <v/>
      </c>
      <c r="I504" s="1" t="str">
        <f t="shared" si="69"/>
        <v/>
      </c>
      <c r="J504" s="1" t="str">
        <f t="shared" si="70"/>
        <v/>
      </c>
      <c r="K504" s="1" t="str">
        <f t="shared" si="71"/>
        <v/>
      </c>
    </row>
    <row r="505" customHeight="1" spans="1:11">
      <c r="A505" s="1">
        <v>184</v>
      </c>
      <c r="B505" s="1" t="e">
        <f t="shared" si="44"/>
        <v>#VALUE!</v>
      </c>
      <c r="C505" s="1" t="str">
        <f t="shared" si="63"/>
        <v/>
      </c>
      <c r="D505" s="1" t="str">
        <f t="shared" si="64"/>
        <v/>
      </c>
      <c r="E505" s="1" t="str">
        <f t="shared" si="65"/>
        <v/>
      </c>
      <c r="F505" s="1" t="str">
        <f t="shared" si="66"/>
        <v/>
      </c>
      <c r="G505" s="1" t="str">
        <f t="shared" si="67"/>
        <v/>
      </c>
      <c r="H505" s="1" t="str">
        <f t="shared" si="68"/>
        <v/>
      </c>
      <c r="I505" s="1" t="str">
        <f t="shared" si="69"/>
        <v/>
      </c>
      <c r="J505" s="1" t="str">
        <f t="shared" si="70"/>
        <v/>
      </c>
      <c r="K505" s="1" t="str">
        <f t="shared" si="71"/>
        <v/>
      </c>
    </row>
    <row r="506" customHeight="1" spans="1:11">
      <c r="A506" s="1">
        <v>185</v>
      </c>
      <c r="B506" s="1" t="e">
        <f t="shared" si="44"/>
        <v>#VALUE!</v>
      </c>
      <c r="C506" s="1" t="str">
        <f t="shared" si="63"/>
        <v/>
      </c>
      <c r="D506" s="1" t="str">
        <f t="shared" si="64"/>
        <v/>
      </c>
      <c r="E506" s="1" t="str">
        <f t="shared" si="65"/>
        <v/>
      </c>
      <c r="F506" s="1" t="str">
        <f t="shared" si="66"/>
        <v/>
      </c>
      <c r="G506" s="1" t="str">
        <f t="shared" si="67"/>
        <v/>
      </c>
      <c r="H506" s="1" t="str">
        <f t="shared" si="68"/>
        <v/>
      </c>
      <c r="I506" s="1" t="str">
        <f t="shared" si="69"/>
        <v/>
      </c>
      <c r="J506" s="1" t="str">
        <f t="shared" si="70"/>
        <v/>
      </c>
      <c r="K506" s="1" t="str">
        <f t="shared" si="71"/>
        <v/>
      </c>
    </row>
    <row r="507" customHeight="1" spans="1:11">
      <c r="A507" s="1">
        <v>186</v>
      </c>
      <c r="B507" s="1" t="e">
        <f t="shared" si="44"/>
        <v>#VALUE!</v>
      </c>
      <c r="C507" s="1" t="str">
        <f t="shared" si="63"/>
        <v/>
      </c>
      <c r="D507" s="1" t="str">
        <f t="shared" si="64"/>
        <v/>
      </c>
      <c r="E507" s="1" t="str">
        <f t="shared" si="65"/>
        <v/>
      </c>
      <c r="F507" s="1" t="str">
        <f t="shared" si="66"/>
        <v/>
      </c>
      <c r="G507" s="1" t="str">
        <f t="shared" si="67"/>
        <v/>
      </c>
      <c r="H507" s="1" t="str">
        <f t="shared" si="68"/>
        <v/>
      </c>
      <c r="I507" s="1" t="str">
        <f t="shared" si="69"/>
        <v/>
      </c>
      <c r="J507" s="1" t="str">
        <f t="shared" si="70"/>
        <v/>
      </c>
      <c r="K507" s="1" t="str">
        <f t="shared" si="71"/>
        <v/>
      </c>
    </row>
    <row r="508" customHeight="1" spans="1:11">
      <c r="A508" s="1">
        <v>187</v>
      </c>
      <c r="B508" s="1" t="e">
        <f t="shared" si="44"/>
        <v>#VALUE!</v>
      </c>
      <c r="C508" s="1" t="str">
        <f t="shared" si="63"/>
        <v/>
      </c>
      <c r="D508" s="1" t="str">
        <f t="shared" si="64"/>
        <v/>
      </c>
      <c r="E508" s="1" t="str">
        <f t="shared" si="65"/>
        <v/>
      </c>
      <c r="F508" s="1" t="str">
        <f t="shared" si="66"/>
        <v/>
      </c>
      <c r="G508" s="1" t="str">
        <f t="shared" si="67"/>
        <v/>
      </c>
      <c r="H508" s="1" t="str">
        <f t="shared" si="68"/>
        <v/>
      </c>
      <c r="I508" s="1" t="str">
        <f t="shared" si="69"/>
        <v/>
      </c>
      <c r="J508" s="1" t="str">
        <f t="shared" si="70"/>
        <v/>
      </c>
      <c r="K508" s="1" t="str">
        <f t="shared" si="71"/>
        <v/>
      </c>
    </row>
    <row r="509" customHeight="1" spans="1:11">
      <c r="A509" s="1">
        <v>188</v>
      </c>
      <c r="B509" s="1" t="e">
        <f t="shared" si="44"/>
        <v>#VALUE!</v>
      </c>
      <c r="C509" s="1" t="str">
        <f t="shared" si="63"/>
        <v/>
      </c>
      <c r="D509" s="1" t="str">
        <f t="shared" si="64"/>
        <v/>
      </c>
      <c r="E509" s="1" t="str">
        <f t="shared" si="65"/>
        <v/>
      </c>
      <c r="F509" s="1" t="str">
        <f t="shared" si="66"/>
        <v/>
      </c>
      <c r="G509" s="1" t="str">
        <f t="shared" si="67"/>
        <v/>
      </c>
      <c r="H509" s="1" t="str">
        <f t="shared" si="68"/>
        <v/>
      </c>
      <c r="I509" s="1" t="str">
        <f t="shared" si="69"/>
        <v/>
      </c>
      <c r="J509" s="1" t="str">
        <f t="shared" si="70"/>
        <v/>
      </c>
      <c r="K509" s="1" t="str">
        <f t="shared" si="71"/>
        <v/>
      </c>
    </row>
    <row r="510" customHeight="1" spans="1:11">
      <c r="A510" s="1">
        <v>189</v>
      </c>
      <c r="B510" s="1" t="e">
        <f t="shared" si="44"/>
        <v>#VALUE!</v>
      </c>
      <c r="C510" s="1" t="str">
        <f t="shared" si="63"/>
        <v/>
      </c>
      <c r="D510" s="1" t="str">
        <f t="shared" si="64"/>
        <v/>
      </c>
      <c r="E510" s="1" t="str">
        <f t="shared" si="65"/>
        <v/>
      </c>
      <c r="F510" s="1" t="str">
        <f t="shared" si="66"/>
        <v/>
      </c>
      <c r="G510" s="1" t="str">
        <f t="shared" si="67"/>
        <v/>
      </c>
      <c r="H510" s="1" t="str">
        <f t="shared" si="68"/>
        <v/>
      </c>
      <c r="I510" s="1" t="str">
        <f t="shared" si="69"/>
        <v/>
      </c>
      <c r="J510" s="1" t="str">
        <f t="shared" si="70"/>
        <v/>
      </c>
      <c r="K510" s="1" t="str">
        <f t="shared" si="71"/>
        <v/>
      </c>
    </row>
    <row r="511" customHeight="1" spans="1:11">
      <c r="A511" s="1">
        <v>190</v>
      </c>
      <c r="B511" s="1" t="e">
        <f t="shared" si="44"/>
        <v>#VALUE!</v>
      </c>
      <c r="C511" s="1" t="str">
        <f t="shared" si="63"/>
        <v/>
      </c>
      <c r="D511" s="1" t="str">
        <f t="shared" si="64"/>
        <v/>
      </c>
      <c r="E511" s="1" t="str">
        <f t="shared" si="65"/>
        <v/>
      </c>
      <c r="F511" s="1" t="str">
        <f t="shared" si="66"/>
        <v/>
      </c>
      <c r="G511" s="1" t="str">
        <f t="shared" si="67"/>
        <v/>
      </c>
      <c r="H511" s="1" t="str">
        <f t="shared" si="68"/>
        <v/>
      </c>
      <c r="I511" s="1" t="str">
        <f t="shared" si="69"/>
        <v/>
      </c>
      <c r="J511" s="1" t="str">
        <f t="shared" si="70"/>
        <v/>
      </c>
      <c r="K511" s="1" t="str">
        <f t="shared" si="71"/>
        <v/>
      </c>
    </row>
    <row r="512" customHeight="1" spans="1:11">
      <c r="A512" s="1">
        <v>191</v>
      </c>
      <c r="B512" s="1" t="e">
        <f t="shared" si="44"/>
        <v>#VALUE!</v>
      </c>
      <c r="C512" s="1" t="str">
        <f t="shared" si="63"/>
        <v/>
      </c>
      <c r="D512" s="1" t="str">
        <f t="shared" si="64"/>
        <v/>
      </c>
      <c r="E512" s="1" t="str">
        <f t="shared" si="65"/>
        <v/>
      </c>
      <c r="F512" s="1" t="str">
        <f t="shared" si="66"/>
        <v/>
      </c>
      <c r="G512" s="1" t="str">
        <f t="shared" si="67"/>
        <v/>
      </c>
      <c r="H512" s="1" t="str">
        <f t="shared" si="68"/>
        <v/>
      </c>
      <c r="I512" s="1" t="str">
        <f t="shared" si="69"/>
        <v/>
      </c>
      <c r="J512" s="1" t="str">
        <f t="shared" si="70"/>
        <v/>
      </c>
      <c r="K512" s="1" t="str">
        <f t="shared" si="71"/>
        <v/>
      </c>
    </row>
    <row r="513" customHeight="1" spans="1:11">
      <c r="A513" s="1">
        <v>192</v>
      </c>
      <c r="B513" s="1" t="e">
        <f t="shared" si="44"/>
        <v>#VALUE!</v>
      </c>
      <c r="C513" s="1" t="str">
        <f t="shared" si="63"/>
        <v/>
      </c>
      <c r="D513" s="1" t="str">
        <f t="shared" si="64"/>
        <v/>
      </c>
      <c r="E513" s="1" t="str">
        <f t="shared" si="65"/>
        <v/>
      </c>
      <c r="F513" s="1" t="str">
        <f t="shared" si="66"/>
        <v/>
      </c>
      <c r="G513" s="1" t="str">
        <f t="shared" si="67"/>
        <v/>
      </c>
      <c r="H513" s="1" t="str">
        <f t="shared" si="68"/>
        <v/>
      </c>
      <c r="I513" s="1" t="str">
        <f t="shared" si="69"/>
        <v/>
      </c>
      <c r="J513" s="1" t="str">
        <f t="shared" si="70"/>
        <v/>
      </c>
      <c r="K513" s="1" t="str">
        <f t="shared" si="71"/>
        <v/>
      </c>
    </row>
    <row r="514" customHeight="1" spans="1:11">
      <c r="A514" s="1">
        <v>193</v>
      </c>
      <c r="B514" s="1" t="e">
        <f t="shared" si="44"/>
        <v>#VALUE!</v>
      </c>
      <c r="C514" s="1" t="str">
        <f t="shared" ref="C514:C523" si="72">_xlfn.IFNA(VLOOKUP(CONCATENATE(C$315," ",IF(A514&lt;10,"0",""),A514),Database,4,FALSE),"")</f>
        <v/>
      </c>
      <c r="D514" s="1" t="str">
        <f t="shared" ref="D514:D523" si="73">_xlfn.IFNA(VLOOKUP(CONCATENATE(C$315," ",IF(A514&lt;10,"0",""),A514),Database,6,FALSE),"")</f>
        <v/>
      </c>
      <c r="E514" s="1" t="str">
        <f t="shared" ref="E514:E523" si="74">_xlfn.IFNA(VLOOKUP(CONCATENATE(C$315," ",IF(A514&lt;10,"0",""),A514),Database,7,FALSE),"")</f>
        <v/>
      </c>
      <c r="F514" s="1" t="str">
        <f t="shared" ref="F514:F523" si="75">_xlfn.IFNA(VLOOKUP(CONCATENATE(C$315," ",IF(A514&lt;10,"0",""),A514),Database,8,FALSE),"")</f>
        <v/>
      </c>
      <c r="G514" s="1" t="str">
        <f t="shared" ref="G514:G523" si="76">_xlfn.IFNA(VLOOKUP(CONCATENATE(C$315," ",IF(A514&lt;10,"0",""),A514),Database,9,FALSE),"")</f>
        <v/>
      </c>
      <c r="H514" s="1" t="str">
        <f t="shared" ref="H514:H523" si="77">_xlfn.IFNA(VLOOKUP(CONCATENATE(C$315," ",IF(A514&lt;10,"0",""),A514),Database,10,FALSE),"")</f>
        <v/>
      </c>
      <c r="I514" s="1" t="str">
        <f t="shared" ref="I514:I523" si="78">_xlfn.IFNA(VLOOKUP(CONCATENATE(C$315," ",IF(A514&lt;10,"0",""),A514),Database,11,FALSE),"")</f>
        <v/>
      </c>
      <c r="J514" s="1" t="str">
        <f t="shared" ref="J514:J523" si="79">_xlfn.IFNA(VLOOKUP(CONCATENATE(C$315," ",IF(A514&lt;10,"0",""),A514),Database,12,FALSE),"")</f>
        <v/>
      </c>
      <c r="K514" s="1" t="str">
        <f t="shared" ref="K514:K523" si="80">_xlfn.IFNA(VLOOKUP(CONCATENATE(C$315," ",IF(A514&lt;10,"0",""),A514),Database,13,FALSE),"")</f>
        <v/>
      </c>
    </row>
    <row r="515" customHeight="1" spans="1:11">
      <c r="A515" s="1">
        <v>194</v>
      </c>
      <c r="B515" s="1" t="e">
        <f t="shared" si="44"/>
        <v>#VALUE!</v>
      </c>
      <c r="C515" s="1" t="str">
        <f t="shared" si="72"/>
        <v/>
      </c>
      <c r="D515" s="1" t="str">
        <f t="shared" si="73"/>
        <v/>
      </c>
      <c r="E515" s="1" t="str">
        <f t="shared" si="74"/>
        <v/>
      </c>
      <c r="F515" s="1" t="str">
        <f t="shared" si="75"/>
        <v/>
      </c>
      <c r="G515" s="1" t="str">
        <f t="shared" si="76"/>
        <v/>
      </c>
      <c r="H515" s="1" t="str">
        <f t="shared" si="77"/>
        <v/>
      </c>
      <c r="I515" s="1" t="str">
        <f t="shared" si="78"/>
        <v/>
      </c>
      <c r="J515" s="1" t="str">
        <f t="shared" si="79"/>
        <v/>
      </c>
      <c r="K515" s="1" t="str">
        <f t="shared" si="80"/>
        <v/>
      </c>
    </row>
    <row r="516" customHeight="1" spans="1:11">
      <c r="A516" s="1">
        <v>195</v>
      </c>
      <c r="B516" s="1" t="e">
        <f t="shared" si="44"/>
        <v>#VALUE!</v>
      </c>
      <c r="C516" s="1" t="str">
        <f t="shared" si="72"/>
        <v/>
      </c>
      <c r="D516" s="1" t="str">
        <f t="shared" si="73"/>
        <v/>
      </c>
      <c r="E516" s="1" t="str">
        <f t="shared" si="74"/>
        <v/>
      </c>
      <c r="F516" s="1" t="str">
        <f t="shared" si="75"/>
        <v/>
      </c>
      <c r="G516" s="1" t="str">
        <f t="shared" si="76"/>
        <v/>
      </c>
      <c r="H516" s="1" t="str">
        <f t="shared" si="77"/>
        <v/>
      </c>
      <c r="I516" s="1" t="str">
        <f t="shared" si="78"/>
        <v/>
      </c>
      <c r="J516" s="1" t="str">
        <f t="shared" si="79"/>
        <v/>
      </c>
      <c r="K516" s="1" t="str">
        <f t="shared" si="80"/>
        <v/>
      </c>
    </row>
    <row r="517" customHeight="1" spans="1:11">
      <c r="A517" s="1">
        <v>196</v>
      </c>
      <c r="B517" s="1" t="e">
        <f t="shared" si="44"/>
        <v>#VALUE!</v>
      </c>
      <c r="C517" s="1" t="str">
        <f t="shared" si="72"/>
        <v/>
      </c>
      <c r="D517" s="1" t="str">
        <f t="shared" si="73"/>
        <v/>
      </c>
      <c r="E517" s="1" t="str">
        <f t="shared" si="74"/>
        <v/>
      </c>
      <c r="F517" s="1" t="str">
        <f t="shared" si="75"/>
        <v/>
      </c>
      <c r="G517" s="1" t="str">
        <f t="shared" si="76"/>
        <v/>
      </c>
      <c r="H517" s="1" t="str">
        <f t="shared" si="77"/>
        <v/>
      </c>
      <c r="I517" s="1" t="str">
        <f t="shared" si="78"/>
        <v/>
      </c>
      <c r="J517" s="1" t="str">
        <f t="shared" si="79"/>
        <v/>
      </c>
      <c r="K517" s="1" t="str">
        <f t="shared" si="80"/>
        <v/>
      </c>
    </row>
    <row r="518" customHeight="1" spans="1:11">
      <c r="A518" s="1">
        <v>197</v>
      </c>
      <c r="B518" s="1" t="e">
        <f t="shared" si="44"/>
        <v>#VALUE!</v>
      </c>
      <c r="C518" s="1" t="str">
        <f t="shared" si="72"/>
        <v/>
      </c>
      <c r="D518" s="1" t="str">
        <f t="shared" si="73"/>
        <v/>
      </c>
      <c r="E518" s="1" t="str">
        <f t="shared" si="74"/>
        <v/>
      </c>
      <c r="F518" s="1" t="str">
        <f t="shared" si="75"/>
        <v/>
      </c>
      <c r="G518" s="1" t="str">
        <f t="shared" si="76"/>
        <v/>
      </c>
      <c r="H518" s="1" t="str">
        <f t="shared" si="77"/>
        <v/>
      </c>
      <c r="I518" s="1" t="str">
        <f t="shared" si="78"/>
        <v/>
      </c>
      <c r="J518" s="1" t="str">
        <f t="shared" si="79"/>
        <v/>
      </c>
      <c r="K518" s="1" t="str">
        <f t="shared" si="80"/>
        <v/>
      </c>
    </row>
    <row r="519" customHeight="1" spans="1:11">
      <c r="A519" s="1">
        <v>198</v>
      </c>
      <c r="B519" s="1" t="e">
        <f t="shared" si="44"/>
        <v>#VALUE!</v>
      </c>
      <c r="C519" s="1" t="str">
        <f t="shared" si="72"/>
        <v/>
      </c>
      <c r="D519" s="1" t="str">
        <f t="shared" si="73"/>
        <v/>
      </c>
      <c r="E519" s="1" t="str">
        <f t="shared" si="74"/>
        <v/>
      </c>
      <c r="F519" s="1" t="str">
        <f t="shared" si="75"/>
        <v/>
      </c>
      <c r="G519" s="1" t="str">
        <f t="shared" si="76"/>
        <v/>
      </c>
      <c r="H519" s="1" t="str">
        <f t="shared" si="77"/>
        <v/>
      </c>
      <c r="I519" s="1" t="str">
        <f t="shared" si="78"/>
        <v/>
      </c>
      <c r="J519" s="1" t="str">
        <f t="shared" si="79"/>
        <v/>
      </c>
      <c r="K519" s="1" t="str">
        <f t="shared" si="80"/>
        <v/>
      </c>
    </row>
    <row r="520" customHeight="1" spans="1:11">
      <c r="A520" s="1">
        <v>199</v>
      </c>
      <c r="B520" s="1" t="e">
        <f t="shared" si="44"/>
        <v>#VALUE!</v>
      </c>
      <c r="C520" s="1" t="str">
        <f t="shared" si="72"/>
        <v/>
      </c>
      <c r="D520" s="1" t="str">
        <f t="shared" si="73"/>
        <v/>
      </c>
      <c r="E520" s="1" t="str">
        <f t="shared" si="74"/>
        <v/>
      </c>
      <c r="F520" s="1" t="str">
        <f t="shared" si="75"/>
        <v/>
      </c>
      <c r="G520" s="1" t="str">
        <f t="shared" si="76"/>
        <v/>
      </c>
      <c r="H520" s="1" t="str">
        <f t="shared" si="77"/>
        <v/>
      </c>
      <c r="I520" s="1" t="str">
        <f t="shared" si="78"/>
        <v/>
      </c>
      <c r="J520" s="1" t="str">
        <f t="shared" si="79"/>
        <v/>
      </c>
      <c r="K520" s="1" t="str">
        <f t="shared" si="80"/>
        <v/>
      </c>
    </row>
    <row r="521" customHeight="1" spans="1:11">
      <c r="A521" s="1">
        <v>200</v>
      </c>
      <c r="B521" s="1" t="e">
        <f t="shared" si="44"/>
        <v>#VALUE!</v>
      </c>
      <c r="C521" s="1" t="str">
        <f t="shared" si="72"/>
        <v/>
      </c>
      <c r="D521" s="1" t="str">
        <f t="shared" si="73"/>
        <v/>
      </c>
      <c r="E521" s="1" t="str">
        <f t="shared" si="74"/>
        <v/>
      </c>
      <c r="F521" s="1" t="str">
        <f t="shared" si="75"/>
        <v/>
      </c>
      <c r="G521" s="1" t="str">
        <f t="shared" si="76"/>
        <v/>
      </c>
      <c r="H521" s="1" t="str">
        <f t="shared" si="77"/>
        <v/>
      </c>
      <c r="I521" s="1" t="str">
        <f t="shared" si="78"/>
        <v/>
      </c>
      <c r="J521" s="1" t="str">
        <f t="shared" si="79"/>
        <v/>
      </c>
      <c r="K521" s="1" t="str">
        <f t="shared" si="80"/>
        <v/>
      </c>
    </row>
    <row r="522" customHeight="1" spans="1:11">
      <c r="A522" s="1">
        <v>199</v>
      </c>
      <c r="B522" s="1" t="e">
        <f t="shared" si="44"/>
        <v>#VALUE!</v>
      </c>
      <c r="C522" s="1" t="str">
        <f t="shared" si="72"/>
        <v/>
      </c>
      <c r="D522" s="1" t="str">
        <f t="shared" si="73"/>
        <v/>
      </c>
      <c r="E522" s="1" t="str">
        <f t="shared" si="74"/>
        <v/>
      </c>
      <c r="F522" s="1" t="str">
        <f t="shared" si="75"/>
        <v/>
      </c>
      <c r="G522" s="1" t="str">
        <f t="shared" si="76"/>
        <v/>
      </c>
      <c r="H522" s="1" t="str">
        <f t="shared" si="77"/>
        <v/>
      </c>
      <c r="I522" s="1" t="str">
        <f t="shared" si="78"/>
        <v/>
      </c>
      <c r="J522" s="1" t="str">
        <f t="shared" si="79"/>
        <v/>
      </c>
      <c r="K522" s="1" t="str">
        <f t="shared" si="80"/>
        <v/>
      </c>
    </row>
    <row r="523" customHeight="1" spans="1:11">
      <c r="A523" s="1">
        <v>200</v>
      </c>
      <c r="B523" s="1" t="e">
        <f t="shared" si="44"/>
        <v>#VALUE!</v>
      </c>
      <c r="C523" s="1" t="str">
        <f t="shared" si="72"/>
        <v/>
      </c>
      <c r="D523" s="1" t="str">
        <f t="shared" si="73"/>
        <v/>
      </c>
      <c r="E523" s="1" t="str">
        <f t="shared" si="74"/>
        <v/>
      </c>
      <c r="F523" s="1" t="str">
        <f t="shared" si="75"/>
        <v/>
      </c>
      <c r="G523" s="1" t="str">
        <f t="shared" si="76"/>
        <v/>
      </c>
      <c r="H523" s="1" t="str">
        <f t="shared" si="77"/>
        <v/>
      </c>
      <c r="I523" s="1" t="str">
        <f t="shared" si="78"/>
        <v/>
      </c>
      <c r="J523" s="1" t="str">
        <f t="shared" si="79"/>
        <v/>
      </c>
      <c r="K523" s="1" t="str">
        <f t="shared" si="80"/>
        <v/>
      </c>
    </row>
  </sheetData>
  <mergeCells count="36">
    <mergeCell ref="K1:L1"/>
    <mergeCell ref="O1:R1"/>
    <mergeCell ref="D3:E3"/>
    <mergeCell ref="B4:G4"/>
    <mergeCell ref="B5:G5"/>
    <mergeCell ref="B6:G6"/>
    <mergeCell ref="O6:R6"/>
    <mergeCell ref="J7:O7"/>
    <mergeCell ref="A8:C8"/>
    <mergeCell ref="D8:F8"/>
    <mergeCell ref="G8:I8"/>
    <mergeCell ref="J8:M8"/>
    <mergeCell ref="N8:O8"/>
    <mergeCell ref="G9:I9"/>
    <mergeCell ref="J9:M9"/>
    <mergeCell ref="N9:O9"/>
    <mergeCell ref="B18:D18"/>
    <mergeCell ref="H18:J18"/>
    <mergeCell ref="R18:T18"/>
    <mergeCell ref="N22:P22"/>
    <mergeCell ref="U22:V22"/>
    <mergeCell ref="C27:D27"/>
    <mergeCell ref="C28:D28"/>
    <mergeCell ref="C29:D29"/>
    <mergeCell ref="C30:D30"/>
    <mergeCell ref="I35:J35"/>
    <mergeCell ref="I36:J36"/>
    <mergeCell ref="S36:T36"/>
    <mergeCell ref="I37:J37"/>
    <mergeCell ref="S37:T37"/>
    <mergeCell ref="B38:D38"/>
    <mergeCell ref="I38:J38"/>
    <mergeCell ref="S38:T38"/>
    <mergeCell ref="S39:T39"/>
    <mergeCell ref="B44:D44"/>
    <mergeCell ref="B45:D45"/>
  </mergeCells>
  <conditionalFormatting sqref="N8:O9">
    <cfRule type="containsText" dxfId="3" priority="1" operator="between" text="Night">
      <formula>NOT(ISERROR(SEARCH("Night",N8)))</formula>
    </cfRule>
    <cfRule type="containsText" dxfId="4" priority="2" operator="between" text="Twilight">
      <formula>NOT(ISERROR(SEARCH("Twilight",N8)))</formula>
    </cfRule>
    <cfRule type="containsText" dxfId="5" priority="3" operator="between" text="Morning">
      <formula>NOT(ISERROR(SEARCH("Morning",N8)))</formula>
    </cfRule>
    <cfRule type="containsText" dxfId="5" priority="4" operator="between" text="Day">
      <formula>NOT(ISERROR(SEARCH("Day",N8)))</formula>
    </cfRule>
    <cfRule type="containsText" dxfId="6" priority="5" operator="between" text="noon">
      <formula>NOT(ISERROR(SEARCH("noon",N8)))</formula>
    </cfRule>
  </conditionalFormatting>
  <dataValidations count="4">
    <dataValidation type="list" allowBlank="1" showErrorMessage="1" sqref="B1">
      <formula1>BodySelection</formula1>
    </dataValidation>
    <dataValidation type="list" allowBlank="1" sqref="E9">
      <formula1>$Q$115:$Q$134</formula1>
    </dataValidation>
    <dataValidation type="list" allowBlank="1" showErrorMessage="1" sqref="B18 H18 R18">
      <formula1>$C$315:$C$523</formula1>
    </dataValidation>
    <dataValidation type="list" allowBlank="1" sqref="B38 B44:B45 C27:C30 I35:I38 S36:S39">
      <formula1>$B$315:$B$523</formula1>
    </dataValidation>
  </dataValidations>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F300"/>
  <sheetViews>
    <sheetView workbookViewId="0">
      <selection activeCell="A1" sqref="A1"/>
    </sheetView>
  </sheetViews>
  <sheetFormatPr defaultColWidth="12.6285714285714" defaultRowHeight="15.75" customHeight="1"/>
  <cols>
    <col min="1" max="1" width="32.4571428571429" customWidth="1"/>
    <col min="3" max="3" width="21.7238095238095" customWidth="1"/>
  </cols>
  <sheetData>
    <row r="1" customHeight="1" spans="1:24">
      <c r="A1" s="1" t="s">
        <v>0</v>
      </c>
      <c r="B1" s="35" t="s">
        <v>1</v>
      </c>
      <c r="D1" s="52" t="s">
        <v>115</v>
      </c>
      <c r="E1" s="53" t="str">
        <f t="shared" ref="E1:E2" si="0">CONCATENATE(CONCATENATE(IF(ABS(CN41)&lt;10,"0",""),IF(ABS(CN41)&lt;100,"0",""),CN41,"°/",IF(CO41&gt;0,"+","-"),IF(ABS(CO41)&lt;10,"0",""),ABS(CO41),"°"))</f>
        <v>000°/+04°</v>
      </c>
      <c r="F1" s="52" t="s">
        <v>117</v>
      </c>
      <c r="G1" s="53" t="str">
        <f t="shared" ref="G1:G2" si="1">CONCATENATE(CONCATENATE(IF(ABS(CN43)&lt;10,"0",""),IF(ABS(CN43)&lt;100,"0",""),CN43,"°/",IF(CO43&gt;0,"+","-"),IF(ABS(CO43)&lt;10,"0",""),ABS(CO43),"°"))</f>
        <v>121°/-17°</v>
      </c>
      <c r="H1" s="52" t="s">
        <v>119</v>
      </c>
      <c r="I1" s="53" t="str">
        <f t="shared" ref="I1:I2" si="2">CONCATENATE(CONCATENATE(IF(ABS(CN45)&lt;10,"0",""),IF(ABS(CN45)&lt;100,"0",""),CN45,"°/",IF(CO45&gt;0,"+","-"),IF(ABS(CO45)&lt;10,"0",""),ABS(CO45),"°"))</f>
        <v>227°/-12°</v>
      </c>
      <c r="V1" s="1" t="s">
        <v>12</v>
      </c>
      <c r="W1" s="1" t="s">
        <v>13</v>
      </c>
      <c r="X1" s="1" t="s">
        <v>14</v>
      </c>
    </row>
    <row r="2" customHeight="1" spans="1:35">
      <c r="A2" s="1" t="str">
        <f>CONCATENATE("Your Location on ",B1)</f>
        <v>Your Location on microTech</v>
      </c>
      <c r="B2" s="35" t="s">
        <v>334</v>
      </c>
      <c r="D2" s="52" t="s">
        <v>116</v>
      </c>
      <c r="E2" s="53" t="str">
        <f t="shared" si="0"/>
        <v>180°/-65°</v>
      </c>
      <c r="F2" s="52" t="s">
        <v>118</v>
      </c>
      <c r="G2" s="53" t="str">
        <f t="shared" si="1"/>
        <v>301°/-51°</v>
      </c>
      <c r="H2" s="52" t="s">
        <v>120</v>
      </c>
      <c r="I2" s="53" t="str">
        <f t="shared" si="2"/>
        <v>047°/-55°</v>
      </c>
      <c r="U2" s="9" t="str">
        <f>PrimaryStar</f>
        <v>Stanton</v>
      </c>
      <c r="V2" s="58">
        <f>VLOOKUP(CONCATENATE(PrimaryStar," R00"),Database,6,FALSE)</f>
        <v>136049.869550902</v>
      </c>
      <c r="W2" s="58">
        <f>VLOOKUP(CONCATENATE(PrimaryStar," R00"),Database,7,FALSE)</f>
        <v>1294427.3997762</v>
      </c>
      <c r="X2" s="58">
        <f>VLOOKUP(CONCATENATE(PrimaryStar," R00"),Database,8,FALSE)</f>
        <v>2923345.3678455</v>
      </c>
      <c r="Y2" s="59">
        <f>VLOOKUP(CONCATENATE(PrimaryStar," R00"),Database,15,FALSE)</f>
        <v>696000</v>
      </c>
      <c r="AD2" s="1" t="s">
        <v>335</v>
      </c>
      <c r="AE2" s="1" t="s">
        <v>336</v>
      </c>
      <c r="AF2" s="1" t="s">
        <v>41</v>
      </c>
      <c r="AG2" s="1" t="s">
        <v>337</v>
      </c>
      <c r="AH2" s="1" t="s">
        <v>64</v>
      </c>
      <c r="AI2" s="1" t="s">
        <v>84</v>
      </c>
    </row>
    <row r="3" customHeight="1" spans="21:35">
      <c r="U3" s="1" t="str">
        <f>B1</f>
        <v>microTech</v>
      </c>
      <c r="V3" s="2">
        <f>VLOOKUP(CONCATENATE(U3," R00"),Database,6,FALSE)</f>
        <v>22462085.2524846</v>
      </c>
      <c r="W3" s="2">
        <f>VLOOKUP(CONCATENATE(U3," R00"),Database,7,FALSE)</f>
        <v>37185744.9648301</v>
      </c>
      <c r="X3" s="2">
        <f>VLOOKUP(CONCATENATE(U3," R00"),Database,8,FALSE)</f>
        <v>0</v>
      </c>
      <c r="Y3" s="2">
        <f>VLOOKUP(CONCATENATE(U3," R00"),Database,15,FALSE)</f>
        <v>1000</v>
      </c>
      <c r="Z3" s="40">
        <f>VLOOKUP(CONCATENATE(U3," R00"),Database,9,FALSE)</f>
        <v>1</v>
      </c>
      <c r="AA3" s="40">
        <f>VLOOKUP(CONCATENATE(U3," R00"),Database,10,FALSE)</f>
        <v>0</v>
      </c>
      <c r="AB3" s="40">
        <f>VLOOKUP(CONCATENATE(U3," R00"),Database,11,FALSE)</f>
        <v>0</v>
      </c>
      <c r="AC3" s="40">
        <f>VLOOKUP(CONCATENATE(U3," R00"),Database,12,FALSE)</f>
        <v>0</v>
      </c>
      <c r="AD3" s="60">
        <f>VLOOKUP(CONCATENATE(U3," R00"),Database,18,FALSE)</f>
        <v>4.1199999</v>
      </c>
      <c r="AE3" s="1">
        <f>6/AD3</f>
        <v>1.456310714959</v>
      </c>
      <c r="AF3" s="1">
        <f>3600*AD3/86400</f>
        <v>0.1716666625</v>
      </c>
      <c r="AG3" s="1">
        <f>JulianDate/AF3</f>
        <v>10792.4947333669</v>
      </c>
      <c r="AH3" s="20">
        <f>VLOOKUP(CONCATENATE(U3," R00"),Database,19,FALSE)</f>
        <v>158.012884649985</v>
      </c>
      <c r="AI3" s="20">
        <f>MOD(360-MOD(AG3,1)*360-AH3,360)</f>
        <v>23.8831032651375</v>
      </c>
    </row>
    <row r="4" customHeight="1" spans="6:69">
      <c r="F4" s="1" t="s">
        <v>338</v>
      </c>
      <c r="U4" s="1" t="str">
        <f>CONCATENATE(U3," R00")</f>
        <v>microTech R00</v>
      </c>
      <c r="V4" s="1">
        <f>VALUE(VLOOKUP(U4,Database,18,FALSE))</f>
        <v>4.1199999</v>
      </c>
      <c r="W4" s="1">
        <f>6/V4</f>
        <v>1.456310714959</v>
      </c>
      <c r="X4" s="1">
        <f>3600*V4/86400</f>
        <v>0.1716666625</v>
      </c>
      <c r="Y4" s="1">
        <f>JulianDate/X4</f>
        <v>10792.4947333669</v>
      </c>
      <c r="Z4" s="1">
        <f>VALUE(VLOOKUP(U4,Database,19,FALSE))</f>
        <v>158.012884649985</v>
      </c>
      <c r="AA4" s="3">
        <f>MOD(360-MOD(Y4,1)*360-Z4,360)</f>
        <v>23.8831032651375</v>
      </c>
      <c r="AB4" s="3">
        <f>MOD(MOD(Y4,1)*360-Z4,360)</f>
        <v>20.0911274348925</v>
      </c>
      <c r="AC4" s="1">
        <f>VALUE(VLOOKUP(U4,Database,6,FALSE))</f>
        <v>22462085.2524846</v>
      </c>
      <c r="AD4" s="1">
        <f>VALUE(VLOOKUP(U4,Database,7,FALSE))</f>
        <v>37185744.9648301</v>
      </c>
      <c r="AE4" s="1">
        <f>VALUE(VLOOKUP(U4,Database,8,FALSE))</f>
        <v>0</v>
      </c>
      <c r="AF4" s="1">
        <f>VALUE(VLOOKUP(U4,Database,15,FALSE))</f>
        <v>1000</v>
      </c>
      <c r="AG4" s="1">
        <f>VALUE(VLOOKUP(U4,Database,14,FALSE))</f>
        <v>1439.593</v>
      </c>
      <c r="AH4" s="1">
        <f>VALUE(VLOOKUP(U4,Database,9,FALSE))</f>
        <v>1</v>
      </c>
      <c r="AI4" s="1">
        <f>VALUE(VLOOKUP(U4,Database,10,FALSE))</f>
        <v>0</v>
      </c>
      <c r="AJ4" s="1">
        <f>VALUE(VLOOKUP(U4,Database,11,FALSE))</f>
        <v>0</v>
      </c>
      <c r="AK4" s="1">
        <f>VALUE(VLOOKUP(U4,Database,12,FALSE))</f>
        <v>0</v>
      </c>
      <c r="AL4" s="61">
        <f>((1-(2*AJ4^2)-(2*AK4^2))*($V$2-AC4))+(((2*AI4*AJ4)-(2*AK4*AH4))*($W$2-AD4))+(((2*AI4*AK4)+(2*AJ4*AH4))*($X$2-AE4))</f>
        <v>-22326035.3829337</v>
      </c>
      <c r="AM4" s="61">
        <f>(((2*AI4*AJ4)+(2*AK4*AH4))*($V$2-AC4))+((1-(2*AI4^2)-(2*AK4^2))*($W$2-AD4))+(((2*AJ4*AK4)-(2*AI4*AH4))*($X$2-AE4))</f>
        <v>-35891317.5650539</v>
      </c>
      <c r="AN4" s="61">
        <f>(((2*AI4*AK4)-(2*AJ4*AH4))*($V$2-AC4))+(((2*AJ4*AK4)+(2*AI4*AH4))*($W$2-AD4))+((1-(2*AI4^2)-(2*AJ4^2))*($X$2-AE4))</f>
        <v>2923345.3678455</v>
      </c>
      <c r="AO4" s="1">
        <f>DEGREES(MOD((ATAN2(AL4,AM4)-(PI()/2)),2*PI()))</f>
        <v>148.116504949765</v>
      </c>
      <c r="AP4" s="1">
        <f>DEGREES(ACOS((((SQRT(AL4^2+AM4^2+AN4^2))^2)+((SQRT(AL4^2+AM4^2))^2)-(AN4^2))/(2*(SQRT(AL4^2+AM4^2+AN4^2))*(SQRT(AL4^2+AM4^2)))))*IF(AN4&lt;0,-1,1)</f>
        <v>3.95633806723453</v>
      </c>
      <c r="AQ4" s="1">
        <f>IF(AA4-MOD(0-AO4,360)&gt;180,AA4-MOD(0-AO4,360)-360,IF(AA4-MOD(0-AO4,360)&lt;-180,AA4-MOD(0-AO4,360)+360,AA4-MOD(0-AO4,360)))</f>
        <v>171.999608214903</v>
      </c>
      <c r="AR4" s="1">
        <f>DEGREES(ASIN($Y$2/(SQRT((AL4)^2+(AM4)^2+(AN4)^2))))</f>
        <v>0.9412323886089</v>
      </c>
      <c r="BA4" s="1" t="str">
        <f>B2</f>
        <v>Babbage</v>
      </c>
      <c r="BB4" s="1">
        <f>VLOOKUP(BA4,$G$94:$O$300,2,FALSE)</f>
        <v>520.722992113</v>
      </c>
      <c r="BC4" s="1">
        <f>VLOOKUP(BA4,$G$94:$O$300,3,FALSE)</f>
        <v>419.364313161999</v>
      </c>
      <c r="BD4" s="1">
        <f>VLOOKUP(BA4,$G$94:$O$300,4,FALSE)</f>
        <v>743.654685314</v>
      </c>
      <c r="BE4" s="1">
        <f>DEGREES(ATAN2(SQRT(BB4^2+BC4^2),BD4))</f>
        <v>48.0423650686789</v>
      </c>
      <c r="BF4" s="1">
        <f>IF(ABS(BE4)=90,0,IF(DEGREES(MOD((ATAN2(BB4,BC4)),2*PI()))&gt;180,-(360-DEGREES(MOD((ATAN2(BB4,BC4)),2*PI()))),DEGREES(MOD((ATAN2(BB4,BC4)),2*PI()))))</f>
        <v>38.8462345236517</v>
      </c>
      <c r="BG4" s="1">
        <f>IF(ABS(BE4)=90,0,DEGREES(MOD((ATAN2(BB4,BC4)),2*PI())))</f>
        <v>38.8462345236517</v>
      </c>
      <c r="BH4" s="2">
        <f>SQRT(BB4^2+BC4^2+BD4^2)-Y3</f>
        <v>0.0205761175191128</v>
      </c>
      <c r="BI4" s="1">
        <f>DEGREES(ACOS($Y$3/($Y$3+IF(BH4&lt;0,0,BH4))))</f>
        <v>0.367549319279187</v>
      </c>
      <c r="BL4" s="1">
        <f>DEGREES(ACOS(-TAN(RADIANS(BE4))*TAN(RADIANS(AP4))))+AR4+BI4</f>
        <v>95.7206451608074</v>
      </c>
      <c r="BM4" s="1">
        <f>IF(MOD(AA4-MOD(BG4-AO4,360),360)&gt;180,MOD(AA4-MOD(BG4-AO4,360),360)-360,MOD(AA4-MOD(BG4-AO4,360),360))</f>
        <v>133.153373691251</v>
      </c>
      <c r="BN4" s="1">
        <f>IFERROR(DEGREES(ACOS((SQRT(BB4^2+BC4^2+BD4^2)^2+(SQRT(SQRT(BB4^2+BC4^2+BD4^2)^2+SQRT(AL4^2+AM4^2+AN4^2)^2-(2*SQRT(BB4^2+BC4^2+BD4^2)*SQRT(AL4^2+AM4^2+AN4^2)*COS(RADIANS(ABS(AP4-BE4))))))^2-SQRT(AL4^2+AM4^2+AN4^2)^2)/(2*SQRT(BB4^2+BC4^2+BD4^2)*(SQRT(SQRT(BB4^2+BC4^2+BD4^2)^2+SQRT(AL4^2+AM4^2+AN4^2)^2-(2*SQRT(BB4^2+BC4^2+BD4^2)*SQRT(AL4^2+AM4^2+AN4^2)*COS(RADIANS(ABS(AP4-BE4)))))))))-90,90)</f>
        <v>45.9130321275594</v>
      </c>
      <c r="BO4" s="1">
        <f>MOD((ROUND(DEGREES(ATAN2((COS(RADIANS(BE4))*SIN(RADIANS(AP4))-SIN(RADIANS(BE4))*COS(RADIANS(AP4))*COS(RADIANS(AQ4-BF4))),(SIN(RADIANS(AQ4-BF4))*COS(RADIANS(AP4))))),0))+360,360)</f>
        <v>53</v>
      </c>
      <c r="BP4" s="64">
        <f>ROUND(BN4*COS(RADIANS(ABS(BM4))),0)</f>
        <v>-31</v>
      </c>
      <c r="BQ4" s="1" t="b">
        <f>IF(ABS(BM4)&lt;=BL4,TRUE,FALSE)</f>
        <v>0</v>
      </c>
    </row>
    <row r="5" customHeight="1" spans="2:110">
      <c r="B5" s="30" t="s">
        <v>339</v>
      </c>
      <c r="F5" s="1"/>
      <c r="H5" s="1"/>
      <c r="P5" s="1"/>
      <c r="Q5" s="1"/>
      <c r="R5" s="1"/>
      <c r="S5" s="1"/>
      <c r="T5" s="1"/>
      <c r="V5" s="1"/>
      <c r="W5" s="1"/>
      <c r="X5" s="1"/>
      <c r="Y5" s="1"/>
      <c r="Z5" s="1"/>
      <c r="AA5" s="1"/>
      <c r="AB5" s="1"/>
      <c r="AC5" s="1"/>
      <c r="AD5" s="1"/>
      <c r="AE5" s="1"/>
      <c r="AF5" s="1"/>
      <c r="AG5" s="1"/>
      <c r="AH5" s="1"/>
      <c r="AI5" s="1"/>
      <c r="AJ5" s="1"/>
      <c r="AK5" s="1"/>
      <c r="AL5" s="1"/>
      <c r="AM5" s="1"/>
      <c r="AN5" s="1"/>
      <c r="AO5" s="1"/>
      <c r="AP5" s="1"/>
      <c r="AQ5" s="1"/>
      <c r="AR5" s="1"/>
      <c r="AU5" s="1"/>
      <c r="AV5" s="1"/>
      <c r="AW5" s="1"/>
      <c r="AX5" s="1"/>
      <c r="AY5" s="1"/>
      <c r="AZ5" s="1"/>
      <c r="BA5" s="1"/>
      <c r="BB5" s="1"/>
      <c r="BC5" s="1"/>
      <c r="BD5" s="1"/>
      <c r="BE5" s="9"/>
      <c r="BF5" s="1"/>
      <c r="BG5" s="1"/>
      <c r="BH5" s="1"/>
      <c r="BI5" s="1"/>
      <c r="BJ5" s="9"/>
      <c r="BK5" s="9"/>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row>
    <row r="6" customHeight="1" spans="2:110">
      <c r="B6" s="30" t="s">
        <v>340</v>
      </c>
      <c r="C6" s="30" t="s">
        <v>341</v>
      </c>
      <c r="D6" s="30" t="s">
        <v>342</v>
      </c>
      <c r="E6" s="30" t="s">
        <v>343</v>
      </c>
      <c r="F6" s="30" t="s">
        <v>344</v>
      </c>
      <c r="I6" s="30" t="s">
        <v>345</v>
      </c>
      <c r="V6" s="1" t="s">
        <v>335</v>
      </c>
      <c r="W6" s="1" t="s">
        <v>336</v>
      </c>
      <c r="X6" s="1" t="s">
        <v>41</v>
      </c>
      <c r="Y6" s="1" t="s">
        <v>337</v>
      </c>
      <c r="Z6" s="1" t="s">
        <v>64</v>
      </c>
      <c r="AA6" s="1" t="s">
        <v>84</v>
      </c>
      <c r="AC6" s="1" t="s">
        <v>12</v>
      </c>
      <c r="AD6" s="1" t="s">
        <v>13</v>
      </c>
      <c r="AE6" s="1" t="s">
        <v>14</v>
      </c>
      <c r="AF6" s="1" t="s">
        <v>191</v>
      </c>
      <c r="AG6" s="1" t="s">
        <v>16</v>
      </c>
      <c r="AH6" s="1" t="s">
        <v>346</v>
      </c>
      <c r="AI6" s="1" t="s">
        <v>347</v>
      </c>
      <c r="AJ6" s="1" t="s">
        <v>348</v>
      </c>
      <c r="AK6" s="1" t="s">
        <v>349</v>
      </c>
      <c r="AL6" s="1" t="s">
        <v>350</v>
      </c>
      <c r="AM6" s="1" t="s">
        <v>351</v>
      </c>
      <c r="AN6" s="1" t="s">
        <v>352</v>
      </c>
      <c r="AO6" s="1" t="s">
        <v>353</v>
      </c>
      <c r="AP6" s="1" t="s">
        <v>354</v>
      </c>
      <c r="AQ6" s="1" t="s">
        <v>355</v>
      </c>
      <c r="AR6" s="1" t="s">
        <v>356</v>
      </c>
      <c r="AS6" s="1" t="s">
        <v>12</v>
      </c>
      <c r="AT6" s="1" t="s">
        <v>13</v>
      </c>
      <c r="AU6" s="1" t="s">
        <v>14</v>
      </c>
      <c r="AV6" s="1" t="s">
        <v>31</v>
      </c>
      <c r="AW6" s="1" t="s">
        <v>18</v>
      </c>
      <c r="AX6" s="1" t="s">
        <v>19</v>
      </c>
      <c r="AY6" s="1" t="s">
        <v>43</v>
      </c>
      <c r="AZ6" s="30" t="s">
        <v>126</v>
      </c>
      <c r="BB6" s="1" t="s">
        <v>12</v>
      </c>
      <c r="BC6" s="1" t="s">
        <v>13</v>
      </c>
      <c r="BD6" s="1" t="s">
        <v>14</v>
      </c>
      <c r="BE6" s="1" t="s">
        <v>18</v>
      </c>
      <c r="BF6" s="1" t="s">
        <v>19</v>
      </c>
      <c r="BG6" s="1" t="s">
        <v>131</v>
      </c>
      <c r="BH6" s="1" t="s">
        <v>357</v>
      </c>
      <c r="BI6" s="1" t="s">
        <v>114</v>
      </c>
      <c r="BJ6" s="1" t="s">
        <v>358</v>
      </c>
      <c r="BK6" s="1" t="s">
        <v>359</v>
      </c>
      <c r="BL6" s="9" t="s">
        <v>136</v>
      </c>
      <c r="BM6" s="1" t="s">
        <v>84</v>
      </c>
      <c r="BN6" s="1" t="s">
        <v>137</v>
      </c>
      <c r="BO6" s="1" t="s">
        <v>138</v>
      </c>
      <c r="BP6" s="1" t="s">
        <v>123</v>
      </c>
      <c r="BQ6" s="9" t="s">
        <v>360</v>
      </c>
      <c r="BR6" s="9" t="s">
        <v>136</v>
      </c>
      <c r="BS6" s="1" t="s">
        <v>84</v>
      </c>
      <c r="BT6" s="1" t="s">
        <v>137</v>
      </c>
      <c r="BU6" s="1" t="s">
        <v>138</v>
      </c>
      <c r="BV6" s="1" t="s">
        <v>123</v>
      </c>
      <c r="BW6" s="1" t="s">
        <v>125</v>
      </c>
      <c r="BX6" s="1" t="s">
        <v>127</v>
      </c>
      <c r="BY6" s="1" t="s">
        <v>360</v>
      </c>
      <c r="BZ6" s="1"/>
      <c r="CA6" s="1" t="s">
        <v>361</v>
      </c>
      <c r="CB6" s="1" t="s">
        <v>111</v>
      </c>
      <c r="CC6" s="1" t="s">
        <v>12</v>
      </c>
      <c r="CD6" s="1" t="s">
        <v>13</v>
      </c>
      <c r="CE6" s="1" t="s">
        <v>14</v>
      </c>
      <c r="CF6" s="1" t="s">
        <v>31</v>
      </c>
      <c r="CG6" s="1" t="s">
        <v>18</v>
      </c>
      <c r="CH6" s="1" t="s">
        <v>19</v>
      </c>
      <c r="CI6" s="1" t="s">
        <v>43</v>
      </c>
      <c r="CJ6" s="1"/>
      <c r="CK6" s="9" t="str">
        <f>IF(OffWorldSelected,"Rise/Set Hr ∠","")</f>
        <v>Rise/Set Hr ∠</v>
      </c>
      <c r="CL6" s="4" t="str">
        <f>IF(OffWorldSelected,"Hour Angle","")</f>
        <v>Hour Angle</v>
      </c>
      <c r="CM6" s="4" t="str">
        <f>IF(OffWorldSelected,"Max Altitude","")</f>
        <v>Max Altitude</v>
      </c>
      <c r="CN6" s="4" t="str">
        <f>IF(OffWorldSelected,"Azimuth","")</f>
        <v>Azimuth</v>
      </c>
      <c r="CO6" s="4" t="str">
        <f>IF(OffWorldSelected,"Altitude","")</f>
        <v>Altitude</v>
      </c>
      <c r="CP6" s="1" t="s">
        <v>125</v>
      </c>
      <c r="CQ6" s="1" t="s">
        <v>127</v>
      </c>
      <c r="CR6" s="1" t="s">
        <v>360</v>
      </c>
      <c r="CS6" s="1"/>
      <c r="CT6" s="1"/>
      <c r="CU6" s="1"/>
      <c r="CV6" s="1"/>
      <c r="CW6" s="1"/>
      <c r="CX6" s="1"/>
      <c r="CY6" s="1"/>
      <c r="CZ6" s="1"/>
      <c r="DA6" s="1"/>
      <c r="DB6" s="1"/>
      <c r="DC6" s="1"/>
      <c r="DD6" s="1"/>
      <c r="DE6" s="1"/>
      <c r="DF6" s="1"/>
    </row>
    <row r="7" customHeight="1" spans="1:97">
      <c r="A7" s="1" t="str">
        <f t="shared" ref="A7:A13" si="3">CONCATENATE(VLOOKUP(BA7,Database,4,FALSE)," (",LEFT(BA7,FIND(" ",BA7)-1),")")</f>
        <v>Everus Harbor (Hurston)</v>
      </c>
      <c r="B7" s="54">
        <f t="shared" ref="B7:B13" si="4">((2*BL7-BJ7-BK7)/W7)/1440</f>
        <v>0.0739704748158412</v>
      </c>
      <c r="C7" s="55" t="str">
        <f t="shared" ref="C7:C13" si="5">IF(ABS(BE7)&gt;ABS(90-ABS(AP7)),IF(BN7&lt;0,"Night","Daylight"),IF(BM7=0,"Noon",IF(BM7=-(BL7-BK7),"Sunset",IF(BM7=(BL7-BJ7),"Sunrise",IF(BM7=180,"Midnight",IF(AND(BM7&gt;-(BL7-BK7),BM7&lt;0),CONCATENATE("Afternoon",IF(TRUE,CONCATENATE(" / Sets in ",ROUND((E7-TimeLocal)*1440,0),"m"),"")),IF(AND(BM7&gt;0,BM7&lt;(BL7-BJ7)),CONCATENATE("Morning",IF(TRUE,CONCATENATE(" / Sets in ",ROUND((E7-TimeLocal)*1440,0),"m"),"")),IF(AND(BM7&gt;(BL7-BJ7),BM7&lt;(BL7+18)),CONCATENATE("Morning Twilight",IF(TRUE,CONCATENATE(" / Rises in ",ROUND((D7-TimeLocal)*1440,0),"m"),"")),IF(AND(BM7&gt;-(BL7+18),BM7&lt;-(BL7-BK7)),CONCATENATE("Evening Twilight",IF(TRUE,CONCATENATE(" / Rises in ",ROUND((D7-TimeLocal)*1440,0),"m"),"")),IF(AND(BM7&gt;-180,BM7&lt;-(BL7+18)),CONCATENATE("Night",IF(TRUE,CONCATENATE(" / Rises in ",ROUND((D7-TimeLocal)*1440,0),"m"),"")),CONCATENATE("After midnight",IF(TRUE,CONCATENATE(" / Rises in ",ROUND((D7-TimeLocal)*1440,0),"m"),""))))))))))))</f>
        <v>Afternoon / Sets in 42m</v>
      </c>
      <c r="D7" s="56">
        <f t="shared" ref="D7:D13" si="6">IFERROR(IF(BM7&gt;(BL7-BJ7),AZ7-((BL7-BJ7)/W7/1440),IF(BM7&gt;0,AZ7-((BL7-BJ7)/W7/1440)+X7,AZ7-((BL7-BJ7)/W7/1440))),"")</f>
        <v>45683.7700964501</v>
      </c>
      <c r="E7" s="56">
        <f t="shared" ref="E7:E13" si="7">IFERROR(IF(BM7&gt;-(BL7-BK7),IF(BM7&gt;0,AZ7+((BL7-BK7)/W7/1440),AZ7+((BL7-BK7)/W7/1440)-X7),AZ7+((BL7-BK7)/W7/1440)),"")</f>
        <v>45683.7407335915</v>
      </c>
      <c r="F7" s="55" t="str">
        <f t="shared" ref="F7:F36" si="8">IF(CA7,IF(CR7,CONCATENATE(IF(ABS(CN7)&lt;10,"0",""),IF(ABS(CN7)&lt;100,"0",""),CN7,"°/",IF(CO7&gt;0,"+","-"),IF(ABS(CO7)&lt;10,"0",""),ABS(CO7),"° Sets in ",ROUND((CQ7-TimeLocal)*1440,0),"m at ",IF(HOUR(CQ7)&lt;10,"0",""),HOUR(CQ7),":",IF(MINUTE(CQ7)&lt;10,"0",""),MINUTE(CQ7)),CONCATENATE("Below Horizon Rises in ",ROUND((CP7-TimeLocal)*1440,0),"m at ",IF(HOUR(CP7)&lt;10,"0",""),HOUR(CP7),":",IF(MINUTE(CP7)&lt;10,"0",""),MINUTE(CP7))),CONCATENATE(CONCATENATE(IF(ABS(CN7)&lt;10,"0",""),IF(ABS(CN7)&lt;100,"0",""),CN7,"°/",IF(CO7&gt;0,"+","-"),IF(ABS(CO7)&lt;10,"0",""),ABS(CO7),"°")))</f>
        <v>Below Horizon Rises in 41m at 17:45</v>
      </c>
      <c r="I7" s="55" t="str">
        <f t="shared" ref="I7:I13" si="9">IF(CA7,IF(BY7,CONCATENATE("Conjunction - Opposition in ",ROUND((BX7-TimeLocal)*1440,0),"m at ",IF(HOUR(BX7)&lt;10,"0",""),HOUR(BX7),":",IF(MINUTE(BX7)&lt;10,"0",""),MINUTE(BX7)),CONCATENATE("Opposition - Conjunction in ",ROUND((BW7-TimeLocal)*1440,0),"m at ",IF(HOUR(BW7)&lt;10,"0",""),HOUR(BW7),":",IF(MINUTE(BW7)&lt;10,"0",""),MINUTE(BW7))),"")</f>
        <v>Opposition - Conjunction in 47m at 17:52</v>
      </c>
      <c r="U7" s="1" t="str">
        <f t="shared" ref="U7:U13" si="10">CONCATENATE(LEFT(BA7,FIND(" ",BA7)-1)," R00")</f>
        <v>Hurston R00</v>
      </c>
      <c r="V7" s="1">
        <f t="shared" ref="V7:V13" si="11">VALUE(VLOOKUP(U7,Database,18,FALSE))</f>
        <v>2.48</v>
      </c>
      <c r="W7" s="1">
        <f t="shared" ref="W7:W13" si="12">6/V7</f>
        <v>2.41935483870968</v>
      </c>
      <c r="X7" s="1">
        <f t="shared" ref="X7:X13" si="13">3600*V7/86400</f>
        <v>0.103333333333333</v>
      </c>
      <c r="Y7" s="1">
        <f t="shared" ref="Y7:Y13" si="14">JulianDate/X7</f>
        <v>17929.4666218638</v>
      </c>
      <c r="Z7" s="1">
        <f t="shared" ref="Z7:Z13" si="15">VALUE(VLOOKUP(U7,Database,19,FALSE))</f>
        <v>62.7219070339505</v>
      </c>
      <c r="AA7" s="1">
        <f t="shared" ref="AA7:AA13" si="16">MOD(360-MOD(Y7,1)*360-Z7,360)</f>
        <v>129.294221984497</v>
      </c>
      <c r="AB7" s="1">
        <f t="shared" ref="AB7:AB13" si="17">MOD(MOD(Y7,1)*360-Z7,360)</f>
        <v>105.261963947602</v>
      </c>
      <c r="AC7" s="1">
        <f t="shared" ref="AC7:AC46" si="18">VALUE(VLOOKUP(U7,Database,6,FALSE))</f>
        <v>12850457.093</v>
      </c>
      <c r="AD7" s="1">
        <f t="shared" ref="AD7:AD46" si="19">VALUE(VLOOKUP(U7,Database,7,FALSE))</f>
        <v>0</v>
      </c>
      <c r="AE7" s="1">
        <f t="shared" ref="AE7:AE46" si="20">VALUE(VLOOKUP(U7,Database,8,FALSE))</f>
        <v>0</v>
      </c>
      <c r="AF7" s="1">
        <f t="shared" ref="AF7:AF13" si="21">VALUE(VLOOKUP(U7,Database,15,FALSE))</f>
        <v>1000</v>
      </c>
      <c r="AG7" s="1">
        <f t="shared" ref="AG7:AG13" si="22">VALUE(VLOOKUP(U7,Database,14,FALSE))</f>
        <v>1436.814</v>
      </c>
      <c r="AH7" s="1">
        <f t="shared" ref="AH7:AH46" si="23">VALUE(VLOOKUP(U7,Database,9,FALSE))</f>
        <v>1</v>
      </c>
      <c r="AI7" s="1">
        <f t="shared" ref="AI7:AI46" si="24">VALUE(VLOOKUP(U7,Database,10,FALSE))</f>
        <v>0</v>
      </c>
      <c r="AJ7" s="1">
        <f t="shared" ref="AJ7:AJ46" si="25">VALUE(VLOOKUP(U7,Database,11,FALSE))</f>
        <v>0</v>
      </c>
      <c r="AK7" s="1">
        <f t="shared" ref="AK7:AK46" si="26">VALUE(VLOOKUP(U7,Database,12,FALSE))</f>
        <v>0</v>
      </c>
      <c r="AL7" s="61">
        <f t="shared" ref="AL7:AL13" si="27">((1-(2*AJ7^2)-(2*AK7^2))*($V$2-AC7))+(((2*AI7*AJ7)-(2*AK7*AH7))*($W$2-AD7))+(((2*AI7*AK7)+(2*AJ7*AH7))*($X$2-AE7))</f>
        <v>-12714407.2234491</v>
      </c>
      <c r="AM7" s="61">
        <f t="shared" ref="AM7:AM13" si="28">(((2*AI7*AJ7)+(2*AK7*AH7))*($V$2-AC7))+((1-(2*AI7^2)-(2*AK7^2))*($W$2-AD7))+(((2*AJ7*AK7)-(2*AI7*AH7))*($X$2-AE7))</f>
        <v>1294427.3997762</v>
      </c>
      <c r="AN7" s="61">
        <f t="shared" ref="AN7:AN13" si="29">(((2*AI7*AK7)-(2*AJ7*AH7))*($V$2-AC7))+(((2*AJ7*AK7)+(2*AI7*AH7))*($W$2-AD7))+((1-(2*AI7^2)-(2*AJ7^2))*($X$2-AE7))</f>
        <v>2923345.3678455</v>
      </c>
      <c r="AO7" s="1">
        <f t="shared" ref="AO7:AO13" si="30">DEGREES(MOD((ATAN2(AL7,AM7)-(PI()/2)),2*PI()))</f>
        <v>84.186864540734</v>
      </c>
      <c r="AP7" s="1">
        <f t="shared" ref="AP7:AP13" si="31">DEGREES(ACOS((((SQRT(AL7^2+AM7^2+AN7^2))^2)+((SQRT(AL7^2+AM7^2))^2)-(AN7^2))/(2*(SQRT(AL7^2+AM7^2+AN7^2))*(SQRT(AL7^2+AM7^2)))))*IF(AN7&lt;0,-1,1)</f>
        <v>12.8842597530985</v>
      </c>
      <c r="AQ7" s="1">
        <f t="shared" ref="AQ7:AQ13" si="32">IF(AA7-MOD(0-AO7,360)&gt;180,AA7-MOD(0-AO7,360)-360,IF(AA7-MOD(0-AO7,360)&lt;-180,AA7-MOD(0-AO7,360)+360,AA7-MOD(0-AO7,360)))</f>
        <v>-146.518913474769</v>
      </c>
      <c r="AR7" s="1">
        <f t="shared" ref="AR7:AR13" si="33">DEGREES(ASIN($Y$2/(SQRT((AL7)^2+(AM7)^2+(AN7)^2))))</f>
        <v>3.04317124269156</v>
      </c>
      <c r="AS7" s="61">
        <f t="shared" ref="AS7:AS14" si="34">IF(CA7,((1-(2*AJ7^2)-(2*AK7^2))*($V$3-AC7))+(((2*AI7*AJ7)-(2*AK7*AH7))*($W$3-AD7))+(((2*AI7*AK7)+(2*AJ7*AH7))*($X$3-AE7)),"")</f>
        <v>9611628.1594846</v>
      </c>
      <c r="AT7" s="61">
        <f t="shared" ref="AT7:AT14" si="35">IF(CA7,(((2*AI7*AJ7)+(2*AK7*AH7))*($V$3-AC7))+((1-(2*AI7^2)-(2*AK7^2))*($W$3-AD7))+(((2*AJ7*AK7)-(2*AI7*AH7))*($X$3-AE7)),"")</f>
        <v>37185744.9648301</v>
      </c>
      <c r="AU7" s="61">
        <f t="shared" ref="AU7:AU14" si="36">IF(CA7,(((2*AI7*AK7)-(2*AJ7*AH7))*($V$3-AC7))+(((2*AJ7*AK7)+(2*AI7*AH7))*($W$3-AD7))+((1-(2*AI7^2)-(2*AJ7^2))*($X$3-AE7)),"")</f>
        <v>0</v>
      </c>
      <c r="AV7" s="1">
        <f t="shared" ref="AV7:AV14" si="37">IF(CA7,DEGREES(MOD((ATAN2(AS7,AT7)-(PI()/2)),2*PI())),"")</f>
        <v>345.507595885668</v>
      </c>
      <c r="AW7" s="1">
        <f t="shared" ref="AW7:AW14" si="38">IF(CA7,DEGREES(ACOS((((SQRT(AS7^2+AT7^2+AU7^2))^2)+((SQRT(AS7^2+AT7^2))^2)-(AU7^2))/(2*(SQRT(AS7^2+AT7^2+AU7^2))*(SQRT(AS7^2+AT7^2)))))*IF(AU7&lt;0,-1,1),"")</f>
        <v>0</v>
      </c>
      <c r="AX7" s="1">
        <f t="shared" ref="AX7:AX14" si="39">IF(CA7,IF(AA7-MOD(0-AV7,360)&gt;180,AA7-MOD(0-AV7,360)-360,IF(AA7-MOD(0-AV7,360)&lt;-180,AA7-MOD(0-AV7,360)+360,AA7-MOD(0-AV7,360))),"")</f>
        <v>114.801817870165</v>
      </c>
      <c r="AY7" s="1">
        <f t="shared" ref="AY7:AY14" si="40">IF(CA7,DEGREES(ASIN($Y$3/(SQRT((AS7)^2+(AT7)^2+(AU7)^2)))),"")</f>
        <v>0.00149177259103882</v>
      </c>
      <c r="AZ7" s="56">
        <f t="shared" ref="AZ7:AZ14" si="41">IFERROR(IF(BM7&gt;0,BM7/W7/1440,(360+BM7)/W7/1440)+TimeLocal,"")</f>
        <v>45683.8070816875</v>
      </c>
      <c r="BA7" s="1" t="s">
        <v>362</v>
      </c>
      <c r="BB7" s="2">
        <f t="shared" ref="BB7:BB13" si="42">VLOOKUP(BA7,Database,6,FALSE)</f>
        <v>-507.7423125</v>
      </c>
      <c r="BC7" s="2">
        <f t="shared" ref="BC7:BC13" si="43">VLOOKUP(BA7,Database,7,FALSE)</f>
        <v>-903.4644375</v>
      </c>
      <c r="BD7" s="2">
        <f t="shared" ref="BD7:BD13" si="44">VLOOKUP(BA7,Database,8,FALSE)</f>
        <v>496.4890625</v>
      </c>
      <c r="BE7" s="1">
        <f t="shared" ref="BE7:BE13" si="45">DEGREES(ATAN2(SQRT(BB7^2+BC7^2),BD7))</f>
        <v>25.5976012933954</v>
      </c>
      <c r="BF7" s="1">
        <f t="shared" ref="BF7:BF13" si="46">IF(ABS(BE7)=90,0,IF(DEGREES(MOD((ATAN2(BB7,BC7)),2*PI()))&gt;180,-(360-DEGREES(MOD((ATAN2(BB7,BC7)),2*PI()))),DEGREES(MOD((ATAN2(BB7,BC7)),2*PI()))))</f>
        <v>-119.335760112194</v>
      </c>
      <c r="BG7" s="1">
        <f t="shared" ref="BG7:BG13" si="47">IF(ABS(BE7)=90,0,DEGREES(MOD((ATAN2(BB7,BC7)),2*PI())))</f>
        <v>240.664239887806</v>
      </c>
      <c r="BH7" s="1">
        <f t="shared" ref="BH7:BH13" si="48">SQRT(BB7^2+BC7^2+BD7^2)-AF7</f>
        <v>149.152572512531</v>
      </c>
      <c r="BI7" s="1">
        <f t="shared" ref="BI7:BI13" si="49">DEGREES(ACOS(AF7/(AF7+IF(BH7&lt;0,0,BH7))))</f>
        <v>29.5173588533437</v>
      </c>
      <c r="BJ7" s="2">
        <f t="shared" ref="BJ7:BJ13" si="50">VLOOKUP(BA7,Database,14,FALSE)</f>
        <v>0</v>
      </c>
      <c r="BK7" s="2">
        <f t="shared" ref="BK7:BK13" si="51">VLOOKUP(BA7,Database,15,FALSE)</f>
        <v>0</v>
      </c>
      <c r="BL7" s="1">
        <f t="shared" ref="BL7:BL13" si="52">DEGREES(ACOS(-TAN(RADIANS(BE7))*TAN(RADIANS(AP7))))+AR7+BI7</f>
        <v>128.851794840498</v>
      </c>
      <c r="BM7" s="1">
        <f t="shared" ref="BM7:BM13" si="53">IF(MOD(AA7-MOD(BG7-AO7,360),360)&gt;180,MOD(AA7-MOD(BG7-AO7,360),360)-360,MOD(AA7-MOD(BG7-AO7,360),360))</f>
        <v>-27.1831533625747</v>
      </c>
      <c r="BN7" s="1">
        <f t="shared" ref="BN7:BN13" si="54">IFERROR(DEGREES(ACOS((SQRT(BB7^2+BC7^2+BD7^2)^2+(SQRT(SQRT(BB7^2+BC7^2+BD7^2)^2+SQRT(AL7^2+AM7^2+AN7^2)^2-(2*SQRT(BB7^2+BC7^2+BD7^2)*SQRT(AL7^2+AM7^2+AN7^2)*COS(RADIANS(ABS(AP7-BE7))))))^2-SQRT(AL7^2+AM7^2+AN7^2)^2)/(2*SQRT(BB7^2+BC7^2+BD7^2)*(SQRT(SQRT(BB7^2+BC7^2+BD7^2)^2+SQRT(AL7^2+AM7^2+AN7^2)^2-(2*SQRT(BB7^2+BC7^2+BD7^2)*SQRT(AL7^2+AM7^2+AN7^2)*COS(RADIANS(ABS(AP7-BE7)))))))))-90,90)</f>
        <v>77.2855531215868</v>
      </c>
      <c r="BO7" s="1">
        <f t="shared" ref="BO7:BO13" si="55">MOD((ROUND(DEGREES(ATAN2((COS(RADIANS(BE7))*SIN(RADIANS(AP7))-SIN(RADIANS(BE7))*COS(RADIANS(AP7))*COS(RADIANS(AQ7-BF7))),(SIN(RADIANS(AQ7-BF7))*COS(RADIANS(AP7))))),0))+360,360)</f>
        <v>249</v>
      </c>
      <c r="BP7" s="64">
        <f t="shared" ref="BP7:BP13" si="56">ROUND(BN7*COS(RADIANS(ABS(BM7))),0)</f>
        <v>69</v>
      </c>
      <c r="BQ7" s="1" t="b">
        <f t="shared" ref="BQ7:BQ13" si="57">IF(ABS(BM7)&lt;=BL7,TRUE,FALSE)</f>
        <v>1</v>
      </c>
      <c r="BR7" s="1">
        <f t="shared" ref="BR7:BR13" si="58">IF(CA7,DEGREES(ACOS(-TAN(RADIANS(BE7))*TAN(RADIANS(AW7))))+AY7+BI7,"")</f>
        <v>119.518850625935</v>
      </c>
      <c r="BS7" s="1">
        <f t="shared" ref="BS7:BS13" si="59">IF(CA7,IF(MOD(AA7-MOD(BG7-AV7,360),360)&gt;180,MOD(AA7-MOD(BG7-AV7,360),360)-360,MOD(AA7-MOD(BG7-AV7,360),360)),"")</f>
        <v>-125.862422017641</v>
      </c>
      <c r="BT7" s="1">
        <f t="shared" ref="BT7:BT13" si="60">IF(CA7,IFERROR(DEGREES(ACOS((SQRT(BB7^2+BC7^2+BD7^2)^2+(SQRT(SQRT(BB7^2+BC7^2+BD7^2)^2+SQRT(AS7^2+AT7^2+AU7^2)^2-(2*SQRT(BB7^2+BC7^2+BD7^2)*SQRT(AS7^2+AT7^2+AU7^2)*COS(RADIANS(ABS(AW7-BE7))))))^2-SQRT(AS7^2+AT7^2+AU7^2)^2)/(2*SQRT(BB7^2+BC7^2+BD7^2)*(SQRT(SQRT(BB7^2+BC7^2+BD7^2)^2+SQRT(AS7^2+AT7^2+AU7^2)^2-(2*SQRT(BB7^2+BC7^2+BD7^2)*SQRT(AS7^2+AT7^2+AU7^2)*COS(RADIANS(ABS(AW7-BE7)))))))))-90,90),"")</f>
        <v>64.4016580373168</v>
      </c>
      <c r="BU7" s="1">
        <f t="shared" ref="BU7:BU13" si="61">IF(CA7,MOD((ROUND(DEGREES(ATAN2((COS(RADIANS(BE7))*SIN(RADIANS(AW7))-SIN(RADIANS(BE7))*COS(RADIANS(AW7))*COS(RADIANS(AX7-BF7))),(SIN(RADIANS(AX7-BF7))*COS(RADIANS(AW7))))),0))+360,360),"")</f>
        <v>287</v>
      </c>
      <c r="BV7" s="64">
        <f t="shared" ref="BV7:BV13" si="62">IF(CA7,ROUND(BT7*COS(RADIANS(ABS(BS7))),0),"")</f>
        <v>-38</v>
      </c>
      <c r="BW7" s="65">
        <f t="shared" ref="BW7:BW13" si="63">IF(CA7,IF(BS7&gt;BR7-$BJ$4,(BS7-BR7-$BJ$4)/W7/1440,(BS7-BR7-$BJ$4+360)/W7/1440)+TimeLocal,"")</f>
        <v>45683.7444507458</v>
      </c>
      <c r="BX7" s="65">
        <f t="shared" ref="BX7:BX13" si="64">IF(CA7,IF(BS7&gt;-(BR7-$BK$4),(BS7+BR7+$BK$4)/W7/1440,(BS7+BR7+$BK$4+360)/W7/1440)+TimeLocal,"")</f>
        <v>45683.8130634193</v>
      </c>
      <c r="BY7" s="1" t="b">
        <f t="shared" ref="BY7:BY13" si="65">IF(CA7,IF(ABS(BS7)&lt;=BR7,TRUE,FALSE),"")</f>
        <v>0</v>
      </c>
      <c r="CA7" s="1" t="b">
        <f t="shared" ref="CA7:CA46" si="66">IF(CB7=$B$1,FALSE,TRUE)</f>
        <v>1</v>
      </c>
      <c r="CB7" s="1" t="str">
        <f t="shared" ref="CB7:CB46" si="67">LEFT(BA7,FIND(" ",BA7)-1)</f>
        <v>Hurston</v>
      </c>
      <c r="CC7" s="1">
        <f t="shared" ref="CC7:CC46" si="68">IF(CA7,((1-(2*$AB$3^2)-(2*$AC$3^2))*(AC7-$V$3))+(((2*$AA$3*$AB$3)-(2*$AC$3*$Z$3))*(AD7-$W$3))+(((2*$AA$3*$AC$3)+(2*$AB$3*$Z$3))*(AE7-$X$3)),"")</f>
        <v>-9611628.1594846</v>
      </c>
      <c r="CD7" s="1">
        <f t="shared" ref="CD7:CD46" si="69">IF(CA7,(((2*$AA$3*$AB$3)+(2*$AC$3*$Z$3))*(AC7-$V$3))+((1-(2*$AA$3^2)-(2*$AC$3^2))*(AD7-$W$3))+(((2*$AB$3*$AC$3)-(2*$AA$3*$Z$3))*(AE7-$X$3)),"")</f>
        <v>-37185744.9648301</v>
      </c>
      <c r="CE7" s="1">
        <f t="shared" ref="CE7:CE46" si="70">IF(CA7,(((2*$AA$3*$AC$3)-(2*$AB$3*$Z$3))*(AC7-$V$3))+(((2*$AB$3*$AC$3)+(2*$AA$3*$Z$3))*(AD7-$W$3))+((1-(2*$AA$3^2)-(2*$AB$3^2))*(AE7-$X$3)),"")</f>
        <v>0</v>
      </c>
      <c r="CF7" s="1">
        <f t="shared" ref="CF7:CF46" si="71">IF(CA7,DEGREES(MOD((ATAN2(CC7,CD7)-(PI()/2)),2*PI())),"")</f>
        <v>165.507595885668</v>
      </c>
      <c r="CG7" s="1">
        <f t="shared" ref="CG7:CG46" si="72">IF(CA7,DEGREES(ACOS((((SQRT(CC7^2+CD7^2+CE7^2))^2)+((SQRT(CC7^2+CD7^2))^2)-(CE7^2))/(2*(SQRT(CC7^2+CD7^2+CE7^2))*(SQRT(CC7^2+CD7^2)))))*IF(CE7&lt;0,-1,1),"")</f>
        <v>0</v>
      </c>
      <c r="CH7" s="20">
        <f t="shared" ref="CH7:CH46" si="73">IF(CA7,IF($AI$3-MOD(0-CF7,360)&gt;180,$AI$3-MOD(0-CF7,360)-360,IF($AI$3-MOD(0-CF7,360)&lt;-180,$AI$3-MOD(0-CF7,360)+360,$AI$3-MOD(0-CF7,360))),"")</f>
        <v>-170.609300849194</v>
      </c>
      <c r="CI7" s="1">
        <f t="shared" ref="CI7:CI46" si="74">IF(CA7,DEGREES(ASIN(AF7/(SQRT(CC7^2+CD7^2+CE7^2)))),"")</f>
        <v>0.00149177259103882</v>
      </c>
      <c r="CK7" s="1">
        <f t="shared" ref="CK7:CK46" si="75">IF(CA7,DEGREES(ACOS(-TAN(RADIANS(IF(ABS($BE$4)=90,IF($BE$4&gt;0,1,-1)*89.999,$BE$4)))*TAN(RADIANS(CG7))))+CI7+$BI$4,"")</f>
        <v>90.3690410918702</v>
      </c>
      <c r="CL7" s="1">
        <f t="shared" ref="CL7:CL46" si="76">IF(CA7,IF(MOD($AA$4-MOD($BG$4-CF7,360),360)&gt;180,MOD($AA$4-MOD($BG$4-CF7,360),360)-360,MOD($AA$4-MOD($BG$4-CF7,360),360)),"")</f>
        <v>150.544464627154</v>
      </c>
      <c r="CM7" s="1">
        <f t="shared" ref="CM7:CM46" si="77">IF(CA7,IFERROR(DEGREES(ACOS((SQRT($BB$4^2+$BC$4^2+$BD$4^2)^2+(SQRT(SQRT($BB$4^2+$BC$4^2+$BD$4^2)^2+SQRT(CC7^2+CD7^2+CE7^2)^2-(2*SQRT($BB$4^2+$BC$4^2+$BD$4^2)*SQRT(CC7^2+CD7^2+CE7^2)*COS(RADIANS(ABS(CG7-$BE$4))))))^2-SQRT(CC7^2+CD7^2+CE7^2)^2)/(2*SQRT($BB$4^2+$BC$4^2+$BD$4^2)*(SQRT(SQRT($BB$4^2+$BC$4^2+$BD$4^2)^2+SQRT(CC7^2+CD7^2+CE7^2)^2-(2*SQRT($BB$4^2+$BC$4^2+$BD$4^2)*SQRT(CC7^2+CD7^2+CE7^2)*COS(RADIANS(ABS(CG7-$BE$4)))))))))-90,90),"")</f>
        <v>41.9565255483271</v>
      </c>
      <c r="CN7" s="1">
        <f t="shared" ref="CN7:CN46" si="78">IF(CA7,MOD((ROUND(DEGREES(ATAN2((COS(RADIANS($BE$4))*SIN(RADIANS(CG7))-SIN(RADIANS($BE$4))*COS(RADIANS(CG7))*COS(RADIANS(CH7-$BF$4))),(SIN(RADIANS(CH7-$BF$4))*COS(RADIANS(CG7))))),0))+360,360),MOD((ROUND(DEGREES(ATAN2((COS(RADIANS($BE$4))*SIN(RADIANS(BE7))-SIN(RADIANS($BE$4))*COS(RADIANS(BE7))*COS(RADIANS(BF7-$BF$4))),(SIN(RADIANS(BF7-$BF$4))*COS(RADIANS(BE7))))),0))+360,360))</f>
        <v>37</v>
      </c>
      <c r="CO7" s="64">
        <f t="shared" ref="CO7:CO46" si="79">IF(CA7,ROUND(CM7*COS(RADIANS(ABS(CL7))),0),ROUND(DEGREES(ACOS(((SQRT($BB$4^2+$BC$4^2+$BD$4^2))^2+CS7^2-(SQRT(BB7^2+BC7^2+BD7^2))^2)/(2*SQRT($BB$4^2+$BC$4^2+$BD$4^2)*CS7)))-90,0))</f>
        <v>-37</v>
      </c>
      <c r="CP7" s="66">
        <f t="shared" ref="CP7:CP46" si="80">IF(CA7,IF(CL7&gt;CK7-$BJ$4,(CL7-CK7-$BJ$4)/$W$4/1440,(CL7-CK7-$BJ$4+360)/$W$4/1440)+TimeLocal,"")</f>
        <v>45683.7402456874</v>
      </c>
      <c r="CQ7" s="66">
        <f t="shared" ref="CQ7:CQ46" si="81">IF(CA7,IF(CL7&gt;-(CK7-$BK$4),(CL7+CK7+$BK$4)/$W$4/1440,(CL7+CK7+$BK$4+360)/$W$4/1440)+TimeLocal,"")</f>
        <v>45683.8264309745</v>
      </c>
      <c r="CR7" s="1" t="b">
        <f t="shared" ref="CR7:CR46" si="82">IF(CA7,IF(ABS(CL7)&lt;=CK7,TRUE,FALSE),"")</f>
        <v>0</v>
      </c>
      <c r="CS7" s="1" t="str">
        <f t="shared" ref="CS7:CS46" si="83">IF(CA7,"",ROUND(SQRT(($BB$4-BB7)^2+($BC$4-BC7)^2+($BD$4-BD7)^2),1))</f>
        <v/>
      </c>
    </row>
    <row r="8" customHeight="1" spans="1:97">
      <c r="A8" s="1" t="str">
        <f t="shared" si="3"/>
        <v>Seraphim Station (Crusader)</v>
      </c>
      <c r="B8" s="54">
        <f t="shared" si="4"/>
        <v>0.147369340663787</v>
      </c>
      <c r="C8" s="55" t="str">
        <f t="shared" si="5"/>
        <v>Afternoon / Sets in 16m</v>
      </c>
      <c r="D8" s="56">
        <f t="shared" si="6"/>
        <v>45683.787568094</v>
      </c>
      <c r="E8" s="56">
        <f t="shared" si="7"/>
        <v>45683.7224374388</v>
      </c>
      <c r="F8" s="55" t="str">
        <f t="shared" si="8"/>
        <v>Below Horizon Rises in 20m at 17:24</v>
      </c>
      <c r="I8" s="55" t="str">
        <f t="shared" si="9"/>
        <v>Conjunction - Opposition in 35m at 17:39</v>
      </c>
      <c r="U8" s="1" t="str">
        <f t="shared" si="10"/>
        <v>Crusader R00</v>
      </c>
      <c r="V8" s="1">
        <f t="shared" si="11"/>
        <v>5.0999999</v>
      </c>
      <c r="W8" s="1">
        <f t="shared" si="12"/>
        <v>1.17647061130335</v>
      </c>
      <c r="X8" s="1">
        <f t="shared" si="13"/>
        <v>0.212499995833333</v>
      </c>
      <c r="Y8" s="1">
        <f t="shared" si="14"/>
        <v>8718.64276354638</v>
      </c>
      <c r="Z8" s="1">
        <f t="shared" si="15"/>
        <v>169.960320900157</v>
      </c>
      <c r="AA8" s="1">
        <f t="shared" si="16"/>
        <v>318.644802404794</v>
      </c>
      <c r="AB8" s="1">
        <f t="shared" si="17"/>
        <v>61.4345557948919</v>
      </c>
      <c r="AC8" s="1">
        <f t="shared" si="18"/>
        <v>-18962176</v>
      </c>
      <c r="AD8" s="1">
        <f t="shared" si="19"/>
        <v>-2664959.99999998</v>
      </c>
      <c r="AE8" s="1">
        <f t="shared" si="20"/>
        <v>0</v>
      </c>
      <c r="AF8" s="1">
        <f t="shared" si="21"/>
        <v>7450.01</v>
      </c>
      <c r="AG8" s="1">
        <f t="shared" si="22"/>
        <v>10673.17</v>
      </c>
      <c r="AH8" s="1">
        <f t="shared" si="23"/>
        <v>1</v>
      </c>
      <c r="AI8" s="1">
        <f t="shared" si="24"/>
        <v>0</v>
      </c>
      <c r="AJ8" s="1">
        <f t="shared" si="25"/>
        <v>0</v>
      </c>
      <c r="AK8" s="1">
        <f t="shared" si="26"/>
        <v>0</v>
      </c>
      <c r="AL8" s="61">
        <f t="shared" si="27"/>
        <v>19098225.8695509</v>
      </c>
      <c r="AM8" s="61">
        <f t="shared" si="28"/>
        <v>3959387.39977618</v>
      </c>
      <c r="AN8" s="61">
        <f t="shared" si="29"/>
        <v>2923345.3678455</v>
      </c>
      <c r="AO8" s="1">
        <f t="shared" si="30"/>
        <v>281.71246975034</v>
      </c>
      <c r="AP8" s="1">
        <f t="shared" si="31"/>
        <v>8.524144828828</v>
      </c>
      <c r="AQ8" s="1">
        <f t="shared" si="32"/>
        <v>-119.642727844866</v>
      </c>
      <c r="AR8" s="1">
        <f t="shared" si="33"/>
        <v>2.02239897332584</v>
      </c>
      <c r="AS8" s="61">
        <f t="shared" si="34"/>
        <v>41424261.2524846</v>
      </c>
      <c r="AT8" s="61">
        <f t="shared" si="35"/>
        <v>39850704.9648301</v>
      </c>
      <c r="AU8" s="61">
        <f t="shared" si="36"/>
        <v>0</v>
      </c>
      <c r="AV8" s="1">
        <f t="shared" si="37"/>
        <v>313.890840860989</v>
      </c>
      <c r="AW8" s="1">
        <f t="shared" si="38"/>
        <v>0</v>
      </c>
      <c r="AX8" s="1">
        <f t="shared" si="39"/>
        <v>-87.4643567342169</v>
      </c>
      <c r="AY8" s="1">
        <f t="shared" si="40"/>
        <v>0.000996780312130692</v>
      </c>
      <c r="AZ8" s="56">
        <f t="shared" si="41"/>
        <v>45683.8612527643</v>
      </c>
      <c r="BA8" s="1" t="s">
        <v>363</v>
      </c>
      <c r="BB8" s="2">
        <f t="shared" si="42"/>
        <v>5876.098201785</v>
      </c>
      <c r="BC8" s="2">
        <f t="shared" si="43"/>
        <v>-1384.206723274</v>
      </c>
      <c r="BD8" s="2">
        <f t="shared" si="44"/>
        <v>5565.88323190699</v>
      </c>
      <c r="BE8" s="1">
        <f t="shared" si="45"/>
        <v>42.6751900385775</v>
      </c>
      <c r="BF8" s="1">
        <f t="shared" si="46"/>
        <v>-13.2552589787988</v>
      </c>
      <c r="BG8" s="1">
        <f t="shared" si="47"/>
        <v>346.744741021201</v>
      </c>
      <c r="BH8" s="1">
        <f t="shared" si="48"/>
        <v>761.178372032471</v>
      </c>
      <c r="BI8" s="1">
        <f t="shared" si="49"/>
        <v>24.8651619521743</v>
      </c>
      <c r="BJ8" s="2">
        <f t="shared" si="50"/>
        <v>0</v>
      </c>
      <c r="BK8" s="2">
        <f t="shared" si="51"/>
        <v>0</v>
      </c>
      <c r="BL8" s="1">
        <f t="shared" si="52"/>
        <v>124.830502774629</v>
      </c>
      <c r="BM8" s="1">
        <f t="shared" si="53"/>
        <v>-106.387468866067</v>
      </c>
      <c r="BN8" s="1">
        <f t="shared" si="54"/>
        <v>55.835558723419</v>
      </c>
      <c r="BO8" s="1">
        <f t="shared" si="55"/>
        <v>287</v>
      </c>
      <c r="BP8" s="64">
        <f t="shared" si="56"/>
        <v>-16</v>
      </c>
      <c r="BQ8" s="1" t="b">
        <f t="shared" si="57"/>
        <v>1</v>
      </c>
      <c r="BR8" s="1">
        <f t="shared" si="58"/>
        <v>114.866158732486</v>
      </c>
      <c r="BS8" s="1">
        <f t="shared" si="59"/>
        <v>-74.2090977554179</v>
      </c>
      <c r="BT8" s="1">
        <f t="shared" si="60"/>
        <v>47.3192614158656</v>
      </c>
      <c r="BU8" s="1">
        <f t="shared" si="61"/>
        <v>259</v>
      </c>
      <c r="BV8" s="64">
        <f t="shared" si="62"/>
        <v>13</v>
      </c>
      <c r="BW8" s="65">
        <f t="shared" si="63"/>
        <v>45683.8124440017</v>
      </c>
      <c r="BX8" s="65">
        <f t="shared" si="64"/>
        <v>45683.7355498851</v>
      </c>
      <c r="BY8" s="1" t="b">
        <f t="shared" si="65"/>
        <v>1</v>
      </c>
      <c r="CA8" s="1" t="b">
        <f t="shared" si="66"/>
        <v>1</v>
      </c>
      <c r="CB8" s="1" t="str">
        <f t="shared" si="67"/>
        <v>Crusader</v>
      </c>
      <c r="CC8" s="1">
        <f t="shared" si="68"/>
        <v>-41424261.2524846</v>
      </c>
      <c r="CD8" s="1">
        <f t="shared" si="69"/>
        <v>-39850704.9648301</v>
      </c>
      <c r="CE8" s="1">
        <f t="shared" si="70"/>
        <v>0</v>
      </c>
      <c r="CF8" s="1">
        <f t="shared" si="71"/>
        <v>133.890840860989</v>
      </c>
      <c r="CG8" s="1">
        <f t="shared" si="72"/>
        <v>0</v>
      </c>
      <c r="CH8" s="20">
        <f t="shared" si="73"/>
        <v>157.773944126127</v>
      </c>
      <c r="CI8" s="1">
        <f t="shared" si="74"/>
        <v>0.00742602331359304</v>
      </c>
      <c r="CK8" s="1">
        <f t="shared" si="75"/>
        <v>90.3749753425928</v>
      </c>
      <c r="CL8" s="1">
        <f t="shared" si="76"/>
        <v>118.927709602475</v>
      </c>
      <c r="CM8" s="1">
        <f t="shared" si="77"/>
        <v>41.9568936629834</v>
      </c>
      <c r="CN8" s="1">
        <f t="shared" si="78"/>
        <v>68</v>
      </c>
      <c r="CO8" s="64">
        <f t="shared" si="79"/>
        <v>-20</v>
      </c>
      <c r="CP8" s="66">
        <f t="shared" si="80"/>
        <v>45683.7251663498</v>
      </c>
      <c r="CQ8" s="66">
        <f t="shared" si="81"/>
        <v>45683.8113572964</v>
      </c>
      <c r="CR8" s="1" t="b">
        <f t="shared" si="82"/>
        <v>0</v>
      </c>
      <c r="CS8" s="1" t="str">
        <f t="shared" si="83"/>
        <v/>
      </c>
    </row>
    <row r="9" customHeight="1" spans="1:97">
      <c r="A9" s="1" t="str">
        <f t="shared" si="3"/>
        <v>Baijini Point (ArcCorp)</v>
      </c>
      <c r="B9" s="54">
        <f t="shared" si="4"/>
        <v>0.0845176743522479</v>
      </c>
      <c r="C9" s="55" t="str">
        <f t="shared" si="5"/>
        <v>Afternoon / Sets in 32m</v>
      </c>
      <c r="D9" s="56">
        <f t="shared" si="6"/>
        <v>45683.7787650622</v>
      </c>
      <c r="E9" s="56">
        <f t="shared" si="7"/>
        <v>45683.7336994073</v>
      </c>
      <c r="F9" s="55" t="str">
        <f t="shared" si="8"/>
        <v>Below Horizon Rises in 49m at 17:53</v>
      </c>
      <c r="I9" s="55" t="str">
        <f t="shared" si="9"/>
        <v>Conjunction - Opposition in 11m at 17:15</v>
      </c>
      <c r="U9" s="1" t="str">
        <f t="shared" si="10"/>
        <v>ArcCorp R00</v>
      </c>
      <c r="V9" s="1">
        <f t="shared" si="11"/>
        <v>3.1099999</v>
      </c>
      <c r="W9" s="1">
        <f t="shared" si="12"/>
        <v>1.92926051219487</v>
      </c>
      <c r="X9" s="1">
        <f t="shared" si="13"/>
        <v>0.129583329166667</v>
      </c>
      <c r="Y9" s="1">
        <f t="shared" si="14"/>
        <v>14297.4529427548</v>
      </c>
      <c r="Z9" s="1">
        <f t="shared" si="15"/>
        <v>88.4109476372397</v>
      </c>
      <c r="AA9" s="1">
        <f t="shared" si="16"/>
        <v>108.529660643762</v>
      </c>
      <c r="AB9" s="1">
        <f t="shared" si="17"/>
        <v>74.6484440817584</v>
      </c>
      <c r="AC9" s="1">
        <f t="shared" si="18"/>
        <v>18587664.7398559</v>
      </c>
      <c r="AD9" s="1">
        <f t="shared" si="19"/>
        <v>-22151916.9203125</v>
      </c>
      <c r="AE9" s="1">
        <f t="shared" si="20"/>
        <v>0</v>
      </c>
      <c r="AF9" s="1">
        <f t="shared" si="21"/>
        <v>800</v>
      </c>
      <c r="AG9" s="1">
        <f t="shared" si="22"/>
        <v>1151.452</v>
      </c>
      <c r="AH9" s="1">
        <f t="shared" si="23"/>
        <v>1</v>
      </c>
      <c r="AI9" s="1">
        <f t="shared" si="24"/>
        <v>0</v>
      </c>
      <c r="AJ9" s="1">
        <f t="shared" si="25"/>
        <v>0</v>
      </c>
      <c r="AK9" s="1">
        <f t="shared" si="26"/>
        <v>0</v>
      </c>
      <c r="AL9" s="61">
        <f t="shared" si="27"/>
        <v>-18451614.870305</v>
      </c>
      <c r="AM9" s="61">
        <f t="shared" si="28"/>
        <v>23446344.3200887</v>
      </c>
      <c r="AN9" s="61">
        <f t="shared" si="29"/>
        <v>2923345.3678455</v>
      </c>
      <c r="AO9" s="1">
        <f t="shared" si="30"/>
        <v>38.20175245055</v>
      </c>
      <c r="AP9" s="1">
        <f t="shared" si="31"/>
        <v>5.59598606213399</v>
      </c>
      <c r="AQ9" s="1">
        <f t="shared" si="32"/>
        <v>146.731413094312</v>
      </c>
      <c r="AR9" s="1">
        <f t="shared" si="33"/>
        <v>1.33031373497036</v>
      </c>
      <c r="AS9" s="61">
        <f t="shared" si="34"/>
        <v>3874420.5126287</v>
      </c>
      <c r="AT9" s="61">
        <f t="shared" si="35"/>
        <v>59337661.8851426</v>
      </c>
      <c r="AU9" s="61">
        <f t="shared" si="36"/>
        <v>0</v>
      </c>
      <c r="AV9" s="1">
        <f t="shared" si="37"/>
        <v>356.264206088523</v>
      </c>
      <c r="AW9" s="1">
        <f t="shared" si="38"/>
        <v>0</v>
      </c>
      <c r="AX9" s="1">
        <f t="shared" si="39"/>
        <v>104.793866732285</v>
      </c>
      <c r="AY9" s="1">
        <f t="shared" si="40"/>
        <v>0.000963536991559586</v>
      </c>
      <c r="AZ9" s="56">
        <f t="shared" si="41"/>
        <v>45683.8210238993</v>
      </c>
      <c r="BA9" s="1" t="s">
        <v>364</v>
      </c>
      <c r="BB9" s="2">
        <f t="shared" si="42"/>
        <v>-771.9605625</v>
      </c>
      <c r="BC9" s="2">
        <f t="shared" si="43"/>
        <v>-321.34721875</v>
      </c>
      <c r="BD9" s="2">
        <f t="shared" si="44"/>
        <v>-359.50934375</v>
      </c>
      <c r="BE9" s="1">
        <f t="shared" si="45"/>
        <v>-23.2650721436411</v>
      </c>
      <c r="BF9" s="1">
        <f t="shared" si="46"/>
        <v>-157.399300935296</v>
      </c>
      <c r="BG9" s="1">
        <f t="shared" si="47"/>
        <v>202.600699064704</v>
      </c>
      <c r="BH9" s="1">
        <f t="shared" si="48"/>
        <v>110.183560221361</v>
      </c>
      <c r="BI9" s="1">
        <f t="shared" si="49"/>
        <v>28.4848100643737</v>
      </c>
      <c r="BJ9" s="2">
        <f t="shared" si="50"/>
        <v>0</v>
      </c>
      <c r="BK9" s="2">
        <f t="shared" si="51"/>
        <v>0</v>
      </c>
      <c r="BL9" s="1">
        <f t="shared" si="52"/>
        <v>117.400760431443</v>
      </c>
      <c r="BM9" s="1">
        <f t="shared" si="53"/>
        <v>-55.8692859703918</v>
      </c>
      <c r="BN9" s="1">
        <f t="shared" si="54"/>
        <v>61.1381021173599</v>
      </c>
      <c r="BO9" s="1">
        <f t="shared" si="55"/>
        <v>291</v>
      </c>
      <c r="BP9" s="64">
        <f t="shared" si="56"/>
        <v>34</v>
      </c>
      <c r="BQ9" s="1" t="b">
        <f t="shared" si="57"/>
        <v>1</v>
      </c>
      <c r="BR9" s="1">
        <f t="shared" si="58"/>
        <v>118.485773601365</v>
      </c>
      <c r="BS9" s="1">
        <f t="shared" si="59"/>
        <v>-97.8068323324188</v>
      </c>
      <c r="BT9" s="1">
        <f t="shared" si="60"/>
        <v>66.7345814521249</v>
      </c>
      <c r="BU9" s="1">
        <f t="shared" si="61"/>
        <v>267</v>
      </c>
      <c r="BV9" s="64">
        <f t="shared" si="62"/>
        <v>-9</v>
      </c>
      <c r="BW9" s="65">
        <f t="shared" si="63"/>
        <v>45683.763278933</v>
      </c>
      <c r="BX9" s="65">
        <f t="shared" si="64"/>
        <v>45683.7189943872</v>
      </c>
      <c r="BY9" s="1" t="b">
        <f t="shared" si="65"/>
        <v>1</v>
      </c>
      <c r="CA9" s="1" t="b">
        <f t="shared" si="66"/>
        <v>1</v>
      </c>
      <c r="CB9" s="1" t="str">
        <f t="shared" si="67"/>
        <v>ArcCorp</v>
      </c>
      <c r="CC9" s="1">
        <f t="shared" si="68"/>
        <v>-3874420.5126287</v>
      </c>
      <c r="CD9" s="1">
        <f t="shared" si="69"/>
        <v>-59337661.8851426</v>
      </c>
      <c r="CE9" s="1">
        <f t="shared" si="70"/>
        <v>0</v>
      </c>
      <c r="CF9" s="1">
        <f t="shared" si="71"/>
        <v>176.264206088523</v>
      </c>
      <c r="CG9" s="1">
        <f t="shared" si="72"/>
        <v>0</v>
      </c>
      <c r="CH9" s="20">
        <f t="shared" si="73"/>
        <v>-159.852690646339</v>
      </c>
      <c r="CI9" s="1">
        <f t="shared" si="74"/>
        <v>0.000770829593234589</v>
      </c>
      <c r="CK9" s="1">
        <f t="shared" si="75"/>
        <v>90.3683201488724</v>
      </c>
      <c r="CL9" s="1">
        <f t="shared" si="76"/>
        <v>161.301074830009</v>
      </c>
      <c r="CM9" s="1">
        <f t="shared" si="77"/>
        <v>41.9569183845773</v>
      </c>
      <c r="CN9" s="1">
        <f t="shared" si="78"/>
        <v>24</v>
      </c>
      <c r="CO9" s="64">
        <f t="shared" si="79"/>
        <v>-40</v>
      </c>
      <c r="CP9" s="66">
        <f t="shared" si="80"/>
        <v>45683.7453753405</v>
      </c>
      <c r="CQ9" s="66">
        <f t="shared" si="81"/>
        <v>45683.8315599401</v>
      </c>
      <c r="CR9" s="1" t="b">
        <f t="shared" si="82"/>
        <v>0</v>
      </c>
      <c r="CS9" s="1" t="str">
        <f t="shared" si="83"/>
        <v/>
      </c>
    </row>
    <row r="10" customHeight="1" spans="1:97">
      <c r="A10" s="1" t="str">
        <f t="shared" si="3"/>
        <v>Port Tressler (microTech)</v>
      </c>
      <c r="B10" s="54">
        <f t="shared" si="4"/>
        <v>0.116716291301836</v>
      </c>
      <c r="C10" s="55" t="str">
        <f t="shared" si="5"/>
        <v>Morning Twilight / Rises in 4m</v>
      </c>
      <c r="D10" s="56">
        <f t="shared" si="6"/>
        <v>45683.7141381036</v>
      </c>
      <c r="E10" s="56">
        <f t="shared" si="7"/>
        <v>45683.8308543949</v>
      </c>
      <c r="F10" s="55" t="str">
        <f t="shared" si="8"/>
        <v>118°/+56°</v>
      </c>
      <c r="I10" s="55" t="str">
        <f t="shared" si="9"/>
        <v/>
      </c>
      <c r="U10" s="1" t="str">
        <f t="shared" si="10"/>
        <v>microTech R00</v>
      </c>
      <c r="V10" s="1">
        <f t="shared" si="11"/>
        <v>4.1199999</v>
      </c>
      <c r="W10" s="1">
        <f t="shared" si="12"/>
        <v>1.456310714959</v>
      </c>
      <c r="X10" s="1">
        <f t="shared" si="13"/>
        <v>0.1716666625</v>
      </c>
      <c r="Y10" s="1">
        <f t="shared" si="14"/>
        <v>10792.4947333669</v>
      </c>
      <c r="Z10" s="1">
        <f t="shared" si="15"/>
        <v>158.012884649985</v>
      </c>
      <c r="AA10" s="1">
        <f t="shared" si="16"/>
        <v>23.8831032651375</v>
      </c>
      <c r="AB10" s="1">
        <f t="shared" si="17"/>
        <v>20.0911274348925</v>
      </c>
      <c r="AC10" s="1">
        <f t="shared" si="18"/>
        <v>22462085.2524846</v>
      </c>
      <c r="AD10" s="1">
        <f t="shared" si="19"/>
        <v>37185744.9648301</v>
      </c>
      <c r="AE10" s="1">
        <f t="shared" si="20"/>
        <v>0</v>
      </c>
      <c r="AF10" s="1">
        <f t="shared" si="21"/>
        <v>1000</v>
      </c>
      <c r="AG10" s="1">
        <f t="shared" si="22"/>
        <v>1439.593</v>
      </c>
      <c r="AH10" s="1">
        <f t="shared" si="23"/>
        <v>1</v>
      </c>
      <c r="AI10" s="1">
        <f t="shared" si="24"/>
        <v>0</v>
      </c>
      <c r="AJ10" s="1">
        <f t="shared" si="25"/>
        <v>0</v>
      </c>
      <c r="AK10" s="1">
        <f t="shared" si="26"/>
        <v>0</v>
      </c>
      <c r="AL10" s="61">
        <f t="shared" si="27"/>
        <v>-22326035.3829337</v>
      </c>
      <c r="AM10" s="61">
        <f t="shared" si="28"/>
        <v>-35891317.5650539</v>
      </c>
      <c r="AN10" s="61">
        <f t="shared" si="29"/>
        <v>2923345.3678455</v>
      </c>
      <c r="AO10" s="1">
        <f t="shared" si="30"/>
        <v>148.116504949765</v>
      </c>
      <c r="AP10" s="1">
        <f t="shared" si="31"/>
        <v>3.95633806723453</v>
      </c>
      <c r="AQ10" s="1">
        <f t="shared" si="32"/>
        <v>171.999608214903</v>
      </c>
      <c r="AR10" s="1">
        <f t="shared" si="33"/>
        <v>0.9412323886089</v>
      </c>
      <c r="AS10" s="61" t="str">
        <f t="shared" si="34"/>
        <v/>
      </c>
      <c r="AT10" s="61" t="str">
        <f t="shared" si="35"/>
        <v/>
      </c>
      <c r="AU10" s="61" t="str">
        <f t="shared" si="36"/>
        <v/>
      </c>
      <c r="AV10" s="1" t="str">
        <f t="shared" si="37"/>
        <v/>
      </c>
      <c r="AW10" s="1" t="str">
        <f t="shared" si="38"/>
        <v/>
      </c>
      <c r="AX10" s="1" t="str">
        <f t="shared" si="39"/>
        <v/>
      </c>
      <c r="AY10" s="1" t="str">
        <f t="shared" si="40"/>
        <v/>
      </c>
      <c r="AZ10" s="56">
        <f t="shared" si="41"/>
        <v>45683.7724962492</v>
      </c>
      <c r="BA10" s="1" t="s">
        <v>365</v>
      </c>
      <c r="BB10" s="2">
        <f t="shared" si="42"/>
        <v>561.471046150999</v>
      </c>
      <c r="BC10" s="2">
        <f t="shared" si="43"/>
        <v>545.853017028999</v>
      </c>
      <c r="BD10" s="2">
        <f t="shared" si="44"/>
        <v>808.831762530999</v>
      </c>
      <c r="BE10" s="1">
        <f t="shared" si="45"/>
        <v>45.9269825365524</v>
      </c>
      <c r="BF10" s="1">
        <f t="shared" si="46"/>
        <v>44.1919368031871</v>
      </c>
      <c r="BG10" s="1">
        <f t="shared" si="47"/>
        <v>44.1919368031871</v>
      </c>
      <c r="BH10" s="1">
        <f t="shared" si="48"/>
        <v>125.794862283782</v>
      </c>
      <c r="BI10" s="1">
        <f t="shared" si="49"/>
        <v>27.3444316017125</v>
      </c>
      <c r="BJ10" s="2">
        <f t="shared" si="50"/>
        <v>0</v>
      </c>
      <c r="BK10" s="2">
        <f t="shared" si="51"/>
        <v>0</v>
      </c>
      <c r="BL10" s="1">
        <f t="shared" si="52"/>
        <v>122.38213365586</v>
      </c>
      <c r="BM10" s="1">
        <f t="shared" si="53"/>
        <v>127.807671411715</v>
      </c>
      <c r="BN10" s="1">
        <f t="shared" si="54"/>
        <v>48.0283374094051</v>
      </c>
      <c r="BO10" s="1">
        <f t="shared" si="55"/>
        <v>58</v>
      </c>
      <c r="BP10" s="64">
        <f t="shared" si="56"/>
        <v>-29</v>
      </c>
      <c r="BQ10" s="1" t="b">
        <f t="shared" si="57"/>
        <v>0</v>
      </c>
      <c r="BR10" s="1" t="str">
        <f t="shared" si="58"/>
        <v/>
      </c>
      <c r="BS10" s="1" t="str">
        <f t="shared" si="59"/>
        <v/>
      </c>
      <c r="BT10" s="1" t="str">
        <f t="shared" si="60"/>
        <v/>
      </c>
      <c r="BU10" s="1" t="str">
        <f t="shared" si="61"/>
        <v/>
      </c>
      <c r="BV10" s="64" t="str">
        <f t="shared" si="62"/>
        <v/>
      </c>
      <c r="BW10" s="65" t="str">
        <f t="shared" si="63"/>
        <v/>
      </c>
      <c r="BX10" s="65" t="str">
        <f t="shared" si="64"/>
        <v/>
      </c>
      <c r="BY10" s="1" t="str">
        <f t="shared" si="65"/>
        <v/>
      </c>
      <c r="CA10" s="1" t="b">
        <f t="shared" si="66"/>
        <v>0</v>
      </c>
      <c r="CB10" s="1" t="str">
        <f t="shared" si="67"/>
        <v>microTech</v>
      </c>
      <c r="CC10" s="1" t="str">
        <f t="shared" si="68"/>
        <v/>
      </c>
      <c r="CD10" s="1" t="str">
        <f t="shared" si="69"/>
        <v/>
      </c>
      <c r="CE10" s="1" t="str">
        <f t="shared" si="70"/>
        <v/>
      </c>
      <c r="CF10" s="1" t="str">
        <f t="shared" si="71"/>
        <v/>
      </c>
      <c r="CG10" s="1" t="str">
        <f t="shared" si="72"/>
        <v/>
      </c>
      <c r="CH10" s="1" t="str">
        <f t="shared" si="73"/>
        <v/>
      </c>
      <c r="CI10" s="1" t="str">
        <f t="shared" si="74"/>
        <v/>
      </c>
      <c r="CK10" s="1" t="str">
        <f t="shared" si="75"/>
        <v/>
      </c>
      <c r="CL10" s="1" t="str">
        <f t="shared" si="76"/>
        <v/>
      </c>
      <c r="CM10" s="1" t="str">
        <f t="shared" si="77"/>
        <v/>
      </c>
      <c r="CN10" s="1">
        <f t="shared" si="78"/>
        <v>118</v>
      </c>
      <c r="CO10" s="64">
        <f t="shared" si="79"/>
        <v>56</v>
      </c>
      <c r="CP10" s="66" t="str">
        <f t="shared" si="80"/>
        <v/>
      </c>
      <c r="CQ10" s="66" t="str">
        <f t="shared" si="81"/>
        <v/>
      </c>
      <c r="CR10" s="1" t="str">
        <f t="shared" si="82"/>
        <v/>
      </c>
      <c r="CS10" s="1">
        <f t="shared" si="83"/>
        <v>148</v>
      </c>
    </row>
    <row r="11" customHeight="1" spans="1:97">
      <c r="A11" s="1" t="str">
        <f t="shared" si="3"/>
        <v>Security Post Kareah (Cellin)</v>
      </c>
      <c r="B11" s="54">
        <f t="shared" si="4"/>
        <v>0.156701777171652</v>
      </c>
      <c r="C11" s="55" t="str">
        <f t="shared" si="5"/>
        <v>Morning / Sets in 124m</v>
      </c>
      <c r="D11" s="56">
        <f t="shared" si="6"/>
        <v>45683.8263554754</v>
      </c>
      <c r="E11" s="56">
        <f t="shared" si="7"/>
        <v>45683.7976405942</v>
      </c>
      <c r="F11" s="55" t="str">
        <f t="shared" si="8"/>
        <v>Below Horizon Rises in 20m at 17:24</v>
      </c>
      <c r="I11" s="55" t="str">
        <f t="shared" si="9"/>
        <v>Conjunction - Opposition in 143m at 19:27</v>
      </c>
      <c r="U11" s="1" t="str">
        <f t="shared" si="10"/>
        <v>Cellin R00</v>
      </c>
      <c r="V11" s="1">
        <f t="shared" si="11"/>
        <v>4.4499998</v>
      </c>
      <c r="W11" s="1">
        <f t="shared" si="12"/>
        <v>1.34831466733999</v>
      </c>
      <c r="X11" s="1">
        <f t="shared" si="13"/>
        <v>0.185416658333333</v>
      </c>
      <c r="Y11" s="1">
        <f t="shared" si="14"/>
        <v>9992.15263385456</v>
      </c>
      <c r="Z11" s="1">
        <f t="shared" si="15"/>
        <v>300.264786541541</v>
      </c>
      <c r="AA11" s="1">
        <f t="shared" si="16"/>
        <v>4.78702581849308</v>
      </c>
      <c r="AB11" s="1">
        <f t="shared" si="17"/>
        <v>114.683401098425</v>
      </c>
      <c r="AC11" s="1">
        <f t="shared" si="18"/>
        <v>-18987611.1192333</v>
      </c>
      <c r="AD11" s="1">
        <f t="shared" si="19"/>
        <v>-2709009.66070514</v>
      </c>
      <c r="AE11" s="1">
        <f t="shared" si="20"/>
        <v>0</v>
      </c>
      <c r="AF11" s="1">
        <f t="shared" si="21"/>
        <v>260</v>
      </c>
      <c r="AG11" s="1">
        <f t="shared" si="22"/>
        <v>380.53</v>
      </c>
      <c r="AH11" s="1">
        <f t="shared" si="23"/>
        <v>1</v>
      </c>
      <c r="AI11" s="1">
        <f t="shared" si="24"/>
        <v>0</v>
      </c>
      <c r="AJ11" s="1">
        <f t="shared" si="25"/>
        <v>0</v>
      </c>
      <c r="AK11" s="1">
        <f t="shared" si="26"/>
        <v>0</v>
      </c>
      <c r="AL11" s="61">
        <f t="shared" si="27"/>
        <v>19123660.9887842</v>
      </c>
      <c r="AM11" s="61">
        <f t="shared" si="28"/>
        <v>4003437.06048134</v>
      </c>
      <c r="AN11" s="61">
        <f t="shared" si="29"/>
        <v>2923345.3678455</v>
      </c>
      <c r="AO11" s="1">
        <f t="shared" si="30"/>
        <v>281.823814266121</v>
      </c>
      <c r="AP11" s="1">
        <f t="shared" si="31"/>
        <v>8.5095782913475</v>
      </c>
      <c r="AQ11" s="1">
        <f t="shared" si="32"/>
        <v>-73.3891599153859</v>
      </c>
      <c r="AR11" s="1">
        <f t="shared" si="33"/>
        <v>2.01896703303028</v>
      </c>
      <c r="AS11" s="61">
        <f t="shared" si="34"/>
        <v>41449696.3717179</v>
      </c>
      <c r="AT11" s="61">
        <f t="shared" si="35"/>
        <v>39894754.6255352</v>
      </c>
      <c r="AU11" s="61">
        <f t="shared" si="36"/>
        <v>0</v>
      </c>
      <c r="AV11" s="1">
        <f t="shared" si="37"/>
        <v>313.904894565289</v>
      </c>
      <c r="AW11" s="1">
        <f t="shared" si="38"/>
        <v>0</v>
      </c>
      <c r="AX11" s="1">
        <f t="shared" si="39"/>
        <v>-41.3080796162179</v>
      </c>
      <c r="AY11" s="1">
        <f t="shared" si="40"/>
        <v>0.000995933557714378</v>
      </c>
      <c r="AZ11" s="56">
        <f t="shared" si="41"/>
        <v>45683.7192897056</v>
      </c>
      <c r="BA11" s="1" t="s">
        <v>366</v>
      </c>
      <c r="BB11" s="2">
        <f t="shared" si="42"/>
        <v>11.620356800079</v>
      </c>
      <c r="BC11" s="2">
        <f t="shared" si="43"/>
        <v>-419.839422159672</v>
      </c>
      <c r="BD11" s="2">
        <f t="shared" si="44"/>
        <v>200</v>
      </c>
      <c r="BE11" s="1">
        <f t="shared" si="45"/>
        <v>25.4633341501917</v>
      </c>
      <c r="BF11" s="1">
        <f t="shared" si="46"/>
        <v>-88.4145665541</v>
      </c>
      <c r="BG11" s="1">
        <f t="shared" si="47"/>
        <v>271.5854334459</v>
      </c>
      <c r="BH11" s="1">
        <f t="shared" si="48"/>
        <v>205.188320029134</v>
      </c>
      <c r="BI11" s="1">
        <f t="shared" si="49"/>
        <v>56.0193124834137</v>
      </c>
      <c r="BJ11" s="2">
        <f t="shared" si="50"/>
        <v>0</v>
      </c>
      <c r="BK11" s="2">
        <f t="shared" si="51"/>
        <v>0</v>
      </c>
      <c r="BL11" s="1">
        <f t="shared" si="52"/>
        <v>152.123979282322</v>
      </c>
      <c r="BM11" s="1">
        <f t="shared" si="53"/>
        <v>15.0254066387141</v>
      </c>
      <c r="BN11" s="1">
        <f t="shared" si="54"/>
        <v>73.045850720841</v>
      </c>
      <c r="BO11" s="1">
        <f t="shared" si="55"/>
        <v>137</v>
      </c>
      <c r="BP11" s="64">
        <f t="shared" si="56"/>
        <v>71</v>
      </c>
      <c r="BQ11" s="1" t="b">
        <f t="shared" si="57"/>
        <v>1</v>
      </c>
      <c r="BR11" s="1">
        <f t="shared" si="58"/>
        <v>146.020308416971</v>
      </c>
      <c r="BS11" s="1">
        <f t="shared" si="59"/>
        <v>47.1064869378821</v>
      </c>
      <c r="BT11" s="1">
        <f t="shared" si="60"/>
        <v>64.53646666431</v>
      </c>
      <c r="BU11" s="1">
        <f t="shared" si="61"/>
        <v>112</v>
      </c>
      <c r="BV11" s="64">
        <f t="shared" si="62"/>
        <v>44</v>
      </c>
      <c r="BW11" s="65">
        <f t="shared" si="63"/>
        <v>45683.8460223891</v>
      </c>
      <c r="BX11" s="65">
        <f t="shared" si="64"/>
        <v>45683.8110201621</v>
      </c>
      <c r="BY11" s="1" t="b">
        <f t="shared" si="65"/>
        <v>1</v>
      </c>
      <c r="CA11" s="1" t="b">
        <f t="shared" si="66"/>
        <v>1</v>
      </c>
      <c r="CB11" s="1" t="str">
        <f t="shared" si="67"/>
        <v>Cellin</v>
      </c>
      <c r="CC11" s="1">
        <f t="shared" si="68"/>
        <v>-41449696.3717179</v>
      </c>
      <c r="CD11" s="1">
        <f t="shared" si="69"/>
        <v>-39894754.6255352</v>
      </c>
      <c r="CE11" s="1">
        <f t="shared" si="70"/>
        <v>0</v>
      </c>
      <c r="CF11" s="1">
        <f t="shared" si="71"/>
        <v>133.904894565289</v>
      </c>
      <c r="CG11" s="1">
        <f t="shared" si="72"/>
        <v>0</v>
      </c>
      <c r="CH11" s="20">
        <f t="shared" si="73"/>
        <v>157.787997830427</v>
      </c>
      <c r="CI11" s="1">
        <f t="shared" si="74"/>
        <v>0.00025894272499358</v>
      </c>
      <c r="CK11" s="1">
        <f t="shared" si="75"/>
        <v>90.3678082620042</v>
      </c>
      <c r="CL11" s="1">
        <f t="shared" si="76"/>
        <v>118.941763306775</v>
      </c>
      <c r="CM11" s="1">
        <f t="shared" si="77"/>
        <v>41.9568942921216</v>
      </c>
      <c r="CN11" s="1">
        <f t="shared" si="78"/>
        <v>68</v>
      </c>
      <c r="CO11" s="64">
        <f t="shared" si="79"/>
        <v>-20</v>
      </c>
      <c r="CP11" s="66">
        <f t="shared" si="80"/>
        <v>45683.725176469</v>
      </c>
      <c r="CQ11" s="66">
        <f t="shared" si="81"/>
        <v>45683.8113605803</v>
      </c>
      <c r="CR11" s="1" t="b">
        <f t="shared" si="82"/>
        <v>0</v>
      </c>
      <c r="CS11" s="1" t="str">
        <f t="shared" si="83"/>
        <v/>
      </c>
    </row>
    <row r="12" customHeight="1" spans="1:97">
      <c r="A12" s="1" t="str">
        <f t="shared" si="3"/>
        <v>TPF (Daymar)</v>
      </c>
      <c r="B12" s="54">
        <f t="shared" si="4"/>
        <v>0.0483054633576464</v>
      </c>
      <c r="C12" s="55" t="str">
        <f t="shared" si="5"/>
        <v>Afternoon / Sets in 8m</v>
      </c>
      <c r="D12" s="56">
        <f t="shared" si="6"/>
        <v>45683.7723659363</v>
      </c>
      <c r="E12" s="56">
        <f t="shared" si="7"/>
        <v>45683.7173380663</v>
      </c>
      <c r="F12" s="55" t="str">
        <f t="shared" si="8"/>
        <v>Below Horizon Rises in 20m at 17:24</v>
      </c>
      <c r="I12" s="55" t="str">
        <f t="shared" si="9"/>
        <v>Conjunction - Opposition in 24m at 17:29</v>
      </c>
      <c r="U12" s="1" t="str">
        <f t="shared" si="10"/>
        <v>Daymar R00</v>
      </c>
      <c r="V12" s="1">
        <f t="shared" si="11"/>
        <v>2.48</v>
      </c>
      <c r="W12" s="1">
        <f t="shared" si="12"/>
        <v>2.41935483870968</v>
      </c>
      <c r="X12" s="1">
        <f t="shared" si="13"/>
        <v>0.103333333333333</v>
      </c>
      <c r="Y12" s="1">
        <f t="shared" si="14"/>
        <v>17929.4666218638</v>
      </c>
      <c r="Z12" s="1">
        <f t="shared" si="15"/>
        <v>97.9266280127811</v>
      </c>
      <c r="AA12" s="1">
        <f t="shared" si="16"/>
        <v>94.0895010056667</v>
      </c>
      <c r="AB12" s="1">
        <f t="shared" si="17"/>
        <v>70.0572429687711</v>
      </c>
      <c r="AC12" s="1">
        <f t="shared" si="18"/>
        <v>-18930539.5395348</v>
      </c>
      <c r="AD12" s="1">
        <f t="shared" si="19"/>
        <v>-2610158.76549855</v>
      </c>
      <c r="AE12" s="1">
        <f t="shared" si="20"/>
        <v>0</v>
      </c>
      <c r="AF12" s="1">
        <f t="shared" si="21"/>
        <v>295</v>
      </c>
      <c r="AG12" s="1">
        <f t="shared" si="22"/>
        <v>430.028</v>
      </c>
      <c r="AH12" s="1">
        <f t="shared" si="23"/>
        <v>1</v>
      </c>
      <c r="AI12" s="1">
        <f t="shared" si="24"/>
        <v>0</v>
      </c>
      <c r="AJ12" s="1">
        <f t="shared" si="25"/>
        <v>0</v>
      </c>
      <c r="AK12" s="1">
        <f t="shared" si="26"/>
        <v>0</v>
      </c>
      <c r="AL12" s="61">
        <f t="shared" si="27"/>
        <v>19066589.4090857</v>
      </c>
      <c r="AM12" s="61">
        <f t="shared" si="28"/>
        <v>3904586.16527475</v>
      </c>
      <c r="AN12" s="61">
        <f t="shared" si="29"/>
        <v>2923345.3678455</v>
      </c>
      <c r="AO12" s="1">
        <f t="shared" si="30"/>
        <v>281.573403885357</v>
      </c>
      <c r="AP12" s="1">
        <f t="shared" si="31"/>
        <v>8.54228846009013</v>
      </c>
      <c r="AQ12" s="1">
        <f t="shared" si="32"/>
        <v>15.6629048910237</v>
      </c>
      <c r="AR12" s="1">
        <f t="shared" si="33"/>
        <v>2.02667351989085</v>
      </c>
      <c r="AS12" s="61">
        <f t="shared" si="34"/>
        <v>41392624.7920194</v>
      </c>
      <c r="AT12" s="61">
        <f t="shared" si="35"/>
        <v>39795903.7303286</v>
      </c>
      <c r="AU12" s="61">
        <f t="shared" si="36"/>
        <v>0</v>
      </c>
      <c r="AV12" s="1">
        <f t="shared" si="37"/>
        <v>313.873318838734</v>
      </c>
      <c r="AW12" s="1">
        <f t="shared" si="38"/>
        <v>0</v>
      </c>
      <c r="AX12" s="1">
        <f t="shared" si="39"/>
        <v>47.9628198444007</v>
      </c>
      <c r="AY12" s="1">
        <f t="shared" si="40"/>
        <v>0.000997835583545843</v>
      </c>
      <c r="AZ12" s="56">
        <f t="shared" si="41"/>
        <v>45683.7965186679</v>
      </c>
      <c r="BA12" s="1" t="s">
        <v>367</v>
      </c>
      <c r="BB12" s="2">
        <f t="shared" si="42"/>
        <v>37.24823997</v>
      </c>
      <c r="BC12" s="2">
        <f t="shared" si="43"/>
        <v>203.87655616</v>
      </c>
      <c r="BD12" s="2">
        <f t="shared" si="44"/>
        <v>-209.981122536</v>
      </c>
      <c r="BE12" s="1">
        <f t="shared" si="45"/>
        <v>-45.3748698023995</v>
      </c>
      <c r="BF12" s="1">
        <f t="shared" si="46"/>
        <v>79.6462553152918</v>
      </c>
      <c r="BG12" s="1">
        <f t="shared" si="47"/>
        <v>79.6462553152918</v>
      </c>
      <c r="BH12" s="1">
        <f t="shared" si="48"/>
        <v>0.0341562497518453</v>
      </c>
      <c r="BI12" s="1">
        <f t="shared" si="49"/>
        <v>0.871847972151165</v>
      </c>
      <c r="BJ12" s="2">
        <f t="shared" si="50"/>
        <v>0</v>
      </c>
      <c r="BK12" s="2">
        <f t="shared" si="51"/>
        <v>0</v>
      </c>
      <c r="BL12" s="1">
        <f t="shared" si="52"/>
        <v>84.145000687513</v>
      </c>
      <c r="BM12" s="1">
        <f t="shared" si="53"/>
        <v>-63.9833504242681</v>
      </c>
      <c r="BN12" s="1">
        <f t="shared" si="54"/>
        <v>36.0821475752991</v>
      </c>
      <c r="BO12" s="1">
        <f t="shared" si="55"/>
        <v>295</v>
      </c>
      <c r="BP12" s="64">
        <f t="shared" si="56"/>
        <v>16</v>
      </c>
      <c r="BQ12" s="1" t="b">
        <f t="shared" si="57"/>
        <v>1</v>
      </c>
      <c r="BR12" s="1">
        <f t="shared" si="58"/>
        <v>90.8728458077347</v>
      </c>
      <c r="BS12" s="1">
        <f t="shared" si="59"/>
        <v>-31.683435470891</v>
      </c>
      <c r="BT12" s="1">
        <f t="shared" si="60"/>
        <v>44.6249206712606</v>
      </c>
      <c r="BU12" s="1">
        <f t="shared" si="61"/>
        <v>319</v>
      </c>
      <c r="BV12" s="64">
        <f t="shared" si="62"/>
        <v>38</v>
      </c>
      <c r="BW12" s="65">
        <f t="shared" si="63"/>
        <v>45683.7797060674</v>
      </c>
      <c r="BX12" s="65">
        <f t="shared" si="64"/>
        <v>45683.7285404789</v>
      </c>
      <c r="BY12" s="1" t="b">
        <f t="shared" si="65"/>
        <v>1</v>
      </c>
      <c r="CA12" s="1" t="b">
        <f t="shared" si="66"/>
        <v>1</v>
      </c>
      <c r="CB12" s="1" t="str">
        <f t="shared" si="67"/>
        <v>Daymar</v>
      </c>
      <c r="CC12" s="1">
        <f t="shared" si="68"/>
        <v>-41392624.7920194</v>
      </c>
      <c r="CD12" s="1">
        <f t="shared" si="69"/>
        <v>-39795903.7303286</v>
      </c>
      <c r="CE12" s="1">
        <f t="shared" si="70"/>
        <v>0</v>
      </c>
      <c r="CF12" s="1">
        <f t="shared" si="71"/>
        <v>133.873318838734</v>
      </c>
      <c r="CG12" s="1">
        <f t="shared" si="72"/>
        <v>0</v>
      </c>
      <c r="CH12" s="20">
        <f t="shared" si="73"/>
        <v>157.756422103872</v>
      </c>
      <c r="CI12" s="1">
        <f t="shared" si="74"/>
        <v>0.000294361497132439</v>
      </c>
      <c r="CK12" s="1">
        <f t="shared" si="75"/>
        <v>90.3678436807763</v>
      </c>
      <c r="CL12" s="1">
        <f t="shared" si="76"/>
        <v>118.91018758022</v>
      </c>
      <c r="CM12" s="1">
        <f t="shared" si="77"/>
        <v>41.9568928778583</v>
      </c>
      <c r="CN12" s="1">
        <f t="shared" si="78"/>
        <v>68</v>
      </c>
      <c r="CO12" s="64">
        <f t="shared" si="79"/>
        <v>-20</v>
      </c>
      <c r="CP12" s="66">
        <f t="shared" si="80"/>
        <v>45683.7251613951</v>
      </c>
      <c r="CQ12" s="66">
        <f t="shared" si="81"/>
        <v>45683.8113455403</v>
      </c>
      <c r="CR12" s="1" t="b">
        <f t="shared" si="82"/>
        <v>0</v>
      </c>
      <c r="CS12" s="1" t="str">
        <f t="shared" si="83"/>
        <v/>
      </c>
    </row>
    <row r="13" customHeight="1" spans="1:97">
      <c r="A13" s="1" t="str">
        <f t="shared" si="3"/>
        <v>Grim HEX (Yela)</v>
      </c>
      <c r="B13" s="54">
        <f t="shared" si="4"/>
        <v>0.0652345034404369</v>
      </c>
      <c r="C13" s="55" t="str">
        <f t="shared" si="5"/>
        <v>Morning / Sets in 76m</v>
      </c>
      <c r="D13" s="56">
        <f t="shared" si="6"/>
        <v>45683.7752439921</v>
      </c>
      <c r="E13" s="56">
        <f t="shared" si="7"/>
        <v>45683.7646451581</v>
      </c>
      <c r="F13" s="55" t="str">
        <f t="shared" si="8"/>
        <v>Below Horizon Rises in 20m at 17:24</v>
      </c>
      <c r="I13" s="55" t="str">
        <f t="shared" si="9"/>
        <v>Conjunction - Opposition in 86m at 18:30</v>
      </c>
      <c r="U13" s="1" t="str">
        <f t="shared" si="10"/>
        <v>Yela R00</v>
      </c>
      <c r="V13" s="1">
        <f t="shared" si="11"/>
        <v>1.8200001</v>
      </c>
      <c r="W13" s="1">
        <f t="shared" si="12"/>
        <v>3.29670311556576</v>
      </c>
      <c r="X13" s="1">
        <f t="shared" si="13"/>
        <v>0.0758333375</v>
      </c>
      <c r="Y13" s="1">
        <f t="shared" si="14"/>
        <v>24431.3597687287</v>
      </c>
      <c r="Z13" s="1">
        <f t="shared" si="15"/>
        <v>268.80398404542</v>
      </c>
      <c r="AA13" s="1">
        <f t="shared" si="16"/>
        <v>321.679273630385</v>
      </c>
      <c r="AB13" s="1">
        <f t="shared" si="17"/>
        <v>220.712758278775</v>
      </c>
      <c r="AC13" s="1">
        <f t="shared" si="18"/>
        <v>-19022916.7989273</v>
      </c>
      <c r="AD13" s="1">
        <f t="shared" si="19"/>
        <v>-2613996.15199846</v>
      </c>
      <c r="AE13" s="1">
        <f t="shared" si="20"/>
        <v>0</v>
      </c>
      <c r="AF13" s="1">
        <f t="shared" si="21"/>
        <v>313</v>
      </c>
      <c r="AG13" s="1">
        <f t="shared" si="22"/>
        <v>455.483</v>
      </c>
      <c r="AH13" s="1">
        <f t="shared" si="23"/>
        <v>1</v>
      </c>
      <c r="AI13" s="1">
        <f t="shared" si="24"/>
        <v>0</v>
      </c>
      <c r="AJ13" s="1">
        <f t="shared" si="25"/>
        <v>0</v>
      </c>
      <c r="AK13" s="1">
        <f t="shared" si="26"/>
        <v>0</v>
      </c>
      <c r="AL13" s="61">
        <f t="shared" si="27"/>
        <v>19158966.6684782</v>
      </c>
      <c r="AM13" s="61">
        <f t="shared" si="28"/>
        <v>3908423.55177466</v>
      </c>
      <c r="AN13" s="61">
        <f t="shared" si="29"/>
        <v>2923345.3678455</v>
      </c>
      <c r="AO13" s="1">
        <f t="shared" si="30"/>
        <v>281.530114171322</v>
      </c>
      <c r="AP13" s="1">
        <f t="shared" si="31"/>
        <v>8.50299793988216</v>
      </c>
      <c r="AQ13" s="1">
        <f t="shared" si="32"/>
        <v>-116.790612198293</v>
      </c>
      <c r="AR13" s="1">
        <f t="shared" si="33"/>
        <v>2.01741663283927</v>
      </c>
      <c r="AS13" s="61">
        <f t="shared" si="34"/>
        <v>41485002.0514119</v>
      </c>
      <c r="AT13" s="61">
        <f t="shared" si="35"/>
        <v>39799741.1168286</v>
      </c>
      <c r="AU13" s="61">
        <f t="shared" si="36"/>
        <v>0</v>
      </c>
      <c r="AV13" s="1">
        <f t="shared" si="37"/>
        <v>313.812267793984</v>
      </c>
      <c r="AW13" s="1">
        <f t="shared" si="38"/>
        <v>0</v>
      </c>
      <c r="AX13" s="1">
        <f t="shared" si="39"/>
        <v>-84.5084585756306</v>
      </c>
      <c r="AY13" s="1">
        <f t="shared" si="40"/>
        <v>0.000996633019893763</v>
      </c>
      <c r="AZ13" s="56">
        <f t="shared" si="41"/>
        <v>45683.7320279063</v>
      </c>
      <c r="BA13" s="1" t="s">
        <v>368</v>
      </c>
      <c r="BB13" s="2">
        <f t="shared" si="42"/>
        <v>-568.6586875</v>
      </c>
      <c r="BC13" s="2">
        <f t="shared" si="43"/>
        <v>383.56525</v>
      </c>
      <c r="BD13" s="2">
        <f t="shared" si="44"/>
        <v>-2.042</v>
      </c>
      <c r="BE13" s="1">
        <f t="shared" si="45"/>
        <v>-0.170568794135206</v>
      </c>
      <c r="BF13" s="1">
        <f t="shared" si="46"/>
        <v>145.99999154425</v>
      </c>
      <c r="BG13" s="1">
        <f t="shared" si="47"/>
        <v>145.99999154425</v>
      </c>
      <c r="BH13" s="1">
        <f t="shared" si="48"/>
        <v>372.929423221358</v>
      </c>
      <c r="BI13" s="1">
        <f t="shared" si="49"/>
        <v>62.8504135734807</v>
      </c>
      <c r="BJ13" s="2">
        <f t="shared" si="50"/>
        <v>0</v>
      </c>
      <c r="BK13" s="2">
        <f t="shared" si="51"/>
        <v>0</v>
      </c>
      <c r="BL13" s="1">
        <f t="shared" si="52"/>
        <v>154.842329328821</v>
      </c>
      <c r="BM13" s="1">
        <f t="shared" si="53"/>
        <v>97.2093962574573</v>
      </c>
      <c r="BN13" s="1">
        <f t="shared" si="54"/>
        <v>81.326133482035</v>
      </c>
      <c r="BO13" s="1">
        <f t="shared" si="55"/>
        <v>81</v>
      </c>
      <c r="BP13" s="64">
        <f t="shared" si="56"/>
        <v>-10</v>
      </c>
      <c r="BQ13" s="1" t="b">
        <f t="shared" si="57"/>
        <v>1</v>
      </c>
      <c r="BR13" s="1">
        <f t="shared" si="58"/>
        <v>152.851410206501</v>
      </c>
      <c r="BS13" s="1">
        <f t="shared" si="59"/>
        <v>129.491549880119</v>
      </c>
      <c r="BT13" s="1">
        <f t="shared" si="60"/>
        <v>89.8294291899617</v>
      </c>
      <c r="BU13" s="1">
        <f t="shared" si="61"/>
        <v>90</v>
      </c>
      <c r="BV13" s="64">
        <f t="shared" si="62"/>
        <v>-57</v>
      </c>
      <c r="BW13" s="65">
        <f t="shared" si="63"/>
        <v>45683.7824635518</v>
      </c>
      <c r="BX13" s="65">
        <f t="shared" si="64"/>
        <v>45683.7710259509</v>
      </c>
      <c r="BY13" s="1" t="b">
        <f t="shared" si="65"/>
        <v>1</v>
      </c>
      <c r="CA13" s="1" t="b">
        <f t="shared" si="66"/>
        <v>1</v>
      </c>
      <c r="CB13" s="1" t="str">
        <f t="shared" si="67"/>
        <v>Yela</v>
      </c>
      <c r="CC13" s="1">
        <f t="shared" si="68"/>
        <v>-41485002.0514119</v>
      </c>
      <c r="CD13" s="1">
        <f t="shared" si="69"/>
        <v>-39799741.1168286</v>
      </c>
      <c r="CE13" s="1">
        <f t="shared" si="70"/>
        <v>0</v>
      </c>
      <c r="CF13" s="1">
        <f t="shared" si="71"/>
        <v>133.812267793984</v>
      </c>
      <c r="CG13" s="1">
        <f t="shared" si="72"/>
        <v>0</v>
      </c>
      <c r="CH13" s="20">
        <f t="shared" si="73"/>
        <v>157.695371059122</v>
      </c>
      <c r="CI13" s="1">
        <f t="shared" si="74"/>
        <v>0.000311946135212558</v>
      </c>
      <c r="CK13" s="1">
        <f t="shared" si="75"/>
        <v>90.3678612654144</v>
      </c>
      <c r="CL13" s="1">
        <f t="shared" si="76"/>
        <v>118.84913653547</v>
      </c>
      <c r="CM13" s="1">
        <f t="shared" si="77"/>
        <v>41.9568937722042</v>
      </c>
      <c r="CN13" s="1">
        <f t="shared" si="78"/>
        <v>68</v>
      </c>
      <c r="CO13" s="64">
        <f t="shared" si="79"/>
        <v>-20</v>
      </c>
      <c r="CP13" s="66">
        <f t="shared" si="80"/>
        <v>45683.7251322744</v>
      </c>
      <c r="CQ13" s="66">
        <f t="shared" si="81"/>
        <v>45683.8113164363</v>
      </c>
      <c r="CR13" s="1" t="b">
        <f t="shared" si="82"/>
        <v>0</v>
      </c>
      <c r="CS13" s="1" t="str">
        <f t="shared" si="83"/>
        <v/>
      </c>
    </row>
    <row r="14" customHeight="1" spans="1:97">
      <c r="A14" s="1" t="s">
        <v>369</v>
      </c>
      <c r="B14" s="55" t="s">
        <v>370</v>
      </c>
      <c r="C14" s="55" t="s">
        <v>121</v>
      </c>
      <c r="D14" s="55" t="s">
        <v>371</v>
      </c>
      <c r="E14" s="55" t="s">
        <v>371</v>
      </c>
      <c r="F14" s="55" t="str">
        <f t="shared" si="8"/>
        <v>Below Horizon Rises in 40m at 17:44</v>
      </c>
      <c r="I14" s="57"/>
      <c r="J14" s="57"/>
      <c r="K14" s="57"/>
      <c r="U14" s="1" t="s">
        <v>372</v>
      </c>
      <c r="AC14" s="1">
        <f t="shared" si="18"/>
        <v>11565411.328</v>
      </c>
      <c r="AD14" s="1">
        <f t="shared" si="19"/>
        <v>0</v>
      </c>
      <c r="AE14" s="1">
        <f t="shared" si="20"/>
        <v>0</v>
      </c>
      <c r="AH14" s="1">
        <f t="shared" si="23"/>
        <v>1</v>
      </c>
      <c r="AI14" s="1">
        <f t="shared" si="24"/>
        <v>0</v>
      </c>
      <c r="AJ14" s="1">
        <f t="shared" si="25"/>
        <v>0</v>
      </c>
      <c r="AK14" s="1">
        <f t="shared" si="26"/>
        <v>0</v>
      </c>
      <c r="AS14" s="62">
        <f t="shared" si="34"/>
        <v>10896673.9244846</v>
      </c>
      <c r="AT14" s="62">
        <f t="shared" si="35"/>
        <v>37185744.9648301</v>
      </c>
      <c r="AU14" s="62">
        <f t="shared" si="36"/>
        <v>0</v>
      </c>
      <c r="AV14" s="3">
        <f t="shared" si="37"/>
        <v>343.667640864637</v>
      </c>
      <c r="AW14" s="3">
        <f t="shared" si="38"/>
        <v>0</v>
      </c>
      <c r="AX14" s="3">
        <f t="shared" si="39"/>
        <v>-16.3323591353627</v>
      </c>
      <c r="AY14" s="3">
        <f t="shared" si="40"/>
        <v>0.00147862309980784</v>
      </c>
      <c r="AZ14" s="63" t="str">
        <f t="shared" si="41"/>
        <v/>
      </c>
      <c r="BA14" s="1" t="s">
        <v>372</v>
      </c>
      <c r="CA14" s="1" t="b">
        <f t="shared" si="66"/>
        <v>1</v>
      </c>
      <c r="CB14" s="1" t="str">
        <f t="shared" si="67"/>
        <v>HUR-L1</v>
      </c>
      <c r="CC14" s="1">
        <f t="shared" si="68"/>
        <v>-10896673.9244846</v>
      </c>
      <c r="CD14" s="1">
        <f t="shared" si="69"/>
        <v>-37185744.9648301</v>
      </c>
      <c r="CE14" s="1">
        <f t="shared" si="70"/>
        <v>0</v>
      </c>
      <c r="CF14" s="1">
        <f t="shared" si="71"/>
        <v>163.667640864637</v>
      </c>
      <c r="CG14" s="1">
        <f t="shared" si="72"/>
        <v>0</v>
      </c>
      <c r="CH14" s="20">
        <f t="shared" si="73"/>
        <v>-172.449255870225</v>
      </c>
      <c r="CI14" s="1">
        <f t="shared" si="74"/>
        <v>0</v>
      </c>
      <c r="CK14" s="1">
        <f t="shared" si="75"/>
        <v>90.3675493192792</v>
      </c>
      <c r="CL14" s="1">
        <f t="shared" si="76"/>
        <v>148.704509606123</v>
      </c>
      <c r="CM14" s="1">
        <f t="shared" si="77"/>
        <v>41.9565353268852</v>
      </c>
      <c r="CN14" s="1">
        <f t="shared" si="78"/>
        <v>39</v>
      </c>
      <c r="CO14" s="64">
        <f t="shared" si="79"/>
        <v>-36</v>
      </c>
      <c r="CP14" s="66">
        <f t="shared" si="80"/>
        <v>45683.7393690128</v>
      </c>
      <c r="CQ14" s="66">
        <f t="shared" si="81"/>
        <v>45683.8255528772</v>
      </c>
      <c r="CR14" s="1" t="b">
        <f t="shared" si="82"/>
        <v>0</v>
      </c>
      <c r="CS14" s="1" t="str">
        <f t="shared" si="83"/>
        <v/>
      </c>
    </row>
    <row r="15" customHeight="1" spans="1:97">
      <c r="A15" s="1" t="s">
        <v>373</v>
      </c>
      <c r="B15" s="55" t="s">
        <v>370</v>
      </c>
      <c r="C15" s="55" t="s">
        <v>121</v>
      </c>
      <c r="D15" s="55" t="s">
        <v>371</v>
      </c>
      <c r="E15" s="55" t="s">
        <v>371</v>
      </c>
      <c r="F15" s="55" t="str">
        <f t="shared" si="8"/>
        <v>Below Horizon Rises in 43m at 17:47</v>
      </c>
      <c r="I15" s="57"/>
      <c r="J15" s="57"/>
      <c r="K15" s="57"/>
      <c r="U15" s="1" t="s">
        <v>374</v>
      </c>
      <c r="AC15" s="1">
        <f t="shared" si="18"/>
        <v>14135502.848</v>
      </c>
      <c r="AD15" s="1">
        <f t="shared" si="19"/>
        <v>0</v>
      </c>
      <c r="AE15" s="1">
        <f t="shared" si="20"/>
        <v>0</v>
      </c>
      <c r="AH15" s="1">
        <f t="shared" si="23"/>
        <v>1</v>
      </c>
      <c r="AI15" s="1">
        <f t="shared" si="24"/>
        <v>0</v>
      </c>
      <c r="AJ15" s="1">
        <f t="shared" si="25"/>
        <v>0</v>
      </c>
      <c r="AK15" s="1">
        <f t="shared" si="26"/>
        <v>0</v>
      </c>
      <c r="BA15" s="1" t="s">
        <v>374</v>
      </c>
      <c r="CA15" s="1" t="b">
        <f t="shared" si="66"/>
        <v>1</v>
      </c>
      <c r="CB15" s="1" t="str">
        <f t="shared" si="67"/>
        <v>HUR-L2</v>
      </c>
      <c r="CC15" s="1">
        <f t="shared" si="68"/>
        <v>-8326582.4044846</v>
      </c>
      <c r="CD15" s="1">
        <f t="shared" si="69"/>
        <v>-37185744.9648301</v>
      </c>
      <c r="CE15" s="1">
        <f t="shared" si="70"/>
        <v>0</v>
      </c>
      <c r="CF15" s="1">
        <f t="shared" si="71"/>
        <v>167.378600643227</v>
      </c>
      <c r="CG15" s="1">
        <f t="shared" si="72"/>
        <v>0</v>
      </c>
      <c r="CH15" s="20">
        <f t="shared" si="73"/>
        <v>-168.738296091635</v>
      </c>
      <c r="CI15" s="1">
        <f t="shared" si="74"/>
        <v>0</v>
      </c>
      <c r="CK15" s="1">
        <f t="shared" si="75"/>
        <v>90.3675493192792</v>
      </c>
      <c r="CL15" s="1">
        <f t="shared" si="76"/>
        <v>152.415469384713</v>
      </c>
      <c r="CM15" s="1">
        <f t="shared" si="77"/>
        <v>41.9565167770513</v>
      </c>
      <c r="CN15" s="1">
        <f t="shared" si="78"/>
        <v>35</v>
      </c>
      <c r="CO15" s="64">
        <f t="shared" si="79"/>
        <v>-37</v>
      </c>
      <c r="CP15" s="66">
        <f t="shared" si="80"/>
        <v>45683.7411385908</v>
      </c>
      <c r="CQ15" s="66">
        <f t="shared" si="81"/>
        <v>45683.8273224552</v>
      </c>
      <c r="CR15" s="1" t="b">
        <f t="shared" si="82"/>
        <v>0</v>
      </c>
      <c r="CS15" s="1" t="str">
        <f t="shared" si="83"/>
        <v/>
      </c>
    </row>
    <row r="16" customHeight="1" spans="1:97">
      <c r="A16" s="1" t="s">
        <v>375</v>
      </c>
      <c r="B16" s="55" t="s">
        <v>370</v>
      </c>
      <c r="C16" s="55" t="s">
        <v>121</v>
      </c>
      <c r="D16" s="55" t="s">
        <v>371</v>
      </c>
      <c r="E16" s="55" t="s">
        <v>371</v>
      </c>
      <c r="F16" s="55" t="str">
        <f t="shared" si="8"/>
        <v>Below Horizon Rises in 21m at 17:26</v>
      </c>
      <c r="I16" s="57"/>
      <c r="J16" s="57"/>
      <c r="K16" s="57"/>
      <c r="U16" s="1" t="s">
        <v>376</v>
      </c>
      <c r="AC16" s="1">
        <f t="shared" si="18"/>
        <v>-12850457.6</v>
      </c>
      <c r="AD16" s="1">
        <f t="shared" si="19"/>
        <v>-1.12342272899999</v>
      </c>
      <c r="AE16" s="1">
        <f t="shared" si="20"/>
        <v>0</v>
      </c>
      <c r="AH16" s="1">
        <f t="shared" si="23"/>
        <v>1</v>
      </c>
      <c r="AI16" s="1">
        <f t="shared" si="24"/>
        <v>0</v>
      </c>
      <c r="AJ16" s="1">
        <f t="shared" si="25"/>
        <v>0</v>
      </c>
      <c r="AK16" s="1">
        <f t="shared" si="26"/>
        <v>0</v>
      </c>
      <c r="BA16" s="1" t="s">
        <v>376</v>
      </c>
      <c r="CA16" s="1" t="b">
        <f t="shared" si="66"/>
        <v>1</v>
      </c>
      <c r="CB16" s="1" t="str">
        <f t="shared" si="67"/>
        <v>HUR-L3</v>
      </c>
      <c r="CC16" s="1">
        <f t="shared" si="68"/>
        <v>-35312542.8524846</v>
      </c>
      <c r="CD16" s="1">
        <f t="shared" si="69"/>
        <v>-37185746.0882528</v>
      </c>
      <c r="CE16" s="1">
        <f t="shared" si="70"/>
        <v>0</v>
      </c>
      <c r="CF16" s="1">
        <f t="shared" si="71"/>
        <v>136.480073075755</v>
      </c>
      <c r="CG16" s="1">
        <f t="shared" si="72"/>
        <v>0</v>
      </c>
      <c r="CH16" s="20">
        <f t="shared" si="73"/>
        <v>160.363176340893</v>
      </c>
      <c r="CI16" s="1">
        <f t="shared" si="74"/>
        <v>0</v>
      </c>
      <c r="CK16" s="1">
        <f t="shared" si="75"/>
        <v>90.3675493192792</v>
      </c>
      <c r="CL16" s="1">
        <f t="shared" si="76"/>
        <v>121.516941817241</v>
      </c>
      <c r="CM16" s="1">
        <f t="shared" si="77"/>
        <v>41.9568040444373</v>
      </c>
      <c r="CN16" s="1">
        <f t="shared" si="78"/>
        <v>65</v>
      </c>
      <c r="CO16" s="64">
        <f t="shared" si="79"/>
        <v>-22</v>
      </c>
      <c r="CP16" s="66">
        <f t="shared" si="80"/>
        <v>45683.7264045711</v>
      </c>
      <c r="CQ16" s="66">
        <f t="shared" si="81"/>
        <v>45683.8125884355</v>
      </c>
      <c r="CR16" s="1" t="b">
        <f t="shared" si="82"/>
        <v>0</v>
      </c>
      <c r="CS16" s="1" t="str">
        <f t="shared" si="83"/>
        <v/>
      </c>
    </row>
    <row r="17" customHeight="1" spans="1:97">
      <c r="A17" s="1" t="s">
        <v>377</v>
      </c>
      <c r="B17" s="55" t="s">
        <v>370</v>
      </c>
      <c r="C17" s="55" t="s">
        <v>121</v>
      </c>
      <c r="D17" s="55" t="s">
        <v>371</v>
      </c>
      <c r="E17" s="55" t="s">
        <v>371</v>
      </c>
      <c r="F17" s="55" t="str">
        <f t="shared" si="8"/>
        <v>Below Horizon Rises in 30m at 17:34</v>
      </c>
      <c r="I17" s="57"/>
      <c r="J17" s="57"/>
      <c r="K17" s="57"/>
      <c r="U17" s="1" t="s">
        <v>378</v>
      </c>
      <c r="AC17" s="1">
        <f t="shared" si="18"/>
        <v>6425228.288</v>
      </c>
      <c r="AD17" s="1">
        <f t="shared" si="19"/>
        <v>11128823.808</v>
      </c>
      <c r="AE17" s="1">
        <f t="shared" si="20"/>
        <v>0</v>
      </c>
      <c r="AH17" s="1">
        <f t="shared" si="23"/>
        <v>1</v>
      </c>
      <c r="AI17" s="1">
        <f t="shared" si="24"/>
        <v>0</v>
      </c>
      <c r="AJ17" s="1">
        <f t="shared" si="25"/>
        <v>0</v>
      </c>
      <c r="AK17" s="1">
        <f t="shared" si="26"/>
        <v>0</v>
      </c>
      <c r="BA17" s="1" t="s">
        <v>378</v>
      </c>
      <c r="CA17" s="1" t="b">
        <f t="shared" si="66"/>
        <v>1</v>
      </c>
      <c r="CB17" s="1" t="str">
        <f t="shared" si="67"/>
        <v>HUR-L4</v>
      </c>
      <c r="CC17" s="1">
        <f t="shared" si="68"/>
        <v>-16036856.9644846</v>
      </c>
      <c r="CD17" s="1">
        <f t="shared" si="69"/>
        <v>-26056921.1568301</v>
      </c>
      <c r="CE17" s="1">
        <f t="shared" si="70"/>
        <v>0</v>
      </c>
      <c r="CF17" s="1">
        <f t="shared" si="71"/>
        <v>148.389581495399</v>
      </c>
      <c r="CG17" s="1">
        <f t="shared" si="72"/>
        <v>0</v>
      </c>
      <c r="CH17" s="20">
        <f t="shared" si="73"/>
        <v>172.272684760537</v>
      </c>
      <c r="CI17" s="1">
        <f t="shared" si="74"/>
        <v>0</v>
      </c>
      <c r="CK17" s="1">
        <f t="shared" si="75"/>
        <v>90.3675493192792</v>
      </c>
      <c r="CL17" s="1">
        <f t="shared" si="76"/>
        <v>133.426450236885</v>
      </c>
      <c r="CM17" s="1">
        <f t="shared" si="77"/>
        <v>41.9562423132215</v>
      </c>
      <c r="CN17" s="1">
        <f t="shared" si="78"/>
        <v>55</v>
      </c>
      <c r="CO17" s="64">
        <f t="shared" si="79"/>
        <v>-29</v>
      </c>
      <c r="CP17" s="66">
        <f t="shared" si="80"/>
        <v>45683.7320836421</v>
      </c>
      <c r="CQ17" s="66">
        <f t="shared" si="81"/>
        <v>45683.8182675065</v>
      </c>
      <c r="CR17" s="1" t="b">
        <f t="shared" si="82"/>
        <v>0</v>
      </c>
      <c r="CS17" s="1" t="str">
        <f t="shared" si="83"/>
        <v/>
      </c>
    </row>
    <row r="18" customHeight="1" spans="1:97">
      <c r="A18" s="1" t="s">
        <v>379</v>
      </c>
      <c r="B18" s="55" t="s">
        <v>370</v>
      </c>
      <c r="C18" s="55" t="s">
        <v>121</v>
      </c>
      <c r="D18" s="55" t="s">
        <v>371</v>
      </c>
      <c r="E18" s="55" t="s">
        <v>371</v>
      </c>
      <c r="F18" s="55" t="str">
        <f t="shared" si="8"/>
        <v>Below Horizon Rises in 39m at 17:43</v>
      </c>
      <c r="I18" s="57"/>
      <c r="J18" s="57"/>
      <c r="K18" s="57"/>
      <c r="U18" s="1" t="s">
        <v>380</v>
      </c>
      <c r="AC18" s="1">
        <f t="shared" si="18"/>
        <v>6425227.776</v>
      </c>
      <c r="AD18" s="1">
        <f t="shared" si="19"/>
        <v>-11128823.808</v>
      </c>
      <c r="AE18" s="1">
        <f t="shared" si="20"/>
        <v>0</v>
      </c>
      <c r="AH18" s="1">
        <f t="shared" si="23"/>
        <v>1</v>
      </c>
      <c r="AI18" s="1">
        <f t="shared" si="24"/>
        <v>0</v>
      </c>
      <c r="AJ18" s="1">
        <f t="shared" si="25"/>
        <v>0</v>
      </c>
      <c r="AK18" s="1">
        <f t="shared" si="26"/>
        <v>0</v>
      </c>
      <c r="BA18" s="1" t="s">
        <v>380</v>
      </c>
      <c r="CA18" s="1" t="b">
        <f t="shared" si="66"/>
        <v>1</v>
      </c>
      <c r="CB18" s="1" t="str">
        <f t="shared" si="67"/>
        <v>HUR-L5</v>
      </c>
      <c r="CC18" s="1">
        <f t="shared" si="68"/>
        <v>-16036857.4764846</v>
      </c>
      <c r="CD18" s="1">
        <f t="shared" si="69"/>
        <v>-48314568.7728301</v>
      </c>
      <c r="CE18" s="1">
        <f t="shared" si="70"/>
        <v>0</v>
      </c>
      <c r="CF18" s="1">
        <f t="shared" si="71"/>
        <v>161.637656981031</v>
      </c>
      <c r="CG18" s="1">
        <f t="shared" si="72"/>
        <v>0</v>
      </c>
      <c r="CH18" s="20">
        <f t="shared" si="73"/>
        <v>-174.479239753831</v>
      </c>
      <c r="CI18" s="1">
        <f t="shared" si="74"/>
        <v>0</v>
      </c>
      <c r="CK18" s="1">
        <f t="shared" si="75"/>
        <v>90.3675493192792</v>
      </c>
      <c r="CL18" s="1">
        <f t="shared" si="76"/>
        <v>146.674525722517</v>
      </c>
      <c r="CM18" s="1">
        <f t="shared" si="77"/>
        <v>41.9567979307259</v>
      </c>
      <c r="CN18" s="1">
        <f t="shared" si="78"/>
        <v>41</v>
      </c>
      <c r="CO18" s="64">
        <f t="shared" si="79"/>
        <v>-35</v>
      </c>
      <c r="CP18" s="66">
        <f t="shared" si="80"/>
        <v>45683.7384010112</v>
      </c>
      <c r="CQ18" s="66">
        <f t="shared" si="81"/>
        <v>45683.8245848756</v>
      </c>
      <c r="CR18" s="1" t="b">
        <f t="shared" si="82"/>
        <v>0</v>
      </c>
      <c r="CS18" s="1" t="str">
        <f t="shared" si="83"/>
        <v/>
      </c>
    </row>
    <row r="19" customHeight="1" spans="1:97">
      <c r="A19" s="1" t="s">
        <v>381</v>
      </c>
      <c r="B19" s="55" t="s">
        <v>370</v>
      </c>
      <c r="C19" s="55" t="s">
        <v>121</v>
      </c>
      <c r="D19" s="55" t="s">
        <v>371</v>
      </c>
      <c r="E19" s="55" t="s">
        <v>371</v>
      </c>
      <c r="F19" s="55" t="str">
        <f t="shared" si="8"/>
        <v>Below Horizon Rises in 20m at 17:25</v>
      </c>
      <c r="I19" s="57"/>
      <c r="J19" s="57"/>
      <c r="K19" s="57"/>
      <c r="U19" s="1" t="s">
        <v>382</v>
      </c>
      <c r="AC19" s="1">
        <f t="shared" si="18"/>
        <v>-17065957.3759999</v>
      </c>
      <c r="AD19" s="1">
        <f t="shared" si="19"/>
        <v>-2398463.99999998</v>
      </c>
      <c r="AE19" s="1">
        <f t="shared" si="20"/>
        <v>0</v>
      </c>
      <c r="AH19" s="1">
        <f t="shared" si="23"/>
        <v>0.96363044</v>
      </c>
      <c r="AI19" s="1">
        <f t="shared" si="24"/>
        <v>0</v>
      </c>
      <c r="AJ19" s="1">
        <f t="shared" si="25"/>
        <v>0</v>
      </c>
      <c r="AK19" s="1">
        <f t="shared" si="26"/>
        <v>-0.26723838</v>
      </c>
      <c r="BA19" s="1" t="s">
        <v>382</v>
      </c>
      <c r="CA19" s="1" t="b">
        <f t="shared" si="66"/>
        <v>1</v>
      </c>
      <c r="CB19" s="1" t="str">
        <f t="shared" si="67"/>
        <v>CRU-L1</v>
      </c>
      <c r="CC19" s="1">
        <f t="shared" si="68"/>
        <v>-39528042.6284845</v>
      </c>
      <c r="CD19" s="1">
        <f t="shared" si="69"/>
        <v>-39584208.9648301</v>
      </c>
      <c r="CE19" s="1">
        <f t="shared" si="70"/>
        <v>0</v>
      </c>
      <c r="CF19" s="1">
        <f t="shared" si="71"/>
        <v>135.040677561538</v>
      </c>
      <c r="CG19" s="1">
        <f t="shared" si="72"/>
        <v>0</v>
      </c>
      <c r="CH19" s="20">
        <f t="shared" si="73"/>
        <v>158.923780826676</v>
      </c>
      <c r="CI19" s="1">
        <f t="shared" si="74"/>
        <v>0</v>
      </c>
      <c r="CK19" s="1">
        <f t="shared" si="75"/>
        <v>90.3675493192792</v>
      </c>
      <c r="CL19" s="1">
        <f t="shared" si="76"/>
        <v>120.077546303024</v>
      </c>
      <c r="CM19" s="1">
        <f t="shared" si="77"/>
        <v>41.9568732554149</v>
      </c>
      <c r="CN19" s="1">
        <f t="shared" si="78"/>
        <v>67</v>
      </c>
      <c r="CO19" s="64">
        <f t="shared" si="79"/>
        <v>-21</v>
      </c>
      <c r="CP19" s="66">
        <f t="shared" si="80"/>
        <v>45683.7257181927</v>
      </c>
      <c r="CQ19" s="66">
        <f t="shared" si="81"/>
        <v>45683.8119020571</v>
      </c>
      <c r="CR19" s="1" t="b">
        <f t="shared" si="82"/>
        <v>0</v>
      </c>
      <c r="CS19" s="1" t="str">
        <f t="shared" si="83"/>
        <v/>
      </c>
    </row>
    <row r="20" customHeight="1" spans="1:97">
      <c r="A20" s="1" t="s">
        <v>383</v>
      </c>
      <c r="B20" s="55" t="s">
        <v>370</v>
      </c>
      <c r="C20" s="55" t="s">
        <v>121</v>
      </c>
      <c r="D20" s="55" t="s">
        <v>371</v>
      </c>
      <c r="E20" s="55" t="s">
        <v>371</v>
      </c>
      <c r="F20" s="55" t="str">
        <f t="shared" si="8"/>
        <v>Below Horizon Rises in 19m at 17:23</v>
      </c>
      <c r="I20" s="57"/>
      <c r="J20" s="57"/>
      <c r="K20" s="57"/>
      <c r="U20" s="1" t="s">
        <v>384</v>
      </c>
      <c r="AC20" s="1">
        <f t="shared" si="18"/>
        <v>-20858376.4854332</v>
      </c>
      <c r="AD20" s="1">
        <f t="shared" si="19"/>
        <v>-2931474.40205844</v>
      </c>
      <c r="AE20" s="1">
        <f t="shared" si="20"/>
        <v>0</v>
      </c>
      <c r="AH20" s="1">
        <f t="shared" si="23"/>
        <v>0.96363044</v>
      </c>
      <c r="AI20" s="1">
        <f t="shared" si="24"/>
        <v>0</v>
      </c>
      <c r="AJ20" s="1">
        <f t="shared" si="25"/>
        <v>0</v>
      </c>
      <c r="AK20" s="1">
        <f t="shared" si="26"/>
        <v>-0.26723838</v>
      </c>
      <c r="BA20" s="1" t="s">
        <v>384</v>
      </c>
      <c r="CA20" s="1" t="b">
        <f t="shared" si="66"/>
        <v>1</v>
      </c>
      <c r="CB20" s="1" t="str">
        <f t="shared" si="67"/>
        <v>CRU-L2</v>
      </c>
      <c r="CC20" s="1">
        <f t="shared" si="68"/>
        <v>-43320461.7379178</v>
      </c>
      <c r="CD20" s="1">
        <f t="shared" si="69"/>
        <v>-40117219.3668885</v>
      </c>
      <c r="CE20" s="1">
        <f t="shared" si="70"/>
        <v>0</v>
      </c>
      <c r="CF20" s="1">
        <f t="shared" si="71"/>
        <v>132.801446791082</v>
      </c>
      <c r="CG20" s="1">
        <f t="shared" si="72"/>
        <v>0</v>
      </c>
      <c r="CH20" s="20">
        <f t="shared" si="73"/>
        <v>156.68455005622</v>
      </c>
      <c r="CI20" s="1">
        <f t="shared" si="74"/>
        <v>0</v>
      </c>
      <c r="CK20" s="1">
        <f t="shared" si="75"/>
        <v>90.3675493192792</v>
      </c>
      <c r="CL20" s="1">
        <f t="shared" si="76"/>
        <v>117.838315532568</v>
      </c>
      <c r="CM20" s="1">
        <f t="shared" si="77"/>
        <v>41.9569132728017</v>
      </c>
      <c r="CN20" s="1">
        <f t="shared" si="78"/>
        <v>69</v>
      </c>
      <c r="CO20" s="64">
        <f t="shared" si="79"/>
        <v>-20</v>
      </c>
      <c r="CP20" s="66">
        <f t="shared" si="80"/>
        <v>45683.7246504113</v>
      </c>
      <c r="CQ20" s="66">
        <f t="shared" si="81"/>
        <v>45683.8108342757</v>
      </c>
      <c r="CR20" s="1" t="b">
        <f t="shared" si="82"/>
        <v>0</v>
      </c>
      <c r="CS20" s="1" t="str">
        <f t="shared" si="83"/>
        <v/>
      </c>
    </row>
    <row r="21" customHeight="1" spans="1:97">
      <c r="A21" s="1" t="s">
        <v>385</v>
      </c>
      <c r="B21" s="55" t="s">
        <v>370</v>
      </c>
      <c r="C21" s="55" t="s">
        <v>121</v>
      </c>
      <c r="D21" s="55" t="s">
        <v>371</v>
      </c>
      <c r="E21" s="55" t="s">
        <v>371</v>
      </c>
      <c r="F21" s="55" t="str">
        <f t="shared" si="8"/>
        <v>Below Horizon Rises in 47m at 17:51</v>
      </c>
      <c r="I21" s="57"/>
      <c r="J21" s="57"/>
      <c r="K21" s="57"/>
      <c r="U21" s="1" t="s">
        <v>386</v>
      </c>
      <c r="AC21" s="1">
        <f t="shared" si="18"/>
        <v>18962164.826094</v>
      </c>
      <c r="AD21" s="1">
        <f t="shared" si="19"/>
        <v>2664965.04050172</v>
      </c>
      <c r="AE21" s="1">
        <f t="shared" si="20"/>
        <v>0</v>
      </c>
      <c r="AH21" s="1">
        <f t="shared" si="23"/>
        <v>0.96363044</v>
      </c>
      <c r="AI21" s="1">
        <f t="shared" si="24"/>
        <v>0</v>
      </c>
      <c r="AJ21" s="1">
        <f t="shared" si="25"/>
        <v>0</v>
      </c>
      <c r="AK21" s="1">
        <f t="shared" si="26"/>
        <v>-0.26723838</v>
      </c>
      <c r="BA21" s="1" t="s">
        <v>386</v>
      </c>
      <c r="CA21" s="1" t="b">
        <f t="shared" si="66"/>
        <v>1</v>
      </c>
      <c r="CB21" s="1" t="str">
        <f t="shared" si="67"/>
        <v>CRU-L3</v>
      </c>
      <c r="CC21" s="1">
        <f t="shared" si="68"/>
        <v>-3499920.4263906</v>
      </c>
      <c r="CD21" s="1">
        <f t="shared" si="69"/>
        <v>-34520779.9243284</v>
      </c>
      <c r="CE21" s="1">
        <f t="shared" si="70"/>
        <v>0</v>
      </c>
      <c r="CF21" s="1">
        <f t="shared" si="71"/>
        <v>174.210797538048</v>
      </c>
      <c r="CG21" s="1">
        <f t="shared" si="72"/>
        <v>0</v>
      </c>
      <c r="CH21" s="20">
        <f t="shared" si="73"/>
        <v>-161.906099196814</v>
      </c>
      <c r="CI21" s="1">
        <f t="shared" si="74"/>
        <v>0</v>
      </c>
      <c r="CK21" s="1">
        <f t="shared" si="75"/>
        <v>90.3675493192792</v>
      </c>
      <c r="CL21" s="1">
        <f t="shared" si="76"/>
        <v>159.247666279534</v>
      </c>
      <c r="CM21" s="1">
        <f t="shared" si="77"/>
        <v>41.9564069234403</v>
      </c>
      <c r="CN21" s="1">
        <f t="shared" si="78"/>
        <v>27</v>
      </c>
      <c r="CO21" s="64">
        <f t="shared" si="79"/>
        <v>-39</v>
      </c>
      <c r="CP21" s="66">
        <f t="shared" si="80"/>
        <v>45683.7443965365</v>
      </c>
      <c r="CQ21" s="66">
        <f t="shared" si="81"/>
        <v>45683.8305804008</v>
      </c>
      <c r="CR21" s="1" t="b">
        <f t="shared" si="82"/>
        <v>0</v>
      </c>
      <c r="CS21" s="1" t="str">
        <f t="shared" si="83"/>
        <v/>
      </c>
    </row>
    <row r="22" customHeight="1" spans="1:97">
      <c r="A22" s="1" t="s">
        <v>387</v>
      </c>
      <c r="B22" s="55" t="s">
        <v>370</v>
      </c>
      <c r="C22" s="55" t="s">
        <v>121</v>
      </c>
      <c r="D22" s="55" t="s">
        <v>371</v>
      </c>
      <c r="E22" s="55" t="s">
        <v>371</v>
      </c>
      <c r="F22" s="55" t="str">
        <f t="shared" si="8"/>
        <v>Below Horizon Rises in 32m at 17:36</v>
      </c>
      <c r="I22" s="57"/>
      <c r="J22" s="57"/>
      <c r="K22" s="57"/>
      <c r="U22" s="1" t="s">
        <v>388</v>
      </c>
      <c r="AC22" s="1">
        <f t="shared" si="18"/>
        <v>-7173168.63999999</v>
      </c>
      <c r="AD22" s="1">
        <f t="shared" si="19"/>
        <v>-17754204.16</v>
      </c>
      <c r="AE22" s="1">
        <f t="shared" si="20"/>
        <v>0</v>
      </c>
      <c r="AH22" s="1">
        <f t="shared" si="23"/>
        <v>0.96363044</v>
      </c>
      <c r="AI22" s="1">
        <f t="shared" si="24"/>
        <v>0</v>
      </c>
      <c r="AJ22" s="1">
        <f t="shared" si="25"/>
        <v>0</v>
      </c>
      <c r="AK22" s="1">
        <f t="shared" si="26"/>
        <v>-0.26723838</v>
      </c>
      <c r="BA22" s="1" t="s">
        <v>388</v>
      </c>
      <c r="CA22" s="1" t="b">
        <f t="shared" si="66"/>
        <v>1</v>
      </c>
      <c r="CB22" s="1" t="str">
        <f t="shared" si="67"/>
        <v>CRU-L4</v>
      </c>
      <c r="CC22" s="1">
        <f t="shared" si="68"/>
        <v>-29635253.8924846</v>
      </c>
      <c r="CD22" s="1">
        <f t="shared" si="69"/>
        <v>-54939949.1248301</v>
      </c>
      <c r="CE22" s="1">
        <f t="shared" si="70"/>
        <v>0</v>
      </c>
      <c r="CF22" s="1">
        <f t="shared" si="71"/>
        <v>151.657055247566</v>
      </c>
      <c r="CG22" s="1">
        <f t="shared" si="72"/>
        <v>0</v>
      </c>
      <c r="CH22" s="20">
        <f t="shared" si="73"/>
        <v>175.540158512704</v>
      </c>
      <c r="CI22" s="1">
        <f t="shared" si="74"/>
        <v>0</v>
      </c>
      <c r="CK22" s="1">
        <f t="shared" si="75"/>
        <v>90.3675493192792</v>
      </c>
      <c r="CL22" s="1">
        <f t="shared" si="76"/>
        <v>136.693923989052</v>
      </c>
      <c r="CM22" s="1">
        <f t="shared" si="77"/>
        <v>41.9569523522916</v>
      </c>
      <c r="CN22" s="1">
        <f t="shared" si="78"/>
        <v>52</v>
      </c>
      <c r="CO22" s="64">
        <f t="shared" si="79"/>
        <v>-31</v>
      </c>
      <c r="CP22" s="66">
        <f t="shared" si="80"/>
        <v>45683.7336417429</v>
      </c>
      <c r="CQ22" s="66">
        <f t="shared" si="81"/>
        <v>45683.8198256073</v>
      </c>
      <c r="CR22" s="1" t="b">
        <f t="shared" si="82"/>
        <v>0</v>
      </c>
      <c r="CS22" s="1" t="str">
        <f t="shared" si="83"/>
        <v/>
      </c>
    </row>
    <row r="23" customHeight="1" spans="1:97">
      <c r="A23" s="1" t="s">
        <v>389</v>
      </c>
      <c r="B23" s="55" t="s">
        <v>370</v>
      </c>
      <c r="C23" s="55" t="s">
        <v>121</v>
      </c>
      <c r="D23" s="55" t="s">
        <v>371</v>
      </c>
      <c r="E23" s="55" t="s">
        <v>371</v>
      </c>
      <c r="F23" s="55" t="str">
        <f t="shared" si="8"/>
        <v>Below Horizon Rises in 12m at 17:16</v>
      </c>
      <c r="I23" s="57"/>
      <c r="J23" s="57"/>
      <c r="K23" s="57"/>
      <c r="U23" s="1" t="s">
        <v>390</v>
      </c>
      <c r="AC23" s="1">
        <f t="shared" si="18"/>
        <v>-11789008.9882602</v>
      </c>
      <c r="AD23" s="1">
        <f t="shared" si="19"/>
        <v>15089246.1067637</v>
      </c>
      <c r="AE23" s="1">
        <f t="shared" si="20"/>
        <v>0</v>
      </c>
      <c r="AH23" s="1">
        <f t="shared" si="23"/>
        <v>0.96363044</v>
      </c>
      <c r="AI23" s="1">
        <f t="shared" si="24"/>
        <v>0</v>
      </c>
      <c r="AJ23" s="1">
        <f t="shared" si="25"/>
        <v>0</v>
      </c>
      <c r="AK23" s="1">
        <f t="shared" si="26"/>
        <v>-0.26723838</v>
      </c>
      <c r="BA23" s="1" t="s">
        <v>390</v>
      </c>
      <c r="CA23" s="1" t="b">
        <f t="shared" si="66"/>
        <v>1</v>
      </c>
      <c r="CB23" s="1" t="str">
        <f t="shared" si="67"/>
        <v>CRU-L5</v>
      </c>
      <c r="CC23" s="1">
        <f t="shared" si="68"/>
        <v>-34251094.2407448</v>
      </c>
      <c r="CD23" s="1">
        <f t="shared" si="69"/>
        <v>-22096498.8580664</v>
      </c>
      <c r="CE23" s="1">
        <f t="shared" si="70"/>
        <v>0</v>
      </c>
      <c r="CF23" s="1">
        <f t="shared" si="71"/>
        <v>122.827382694643</v>
      </c>
      <c r="CG23" s="1">
        <f t="shared" si="72"/>
        <v>0</v>
      </c>
      <c r="CH23" s="20">
        <f t="shared" si="73"/>
        <v>146.710485959781</v>
      </c>
      <c r="CI23" s="1">
        <f t="shared" si="74"/>
        <v>0</v>
      </c>
      <c r="CK23" s="1">
        <f t="shared" si="75"/>
        <v>90.3675493192792</v>
      </c>
      <c r="CL23" s="1">
        <f t="shared" si="76"/>
        <v>107.864251436129</v>
      </c>
      <c r="CM23" s="1">
        <f t="shared" si="77"/>
        <v>41.9565895735523</v>
      </c>
      <c r="CN23" s="1">
        <f t="shared" si="78"/>
        <v>77</v>
      </c>
      <c r="CO23" s="64">
        <f t="shared" si="79"/>
        <v>-13</v>
      </c>
      <c r="CP23" s="66">
        <f t="shared" si="80"/>
        <v>45683.7198942605</v>
      </c>
      <c r="CQ23" s="66">
        <f t="shared" si="81"/>
        <v>45683.8060781249</v>
      </c>
      <c r="CR23" s="1" t="b">
        <f t="shared" si="82"/>
        <v>0</v>
      </c>
      <c r="CS23" s="1" t="str">
        <f t="shared" si="83"/>
        <v/>
      </c>
    </row>
    <row r="24" customHeight="1" spans="1:97">
      <c r="A24" s="1" t="s">
        <v>391</v>
      </c>
      <c r="B24" s="55" t="s">
        <v>370</v>
      </c>
      <c r="C24" s="55" t="s">
        <v>121</v>
      </c>
      <c r="D24" s="55" t="s">
        <v>371</v>
      </c>
      <c r="E24" s="55" t="s">
        <v>371</v>
      </c>
      <c r="F24" s="55" t="str">
        <f t="shared" si="8"/>
        <v>Below Horizon Rises in 47m at 17:51</v>
      </c>
      <c r="I24" s="57"/>
      <c r="J24" s="57"/>
      <c r="K24" s="57"/>
      <c r="U24" s="1" t="s">
        <v>392</v>
      </c>
      <c r="AC24" s="1">
        <f t="shared" si="18"/>
        <v>16729134.6373846</v>
      </c>
      <c r="AD24" s="1">
        <f t="shared" si="19"/>
        <v>-19937006.9248913</v>
      </c>
      <c r="AE24" s="1">
        <f t="shared" si="20"/>
        <v>8.076625</v>
      </c>
      <c r="AH24" s="1">
        <f t="shared" si="23"/>
        <v>1</v>
      </c>
      <c r="AI24" s="1">
        <f t="shared" si="24"/>
        <v>0</v>
      </c>
      <c r="AJ24" s="1">
        <f t="shared" si="25"/>
        <v>0</v>
      </c>
      <c r="AK24" s="1">
        <f t="shared" si="26"/>
        <v>0</v>
      </c>
      <c r="BA24" s="1" t="s">
        <v>392</v>
      </c>
      <c r="CA24" s="1" t="b">
        <f t="shared" si="66"/>
        <v>1</v>
      </c>
      <c r="CB24" s="1" t="str">
        <f t="shared" si="67"/>
        <v>ARC-L1</v>
      </c>
      <c r="CC24" s="1">
        <f t="shared" si="68"/>
        <v>-5732950.6151</v>
      </c>
      <c r="CD24" s="1">
        <f t="shared" si="69"/>
        <v>-57122751.8897214</v>
      </c>
      <c r="CE24" s="1">
        <f t="shared" si="70"/>
        <v>8.076625</v>
      </c>
      <c r="CF24" s="1">
        <f t="shared" si="71"/>
        <v>174.268874873419</v>
      </c>
      <c r="CG24" s="1">
        <f t="shared" si="72"/>
        <v>8.05448446978471e-6</v>
      </c>
      <c r="CH24" s="20">
        <f t="shared" si="73"/>
        <v>-161.848021861443</v>
      </c>
      <c r="CI24" s="1">
        <f t="shared" si="74"/>
        <v>0</v>
      </c>
      <c r="CK24" s="1">
        <f t="shared" si="75"/>
        <v>90.3675582780029</v>
      </c>
      <c r="CL24" s="1">
        <f t="shared" si="76"/>
        <v>159.305743614905</v>
      </c>
      <c r="CM24" s="1">
        <f t="shared" si="77"/>
        <v>41.956900798507</v>
      </c>
      <c r="CN24" s="1">
        <f t="shared" si="78"/>
        <v>27</v>
      </c>
      <c r="CO24" s="64">
        <f t="shared" si="79"/>
        <v>-39</v>
      </c>
      <c r="CP24" s="66">
        <f t="shared" si="80"/>
        <v>45683.7444242265</v>
      </c>
      <c r="CQ24" s="66">
        <f t="shared" si="81"/>
        <v>45683.8306080994</v>
      </c>
      <c r="CR24" s="1" t="b">
        <f t="shared" si="82"/>
        <v>0</v>
      </c>
      <c r="CS24" s="1" t="str">
        <f t="shared" si="83"/>
        <v/>
      </c>
    </row>
    <row r="25" customHeight="1" spans="1:97">
      <c r="A25" s="1" t="s">
        <v>393</v>
      </c>
      <c r="B25" s="55" t="s">
        <v>370</v>
      </c>
      <c r="C25" s="55" t="s">
        <v>121</v>
      </c>
      <c r="D25" s="55" t="s">
        <v>371</v>
      </c>
      <c r="E25" s="55" t="s">
        <v>371</v>
      </c>
      <c r="F25" s="55" t="str">
        <f t="shared" si="8"/>
        <v>Below Horizon Rises in 50m at 17:54</v>
      </c>
      <c r="I25" s="57"/>
      <c r="J25" s="57"/>
      <c r="K25" s="57"/>
      <c r="U25" s="1" t="s">
        <v>394</v>
      </c>
      <c r="AC25" s="1">
        <f t="shared" si="18"/>
        <v>20446718.5033901</v>
      </c>
      <c r="AD25" s="1">
        <f t="shared" si="19"/>
        <v>-24367450.990706</v>
      </c>
      <c r="AE25" s="1">
        <f t="shared" si="20"/>
        <v>8.076625</v>
      </c>
      <c r="AH25" s="1">
        <f t="shared" si="23"/>
        <v>1</v>
      </c>
      <c r="AI25" s="1">
        <f t="shared" si="24"/>
        <v>0</v>
      </c>
      <c r="AJ25" s="1">
        <f t="shared" si="25"/>
        <v>0</v>
      </c>
      <c r="AK25" s="1">
        <f t="shared" si="26"/>
        <v>0</v>
      </c>
      <c r="BA25" s="1" t="s">
        <v>394</v>
      </c>
      <c r="CA25" s="1" t="b">
        <f t="shared" si="66"/>
        <v>1</v>
      </c>
      <c r="CB25" s="1" t="str">
        <f t="shared" si="67"/>
        <v>ARC-L2</v>
      </c>
      <c r="CC25" s="1">
        <f t="shared" si="68"/>
        <v>-2015366.7490945</v>
      </c>
      <c r="CD25" s="1">
        <f t="shared" si="69"/>
        <v>-61553195.9555361</v>
      </c>
      <c r="CE25" s="1">
        <f t="shared" si="70"/>
        <v>8.076625</v>
      </c>
      <c r="CF25" s="1">
        <f t="shared" si="71"/>
        <v>178.124698962122</v>
      </c>
      <c r="CG25" s="1">
        <f t="shared" si="72"/>
        <v>7.49183334075166e-6</v>
      </c>
      <c r="CH25" s="20">
        <f t="shared" si="73"/>
        <v>-157.99219777274</v>
      </c>
      <c r="CI25" s="1">
        <f t="shared" si="74"/>
        <v>0</v>
      </c>
      <c r="CK25" s="1">
        <f t="shared" si="75"/>
        <v>90.3675576521856</v>
      </c>
      <c r="CL25" s="1">
        <f t="shared" si="76"/>
        <v>163.161567703608</v>
      </c>
      <c r="CM25" s="1">
        <f t="shared" si="77"/>
        <v>41.9569505676716</v>
      </c>
      <c r="CN25" s="1">
        <f t="shared" si="78"/>
        <v>22</v>
      </c>
      <c r="CO25" s="64">
        <f t="shared" si="79"/>
        <v>-40</v>
      </c>
      <c r="CP25" s="66">
        <f t="shared" si="80"/>
        <v>45683.7462628836</v>
      </c>
      <c r="CQ25" s="66">
        <f t="shared" si="81"/>
        <v>45683.8324467559</v>
      </c>
      <c r="CR25" s="1" t="b">
        <f t="shared" si="82"/>
        <v>0</v>
      </c>
      <c r="CS25" s="1" t="str">
        <f t="shared" si="83"/>
        <v/>
      </c>
    </row>
    <row r="26" customHeight="1" spans="1:97">
      <c r="A26" s="1" t="s">
        <v>395</v>
      </c>
      <c r="B26" s="55" t="s">
        <v>370</v>
      </c>
      <c r="C26" s="55" t="s">
        <v>121</v>
      </c>
      <c r="D26" s="55" t="s">
        <v>371</v>
      </c>
      <c r="E26" s="55" t="s">
        <v>371</v>
      </c>
      <c r="F26" s="55" t="str">
        <f t="shared" si="8"/>
        <v>Below Horizon Rises in 7m at 17:11</v>
      </c>
      <c r="I26" s="57"/>
      <c r="J26" s="57"/>
      <c r="K26" s="57"/>
      <c r="U26" s="1" t="s">
        <v>396</v>
      </c>
      <c r="AC26" s="1">
        <f t="shared" si="18"/>
        <v>-25043446.8835029</v>
      </c>
      <c r="AD26" s="1">
        <f t="shared" si="19"/>
        <v>14458841.787628</v>
      </c>
      <c r="AE26" s="1">
        <f t="shared" si="20"/>
        <v>8.076625</v>
      </c>
      <c r="AH26" s="1">
        <f t="shared" si="23"/>
        <v>1</v>
      </c>
      <c r="AI26" s="1">
        <f t="shared" si="24"/>
        <v>0</v>
      </c>
      <c r="AJ26" s="1">
        <f t="shared" si="25"/>
        <v>0</v>
      </c>
      <c r="AK26" s="1">
        <f t="shared" si="26"/>
        <v>0</v>
      </c>
      <c r="BA26" s="1" t="s">
        <v>396</v>
      </c>
      <c r="CA26" s="1" t="b">
        <f t="shared" si="66"/>
        <v>1</v>
      </c>
      <c r="CB26" s="1" t="str">
        <f t="shared" si="67"/>
        <v>ARC-L3</v>
      </c>
      <c r="CC26" s="1">
        <f t="shared" si="68"/>
        <v>-47505532.1359875</v>
      </c>
      <c r="CD26" s="1">
        <f t="shared" si="69"/>
        <v>-22726903.1772021</v>
      </c>
      <c r="CE26" s="1">
        <f t="shared" si="70"/>
        <v>8.076625</v>
      </c>
      <c r="CF26" s="1">
        <f t="shared" si="71"/>
        <v>115.566704311708</v>
      </c>
      <c r="CG26" s="1">
        <f t="shared" si="72"/>
        <v>8.79013768592829e-6</v>
      </c>
      <c r="CH26" s="20">
        <f t="shared" si="73"/>
        <v>139.449807576846</v>
      </c>
      <c r="CI26" s="1">
        <f t="shared" si="74"/>
        <v>0</v>
      </c>
      <c r="CK26" s="1">
        <f t="shared" si="75"/>
        <v>90.3675590962445</v>
      </c>
      <c r="CL26" s="1">
        <f t="shared" si="76"/>
        <v>100.603573053194</v>
      </c>
      <c r="CM26" s="1">
        <f t="shared" si="77"/>
        <v>41.9568346225525</v>
      </c>
      <c r="CN26" s="1">
        <f t="shared" si="78"/>
        <v>82</v>
      </c>
      <c r="CO26" s="64">
        <f t="shared" si="79"/>
        <v>-8</v>
      </c>
      <c r="CP26" s="66">
        <f t="shared" si="80"/>
        <v>45683.716431988</v>
      </c>
      <c r="CQ26" s="66">
        <f t="shared" si="81"/>
        <v>45683.8026158617</v>
      </c>
      <c r="CR26" s="1" t="b">
        <f t="shared" si="82"/>
        <v>0</v>
      </c>
      <c r="CS26" s="1" t="str">
        <f t="shared" si="83"/>
        <v/>
      </c>
    </row>
    <row r="27" customHeight="1" spans="1:97">
      <c r="A27" s="1" t="s">
        <v>397</v>
      </c>
      <c r="B27" s="55" t="s">
        <v>370</v>
      </c>
      <c r="C27" s="55" t="s">
        <v>121</v>
      </c>
      <c r="D27" s="55" t="s">
        <v>371</v>
      </c>
      <c r="E27" s="55" t="s">
        <v>371</v>
      </c>
      <c r="F27" s="55" t="str">
        <f t="shared" si="8"/>
        <v>Below Horizon Rises in 59m at 18:03</v>
      </c>
      <c r="I27" s="57"/>
      <c r="J27" s="57"/>
      <c r="K27" s="57"/>
      <c r="U27" s="1" t="s">
        <v>398</v>
      </c>
      <c r="AC27" s="1">
        <f t="shared" si="18"/>
        <v>28478354.9156557</v>
      </c>
      <c r="AD27" s="1">
        <f t="shared" si="19"/>
        <v>5021502.48291174</v>
      </c>
      <c r="AE27" s="1">
        <f t="shared" si="20"/>
        <v>8.076625</v>
      </c>
      <c r="AH27" s="1">
        <f t="shared" si="23"/>
        <v>1</v>
      </c>
      <c r="AI27" s="1">
        <f t="shared" si="24"/>
        <v>0</v>
      </c>
      <c r="AJ27" s="1">
        <f t="shared" si="25"/>
        <v>0</v>
      </c>
      <c r="AK27" s="1">
        <f t="shared" si="26"/>
        <v>0</v>
      </c>
      <c r="BA27" s="1" t="s">
        <v>398</v>
      </c>
      <c r="CA27" s="1" t="b">
        <f t="shared" si="66"/>
        <v>1</v>
      </c>
      <c r="CB27" s="1" t="str">
        <f t="shared" si="67"/>
        <v>ARC-L4</v>
      </c>
      <c r="CC27" s="1">
        <f t="shared" si="68"/>
        <v>6016269.6631711</v>
      </c>
      <c r="CD27" s="1">
        <f t="shared" si="69"/>
        <v>-32164242.4819184</v>
      </c>
      <c r="CE27" s="1">
        <f t="shared" si="70"/>
        <v>8.076625</v>
      </c>
      <c r="CF27" s="1">
        <f t="shared" si="71"/>
        <v>190.594656484226</v>
      </c>
      <c r="CG27" s="1">
        <f t="shared" si="72"/>
        <v>1.41324685138601e-5</v>
      </c>
      <c r="CH27" s="20">
        <f t="shared" si="73"/>
        <v>-145.522240250636</v>
      </c>
      <c r="CI27" s="1">
        <f t="shared" si="74"/>
        <v>0</v>
      </c>
      <c r="CK27" s="1">
        <f t="shared" si="75"/>
        <v>90.3675650383337</v>
      </c>
      <c r="CL27" s="1">
        <f t="shared" si="76"/>
        <v>175.631525225712</v>
      </c>
      <c r="CM27" s="1">
        <f t="shared" si="77"/>
        <v>41.9563469112853</v>
      </c>
      <c r="CN27" s="1">
        <f t="shared" si="78"/>
        <v>6</v>
      </c>
      <c r="CO27" s="64">
        <f t="shared" si="79"/>
        <v>-42</v>
      </c>
      <c r="CP27" s="66">
        <f t="shared" si="80"/>
        <v>45683.7522092022</v>
      </c>
      <c r="CQ27" s="66">
        <f t="shared" si="81"/>
        <v>45683.8383930816</v>
      </c>
      <c r="CR27" s="1" t="b">
        <f t="shared" si="82"/>
        <v>0</v>
      </c>
      <c r="CS27" s="1" t="str">
        <f t="shared" si="83"/>
        <v/>
      </c>
    </row>
    <row r="28" customHeight="1" spans="1:97">
      <c r="A28" s="1" t="s">
        <v>399</v>
      </c>
      <c r="B28" s="55" t="s">
        <v>370</v>
      </c>
      <c r="C28" s="55" t="s">
        <v>121</v>
      </c>
      <c r="D28" s="55" t="s">
        <v>371</v>
      </c>
      <c r="E28" s="55" t="s">
        <v>371</v>
      </c>
      <c r="F28" s="55" t="str">
        <f t="shared" si="8"/>
        <v>Below Horizon Rises in 33m at 17:37</v>
      </c>
      <c r="I28" s="57"/>
      <c r="J28" s="57"/>
      <c r="K28" s="57"/>
      <c r="U28" s="1" t="s">
        <v>400</v>
      </c>
      <c r="AC28" s="1">
        <f t="shared" si="18"/>
        <v>-9890422.51616967</v>
      </c>
      <c r="AD28" s="1">
        <f t="shared" si="19"/>
        <v>-27173732.2251399</v>
      </c>
      <c r="AE28" s="1">
        <f t="shared" si="20"/>
        <v>8.076625</v>
      </c>
      <c r="AH28" s="1">
        <f t="shared" si="23"/>
        <v>1</v>
      </c>
      <c r="AI28" s="1">
        <f t="shared" si="24"/>
        <v>0</v>
      </c>
      <c r="AJ28" s="1">
        <f t="shared" si="25"/>
        <v>0</v>
      </c>
      <c r="AK28" s="1">
        <f t="shared" si="26"/>
        <v>0</v>
      </c>
      <c r="BA28" s="1" t="s">
        <v>400</v>
      </c>
      <c r="CA28" s="1" t="b">
        <f t="shared" si="66"/>
        <v>1</v>
      </c>
      <c r="CB28" s="1" t="str">
        <f t="shared" si="67"/>
        <v>ARC-L5</v>
      </c>
      <c r="CC28" s="1">
        <f t="shared" si="68"/>
        <v>-32352507.7686543</v>
      </c>
      <c r="CD28" s="1">
        <f t="shared" si="69"/>
        <v>-64359477.18997</v>
      </c>
      <c r="CE28" s="1">
        <f t="shared" si="70"/>
        <v>8.076625</v>
      </c>
      <c r="CF28" s="1">
        <f t="shared" si="71"/>
        <v>153.312035314049</v>
      </c>
      <c r="CG28" s="1">
        <f t="shared" si="72"/>
        <v>6.44584967439695e-6</v>
      </c>
      <c r="CH28" s="20">
        <f t="shared" si="73"/>
        <v>177.195138579187</v>
      </c>
      <c r="CI28" s="1">
        <f t="shared" si="74"/>
        <v>0</v>
      </c>
      <c r="CK28" s="1">
        <f t="shared" si="75"/>
        <v>90.3675564887742</v>
      </c>
      <c r="CL28" s="1">
        <f t="shared" si="76"/>
        <v>138.348904055535</v>
      </c>
      <c r="CM28" s="1">
        <f t="shared" si="77"/>
        <v>41.9570498663956</v>
      </c>
      <c r="CN28" s="1">
        <f t="shared" si="78"/>
        <v>50</v>
      </c>
      <c r="CO28" s="64">
        <f t="shared" si="79"/>
        <v>-31</v>
      </c>
      <c r="CP28" s="66">
        <f t="shared" si="80"/>
        <v>45683.7344309198</v>
      </c>
      <c r="CQ28" s="66">
        <f t="shared" si="81"/>
        <v>45683.820614791</v>
      </c>
      <c r="CR28" s="1" t="b">
        <f t="shared" si="82"/>
        <v>0</v>
      </c>
      <c r="CS28" s="1" t="str">
        <f t="shared" si="83"/>
        <v/>
      </c>
    </row>
    <row r="29" customHeight="1" spans="1:97">
      <c r="A29" s="1" t="s">
        <v>401</v>
      </c>
      <c r="B29" s="55" t="s">
        <v>370</v>
      </c>
      <c r="C29" s="55" t="s">
        <v>121</v>
      </c>
      <c r="D29" s="55" t="s">
        <v>371</v>
      </c>
      <c r="E29" s="55" t="s">
        <v>371</v>
      </c>
      <c r="F29" s="55" t="str">
        <f t="shared" si="8"/>
        <v>Below Horizon Rises in 30m at 17:34</v>
      </c>
      <c r="I29" s="57"/>
      <c r="J29" s="57"/>
      <c r="K29" s="57"/>
      <c r="U29" s="1" t="s">
        <v>402</v>
      </c>
      <c r="AC29" s="1">
        <f t="shared" si="18"/>
        <v>20215824.238186</v>
      </c>
      <c r="AD29" s="1">
        <f t="shared" si="19"/>
        <v>33467065.0076147</v>
      </c>
      <c r="AE29" s="1">
        <f t="shared" si="20"/>
        <v>0</v>
      </c>
      <c r="AH29" s="1">
        <f t="shared" si="23"/>
        <v>1</v>
      </c>
      <c r="AI29" s="1">
        <f t="shared" si="24"/>
        <v>0</v>
      </c>
      <c r="AJ29" s="1">
        <f t="shared" si="25"/>
        <v>0</v>
      </c>
      <c r="AK29" s="1">
        <f t="shared" si="26"/>
        <v>0</v>
      </c>
      <c r="BA29" s="1" t="s">
        <v>402</v>
      </c>
      <c r="CA29" s="1" t="b">
        <f t="shared" si="66"/>
        <v>1</v>
      </c>
      <c r="CB29" s="1" t="str">
        <f t="shared" si="67"/>
        <v>MIC-L1</v>
      </c>
      <c r="CC29" s="1">
        <f t="shared" si="68"/>
        <v>-2246261.0142986</v>
      </c>
      <c r="CD29" s="1">
        <f t="shared" si="69"/>
        <v>-3718679.9572154</v>
      </c>
      <c r="CE29" s="1">
        <f t="shared" si="70"/>
        <v>0</v>
      </c>
      <c r="CF29" s="1">
        <f t="shared" si="71"/>
        <v>148.866010778731</v>
      </c>
      <c r="CG29" s="1">
        <f t="shared" si="72"/>
        <v>0</v>
      </c>
      <c r="CH29" s="20">
        <f t="shared" si="73"/>
        <v>172.749114043869</v>
      </c>
      <c r="CI29" s="1">
        <f t="shared" si="74"/>
        <v>0</v>
      </c>
      <c r="CK29" s="1">
        <f t="shared" si="75"/>
        <v>90.3675493192792</v>
      </c>
      <c r="CL29" s="1">
        <f t="shared" si="76"/>
        <v>133.902879520217</v>
      </c>
      <c r="CM29" s="1">
        <f t="shared" si="77"/>
        <v>41.947825909169</v>
      </c>
      <c r="CN29" s="1">
        <f t="shared" si="78"/>
        <v>54</v>
      </c>
      <c r="CO29" s="64">
        <f t="shared" si="79"/>
        <v>-29</v>
      </c>
      <c r="CP29" s="66">
        <f t="shared" si="80"/>
        <v>45683.7323108283</v>
      </c>
      <c r="CQ29" s="66">
        <f t="shared" si="81"/>
        <v>45683.8184946926</v>
      </c>
      <c r="CR29" s="1" t="b">
        <f t="shared" si="82"/>
        <v>0</v>
      </c>
      <c r="CS29" s="1" t="str">
        <f t="shared" si="83"/>
        <v/>
      </c>
    </row>
    <row r="30" customHeight="1" spans="1:97">
      <c r="A30" s="1" t="s">
        <v>403</v>
      </c>
      <c r="B30" s="55" t="s">
        <v>370</v>
      </c>
      <c r="C30" s="55" t="s">
        <v>121</v>
      </c>
      <c r="D30" s="55" t="s">
        <v>371</v>
      </c>
      <c r="E30" s="55" t="s">
        <v>371</v>
      </c>
      <c r="F30" s="55" t="str">
        <f t="shared" si="8"/>
        <v>234°/+29° Sets in 30m at 17:35</v>
      </c>
      <c r="I30" s="57"/>
      <c r="J30" s="57"/>
      <c r="K30" s="57"/>
      <c r="U30" s="1" t="s">
        <v>404</v>
      </c>
      <c r="AC30" s="1">
        <f t="shared" si="18"/>
        <v>24708827.1534754</v>
      </c>
      <c r="AD30" s="1">
        <f t="shared" si="19"/>
        <v>40905202.4592227</v>
      </c>
      <c r="AE30" s="1">
        <f t="shared" si="20"/>
        <v>-5.0088e-5</v>
      </c>
      <c r="AH30" s="1">
        <f t="shared" si="23"/>
        <v>1</v>
      </c>
      <c r="AI30" s="1">
        <f t="shared" si="24"/>
        <v>0</v>
      </c>
      <c r="AJ30" s="1">
        <f t="shared" si="25"/>
        <v>0</v>
      </c>
      <c r="AK30" s="1">
        <f t="shared" si="26"/>
        <v>0</v>
      </c>
      <c r="BA30" s="1" t="s">
        <v>404</v>
      </c>
      <c r="CA30" s="1" t="b">
        <f t="shared" si="66"/>
        <v>1</v>
      </c>
      <c r="CB30" s="1" t="str">
        <f t="shared" si="67"/>
        <v>MIC-L2</v>
      </c>
      <c r="CC30" s="1">
        <f t="shared" si="68"/>
        <v>2246741.9009908</v>
      </c>
      <c r="CD30" s="1">
        <f t="shared" si="69"/>
        <v>3719457.4943926</v>
      </c>
      <c r="CE30" s="1">
        <f t="shared" si="70"/>
        <v>-5.0088e-5</v>
      </c>
      <c r="CF30" s="1">
        <f t="shared" si="71"/>
        <v>328.865884181331</v>
      </c>
      <c r="CG30" s="1">
        <f t="shared" si="72"/>
        <v>0</v>
      </c>
      <c r="CH30" s="20">
        <f t="shared" si="73"/>
        <v>-7.25101255353147</v>
      </c>
      <c r="CI30" s="1">
        <f t="shared" si="74"/>
        <v>0</v>
      </c>
      <c r="CK30" s="1">
        <f t="shared" si="75"/>
        <v>90.3675493192792</v>
      </c>
      <c r="CL30" s="1">
        <f t="shared" si="76"/>
        <v>-46.0972470771832</v>
      </c>
      <c r="CM30" s="1">
        <f t="shared" si="77"/>
        <v>41.9478279731363</v>
      </c>
      <c r="CN30" s="1">
        <f t="shared" si="78"/>
        <v>234</v>
      </c>
      <c r="CO30" s="64">
        <f t="shared" si="79"/>
        <v>29</v>
      </c>
      <c r="CP30" s="66">
        <f t="shared" si="80"/>
        <v>45683.8181440991</v>
      </c>
      <c r="CQ30" s="66">
        <f t="shared" si="81"/>
        <v>45683.732661301</v>
      </c>
      <c r="CR30" s="1" t="b">
        <f t="shared" si="82"/>
        <v>1</v>
      </c>
      <c r="CS30" s="1" t="str">
        <f t="shared" si="83"/>
        <v/>
      </c>
    </row>
    <row r="31" customHeight="1" spans="1:97">
      <c r="A31" s="1" t="s">
        <v>405</v>
      </c>
      <c r="B31" s="55" t="s">
        <v>370</v>
      </c>
      <c r="C31" s="55" t="s">
        <v>121</v>
      </c>
      <c r="D31" s="55" t="s">
        <v>371</v>
      </c>
      <c r="E31" s="55" t="s">
        <v>371</v>
      </c>
      <c r="F31" s="55" t="str">
        <f t="shared" si="8"/>
        <v>Below Horizon Rises in 30m at 17:34</v>
      </c>
      <c r="I31" s="57"/>
      <c r="J31" s="57"/>
      <c r="K31" s="57"/>
      <c r="U31" s="1" t="s">
        <v>406</v>
      </c>
      <c r="AC31" s="1">
        <f t="shared" si="18"/>
        <v>-22457170.2657861</v>
      </c>
      <c r="AD31" s="1">
        <f t="shared" si="19"/>
        <v>-37187612.39564</v>
      </c>
      <c r="AE31" s="1">
        <f t="shared" si="20"/>
        <v>0</v>
      </c>
      <c r="AH31" s="1">
        <f t="shared" si="23"/>
        <v>1</v>
      </c>
      <c r="AI31" s="1">
        <f t="shared" si="24"/>
        <v>0</v>
      </c>
      <c r="AJ31" s="1">
        <f t="shared" si="25"/>
        <v>0</v>
      </c>
      <c r="AK31" s="1">
        <f t="shared" si="26"/>
        <v>0</v>
      </c>
      <c r="BA31" s="1" t="s">
        <v>406</v>
      </c>
      <c r="CA31" s="1" t="b">
        <f t="shared" si="66"/>
        <v>1</v>
      </c>
      <c r="CB31" s="1" t="str">
        <f t="shared" si="67"/>
        <v>MIC-L3</v>
      </c>
      <c r="CC31" s="1">
        <f t="shared" si="68"/>
        <v>-44919255.5182707</v>
      </c>
      <c r="CD31" s="1">
        <f t="shared" si="69"/>
        <v>-74373357.3604701</v>
      </c>
      <c r="CE31" s="1">
        <f t="shared" si="70"/>
        <v>0</v>
      </c>
      <c r="CF31" s="1">
        <f t="shared" si="71"/>
        <v>148.86929517163</v>
      </c>
      <c r="CG31" s="1">
        <f t="shared" si="72"/>
        <v>0</v>
      </c>
      <c r="CH31" s="20">
        <f t="shared" si="73"/>
        <v>172.752398436768</v>
      </c>
      <c r="CI31" s="1">
        <f t="shared" si="74"/>
        <v>0</v>
      </c>
      <c r="CK31" s="1">
        <f t="shared" si="75"/>
        <v>90.3675493192792</v>
      </c>
      <c r="CL31" s="1">
        <f t="shared" si="76"/>
        <v>133.906163913116</v>
      </c>
      <c r="CM31" s="1">
        <f t="shared" si="77"/>
        <v>41.9571445335854</v>
      </c>
      <c r="CN31" s="1">
        <f t="shared" si="78"/>
        <v>54</v>
      </c>
      <c r="CO31" s="64">
        <f t="shared" si="79"/>
        <v>-29</v>
      </c>
      <c r="CP31" s="66">
        <f t="shared" si="80"/>
        <v>45683.7323123944</v>
      </c>
      <c r="CQ31" s="66">
        <f t="shared" si="81"/>
        <v>45683.8184962588</v>
      </c>
      <c r="CR31" s="1" t="b">
        <f t="shared" si="82"/>
        <v>0</v>
      </c>
      <c r="CS31" s="1" t="str">
        <f t="shared" si="83"/>
        <v/>
      </c>
    </row>
    <row r="32" customHeight="1" spans="1:97">
      <c r="A32" s="1" t="s">
        <v>407</v>
      </c>
      <c r="B32" s="55" t="s">
        <v>370</v>
      </c>
      <c r="C32" s="55" t="s">
        <v>121</v>
      </c>
      <c r="D32" s="55" t="s">
        <v>371</v>
      </c>
      <c r="E32" s="55" t="s">
        <v>371</v>
      </c>
      <c r="F32" s="55" t="str">
        <f t="shared" si="8"/>
        <v>102°/+12° Sets in 113m at 18:57</v>
      </c>
      <c r="I32" s="57"/>
      <c r="J32" s="57"/>
      <c r="K32" s="57"/>
      <c r="U32" s="1" t="s">
        <v>408</v>
      </c>
      <c r="AC32" s="1">
        <f t="shared" si="18"/>
        <v>-20971933.2301658</v>
      </c>
      <c r="AD32" s="1">
        <f t="shared" si="19"/>
        <v>38045504.0320193</v>
      </c>
      <c r="AE32" s="1">
        <f t="shared" si="20"/>
        <v>0</v>
      </c>
      <c r="AH32" s="1">
        <f t="shared" si="23"/>
        <v>1</v>
      </c>
      <c r="AI32" s="1">
        <f t="shared" si="24"/>
        <v>0</v>
      </c>
      <c r="AJ32" s="1">
        <f t="shared" si="25"/>
        <v>0</v>
      </c>
      <c r="AK32" s="1">
        <f t="shared" si="26"/>
        <v>0</v>
      </c>
      <c r="BA32" s="1" t="s">
        <v>408</v>
      </c>
      <c r="CA32" s="1" t="b">
        <f t="shared" si="66"/>
        <v>1</v>
      </c>
      <c r="CB32" s="1" t="str">
        <f t="shared" si="67"/>
        <v>MIC-L4</v>
      </c>
      <c r="CC32" s="1">
        <f t="shared" si="68"/>
        <v>-43434018.4826504</v>
      </c>
      <c r="CD32" s="1">
        <f t="shared" si="69"/>
        <v>859759.067189202</v>
      </c>
      <c r="CE32" s="1">
        <f t="shared" si="70"/>
        <v>0</v>
      </c>
      <c r="CF32" s="1">
        <f t="shared" si="71"/>
        <v>88.86600099829</v>
      </c>
      <c r="CG32" s="1">
        <f t="shared" si="72"/>
        <v>0</v>
      </c>
      <c r="CH32" s="20">
        <f t="shared" si="73"/>
        <v>112.749104263428</v>
      </c>
      <c r="CI32" s="1">
        <f t="shared" si="74"/>
        <v>0</v>
      </c>
      <c r="CK32" s="1">
        <f t="shared" si="75"/>
        <v>90.3675493192792</v>
      </c>
      <c r="CL32" s="1">
        <f t="shared" si="76"/>
        <v>73.9028697397758</v>
      </c>
      <c r="CM32" s="1">
        <f t="shared" si="77"/>
        <v>41.9566541195029</v>
      </c>
      <c r="CN32" s="1">
        <f t="shared" si="78"/>
        <v>102</v>
      </c>
      <c r="CO32" s="64">
        <f t="shared" si="79"/>
        <v>12</v>
      </c>
      <c r="CP32" s="66">
        <f t="shared" si="80"/>
        <v>45683.8753663757</v>
      </c>
      <c r="CQ32" s="66">
        <f t="shared" si="81"/>
        <v>45683.7898835776</v>
      </c>
      <c r="CR32" s="1" t="b">
        <f t="shared" si="82"/>
        <v>1</v>
      </c>
      <c r="CS32" s="1" t="str">
        <f t="shared" si="83"/>
        <v/>
      </c>
    </row>
    <row r="33" customHeight="1" spans="1:97">
      <c r="A33" s="1" t="s">
        <v>409</v>
      </c>
      <c r="B33" s="55" t="s">
        <v>370</v>
      </c>
      <c r="C33" s="55" t="s">
        <v>121</v>
      </c>
      <c r="D33" s="55" t="s">
        <v>371</v>
      </c>
      <c r="E33" s="55" t="s">
        <v>371</v>
      </c>
      <c r="F33" s="55" t="str">
        <f t="shared" si="8"/>
        <v>Below Horizon Rises in 71m at 18:15</v>
      </c>
      <c r="I33" s="57"/>
      <c r="J33" s="57"/>
      <c r="K33" s="57"/>
      <c r="U33" s="1" t="s">
        <v>410</v>
      </c>
      <c r="AC33" s="1">
        <f t="shared" si="18"/>
        <v>43435204.2882185</v>
      </c>
      <c r="AD33" s="1">
        <f t="shared" si="19"/>
        <v>-851406.955908429</v>
      </c>
      <c r="AE33" s="1">
        <f t="shared" si="20"/>
        <v>0</v>
      </c>
      <c r="AH33" s="1">
        <f t="shared" si="23"/>
        <v>1</v>
      </c>
      <c r="AI33" s="1">
        <f t="shared" si="24"/>
        <v>0</v>
      </c>
      <c r="AJ33" s="1">
        <f t="shared" si="25"/>
        <v>0</v>
      </c>
      <c r="AK33" s="1">
        <f t="shared" si="26"/>
        <v>0</v>
      </c>
      <c r="BA33" s="1" t="s">
        <v>410</v>
      </c>
      <c r="CA33" s="1" t="b">
        <f t="shared" si="66"/>
        <v>1</v>
      </c>
      <c r="CB33" s="1" t="str">
        <f t="shared" si="67"/>
        <v>MIC-L5</v>
      </c>
      <c r="CC33" s="1">
        <f t="shared" si="68"/>
        <v>20973119.0357339</v>
      </c>
      <c r="CD33" s="1">
        <f t="shared" si="69"/>
        <v>-38037151.9207385</v>
      </c>
      <c r="CE33" s="1">
        <f t="shared" si="70"/>
        <v>0</v>
      </c>
      <c r="CF33" s="1">
        <f t="shared" si="71"/>
        <v>208.871687636677</v>
      </c>
      <c r="CG33" s="1">
        <f t="shared" si="72"/>
        <v>0</v>
      </c>
      <c r="CH33" s="20">
        <f t="shared" si="73"/>
        <v>-127.245209098185</v>
      </c>
      <c r="CI33" s="1">
        <f t="shared" si="74"/>
        <v>0</v>
      </c>
      <c r="CK33" s="1">
        <f t="shared" si="75"/>
        <v>90.3675493192792</v>
      </c>
      <c r="CL33" s="1">
        <f t="shared" si="76"/>
        <v>-166.091443621837</v>
      </c>
      <c r="CM33" s="1">
        <f t="shared" si="77"/>
        <v>41.9566539747302</v>
      </c>
      <c r="CN33" s="1">
        <f t="shared" si="78"/>
        <v>342</v>
      </c>
      <c r="CO33" s="64">
        <f t="shared" si="79"/>
        <v>-41</v>
      </c>
      <c r="CP33" s="66">
        <f t="shared" si="80"/>
        <v>45683.7609246457</v>
      </c>
      <c r="CQ33" s="66">
        <f t="shared" si="81"/>
        <v>45683.8471085101</v>
      </c>
      <c r="CR33" s="1" t="b">
        <f t="shared" si="82"/>
        <v>0</v>
      </c>
      <c r="CS33" s="1" t="str">
        <f t="shared" si="83"/>
        <v/>
      </c>
    </row>
    <row r="34" customHeight="1" spans="1:97">
      <c r="A34" s="1" t="s">
        <v>411</v>
      </c>
      <c r="B34" s="57"/>
      <c r="C34" s="57"/>
      <c r="D34" s="57"/>
      <c r="E34" s="57"/>
      <c r="F34" s="55" t="str">
        <f t="shared" si="8"/>
        <v>085°/+06° Sets in 130m at 19:14</v>
      </c>
      <c r="I34" s="57"/>
      <c r="J34" s="57"/>
      <c r="K34" s="57"/>
      <c r="U34" s="1" t="s">
        <v>412</v>
      </c>
      <c r="AC34" s="1">
        <f t="shared" si="18"/>
        <v>-62284273.8607205</v>
      </c>
      <c r="AD34" s="1">
        <f t="shared" si="19"/>
        <v>23467618.0513957</v>
      </c>
      <c r="AE34" s="1">
        <f t="shared" si="20"/>
        <v>20198396.608</v>
      </c>
      <c r="AH34" s="1">
        <f t="shared" si="23"/>
        <v>0.30793616</v>
      </c>
      <c r="AI34" s="1">
        <f t="shared" si="24"/>
        <v>-0.14839508</v>
      </c>
      <c r="AJ34" s="1">
        <f t="shared" si="25"/>
        <v>-0.027259013</v>
      </c>
      <c r="AK34" s="1">
        <f t="shared" si="26"/>
        <v>0.93936741</v>
      </c>
      <c r="BA34" s="1" t="s">
        <v>412</v>
      </c>
      <c r="CA34" s="1" t="b">
        <f t="shared" si="66"/>
        <v>1</v>
      </c>
      <c r="CB34" s="1" t="str">
        <f t="shared" si="67"/>
        <v>MagnusJP</v>
      </c>
      <c r="CC34" s="1">
        <f t="shared" si="68"/>
        <v>-84746359.1132051</v>
      </c>
      <c r="CD34" s="1">
        <f t="shared" si="69"/>
        <v>-13718126.9134344</v>
      </c>
      <c r="CE34" s="1">
        <f t="shared" si="70"/>
        <v>20198396.608</v>
      </c>
      <c r="CF34" s="1">
        <f t="shared" si="71"/>
        <v>99.1948690548522</v>
      </c>
      <c r="CG34" s="1">
        <f t="shared" si="72"/>
        <v>13.2395840385809</v>
      </c>
      <c r="CH34" s="20">
        <f t="shared" si="73"/>
        <v>123.07797231999</v>
      </c>
      <c r="CI34" s="1">
        <f t="shared" si="74"/>
        <v>0</v>
      </c>
      <c r="CK34" s="1">
        <f t="shared" si="75"/>
        <v>105.537932278151</v>
      </c>
      <c r="CL34" s="1">
        <f t="shared" si="76"/>
        <v>84.2317377963381</v>
      </c>
      <c r="CM34" s="1">
        <f t="shared" si="77"/>
        <v>55.1968481630726</v>
      </c>
      <c r="CN34" s="1">
        <f t="shared" si="78"/>
        <v>85</v>
      </c>
      <c r="CO34" s="64">
        <f t="shared" si="79"/>
        <v>6</v>
      </c>
      <c r="CP34" s="66">
        <f t="shared" si="80"/>
        <v>45683.8730576904</v>
      </c>
      <c r="CQ34" s="66">
        <f t="shared" si="81"/>
        <v>45683.8020429423</v>
      </c>
      <c r="CR34" s="1" t="b">
        <f t="shared" si="82"/>
        <v>1</v>
      </c>
      <c r="CS34" s="1" t="str">
        <f t="shared" si="83"/>
        <v/>
      </c>
    </row>
    <row r="35" customHeight="1" spans="1:97">
      <c r="A35" s="1" t="s">
        <v>413</v>
      </c>
      <c r="B35" s="57"/>
      <c r="C35" s="57"/>
      <c r="D35" s="57"/>
      <c r="E35" s="57"/>
      <c r="F35" s="55" t="str">
        <f t="shared" si="8"/>
        <v>Below Horizon Rises in 42m at 17:46</v>
      </c>
      <c r="I35" s="57"/>
      <c r="J35" s="57"/>
      <c r="K35" s="57"/>
      <c r="U35" s="1" t="s">
        <v>414</v>
      </c>
      <c r="AC35" s="1">
        <f t="shared" si="18"/>
        <v>3310491.63980217</v>
      </c>
      <c r="AD35" s="1">
        <f t="shared" si="19"/>
        <v>-27979408.2214568</v>
      </c>
      <c r="AE35" s="1">
        <f t="shared" si="20"/>
        <v>-2676285.679</v>
      </c>
      <c r="AH35" s="1">
        <f t="shared" si="23"/>
        <v>-0.10573804</v>
      </c>
      <c r="AI35" s="1">
        <f t="shared" si="24"/>
        <v>0.13918006</v>
      </c>
      <c r="AJ35" s="1">
        <f t="shared" si="25"/>
        <v>-0.22767709</v>
      </c>
      <c r="AK35" s="1">
        <f t="shared" si="26"/>
        <v>0.95792043</v>
      </c>
      <c r="BA35" s="1" t="s">
        <v>414</v>
      </c>
      <c r="CA35" s="1" t="b">
        <f t="shared" si="66"/>
        <v>1</v>
      </c>
      <c r="CB35" s="1" t="str">
        <f t="shared" si="67"/>
        <v>PyroJP</v>
      </c>
      <c r="CC35" s="1">
        <f t="shared" si="68"/>
        <v>-19151593.6126824</v>
      </c>
      <c r="CD35" s="1">
        <f t="shared" si="69"/>
        <v>-65165153.1862869</v>
      </c>
      <c r="CE35" s="1">
        <f t="shared" si="70"/>
        <v>-2676285.679</v>
      </c>
      <c r="CF35" s="1">
        <f t="shared" si="71"/>
        <v>163.62229782448</v>
      </c>
      <c r="CG35" s="1">
        <f t="shared" si="72"/>
        <v>-2.25644915818606</v>
      </c>
      <c r="CH35" s="20">
        <f t="shared" si="73"/>
        <v>-172.494598910382</v>
      </c>
      <c r="CI35" s="1">
        <f t="shared" si="74"/>
        <v>0</v>
      </c>
      <c r="CK35" s="1">
        <f t="shared" si="75"/>
        <v>87.8556762933796</v>
      </c>
      <c r="CL35" s="1">
        <f t="shared" si="76"/>
        <v>148.659166565966</v>
      </c>
      <c r="CM35" s="1">
        <f t="shared" si="77"/>
        <v>39.7005372308088</v>
      </c>
      <c r="CN35" s="1">
        <f t="shared" si="78"/>
        <v>41</v>
      </c>
      <c r="CO35" s="64">
        <f t="shared" si="79"/>
        <v>-34</v>
      </c>
      <c r="CP35" s="66">
        <f t="shared" si="80"/>
        <v>45683.7405451822</v>
      </c>
      <c r="CQ35" s="66">
        <f t="shared" si="81"/>
        <v>45683.824333464</v>
      </c>
      <c r="CR35" s="1" t="b">
        <f t="shared" si="82"/>
        <v>0</v>
      </c>
      <c r="CS35" s="1" t="str">
        <f t="shared" si="83"/>
        <v/>
      </c>
    </row>
    <row r="36" customHeight="1" spans="1:97">
      <c r="A36" s="1" t="s">
        <v>415</v>
      </c>
      <c r="B36" s="57"/>
      <c r="C36" s="57"/>
      <c r="D36" s="57"/>
      <c r="E36" s="57"/>
      <c r="F36" s="55" t="str">
        <f t="shared" si="8"/>
        <v>Below Horizon Rises in 78m at 18:22</v>
      </c>
      <c r="I36" s="57"/>
      <c r="J36" s="57"/>
      <c r="K36" s="57"/>
      <c r="U36" s="1" t="s">
        <v>416</v>
      </c>
      <c r="AC36" s="1">
        <f t="shared" si="18"/>
        <v>51118221.6169033</v>
      </c>
      <c r="AD36" s="1">
        <f t="shared" si="19"/>
        <v>-5269981.30311381</v>
      </c>
      <c r="AE36" s="1">
        <f t="shared" si="20"/>
        <v>-4339551.619</v>
      </c>
      <c r="AH36" s="1">
        <f t="shared" si="23"/>
        <v>0.84275234</v>
      </c>
      <c r="AI36" s="1">
        <f t="shared" si="24"/>
        <v>-0.15849306</v>
      </c>
      <c r="AJ36" s="1">
        <f t="shared" si="25"/>
        <v>-0.091506034</v>
      </c>
      <c r="AK36" s="1">
        <f t="shared" si="26"/>
        <v>-0.5062362</v>
      </c>
      <c r="BA36" s="1" t="s">
        <v>416</v>
      </c>
      <c r="CA36" s="1" t="b">
        <f t="shared" si="66"/>
        <v>1</v>
      </c>
      <c r="CB36" s="1" t="str">
        <f t="shared" si="67"/>
        <v>TerraJP</v>
      </c>
      <c r="CC36" s="1">
        <f t="shared" si="68"/>
        <v>28656136.3644187</v>
      </c>
      <c r="CD36" s="1">
        <f t="shared" si="69"/>
        <v>-42455726.2679439</v>
      </c>
      <c r="CE36" s="1">
        <f t="shared" si="70"/>
        <v>-4339551.619</v>
      </c>
      <c r="CF36" s="1">
        <f t="shared" si="71"/>
        <v>214.017978878174</v>
      </c>
      <c r="CG36" s="1">
        <f t="shared" si="72"/>
        <v>-4.84258916985499</v>
      </c>
      <c r="CH36" s="20">
        <f t="shared" si="73"/>
        <v>-122.098917856688</v>
      </c>
      <c r="CI36" s="1">
        <f t="shared" si="74"/>
        <v>0</v>
      </c>
      <c r="CK36" s="1">
        <f t="shared" si="75"/>
        <v>84.9604205744683</v>
      </c>
      <c r="CL36" s="1">
        <f t="shared" si="76"/>
        <v>-160.94515238034</v>
      </c>
      <c r="CM36" s="1">
        <f t="shared" si="77"/>
        <v>37.1141569293748</v>
      </c>
      <c r="CN36" s="1">
        <f t="shared" si="78"/>
        <v>333</v>
      </c>
      <c r="CO36" s="64">
        <f t="shared" si="79"/>
        <v>-35</v>
      </c>
      <c r="CP36" s="66">
        <f t="shared" si="80"/>
        <v>45683.7659570634</v>
      </c>
      <c r="CQ36" s="66">
        <f t="shared" si="81"/>
        <v>45683.8469841292</v>
      </c>
      <c r="CR36" s="1" t="b">
        <f t="shared" si="82"/>
        <v>0</v>
      </c>
      <c r="CS36" s="1" t="str">
        <f t="shared" si="83"/>
        <v/>
      </c>
    </row>
    <row r="37" customHeight="1" spans="1:97">
      <c r="A37" s="1" t="str">
        <f t="shared" ref="A37:A40" si="84">IFERROR(LEFT(U37,FIND(" R00",U37)-1),"")</f>
        <v>Calliope</v>
      </c>
      <c r="B37" s="57"/>
      <c r="C37" s="57"/>
      <c r="D37" s="57"/>
      <c r="E37" s="57"/>
      <c r="F37" s="55" t="str">
        <f>IFERROR(IF(CA37,IF(CR37,CONCATENATE(IF(ABS(CN37)&lt;10,"0",""),IF(ABS(CN37)&lt;100,"0",""),CN37,"°/",IF(CO37&gt;0,"+","-"),IF(ABS(CO37)&lt;10,"0",""),ABS(CO37),"° Sets in ",ROUND((CQ37-TimeLocal)*1440,0),"m at ",IF(HOUR(CQ37)&lt;10,"0",""),HOUR(CQ37),":",IF(MINUTE(CQ37)&lt;10,"0",""),MINUTE(CQ37)),CONCATENATE("Below Horizon Rises in ",ROUND((CP37-TimeLocal)*1440,0),"m at ",IF(HOUR(CP37)&lt;10,"0",""),HOUR(CP37),":",IF(MINUTE(CP37)&lt;10,"0",""),MINUTE(CP37))),""),"")</f>
        <v>090°/-00° Sets in 124m at 19:08</v>
      </c>
      <c r="I37" s="57"/>
      <c r="J37" s="57"/>
      <c r="K37" s="57"/>
      <c r="U37" s="1" t="str">
        <f t="shared" ref="U37:U40" si="85">BA37</f>
        <v>Calliope R00</v>
      </c>
      <c r="AC37" s="1">
        <f t="shared" si="18"/>
        <v>22398369.3082472</v>
      </c>
      <c r="AD37" s="1">
        <f t="shared" si="19"/>
        <v>37168840.6790112</v>
      </c>
      <c r="AE37" s="1">
        <f t="shared" si="20"/>
        <v>0</v>
      </c>
      <c r="AH37" s="1">
        <f t="shared" si="23"/>
        <v>1</v>
      </c>
      <c r="AI37" s="1">
        <f t="shared" si="24"/>
        <v>0</v>
      </c>
      <c r="AJ37" s="1">
        <f t="shared" si="25"/>
        <v>0</v>
      </c>
      <c r="AK37" s="1">
        <f t="shared" si="26"/>
        <v>0</v>
      </c>
      <c r="BA37" s="1" t="str">
        <f>_xlfn.IFS(OR($B$1="Hurston",$B$1="Arial",$B$1="Aberdeen",$B$1="Magda",$B$1="Ita"),"Arial R00",OR($B$1="Crusader",$B$1="Cellin",$B$1="Daymar",$B$1="Yela"),"Cellin R00",OR($B$1="ArcCorp",$B$1="Lyria",$B$1="Wala"),"Lyria R00",OR($B$1="microTech",$B$1="Calliope",$B$1="Clio",$B$1="Euterpe"),"Calliope R00",TRUE,"")</f>
        <v>Calliope R00</v>
      </c>
      <c r="CA37" s="1" t="b">
        <f t="shared" si="66"/>
        <v>1</v>
      </c>
      <c r="CB37" s="1" t="str">
        <f t="shared" si="67"/>
        <v>Calliope</v>
      </c>
      <c r="CC37" s="1">
        <f t="shared" si="68"/>
        <v>-63715.9442373998</v>
      </c>
      <c r="CD37" s="1">
        <f t="shared" si="69"/>
        <v>-16904.2858188972</v>
      </c>
      <c r="CE37" s="1">
        <f t="shared" si="70"/>
        <v>0</v>
      </c>
      <c r="CF37" s="1">
        <f t="shared" si="71"/>
        <v>104.858661254444</v>
      </c>
      <c r="CG37" s="1">
        <f t="shared" si="72"/>
        <v>0</v>
      </c>
      <c r="CH37" s="20">
        <f t="shared" si="73"/>
        <v>128.741764519582</v>
      </c>
      <c r="CI37" s="1">
        <f t="shared" si="74"/>
        <v>0</v>
      </c>
      <c r="CK37" s="1">
        <f t="shared" si="75"/>
        <v>90.3675493192792</v>
      </c>
      <c r="CL37" s="1">
        <f t="shared" si="76"/>
        <v>89.8955299959298</v>
      </c>
      <c r="CM37" s="1">
        <f t="shared" si="77"/>
        <v>41.3046791616481</v>
      </c>
      <c r="CN37" s="1">
        <f t="shared" si="78"/>
        <v>90</v>
      </c>
      <c r="CO37" s="64">
        <f t="shared" si="79"/>
        <v>0</v>
      </c>
      <c r="CP37" s="66">
        <f t="shared" si="80"/>
        <v>45683.8829925051</v>
      </c>
      <c r="CQ37" s="66">
        <f t="shared" si="81"/>
        <v>45683.797509707</v>
      </c>
      <c r="CR37" s="1" t="b">
        <f t="shared" si="82"/>
        <v>1</v>
      </c>
      <c r="CS37" s="1" t="str">
        <f t="shared" si="83"/>
        <v/>
      </c>
    </row>
    <row r="38" customHeight="1" spans="1:97">
      <c r="A38" s="1" t="str">
        <f t="shared" si="84"/>
        <v>Clio</v>
      </c>
      <c r="B38" s="57"/>
      <c r="C38" s="57"/>
      <c r="D38" s="57"/>
      <c r="E38" s="57"/>
      <c r="F38" s="55" t="str">
        <f>IFERROR(IF(CA38,IF(CR38,CONCATENATE(IF(ABS(CN38)&lt;10,"0",""),IF(ABS(CN38)&lt;100,"0",""),CN38,"°/",IF(CO38&gt;0,"+","-"),IF(ABS(CO38)&lt;10,"0",""),ABS(CO38),"° Sets in ",ROUND((CQ38-TimeLocal)*1440,0),"m at ",IF(HOUR(CQ38)&lt;10,"0",""),HOUR(CQ38),":",IF(MINUTE(CQ38)&lt;10,"0",""),MINUTE(CQ38)),CONCATENATE("Below Horizon Rises in ",ROUND((CP38-TimeLocal)*1440,0),"m at ",IF(HOUR(CP38)&lt;10,"0",""),HOUR(CP38),":",IF(MINUTE(CP38)&lt;10,"0",""),MINUTE(CP38))),""),"")</f>
        <v>Below Horizon Rises in 57m at 18:01</v>
      </c>
      <c r="I38" s="57"/>
      <c r="J38" s="57"/>
      <c r="K38" s="57"/>
      <c r="U38" s="1" t="str">
        <f t="shared" si="85"/>
        <v>Clio R00</v>
      </c>
      <c r="AC38" s="1">
        <f t="shared" si="18"/>
        <v>22476728.22051</v>
      </c>
      <c r="AD38" s="1">
        <f t="shared" si="19"/>
        <v>37091020.0743755</v>
      </c>
      <c r="AE38" s="1">
        <f t="shared" si="20"/>
        <v>0</v>
      </c>
      <c r="AH38" s="1">
        <f t="shared" si="23"/>
        <v>1</v>
      </c>
      <c r="AI38" s="1">
        <f t="shared" si="24"/>
        <v>0</v>
      </c>
      <c r="AJ38" s="1">
        <f t="shared" si="25"/>
        <v>0</v>
      </c>
      <c r="AK38" s="1">
        <f t="shared" si="26"/>
        <v>0</v>
      </c>
      <c r="BA38" s="1" t="str">
        <f>_xlfn.IFS(OR($B$1="Hurston",$B$1="Arial",$B$1="Aberdeen",$B$1="Magda",$B$1="Ita"),"Aberdeen R00",OR($B$1="Crusader",$B$1="Cellin",$B$1="Daymar",$B$1="Yela"),"Daymar R00",OR($B$1="ArcCorp",$B$1="Lyria",$B$1="Wala"),"Wala R00",OR($B$1="microTech",$B$1="Calliope",$B$1="Clio",$B$1="Euterpe"),"Clio R00",TRUE,"")</f>
        <v>Clio R00</v>
      </c>
      <c r="CA38" s="1" t="b">
        <f t="shared" si="66"/>
        <v>1</v>
      </c>
      <c r="CB38" s="1" t="str">
        <f t="shared" si="67"/>
        <v>Clio</v>
      </c>
      <c r="CC38" s="1">
        <f t="shared" si="68"/>
        <v>14642.9680253975</v>
      </c>
      <c r="CD38" s="1">
        <f t="shared" si="69"/>
        <v>-94724.8904545978</v>
      </c>
      <c r="CE38" s="1">
        <f t="shared" si="70"/>
        <v>0</v>
      </c>
      <c r="CF38" s="1">
        <f t="shared" si="71"/>
        <v>188.787464871059</v>
      </c>
      <c r="CG38" s="1">
        <f t="shared" si="72"/>
        <v>0</v>
      </c>
      <c r="CH38" s="20">
        <f t="shared" si="73"/>
        <v>-147.329431863803</v>
      </c>
      <c r="CI38" s="1">
        <f t="shared" si="74"/>
        <v>0</v>
      </c>
      <c r="CK38" s="1">
        <f t="shared" si="75"/>
        <v>90.3675493192792</v>
      </c>
      <c r="CL38" s="1">
        <f t="shared" si="76"/>
        <v>173.824333612545</v>
      </c>
      <c r="CM38" s="1">
        <f t="shared" si="77"/>
        <v>41.5099906630031</v>
      </c>
      <c r="CN38" s="1">
        <f t="shared" si="78"/>
        <v>8</v>
      </c>
      <c r="CO38" s="64">
        <f t="shared" si="79"/>
        <v>-41</v>
      </c>
      <c r="CP38" s="66">
        <f t="shared" si="80"/>
        <v>45683.7513474471</v>
      </c>
      <c r="CQ38" s="66">
        <f t="shared" si="81"/>
        <v>45683.8375313115</v>
      </c>
      <c r="CR38" s="1" t="b">
        <f t="shared" si="82"/>
        <v>0</v>
      </c>
      <c r="CS38" s="1" t="str">
        <f t="shared" si="83"/>
        <v/>
      </c>
    </row>
    <row r="39" customHeight="1" spans="1:97">
      <c r="A39" s="1" t="str">
        <f t="shared" si="84"/>
        <v>Euterpe</v>
      </c>
      <c r="B39" s="57"/>
      <c r="C39" s="57"/>
      <c r="D39" s="57"/>
      <c r="E39" s="57"/>
      <c r="F39" s="55" t="str">
        <f>IFERROR(IF(CA39,IF(CR39,CONCATENATE(IF(ABS(CN39)&lt;10,"0",""),IF(ABS(CN39)&lt;100,"0",""),CN39,"°/",IF(CO39&gt;0,"+","-"),IF(ABS(CO39)&lt;10,"0",""),ABS(CO39),"° Sets in ",ROUND((CQ39-TimeLocal)*1440,0),"m at ",IF(HOUR(CQ39)&lt;10,"0",""),HOUR(CQ39),":",IF(MINUTE(CQ39)&lt;10,"0",""),MINUTE(CQ39)),CONCATENATE("Below Horizon Rises in ",ROUND((CP39-TimeLocal)*1440,0),"m at ",IF(HOUR(CP39)&lt;10,"0",""),HOUR(CP39),":",IF(MINUTE(CP39)&lt;10,"0",""),MINUTE(CP39))),""),"")</f>
        <v>Below Horizon Rises in 61m at 18:05</v>
      </c>
      <c r="I39" s="57"/>
      <c r="J39" s="57"/>
      <c r="K39" s="57"/>
      <c r="U39" s="1" t="str">
        <f t="shared" si="85"/>
        <v>Euterpe R00</v>
      </c>
      <c r="AC39" s="1">
        <f t="shared" si="18"/>
        <v>22488109.735701</v>
      </c>
      <c r="AD39" s="1">
        <f t="shared" si="19"/>
        <v>37081123.5646791</v>
      </c>
      <c r="AE39" s="1">
        <f t="shared" si="20"/>
        <v>0</v>
      </c>
      <c r="AH39" s="1">
        <f t="shared" si="23"/>
        <v>1</v>
      </c>
      <c r="AI39" s="1">
        <f t="shared" si="24"/>
        <v>0</v>
      </c>
      <c r="AJ39" s="1">
        <f t="shared" si="25"/>
        <v>0</v>
      </c>
      <c r="AK39" s="1">
        <f t="shared" si="26"/>
        <v>0</v>
      </c>
      <c r="BA39" s="1" t="str">
        <f>_xlfn.IFS(OR($B$1="Hurston",$B$1="Arial",$B$1="Aberdeen",$B$1="Magda",$B$1="Ita"),"Magda R00",OR($B$1="Crusader",$B$1="Cellin",$B$1="Daymar",$B$1="Yela"),"Yela R00",OR($B$1="microTech",$B$1="Calliope",$B$1="Clio",$B$1="Euterpe"),"Euterpe R00",TRUE,"")</f>
        <v>Euterpe R00</v>
      </c>
      <c r="CA39" s="1" t="b">
        <f t="shared" si="66"/>
        <v>1</v>
      </c>
      <c r="CB39" s="1" t="str">
        <f t="shared" si="67"/>
        <v>Euterpe</v>
      </c>
      <c r="CC39" s="1">
        <f t="shared" si="68"/>
        <v>26024.4832163975</v>
      </c>
      <c r="CD39" s="1">
        <f t="shared" si="69"/>
        <v>-104621.400150999</v>
      </c>
      <c r="CE39" s="1">
        <f t="shared" si="70"/>
        <v>0</v>
      </c>
      <c r="CF39" s="1">
        <f t="shared" si="71"/>
        <v>193.968770415246</v>
      </c>
      <c r="CG39" s="1">
        <f t="shared" si="72"/>
        <v>0</v>
      </c>
      <c r="CH39" s="20">
        <f t="shared" si="73"/>
        <v>-142.148126319616</v>
      </c>
      <c r="CI39" s="1">
        <f t="shared" si="74"/>
        <v>0</v>
      </c>
      <c r="CK39" s="1">
        <f t="shared" si="75"/>
        <v>90.3675493192792</v>
      </c>
      <c r="CL39" s="1">
        <f t="shared" si="76"/>
        <v>179.005639156732</v>
      </c>
      <c r="CM39" s="1">
        <f t="shared" si="77"/>
        <v>41.5599572331001</v>
      </c>
      <c r="CN39" s="1">
        <f t="shared" si="78"/>
        <v>1</v>
      </c>
      <c r="CO39" s="64">
        <f t="shared" si="79"/>
        <v>-42</v>
      </c>
      <c r="CP39" s="66">
        <f t="shared" si="80"/>
        <v>45683.7538181622</v>
      </c>
      <c r="CQ39" s="66">
        <f t="shared" si="81"/>
        <v>45683.8400020266</v>
      </c>
      <c r="CR39" s="1" t="b">
        <f t="shared" si="82"/>
        <v>0</v>
      </c>
      <c r="CS39" s="1" t="str">
        <f t="shared" si="83"/>
        <v/>
      </c>
    </row>
    <row r="40" customHeight="1" spans="1:97">
      <c r="A40" s="1" t="str">
        <f t="shared" si="84"/>
        <v/>
      </c>
      <c r="B40" s="57"/>
      <c r="C40" s="57"/>
      <c r="D40" s="57"/>
      <c r="E40" s="57"/>
      <c r="F40" s="55" t="str">
        <f>IFERROR(IF(CA40,IF(CR40,CONCATENATE(IF(ABS(CN40)&lt;10,"0",""),IF(ABS(CN40)&lt;100,"0",""),CN40,"°/",IF(CO40&gt;0,"+","-"),IF(ABS(CO40)&lt;10,"0",""),ABS(CO40),"° Sets in ",ROUND((CQ40-TimeLocal)*1440,0),"m at ",IF(HOUR(CQ40)&lt;10,"0",""),HOUR(CQ40),":",IF(MINUTE(CQ40)&lt;10,"0",""),MINUTE(CQ40)),CONCATENATE("Below Horizon Rises in ",ROUND((CP40-TimeLocal)*1440,0),"m at ",IF(HOUR(CP40)&lt;10,"0",""),HOUR(CP40),":",IF(MINUTE(CP40)&lt;10,"0",""),MINUTE(CP40))),""),"")</f>
        <v/>
      </c>
      <c r="I40" s="57"/>
      <c r="J40" s="57"/>
      <c r="K40" s="57"/>
      <c r="U40" s="1" t="str">
        <f t="shared" si="85"/>
        <v/>
      </c>
      <c r="AC40" s="1" t="e">
        <f t="shared" si="18"/>
        <v>#N/A</v>
      </c>
      <c r="AD40" s="1" t="e">
        <f t="shared" si="19"/>
        <v>#N/A</v>
      </c>
      <c r="AE40" s="1" t="e">
        <f t="shared" si="20"/>
        <v>#N/A</v>
      </c>
      <c r="AH40" s="1" t="e">
        <f t="shared" si="23"/>
        <v>#N/A</v>
      </c>
      <c r="AI40" s="1" t="e">
        <f t="shared" si="24"/>
        <v>#N/A</v>
      </c>
      <c r="AJ40" s="1" t="e">
        <f t="shared" si="25"/>
        <v>#N/A</v>
      </c>
      <c r="AK40" s="1" t="e">
        <f t="shared" si="26"/>
        <v>#N/A</v>
      </c>
      <c r="BA40" s="1" t="str">
        <f>_xlfn.IFS(OR($B$1="Hurston",$B$1="Arial",$B$1="Aberdeen",$B$1="Magda",$B$1="Ita"),"Ita R00",TRUE,"")</f>
        <v/>
      </c>
      <c r="CA40" s="1" t="e">
        <f t="shared" si="66"/>
        <v>#VALUE!</v>
      </c>
      <c r="CB40" s="1" t="e">
        <f t="shared" si="67"/>
        <v>#VALUE!</v>
      </c>
      <c r="CC40" s="1" t="e">
        <f t="shared" si="68"/>
        <v>#VALUE!</v>
      </c>
      <c r="CD40" s="1" t="e">
        <f t="shared" si="69"/>
        <v>#VALUE!</v>
      </c>
      <c r="CE40" s="1" t="e">
        <f t="shared" si="70"/>
        <v>#VALUE!</v>
      </c>
      <c r="CF40" s="1" t="e">
        <f t="shared" si="71"/>
        <v>#VALUE!</v>
      </c>
      <c r="CG40" s="1" t="e">
        <f t="shared" si="72"/>
        <v>#VALUE!</v>
      </c>
      <c r="CH40" s="1" t="e">
        <f t="shared" si="73"/>
        <v>#VALUE!</v>
      </c>
      <c r="CI40" s="1" t="e">
        <f t="shared" si="74"/>
        <v>#VALUE!</v>
      </c>
      <c r="CK40" s="1" t="e">
        <f t="shared" si="75"/>
        <v>#VALUE!</v>
      </c>
      <c r="CL40" s="1" t="e">
        <f t="shared" si="76"/>
        <v>#VALUE!</v>
      </c>
      <c r="CM40" s="1" t="e">
        <f t="shared" si="77"/>
        <v>#VALUE!</v>
      </c>
      <c r="CN40" s="1" t="e">
        <f t="shared" si="78"/>
        <v>#VALUE!</v>
      </c>
      <c r="CO40" s="64" t="e">
        <f t="shared" si="79"/>
        <v>#VALUE!</v>
      </c>
      <c r="CP40" s="66" t="e">
        <f t="shared" si="80"/>
        <v>#VALUE!</v>
      </c>
      <c r="CQ40" s="66" t="e">
        <f t="shared" si="81"/>
        <v>#VALUE!</v>
      </c>
      <c r="CR40" s="1" t="e">
        <f t="shared" si="82"/>
        <v>#VALUE!</v>
      </c>
      <c r="CS40" s="1" t="e">
        <f t="shared" si="83"/>
        <v>#VALUE!</v>
      </c>
    </row>
    <row r="41" customHeight="1" spans="21:97">
      <c r="U41" s="1" t="s">
        <v>410</v>
      </c>
      <c r="AC41" s="1">
        <f t="shared" si="18"/>
        <v>43435204.2882185</v>
      </c>
      <c r="AD41" s="1">
        <f t="shared" si="19"/>
        <v>-851406.955908429</v>
      </c>
      <c r="AE41" s="1">
        <f t="shared" si="20"/>
        <v>0</v>
      </c>
      <c r="AH41" s="1">
        <f t="shared" si="23"/>
        <v>1</v>
      </c>
      <c r="AI41" s="1">
        <f t="shared" si="24"/>
        <v>0</v>
      </c>
      <c r="AJ41" s="1">
        <f t="shared" si="25"/>
        <v>0</v>
      </c>
      <c r="AK41" s="1">
        <f t="shared" si="26"/>
        <v>0</v>
      </c>
      <c r="BA41" s="1" t="str">
        <f>CONCATENATE($B$1," R01")</f>
        <v>microTech R01</v>
      </c>
      <c r="BB41" s="2">
        <f t="shared" ref="BB41:BB46" si="86">VLOOKUP(BA41,Database,6,FALSE)</f>
        <v>0</v>
      </c>
      <c r="BC41" s="2">
        <f t="shared" ref="BC41:BC46" si="87">VLOOKUP(BA41,Database,7,FALSE)</f>
        <v>0</v>
      </c>
      <c r="BD41" s="2">
        <f t="shared" ref="BD41:BD46" si="88">VLOOKUP(BA41,Database,8,FALSE)</f>
        <v>1439.593</v>
      </c>
      <c r="BE41" s="1">
        <f t="shared" ref="BE41:BE46" si="89">DEGREES(ATAN2(SQRT(BB41^2+BC41^2),BD41))</f>
        <v>90</v>
      </c>
      <c r="BF41" s="1">
        <f t="shared" ref="BF41:BF46" si="90">IF(ABS(BE41)=90,0,IF(DEGREES(MOD((ATAN2(BB41,BC41)),2*PI()))&gt;180,-(360-DEGREES(MOD((ATAN2(BB41,BC41)),2*PI()))),DEGREES(MOD((ATAN2(BB41,BC41)),2*PI()))))</f>
        <v>0</v>
      </c>
      <c r="BG41" s="1">
        <f t="shared" ref="BG41:BG46" si="91">IF(ABS(BE41)=90,0,DEGREES(MOD((ATAN2(BB41,BC41)),2*PI())))</f>
        <v>0</v>
      </c>
      <c r="BH41" s="1">
        <f t="shared" ref="BH41:BH46" si="92">SQRT(BB41^2+BC41^2+BD41^2)-AF41</f>
        <v>1439.593</v>
      </c>
      <c r="BI41" s="1">
        <f t="shared" ref="BI41:BI46" si="93">DEGREES(ACOS(AF41/(AF41+IF(BH41&lt;0,0,BH41))))</f>
        <v>90</v>
      </c>
      <c r="BJ41" s="2">
        <f t="shared" ref="BJ41:BJ46" si="94">VLOOKUP(BA41,Database,14,FALSE)</f>
        <v>0</v>
      </c>
      <c r="BK41" s="2">
        <f t="shared" ref="BK41:BK46" si="95">VLOOKUP(BA41,Database,15,FALSE)</f>
        <v>0</v>
      </c>
      <c r="BL41" s="1">
        <f t="shared" ref="BL41:BL46" si="96">DEGREES(ACOS(-TAN(RADIANS(BE41))*TAN(RADIANS(AP41))))+AR41+BI41</f>
        <v>180</v>
      </c>
      <c r="BM41" s="1">
        <f t="shared" ref="BM41:BM46" si="97">IF(MOD(AA41-MOD(BG41-AO41,360),360)&gt;180,MOD(AA41-MOD(BG41-AO41,360),360)-360,MOD(AA41-MOD(BG41-AO41,360),360))</f>
        <v>0</v>
      </c>
      <c r="BN41" s="1">
        <f t="shared" ref="BN41:BN46" si="98">IFERROR(DEGREES(ACOS((SQRT(BB41^2+BC41^2+BD41^2)^2+(SQRT(SQRT(BB41^2+BC41^2+BD41^2)^2+SQRT(AL41^2+AM41^2+AN41^2)^2-(2*SQRT(BB41^2+BC41^2+BD41^2)*SQRT(AL41^2+AM41^2+AN41^2)*COS(RADIANS(ABS(AP41-BE41))))))^2-SQRT(AL41^2+AM41^2+AN41^2)^2)/(2*SQRT(BB41^2+BC41^2+BD41^2)*(SQRT(SQRT(BB41^2+BC41^2+BD41^2)^2+SQRT(AL41^2+AM41^2+AN41^2)^2-(2*SQRT(BB41^2+BC41^2+BD41^2)*SQRT(AL41^2+AM41^2+AN41^2)*COS(RADIANS(ABS(AP41-BE41)))))))))-90,90)</f>
        <v>-90</v>
      </c>
      <c r="BO41" s="1">
        <f t="shared" ref="BO41:BO46" si="99">MOD((ROUND(DEGREES(ATAN2((COS(RADIANS(BE41))*SIN(RADIANS(AP41))-SIN(RADIANS(BE41))*COS(RADIANS(AP41))*COS(RADIANS(AQ41-BF41))),(SIN(RADIANS(AQ41-BF41))*COS(RADIANS(AP41))))),0))+360,360)</f>
        <v>180</v>
      </c>
      <c r="BP41" s="64">
        <f t="shared" ref="BP41:BP46" si="100">ROUND(BN41*COS(RADIANS(ABS(BM41))),0)</f>
        <v>-90</v>
      </c>
      <c r="BQ41" s="1" t="b">
        <f t="shared" ref="BQ41:BQ46" si="101">IF(ABS(BM41)&lt;=BL41,TRUE,FALSE)</f>
        <v>1</v>
      </c>
      <c r="BR41" s="1" t="str">
        <f t="shared" ref="BR41:BR46" si="102">IF(CA41,DEGREES(ACOS(-TAN(RADIANS(BE41))*TAN(RADIANS(AW41))))+AY41+BI41,"")</f>
        <v/>
      </c>
      <c r="BS41" s="1" t="str">
        <f t="shared" ref="BS41:BS46" si="103">IF(CA41,IF(MOD(AA41-MOD(BG41-AV41,360),360)&gt;180,MOD(AA41-MOD(BG41-AV41,360),360)-360,MOD(AA41-MOD(BG41-AV41,360),360)),"")</f>
        <v/>
      </c>
      <c r="BT41" s="1" t="str">
        <f t="shared" ref="BT41:BT46" si="104">IF(CA41,IFERROR(DEGREES(ACOS((SQRT(BB41^2+BC41^2+BD41^2)^2+(SQRT(SQRT(BB41^2+BC41^2+BD41^2)^2+SQRT(AS41^2+AT41^2+AU41^2)^2-(2*SQRT(BB41^2+BC41^2+BD41^2)*SQRT(AS41^2+AT41^2+AU41^2)*COS(RADIANS(ABS(AW41-BE41))))))^2-SQRT(AS41^2+AT41^2+AU41^2)^2)/(2*SQRT(BB41^2+BC41^2+BD41^2)*(SQRT(SQRT(BB41^2+BC41^2+BD41^2)^2+SQRT(AS41^2+AT41^2+AU41^2)^2-(2*SQRT(BB41^2+BC41^2+BD41^2)*SQRT(AS41^2+AT41^2+AU41^2)*COS(RADIANS(ABS(AW41-BE41)))))))))-90,90),"")</f>
        <v/>
      </c>
      <c r="BU41" s="1" t="str">
        <f t="shared" ref="BU41:BU46" si="105">IF(CA41,MOD((ROUND(DEGREES(ATAN2((COS(RADIANS(BE41))*SIN(RADIANS(AW41))-SIN(RADIANS(BE41))*COS(RADIANS(AW41))*COS(RADIANS(AX41-BF41))),(SIN(RADIANS(AX41-BF41))*COS(RADIANS(AW41))))),0))+360,360),"")</f>
        <v/>
      </c>
      <c r="BV41" s="64" t="str">
        <f t="shared" ref="BV41:BV46" si="106">IF(CA41,ROUND(BT41*COS(RADIANS(ABS(BS41))),0),"")</f>
        <v/>
      </c>
      <c r="BW41" s="65" t="str">
        <f t="shared" ref="BW41:BW46" si="107">IF(CA41,IF(BS41&gt;BR41-$BJ$4,(BS41-BR41-$BJ$4)/W41/1440,(BS41-BR41-$BJ$4+360)/W41/1440)+TimeLocal,"")</f>
        <v/>
      </c>
      <c r="BX41" s="65" t="str">
        <f t="shared" ref="BX41:BX46" si="108">IF(CA41,IF(BS41&gt;-(BR41-$BK$4),(BS41+BR41+$BK$4)/W41/1440,(BS41+BR41+$BK$4+360)/W41/1440)+TimeLocal,"")</f>
        <v/>
      </c>
      <c r="BY41" s="1" t="str">
        <f t="shared" ref="BY41:BY46" si="109">IF(CA41,IF(ABS(BS41)&lt;=BR41,TRUE,FALSE),"")</f>
        <v/>
      </c>
      <c r="CA41" s="1" t="b">
        <f t="shared" si="66"/>
        <v>0</v>
      </c>
      <c r="CB41" s="1" t="str">
        <f t="shared" si="67"/>
        <v>microTech</v>
      </c>
      <c r="CC41" s="1" t="str">
        <f t="shared" si="68"/>
        <v/>
      </c>
      <c r="CD41" s="1" t="str">
        <f t="shared" si="69"/>
        <v/>
      </c>
      <c r="CE41" s="1" t="str">
        <f t="shared" si="70"/>
        <v/>
      </c>
      <c r="CF41" s="1" t="str">
        <f t="shared" si="71"/>
        <v/>
      </c>
      <c r="CG41" s="1" t="str">
        <f t="shared" si="72"/>
        <v/>
      </c>
      <c r="CH41" s="1" t="str">
        <f t="shared" si="73"/>
        <v/>
      </c>
      <c r="CI41" s="1" t="str">
        <f t="shared" si="74"/>
        <v/>
      </c>
      <c r="CK41" s="1" t="str">
        <f t="shared" si="75"/>
        <v/>
      </c>
      <c r="CL41" s="1" t="str">
        <f t="shared" si="76"/>
        <v/>
      </c>
      <c r="CM41" s="1" t="str">
        <f t="shared" si="77"/>
        <v/>
      </c>
      <c r="CN41" s="1">
        <f t="shared" si="78"/>
        <v>0</v>
      </c>
      <c r="CO41" s="64">
        <f t="shared" si="79"/>
        <v>4</v>
      </c>
      <c r="CP41" s="66" t="str">
        <f t="shared" si="80"/>
        <v/>
      </c>
      <c r="CQ41" s="66" t="str">
        <f t="shared" si="81"/>
        <v/>
      </c>
      <c r="CR41" s="1" t="str">
        <f t="shared" si="82"/>
        <v/>
      </c>
      <c r="CS41" s="1">
        <f t="shared" si="83"/>
        <v>965.1</v>
      </c>
    </row>
    <row r="42" customHeight="1" spans="21:97">
      <c r="U42" s="1" t="s">
        <v>410</v>
      </c>
      <c r="AC42" s="1">
        <f t="shared" si="18"/>
        <v>43435204.2882185</v>
      </c>
      <c r="AD42" s="1">
        <f t="shared" si="19"/>
        <v>-851406.955908429</v>
      </c>
      <c r="AE42" s="1">
        <f t="shared" si="20"/>
        <v>0</v>
      </c>
      <c r="AH42" s="1">
        <f t="shared" si="23"/>
        <v>1</v>
      </c>
      <c r="AI42" s="1">
        <f t="shared" si="24"/>
        <v>0</v>
      </c>
      <c r="AJ42" s="1">
        <f t="shared" si="25"/>
        <v>0</v>
      </c>
      <c r="AK42" s="1">
        <f t="shared" si="26"/>
        <v>0</v>
      </c>
      <c r="BA42" s="1" t="str">
        <f>CONCATENATE($B$1," R02")</f>
        <v>microTech R02</v>
      </c>
      <c r="BB42" s="2">
        <f t="shared" si="86"/>
        <v>0</v>
      </c>
      <c r="BC42" s="2">
        <f t="shared" si="87"/>
        <v>0</v>
      </c>
      <c r="BD42" s="2">
        <f t="shared" si="88"/>
        <v>-1439.593</v>
      </c>
      <c r="BE42" s="1">
        <f t="shared" si="89"/>
        <v>-90</v>
      </c>
      <c r="BF42" s="1">
        <f t="shared" si="90"/>
        <v>0</v>
      </c>
      <c r="BG42" s="1">
        <f t="shared" si="91"/>
        <v>0</v>
      </c>
      <c r="BH42" s="1">
        <f t="shared" si="92"/>
        <v>1439.593</v>
      </c>
      <c r="BI42" s="1">
        <f t="shared" si="93"/>
        <v>90</v>
      </c>
      <c r="BJ42" s="2">
        <f t="shared" si="94"/>
        <v>0</v>
      </c>
      <c r="BK42" s="2">
        <f t="shared" si="95"/>
        <v>0</v>
      </c>
      <c r="BL42" s="1">
        <f t="shared" si="96"/>
        <v>180</v>
      </c>
      <c r="BM42" s="1">
        <f t="shared" si="97"/>
        <v>0</v>
      </c>
      <c r="BN42" s="1">
        <f t="shared" si="98"/>
        <v>-90</v>
      </c>
      <c r="BO42" s="1">
        <f t="shared" si="99"/>
        <v>0</v>
      </c>
      <c r="BP42" s="64">
        <f t="shared" si="100"/>
        <v>-90</v>
      </c>
      <c r="BQ42" s="1" t="b">
        <f t="shared" si="101"/>
        <v>1</v>
      </c>
      <c r="BR42" s="1" t="str">
        <f t="shared" si="102"/>
        <v/>
      </c>
      <c r="BS42" s="1" t="str">
        <f t="shared" si="103"/>
        <v/>
      </c>
      <c r="BT42" s="1" t="str">
        <f t="shared" si="104"/>
        <v/>
      </c>
      <c r="BU42" s="1" t="str">
        <f t="shared" si="105"/>
        <v/>
      </c>
      <c r="BV42" s="64" t="str">
        <f t="shared" si="106"/>
        <v/>
      </c>
      <c r="BW42" s="65" t="str">
        <f t="shared" si="107"/>
        <v/>
      </c>
      <c r="BX42" s="65" t="str">
        <f t="shared" si="108"/>
        <v/>
      </c>
      <c r="BY42" s="1" t="str">
        <f t="shared" si="109"/>
        <v/>
      </c>
      <c r="CA42" s="1" t="b">
        <f t="shared" si="66"/>
        <v>0</v>
      </c>
      <c r="CB42" s="1" t="str">
        <f t="shared" si="67"/>
        <v>microTech</v>
      </c>
      <c r="CC42" s="1" t="str">
        <f t="shared" si="68"/>
        <v/>
      </c>
      <c r="CD42" s="1" t="str">
        <f t="shared" si="69"/>
        <v/>
      </c>
      <c r="CE42" s="1" t="str">
        <f t="shared" si="70"/>
        <v/>
      </c>
      <c r="CF42" s="1" t="str">
        <f t="shared" si="71"/>
        <v/>
      </c>
      <c r="CG42" s="1" t="str">
        <f t="shared" si="72"/>
        <v/>
      </c>
      <c r="CH42" s="1" t="str">
        <f t="shared" si="73"/>
        <v/>
      </c>
      <c r="CI42" s="1" t="str">
        <f t="shared" si="74"/>
        <v/>
      </c>
      <c r="CK42" s="1" t="str">
        <f t="shared" si="75"/>
        <v/>
      </c>
      <c r="CL42" s="1" t="str">
        <f t="shared" si="76"/>
        <v/>
      </c>
      <c r="CM42" s="1" t="str">
        <f t="shared" si="77"/>
        <v/>
      </c>
      <c r="CN42" s="1">
        <f t="shared" si="78"/>
        <v>180</v>
      </c>
      <c r="CO42" s="64">
        <f t="shared" si="79"/>
        <v>-65</v>
      </c>
      <c r="CP42" s="66" t="str">
        <f t="shared" si="80"/>
        <v/>
      </c>
      <c r="CQ42" s="66" t="str">
        <f t="shared" si="81"/>
        <v/>
      </c>
      <c r="CR42" s="1" t="str">
        <f t="shared" si="82"/>
        <v/>
      </c>
      <c r="CS42" s="1">
        <f t="shared" si="83"/>
        <v>2283.3</v>
      </c>
    </row>
    <row r="43" customHeight="1" spans="21:97">
      <c r="U43" s="1" t="s">
        <v>410</v>
      </c>
      <c r="AC43" s="1">
        <f t="shared" si="18"/>
        <v>43435204.2882185</v>
      </c>
      <c r="AD43" s="1">
        <f t="shared" si="19"/>
        <v>-851406.955908429</v>
      </c>
      <c r="AE43" s="1">
        <f t="shared" si="20"/>
        <v>0</v>
      </c>
      <c r="AH43" s="1">
        <f t="shared" si="23"/>
        <v>1</v>
      </c>
      <c r="AI43" s="1">
        <f t="shared" si="24"/>
        <v>0</v>
      </c>
      <c r="AJ43" s="1">
        <f t="shared" si="25"/>
        <v>0</v>
      </c>
      <c r="AK43" s="1">
        <f t="shared" si="26"/>
        <v>0</v>
      </c>
      <c r="BA43" s="1" t="str">
        <f>CONCATENATE($B$1," R03")</f>
        <v>microTech R03</v>
      </c>
      <c r="BB43" s="2">
        <f t="shared" si="86"/>
        <v>0</v>
      </c>
      <c r="BC43" s="2">
        <f t="shared" si="87"/>
        <v>1439.593</v>
      </c>
      <c r="BD43" s="2">
        <f t="shared" si="88"/>
        <v>0</v>
      </c>
      <c r="BE43" s="1">
        <f t="shared" si="89"/>
        <v>0</v>
      </c>
      <c r="BF43" s="1">
        <f t="shared" si="90"/>
        <v>90</v>
      </c>
      <c r="BG43" s="1">
        <f t="shared" si="91"/>
        <v>90</v>
      </c>
      <c r="BH43" s="1">
        <f t="shared" si="92"/>
        <v>1439.593</v>
      </c>
      <c r="BI43" s="1">
        <f t="shared" si="93"/>
        <v>90</v>
      </c>
      <c r="BJ43" s="2">
        <f t="shared" si="94"/>
        <v>0</v>
      </c>
      <c r="BK43" s="2">
        <f t="shared" si="95"/>
        <v>0</v>
      </c>
      <c r="BL43" s="1">
        <f t="shared" si="96"/>
        <v>180</v>
      </c>
      <c r="BM43" s="1">
        <f t="shared" si="97"/>
        <v>-90</v>
      </c>
      <c r="BN43" s="1">
        <f t="shared" si="98"/>
        <v>-90</v>
      </c>
      <c r="BO43" s="1">
        <f t="shared" si="99"/>
        <v>270</v>
      </c>
      <c r="BP43" s="64">
        <f t="shared" si="100"/>
        <v>0</v>
      </c>
      <c r="BQ43" s="1" t="b">
        <f t="shared" si="101"/>
        <v>1</v>
      </c>
      <c r="BR43" s="1" t="str">
        <f t="shared" si="102"/>
        <v/>
      </c>
      <c r="BS43" s="1" t="str">
        <f t="shared" si="103"/>
        <v/>
      </c>
      <c r="BT43" s="1" t="str">
        <f t="shared" si="104"/>
        <v/>
      </c>
      <c r="BU43" s="1" t="str">
        <f t="shared" si="105"/>
        <v/>
      </c>
      <c r="BV43" s="64" t="str">
        <f t="shared" si="106"/>
        <v/>
      </c>
      <c r="BW43" s="65" t="str">
        <f t="shared" si="107"/>
        <v/>
      </c>
      <c r="BX43" s="65" t="str">
        <f t="shared" si="108"/>
        <v/>
      </c>
      <c r="BY43" s="1" t="str">
        <f t="shared" si="109"/>
        <v/>
      </c>
      <c r="CA43" s="1" t="b">
        <f t="shared" si="66"/>
        <v>0</v>
      </c>
      <c r="CB43" s="1" t="str">
        <f t="shared" si="67"/>
        <v>microTech</v>
      </c>
      <c r="CC43" s="1" t="str">
        <f t="shared" si="68"/>
        <v/>
      </c>
      <c r="CD43" s="1" t="str">
        <f t="shared" si="69"/>
        <v/>
      </c>
      <c r="CE43" s="1" t="str">
        <f t="shared" si="70"/>
        <v/>
      </c>
      <c r="CF43" s="1" t="str">
        <f t="shared" si="71"/>
        <v/>
      </c>
      <c r="CG43" s="1" t="str">
        <f t="shared" si="72"/>
        <v/>
      </c>
      <c r="CH43" s="1" t="str">
        <f t="shared" si="73"/>
        <v/>
      </c>
      <c r="CI43" s="1" t="str">
        <f t="shared" si="74"/>
        <v/>
      </c>
      <c r="CK43" s="1" t="str">
        <f t="shared" si="75"/>
        <v/>
      </c>
      <c r="CL43" s="1" t="str">
        <f t="shared" si="76"/>
        <v/>
      </c>
      <c r="CM43" s="1" t="str">
        <f t="shared" si="77"/>
        <v/>
      </c>
      <c r="CN43" s="1">
        <f t="shared" si="78"/>
        <v>121</v>
      </c>
      <c r="CO43" s="64">
        <f t="shared" si="79"/>
        <v>-17</v>
      </c>
      <c r="CP43" s="66" t="str">
        <f t="shared" si="80"/>
        <v/>
      </c>
      <c r="CQ43" s="66" t="str">
        <f t="shared" si="81"/>
        <v/>
      </c>
      <c r="CR43" s="1" t="str">
        <f t="shared" si="82"/>
        <v/>
      </c>
      <c r="CS43" s="1">
        <f t="shared" si="83"/>
        <v>1365.7</v>
      </c>
    </row>
    <row r="44" customHeight="1" spans="21:97">
      <c r="U44" s="1" t="s">
        <v>410</v>
      </c>
      <c r="AC44" s="1">
        <f t="shared" si="18"/>
        <v>43435204.2882185</v>
      </c>
      <c r="AD44" s="1">
        <f t="shared" si="19"/>
        <v>-851406.955908429</v>
      </c>
      <c r="AE44" s="1">
        <f t="shared" si="20"/>
        <v>0</v>
      </c>
      <c r="AH44" s="1">
        <f t="shared" si="23"/>
        <v>1</v>
      </c>
      <c r="AI44" s="1">
        <f t="shared" si="24"/>
        <v>0</v>
      </c>
      <c r="AJ44" s="1">
        <f t="shared" si="25"/>
        <v>0</v>
      </c>
      <c r="AK44" s="1">
        <f t="shared" si="26"/>
        <v>0</v>
      </c>
      <c r="BA44" s="1" t="str">
        <f>CONCATENATE($B$1," R04")</f>
        <v>microTech R04</v>
      </c>
      <c r="BB44" s="2">
        <f t="shared" si="86"/>
        <v>0</v>
      </c>
      <c r="BC44" s="2">
        <f t="shared" si="87"/>
        <v>-1439.593</v>
      </c>
      <c r="BD44" s="2">
        <f t="shared" si="88"/>
        <v>0</v>
      </c>
      <c r="BE44" s="1">
        <f t="shared" si="89"/>
        <v>0</v>
      </c>
      <c r="BF44" s="1">
        <f t="shared" si="90"/>
        <v>-90</v>
      </c>
      <c r="BG44" s="1">
        <f t="shared" si="91"/>
        <v>270</v>
      </c>
      <c r="BH44" s="1">
        <f t="shared" si="92"/>
        <v>1439.593</v>
      </c>
      <c r="BI44" s="1">
        <f t="shared" si="93"/>
        <v>90</v>
      </c>
      <c r="BJ44" s="2">
        <f t="shared" si="94"/>
        <v>0</v>
      </c>
      <c r="BK44" s="2">
        <f t="shared" si="95"/>
        <v>0</v>
      </c>
      <c r="BL44" s="1">
        <f t="shared" si="96"/>
        <v>180</v>
      </c>
      <c r="BM44" s="1">
        <f t="shared" si="97"/>
        <v>90</v>
      </c>
      <c r="BN44" s="1">
        <f t="shared" si="98"/>
        <v>-90</v>
      </c>
      <c r="BO44" s="1">
        <f t="shared" si="99"/>
        <v>90</v>
      </c>
      <c r="BP44" s="64">
        <f t="shared" si="100"/>
        <v>0</v>
      </c>
      <c r="BQ44" s="1" t="b">
        <f t="shared" si="101"/>
        <v>1</v>
      </c>
      <c r="BR44" s="1" t="str">
        <f t="shared" si="102"/>
        <v/>
      </c>
      <c r="BS44" s="1" t="str">
        <f t="shared" si="103"/>
        <v/>
      </c>
      <c r="BT44" s="1" t="str">
        <f t="shared" si="104"/>
        <v/>
      </c>
      <c r="BU44" s="1" t="str">
        <f t="shared" si="105"/>
        <v/>
      </c>
      <c r="BV44" s="64" t="str">
        <f t="shared" si="106"/>
        <v/>
      </c>
      <c r="BW44" s="65" t="str">
        <f t="shared" si="107"/>
        <v/>
      </c>
      <c r="BX44" s="65" t="str">
        <f t="shared" si="108"/>
        <v/>
      </c>
      <c r="BY44" s="1" t="str">
        <f t="shared" si="109"/>
        <v/>
      </c>
      <c r="CA44" s="1" t="b">
        <f t="shared" si="66"/>
        <v>0</v>
      </c>
      <c r="CB44" s="1" t="str">
        <f t="shared" si="67"/>
        <v>microTech</v>
      </c>
      <c r="CC44" s="1" t="str">
        <f t="shared" si="68"/>
        <v/>
      </c>
      <c r="CD44" s="1" t="str">
        <f t="shared" si="69"/>
        <v/>
      </c>
      <c r="CE44" s="1" t="str">
        <f t="shared" si="70"/>
        <v/>
      </c>
      <c r="CF44" s="1" t="str">
        <f t="shared" si="71"/>
        <v/>
      </c>
      <c r="CG44" s="1" t="str">
        <f t="shared" si="72"/>
        <v/>
      </c>
      <c r="CH44" s="1" t="str">
        <f t="shared" si="73"/>
        <v/>
      </c>
      <c r="CI44" s="1" t="str">
        <f t="shared" si="74"/>
        <v/>
      </c>
      <c r="CK44" s="1" t="str">
        <f t="shared" si="75"/>
        <v/>
      </c>
      <c r="CL44" s="1" t="str">
        <f t="shared" si="76"/>
        <v/>
      </c>
      <c r="CM44" s="1" t="str">
        <f t="shared" si="77"/>
        <v/>
      </c>
      <c r="CN44" s="1">
        <f t="shared" si="78"/>
        <v>301</v>
      </c>
      <c r="CO44" s="64">
        <f t="shared" si="79"/>
        <v>-51</v>
      </c>
      <c r="CP44" s="66" t="str">
        <f t="shared" si="80"/>
        <v/>
      </c>
      <c r="CQ44" s="66" t="str">
        <f t="shared" si="81"/>
        <v/>
      </c>
      <c r="CR44" s="1" t="str">
        <f t="shared" si="82"/>
        <v/>
      </c>
      <c r="CS44" s="1">
        <f t="shared" si="83"/>
        <v>2068.8</v>
      </c>
    </row>
    <row r="45" customHeight="1" spans="21:97">
      <c r="U45" s="1" t="s">
        <v>410</v>
      </c>
      <c r="AC45" s="1">
        <f t="shared" si="18"/>
        <v>43435204.2882185</v>
      </c>
      <c r="AD45" s="1">
        <f t="shared" si="19"/>
        <v>-851406.955908429</v>
      </c>
      <c r="AE45" s="1">
        <f t="shared" si="20"/>
        <v>0</v>
      </c>
      <c r="AH45" s="1">
        <f t="shared" si="23"/>
        <v>1</v>
      </c>
      <c r="AI45" s="1">
        <f t="shared" si="24"/>
        <v>0</v>
      </c>
      <c r="AJ45" s="1">
        <f t="shared" si="25"/>
        <v>0</v>
      </c>
      <c r="AK45" s="1">
        <f t="shared" si="26"/>
        <v>0</v>
      </c>
      <c r="BA45" s="1" t="str">
        <f>CONCATENATE($B$1," R05")</f>
        <v>microTech R05</v>
      </c>
      <c r="BB45" s="2">
        <f t="shared" si="86"/>
        <v>1439.593</v>
      </c>
      <c r="BC45" s="2">
        <f t="shared" si="87"/>
        <v>0</v>
      </c>
      <c r="BD45" s="2">
        <f t="shared" si="88"/>
        <v>0</v>
      </c>
      <c r="BE45" s="1">
        <f t="shared" si="89"/>
        <v>0</v>
      </c>
      <c r="BF45" s="1">
        <f t="shared" si="90"/>
        <v>0</v>
      </c>
      <c r="BG45" s="1">
        <f t="shared" si="91"/>
        <v>0</v>
      </c>
      <c r="BH45" s="1">
        <f t="shared" si="92"/>
        <v>1439.593</v>
      </c>
      <c r="BI45" s="1">
        <f t="shared" si="93"/>
        <v>90</v>
      </c>
      <c r="BJ45" s="2">
        <f t="shared" si="94"/>
        <v>0</v>
      </c>
      <c r="BK45" s="2">
        <f t="shared" si="95"/>
        <v>0</v>
      </c>
      <c r="BL45" s="1">
        <f t="shared" si="96"/>
        <v>180</v>
      </c>
      <c r="BM45" s="1">
        <f t="shared" si="97"/>
        <v>0</v>
      </c>
      <c r="BN45" s="1">
        <f t="shared" si="98"/>
        <v>-90</v>
      </c>
      <c r="BO45" s="1" t="e">
        <f t="shared" si="99"/>
        <v>#DIV/0!</v>
      </c>
      <c r="BP45" s="64">
        <f t="shared" si="100"/>
        <v>-90</v>
      </c>
      <c r="BQ45" s="1" t="b">
        <f t="shared" si="101"/>
        <v>1</v>
      </c>
      <c r="BR45" s="1" t="str">
        <f t="shared" si="102"/>
        <v/>
      </c>
      <c r="BS45" s="1" t="str">
        <f t="shared" si="103"/>
        <v/>
      </c>
      <c r="BT45" s="1" t="str">
        <f t="shared" si="104"/>
        <v/>
      </c>
      <c r="BU45" s="1" t="str">
        <f t="shared" si="105"/>
        <v/>
      </c>
      <c r="BV45" s="64" t="str">
        <f t="shared" si="106"/>
        <v/>
      </c>
      <c r="BW45" s="65" t="str">
        <f t="shared" si="107"/>
        <v/>
      </c>
      <c r="BX45" s="65" t="str">
        <f t="shared" si="108"/>
        <v/>
      </c>
      <c r="BY45" s="1" t="str">
        <f t="shared" si="109"/>
        <v/>
      </c>
      <c r="CA45" s="1" t="b">
        <f t="shared" si="66"/>
        <v>0</v>
      </c>
      <c r="CB45" s="1" t="str">
        <f t="shared" si="67"/>
        <v>microTech</v>
      </c>
      <c r="CC45" s="1" t="str">
        <f t="shared" si="68"/>
        <v/>
      </c>
      <c r="CD45" s="1" t="str">
        <f t="shared" si="69"/>
        <v/>
      </c>
      <c r="CE45" s="1" t="str">
        <f t="shared" si="70"/>
        <v/>
      </c>
      <c r="CF45" s="1" t="str">
        <f t="shared" si="71"/>
        <v/>
      </c>
      <c r="CG45" s="1" t="str">
        <f t="shared" si="72"/>
        <v/>
      </c>
      <c r="CH45" s="1" t="str">
        <f t="shared" si="73"/>
        <v/>
      </c>
      <c r="CI45" s="1" t="str">
        <f t="shared" si="74"/>
        <v/>
      </c>
      <c r="CK45" s="1" t="str">
        <f t="shared" si="75"/>
        <v/>
      </c>
      <c r="CL45" s="1" t="str">
        <f t="shared" si="76"/>
        <v/>
      </c>
      <c r="CM45" s="1" t="str">
        <f t="shared" si="77"/>
        <v/>
      </c>
      <c r="CN45" s="1">
        <f t="shared" si="78"/>
        <v>227</v>
      </c>
      <c r="CO45" s="64">
        <f t="shared" si="79"/>
        <v>-12</v>
      </c>
      <c r="CP45" s="66" t="str">
        <f t="shared" si="80"/>
        <v/>
      </c>
      <c r="CQ45" s="66" t="str">
        <f t="shared" si="81"/>
        <v/>
      </c>
      <c r="CR45" s="1" t="str">
        <f t="shared" si="82"/>
        <v/>
      </c>
      <c r="CS45" s="1">
        <f t="shared" si="83"/>
        <v>1254.3</v>
      </c>
    </row>
    <row r="46" customHeight="1" spans="21:97">
      <c r="U46" s="1" t="s">
        <v>410</v>
      </c>
      <c r="AC46" s="1">
        <f t="shared" si="18"/>
        <v>43435204.2882185</v>
      </c>
      <c r="AD46" s="1">
        <f t="shared" si="19"/>
        <v>-851406.955908429</v>
      </c>
      <c r="AE46" s="1">
        <f t="shared" si="20"/>
        <v>0</v>
      </c>
      <c r="AH46" s="1">
        <f t="shared" si="23"/>
        <v>1</v>
      </c>
      <c r="AI46" s="1">
        <f t="shared" si="24"/>
        <v>0</v>
      </c>
      <c r="AJ46" s="1">
        <f t="shared" si="25"/>
        <v>0</v>
      </c>
      <c r="AK46" s="1">
        <f t="shared" si="26"/>
        <v>0</v>
      </c>
      <c r="BA46" s="1" t="str">
        <f>CONCATENATE($B$1," R06")</f>
        <v>microTech R06</v>
      </c>
      <c r="BB46" s="2">
        <f t="shared" si="86"/>
        <v>-1439.593</v>
      </c>
      <c r="BC46" s="2">
        <f t="shared" si="87"/>
        <v>0</v>
      </c>
      <c r="BD46" s="2">
        <f t="shared" si="88"/>
        <v>0</v>
      </c>
      <c r="BE46" s="1">
        <f t="shared" si="89"/>
        <v>0</v>
      </c>
      <c r="BF46" s="1">
        <f t="shared" si="90"/>
        <v>180</v>
      </c>
      <c r="BG46" s="1">
        <f t="shared" si="91"/>
        <v>180</v>
      </c>
      <c r="BH46" s="1">
        <f t="shared" si="92"/>
        <v>1439.593</v>
      </c>
      <c r="BI46" s="1">
        <f t="shared" si="93"/>
        <v>90</v>
      </c>
      <c r="BJ46" s="2">
        <f t="shared" si="94"/>
        <v>0</v>
      </c>
      <c r="BK46" s="2">
        <f t="shared" si="95"/>
        <v>0</v>
      </c>
      <c r="BL46" s="1">
        <f t="shared" si="96"/>
        <v>180</v>
      </c>
      <c r="BM46" s="1">
        <f t="shared" si="97"/>
        <v>180</v>
      </c>
      <c r="BN46" s="1">
        <f t="shared" si="98"/>
        <v>-90</v>
      </c>
      <c r="BO46" s="1">
        <f t="shared" si="99"/>
        <v>270</v>
      </c>
      <c r="BP46" s="64">
        <f t="shared" si="100"/>
        <v>90</v>
      </c>
      <c r="BQ46" s="1" t="b">
        <f t="shared" si="101"/>
        <v>1</v>
      </c>
      <c r="BR46" s="1" t="str">
        <f t="shared" si="102"/>
        <v/>
      </c>
      <c r="BS46" s="1" t="str">
        <f t="shared" si="103"/>
        <v/>
      </c>
      <c r="BT46" s="1" t="str">
        <f t="shared" si="104"/>
        <v/>
      </c>
      <c r="BU46" s="1" t="str">
        <f t="shared" si="105"/>
        <v/>
      </c>
      <c r="BV46" s="64" t="str">
        <f t="shared" si="106"/>
        <v/>
      </c>
      <c r="BW46" s="65" t="str">
        <f t="shared" si="107"/>
        <v/>
      </c>
      <c r="BX46" s="65" t="str">
        <f t="shared" si="108"/>
        <v/>
      </c>
      <c r="BY46" s="1" t="str">
        <f t="shared" si="109"/>
        <v/>
      </c>
      <c r="CA46" s="1" t="b">
        <f t="shared" si="66"/>
        <v>0</v>
      </c>
      <c r="CB46" s="1" t="str">
        <f t="shared" si="67"/>
        <v>microTech</v>
      </c>
      <c r="CC46" s="1" t="str">
        <f t="shared" si="68"/>
        <v/>
      </c>
      <c r="CD46" s="1" t="str">
        <f t="shared" si="69"/>
        <v/>
      </c>
      <c r="CE46" s="1" t="str">
        <f t="shared" si="70"/>
        <v/>
      </c>
      <c r="CF46" s="1" t="str">
        <f t="shared" si="71"/>
        <v/>
      </c>
      <c r="CG46" s="1" t="str">
        <f t="shared" si="72"/>
        <v/>
      </c>
      <c r="CH46" s="1" t="str">
        <f t="shared" si="73"/>
        <v/>
      </c>
      <c r="CI46" s="1" t="str">
        <f t="shared" si="74"/>
        <v/>
      </c>
      <c r="CK46" s="1" t="str">
        <f t="shared" si="75"/>
        <v/>
      </c>
      <c r="CL46" s="1" t="str">
        <f t="shared" si="76"/>
        <v/>
      </c>
      <c r="CM46" s="1" t="str">
        <f t="shared" si="77"/>
        <v/>
      </c>
      <c r="CN46" s="1">
        <f t="shared" si="78"/>
        <v>47</v>
      </c>
      <c r="CO46" s="64">
        <f t="shared" si="79"/>
        <v>-55</v>
      </c>
      <c r="CP46" s="66" t="str">
        <f t="shared" si="80"/>
        <v/>
      </c>
      <c r="CQ46" s="66" t="str">
        <f t="shared" si="81"/>
        <v/>
      </c>
      <c r="CR46" s="1" t="str">
        <f t="shared" si="82"/>
        <v/>
      </c>
      <c r="CS46" s="1">
        <f t="shared" si="83"/>
        <v>2138.2</v>
      </c>
    </row>
    <row r="90" customHeight="1" spans="6:6">
      <c r="F90" s="2">
        <f>VLOOKUP(CONCATENATE(G94," R00"),Database,14,FALSE)</f>
        <v>1439.593</v>
      </c>
    </row>
    <row r="92" customHeight="1" spans="6:6">
      <c r="F92" s="1" t="s">
        <v>179</v>
      </c>
    </row>
    <row r="93" customHeight="1" spans="6:14">
      <c r="F93" s="1" t="s">
        <v>181</v>
      </c>
      <c r="G93" s="1" t="s">
        <v>182</v>
      </c>
      <c r="H93" s="1" t="s">
        <v>12</v>
      </c>
      <c r="I93" s="1" t="s">
        <v>13</v>
      </c>
      <c r="J93" s="1" t="s">
        <v>14</v>
      </c>
      <c r="K93" s="1" t="s">
        <v>183</v>
      </c>
      <c r="L93" s="1" t="s">
        <v>184</v>
      </c>
      <c r="M93" s="1" t="s">
        <v>185</v>
      </c>
      <c r="N93" s="1" t="s">
        <v>186</v>
      </c>
    </row>
    <row r="94" customHeight="1" spans="6:10">
      <c r="F94" s="1" t="str">
        <f t="shared" ref="F94:F100" si="110">G94</f>
        <v>microTech</v>
      </c>
      <c r="G94" s="1" t="str">
        <f>B1</f>
        <v>microTech</v>
      </c>
      <c r="H94" s="1">
        <v>0</v>
      </c>
      <c r="I94" s="1">
        <v>0</v>
      </c>
      <c r="J94" s="1">
        <v>0</v>
      </c>
    </row>
    <row r="95" customHeight="1" spans="6:10">
      <c r="F95" s="1" t="str">
        <f t="shared" si="110"/>
        <v>OM1</v>
      </c>
      <c r="G95" s="1" t="str">
        <f>IF(MID(G$94,4,2)="-L","","OM1")</f>
        <v>OM1</v>
      </c>
      <c r="H95" s="1">
        <v>0</v>
      </c>
      <c r="I95" s="1">
        <v>0</v>
      </c>
      <c r="J95" s="2">
        <f>F90</f>
        <v>1439.593</v>
      </c>
    </row>
    <row r="96" customHeight="1" spans="6:10">
      <c r="F96" s="1" t="str">
        <f t="shared" si="110"/>
        <v>OM2</v>
      </c>
      <c r="G96" s="1" t="str">
        <f>IF(MID(G$94,4,2)="-L","","OM2")</f>
        <v>OM2</v>
      </c>
      <c r="H96" s="1">
        <v>0</v>
      </c>
      <c r="I96" s="1">
        <v>0</v>
      </c>
      <c r="J96" s="2">
        <f>-F90</f>
        <v>-1439.593</v>
      </c>
    </row>
    <row r="97" customHeight="1" spans="6:10">
      <c r="F97" s="1" t="str">
        <f t="shared" si="110"/>
        <v>OM3</v>
      </c>
      <c r="G97" s="1" t="str">
        <f>IF(MID(G$94,4,2)="-L","","OM3")</f>
        <v>OM3</v>
      </c>
      <c r="H97" s="1">
        <v>0</v>
      </c>
      <c r="I97" s="2">
        <f>F90</f>
        <v>1439.593</v>
      </c>
      <c r="J97" s="1">
        <v>0</v>
      </c>
    </row>
    <row r="98" customHeight="1" spans="6:10">
      <c r="F98" s="1" t="str">
        <f t="shared" si="110"/>
        <v>OM4</v>
      </c>
      <c r="G98" s="1" t="str">
        <f>IF(MID(G$94,4,2)="-L","","OM4")</f>
        <v>OM4</v>
      </c>
      <c r="H98" s="1">
        <v>0</v>
      </c>
      <c r="I98" s="2">
        <f>-F90</f>
        <v>-1439.593</v>
      </c>
      <c r="J98" s="1">
        <v>0</v>
      </c>
    </row>
    <row r="99" customHeight="1" spans="6:10">
      <c r="F99" s="1" t="str">
        <f t="shared" si="110"/>
        <v>OM5</v>
      </c>
      <c r="G99" s="1" t="str">
        <f>IF(MID(G$94,4,2)="-L","","OM5")</f>
        <v>OM5</v>
      </c>
      <c r="H99" s="2">
        <f>F90</f>
        <v>1439.593</v>
      </c>
      <c r="I99" s="1">
        <v>0</v>
      </c>
      <c r="J99" s="1">
        <v>0</v>
      </c>
    </row>
    <row r="100" customHeight="1" spans="6:10">
      <c r="F100" s="1" t="str">
        <f t="shared" si="110"/>
        <v>OM6</v>
      </c>
      <c r="G100" s="1" t="str">
        <f>IF(MID(G$94,4,2)="-L","","OM6")</f>
        <v>OM6</v>
      </c>
      <c r="H100" s="2">
        <f>-F90</f>
        <v>-1439.593</v>
      </c>
      <c r="I100" s="1">
        <v>0</v>
      </c>
      <c r="J100" s="1">
        <v>0</v>
      </c>
    </row>
    <row r="101" customHeight="1" spans="5:15">
      <c r="E101" s="1">
        <v>1</v>
      </c>
      <c r="F101" s="1" t="str">
        <f t="shared" ref="F101:F300" si="111">_xlfn.IFNA(IF(O101,G101,""),"")</f>
        <v>Babbage</v>
      </c>
      <c r="G101" s="1" t="str">
        <f t="shared" ref="G101:G132" si="112">_xlfn.IFNA(VLOOKUP(CONCATENATE(G$94," ",IF(E101&lt;10,"0",""),E101),Database,5,FALSE),"")</f>
        <v>Babbage</v>
      </c>
      <c r="H101" s="1">
        <f t="shared" ref="H101:H132" si="113">_xlfn.IFNA(VLOOKUP(CONCATENATE(G$94," ",IF(E101&lt;10,"0",""),E101),Database,6,FALSE),"")</f>
        <v>520.722992113</v>
      </c>
      <c r="I101" s="1">
        <f t="shared" ref="I101:I132" si="114">_xlfn.IFNA(VLOOKUP(CONCATENATE(G$94," ",IF(E101&lt;10,"0",""),E101),Database,7,FALSE),"")</f>
        <v>419.364313161999</v>
      </c>
      <c r="J101" s="1">
        <f t="shared" ref="J101:J132" si="115">_xlfn.IFNA(VLOOKUP(CONCATENATE(G$94," ",IF(E101&lt;10,"0",""),E101),Database,8,FALSE),"")</f>
        <v>743.654685314</v>
      </c>
      <c r="K101" s="1">
        <f t="shared" ref="K101:K132" si="116">_xlfn.IFNA(VLOOKUP(CONCATENATE(G$94," ",IF(E101&lt;10,"0",""),E101),Database,9,FALSE),"")</f>
        <v>0</v>
      </c>
      <c r="L101" s="1">
        <f t="shared" ref="L101:L132" si="117">_xlfn.IFNA(VLOOKUP(CONCATENATE(G$94," ",IF(E101&lt;10,"0",""),E101),Database,10,FALSE),"")</f>
        <v>0</v>
      </c>
      <c r="M101" s="1">
        <f t="shared" ref="M101:M132" si="118">_xlfn.IFNA(VLOOKUP(CONCATENATE(G$94," ",IF(E101&lt;10,"0",""),E101),Database,11,FALSE),"")</f>
        <v>0</v>
      </c>
      <c r="N101" s="1">
        <f t="shared" ref="N101:N132" si="119">_xlfn.IFNA(VLOOKUP(CONCATENATE(G$94," ",IF(E101&lt;10,"0",""),E101),Database,12,FALSE),"")</f>
        <v>0</v>
      </c>
      <c r="O101" s="1" t="b">
        <f t="shared" ref="O101:O132" si="120">_xlfn.IFNA(VLOOKUP(CONCATENATE(G$94," ",IF(E101&lt;10,"0",""),E101),Database,13,FALSE),"")</f>
        <v>1</v>
      </c>
    </row>
    <row r="102" customHeight="1" spans="5:15">
      <c r="E102" s="1">
        <v>2</v>
      </c>
      <c r="F102" s="1" t="str">
        <f t="shared" si="111"/>
        <v>Tressler</v>
      </c>
      <c r="G102" s="1" t="str">
        <f t="shared" si="112"/>
        <v>Tressler</v>
      </c>
      <c r="H102" s="1">
        <f t="shared" si="113"/>
        <v>561.471046150999</v>
      </c>
      <c r="I102" s="1">
        <f t="shared" si="114"/>
        <v>545.853017028999</v>
      </c>
      <c r="J102" s="1">
        <f t="shared" si="115"/>
        <v>808.831762530999</v>
      </c>
      <c r="K102" s="1">
        <f t="shared" si="116"/>
        <v>0</v>
      </c>
      <c r="L102" s="1">
        <f t="shared" si="117"/>
        <v>0</v>
      </c>
      <c r="M102" s="1">
        <f t="shared" si="118"/>
        <v>0</v>
      </c>
      <c r="N102" s="1">
        <f t="shared" si="119"/>
        <v>0</v>
      </c>
      <c r="O102" s="1" t="b">
        <f t="shared" si="120"/>
        <v>1</v>
      </c>
    </row>
    <row r="103" customHeight="1" spans="5:15">
      <c r="E103" s="1">
        <v>3</v>
      </c>
      <c r="F103" s="1" t="str">
        <f t="shared" si="111"/>
        <v>Rayari Deltana</v>
      </c>
      <c r="G103" s="1" t="str">
        <f t="shared" si="112"/>
        <v>Rayari Deltana</v>
      </c>
      <c r="H103" s="1">
        <f t="shared" si="113"/>
        <v>-693.909981009999</v>
      </c>
      <c r="I103" s="1">
        <f t="shared" si="114"/>
        <v>-648.298794758999</v>
      </c>
      <c r="J103" s="1">
        <f t="shared" si="115"/>
        <v>316.681366334</v>
      </c>
      <c r="K103" s="1">
        <f t="shared" si="116"/>
        <v>0</v>
      </c>
      <c r="L103" s="1">
        <f t="shared" si="117"/>
        <v>0</v>
      </c>
      <c r="M103" s="1">
        <f t="shared" si="118"/>
        <v>0</v>
      </c>
      <c r="N103" s="1">
        <f t="shared" si="119"/>
        <v>0</v>
      </c>
      <c r="O103" s="1" t="b">
        <f t="shared" si="120"/>
        <v>1</v>
      </c>
    </row>
    <row r="104" customHeight="1" spans="5:15">
      <c r="E104" s="1">
        <v>4</v>
      </c>
      <c r="F104" s="1" t="str">
        <f t="shared" si="111"/>
        <v>Shubin 10</v>
      </c>
      <c r="G104" s="1" t="str">
        <f t="shared" si="112"/>
        <v>Shubin 10</v>
      </c>
      <c r="H104" s="1">
        <f t="shared" si="113"/>
        <v>85.476133747</v>
      </c>
      <c r="I104" s="1">
        <f t="shared" si="114"/>
        <v>-950.855885394999</v>
      </c>
      <c r="J104" s="1">
        <f t="shared" si="115"/>
        <v>298.799440766</v>
      </c>
      <c r="K104" s="1">
        <f t="shared" si="116"/>
        <v>0</v>
      </c>
      <c r="L104" s="1">
        <f t="shared" si="117"/>
        <v>0</v>
      </c>
      <c r="M104" s="1">
        <f t="shared" si="118"/>
        <v>0</v>
      </c>
      <c r="N104" s="1">
        <f t="shared" si="119"/>
        <v>0</v>
      </c>
      <c r="O104" s="1" t="b">
        <f t="shared" si="120"/>
        <v>1</v>
      </c>
    </row>
    <row r="105" customHeight="1" spans="5:15">
      <c r="E105" s="1">
        <v>5</v>
      </c>
      <c r="F105" s="1" t="str">
        <f t="shared" si="111"/>
        <v>Shubin 13</v>
      </c>
      <c r="G105" s="1" t="str">
        <f t="shared" si="112"/>
        <v>Shubin 13</v>
      </c>
      <c r="H105" s="1">
        <f t="shared" si="113"/>
        <v>-172.818644799</v>
      </c>
      <c r="I105" s="1">
        <f t="shared" si="114"/>
        <v>-981.308336199</v>
      </c>
      <c r="J105" s="1">
        <f t="shared" si="115"/>
        <v>97.7671820489999</v>
      </c>
      <c r="K105" s="1">
        <f t="shared" si="116"/>
        <v>0</v>
      </c>
      <c r="L105" s="1">
        <f t="shared" si="117"/>
        <v>0</v>
      </c>
      <c r="M105" s="1">
        <f t="shared" si="118"/>
        <v>0</v>
      </c>
      <c r="N105" s="1">
        <f t="shared" si="119"/>
        <v>0</v>
      </c>
      <c r="O105" s="1" t="b">
        <f t="shared" si="120"/>
        <v>1</v>
      </c>
    </row>
    <row r="106" customHeight="1" spans="5:15">
      <c r="E106" s="1">
        <v>6</v>
      </c>
      <c r="F106" s="1" t="str">
        <f t="shared" si="111"/>
        <v>Shubin 18</v>
      </c>
      <c r="G106" s="1" t="str">
        <f t="shared" si="112"/>
        <v>Shubin 18</v>
      </c>
      <c r="H106" s="1">
        <f t="shared" si="113"/>
        <v>920.210111885</v>
      </c>
      <c r="I106" s="1">
        <f t="shared" si="114"/>
        <v>-389.541681947999</v>
      </c>
      <c r="J106" s="1">
        <f t="shared" si="115"/>
        <v>43.8368626559999</v>
      </c>
      <c r="K106" s="1">
        <f t="shared" si="116"/>
        <v>0</v>
      </c>
      <c r="L106" s="1">
        <f t="shared" si="117"/>
        <v>0</v>
      </c>
      <c r="M106" s="1">
        <f t="shared" si="118"/>
        <v>0</v>
      </c>
      <c r="N106" s="1">
        <f t="shared" si="119"/>
        <v>0</v>
      </c>
      <c r="O106" s="1" t="b">
        <f t="shared" si="120"/>
        <v>1</v>
      </c>
    </row>
    <row r="107" customHeight="1" spans="5:15">
      <c r="E107" s="1">
        <v>7</v>
      </c>
      <c r="F107" s="1" t="str">
        <f t="shared" si="111"/>
        <v>Shubin 22</v>
      </c>
      <c r="G107" s="1" t="str">
        <f t="shared" si="112"/>
        <v>Shubin 22</v>
      </c>
      <c r="H107" s="1">
        <f t="shared" si="113"/>
        <v>24.29854894</v>
      </c>
      <c r="I107" s="1">
        <f t="shared" si="114"/>
        <v>-822.590691274998</v>
      </c>
      <c r="J107" s="1">
        <f t="shared" si="115"/>
        <v>568.174190107999</v>
      </c>
      <c r="K107" s="1">
        <f t="shared" si="116"/>
        <v>0</v>
      </c>
      <c r="L107" s="1">
        <f t="shared" si="117"/>
        <v>0</v>
      </c>
      <c r="M107" s="1">
        <f t="shared" si="118"/>
        <v>0</v>
      </c>
      <c r="N107" s="1">
        <f t="shared" si="119"/>
        <v>0</v>
      </c>
      <c r="O107" s="1" t="b">
        <f t="shared" si="120"/>
        <v>1</v>
      </c>
    </row>
    <row r="108" customHeight="1" spans="5:15">
      <c r="E108" s="1">
        <v>8</v>
      </c>
      <c r="F108" s="1" t="str">
        <f t="shared" si="111"/>
        <v>Raven's Roost</v>
      </c>
      <c r="G108" s="1" t="str">
        <f t="shared" si="112"/>
        <v>Raven's Roost</v>
      </c>
      <c r="H108" s="1">
        <f t="shared" si="113"/>
        <v>355.903594579999</v>
      </c>
      <c r="I108" s="1">
        <f t="shared" si="114"/>
        <v>-75.593839481</v>
      </c>
      <c r="J108" s="1">
        <f t="shared" si="115"/>
        <v>932.64525482</v>
      </c>
      <c r="K108" s="1">
        <f t="shared" si="116"/>
        <v>0</v>
      </c>
      <c r="L108" s="1">
        <f t="shared" si="117"/>
        <v>0</v>
      </c>
      <c r="M108" s="1">
        <f t="shared" si="118"/>
        <v>0</v>
      </c>
      <c r="N108" s="1">
        <f t="shared" si="119"/>
        <v>0</v>
      </c>
      <c r="O108" s="1" t="b">
        <f t="shared" si="120"/>
        <v>1</v>
      </c>
    </row>
    <row r="109" customHeight="1" spans="5:15">
      <c r="E109" s="1">
        <v>9</v>
      </c>
      <c r="F109" s="1" t="str">
        <f t="shared" si="111"/>
        <v>Necropolis</v>
      </c>
      <c r="G109" s="1" t="str">
        <f t="shared" si="112"/>
        <v>Necropolis</v>
      </c>
      <c r="H109" s="1">
        <f t="shared" si="113"/>
        <v>63.642723848</v>
      </c>
      <c r="I109" s="1">
        <f t="shared" si="114"/>
        <v>-162.08523741</v>
      </c>
      <c r="J109" s="1">
        <f t="shared" si="115"/>
        <v>985.651018458</v>
      </c>
      <c r="K109" s="1">
        <f t="shared" si="116"/>
        <v>0</v>
      </c>
      <c r="L109" s="1">
        <f t="shared" si="117"/>
        <v>0</v>
      </c>
      <c r="M109" s="1">
        <f t="shared" si="118"/>
        <v>0</v>
      </c>
      <c r="N109" s="1">
        <f t="shared" si="119"/>
        <v>0</v>
      </c>
      <c r="O109" s="1" t="b">
        <f t="shared" si="120"/>
        <v>1</v>
      </c>
    </row>
    <row r="110" customHeight="1" spans="5:15">
      <c r="E110" s="1">
        <v>10</v>
      </c>
      <c r="F110" s="1" t="str">
        <f t="shared" si="111"/>
        <v>Outpost 54</v>
      </c>
      <c r="G110" s="1" t="str">
        <f t="shared" si="112"/>
        <v>Outpost 54</v>
      </c>
      <c r="H110" s="1">
        <f t="shared" si="113"/>
        <v>113.566409472</v>
      </c>
      <c r="I110" s="1">
        <f t="shared" si="114"/>
        <v>14.479383223</v>
      </c>
      <c r="J110" s="1">
        <f t="shared" si="115"/>
        <v>-994.362778214</v>
      </c>
      <c r="K110" s="1">
        <f t="shared" si="116"/>
        <v>0</v>
      </c>
      <c r="L110" s="1">
        <f t="shared" si="117"/>
        <v>0</v>
      </c>
      <c r="M110" s="1">
        <f t="shared" si="118"/>
        <v>0</v>
      </c>
      <c r="N110" s="1">
        <f t="shared" si="119"/>
        <v>0</v>
      </c>
      <c r="O110" s="1" t="b">
        <f t="shared" si="120"/>
        <v>1</v>
      </c>
    </row>
    <row r="111" customHeight="1" spans="5:15">
      <c r="E111" s="1">
        <v>11</v>
      </c>
      <c r="F111" s="1" t="str">
        <f t="shared" si="111"/>
        <v>DC 2UB</v>
      </c>
      <c r="G111" s="1" t="str">
        <f t="shared" si="112"/>
        <v>DC 2UB</v>
      </c>
      <c r="H111" s="1">
        <f t="shared" si="113"/>
        <v>907.001926866</v>
      </c>
      <c r="I111" s="1">
        <f t="shared" si="114"/>
        <v>139.908078669</v>
      </c>
      <c r="J111" s="1">
        <f t="shared" si="115"/>
        <v>-397.662409549999</v>
      </c>
      <c r="K111" s="1">
        <f t="shared" si="116"/>
        <v>0</v>
      </c>
      <c r="L111" s="1">
        <f t="shared" si="117"/>
        <v>0</v>
      </c>
      <c r="M111" s="1">
        <f t="shared" si="118"/>
        <v>0</v>
      </c>
      <c r="N111" s="1">
        <f t="shared" si="119"/>
        <v>0</v>
      </c>
      <c r="O111" s="1" t="b">
        <f t="shared" si="120"/>
        <v>1</v>
      </c>
    </row>
    <row r="112" customHeight="1" spans="5:15">
      <c r="E112" s="1">
        <v>12</v>
      </c>
      <c r="F112" s="1" t="str">
        <f t="shared" si="111"/>
        <v>DC 4HJ</v>
      </c>
      <c r="G112" s="1" t="str">
        <f t="shared" si="112"/>
        <v>DC 4HJ</v>
      </c>
      <c r="H112" s="1">
        <f t="shared" si="113"/>
        <v>-100.841420526999</v>
      </c>
      <c r="I112" s="1">
        <f t="shared" si="114"/>
        <v>962.406628046</v>
      </c>
      <c r="J112" s="1">
        <f t="shared" si="115"/>
        <v>-255.721361148</v>
      </c>
      <c r="K112" s="1">
        <f t="shared" si="116"/>
        <v>0</v>
      </c>
      <c r="L112" s="1">
        <f t="shared" si="117"/>
        <v>0</v>
      </c>
      <c r="M112" s="1">
        <f t="shared" si="118"/>
        <v>0</v>
      </c>
      <c r="N112" s="1">
        <f t="shared" si="119"/>
        <v>0</v>
      </c>
      <c r="O112" s="1" t="b">
        <f t="shared" si="120"/>
        <v>1</v>
      </c>
    </row>
    <row r="113" customHeight="1" spans="5:15">
      <c r="E113" s="1">
        <v>13</v>
      </c>
      <c r="F113" s="1" t="str">
        <f t="shared" si="111"/>
        <v>DC 5WQ</v>
      </c>
      <c r="G113" s="1" t="str">
        <f t="shared" si="112"/>
        <v>DC 5WQ</v>
      </c>
      <c r="H113" s="1">
        <f t="shared" si="113"/>
        <v>959.880006009</v>
      </c>
      <c r="I113" s="1">
        <f t="shared" si="114"/>
        <v>40.2947158029998</v>
      </c>
      <c r="J113" s="1">
        <f t="shared" si="115"/>
        <v>-279.073290281999</v>
      </c>
      <c r="K113" s="1">
        <f t="shared" si="116"/>
        <v>0</v>
      </c>
      <c r="L113" s="1">
        <f t="shared" si="117"/>
        <v>0</v>
      </c>
      <c r="M113" s="1">
        <f t="shared" si="118"/>
        <v>0</v>
      </c>
      <c r="N113" s="1">
        <f t="shared" si="119"/>
        <v>0</v>
      </c>
      <c r="O113" s="1" t="b">
        <f t="shared" si="120"/>
        <v>1</v>
      </c>
    </row>
    <row r="114" customHeight="1" spans="5:15">
      <c r="E114" s="1">
        <v>14</v>
      </c>
      <c r="F114" s="1" t="str">
        <f t="shared" si="111"/>
        <v>DC 8FK</v>
      </c>
      <c r="G114" s="1" t="str">
        <f t="shared" si="112"/>
        <v>DC 8FK</v>
      </c>
      <c r="H114" s="1">
        <f t="shared" si="113"/>
        <v>22.3972399909999</v>
      </c>
      <c r="I114" s="1">
        <f t="shared" si="114"/>
        <v>2.904963732</v>
      </c>
      <c r="J114" s="1">
        <f t="shared" si="115"/>
        <v>-1000.724867091</v>
      </c>
      <c r="K114" s="1">
        <f t="shared" si="116"/>
        <v>0</v>
      </c>
      <c r="L114" s="1">
        <f t="shared" si="117"/>
        <v>0</v>
      </c>
      <c r="M114" s="1">
        <f t="shared" si="118"/>
        <v>0</v>
      </c>
      <c r="N114" s="1">
        <f t="shared" si="119"/>
        <v>0</v>
      </c>
      <c r="O114" s="1" t="b">
        <f t="shared" si="120"/>
        <v>1</v>
      </c>
    </row>
    <row r="115" customHeight="1" spans="5:15">
      <c r="E115" s="1">
        <v>15</v>
      </c>
      <c r="F115" s="1" t="str">
        <f t="shared" si="111"/>
        <v>DC D79</v>
      </c>
      <c r="G115" s="1" t="str">
        <f t="shared" si="112"/>
        <v>DC D79</v>
      </c>
      <c r="H115" s="1">
        <f t="shared" si="113"/>
        <v>200.928137781</v>
      </c>
      <c r="I115" s="1">
        <f t="shared" si="114"/>
        <v>308.739605014999</v>
      </c>
      <c r="J115" s="1">
        <f t="shared" si="115"/>
        <v>-929.820080088</v>
      </c>
      <c r="K115" s="1">
        <f t="shared" si="116"/>
        <v>0</v>
      </c>
      <c r="L115" s="1">
        <f t="shared" si="117"/>
        <v>0</v>
      </c>
      <c r="M115" s="1">
        <f t="shared" si="118"/>
        <v>0</v>
      </c>
      <c r="N115" s="1">
        <f t="shared" si="119"/>
        <v>0</v>
      </c>
      <c r="O115" s="1" t="b">
        <f t="shared" si="120"/>
        <v>1</v>
      </c>
    </row>
    <row r="116" customHeight="1" spans="5:15">
      <c r="E116" s="1">
        <v>16</v>
      </c>
      <c r="F116" s="1" t="str">
        <f t="shared" si="111"/>
        <v>DC E2Q</v>
      </c>
      <c r="G116" s="1" t="str">
        <f t="shared" si="112"/>
        <v>DC E2Q</v>
      </c>
      <c r="H116" s="1">
        <f t="shared" si="113"/>
        <v>916.831795390999</v>
      </c>
      <c r="I116" s="1">
        <f t="shared" si="114"/>
        <v>187.159489357999</v>
      </c>
      <c r="J116" s="1">
        <f t="shared" si="115"/>
        <v>-354.144106525</v>
      </c>
      <c r="K116" s="1">
        <f t="shared" si="116"/>
        <v>0</v>
      </c>
      <c r="L116" s="1">
        <f t="shared" si="117"/>
        <v>0</v>
      </c>
      <c r="M116" s="1">
        <f t="shared" si="118"/>
        <v>0</v>
      </c>
      <c r="N116" s="1">
        <f t="shared" si="119"/>
        <v>0</v>
      </c>
      <c r="O116" s="1" t="b">
        <f t="shared" si="120"/>
        <v>1</v>
      </c>
    </row>
    <row r="117" customHeight="1" spans="5:15">
      <c r="E117" s="1">
        <v>17</v>
      </c>
      <c r="F117" s="1" t="str">
        <f t="shared" si="111"/>
        <v>DC KH3</v>
      </c>
      <c r="G117" s="1" t="str">
        <f t="shared" si="112"/>
        <v>DC KH3</v>
      </c>
      <c r="H117" s="1">
        <f t="shared" si="113"/>
        <v>-468.928187746</v>
      </c>
      <c r="I117" s="1">
        <f t="shared" si="114"/>
        <v>801.472605984</v>
      </c>
      <c r="J117" s="1">
        <f t="shared" si="115"/>
        <v>-375.315782979</v>
      </c>
      <c r="K117" s="1">
        <f t="shared" si="116"/>
        <v>0</v>
      </c>
      <c r="L117" s="1">
        <f t="shared" si="117"/>
        <v>0</v>
      </c>
      <c r="M117" s="1">
        <f t="shared" si="118"/>
        <v>0</v>
      </c>
      <c r="N117" s="1">
        <f t="shared" si="119"/>
        <v>0</v>
      </c>
      <c r="O117" s="1" t="b">
        <f t="shared" si="120"/>
        <v>1</v>
      </c>
    </row>
    <row r="118" customHeight="1" spans="5:15">
      <c r="E118" s="1">
        <v>18</v>
      </c>
      <c r="F118" s="1" t="str">
        <f t="shared" si="111"/>
        <v>DC L8P</v>
      </c>
      <c r="G118" s="1" t="str">
        <f t="shared" si="112"/>
        <v>DC L8P</v>
      </c>
      <c r="H118" s="1">
        <f t="shared" si="113"/>
        <v>-86.563453194</v>
      </c>
      <c r="I118" s="1">
        <f t="shared" si="114"/>
        <v>218.55998655</v>
      </c>
      <c r="J118" s="1">
        <f t="shared" si="115"/>
        <v>-972.069793889999</v>
      </c>
      <c r="K118" s="1">
        <f t="shared" si="116"/>
        <v>0</v>
      </c>
      <c r="L118" s="1">
        <f t="shared" si="117"/>
        <v>0</v>
      </c>
      <c r="M118" s="1">
        <f t="shared" si="118"/>
        <v>0</v>
      </c>
      <c r="N118" s="1">
        <f t="shared" si="119"/>
        <v>0</v>
      </c>
      <c r="O118" s="1" t="b">
        <f t="shared" si="120"/>
        <v>1</v>
      </c>
    </row>
    <row r="119" customHeight="1" spans="5:15">
      <c r="E119" s="1">
        <v>19</v>
      </c>
      <c r="F119" s="1" t="str">
        <f t="shared" si="111"/>
        <v>DC QVX</v>
      </c>
      <c r="G119" s="1" t="str">
        <f t="shared" si="112"/>
        <v>DC QVX</v>
      </c>
      <c r="H119" s="1">
        <f t="shared" si="113"/>
        <v>-247.944541911</v>
      </c>
      <c r="I119" s="1">
        <f t="shared" si="114"/>
        <v>892.69862661</v>
      </c>
      <c r="J119" s="1">
        <f t="shared" si="115"/>
        <v>-379.677863927</v>
      </c>
      <c r="K119" s="1">
        <f t="shared" si="116"/>
        <v>0</v>
      </c>
      <c r="L119" s="1">
        <f t="shared" si="117"/>
        <v>0</v>
      </c>
      <c r="M119" s="1">
        <f t="shared" si="118"/>
        <v>0</v>
      </c>
      <c r="N119" s="1">
        <f t="shared" si="119"/>
        <v>0</v>
      </c>
      <c r="O119" s="1" t="b">
        <f t="shared" si="120"/>
        <v>1</v>
      </c>
    </row>
    <row r="120" customHeight="1" spans="5:15">
      <c r="E120" s="1">
        <v>20</v>
      </c>
      <c r="F120" s="1" t="str">
        <f t="shared" si="111"/>
        <v>DC TMG</v>
      </c>
      <c r="G120" s="1" t="str">
        <f t="shared" si="112"/>
        <v>DC TMG</v>
      </c>
      <c r="H120" s="1">
        <f t="shared" si="113"/>
        <v>-160.991677441999</v>
      </c>
      <c r="I120" s="1">
        <f t="shared" si="114"/>
        <v>62.4419799809999</v>
      </c>
      <c r="J120" s="1">
        <f t="shared" si="115"/>
        <v>985.997622497</v>
      </c>
      <c r="K120" s="1">
        <f t="shared" si="116"/>
        <v>0</v>
      </c>
      <c r="L120" s="1">
        <f t="shared" si="117"/>
        <v>0</v>
      </c>
      <c r="M120" s="1">
        <f t="shared" si="118"/>
        <v>0</v>
      </c>
      <c r="N120" s="1">
        <f t="shared" si="119"/>
        <v>0</v>
      </c>
      <c r="O120" s="1" t="b">
        <f t="shared" si="120"/>
        <v>1</v>
      </c>
    </row>
    <row r="121" customHeight="1" spans="5:15">
      <c r="E121" s="1">
        <v>21</v>
      </c>
      <c r="F121" s="1" t="str">
        <f t="shared" si="111"/>
        <v>OpCtr LTI-4</v>
      </c>
      <c r="G121" s="1" t="str">
        <f t="shared" si="112"/>
        <v>OpCtr LTI-4</v>
      </c>
      <c r="H121" s="1">
        <f t="shared" si="113"/>
        <v>68.3643821809999</v>
      </c>
      <c r="I121" s="1">
        <f t="shared" si="114"/>
        <v>64.2762099499999</v>
      </c>
      <c r="J121" s="1">
        <f t="shared" si="115"/>
        <v>-996.489556525</v>
      </c>
      <c r="K121" s="1">
        <f t="shared" si="116"/>
        <v>0</v>
      </c>
      <c r="L121" s="1">
        <f t="shared" si="117"/>
        <v>0</v>
      </c>
      <c r="M121" s="1">
        <f t="shared" si="118"/>
        <v>0</v>
      </c>
      <c r="N121" s="1">
        <f t="shared" si="119"/>
        <v>0</v>
      </c>
      <c r="O121" s="1" t="b">
        <f t="shared" si="120"/>
        <v>1</v>
      </c>
    </row>
    <row r="122" customHeight="1" spans="5:15">
      <c r="E122" s="1">
        <v>22</v>
      </c>
      <c r="F122" s="1" t="str">
        <f t="shared" si="111"/>
        <v>Calhoun Pass</v>
      </c>
      <c r="G122" s="1" t="str">
        <f t="shared" si="112"/>
        <v>Calhoun Pass</v>
      </c>
      <c r="H122" s="1">
        <f t="shared" si="113"/>
        <v>938.116231367</v>
      </c>
      <c r="I122" s="1">
        <f t="shared" si="114"/>
        <v>-347.817930592</v>
      </c>
      <c r="J122" s="1">
        <f t="shared" si="115"/>
        <v>31.707663433</v>
      </c>
      <c r="K122" s="1">
        <f t="shared" si="116"/>
        <v>0</v>
      </c>
      <c r="L122" s="1">
        <f t="shared" si="117"/>
        <v>0</v>
      </c>
      <c r="M122" s="1">
        <f t="shared" si="118"/>
        <v>0</v>
      </c>
      <c r="N122" s="1">
        <f t="shared" si="119"/>
        <v>0</v>
      </c>
      <c r="O122" s="1" t="b">
        <f t="shared" si="120"/>
        <v>1</v>
      </c>
    </row>
    <row r="123" customHeight="1" spans="5:15">
      <c r="E123" s="1">
        <v>23</v>
      </c>
      <c r="F123" s="1" t="str">
        <f t="shared" si="111"/>
        <v>Clear View</v>
      </c>
      <c r="G123" s="1" t="str">
        <f t="shared" si="112"/>
        <v>Clear View</v>
      </c>
      <c r="H123" s="1">
        <f t="shared" si="113"/>
        <v>-609.561071826</v>
      </c>
      <c r="I123" s="1">
        <f t="shared" si="114"/>
        <v>-688.363323031999</v>
      </c>
      <c r="J123" s="1">
        <f t="shared" si="115"/>
        <v>393.203256016</v>
      </c>
      <c r="K123" s="1">
        <f t="shared" si="116"/>
        <v>0</v>
      </c>
      <c r="L123" s="1">
        <f t="shared" si="117"/>
        <v>0</v>
      </c>
      <c r="M123" s="1">
        <f t="shared" si="118"/>
        <v>0</v>
      </c>
      <c r="N123" s="1">
        <f t="shared" si="119"/>
        <v>0</v>
      </c>
      <c r="O123" s="1" t="b">
        <f t="shared" si="120"/>
        <v>1</v>
      </c>
    </row>
    <row r="124" customHeight="1" spans="5:15">
      <c r="E124" s="1">
        <v>24</v>
      </c>
      <c r="F124" s="1" t="str">
        <f t="shared" si="111"/>
        <v/>
      </c>
      <c r="G124" s="1" t="str">
        <f t="shared" si="112"/>
        <v>Spaceport</v>
      </c>
      <c r="H124" s="1">
        <f t="shared" si="113"/>
        <v>520.320401830282</v>
      </c>
      <c r="I124" s="1">
        <f t="shared" si="114"/>
        <v>435.102213305407</v>
      </c>
      <c r="J124" s="1">
        <f t="shared" si="115"/>
        <v>736.226011636578</v>
      </c>
      <c r="K124" s="1">
        <f t="shared" si="116"/>
        <v>0</v>
      </c>
      <c r="L124" s="1">
        <f t="shared" si="117"/>
        <v>0</v>
      </c>
      <c r="M124" s="1">
        <f t="shared" si="118"/>
        <v>0</v>
      </c>
      <c r="N124" s="1">
        <f t="shared" si="119"/>
        <v>0</v>
      </c>
      <c r="O124" s="1" t="b">
        <f t="shared" si="120"/>
        <v>0</v>
      </c>
    </row>
    <row r="125" customHeight="1" spans="5:15">
      <c r="E125" s="1">
        <v>25</v>
      </c>
      <c r="F125" s="1" t="str">
        <f t="shared" si="111"/>
        <v>Point Wain</v>
      </c>
      <c r="G125" s="1" t="str">
        <f t="shared" si="112"/>
        <v>Point Wain</v>
      </c>
      <c r="H125" s="1">
        <f t="shared" si="113"/>
        <v>-627.440743631</v>
      </c>
      <c r="I125" s="1">
        <f t="shared" si="114"/>
        <v>-485.258151323998</v>
      </c>
      <c r="J125" s="1">
        <f t="shared" si="115"/>
        <v>611.733181289999</v>
      </c>
      <c r="K125" s="1">
        <f t="shared" si="116"/>
        <v>0</v>
      </c>
      <c r="L125" s="1">
        <f t="shared" si="117"/>
        <v>0</v>
      </c>
      <c r="M125" s="1">
        <f t="shared" si="118"/>
        <v>0</v>
      </c>
      <c r="N125" s="1">
        <f t="shared" si="119"/>
        <v>0</v>
      </c>
      <c r="O125" s="1" t="b">
        <f t="shared" si="120"/>
        <v>1</v>
      </c>
    </row>
    <row r="126" customHeight="1" spans="5:15">
      <c r="E126" s="1">
        <v>26</v>
      </c>
      <c r="F126" s="1" t="str">
        <f t="shared" si="111"/>
        <v>Ghost Hollow</v>
      </c>
      <c r="G126" s="1" t="str">
        <f t="shared" si="112"/>
        <v>Ghost Hollow</v>
      </c>
      <c r="H126" s="1">
        <f t="shared" si="113"/>
        <v>-127.193553939</v>
      </c>
      <c r="I126" s="1">
        <f t="shared" si="114"/>
        <v>982.003985381999</v>
      </c>
      <c r="J126" s="1">
        <f t="shared" si="115"/>
        <v>149.145067474999</v>
      </c>
      <c r="K126" s="1">
        <f t="shared" si="116"/>
        <v>0</v>
      </c>
      <c r="L126" s="1">
        <f t="shared" si="117"/>
        <v>0</v>
      </c>
      <c r="M126" s="1">
        <f t="shared" si="118"/>
        <v>0</v>
      </c>
      <c r="N126" s="1">
        <f t="shared" si="119"/>
        <v>0</v>
      </c>
      <c r="O126" s="1" t="b">
        <f t="shared" si="120"/>
        <v>1</v>
      </c>
    </row>
    <row r="127" customHeight="1" spans="5:15">
      <c r="E127" s="1">
        <v>27</v>
      </c>
      <c r="F127" s="1" t="str">
        <f t="shared" si="111"/>
        <v>ST4-22</v>
      </c>
      <c r="G127" s="1" t="str">
        <f t="shared" si="112"/>
        <v>ST4-22</v>
      </c>
      <c r="H127" s="1">
        <f t="shared" si="113"/>
        <v>1395.18702770233</v>
      </c>
      <c r="I127" s="1">
        <f t="shared" si="114"/>
        <v>1967.74453779602</v>
      </c>
      <c r="J127" s="1">
        <f t="shared" si="115"/>
        <v>24</v>
      </c>
      <c r="K127" s="1">
        <f t="shared" si="116"/>
        <v>0</v>
      </c>
      <c r="L127" s="1">
        <f t="shared" si="117"/>
        <v>0</v>
      </c>
      <c r="M127" s="1">
        <f t="shared" si="118"/>
        <v>0</v>
      </c>
      <c r="N127" s="1">
        <f t="shared" si="119"/>
        <v>0</v>
      </c>
      <c r="O127" s="1" t="b">
        <f t="shared" si="120"/>
        <v>1</v>
      </c>
    </row>
    <row r="128" customHeight="1" spans="5:15">
      <c r="E128" s="1">
        <v>28</v>
      </c>
      <c r="F128" s="1" t="str">
        <f t="shared" si="111"/>
        <v>Astors</v>
      </c>
      <c r="G128" s="1" t="str">
        <f t="shared" si="112"/>
        <v>Astors</v>
      </c>
      <c r="H128" s="1">
        <f t="shared" si="113"/>
        <v>-810.219016957</v>
      </c>
      <c r="I128" s="1">
        <f t="shared" si="114"/>
        <v>577.883641289</v>
      </c>
      <c r="J128" s="1">
        <f t="shared" si="115"/>
        <v>-101.430451723</v>
      </c>
      <c r="K128" s="1">
        <f t="shared" si="116"/>
        <v>0</v>
      </c>
      <c r="L128" s="1">
        <f t="shared" si="117"/>
        <v>0</v>
      </c>
      <c r="M128" s="1">
        <f t="shared" si="118"/>
        <v>0</v>
      </c>
      <c r="N128" s="1">
        <f t="shared" si="119"/>
        <v>0</v>
      </c>
      <c r="O128" s="1" t="b">
        <f t="shared" si="120"/>
        <v>1</v>
      </c>
    </row>
    <row r="129" customHeight="1" spans="5:15">
      <c r="E129" s="1">
        <v>29</v>
      </c>
      <c r="F129" s="1" t="str">
        <f t="shared" si="111"/>
        <v/>
      </c>
      <c r="G129" s="1" t="str">
        <f t="shared" si="112"/>
        <v>Bloodshot</v>
      </c>
      <c r="H129" s="1">
        <f t="shared" si="113"/>
        <v>733.939579616999</v>
      </c>
      <c r="I129" s="1">
        <f t="shared" si="114"/>
        <v>-674.64842261</v>
      </c>
      <c r="J129" s="1">
        <f t="shared" si="115"/>
        <v>101.875648837999</v>
      </c>
      <c r="K129" s="1">
        <f t="shared" si="116"/>
        <v>0</v>
      </c>
      <c r="L129" s="1">
        <f t="shared" si="117"/>
        <v>0</v>
      </c>
      <c r="M129" s="1">
        <f t="shared" si="118"/>
        <v>0</v>
      </c>
      <c r="N129" s="1">
        <f t="shared" si="119"/>
        <v>0</v>
      </c>
      <c r="O129" s="1" t="b">
        <f t="shared" si="120"/>
        <v>0</v>
      </c>
    </row>
    <row r="130" customHeight="1" spans="5:15">
      <c r="E130" s="1">
        <v>30</v>
      </c>
      <c r="F130" s="1" t="str">
        <f t="shared" si="111"/>
        <v>Dunboro</v>
      </c>
      <c r="G130" s="1" t="str">
        <f t="shared" si="112"/>
        <v>Dunboro</v>
      </c>
      <c r="H130" s="1">
        <f t="shared" si="113"/>
        <v>-735.672192799999</v>
      </c>
      <c r="I130" s="1">
        <f t="shared" si="114"/>
        <v>678.040346404999</v>
      </c>
      <c r="J130" s="1">
        <f t="shared" si="115"/>
        <v>9.30993913099999</v>
      </c>
      <c r="K130" s="1">
        <f t="shared" si="116"/>
        <v>0</v>
      </c>
      <c r="L130" s="1">
        <f t="shared" si="117"/>
        <v>0</v>
      </c>
      <c r="M130" s="1">
        <f t="shared" si="118"/>
        <v>0</v>
      </c>
      <c r="N130" s="1">
        <f t="shared" si="119"/>
        <v>0</v>
      </c>
      <c r="O130" s="1" t="b">
        <f t="shared" si="120"/>
        <v>1</v>
      </c>
    </row>
    <row r="131" customHeight="1" spans="5:15">
      <c r="E131" s="1">
        <v>31</v>
      </c>
      <c r="F131" s="1" t="str">
        <f t="shared" si="111"/>
        <v/>
      </c>
      <c r="G131" s="1" t="str">
        <f t="shared" si="112"/>
        <v>Frostbite</v>
      </c>
      <c r="H131" s="1">
        <f t="shared" si="113"/>
        <v>539.619934335</v>
      </c>
      <c r="I131" s="1">
        <f t="shared" si="114"/>
        <v>762.338992717999</v>
      </c>
      <c r="J131" s="1">
        <f t="shared" si="115"/>
        <v>-361.447888067</v>
      </c>
      <c r="K131" s="1">
        <f t="shared" si="116"/>
        <v>0</v>
      </c>
      <c r="L131" s="1">
        <f t="shared" si="117"/>
        <v>0</v>
      </c>
      <c r="M131" s="1">
        <f t="shared" si="118"/>
        <v>0</v>
      </c>
      <c r="N131" s="1">
        <f t="shared" si="119"/>
        <v>0</v>
      </c>
      <c r="O131" s="1" t="b">
        <f t="shared" si="120"/>
        <v>0</v>
      </c>
    </row>
    <row r="132" customHeight="1" spans="5:15">
      <c r="E132" s="1">
        <v>32</v>
      </c>
      <c r="F132" s="1" t="str">
        <f t="shared" si="111"/>
        <v>Harpers</v>
      </c>
      <c r="G132" s="1" t="str">
        <f t="shared" si="112"/>
        <v>Harpers</v>
      </c>
      <c r="H132" s="1">
        <f t="shared" si="113"/>
        <v>-687.373417784</v>
      </c>
      <c r="I132" s="1">
        <f t="shared" si="114"/>
        <v>716.61301141</v>
      </c>
      <c r="J132" s="1">
        <f t="shared" si="115"/>
        <v>128.227454472</v>
      </c>
      <c r="K132" s="1">
        <f t="shared" si="116"/>
        <v>0</v>
      </c>
      <c r="L132" s="1">
        <f t="shared" si="117"/>
        <v>0</v>
      </c>
      <c r="M132" s="1">
        <f t="shared" si="118"/>
        <v>0</v>
      </c>
      <c r="N132" s="1">
        <f t="shared" si="119"/>
        <v>0</v>
      </c>
      <c r="O132" s="1" t="b">
        <f t="shared" si="120"/>
        <v>1</v>
      </c>
    </row>
    <row r="133" customHeight="1" spans="5:15">
      <c r="E133" s="1">
        <v>33</v>
      </c>
      <c r="F133" s="1" t="str">
        <f t="shared" si="111"/>
        <v/>
      </c>
      <c r="G133" s="1" t="str">
        <f t="shared" ref="G133:G164" si="121">_xlfn.IFNA(VLOOKUP(CONCATENATE(G$94," ",IF(E133&lt;10,"0",""),E133),Database,5,FALSE),"")</f>
        <v>Moreland</v>
      </c>
      <c r="H133" s="1">
        <f t="shared" ref="H133:H164" si="122">_xlfn.IFNA(VLOOKUP(CONCATENATE(G$94," ",IF(E133&lt;10,"0",""),E133),Database,6,FALSE),"")</f>
        <v>-665.087764925</v>
      </c>
      <c r="I133" s="1">
        <f t="shared" ref="I133:I164" si="123">_xlfn.IFNA(VLOOKUP(CONCATENATE(G$94," ",IF(E133&lt;10,"0",""),E133),Database,7,FALSE),"")</f>
        <v>726.918075026</v>
      </c>
      <c r="J133" s="1">
        <f t="shared" ref="J133:J164" si="124">_xlfn.IFNA(VLOOKUP(CONCATENATE(G$94," ",IF(E133&lt;10,"0",""),E133),Database,8,FALSE),"")</f>
        <v>178.063924494</v>
      </c>
      <c r="K133" s="1">
        <f t="shared" ref="K133:K164" si="125">_xlfn.IFNA(VLOOKUP(CONCATENATE(G$94," ",IF(E133&lt;10,"0",""),E133),Database,9,FALSE),"")</f>
        <v>0</v>
      </c>
      <c r="L133" s="1">
        <f t="shared" ref="L133:L164" si="126">_xlfn.IFNA(VLOOKUP(CONCATENATE(G$94," ",IF(E133&lt;10,"0",""),E133),Database,10,FALSE),"")</f>
        <v>0</v>
      </c>
      <c r="M133" s="1">
        <f t="shared" ref="M133:M164" si="127">_xlfn.IFNA(VLOOKUP(CONCATENATE(G$94," ",IF(E133&lt;10,"0",""),E133),Database,11,FALSE),"")</f>
        <v>0</v>
      </c>
      <c r="N133" s="1">
        <f t="shared" ref="N133:N164" si="128">_xlfn.IFNA(VLOOKUP(CONCATENATE(G$94," ",IF(E133&lt;10,"0",""),E133),Database,12,FALSE),"")</f>
        <v>0</v>
      </c>
      <c r="O133" s="1" t="b">
        <f t="shared" ref="O133:O164" si="129">_xlfn.IFNA(VLOOKUP(CONCATENATE(G$94," ",IF(E133&lt;10,"0",""),E133),Database,13,FALSE),"")</f>
        <v>0</v>
      </c>
    </row>
    <row r="134" customHeight="1" spans="5:15">
      <c r="E134" s="1">
        <v>34</v>
      </c>
      <c r="F134" s="1" t="str">
        <f t="shared" si="111"/>
        <v/>
      </c>
      <c r="G134" s="1" t="str">
        <f t="shared" si="121"/>
        <v>Razors</v>
      </c>
      <c r="H134" s="1">
        <f t="shared" si="122"/>
        <v>-666.067306713999</v>
      </c>
      <c r="I134" s="1">
        <f t="shared" si="123"/>
        <v>726.221158387999</v>
      </c>
      <c r="J134" s="1">
        <f t="shared" si="124"/>
        <v>179.517785705999</v>
      </c>
      <c r="K134" s="1">
        <f t="shared" si="125"/>
        <v>0</v>
      </c>
      <c r="L134" s="1">
        <f t="shared" si="126"/>
        <v>0</v>
      </c>
      <c r="M134" s="1">
        <f t="shared" si="127"/>
        <v>0</v>
      </c>
      <c r="N134" s="1">
        <f t="shared" si="128"/>
        <v>0</v>
      </c>
      <c r="O134" s="1" t="b">
        <f t="shared" si="129"/>
        <v>0</v>
      </c>
    </row>
    <row r="135" customHeight="1" spans="5:15">
      <c r="E135" s="1">
        <v>35</v>
      </c>
      <c r="F135" s="1" t="str">
        <f t="shared" si="111"/>
        <v>S4DC05</v>
      </c>
      <c r="G135" s="1" t="str">
        <f t="shared" si="121"/>
        <v>S4DC05</v>
      </c>
      <c r="H135" s="1">
        <f t="shared" si="122"/>
        <v>-332.505016295999</v>
      </c>
      <c r="I135" s="1">
        <f t="shared" si="123"/>
        <v>897.833806883999</v>
      </c>
      <c r="J135" s="1">
        <f t="shared" si="124"/>
        <v>-290.234081721</v>
      </c>
      <c r="K135" s="1">
        <f t="shared" si="125"/>
        <v>0</v>
      </c>
      <c r="L135" s="1">
        <f t="shared" si="126"/>
        <v>0</v>
      </c>
      <c r="M135" s="1">
        <f t="shared" si="127"/>
        <v>0</v>
      </c>
      <c r="N135" s="1">
        <f t="shared" si="128"/>
        <v>0</v>
      </c>
      <c r="O135" s="1" t="b">
        <f t="shared" si="129"/>
        <v>1</v>
      </c>
    </row>
    <row r="136" customHeight="1" spans="5:15">
      <c r="E136" s="1">
        <v>36</v>
      </c>
      <c r="F136" s="1" t="str">
        <f t="shared" si="111"/>
        <v>CryAstro 19-02</v>
      </c>
      <c r="G136" s="1" t="str">
        <f t="shared" si="121"/>
        <v>CryAstro 19-02</v>
      </c>
      <c r="H136" s="1">
        <f t="shared" si="122"/>
        <v>584.139223971999</v>
      </c>
      <c r="I136" s="1">
        <f t="shared" si="123"/>
        <v>-0.789386706</v>
      </c>
      <c r="J136" s="1">
        <f t="shared" si="124"/>
        <v>812.169190745</v>
      </c>
      <c r="K136" s="1">
        <f t="shared" si="125"/>
        <v>0</v>
      </c>
      <c r="L136" s="1">
        <f t="shared" si="126"/>
        <v>0</v>
      </c>
      <c r="M136" s="1">
        <f t="shared" si="127"/>
        <v>0</v>
      </c>
      <c r="N136" s="1">
        <f t="shared" si="128"/>
        <v>0</v>
      </c>
      <c r="O136" s="1" t="b">
        <f t="shared" si="129"/>
        <v>1</v>
      </c>
    </row>
    <row r="137" customHeight="1" spans="5:15">
      <c r="E137" s="1">
        <v>37</v>
      </c>
      <c r="F137" s="1" t="str">
        <f t="shared" si="111"/>
        <v>CryAstro 34-12</v>
      </c>
      <c r="G137" s="1" t="str">
        <f t="shared" si="121"/>
        <v>CryAstro 34-12</v>
      </c>
      <c r="H137" s="1">
        <f t="shared" si="122"/>
        <v>-316.284851151</v>
      </c>
      <c r="I137" s="1">
        <f t="shared" si="123"/>
        <v>-882.04033701</v>
      </c>
      <c r="J137" s="1">
        <f t="shared" si="124"/>
        <v>-350.639382315</v>
      </c>
      <c r="K137" s="1">
        <f t="shared" si="125"/>
        <v>0</v>
      </c>
      <c r="L137" s="1">
        <f t="shared" si="126"/>
        <v>0</v>
      </c>
      <c r="M137" s="1">
        <f t="shared" si="127"/>
        <v>0</v>
      </c>
      <c r="N137" s="1">
        <f t="shared" si="128"/>
        <v>0</v>
      </c>
      <c r="O137" s="1" t="b">
        <f t="shared" si="129"/>
        <v>1</v>
      </c>
    </row>
    <row r="138" customHeight="1" spans="5:15">
      <c r="E138" s="1">
        <v>38</v>
      </c>
      <c r="F138" s="1" t="str">
        <f t="shared" si="111"/>
        <v>Greycat IV PCA</v>
      </c>
      <c r="G138" s="1" t="str">
        <f t="shared" si="121"/>
        <v>Greycat IV PCA</v>
      </c>
      <c r="H138" s="1">
        <f t="shared" si="122"/>
        <v>-423.347337066999</v>
      </c>
      <c r="I138" s="1">
        <f t="shared" si="123"/>
        <v>-141.168748082</v>
      </c>
      <c r="J138" s="1">
        <f t="shared" si="124"/>
        <v>-895.144870543</v>
      </c>
      <c r="K138" s="1">
        <f t="shared" si="125"/>
        <v>0</v>
      </c>
      <c r="L138" s="1">
        <f t="shared" si="126"/>
        <v>0</v>
      </c>
      <c r="M138" s="1">
        <f t="shared" si="127"/>
        <v>0</v>
      </c>
      <c r="N138" s="1">
        <f t="shared" si="128"/>
        <v>0</v>
      </c>
      <c r="O138" s="1" t="b">
        <f t="shared" si="129"/>
        <v>1</v>
      </c>
    </row>
    <row r="139" customHeight="1" spans="5:15">
      <c r="E139" s="1">
        <v>39</v>
      </c>
      <c r="F139" s="1" t="str">
        <f t="shared" si="111"/>
        <v>S4LD01</v>
      </c>
      <c r="G139" s="1" t="str">
        <f t="shared" si="121"/>
        <v>S4LD01</v>
      </c>
      <c r="H139" s="1">
        <f t="shared" si="122"/>
        <v>884.615003940999</v>
      </c>
      <c r="I139" s="1">
        <f t="shared" si="123"/>
        <v>467.867816999999</v>
      </c>
      <c r="J139" s="1">
        <f t="shared" si="124"/>
        <v>-19.1525361889999</v>
      </c>
      <c r="K139" s="1">
        <f t="shared" si="125"/>
        <v>0</v>
      </c>
      <c r="L139" s="1">
        <f t="shared" si="126"/>
        <v>0</v>
      </c>
      <c r="M139" s="1">
        <f t="shared" si="127"/>
        <v>0</v>
      </c>
      <c r="N139" s="1">
        <f t="shared" si="128"/>
        <v>0</v>
      </c>
      <c r="O139" s="1" t="b">
        <f t="shared" si="129"/>
        <v>1</v>
      </c>
    </row>
    <row r="140" customHeight="1" spans="5:15">
      <c r="E140" s="1">
        <v>40</v>
      </c>
      <c r="F140" s="1" t="str">
        <f t="shared" si="111"/>
        <v>S4LD13</v>
      </c>
      <c r="G140" s="1" t="str">
        <f t="shared" si="121"/>
        <v>S4LD13</v>
      </c>
      <c r="H140" s="1">
        <f t="shared" si="122"/>
        <v>843.837953494</v>
      </c>
      <c r="I140" s="1">
        <f t="shared" si="123"/>
        <v>-179.534831679</v>
      </c>
      <c r="J140" s="1">
        <f t="shared" si="124"/>
        <v>505.834097438</v>
      </c>
      <c r="K140" s="1">
        <f t="shared" si="125"/>
        <v>0</v>
      </c>
      <c r="L140" s="1">
        <f t="shared" si="126"/>
        <v>0</v>
      </c>
      <c r="M140" s="1">
        <f t="shared" si="127"/>
        <v>0</v>
      </c>
      <c r="N140" s="1">
        <f t="shared" si="128"/>
        <v>0</v>
      </c>
      <c r="O140" s="1" t="b">
        <f t="shared" si="129"/>
        <v>1</v>
      </c>
    </row>
    <row r="141" customHeight="1" spans="5:15">
      <c r="E141" s="1">
        <v>41</v>
      </c>
      <c r="F141" s="1" t="str">
        <f t="shared" si="111"/>
        <v>Goldenrod</v>
      </c>
      <c r="G141" s="1" t="str">
        <f t="shared" si="121"/>
        <v>Goldenrod</v>
      </c>
      <c r="H141" s="1">
        <f t="shared" si="122"/>
        <v>-173.422432138</v>
      </c>
      <c r="I141" s="1">
        <f t="shared" si="123"/>
        <v>-923.630455717999</v>
      </c>
      <c r="J141" s="1">
        <f t="shared" si="124"/>
        <v>-343.264571051999</v>
      </c>
      <c r="K141" s="1">
        <f t="shared" si="125"/>
        <v>0</v>
      </c>
      <c r="L141" s="1">
        <f t="shared" si="126"/>
        <v>0</v>
      </c>
      <c r="M141" s="1">
        <f t="shared" si="127"/>
        <v>0</v>
      </c>
      <c r="N141" s="1">
        <f t="shared" si="128"/>
        <v>0</v>
      </c>
      <c r="O141" s="1" t="b">
        <f t="shared" si="129"/>
        <v>1</v>
      </c>
    </row>
    <row r="142" customHeight="1" spans="5:15">
      <c r="E142" s="1">
        <v>42</v>
      </c>
      <c r="F142" s="1" t="str">
        <f t="shared" si="111"/>
        <v/>
      </c>
      <c r="G142" s="1" t="str">
        <f t="shared" si="121"/>
        <v>Settlement 14N</v>
      </c>
      <c r="H142" s="1">
        <f t="shared" si="122"/>
        <v>-154.512351289</v>
      </c>
      <c r="I142" s="1">
        <f t="shared" si="123"/>
        <v>-984.296107581999</v>
      </c>
      <c r="J142" s="1">
        <f t="shared" si="124"/>
        <v>93.975155987</v>
      </c>
      <c r="K142" s="1">
        <f t="shared" si="125"/>
        <v>0</v>
      </c>
      <c r="L142" s="1">
        <f t="shared" si="126"/>
        <v>0</v>
      </c>
      <c r="M142" s="1">
        <f t="shared" si="127"/>
        <v>0</v>
      </c>
      <c r="N142" s="1">
        <f t="shared" si="128"/>
        <v>0</v>
      </c>
      <c r="O142" s="1" t="b">
        <f t="shared" si="129"/>
        <v>0</v>
      </c>
    </row>
    <row r="143" customHeight="1" spans="5:15">
      <c r="E143" s="1">
        <v>43</v>
      </c>
      <c r="F143" s="1" t="str">
        <f t="shared" si="111"/>
        <v/>
      </c>
      <c r="G143" s="1" t="str">
        <f t="shared" si="121"/>
        <v>Settlement 16N</v>
      </c>
      <c r="H143" s="1">
        <f t="shared" si="122"/>
        <v>20.614093015</v>
      </c>
      <c r="I143" s="1">
        <f t="shared" si="123"/>
        <v>-1000.709692701</v>
      </c>
      <c r="J143" s="1">
        <f t="shared" si="124"/>
        <v>8.921606672</v>
      </c>
      <c r="K143" s="1">
        <f t="shared" si="125"/>
        <v>0</v>
      </c>
      <c r="L143" s="1">
        <f t="shared" si="126"/>
        <v>0</v>
      </c>
      <c r="M143" s="1">
        <f t="shared" si="127"/>
        <v>0</v>
      </c>
      <c r="N143" s="1">
        <f t="shared" si="128"/>
        <v>0</v>
      </c>
      <c r="O143" s="1" t="b">
        <f t="shared" si="129"/>
        <v>0</v>
      </c>
    </row>
    <row r="144" customHeight="1" spans="5:15">
      <c r="E144" s="1">
        <v>44</v>
      </c>
      <c r="F144" s="1" t="str">
        <f t="shared" si="111"/>
        <v/>
      </c>
      <c r="G144" s="1" t="str">
        <f t="shared" si="121"/>
        <v>Settlement 23N</v>
      </c>
      <c r="H144" s="1">
        <f t="shared" si="122"/>
        <v>669.478935367999</v>
      </c>
      <c r="I144" s="1">
        <f t="shared" si="123"/>
        <v>-731.271787499999</v>
      </c>
      <c r="J144" s="1">
        <f t="shared" si="124"/>
        <v>138.155074789</v>
      </c>
      <c r="K144" s="1">
        <f t="shared" si="125"/>
        <v>0</v>
      </c>
      <c r="L144" s="1">
        <f t="shared" si="126"/>
        <v>0</v>
      </c>
      <c r="M144" s="1">
        <f t="shared" si="127"/>
        <v>0</v>
      </c>
      <c r="N144" s="1">
        <f t="shared" si="128"/>
        <v>0</v>
      </c>
      <c r="O144" s="1" t="b">
        <f t="shared" si="129"/>
        <v>0</v>
      </c>
    </row>
    <row r="145" customHeight="1" spans="5:15">
      <c r="E145" s="1">
        <v>45</v>
      </c>
      <c r="F145" s="1" t="str">
        <f t="shared" si="111"/>
        <v/>
      </c>
      <c r="G145" s="1" t="str">
        <f t="shared" si="121"/>
        <v>Settlement 34V</v>
      </c>
      <c r="H145" s="1">
        <f t="shared" si="122"/>
        <v>420.962127608</v>
      </c>
      <c r="I145" s="1">
        <f t="shared" si="123"/>
        <v>172.436136824999</v>
      </c>
      <c r="J145" s="1">
        <f t="shared" si="124"/>
        <v>890.822923225</v>
      </c>
      <c r="K145" s="1">
        <f t="shared" si="125"/>
        <v>0</v>
      </c>
      <c r="L145" s="1">
        <f t="shared" si="126"/>
        <v>0</v>
      </c>
      <c r="M145" s="1">
        <f t="shared" si="127"/>
        <v>0</v>
      </c>
      <c r="N145" s="1">
        <f t="shared" si="128"/>
        <v>0</v>
      </c>
      <c r="O145" s="1" t="b">
        <f t="shared" si="129"/>
        <v>0</v>
      </c>
    </row>
    <row r="146" customHeight="1" spans="5:15">
      <c r="E146" s="1">
        <v>46</v>
      </c>
      <c r="F146" s="1" t="str">
        <f t="shared" si="111"/>
        <v/>
      </c>
      <c r="G146" s="1" t="str">
        <f t="shared" si="121"/>
        <v>Settlement 35R</v>
      </c>
      <c r="H146" s="1">
        <f t="shared" si="122"/>
        <v>808.969948483</v>
      </c>
      <c r="I146" s="1">
        <f t="shared" si="123"/>
        <v>416.799127286</v>
      </c>
      <c r="J146" s="1">
        <f t="shared" si="124"/>
        <v>415.698917468</v>
      </c>
      <c r="K146" s="1">
        <f t="shared" si="125"/>
        <v>0</v>
      </c>
      <c r="L146" s="1">
        <f t="shared" si="126"/>
        <v>0</v>
      </c>
      <c r="M146" s="1">
        <f t="shared" si="127"/>
        <v>0</v>
      </c>
      <c r="N146" s="1">
        <f t="shared" si="128"/>
        <v>0</v>
      </c>
      <c r="O146" s="1" t="b">
        <f t="shared" si="129"/>
        <v>0</v>
      </c>
    </row>
    <row r="147" customHeight="1" spans="5:15">
      <c r="E147" s="1">
        <v>47</v>
      </c>
      <c r="F147" s="1" t="str">
        <f t="shared" si="111"/>
        <v/>
      </c>
      <c r="G147" s="1" t="str">
        <f t="shared" si="121"/>
        <v>Settlement 36T</v>
      </c>
      <c r="H147" s="1">
        <f t="shared" si="122"/>
        <v>559.167050289</v>
      </c>
      <c r="I147" s="1">
        <f t="shared" si="123"/>
        <v>386.753813170999</v>
      </c>
      <c r="J147" s="1">
        <f t="shared" si="124"/>
        <v>733.407084939999</v>
      </c>
      <c r="K147" s="1">
        <f t="shared" si="125"/>
        <v>0</v>
      </c>
      <c r="L147" s="1">
        <f t="shared" si="126"/>
        <v>0</v>
      </c>
      <c r="M147" s="1">
        <f t="shared" si="127"/>
        <v>0</v>
      </c>
      <c r="N147" s="1">
        <f t="shared" si="128"/>
        <v>0</v>
      </c>
      <c r="O147" s="1" t="b">
        <f t="shared" si="129"/>
        <v>0</v>
      </c>
    </row>
    <row r="148" customHeight="1" spans="5:15">
      <c r="E148" s="1">
        <v>48</v>
      </c>
      <c r="F148" s="1" t="str">
        <f t="shared" si="111"/>
        <v/>
      </c>
      <c r="G148" s="1" t="str">
        <f t="shared" si="121"/>
        <v>Settlement 36U</v>
      </c>
      <c r="H148" s="1">
        <f t="shared" si="122"/>
        <v>517.841119621</v>
      </c>
      <c r="I148" s="1">
        <f t="shared" si="123"/>
        <v>361.649282301</v>
      </c>
      <c r="J148" s="1">
        <f t="shared" si="124"/>
        <v>777.067530642</v>
      </c>
      <c r="K148" s="1">
        <f t="shared" si="125"/>
        <v>0</v>
      </c>
      <c r="L148" s="1">
        <f t="shared" si="126"/>
        <v>0</v>
      </c>
      <c r="M148" s="1">
        <f t="shared" si="127"/>
        <v>0</v>
      </c>
      <c r="N148" s="1">
        <f t="shared" si="128"/>
        <v>0</v>
      </c>
      <c r="O148" s="1" t="b">
        <f t="shared" si="129"/>
        <v>0</v>
      </c>
    </row>
    <row r="149" customHeight="1" spans="5:15">
      <c r="E149" s="1">
        <v>49</v>
      </c>
      <c r="F149" s="1" t="str">
        <f t="shared" si="111"/>
        <v/>
      </c>
      <c r="G149" s="1" t="str">
        <f t="shared" si="121"/>
        <v>Settlement 36X</v>
      </c>
      <c r="H149" s="1">
        <f t="shared" si="122"/>
        <v>242.686449006999</v>
      </c>
      <c r="I149" s="1">
        <f t="shared" si="123"/>
        <v>159.040409961</v>
      </c>
      <c r="J149" s="1">
        <f t="shared" si="124"/>
        <v>957.158602271</v>
      </c>
      <c r="K149" s="1">
        <f t="shared" si="125"/>
        <v>0</v>
      </c>
      <c r="L149" s="1">
        <f t="shared" si="126"/>
        <v>0</v>
      </c>
      <c r="M149" s="1">
        <f t="shared" si="127"/>
        <v>0</v>
      </c>
      <c r="N149" s="1">
        <f t="shared" si="128"/>
        <v>0</v>
      </c>
      <c r="O149" s="1" t="b">
        <f t="shared" si="129"/>
        <v>0</v>
      </c>
    </row>
    <row r="150" customHeight="1" spans="5:15">
      <c r="E150" s="1">
        <v>50</v>
      </c>
      <c r="F150" s="1" t="str">
        <f t="shared" si="111"/>
        <v/>
      </c>
      <c r="G150" s="1" t="str">
        <f t="shared" si="121"/>
        <v>Settlement 38U</v>
      </c>
      <c r="H150" s="1">
        <f t="shared" si="122"/>
        <v>488.986771232999</v>
      </c>
      <c r="I150" s="1">
        <f t="shared" si="123"/>
        <v>440.90672323</v>
      </c>
      <c r="J150" s="1">
        <f t="shared" si="124"/>
        <v>753.943556719999</v>
      </c>
      <c r="K150" s="1">
        <f t="shared" si="125"/>
        <v>0</v>
      </c>
      <c r="L150" s="1">
        <f t="shared" si="126"/>
        <v>0</v>
      </c>
      <c r="M150" s="1">
        <f t="shared" si="127"/>
        <v>0</v>
      </c>
      <c r="N150" s="1">
        <f t="shared" si="128"/>
        <v>0</v>
      </c>
      <c r="O150" s="1" t="b">
        <f t="shared" si="129"/>
        <v>0</v>
      </c>
    </row>
    <row r="151" customHeight="1" spans="5:15">
      <c r="E151" s="1">
        <v>51</v>
      </c>
      <c r="F151" s="1" t="str">
        <f t="shared" si="111"/>
        <v/>
      </c>
      <c r="G151" s="1" t="str">
        <f t="shared" si="121"/>
        <v>Settlement 50K</v>
      </c>
      <c r="H151" s="1">
        <f t="shared" si="122"/>
        <v>-458.492768339</v>
      </c>
      <c r="I151" s="1">
        <f t="shared" si="123"/>
        <v>807.380966956999</v>
      </c>
      <c r="J151" s="1">
        <f t="shared" si="124"/>
        <v>-371.930131793999</v>
      </c>
      <c r="K151" s="1">
        <f t="shared" si="125"/>
        <v>0</v>
      </c>
      <c r="L151" s="1">
        <f t="shared" si="126"/>
        <v>0</v>
      </c>
      <c r="M151" s="1">
        <f t="shared" si="127"/>
        <v>0</v>
      </c>
      <c r="N151" s="1">
        <f t="shared" si="128"/>
        <v>0</v>
      </c>
      <c r="O151" s="1" t="b">
        <f t="shared" si="129"/>
        <v>0</v>
      </c>
    </row>
    <row r="152" customHeight="1" spans="5:15">
      <c r="E152" s="1">
        <v>52</v>
      </c>
      <c r="F152" s="1" t="str">
        <f t="shared" si="111"/>
        <v/>
      </c>
      <c r="G152" s="1" t="str">
        <f t="shared" si="121"/>
        <v>RCave 22W</v>
      </c>
      <c r="H152" s="1">
        <f t="shared" si="122"/>
        <v>209.18863974215</v>
      </c>
      <c r="I152" s="1">
        <f t="shared" si="123"/>
        <v>-260.050155152496</v>
      </c>
      <c r="J152" s="1">
        <f t="shared" si="124"/>
        <v>944.768433512743</v>
      </c>
      <c r="K152" s="1">
        <f t="shared" si="125"/>
        <v>0</v>
      </c>
      <c r="L152" s="1">
        <f t="shared" si="126"/>
        <v>0</v>
      </c>
      <c r="M152" s="1">
        <f t="shared" si="127"/>
        <v>0</v>
      </c>
      <c r="N152" s="1">
        <f t="shared" si="128"/>
        <v>0</v>
      </c>
      <c r="O152" s="1" t="b">
        <f t="shared" si="129"/>
        <v>0</v>
      </c>
    </row>
    <row r="153" customHeight="1" spans="5:15">
      <c r="E153" s="1">
        <v>53</v>
      </c>
      <c r="F153" s="1" t="str">
        <f t="shared" si="111"/>
        <v/>
      </c>
      <c r="G153" s="1" t="str">
        <f t="shared" si="121"/>
        <v>RCave 27N</v>
      </c>
      <c r="H153" s="1">
        <f t="shared" si="122"/>
        <v>914.966506301299</v>
      </c>
      <c r="I153" s="1">
        <f t="shared" si="123"/>
        <v>-405.202815290598</v>
      </c>
      <c r="J153" s="1">
        <f t="shared" si="124"/>
        <v>40.824910437408</v>
      </c>
      <c r="K153" s="1">
        <f t="shared" si="125"/>
        <v>0</v>
      </c>
      <c r="L153" s="1">
        <f t="shared" si="126"/>
        <v>0</v>
      </c>
      <c r="M153" s="1">
        <f t="shared" si="127"/>
        <v>0</v>
      </c>
      <c r="N153" s="1">
        <f t="shared" si="128"/>
        <v>0</v>
      </c>
      <c r="O153" s="1" t="b">
        <f t="shared" si="129"/>
        <v>0</v>
      </c>
    </row>
    <row r="154" customHeight="1" spans="5:15">
      <c r="E154" s="1">
        <v>54</v>
      </c>
      <c r="F154" s="1" t="str">
        <f t="shared" si="111"/>
        <v/>
      </c>
      <c r="G154" s="1" t="str">
        <f t="shared" si="121"/>
        <v>RCave 30Q</v>
      </c>
      <c r="H154" s="1">
        <f t="shared" si="122"/>
        <v>940.940022176765</v>
      </c>
      <c r="I154" s="1">
        <f t="shared" si="123"/>
        <v>-23.790363417196</v>
      </c>
      <c r="J154" s="1">
        <f t="shared" si="124"/>
        <v>343.678614255491</v>
      </c>
      <c r="K154" s="1">
        <f t="shared" si="125"/>
        <v>0</v>
      </c>
      <c r="L154" s="1">
        <f t="shared" si="126"/>
        <v>0</v>
      </c>
      <c r="M154" s="1">
        <f t="shared" si="127"/>
        <v>0</v>
      </c>
      <c r="N154" s="1">
        <f t="shared" si="128"/>
        <v>0</v>
      </c>
      <c r="O154" s="1" t="b">
        <f t="shared" si="129"/>
        <v>0</v>
      </c>
    </row>
    <row r="155" customHeight="1" spans="5:15">
      <c r="E155" s="1">
        <v>55</v>
      </c>
      <c r="F155" s="1" t="str">
        <f t="shared" si="111"/>
        <v/>
      </c>
      <c r="G155" s="1" t="str">
        <f t="shared" si="121"/>
        <v>RCave 35S</v>
      </c>
      <c r="H155" s="1">
        <f t="shared" si="122"/>
        <v>679.115112802588</v>
      </c>
      <c r="I155" s="1">
        <f t="shared" si="123"/>
        <v>379.184993189556</v>
      </c>
      <c r="J155" s="1">
        <f t="shared" si="124"/>
        <v>630.074051183402</v>
      </c>
      <c r="K155" s="1">
        <f t="shared" si="125"/>
        <v>0</v>
      </c>
      <c r="L155" s="1">
        <f t="shared" si="126"/>
        <v>0</v>
      </c>
      <c r="M155" s="1">
        <f t="shared" si="127"/>
        <v>0</v>
      </c>
      <c r="N155" s="1">
        <f t="shared" si="128"/>
        <v>0</v>
      </c>
      <c r="O155" s="1" t="b">
        <f t="shared" si="129"/>
        <v>0</v>
      </c>
    </row>
    <row r="156" customHeight="1" spans="5:15">
      <c r="E156" s="1">
        <v>56</v>
      </c>
      <c r="F156" s="1" t="str">
        <f t="shared" si="111"/>
        <v/>
      </c>
      <c r="G156" s="1" t="str">
        <f t="shared" si="121"/>
        <v>RCave 38U</v>
      </c>
      <c r="H156" s="1">
        <f t="shared" si="122"/>
        <v>495.284955224999</v>
      </c>
      <c r="I156" s="1">
        <f t="shared" si="123"/>
        <v>446.712846874999</v>
      </c>
      <c r="J156" s="1">
        <f t="shared" si="124"/>
        <v>749.188305691999</v>
      </c>
      <c r="K156" s="1">
        <f t="shared" si="125"/>
        <v>0</v>
      </c>
      <c r="L156" s="1">
        <f t="shared" si="126"/>
        <v>0</v>
      </c>
      <c r="M156" s="1">
        <f t="shared" si="127"/>
        <v>0</v>
      </c>
      <c r="N156" s="1">
        <f t="shared" si="128"/>
        <v>0</v>
      </c>
      <c r="O156" s="1" t="b">
        <f t="shared" si="129"/>
        <v>0</v>
      </c>
    </row>
    <row r="157" customHeight="1" spans="5:15">
      <c r="E157" s="1">
        <v>57</v>
      </c>
      <c r="F157" s="1" t="str">
        <f t="shared" si="111"/>
        <v/>
      </c>
      <c r="G157" s="1" t="str">
        <f t="shared" si="121"/>
        <v>RCave 50M</v>
      </c>
      <c r="H157" s="1">
        <f t="shared" si="122"/>
        <v>-428.145065818594</v>
      </c>
      <c r="I157" s="1">
        <f t="shared" si="123"/>
        <v>903.758319505118</v>
      </c>
      <c r="J157" s="1">
        <f t="shared" si="124"/>
        <v>-31.123730709993</v>
      </c>
      <c r="K157" s="1">
        <f t="shared" si="125"/>
        <v>0</v>
      </c>
      <c r="L157" s="1">
        <f t="shared" si="126"/>
        <v>0</v>
      </c>
      <c r="M157" s="1">
        <f t="shared" si="127"/>
        <v>0</v>
      </c>
      <c r="N157" s="1">
        <f t="shared" si="128"/>
        <v>0</v>
      </c>
      <c r="O157" s="1" t="b">
        <f t="shared" si="129"/>
        <v>0</v>
      </c>
    </row>
    <row r="158" customHeight="1" spans="5:15">
      <c r="E158" s="1">
        <v>58</v>
      </c>
      <c r="F158" s="1" t="str">
        <f t="shared" si="111"/>
        <v/>
      </c>
      <c r="G158" s="1" t="str">
        <f t="shared" si="121"/>
        <v>Caterpillar 34V</v>
      </c>
      <c r="H158" s="1">
        <f t="shared" si="122"/>
        <v>422.030565493172</v>
      </c>
      <c r="I158" s="1">
        <f t="shared" si="123"/>
        <v>170.8188762115</v>
      </c>
      <c r="J158" s="1">
        <f t="shared" si="124"/>
        <v>890.497381315684</v>
      </c>
      <c r="K158" s="1">
        <f t="shared" si="125"/>
        <v>0</v>
      </c>
      <c r="L158" s="1">
        <f t="shared" si="126"/>
        <v>0</v>
      </c>
      <c r="M158" s="1">
        <f t="shared" si="127"/>
        <v>0</v>
      </c>
      <c r="N158" s="1">
        <f t="shared" si="128"/>
        <v>0</v>
      </c>
      <c r="O158" s="1" t="b">
        <f t="shared" si="129"/>
        <v>0</v>
      </c>
    </row>
    <row r="159" customHeight="1" spans="5:15">
      <c r="E159" s="1">
        <v>59</v>
      </c>
      <c r="F159" s="1" t="str">
        <f t="shared" si="111"/>
        <v/>
      </c>
      <c r="G159" s="1" t="str">
        <f t="shared" si="121"/>
        <v>Caterpillar 47M</v>
      </c>
      <c r="H159" s="1">
        <f t="shared" si="122"/>
        <v>-174.985191389468</v>
      </c>
      <c r="I159" s="1">
        <f t="shared" si="123"/>
        <v>978.25858424416</v>
      </c>
      <c r="J159" s="1">
        <f t="shared" si="124"/>
        <v>-116.906611973531</v>
      </c>
      <c r="K159" s="1">
        <f t="shared" si="125"/>
        <v>0</v>
      </c>
      <c r="L159" s="1">
        <f t="shared" si="126"/>
        <v>0</v>
      </c>
      <c r="M159" s="1">
        <f t="shared" si="127"/>
        <v>0</v>
      </c>
      <c r="N159" s="1">
        <f t="shared" si="128"/>
        <v>0</v>
      </c>
      <c r="O159" s="1" t="b">
        <f t="shared" si="129"/>
        <v>0</v>
      </c>
    </row>
    <row r="160" customHeight="1" spans="5:15">
      <c r="E160" s="1">
        <v>60</v>
      </c>
      <c r="F160" s="1" t="str">
        <f t="shared" si="111"/>
        <v/>
      </c>
      <c r="G160" s="1" t="str">
        <f t="shared" si="121"/>
        <v>Caterpillar 52W</v>
      </c>
      <c r="H160" s="1">
        <f t="shared" si="122"/>
        <v>-267.953108728863</v>
      </c>
      <c r="I160" s="1">
        <f t="shared" si="123"/>
        <v>310.782251487106</v>
      </c>
      <c r="J160" s="1">
        <f t="shared" si="124"/>
        <v>912.085579711613</v>
      </c>
      <c r="K160" s="1">
        <f t="shared" si="125"/>
        <v>0</v>
      </c>
      <c r="L160" s="1">
        <f t="shared" si="126"/>
        <v>0</v>
      </c>
      <c r="M160" s="1">
        <f t="shared" si="127"/>
        <v>0</v>
      </c>
      <c r="N160" s="1">
        <f t="shared" si="128"/>
        <v>0</v>
      </c>
      <c r="O160" s="1" t="b">
        <f t="shared" si="129"/>
        <v>0</v>
      </c>
    </row>
    <row r="161" customHeight="1" spans="5:15">
      <c r="E161" s="1">
        <v>61</v>
      </c>
      <c r="F161" s="1" t="str">
        <f t="shared" si="111"/>
        <v/>
      </c>
      <c r="G161" s="1" t="str">
        <f t="shared" si="121"/>
        <v>Caterpillar 53W</v>
      </c>
      <c r="H161" s="1">
        <f t="shared" si="122"/>
        <v>-223.633552985958</v>
      </c>
      <c r="I161" s="1">
        <f t="shared" si="123"/>
        <v>218.51939659621</v>
      </c>
      <c r="J161" s="1">
        <f t="shared" si="124"/>
        <v>949.902150956804</v>
      </c>
      <c r="K161" s="1">
        <f t="shared" si="125"/>
        <v>0</v>
      </c>
      <c r="L161" s="1">
        <f t="shared" si="126"/>
        <v>0</v>
      </c>
      <c r="M161" s="1">
        <f t="shared" si="127"/>
        <v>0</v>
      </c>
      <c r="N161" s="1">
        <f t="shared" si="128"/>
        <v>0</v>
      </c>
      <c r="O161" s="1" t="b">
        <f t="shared" si="129"/>
        <v>0</v>
      </c>
    </row>
    <row r="162" customHeight="1" spans="5:15">
      <c r="E162" s="1">
        <v>62</v>
      </c>
      <c r="F162" s="1" t="str">
        <f t="shared" si="111"/>
        <v/>
      </c>
      <c r="G162" s="1" t="str">
        <f t="shared" si="121"/>
        <v>Constellation 08N</v>
      </c>
      <c r="H162" s="1">
        <f t="shared" si="122"/>
        <v>-676.717865094178</v>
      </c>
      <c r="I162" s="1">
        <f t="shared" si="123"/>
        <v>-728.925426829962</v>
      </c>
      <c r="J162" s="1">
        <f t="shared" si="124"/>
        <v>112.129584296142</v>
      </c>
      <c r="K162" s="1">
        <f t="shared" si="125"/>
        <v>0</v>
      </c>
      <c r="L162" s="1">
        <f t="shared" si="126"/>
        <v>0</v>
      </c>
      <c r="M162" s="1">
        <f t="shared" si="127"/>
        <v>0</v>
      </c>
      <c r="N162" s="1">
        <f t="shared" si="128"/>
        <v>0</v>
      </c>
      <c r="O162" s="1" t="b">
        <f t="shared" si="129"/>
        <v>0</v>
      </c>
    </row>
    <row r="163" customHeight="1" spans="5:15">
      <c r="E163" s="1">
        <v>63</v>
      </c>
      <c r="F163" s="1" t="str">
        <f t="shared" si="111"/>
        <v/>
      </c>
      <c r="G163" s="1" t="str">
        <f t="shared" si="121"/>
        <v>Constellation 26L</v>
      </c>
      <c r="H163" s="1">
        <f t="shared" si="122"/>
        <v>875.200546632067</v>
      </c>
      <c r="I163" s="1">
        <f t="shared" si="123"/>
        <v>-465.380147321214</v>
      </c>
      <c r="J163" s="1">
        <f t="shared" si="124"/>
        <v>-142.68191251041</v>
      </c>
      <c r="K163" s="1">
        <f t="shared" si="125"/>
        <v>0</v>
      </c>
      <c r="L163" s="1">
        <f t="shared" si="126"/>
        <v>0</v>
      </c>
      <c r="M163" s="1">
        <f t="shared" si="127"/>
        <v>0</v>
      </c>
      <c r="N163" s="1">
        <f t="shared" si="128"/>
        <v>0</v>
      </c>
      <c r="O163" s="1" t="b">
        <f t="shared" si="129"/>
        <v>0</v>
      </c>
    </row>
    <row r="164" customHeight="1" spans="5:15">
      <c r="E164" s="1">
        <v>64</v>
      </c>
      <c r="F164" s="1" t="str">
        <f t="shared" si="111"/>
        <v/>
      </c>
      <c r="G164" s="1" t="str">
        <f t="shared" si="121"/>
        <v>Constellation 42M</v>
      </c>
      <c r="H164" s="1">
        <f t="shared" si="122"/>
        <v>376.775847030883</v>
      </c>
      <c r="I164" s="1">
        <f t="shared" si="123"/>
        <v>920.915695519137</v>
      </c>
      <c r="J164" s="1">
        <f t="shared" si="124"/>
        <v>-105.955657172639</v>
      </c>
      <c r="K164" s="1">
        <f t="shared" si="125"/>
        <v>0</v>
      </c>
      <c r="L164" s="1">
        <f t="shared" si="126"/>
        <v>0</v>
      </c>
      <c r="M164" s="1">
        <f t="shared" si="127"/>
        <v>0</v>
      </c>
      <c r="N164" s="1">
        <f t="shared" si="128"/>
        <v>0</v>
      </c>
      <c r="O164" s="1" t="b">
        <f t="shared" si="129"/>
        <v>0</v>
      </c>
    </row>
    <row r="165" customHeight="1" spans="5:15">
      <c r="E165" s="1">
        <v>65</v>
      </c>
      <c r="F165" s="1" t="str">
        <f t="shared" si="111"/>
        <v/>
      </c>
      <c r="G165" s="1" t="str">
        <f t="shared" ref="G165:G196" si="130">_xlfn.IFNA(VLOOKUP(CONCATENATE(G$94," ",IF(E165&lt;10,"0",""),E165),Database,5,FALSE),"")</f>
        <v>Constellation 47L</v>
      </c>
      <c r="H165" s="1">
        <f t="shared" ref="H165:H196" si="131">_xlfn.IFNA(VLOOKUP(CONCATENATE(G$94," ",IF(E165&lt;10,"0",""),E165),Database,6,FALSE),"")</f>
        <v>-167.210361350261</v>
      </c>
      <c r="I165" s="1">
        <f t="shared" ref="I165:I196" si="132">_xlfn.IFNA(VLOOKUP(CONCATENATE(G$94," ",IF(E165&lt;10,"0",""),E165),Database,7,FALSE),"")</f>
        <v>960.391198845134</v>
      </c>
      <c r="J165" s="1">
        <f t="shared" ref="J165:J196" si="133">_xlfn.IFNA(VLOOKUP(CONCATENATE(G$94," ",IF(E165&lt;10,"0",""),E165),Database,8,FALSE),"")</f>
        <v>-228.479705824038</v>
      </c>
      <c r="K165" s="1">
        <f t="shared" ref="K165:K196" si="134">_xlfn.IFNA(VLOOKUP(CONCATENATE(G$94," ",IF(E165&lt;10,"0",""),E165),Database,9,FALSE),"")</f>
        <v>0</v>
      </c>
      <c r="L165" s="1">
        <f t="shared" ref="L165:L196" si="135">_xlfn.IFNA(VLOOKUP(CONCATENATE(G$94," ",IF(E165&lt;10,"0",""),E165),Database,10,FALSE),"")</f>
        <v>0</v>
      </c>
      <c r="M165" s="1">
        <f t="shared" ref="M165:M196" si="136">_xlfn.IFNA(VLOOKUP(CONCATENATE(G$94," ",IF(E165&lt;10,"0",""),E165),Database,11,FALSE),"")</f>
        <v>0</v>
      </c>
      <c r="N165" s="1">
        <f t="shared" ref="N165:N196" si="137">_xlfn.IFNA(VLOOKUP(CONCATENATE(G$94," ",IF(E165&lt;10,"0",""),E165),Database,12,FALSE),"")</f>
        <v>0</v>
      </c>
      <c r="O165" s="1" t="b">
        <f t="shared" ref="O165:O196" si="138">_xlfn.IFNA(VLOOKUP(CONCATENATE(G$94," ",IF(E165&lt;10,"0",""),E165),Database,13,FALSE),"")</f>
        <v>0</v>
      </c>
    </row>
    <row r="166" customHeight="1" spans="5:15">
      <c r="E166" s="1">
        <v>66</v>
      </c>
      <c r="F166" s="1" t="str">
        <f t="shared" si="111"/>
        <v/>
      </c>
      <c r="G166" s="1" t="str">
        <f t="shared" si="130"/>
        <v>Freelancer 03N</v>
      </c>
      <c r="H166" s="1">
        <f t="shared" si="131"/>
        <v>-973.703809272717</v>
      </c>
      <c r="I166" s="1">
        <f t="shared" si="132"/>
        <v>-225.634764877147</v>
      </c>
      <c r="J166" s="1">
        <f t="shared" si="133"/>
        <v>40.800499864769</v>
      </c>
      <c r="K166" s="1">
        <f t="shared" si="134"/>
        <v>0</v>
      </c>
      <c r="L166" s="1">
        <f t="shared" si="135"/>
        <v>0</v>
      </c>
      <c r="M166" s="1">
        <f t="shared" si="136"/>
        <v>0</v>
      </c>
      <c r="N166" s="1">
        <f t="shared" si="137"/>
        <v>0</v>
      </c>
      <c r="O166" s="1" t="b">
        <f t="shared" si="138"/>
        <v>0</v>
      </c>
    </row>
    <row r="167" customHeight="1" spans="5:15">
      <c r="E167" s="1">
        <v>67</v>
      </c>
      <c r="F167" s="1" t="str">
        <f t="shared" si="111"/>
        <v/>
      </c>
      <c r="G167" s="1" t="str">
        <f t="shared" si="130"/>
        <v>Freelancer 04L</v>
      </c>
      <c r="H167" s="1">
        <f t="shared" si="131"/>
        <v>-933.299747754197</v>
      </c>
      <c r="I167" s="1">
        <f t="shared" si="132"/>
        <v>-309.024262314054</v>
      </c>
      <c r="J167" s="1">
        <f t="shared" si="133"/>
        <v>-189.531586515152</v>
      </c>
      <c r="K167" s="1">
        <f t="shared" si="134"/>
        <v>0</v>
      </c>
      <c r="L167" s="1">
        <f t="shared" si="135"/>
        <v>0</v>
      </c>
      <c r="M167" s="1">
        <f t="shared" si="136"/>
        <v>0</v>
      </c>
      <c r="N167" s="1">
        <f t="shared" si="137"/>
        <v>0</v>
      </c>
      <c r="O167" s="1" t="b">
        <f t="shared" si="138"/>
        <v>0</v>
      </c>
    </row>
    <row r="168" customHeight="1" spans="5:15">
      <c r="E168" s="1">
        <v>68</v>
      </c>
      <c r="F168" s="1" t="str">
        <f t="shared" si="111"/>
        <v/>
      </c>
      <c r="G168" s="1" t="str">
        <f t="shared" si="130"/>
        <v>Freelancer 08NA24</v>
      </c>
      <c r="H168" s="1">
        <f t="shared" si="131"/>
        <v>-686.687642149452</v>
      </c>
      <c r="I168" s="1">
        <f t="shared" si="132"/>
        <v>-719.066830458095</v>
      </c>
      <c r="J168" s="1">
        <f t="shared" si="133"/>
        <v>111.168182463832</v>
      </c>
      <c r="K168" s="1">
        <f t="shared" si="134"/>
        <v>0</v>
      </c>
      <c r="L168" s="1">
        <f t="shared" si="135"/>
        <v>0</v>
      </c>
      <c r="M168" s="1">
        <f t="shared" si="136"/>
        <v>0</v>
      </c>
      <c r="N168" s="1">
        <f t="shared" si="137"/>
        <v>0</v>
      </c>
      <c r="O168" s="1" t="b">
        <f t="shared" si="138"/>
        <v>0</v>
      </c>
    </row>
    <row r="169" customHeight="1" spans="5:15">
      <c r="E169" s="1">
        <v>69</v>
      </c>
      <c r="F169" s="1" t="str">
        <f t="shared" si="111"/>
        <v/>
      </c>
      <c r="G169" s="1" t="str">
        <f t="shared" si="130"/>
        <v>Freelancer 08ND43</v>
      </c>
      <c r="H169" s="1">
        <f t="shared" si="131"/>
        <v>-683.47693031583</v>
      </c>
      <c r="I169" s="1">
        <f t="shared" si="132"/>
        <v>-719.404561508934</v>
      </c>
      <c r="J169" s="1">
        <f t="shared" si="133"/>
        <v>134.431148172863</v>
      </c>
      <c r="K169" s="1">
        <f t="shared" si="134"/>
        <v>0</v>
      </c>
      <c r="L169" s="1">
        <f t="shared" si="135"/>
        <v>0</v>
      </c>
      <c r="M169" s="1">
        <f t="shared" si="136"/>
        <v>0</v>
      </c>
      <c r="N169" s="1">
        <f t="shared" si="137"/>
        <v>0</v>
      </c>
      <c r="O169" s="1" t="b">
        <f t="shared" si="138"/>
        <v>0</v>
      </c>
    </row>
    <row r="170" customHeight="1" spans="5:15">
      <c r="E170" s="1">
        <v>70</v>
      </c>
      <c r="F170" s="1" t="str">
        <f t="shared" si="111"/>
        <v/>
      </c>
      <c r="G170" s="1" t="str">
        <f t="shared" si="130"/>
        <v>Starfarer 52M</v>
      </c>
      <c r="H170" s="1">
        <f t="shared" si="131"/>
        <v>-588.08975842639</v>
      </c>
      <c r="I170" s="1">
        <f t="shared" si="132"/>
        <v>805.331386539117</v>
      </c>
      <c r="J170" s="1">
        <f t="shared" si="133"/>
        <v>-78.362321435307</v>
      </c>
      <c r="K170" s="1">
        <f t="shared" si="134"/>
        <v>0</v>
      </c>
      <c r="L170" s="1">
        <f t="shared" si="135"/>
        <v>0</v>
      </c>
      <c r="M170" s="1">
        <f t="shared" si="136"/>
        <v>0</v>
      </c>
      <c r="N170" s="1">
        <f t="shared" si="137"/>
        <v>0</v>
      </c>
      <c r="O170" s="1" t="b">
        <f t="shared" si="138"/>
        <v>0</v>
      </c>
    </row>
    <row r="171" customHeight="1" spans="5:15">
      <c r="E171" s="1">
        <v>71</v>
      </c>
      <c r="F171" s="1" t="str">
        <f t="shared" si="111"/>
        <v/>
      </c>
      <c r="G171" s="1" t="str">
        <f t="shared" si="130"/>
        <v>Starfarer 52P</v>
      </c>
      <c r="H171" s="1">
        <f t="shared" si="131"/>
        <v>-637.938300534408</v>
      </c>
      <c r="I171" s="1">
        <f t="shared" si="132"/>
        <v>747.781923474108</v>
      </c>
      <c r="J171" s="1">
        <f t="shared" si="133"/>
        <v>185.557559019559</v>
      </c>
      <c r="K171" s="1">
        <f t="shared" si="134"/>
        <v>0</v>
      </c>
      <c r="L171" s="1">
        <f t="shared" si="135"/>
        <v>0</v>
      </c>
      <c r="M171" s="1">
        <f t="shared" si="136"/>
        <v>0</v>
      </c>
      <c r="N171" s="1">
        <f t="shared" si="137"/>
        <v>0</v>
      </c>
      <c r="O171" s="1" t="b">
        <f t="shared" si="138"/>
        <v>0</v>
      </c>
    </row>
    <row r="172" customHeight="1" spans="5:15">
      <c r="E172" s="1">
        <v>72</v>
      </c>
      <c r="F172" s="1" t="str">
        <f t="shared" si="111"/>
        <v/>
      </c>
      <c r="G172" s="1" t="str">
        <f t="shared" si="130"/>
        <v>Starfarer 53W</v>
      </c>
      <c r="H172" s="1">
        <f t="shared" si="131"/>
        <v>-226.007572205983</v>
      </c>
      <c r="I172" s="1">
        <f t="shared" si="132"/>
        <v>212.796556926972</v>
      </c>
      <c r="J172" s="1">
        <f t="shared" si="133"/>
        <v>950.747037600446</v>
      </c>
      <c r="K172" s="1">
        <f t="shared" si="134"/>
        <v>0</v>
      </c>
      <c r="L172" s="1">
        <f t="shared" si="135"/>
        <v>0</v>
      </c>
      <c r="M172" s="1">
        <f t="shared" si="136"/>
        <v>0</v>
      </c>
      <c r="N172" s="1">
        <f t="shared" si="137"/>
        <v>0</v>
      </c>
      <c r="O172" s="1" t="b">
        <f t="shared" si="138"/>
        <v>0</v>
      </c>
    </row>
    <row r="173" customHeight="1" spans="5:15">
      <c r="E173" s="1">
        <v>73</v>
      </c>
      <c r="F173" s="1" t="str">
        <f t="shared" si="111"/>
        <v/>
      </c>
      <c r="G173" s="1" t="str">
        <f t="shared" si="130"/>
        <v>Starfarer ZBG</v>
      </c>
      <c r="H173" s="1">
        <f t="shared" si="131"/>
        <v>9.472077956748</v>
      </c>
      <c r="I173" s="1">
        <f t="shared" si="132"/>
        <v>103.799998156201</v>
      </c>
      <c r="J173" s="1">
        <f t="shared" si="133"/>
        <v>995.340544819772</v>
      </c>
      <c r="K173" s="1">
        <f t="shared" si="134"/>
        <v>0</v>
      </c>
      <c r="L173" s="1">
        <f t="shared" si="135"/>
        <v>0</v>
      </c>
      <c r="M173" s="1">
        <f t="shared" si="136"/>
        <v>0</v>
      </c>
      <c r="N173" s="1">
        <f t="shared" si="137"/>
        <v>0</v>
      </c>
      <c r="O173" s="1" t="b">
        <f t="shared" si="138"/>
        <v>0</v>
      </c>
    </row>
    <row r="174" customHeight="1" spans="5:15">
      <c r="E174" s="1">
        <v>74</v>
      </c>
      <c r="F174" s="1" t="str">
        <f t="shared" si="111"/>
        <v/>
      </c>
      <c r="G174" s="1" t="str">
        <f t="shared" si="130"/>
        <v>River 35R</v>
      </c>
      <c r="H174" s="1">
        <f t="shared" si="131"/>
        <v>806.12952788544</v>
      </c>
      <c r="I174" s="1">
        <f t="shared" si="132"/>
        <v>424.64153803191</v>
      </c>
      <c r="J174" s="1">
        <f t="shared" si="133"/>
        <v>414.60756717617</v>
      </c>
      <c r="K174" s="1">
        <f t="shared" si="134"/>
        <v>0</v>
      </c>
      <c r="L174" s="1">
        <f t="shared" si="135"/>
        <v>0</v>
      </c>
      <c r="M174" s="1">
        <f t="shared" si="136"/>
        <v>0</v>
      </c>
      <c r="N174" s="1">
        <f t="shared" si="137"/>
        <v>0</v>
      </c>
      <c r="O174" s="1" t="b">
        <f t="shared" si="138"/>
        <v>0</v>
      </c>
    </row>
    <row r="175" customHeight="1" spans="5:15">
      <c r="E175" s="1">
        <v>75</v>
      </c>
      <c r="F175" s="1" t="str">
        <f t="shared" si="111"/>
        <v/>
      </c>
      <c r="G175" s="1" t="str">
        <f t="shared" si="130"/>
        <v>River 52M</v>
      </c>
      <c r="H175" s="1">
        <f t="shared" si="131"/>
        <v>-653.17005538579</v>
      </c>
      <c r="I175" s="1">
        <f t="shared" si="132"/>
        <v>758.01399892978</v>
      </c>
      <c r="J175" s="1">
        <f t="shared" si="133"/>
        <v>-1.19610378766</v>
      </c>
      <c r="K175" s="1">
        <f t="shared" si="134"/>
        <v>0</v>
      </c>
      <c r="L175" s="1">
        <f t="shared" si="135"/>
        <v>0</v>
      </c>
      <c r="M175" s="1">
        <f t="shared" si="136"/>
        <v>0</v>
      </c>
      <c r="N175" s="1">
        <f t="shared" si="137"/>
        <v>0</v>
      </c>
      <c r="O175" s="1" t="b">
        <f t="shared" si="138"/>
        <v>0</v>
      </c>
    </row>
    <row r="176" customHeight="1" spans="5:15">
      <c r="E176" s="1">
        <v>76</v>
      </c>
      <c r="F176" s="1" t="str">
        <f t="shared" si="111"/>
        <v/>
      </c>
      <c r="G176" s="1" t="str">
        <f t="shared" si="130"/>
        <v>River 53N625</v>
      </c>
      <c r="H176" s="1">
        <f t="shared" si="131"/>
        <v>-671.95912652879</v>
      </c>
      <c r="I176" s="1">
        <f t="shared" si="132"/>
        <v>741.26646720449</v>
      </c>
      <c r="J176" s="1">
        <f t="shared" si="133"/>
        <v>19.68942692564</v>
      </c>
      <c r="K176" s="1">
        <f t="shared" si="134"/>
        <v>0</v>
      </c>
      <c r="L176" s="1">
        <f t="shared" si="135"/>
        <v>0</v>
      </c>
      <c r="M176" s="1">
        <f t="shared" si="136"/>
        <v>0</v>
      </c>
      <c r="N176" s="1">
        <f t="shared" si="137"/>
        <v>0</v>
      </c>
      <c r="O176" s="1" t="b">
        <f t="shared" si="138"/>
        <v>0</v>
      </c>
    </row>
    <row r="177" customHeight="1" spans="5:15">
      <c r="E177" s="1">
        <v>77</v>
      </c>
      <c r="F177" s="1" t="str">
        <f t="shared" si="111"/>
        <v/>
      </c>
      <c r="G177" s="1" t="str">
        <f t="shared" si="130"/>
        <v>River 53N627</v>
      </c>
      <c r="H177" s="1">
        <f t="shared" si="131"/>
        <v>-682.27331957135</v>
      </c>
      <c r="I177" s="1">
        <f t="shared" si="132"/>
        <v>731.64156839804</v>
      </c>
      <c r="J177" s="1">
        <f t="shared" si="133"/>
        <v>6.84236910808</v>
      </c>
      <c r="K177" s="1">
        <f t="shared" si="134"/>
        <v>0</v>
      </c>
      <c r="L177" s="1">
        <f t="shared" si="135"/>
        <v>0</v>
      </c>
      <c r="M177" s="1">
        <f t="shared" si="136"/>
        <v>0</v>
      </c>
      <c r="N177" s="1">
        <f t="shared" si="137"/>
        <v>0</v>
      </c>
      <c r="O177" s="1" t="b">
        <f t="shared" si="138"/>
        <v>0</v>
      </c>
    </row>
    <row r="178" customHeight="1" spans="5:15">
      <c r="E178" s="1">
        <v>78</v>
      </c>
      <c r="F178" s="1" t="str">
        <f t="shared" si="111"/>
        <v/>
      </c>
      <c r="G178" s="1" t="str">
        <f t="shared" si="130"/>
        <v>River 53N628</v>
      </c>
      <c r="H178" s="1">
        <f t="shared" si="131"/>
        <v>-690.11601783916</v>
      </c>
      <c r="I178" s="1">
        <f t="shared" si="132"/>
        <v>715.07065117631</v>
      </c>
      <c r="J178" s="1">
        <f t="shared" si="133"/>
        <v>126.72312525077</v>
      </c>
      <c r="K178" s="1">
        <f t="shared" si="134"/>
        <v>0</v>
      </c>
      <c r="L178" s="1">
        <f t="shared" si="135"/>
        <v>0</v>
      </c>
      <c r="M178" s="1">
        <f t="shared" si="136"/>
        <v>0</v>
      </c>
      <c r="N178" s="1">
        <f t="shared" si="137"/>
        <v>0</v>
      </c>
      <c r="O178" s="1" t="b">
        <f t="shared" si="138"/>
        <v>0</v>
      </c>
    </row>
    <row r="179" customHeight="1" spans="5:15">
      <c r="E179" s="1">
        <v>79</v>
      </c>
      <c r="F179" s="1" t="str">
        <f t="shared" si="111"/>
        <v/>
      </c>
      <c r="G179" s="1" t="str">
        <f t="shared" si="130"/>
        <v>River 53N630</v>
      </c>
      <c r="H179" s="1">
        <f t="shared" si="131"/>
        <v>-707.00629584817</v>
      </c>
      <c r="I179" s="1">
        <f t="shared" si="132"/>
        <v>708.48388936968</v>
      </c>
      <c r="J179" s="1">
        <f t="shared" si="133"/>
        <v>3.99330654078</v>
      </c>
      <c r="K179" s="1">
        <f t="shared" si="134"/>
        <v>0</v>
      </c>
      <c r="L179" s="1">
        <f t="shared" si="135"/>
        <v>0</v>
      </c>
      <c r="M179" s="1">
        <f t="shared" si="136"/>
        <v>0</v>
      </c>
      <c r="N179" s="1">
        <f t="shared" si="137"/>
        <v>0</v>
      </c>
      <c r="O179" s="1" t="b">
        <f t="shared" si="138"/>
        <v>0</v>
      </c>
    </row>
    <row r="180" customHeight="1" spans="5:15">
      <c r="E180" s="1">
        <v>80</v>
      </c>
      <c r="F180" s="1" t="str">
        <f t="shared" si="111"/>
        <v/>
      </c>
      <c r="G180" s="1" t="str">
        <f t="shared" si="130"/>
        <v>River 53N633</v>
      </c>
      <c r="H180" s="1">
        <f t="shared" si="131"/>
        <v>-724.49010855951</v>
      </c>
      <c r="I180" s="1">
        <f t="shared" si="132"/>
        <v>690.56441334727</v>
      </c>
      <c r="J180" s="1">
        <f t="shared" si="133"/>
        <v>11.37279001968</v>
      </c>
      <c r="K180" s="1">
        <f t="shared" si="134"/>
        <v>0</v>
      </c>
      <c r="L180" s="1">
        <f t="shared" si="135"/>
        <v>0</v>
      </c>
      <c r="M180" s="1">
        <f t="shared" si="136"/>
        <v>0</v>
      </c>
      <c r="N180" s="1">
        <f t="shared" si="137"/>
        <v>0</v>
      </c>
      <c r="O180" s="1" t="b">
        <f t="shared" si="138"/>
        <v>0</v>
      </c>
    </row>
    <row r="181" customHeight="1" spans="5:15">
      <c r="E181" s="1">
        <v>81</v>
      </c>
      <c r="F181" s="1" t="str">
        <f t="shared" si="111"/>
        <v/>
      </c>
      <c r="G181" s="1" t="str">
        <f t="shared" si="130"/>
        <v>River 53N635</v>
      </c>
      <c r="H181" s="1">
        <f t="shared" si="131"/>
        <v>-737.61605488143</v>
      </c>
      <c r="I181" s="1">
        <f t="shared" si="132"/>
        <v>676.62032420707</v>
      </c>
      <c r="J181" s="1">
        <f t="shared" si="133"/>
        <v>0.80486141263</v>
      </c>
      <c r="K181" s="1">
        <f t="shared" si="134"/>
        <v>0</v>
      </c>
      <c r="L181" s="1">
        <f t="shared" si="135"/>
        <v>0</v>
      </c>
      <c r="M181" s="1">
        <f t="shared" si="136"/>
        <v>0</v>
      </c>
      <c r="N181" s="1">
        <f t="shared" si="137"/>
        <v>0</v>
      </c>
      <c r="O181" s="1" t="b">
        <f t="shared" si="138"/>
        <v>0</v>
      </c>
    </row>
    <row r="182" customHeight="1" spans="5:15">
      <c r="E182" s="1">
        <v>82</v>
      </c>
      <c r="F182" s="1" t="str">
        <f t="shared" si="111"/>
        <v/>
      </c>
      <c r="G182" s="1" t="str">
        <f t="shared" si="130"/>
        <v>River 53N636</v>
      </c>
      <c r="H182" s="1">
        <f t="shared" si="131"/>
        <v>-740.63392725701</v>
      </c>
      <c r="I182" s="1">
        <f t="shared" si="132"/>
        <v>673.33522484449</v>
      </c>
      <c r="J182" s="1">
        <f t="shared" si="133"/>
        <v>8.85046959811</v>
      </c>
      <c r="K182" s="1">
        <f t="shared" si="134"/>
        <v>0</v>
      </c>
      <c r="L182" s="1">
        <f t="shared" si="135"/>
        <v>0</v>
      </c>
      <c r="M182" s="1">
        <f t="shared" si="136"/>
        <v>0</v>
      </c>
      <c r="N182" s="1">
        <f t="shared" si="137"/>
        <v>0</v>
      </c>
      <c r="O182" s="1" t="b">
        <f t="shared" si="138"/>
        <v>0</v>
      </c>
    </row>
    <row r="183" customHeight="1" spans="5:15">
      <c r="E183" s="1">
        <v>83</v>
      </c>
      <c r="F183" s="1" t="str">
        <f t="shared" si="111"/>
        <v/>
      </c>
      <c r="G183" s="1" t="str">
        <f t="shared" si="130"/>
        <v>River 53P625</v>
      </c>
      <c r="H183" s="1">
        <f t="shared" si="131"/>
        <v>-661.28154028757</v>
      </c>
      <c r="I183" s="1">
        <f t="shared" si="132"/>
        <v>725.22427655367</v>
      </c>
      <c r="J183" s="1">
        <f t="shared" si="133"/>
        <v>196.11160539173</v>
      </c>
      <c r="K183" s="1">
        <f t="shared" si="134"/>
        <v>0</v>
      </c>
      <c r="L183" s="1">
        <f t="shared" si="135"/>
        <v>0</v>
      </c>
      <c r="M183" s="1">
        <f t="shared" si="136"/>
        <v>0</v>
      </c>
      <c r="N183" s="1">
        <f t="shared" si="137"/>
        <v>0</v>
      </c>
      <c r="O183" s="1" t="b">
        <f t="shared" si="138"/>
        <v>0</v>
      </c>
    </row>
    <row r="184" customHeight="1" spans="5:15">
      <c r="E184" s="1">
        <v>84</v>
      </c>
      <c r="F184" s="1" t="str">
        <f t="shared" si="111"/>
        <v/>
      </c>
      <c r="G184" s="1" t="str">
        <f t="shared" si="130"/>
        <v>River 53P630</v>
      </c>
      <c r="H184" s="1">
        <f t="shared" si="131"/>
        <v>-694.519747280249</v>
      </c>
      <c r="I184" s="1">
        <f t="shared" si="132"/>
        <v>703.15465518414</v>
      </c>
      <c r="J184" s="1">
        <f t="shared" si="133"/>
        <v>166.0948089991</v>
      </c>
      <c r="K184" s="1">
        <f t="shared" si="134"/>
        <v>0</v>
      </c>
      <c r="L184" s="1">
        <f t="shared" si="135"/>
        <v>0</v>
      </c>
      <c r="M184" s="1">
        <f t="shared" si="136"/>
        <v>0</v>
      </c>
      <c r="N184" s="1">
        <f t="shared" si="137"/>
        <v>0</v>
      </c>
      <c r="O184" s="1" t="b">
        <f t="shared" si="138"/>
        <v>0</v>
      </c>
    </row>
    <row r="185" customHeight="1" spans="5:15">
      <c r="E185" s="1">
        <v>85</v>
      </c>
      <c r="F185" s="1" t="str">
        <f t="shared" si="111"/>
        <v/>
      </c>
      <c r="G185" s="1" t="str">
        <f t="shared" si="130"/>
        <v>River 53P631</v>
      </c>
      <c r="H185" s="1">
        <f t="shared" si="131"/>
        <v>-693.64940424645</v>
      </c>
      <c r="I185" s="1">
        <f t="shared" si="132"/>
        <v>687.63526013252</v>
      </c>
      <c r="J185" s="1">
        <f t="shared" si="133"/>
        <v>219.20152316351</v>
      </c>
      <c r="K185" s="1">
        <f t="shared" si="134"/>
        <v>0</v>
      </c>
      <c r="L185" s="1">
        <f t="shared" si="135"/>
        <v>0</v>
      </c>
      <c r="M185" s="1">
        <f t="shared" si="136"/>
        <v>0</v>
      </c>
      <c r="N185" s="1">
        <f t="shared" si="137"/>
        <v>0</v>
      </c>
      <c r="O185" s="1" t="b">
        <f t="shared" si="138"/>
        <v>0</v>
      </c>
    </row>
    <row r="186" customHeight="1" spans="5:15">
      <c r="E186" s="1">
        <v>86</v>
      </c>
      <c r="F186" s="1" t="str">
        <f t="shared" si="111"/>
        <v/>
      </c>
      <c r="G186" s="1" t="str">
        <f t="shared" si="130"/>
        <v>River 54M</v>
      </c>
      <c r="H186" s="1">
        <f t="shared" si="131"/>
        <v>-801.08808977709</v>
      </c>
      <c r="I186" s="1">
        <f t="shared" si="132"/>
        <v>601.46299101323</v>
      </c>
      <c r="J186" s="1">
        <f t="shared" si="133"/>
        <v>-5.71770008787</v>
      </c>
      <c r="K186" s="1">
        <f t="shared" si="134"/>
        <v>0</v>
      </c>
      <c r="L186" s="1">
        <f t="shared" si="135"/>
        <v>0</v>
      </c>
      <c r="M186" s="1">
        <f t="shared" si="136"/>
        <v>0</v>
      </c>
      <c r="N186" s="1">
        <f t="shared" si="137"/>
        <v>0</v>
      </c>
      <c r="O186" s="1" t="b">
        <f t="shared" si="138"/>
        <v>0</v>
      </c>
    </row>
    <row r="187" customHeight="1" spans="5:15">
      <c r="E187" s="1">
        <v>87</v>
      </c>
      <c r="F187" s="1" t="str">
        <f t="shared" si="111"/>
        <v/>
      </c>
      <c r="G187" s="1" t="str">
        <f t="shared" si="130"/>
        <v>River 54N638</v>
      </c>
      <c r="H187" s="1">
        <f t="shared" si="131"/>
        <v>-754.61837282719</v>
      </c>
      <c r="I187" s="1">
        <f t="shared" si="132"/>
        <v>657.4929587854</v>
      </c>
      <c r="J187" s="1">
        <f t="shared" si="133"/>
        <v>15.87634694054</v>
      </c>
      <c r="K187" s="1">
        <f t="shared" si="134"/>
        <v>0</v>
      </c>
      <c r="L187" s="1">
        <f t="shared" si="135"/>
        <v>0</v>
      </c>
      <c r="M187" s="1">
        <f t="shared" si="136"/>
        <v>0</v>
      </c>
      <c r="N187" s="1">
        <f t="shared" si="137"/>
        <v>0</v>
      </c>
      <c r="O187" s="1" t="b">
        <f t="shared" si="138"/>
        <v>0</v>
      </c>
    </row>
    <row r="188" customHeight="1" spans="5:15">
      <c r="E188" s="1">
        <v>88</v>
      </c>
      <c r="F188" s="1" t="str">
        <f t="shared" si="111"/>
        <v/>
      </c>
      <c r="G188" s="1" t="str">
        <f t="shared" si="130"/>
        <v>River 54N639</v>
      </c>
      <c r="H188" s="1">
        <f t="shared" si="131"/>
        <v>-758.59063795013</v>
      </c>
      <c r="I188" s="1">
        <f t="shared" si="132"/>
        <v>653.09384087314</v>
      </c>
      <c r="J188" s="1">
        <f t="shared" si="133"/>
        <v>16.50549280405</v>
      </c>
      <c r="K188" s="1">
        <f t="shared" si="134"/>
        <v>0</v>
      </c>
      <c r="L188" s="1">
        <f t="shared" si="135"/>
        <v>0</v>
      </c>
      <c r="M188" s="1">
        <f t="shared" si="136"/>
        <v>0</v>
      </c>
      <c r="N188" s="1">
        <f t="shared" si="137"/>
        <v>0</v>
      </c>
      <c r="O188" s="1" t="b">
        <f t="shared" si="138"/>
        <v>0</v>
      </c>
    </row>
    <row r="189" customHeight="1" spans="5:15">
      <c r="E189" s="1">
        <v>89</v>
      </c>
      <c r="F189" s="1" t="str">
        <f t="shared" si="111"/>
        <v/>
      </c>
      <c r="G189" s="1" t="str">
        <f t="shared" si="130"/>
        <v>River 54N642</v>
      </c>
      <c r="H189" s="1">
        <f t="shared" si="131"/>
        <v>-776.95680492816</v>
      </c>
      <c r="I189" s="1">
        <f t="shared" si="132"/>
        <v>631.82575742003</v>
      </c>
      <c r="J189" s="1">
        <f t="shared" si="133"/>
        <v>12.12209835673</v>
      </c>
      <c r="K189" s="1">
        <f t="shared" si="134"/>
        <v>0</v>
      </c>
      <c r="L189" s="1">
        <f t="shared" si="135"/>
        <v>0</v>
      </c>
      <c r="M189" s="1">
        <f t="shared" si="136"/>
        <v>0</v>
      </c>
      <c r="N189" s="1">
        <f t="shared" si="137"/>
        <v>0</v>
      </c>
      <c r="O189" s="1" t="b">
        <f t="shared" si="138"/>
        <v>0</v>
      </c>
    </row>
    <row r="190" customHeight="1" spans="5:15">
      <c r="E190" s="1">
        <v>90</v>
      </c>
      <c r="F190" s="1" t="str">
        <f t="shared" si="111"/>
        <v/>
      </c>
      <c r="G190" s="1" t="str">
        <f t="shared" si="130"/>
        <v>River 54N647</v>
      </c>
      <c r="H190" s="1">
        <f t="shared" si="131"/>
        <v>-803.65533737428</v>
      </c>
      <c r="I190" s="1">
        <f t="shared" si="132"/>
        <v>596.95426384438</v>
      </c>
      <c r="J190" s="1">
        <f t="shared" si="133"/>
        <v>6.09849944024</v>
      </c>
      <c r="K190" s="1">
        <f t="shared" si="134"/>
        <v>0</v>
      </c>
      <c r="L190" s="1">
        <f t="shared" si="135"/>
        <v>0</v>
      </c>
      <c r="M190" s="1">
        <f t="shared" si="136"/>
        <v>0</v>
      </c>
      <c r="N190" s="1">
        <f t="shared" si="137"/>
        <v>0</v>
      </c>
      <c r="O190" s="1" t="b">
        <f t="shared" si="138"/>
        <v>0</v>
      </c>
    </row>
    <row r="191" customHeight="1" spans="5:15">
      <c r="E191" s="1">
        <v>91</v>
      </c>
      <c r="F191" s="1" t="str">
        <f t="shared" si="111"/>
        <v/>
      </c>
      <c r="G191" s="1" t="str">
        <f t="shared" si="130"/>
        <v>River 55N</v>
      </c>
      <c r="H191" s="1">
        <f t="shared" si="131"/>
        <v>-820.73159667614</v>
      </c>
      <c r="I191" s="1">
        <f t="shared" si="132"/>
        <v>568.35011354749</v>
      </c>
      <c r="J191" s="1">
        <f t="shared" si="133"/>
        <v>72.12896686881</v>
      </c>
      <c r="K191" s="1">
        <f t="shared" si="134"/>
        <v>0</v>
      </c>
      <c r="L191" s="1">
        <f t="shared" si="135"/>
        <v>0</v>
      </c>
      <c r="M191" s="1">
        <f t="shared" si="136"/>
        <v>0</v>
      </c>
      <c r="N191" s="1">
        <f t="shared" si="137"/>
        <v>0</v>
      </c>
      <c r="O191" s="1" t="b">
        <f t="shared" si="138"/>
        <v>0</v>
      </c>
    </row>
    <row r="192" customHeight="1" spans="5:15">
      <c r="E192" s="1">
        <v>92</v>
      </c>
      <c r="F192" s="1" t="str">
        <f t="shared" si="111"/>
        <v/>
      </c>
      <c r="G192" s="1" t="str">
        <f t="shared" si="130"/>
        <v>Octagon</v>
      </c>
      <c r="H192" s="1">
        <f t="shared" si="131"/>
        <v>635.765</v>
      </c>
      <c r="I192" s="1">
        <f t="shared" si="132"/>
        <v>-155.464</v>
      </c>
      <c r="J192" s="1">
        <f t="shared" si="133"/>
        <v>758.837</v>
      </c>
      <c r="K192" s="1">
        <f t="shared" si="134"/>
        <v>0</v>
      </c>
      <c r="L192" s="1">
        <f t="shared" si="135"/>
        <v>0</v>
      </c>
      <c r="M192" s="1">
        <f t="shared" si="136"/>
        <v>0</v>
      </c>
      <c r="N192" s="1">
        <f t="shared" si="137"/>
        <v>0</v>
      </c>
      <c r="O192" s="1" t="b">
        <f t="shared" si="138"/>
        <v>0</v>
      </c>
    </row>
    <row r="193" customHeight="1" spans="5:15">
      <c r="E193" s="1">
        <v>93</v>
      </c>
      <c r="F193" s="1" t="str">
        <f t="shared" si="111"/>
        <v/>
      </c>
      <c r="G193" s="1" t="str">
        <f t="shared" si="130"/>
        <v>Campfire</v>
      </c>
      <c r="H193" s="1">
        <f t="shared" si="131"/>
        <v>520.693326411756</v>
      </c>
      <c r="I193" s="1">
        <f t="shared" si="132"/>
        <v>419.260263867295</v>
      </c>
      <c r="J193" s="1">
        <f t="shared" si="133"/>
        <v>743.713993715584</v>
      </c>
      <c r="K193" s="1">
        <f t="shared" si="134"/>
        <v>0</v>
      </c>
      <c r="L193" s="1">
        <f t="shared" si="135"/>
        <v>0</v>
      </c>
      <c r="M193" s="1">
        <f t="shared" si="136"/>
        <v>0</v>
      </c>
      <c r="N193" s="1">
        <f t="shared" si="137"/>
        <v>0</v>
      </c>
      <c r="O193" s="1" t="b">
        <f t="shared" si="138"/>
        <v>0</v>
      </c>
    </row>
    <row r="194" customHeight="1" spans="5:15">
      <c r="E194" s="1">
        <v>94</v>
      </c>
      <c r="F194" s="1" t="str">
        <f t="shared" si="111"/>
        <v/>
      </c>
      <c r="G194" s="1" t="str">
        <f t="shared" si="130"/>
        <v>Lake Chair</v>
      </c>
      <c r="H194" s="1">
        <f t="shared" si="131"/>
        <v>524.873227220621</v>
      </c>
      <c r="I194" s="1">
        <f t="shared" si="132"/>
        <v>425.682953869917</v>
      </c>
      <c r="J194" s="1">
        <f t="shared" si="133"/>
        <v>737.102441837138</v>
      </c>
      <c r="K194" s="1">
        <f t="shared" si="134"/>
        <v>0</v>
      </c>
      <c r="L194" s="1">
        <f t="shared" si="135"/>
        <v>0</v>
      </c>
      <c r="M194" s="1">
        <f t="shared" si="136"/>
        <v>0</v>
      </c>
      <c r="N194" s="1">
        <f t="shared" si="137"/>
        <v>0</v>
      </c>
      <c r="O194" s="1" t="b">
        <f t="shared" si="138"/>
        <v>0</v>
      </c>
    </row>
    <row r="195" customHeight="1" spans="5:15">
      <c r="E195" s="1">
        <v>95</v>
      </c>
      <c r="F195" s="1" t="str">
        <f t="shared" si="111"/>
        <v/>
      </c>
      <c r="G195" s="1" t="str">
        <f t="shared" si="130"/>
        <v>Mtn Chair</v>
      </c>
      <c r="H195" s="1">
        <f t="shared" si="131"/>
        <v>506.681654210353</v>
      </c>
      <c r="I195" s="1">
        <f t="shared" si="132"/>
        <v>421.171165357204</v>
      </c>
      <c r="J195" s="1">
        <f t="shared" si="133"/>
        <v>754.682731680966</v>
      </c>
      <c r="K195" s="1">
        <f t="shared" si="134"/>
        <v>0</v>
      </c>
      <c r="L195" s="1">
        <f t="shared" si="135"/>
        <v>0</v>
      </c>
      <c r="M195" s="1">
        <f t="shared" si="136"/>
        <v>0</v>
      </c>
      <c r="N195" s="1">
        <f t="shared" si="137"/>
        <v>0</v>
      </c>
      <c r="O195" s="1" t="b">
        <f t="shared" si="138"/>
        <v>0</v>
      </c>
    </row>
    <row r="196" customHeight="1" spans="5:15">
      <c r="E196" s="1">
        <v>96</v>
      </c>
      <c r="F196" s="1" t="str">
        <f t="shared" si="111"/>
        <v/>
      </c>
      <c r="G196" s="1" t="str">
        <f t="shared" si="130"/>
        <v>Tears of Fire</v>
      </c>
      <c r="H196" s="1">
        <f t="shared" si="131"/>
        <v>518.388064604595</v>
      </c>
      <c r="I196" s="1">
        <f t="shared" si="132"/>
        <v>416.270524745018</v>
      </c>
      <c r="J196" s="1">
        <f t="shared" si="133"/>
        <v>747.875548809016</v>
      </c>
      <c r="K196" s="1">
        <f t="shared" si="134"/>
        <v>0</v>
      </c>
      <c r="L196" s="1">
        <f t="shared" si="135"/>
        <v>0</v>
      </c>
      <c r="M196" s="1">
        <f t="shared" si="136"/>
        <v>0</v>
      </c>
      <c r="N196" s="1">
        <f t="shared" si="137"/>
        <v>0</v>
      </c>
      <c r="O196" s="1" t="b">
        <f t="shared" si="138"/>
        <v>0</v>
      </c>
    </row>
    <row r="197" customHeight="1" spans="5:15">
      <c r="E197" s="1">
        <v>97</v>
      </c>
      <c r="F197" s="1" t="e">
        <f t="shared" si="111"/>
        <v>#VALUE!</v>
      </c>
      <c r="G197" s="1" t="str">
        <f t="shared" ref="G197:G228" si="139">_xlfn.IFNA(VLOOKUP(CONCATENATE(G$94," ",IF(E197&lt;10,"0",""),E197),Database,5,FALSE),"")</f>
        <v/>
      </c>
      <c r="H197" s="1" t="str">
        <f t="shared" ref="H197:H228" si="140">_xlfn.IFNA(VLOOKUP(CONCATENATE(G$94," ",IF(E197&lt;10,"0",""),E197),Database,6,FALSE),"")</f>
        <v/>
      </c>
      <c r="I197" s="1" t="str">
        <f t="shared" ref="I197:I228" si="141">_xlfn.IFNA(VLOOKUP(CONCATENATE(G$94," ",IF(E197&lt;10,"0",""),E197),Database,7,FALSE),"")</f>
        <v/>
      </c>
      <c r="J197" s="1" t="str">
        <f t="shared" ref="J197:J228" si="142">_xlfn.IFNA(VLOOKUP(CONCATENATE(G$94," ",IF(E197&lt;10,"0",""),E197),Database,8,FALSE),"")</f>
        <v/>
      </c>
      <c r="K197" s="1" t="str">
        <f t="shared" ref="K197:K228" si="143">_xlfn.IFNA(VLOOKUP(CONCATENATE(G$94," ",IF(E197&lt;10,"0",""),E197),Database,9,FALSE),"")</f>
        <v/>
      </c>
      <c r="L197" s="1" t="str">
        <f t="shared" ref="L197:L228" si="144">_xlfn.IFNA(VLOOKUP(CONCATENATE(G$94," ",IF(E197&lt;10,"0",""),E197),Database,10,FALSE),"")</f>
        <v/>
      </c>
      <c r="M197" s="1" t="str">
        <f t="shared" ref="M197:M228" si="145">_xlfn.IFNA(VLOOKUP(CONCATENATE(G$94," ",IF(E197&lt;10,"0",""),E197),Database,11,FALSE),"")</f>
        <v/>
      </c>
      <c r="N197" s="1" t="str">
        <f t="shared" ref="N197:N228" si="146">_xlfn.IFNA(VLOOKUP(CONCATENATE(G$94," ",IF(E197&lt;10,"0",""),E197),Database,12,FALSE),"")</f>
        <v/>
      </c>
      <c r="O197" s="1" t="str">
        <f t="shared" ref="O197:O228" si="147">_xlfn.IFNA(VLOOKUP(CONCATENATE(G$94," ",IF(E197&lt;10,"0",""),E197),Database,13,FALSE),"")</f>
        <v/>
      </c>
    </row>
    <row r="198" customHeight="1" spans="5:15">
      <c r="E198" s="1">
        <v>98</v>
      </c>
      <c r="F198" s="1" t="e">
        <f t="shared" si="111"/>
        <v>#VALUE!</v>
      </c>
      <c r="G198" s="1" t="str">
        <f t="shared" si="139"/>
        <v/>
      </c>
      <c r="H198" s="1" t="str">
        <f t="shared" si="140"/>
        <v/>
      </c>
      <c r="I198" s="1" t="str">
        <f t="shared" si="141"/>
        <v/>
      </c>
      <c r="J198" s="1" t="str">
        <f t="shared" si="142"/>
        <v/>
      </c>
      <c r="K198" s="1" t="str">
        <f t="shared" si="143"/>
        <v/>
      </c>
      <c r="L198" s="1" t="str">
        <f t="shared" si="144"/>
        <v/>
      </c>
      <c r="M198" s="1" t="str">
        <f t="shared" si="145"/>
        <v/>
      </c>
      <c r="N198" s="1" t="str">
        <f t="shared" si="146"/>
        <v/>
      </c>
      <c r="O198" s="1" t="str">
        <f t="shared" si="147"/>
        <v/>
      </c>
    </row>
    <row r="199" customHeight="1" spans="5:15">
      <c r="E199" s="1">
        <v>99</v>
      </c>
      <c r="F199" s="1" t="e">
        <f t="shared" si="111"/>
        <v>#VALUE!</v>
      </c>
      <c r="G199" s="1" t="str">
        <f t="shared" si="139"/>
        <v/>
      </c>
      <c r="H199" s="1" t="str">
        <f t="shared" si="140"/>
        <v/>
      </c>
      <c r="I199" s="1" t="str">
        <f t="shared" si="141"/>
        <v/>
      </c>
      <c r="J199" s="1" t="str">
        <f t="shared" si="142"/>
        <v/>
      </c>
      <c r="K199" s="1" t="str">
        <f t="shared" si="143"/>
        <v/>
      </c>
      <c r="L199" s="1" t="str">
        <f t="shared" si="144"/>
        <v/>
      </c>
      <c r="M199" s="1" t="str">
        <f t="shared" si="145"/>
        <v/>
      </c>
      <c r="N199" s="1" t="str">
        <f t="shared" si="146"/>
        <v/>
      </c>
      <c r="O199" s="1" t="str">
        <f t="shared" si="147"/>
        <v/>
      </c>
    </row>
    <row r="200" customHeight="1" spans="5:15">
      <c r="E200" s="1">
        <v>100</v>
      </c>
      <c r="F200" s="1" t="e">
        <f t="shared" si="111"/>
        <v>#VALUE!</v>
      </c>
      <c r="G200" s="1" t="str">
        <f t="shared" si="139"/>
        <v/>
      </c>
      <c r="H200" s="1" t="str">
        <f t="shared" si="140"/>
        <v/>
      </c>
      <c r="I200" s="1" t="str">
        <f t="shared" si="141"/>
        <v/>
      </c>
      <c r="J200" s="1" t="str">
        <f t="shared" si="142"/>
        <v/>
      </c>
      <c r="K200" s="1" t="str">
        <f t="shared" si="143"/>
        <v/>
      </c>
      <c r="L200" s="1" t="str">
        <f t="shared" si="144"/>
        <v/>
      </c>
      <c r="M200" s="1" t="str">
        <f t="shared" si="145"/>
        <v/>
      </c>
      <c r="N200" s="1" t="str">
        <f t="shared" si="146"/>
        <v/>
      </c>
      <c r="O200" s="1" t="str">
        <f t="shared" si="147"/>
        <v/>
      </c>
    </row>
    <row r="201" customHeight="1" spans="5:15">
      <c r="E201" s="1">
        <v>101</v>
      </c>
      <c r="F201" s="1" t="e">
        <f t="shared" si="111"/>
        <v>#VALUE!</v>
      </c>
      <c r="G201" s="1" t="str">
        <f t="shared" si="139"/>
        <v/>
      </c>
      <c r="H201" s="1" t="str">
        <f t="shared" si="140"/>
        <v/>
      </c>
      <c r="I201" s="1" t="str">
        <f t="shared" si="141"/>
        <v/>
      </c>
      <c r="J201" s="1" t="str">
        <f t="shared" si="142"/>
        <v/>
      </c>
      <c r="K201" s="1" t="str">
        <f t="shared" si="143"/>
        <v/>
      </c>
      <c r="L201" s="1" t="str">
        <f t="shared" si="144"/>
        <v/>
      </c>
      <c r="M201" s="1" t="str">
        <f t="shared" si="145"/>
        <v/>
      </c>
      <c r="N201" s="1" t="str">
        <f t="shared" si="146"/>
        <v/>
      </c>
      <c r="O201" s="1" t="str">
        <f t="shared" si="147"/>
        <v/>
      </c>
    </row>
    <row r="202" customHeight="1" spans="5:15">
      <c r="E202" s="1">
        <v>102</v>
      </c>
      <c r="F202" s="1" t="e">
        <f t="shared" si="111"/>
        <v>#VALUE!</v>
      </c>
      <c r="G202" s="1" t="str">
        <f t="shared" si="139"/>
        <v/>
      </c>
      <c r="H202" s="1" t="str">
        <f t="shared" si="140"/>
        <v/>
      </c>
      <c r="I202" s="1" t="str">
        <f t="shared" si="141"/>
        <v/>
      </c>
      <c r="J202" s="1" t="str">
        <f t="shared" si="142"/>
        <v/>
      </c>
      <c r="K202" s="1" t="str">
        <f t="shared" si="143"/>
        <v/>
      </c>
      <c r="L202" s="1" t="str">
        <f t="shared" si="144"/>
        <v/>
      </c>
      <c r="M202" s="1" t="str">
        <f t="shared" si="145"/>
        <v/>
      </c>
      <c r="N202" s="1" t="str">
        <f t="shared" si="146"/>
        <v/>
      </c>
      <c r="O202" s="1" t="str">
        <f t="shared" si="147"/>
        <v/>
      </c>
    </row>
    <row r="203" customHeight="1" spans="5:15">
      <c r="E203" s="1">
        <v>103</v>
      </c>
      <c r="F203" s="1" t="e">
        <f t="shared" si="111"/>
        <v>#VALUE!</v>
      </c>
      <c r="G203" s="1" t="str">
        <f t="shared" si="139"/>
        <v/>
      </c>
      <c r="H203" s="1" t="str">
        <f t="shared" si="140"/>
        <v/>
      </c>
      <c r="I203" s="1" t="str">
        <f t="shared" si="141"/>
        <v/>
      </c>
      <c r="J203" s="1" t="str">
        <f t="shared" si="142"/>
        <v/>
      </c>
      <c r="K203" s="1" t="str">
        <f t="shared" si="143"/>
        <v/>
      </c>
      <c r="L203" s="1" t="str">
        <f t="shared" si="144"/>
        <v/>
      </c>
      <c r="M203" s="1" t="str">
        <f t="shared" si="145"/>
        <v/>
      </c>
      <c r="N203" s="1" t="str">
        <f t="shared" si="146"/>
        <v/>
      </c>
      <c r="O203" s="1" t="str">
        <f t="shared" si="147"/>
        <v/>
      </c>
    </row>
    <row r="204" customHeight="1" spans="5:15">
      <c r="E204" s="1">
        <v>104</v>
      </c>
      <c r="F204" s="1" t="e">
        <f t="shared" si="111"/>
        <v>#VALUE!</v>
      </c>
      <c r="G204" s="1" t="str">
        <f t="shared" si="139"/>
        <v/>
      </c>
      <c r="H204" s="1" t="str">
        <f t="shared" si="140"/>
        <v/>
      </c>
      <c r="I204" s="1" t="str">
        <f t="shared" si="141"/>
        <v/>
      </c>
      <c r="J204" s="1" t="str">
        <f t="shared" si="142"/>
        <v/>
      </c>
      <c r="K204" s="1" t="str">
        <f t="shared" si="143"/>
        <v/>
      </c>
      <c r="L204" s="1" t="str">
        <f t="shared" si="144"/>
        <v/>
      </c>
      <c r="M204" s="1" t="str">
        <f t="shared" si="145"/>
        <v/>
      </c>
      <c r="N204" s="1" t="str">
        <f t="shared" si="146"/>
        <v/>
      </c>
      <c r="O204" s="1" t="str">
        <f t="shared" si="147"/>
        <v/>
      </c>
    </row>
    <row r="205" customHeight="1" spans="5:15">
      <c r="E205" s="1">
        <v>105</v>
      </c>
      <c r="F205" s="1" t="e">
        <f t="shared" si="111"/>
        <v>#VALUE!</v>
      </c>
      <c r="G205" s="1" t="str">
        <f t="shared" si="139"/>
        <v/>
      </c>
      <c r="H205" s="1" t="str">
        <f t="shared" si="140"/>
        <v/>
      </c>
      <c r="I205" s="1" t="str">
        <f t="shared" si="141"/>
        <v/>
      </c>
      <c r="J205" s="1" t="str">
        <f t="shared" si="142"/>
        <v/>
      </c>
      <c r="K205" s="1" t="str">
        <f t="shared" si="143"/>
        <v/>
      </c>
      <c r="L205" s="1" t="str">
        <f t="shared" si="144"/>
        <v/>
      </c>
      <c r="M205" s="1" t="str">
        <f t="shared" si="145"/>
        <v/>
      </c>
      <c r="N205" s="1" t="str">
        <f t="shared" si="146"/>
        <v/>
      </c>
      <c r="O205" s="1" t="str">
        <f t="shared" si="147"/>
        <v/>
      </c>
    </row>
    <row r="206" customHeight="1" spans="5:15">
      <c r="E206" s="1">
        <v>106</v>
      </c>
      <c r="F206" s="1" t="e">
        <f t="shared" si="111"/>
        <v>#VALUE!</v>
      </c>
      <c r="G206" s="1" t="str">
        <f t="shared" si="139"/>
        <v/>
      </c>
      <c r="H206" s="1" t="str">
        <f t="shared" si="140"/>
        <v/>
      </c>
      <c r="I206" s="1" t="str">
        <f t="shared" si="141"/>
        <v/>
      </c>
      <c r="J206" s="1" t="str">
        <f t="shared" si="142"/>
        <v/>
      </c>
      <c r="K206" s="1" t="str">
        <f t="shared" si="143"/>
        <v/>
      </c>
      <c r="L206" s="1" t="str">
        <f t="shared" si="144"/>
        <v/>
      </c>
      <c r="M206" s="1" t="str">
        <f t="shared" si="145"/>
        <v/>
      </c>
      <c r="N206" s="1" t="str">
        <f t="shared" si="146"/>
        <v/>
      </c>
      <c r="O206" s="1" t="str">
        <f t="shared" si="147"/>
        <v/>
      </c>
    </row>
    <row r="207" customHeight="1" spans="5:15">
      <c r="E207" s="1">
        <v>107</v>
      </c>
      <c r="F207" s="1" t="e">
        <f t="shared" si="111"/>
        <v>#VALUE!</v>
      </c>
      <c r="G207" s="1" t="str">
        <f t="shared" si="139"/>
        <v/>
      </c>
      <c r="H207" s="1" t="str">
        <f t="shared" si="140"/>
        <v/>
      </c>
      <c r="I207" s="1" t="str">
        <f t="shared" si="141"/>
        <v/>
      </c>
      <c r="J207" s="1" t="str">
        <f t="shared" si="142"/>
        <v/>
      </c>
      <c r="K207" s="1" t="str">
        <f t="shared" si="143"/>
        <v/>
      </c>
      <c r="L207" s="1" t="str">
        <f t="shared" si="144"/>
        <v/>
      </c>
      <c r="M207" s="1" t="str">
        <f t="shared" si="145"/>
        <v/>
      </c>
      <c r="N207" s="1" t="str">
        <f t="shared" si="146"/>
        <v/>
      </c>
      <c r="O207" s="1" t="str">
        <f t="shared" si="147"/>
        <v/>
      </c>
    </row>
    <row r="208" customHeight="1" spans="5:15">
      <c r="E208" s="1">
        <v>108</v>
      </c>
      <c r="F208" s="1" t="e">
        <f t="shared" si="111"/>
        <v>#VALUE!</v>
      </c>
      <c r="G208" s="1" t="str">
        <f t="shared" si="139"/>
        <v/>
      </c>
      <c r="H208" s="1" t="str">
        <f t="shared" si="140"/>
        <v/>
      </c>
      <c r="I208" s="1" t="str">
        <f t="shared" si="141"/>
        <v/>
      </c>
      <c r="J208" s="1" t="str">
        <f t="shared" si="142"/>
        <v/>
      </c>
      <c r="K208" s="1" t="str">
        <f t="shared" si="143"/>
        <v/>
      </c>
      <c r="L208" s="1" t="str">
        <f t="shared" si="144"/>
        <v/>
      </c>
      <c r="M208" s="1" t="str">
        <f t="shared" si="145"/>
        <v/>
      </c>
      <c r="N208" s="1" t="str">
        <f t="shared" si="146"/>
        <v/>
      </c>
      <c r="O208" s="1" t="str">
        <f t="shared" si="147"/>
        <v/>
      </c>
    </row>
    <row r="209" customHeight="1" spans="5:15">
      <c r="E209" s="1">
        <v>109</v>
      </c>
      <c r="F209" s="1" t="e">
        <f t="shared" si="111"/>
        <v>#VALUE!</v>
      </c>
      <c r="G209" s="1" t="str">
        <f t="shared" si="139"/>
        <v/>
      </c>
      <c r="H209" s="1" t="str">
        <f t="shared" si="140"/>
        <v/>
      </c>
      <c r="I209" s="1" t="str">
        <f t="shared" si="141"/>
        <v/>
      </c>
      <c r="J209" s="1" t="str">
        <f t="shared" si="142"/>
        <v/>
      </c>
      <c r="K209" s="1" t="str">
        <f t="shared" si="143"/>
        <v/>
      </c>
      <c r="L209" s="1" t="str">
        <f t="shared" si="144"/>
        <v/>
      </c>
      <c r="M209" s="1" t="str">
        <f t="shared" si="145"/>
        <v/>
      </c>
      <c r="N209" s="1" t="str">
        <f t="shared" si="146"/>
        <v/>
      </c>
      <c r="O209" s="1" t="str">
        <f t="shared" si="147"/>
        <v/>
      </c>
    </row>
    <row r="210" customHeight="1" spans="5:15">
      <c r="E210" s="1">
        <v>110</v>
      </c>
      <c r="F210" s="1" t="e">
        <f t="shared" si="111"/>
        <v>#VALUE!</v>
      </c>
      <c r="G210" s="1" t="str">
        <f t="shared" si="139"/>
        <v/>
      </c>
      <c r="H210" s="1" t="str">
        <f t="shared" si="140"/>
        <v/>
      </c>
      <c r="I210" s="1" t="str">
        <f t="shared" si="141"/>
        <v/>
      </c>
      <c r="J210" s="1" t="str">
        <f t="shared" si="142"/>
        <v/>
      </c>
      <c r="K210" s="1" t="str">
        <f t="shared" si="143"/>
        <v/>
      </c>
      <c r="L210" s="1" t="str">
        <f t="shared" si="144"/>
        <v/>
      </c>
      <c r="M210" s="1" t="str">
        <f t="shared" si="145"/>
        <v/>
      </c>
      <c r="N210" s="1" t="str">
        <f t="shared" si="146"/>
        <v/>
      </c>
      <c r="O210" s="1" t="str">
        <f t="shared" si="147"/>
        <v/>
      </c>
    </row>
    <row r="211" customHeight="1" spans="5:15">
      <c r="E211" s="1">
        <v>111</v>
      </c>
      <c r="F211" s="1" t="e">
        <f t="shared" si="111"/>
        <v>#VALUE!</v>
      </c>
      <c r="G211" s="1" t="str">
        <f t="shared" si="139"/>
        <v/>
      </c>
      <c r="H211" s="1" t="str">
        <f t="shared" si="140"/>
        <v/>
      </c>
      <c r="I211" s="1" t="str">
        <f t="shared" si="141"/>
        <v/>
      </c>
      <c r="J211" s="1" t="str">
        <f t="shared" si="142"/>
        <v/>
      </c>
      <c r="K211" s="1" t="str">
        <f t="shared" si="143"/>
        <v/>
      </c>
      <c r="L211" s="1" t="str">
        <f t="shared" si="144"/>
        <v/>
      </c>
      <c r="M211" s="1" t="str">
        <f t="shared" si="145"/>
        <v/>
      </c>
      <c r="N211" s="1" t="str">
        <f t="shared" si="146"/>
        <v/>
      </c>
      <c r="O211" s="1" t="str">
        <f t="shared" si="147"/>
        <v/>
      </c>
    </row>
    <row r="212" customHeight="1" spans="5:15">
      <c r="E212" s="1">
        <v>112</v>
      </c>
      <c r="F212" s="1" t="e">
        <f t="shared" si="111"/>
        <v>#VALUE!</v>
      </c>
      <c r="G212" s="1" t="str">
        <f t="shared" si="139"/>
        <v/>
      </c>
      <c r="H212" s="1" t="str">
        <f t="shared" si="140"/>
        <v/>
      </c>
      <c r="I212" s="1" t="str">
        <f t="shared" si="141"/>
        <v/>
      </c>
      <c r="J212" s="1" t="str">
        <f t="shared" si="142"/>
        <v/>
      </c>
      <c r="K212" s="1" t="str">
        <f t="shared" si="143"/>
        <v/>
      </c>
      <c r="L212" s="1" t="str">
        <f t="shared" si="144"/>
        <v/>
      </c>
      <c r="M212" s="1" t="str">
        <f t="shared" si="145"/>
        <v/>
      </c>
      <c r="N212" s="1" t="str">
        <f t="shared" si="146"/>
        <v/>
      </c>
      <c r="O212" s="1" t="str">
        <f t="shared" si="147"/>
        <v/>
      </c>
    </row>
    <row r="213" customHeight="1" spans="5:15">
      <c r="E213" s="1">
        <v>113</v>
      </c>
      <c r="F213" s="1" t="e">
        <f t="shared" si="111"/>
        <v>#VALUE!</v>
      </c>
      <c r="G213" s="1" t="str">
        <f t="shared" si="139"/>
        <v/>
      </c>
      <c r="H213" s="1" t="str">
        <f t="shared" si="140"/>
        <v/>
      </c>
      <c r="I213" s="1" t="str">
        <f t="shared" si="141"/>
        <v/>
      </c>
      <c r="J213" s="1" t="str">
        <f t="shared" si="142"/>
        <v/>
      </c>
      <c r="K213" s="1" t="str">
        <f t="shared" si="143"/>
        <v/>
      </c>
      <c r="L213" s="1" t="str">
        <f t="shared" si="144"/>
        <v/>
      </c>
      <c r="M213" s="1" t="str">
        <f t="shared" si="145"/>
        <v/>
      </c>
      <c r="N213" s="1" t="str">
        <f t="shared" si="146"/>
        <v/>
      </c>
      <c r="O213" s="1" t="str">
        <f t="shared" si="147"/>
        <v/>
      </c>
    </row>
    <row r="214" customHeight="1" spans="5:15">
      <c r="E214" s="1">
        <v>114</v>
      </c>
      <c r="F214" s="1" t="e">
        <f t="shared" si="111"/>
        <v>#VALUE!</v>
      </c>
      <c r="G214" s="1" t="str">
        <f t="shared" si="139"/>
        <v/>
      </c>
      <c r="H214" s="1" t="str">
        <f t="shared" si="140"/>
        <v/>
      </c>
      <c r="I214" s="1" t="str">
        <f t="shared" si="141"/>
        <v/>
      </c>
      <c r="J214" s="1" t="str">
        <f t="shared" si="142"/>
        <v/>
      </c>
      <c r="K214" s="1" t="str">
        <f t="shared" si="143"/>
        <v/>
      </c>
      <c r="L214" s="1" t="str">
        <f t="shared" si="144"/>
        <v/>
      </c>
      <c r="M214" s="1" t="str">
        <f t="shared" si="145"/>
        <v/>
      </c>
      <c r="N214" s="1" t="str">
        <f t="shared" si="146"/>
        <v/>
      </c>
      <c r="O214" s="1" t="str">
        <f t="shared" si="147"/>
        <v/>
      </c>
    </row>
    <row r="215" customHeight="1" spans="5:15">
      <c r="E215" s="1">
        <v>115</v>
      </c>
      <c r="F215" s="1" t="e">
        <f t="shared" si="111"/>
        <v>#VALUE!</v>
      </c>
      <c r="G215" s="1" t="str">
        <f t="shared" si="139"/>
        <v/>
      </c>
      <c r="H215" s="1" t="str">
        <f t="shared" si="140"/>
        <v/>
      </c>
      <c r="I215" s="1" t="str">
        <f t="shared" si="141"/>
        <v/>
      </c>
      <c r="J215" s="1" t="str">
        <f t="shared" si="142"/>
        <v/>
      </c>
      <c r="K215" s="1" t="str">
        <f t="shared" si="143"/>
        <v/>
      </c>
      <c r="L215" s="1" t="str">
        <f t="shared" si="144"/>
        <v/>
      </c>
      <c r="M215" s="1" t="str">
        <f t="shared" si="145"/>
        <v/>
      </c>
      <c r="N215" s="1" t="str">
        <f t="shared" si="146"/>
        <v/>
      </c>
      <c r="O215" s="1" t="str">
        <f t="shared" si="147"/>
        <v/>
      </c>
    </row>
    <row r="216" customHeight="1" spans="5:15">
      <c r="E216" s="1">
        <v>116</v>
      </c>
      <c r="F216" s="1" t="e">
        <f t="shared" si="111"/>
        <v>#VALUE!</v>
      </c>
      <c r="G216" s="1" t="str">
        <f t="shared" si="139"/>
        <v/>
      </c>
      <c r="H216" s="1" t="str">
        <f t="shared" si="140"/>
        <v/>
      </c>
      <c r="I216" s="1" t="str">
        <f t="shared" si="141"/>
        <v/>
      </c>
      <c r="J216" s="1" t="str">
        <f t="shared" si="142"/>
        <v/>
      </c>
      <c r="K216" s="1" t="str">
        <f t="shared" si="143"/>
        <v/>
      </c>
      <c r="L216" s="1" t="str">
        <f t="shared" si="144"/>
        <v/>
      </c>
      <c r="M216" s="1" t="str">
        <f t="shared" si="145"/>
        <v/>
      </c>
      <c r="N216" s="1" t="str">
        <f t="shared" si="146"/>
        <v/>
      </c>
      <c r="O216" s="1" t="str">
        <f t="shared" si="147"/>
        <v/>
      </c>
    </row>
    <row r="217" customHeight="1" spans="5:15">
      <c r="E217" s="1">
        <v>117</v>
      </c>
      <c r="F217" s="1" t="e">
        <f t="shared" si="111"/>
        <v>#VALUE!</v>
      </c>
      <c r="G217" s="1" t="str">
        <f t="shared" si="139"/>
        <v/>
      </c>
      <c r="H217" s="1" t="str">
        <f t="shared" si="140"/>
        <v/>
      </c>
      <c r="I217" s="1" t="str">
        <f t="shared" si="141"/>
        <v/>
      </c>
      <c r="J217" s="1" t="str">
        <f t="shared" si="142"/>
        <v/>
      </c>
      <c r="K217" s="1" t="str">
        <f t="shared" si="143"/>
        <v/>
      </c>
      <c r="L217" s="1" t="str">
        <f t="shared" si="144"/>
        <v/>
      </c>
      <c r="M217" s="1" t="str">
        <f t="shared" si="145"/>
        <v/>
      </c>
      <c r="N217" s="1" t="str">
        <f t="shared" si="146"/>
        <v/>
      </c>
      <c r="O217" s="1" t="str">
        <f t="shared" si="147"/>
        <v/>
      </c>
    </row>
    <row r="218" customHeight="1" spans="5:15">
      <c r="E218" s="1">
        <v>118</v>
      </c>
      <c r="F218" s="1" t="e">
        <f t="shared" si="111"/>
        <v>#VALUE!</v>
      </c>
      <c r="G218" s="1" t="str">
        <f t="shared" si="139"/>
        <v/>
      </c>
      <c r="H218" s="1" t="str">
        <f t="shared" si="140"/>
        <v/>
      </c>
      <c r="I218" s="1" t="str">
        <f t="shared" si="141"/>
        <v/>
      </c>
      <c r="J218" s="1" t="str">
        <f t="shared" si="142"/>
        <v/>
      </c>
      <c r="K218" s="1" t="str">
        <f t="shared" si="143"/>
        <v/>
      </c>
      <c r="L218" s="1" t="str">
        <f t="shared" si="144"/>
        <v/>
      </c>
      <c r="M218" s="1" t="str">
        <f t="shared" si="145"/>
        <v/>
      </c>
      <c r="N218" s="1" t="str">
        <f t="shared" si="146"/>
        <v/>
      </c>
      <c r="O218" s="1" t="str">
        <f t="shared" si="147"/>
        <v/>
      </c>
    </row>
    <row r="219" customHeight="1" spans="5:15">
      <c r="E219" s="1">
        <v>119</v>
      </c>
      <c r="F219" s="1" t="e">
        <f t="shared" si="111"/>
        <v>#VALUE!</v>
      </c>
      <c r="G219" s="1" t="str">
        <f t="shared" si="139"/>
        <v/>
      </c>
      <c r="H219" s="1" t="str">
        <f t="shared" si="140"/>
        <v/>
      </c>
      <c r="I219" s="1" t="str">
        <f t="shared" si="141"/>
        <v/>
      </c>
      <c r="J219" s="1" t="str">
        <f t="shared" si="142"/>
        <v/>
      </c>
      <c r="K219" s="1" t="str">
        <f t="shared" si="143"/>
        <v/>
      </c>
      <c r="L219" s="1" t="str">
        <f t="shared" si="144"/>
        <v/>
      </c>
      <c r="M219" s="1" t="str">
        <f t="shared" si="145"/>
        <v/>
      </c>
      <c r="N219" s="1" t="str">
        <f t="shared" si="146"/>
        <v/>
      </c>
      <c r="O219" s="1" t="str">
        <f t="shared" si="147"/>
        <v/>
      </c>
    </row>
    <row r="220" customHeight="1" spans="5:15">
      <c r="E220" s="1">
        <v>120</v>
      </c>
      <c r="F220" s="1" t="e">
        <f t="shared" si="111"/>
        <v>#VALUE!</v>
      </c>
      <c r="G220" s="1" t="str">
        <f t="shared" si="139"/>
        <v/>
      </c>
      <c r="H220" s="1" t="str">
        <f t="shared" si="140"/>
        <v/>
      </c>
      <c r="I220" s="1" t="str">
        <f t="shared" si="141"/>
        <v/>
      </c>
      <c r="J220" s="1" t="str">
        <f t="shared" si="142"/>
        <v/>
      </c>
      <c r="K220" s="1" t="str">
        <f t="shared" si="143"/>
        <v/>
      </c>
      <c r="L220" s="1" t="str">
        <f t="shared" si="144"/>
        <v/>
      </c>
      <c r="M220" s="1" t="str">
        <f t="shared" si="145"/>
        <v/>
      </c>
      <c r="N220" s="1" t="str">
        <f t="shared" si="146"/>
        <v/>
      </c>
      <c r="O220" s="1" t="str">
        <f t="shared" si="147"/>
        <v/>
      </c>
    </row>
    <row r="221" customHeight="1" spans="5:15">
      <c r="E221" s="1">
        <v>121</v>
      </c>
      <c r="F221" s="1" t="e">
        <f t="shared" si="111"/>
        <v>#VALUE!</v>
      </c>
      <c r="G221" s="1" t="str">
        <f t="shared" si="139"/>
        <v/>
      </c>
      <c r="H221" s="1" t="str">
        <f t="shared" si="140"/>
        <v/>
      </c>
      <c r="I221" s="1" t="str">
        <f t="shared" si="141"/>
        <v/>
      </c>
      <c r="J221" s="1" t="str">
        <f t="shared" si="142"/>
        <v/>
      </c>
      <c r="K221" s="1" t="str">
        <f t="shared" si="143"/>
        <v/>
      </c>
      <c r="L221" s="1" t="str">
        <f t="shared" si="144"/>
        <v/>
      </c>
      <c r="M221" s="1" t="str">
        <f t="shared" si="145"/>
        <v/>
      </c>
      <c r="N221" s="1" t="str">
        <f t="shared" si="146"/>
        <v/>
      </c>
      <c r="O221" s="1" t="str">
        <f t="shared" si="147"/>
        <v/>
      </c>
    </row>
    <row r="222" customHeight="1" spans="5:15">
      <c r="E222" s="1">
        <v>122</v>
      </c>
      <c r="F222" s="1" t="e">
        <f t="shared" si="111"/>
        <v>#VALUE!</v>
      </c>
      <c r="G222" s="1" t="str">
        <f t="shared" si="139"/>
        <v/>
      </c>
      <c r="H222" s="1" t="str">
        <f t="shared" si="140"/>
        <v/>
      </c>
      <c r="I222" s="1" t="str">
        <f t="shared" si="141"/>
        <v/>
      </c>
      <c r="J222" s="1" t="str">
        <f t="shared" si="142"/>
        <v/>
      </c>
      <c r="K222" s="1" t="str">
        <f t="shared" si="143"/>
        <v/>
      </c>
      <c r="L222" s="1" t="str">
        <f t="shared" si="144"/>
        <v/>
      </c>
      <c r="M222" s="1" t="str">
        <f t="shared" si="145"/>
        <v/>
      </c>
      <c r="N222" s="1" t="str">
        <f t="shared" si="146"/>
        <v/>
      </c>
      <c r="O222" s="1" t="str">
        <f t="shared" si="147"/>
        <v/>
      </c>
    </row>
    <row r="223" customHeight="1" spans="5:15">
      <c r="E223" s="1">
        <v>123</v>
      </c>
      <c r="F223" s="1" t="e">
        <f t="shared" si="111"/>
        <v>#VALUE!</v>
      </c>
      <c r="G223" s="1" t="str">
        <f t="shared" si="139"/>
        <v/>
      </c>
      <c r="H223" s="1" t="str">
        <f t="shared" si="140"/>
        <v/>
      </c>
      <c r="I223" s="1" t="str">
        <f t="shared" si="141"/>
        <v/>
      </c>
      <c r="J223" s="1" t="str">
        <f t="shared" si="142"/>
        <v/>
      </c>
      <c r="K223" s="1" t="str">
        <f t="shared" si="143"/>
        <v/>
      </c>
      <c r="L223" s="1" t="str">
        <f t="shared" si="144"/>
        <v/>
      </c>
      <c r="M223" s="1" t="str">
        <f t="shared" si="145"/>
        <v/>
      </c>
      <c r="N223" s="1" t="str">
        <f t="shared" si="146"/>
        <v/>
      </c>
      <c r="O223" s="1" t="str">
        <f t="shared" si="147"/>
        <v/>
      </c>
    </row>
    <row r="224" customHeight="1" spans="5:15">
      <c r="E224" s="1">
        <v>124</v>
      </c>
      <c r="F224" s="1" t="e">
        <f t="shared" si="111"/>
        <v>#VALUE!</v>
      </c>
      <c r="G224" s="1" t="str">
        <f t="shared" si="139"/>
        <v/>
      </c>
      <c r="H224" s="1" t="str">
        <f t="shared" si="140"/>
        <v/>
      </c>
      <c r="I224" s="1" t="str">
        <f t="shared" si="141"/>
        <v/>
      </c>
      <c r="J224" s="1" t="str">
        <f t="shared" si="142"/>
        <v/>
      </c>
      <c r="K224" s="1" t="str">
        <f t="shared" si="143"/>
        <v/>
      </c>
      <c r="L224" s="1" t="str">
        <f t="shared" si="144"/>
        <v/>
      </c>
      <c r="M224" s="1" t="str">
        <f t="shared" si="145"/>
        <v/>
      </c>
      <c r="N224" s="1" t="str">
        <f t="shared" si="146"/>
        <v/>
      </c>
      <c r="O224" s="1" t="str">
        <f t="shared" si="147"/>
        <v/>
      </c>
    </row>
    <row r="225" customHeight="1" spans="5:15">
      <c r="E225" s="1">
        <v>125</v>
      </c>
      <c r="F225" s="1" t="e">
        <f t="shared" si="111"/>
        <v>#VALUE!</v>
      </c>
      <c r="G225" s="1" t="str">
        <f t="shared" si="139"/>
        <v/>
      </c>
      <c r="H225" s="1" t="str">
        <f t="shared" si="140"/>
        <v/>
      </c>
      <c r="I225" s="1" t="str">
        <f t="shared" si="141"/>
        <v/>
      </c>
      <c r="J225" s="1" t="str">
        <f t="shared" si="142"/>
        <v/>
      </c>
      <c r="K225" s="1" t="str">
        <f t="shared" si="143"/>
        <v/>
      </c>
      <c r="L225" s="1" t="str">
        <f t="shared" si="144"/>
        <v/>
      </c>
      <c r="M225" s="1" t="str">
        <f t="shared" si="145"/>
        <v/>
      </c>
      <c r="N225" s="1" t="str">
        <f t="shared" si="146"/>
        <v/>
      </c>
      <c r="O225" s="1" t="str">
        <f t="shared" si="147"/>
        <v/>
      </c>
    </row>
    <row r="226" customHeight="1" spans="5:15">
      <c r="E226" s="1">
        <v>126</v>
      </c>
      <c r="F226" s="1" t="e">
        <f t="shared" si="111"/>
        <v>#VALUE!</v>
      </c>
      <c r="G226" s="1" t="str">
        <f t="shared" si="139"/>
        <v/>
      </c>
      <c r="H226" s="1" t="str">
        <f t="shared" si="140"/>
        <v/>
      </c>
      <c r="I226" s="1" t="str">
        <f t="shared" si="141"/>
        <v/>
      </c>
      <c r="J226" s="1" t="str">
        <f t="shared" si="142"/>
        <v/>
      </c>
      <c r="K226" s="1" t="str">
        <f t="shared" si="143"/>
        <v/>
      </c>
      <c r="L226" s="1" t="str">
        <f t="shared" si="144"/>
        <v/>
      </c>
      <c r="M226" s="1" t="str">
        <f t="shared" si="145"/>
        <v/>
      </c>
      <c r="N226" s="1" t="str">
        <f t="shared" si="146"/>
        <v/>
      </c>
      <c r="O226" s="1" t="str">
        <f t="shared" si="147"/>
        <v/>
      </c>
    </row>
    <row r="227" customHeight="1" spans="5:15">
      <c r="E227" s="1">
        <v>127</v>
      </c>
      <c r="F227" s="1" t="e">
        <f t="shared" si="111"/>
        <v>#VALUE!</v>
      </c>
      <c r="G227" s="1" t="str">
        <f t="shared" si="139"/>
        <v/>
      </c>
      <c r="H227" s="1" t="str">
        <f t="shared" si="140"/>
        <v/>
      </c>
      <c r="I227" s="1" t="str">
        <f t="shared" si="141"/>
        <v/>
      </c>
      <c r="J227" s="1" t="str">
        <f t="shared" si="142"/>
        <v/>
      </c>
      <c r="K227" s="1" t="str">
        <f t="shared" si="143"/>
        <v/>
      </c>
      <c r="L227" s="1" t="str">
        <f t="shared" si="144"/>
        <v/>
      </c>
      <c r="M227" s="1" t="str">
        <f t="shared" si="145"/>
        <v/>
      </c>
      <c r="N227" s="1" t="str">
        <f t="shared" si="146"/>
        <v/>
      </c>
      <c r="O227" s="1" t="str">
        <f t="shared" si="147"/>
        <v/>
      </c>
    </row>
    <row r="228" customHeight="1" spans="5:15">
      <c r="E228" s="1">
        <v>128</v>
      </c>
      <c r="F228" s="1" t="e">
        <f t="shared" si="111"/>
        <v>#VALUE!</v>
      </c>
      <c r="G228" s="1" t="str">
        <f t="shared" si="139"/>
        <v/>
      </c>
      <c r="H228" s="1" t="str">
        <f t="shared" si="140"/>
        <v/>
      </c>
      <c r="I228" s="1" t="str">
        <f t="shared" si="141"/>
        <v/>
      </c>
      <c r="J228" s="1" t="str">
        <f t="shared" si="142"/>
        <v/>
      </c>
      <c r="K228" s="1" t="str">
        <f t="shared" si="143"/>
        <v/>
      </c>
      <c r="L228" s="1" t="str">
        <f t="shared" si="144"/>
        <v/>
      </c>
      <c r="M228" s="1" t="str">
        <f t="shared" si="145"/>
        <v/>
      </c>
      <c r="N228" s="1" t="str">
        <f t="shared" si="146"/>
        <v/>
      </c>
      <c r="O228" s="1" t="str">
        <f t="shared" si="147"/>
        <v/>
      </c>
    </row>
    <row r="229" customHeight="1" spans="5:15">
      <c r="E229" s="1">
        <v>129</v>
      </c>
      <c r="F229" s="1" t="e">
        <f t="shared" si="111"/>
        <v>#VALUE!</v>
      </c>
      <c r="G229" s="1" t="str">
        <f t="shared" ref="G229:G260" si="148">_xlfn.IFNA(VLOOKUP(CONCATENATE(G$94," ",IF(E229&lt;10,"0",""),E229),Database,5,FALSE),"")</f>
        <v/>
      </c>
      <c r="H229" s="1" t="str">
        <f t="shared" ref="H229:H260" si="149">_xlfn.IFNA(VLOOKUP(CONCATENATE(G$94," ",IF(E229&lt;10,"0",""),E229),Database,6,FALSE),"")</f>
        <v/>
      </c>
      <c r="I229" s="1" t="str">
        <f t="shared" ref="I229:I260" si="150">_xlfn.IFNA(VLOOKUP(CONCATENATE(G$94," ",IF(E229&lt;10,"0",""),E229),Database,7,FALSE),"")</f>
        <v/>
      </c>
      <c r="J229" s="1" t="str">
        <f t="shared" ref="J229:J260" si="151">_xlfn.IFNA(VLOOKUP(CONCATENATE(G$94," ",IF(E229&lt;10,"0",""),E229),Database,8,FALSE),"")</f>
        <v/>
      </c>
      <c r="K229" s="1" t="str">
        <f t="shared" ref="K229:K260" si="152">_xlfn.IFNA(VLOOKUP(CONCATENATE(G$94," ",IF(E229&lt;10,"0",""),E229),Database,9,FALSE),"")</f>
        <v/>
      </c>
      <c r="L229" s="1" t="str">
        <f t="shared" ref="L229:L260" si="153">_xlfn.IFNA(VLOOKUP(CONCATENATE(G$94," ",IF(E229&lt;10,"0",""),E229),Database,10,FALSE),"")</f>
        <v/>
      </c>
      <c r="M229" s="1" t="str">
        <f t="shared" ref="M229:M260" si="154">_xlfn.IFNA(VLOOKUP(CONCATENATE(G$94," ",IF(E229&lt;10,"0",""),E229),Database,11,FALSE),"")</f>
        <v/>
      </c>
      <c r="N229" s="1" t="str">
        <f t="shared" ref="N229:N260" si="155">_xlfn.IFNA(VLOOKUP(CONCATENATE(G$94," ",IF(E229&lt;10,"0",""),E229),Database,12,FALSE),"")</f>
        <v/>
      </c>
      <c r="O229" s="1" t="str">
        <f t="shared" ref="O229:O260" si="156">_xlfn.IFNA(VLOOKUP(CONCATENATE(G$94," ",IF(E229&lt;10,"0",""),E229),Database,13,FALSE),"")</f>
        <v/>
      </c>
    </row>
    <row r="230" customHeight="1" spans="5:15">
      <c r="E230" s="1">
        <v>130</v>
      </c>
      <c r="F230" s="1" t="e">
        <f t="shared" si="111"/>
        <v>#VALUE!</v>
      </c>
      <c r="G230" s="1" t="str">
        <f t="shared" si="148"/>
        <v/>
      </c>
      <c r="H230" s="1" t="str">
        <f t="shared" si="149"/>
        <v/>
      </c>
      <c r="I230" s="1" t="str">
        <f t="shared" si="150"/>
        <v/>
      </c>
      <c r="J230" s="1" t="str">
        <f t="shared" si="151"/>
        <v/>
      </c>
      <c r="K230" s="1" t="str">
        <f t="shared" si="152"/>
        <v/>
      </c>
      <c r="L230" s="1" t="str">
        <f t="shared" si="153"/>
        <v/>
      </c>
      <c r="M230" s="1" t="str">
        <f t="shared" si="154"/>
        <v/>
      </c>
      <c r="N230" s="1" t="str">
        <f t="shared" si="155"/>
        <v/>
      </c>
      <c r="O230" s="1" t="str">
        <f t="shared" si="156"/>
        <v/>
      </c>
    </row>
    <row r="231" customHeight="1" spans="5:15">
      <c r="E231" s="1">
        <v>131</v>
      </c>
      <c r="F231" s="1" t="e">
        <f t="shared" si="111"/>
        <v>#VALUE!</v>
      </c>
      <c r="G231" s="1" t="str">
        <f t="shared" si="148"/>
        <v/>
      </c>
      <c r="H231" s="1" t="str">
        <f t="shared" si="149"/>
        <v/>
      </c>
      <c r="I231" s="1" t="str">
        <f t="shared" si="150"/>
        <v/>
      </c>
      <c r="J231" s="1" t="str">
        <f t="shared" si="151"/>
        <v/>
      </c>
      <c r="K231" s="1" t="str">
        <f t="shared" si="152"/>
        <v/>
      </c>
      <c r="L231" s="1" t="str">
        <f t="shared" si="153"/>
        <v/>
      </c>
      <c r="M231" s="1" t="str">
        <f t="shared" si="154"/>
        <v/>
      </c>
      <c r="N231" s="1" t="str">
        <f t="shared" si="155"/>
        <v/>
      </c>
      <c r="O231" s="1" t="str">
        <f t="shared" si="156"/>
        <v/>
      </c>
    </row>
    <row r="232" customHeight="1" spans="5:15">
      <c r="E232" s="1">
        <v>132</v>
      </c>
      <c r="F232" s="1" t="e">
        <f t="shared" si="111"/>
        <v>#VALUE!</v>
      </c>
      <c r="G232" s="1" t="str">
        <f t="shared" si="148"/>
        <v/>
      </c>
      <c r="H232" s="1" t="str">
        <f t="shared" si="149"/>
        <v/>
      </c>
      <c r="I232" s="1" t="str">
        <f t="shared" si="150"/>
        <v/>
      </c>
      <c r="J232" s="1" t="str">
        <f t="shared" si="151"/>
        <v/>
      </c>
      <c r="K232" s="1" t="str">
        <f t="shared" si="152"/>
        <v/>
      </c>
      <c r="L232" s="1" t="str">
        <f t="shared" si="153"/>
        <v/>
      </c>
      <c r="M232" s="1" t="str">
        <f t="shared" si="154"/>
        <v/>
      </c>
      <c r="N232" s="1" t="str">
        <f t="shared" si="155"/>
        <v/>
      </c>
      <c r="O232" s="1" t="str">
        <f t="shared" si="156"/>
        <v/>
      </c>
    </row>
    <row r="233" customHeight="1" spans="5:15">
      <c r="E233" s="1">
        <v>133</v>
      </c>
      <c r="F233" s="1" t="e">
        <f t="shared" si="111"/>
        <v>#VALUE!</v>
      </c>
      <c r="G233" s="1" t="str">
        <f t="shared" si="148"/>
        <v/>
      </c>
      <c r="H233" s="1" t="str">
        <f t="shared" si="149"/>
        <v/>
      </c>
      <c r="I233" s="1" t="str">
        <f t="shared" si="150"/>
        <v/>
      </c>
      <c r="J233" s="1" t="str">
        <f t="shared" si="151"/>
        <v/>
      </c>
      <c r="K233" s="1" t="str">
        <f t="shared" si="152"/>
        <v/>
      </c>
      <c r="L233" s="1" t="str">
        <f t="shared" si="153"/>
        <v/>
      </c>
      <c r="M233" s="1" t="str">
        <f t="shared" si="154"/>
        <v/>
      </c>
      <c r="N233" s="1" t="str">
        <f t="shared" si="155"/>
        <v/>
      </c>
      <c r="O233" s="1" t="str">
        <f t="shared" si="156"/>
        <v/>
      </c>
    </row>
    <row r="234" customHeight="1" spans="5:15">
      <c r="E234" s="1">
        <v>134</v>
      </c>
      <c r="F234" s="1" t="e">
        <f t="shared" si="111"/>
        <v>#VALUE!</v>
      </c>
      <c r="G234" s="1" t="str">
        <f t="shared" si="148"/>
        <v/>
      </c>
      <c r="H234" s="1" t="str">
        <f t="shared" si="149"/>
        <v/>
      </c>
      <c r="I234" s="1" t="str">
        <f t="shared" si="150"/>
        <v/>
      </c>
      <c r="J234" s="1" t="str">
        <f t="shared" si="151"/>
        <v/>
      </c>
      <c r="K234" s="1" t="str">
        <f t="shared" si="152"/>
        <v/>
      </c>
      <c r="L234" s="1" t="str">
        <f t="shared" si="153"/>
        <v/>
      </c>
      <c r="M234" s="1" t="str">
        <f t="shared" si="154"/>
        <v/>
      </c>
      <c r="N234" s="1" t="str">
        <f t="shared" si="155"/>
        <v/>
      </c>
      <c r="O234" s="1" t="str">
        <f t="shared" si="156"/>
        <v/>
      </c>
    </row>
    <row r="235" customHeight="1" spans="5:15">
      <c r="E235" s="1">
        <v>135</v>
      </c>
      <c r="F235" s="1" t="e">
        <f t="shared" si="111"/>
        <v>#VALUE!</v>
      </c>
      <c r="G235" s="1" t="str">
        <f t="shared" si="148"/>
        <v/>
      </c>
      <c r="H235" s="1" t="str">
        <f t="shared" si="149"/>
        <v/>
      </c>
      <c r="I235" s="1" t="str">
        <f t="shared" si="150"/>
        <v/>
      </c>
      <c r="J235" s="1" t="str">
        <f t="shared" si="151"/>
        <v/>
      </c>
      <c r="K235" s="1" t="str">
        <f t="shared" si="152"/>
        <v/>
      </c>
      <c r="L235" s="1" t="str">
        <f t="shared" si="153"/>
        <v/>
      </c>
      <c r="M235" s="1" t="str">
        <f t="shared" si="154"/>
        <v/>
      </c>
      <c r="N235" s="1" t="str">
        <f t="shared" si="155"/>
        <v/>
      </c>
      <c r="O235" s="1" t="str">
        <f t="shared" si="156"/>
        <v/>
      </c>
    </row>
    <row r="236" customHeight="1" spans="5:15">
      <c r="E236" s="1">
        <v>136</v>
      </c>
      <c r="F236" s="1" t="e">
        <f t="shared" si="111"/>
        <v>#VALUE!</v>
      </c>
      <c r="G236" s="1" t="str">
        <f t="shared" si="148"/>
        <v/>
      </c>
      <c r="H236" s="1" t="str">
        <f t="shared" si="149"/>
        <v/>
      </c>
      <c r="I236" s="1" t="str">
        <f t="shared" si="150"/>
        <v/>
      </c>
      <c r="J236" s="1" t="str">
        <f t="shared" si="151"/>
        <v/>
      </c>
      <c r="K236" s="1" t="str">
        <f t="shared" si="152"/>
        <v/>
      </c>
      <c r="L236" s="1" t="str">
        <f t="shared" si="153"/>
        <v/>
      </c>
      <c r="M236" s="1" t="str">
        <f t="shared" si="154"/>
        <v/>
      </c>
      <c r="N236" s="1" t="str">
        <f t="shared" si="155"/>
        <v/>
      </c>
      <c r="O236" s="1" t="str">
        <f t="shared" si="156"/>
        <v/>
      </c>
    </row>
    <row r="237" customHeight="1" spans="5:15">
      <c r="E237" s="1">
        <v>137</v>
      </c>
      <c r="F237" s="1" t="e">
        <f t="shared" si="111"/>
        <v>#VALUE!</v>
      </c>
      <c r="G237" s="1" t="str">
        <f t="shared" si="148"/>
        <v/>
      </c>
      <c r="H237" s="1" t="str">
        <f t="shared" si="149"/>
        <v/>
      </c>
      <c r="I237" s="1" t="str">
        <f t="shared" si="150"/>
        <v/>
      </c>
      <c r="J237" s="1" t="str">
        <f t="shared" si="151"/>
        <v/>
      </c>
      <c r="K237" s="1" t="str">
        <f t="shared" si="152"/>
        <v/>
      </c>
      <c r="L237" s="1" t="str">
        <f t="shared" si="153"/>
        <v/>
      </c>
      <c r="M237" s="1" t="str">
        <f t="shared" si="154"/>
        <v/>
      </c>
      <c r="N237" s="1" t="str">
        <f t="shared" si="155"/>
        <v/>
      </c>
      <c r="O237" s="1" t="str">
        <f t="shared" si="156"/>
        <v/>
      </c>
    </row>
    <row r="238" customHeight="1" spans="5:15">
      <c r="E238" s="1">
        <v>138</v>
      </c>
      <c r="F238" s="1" t="e">
        <f t="shared" si="111"/>
        <v>#VALUE!</v>
      </c>
      <c r="G238" s="1" t="str">
        <f t="shared" si="148"/>
        <v/>
      </c>
      <c r="H238" s="1" t="str">
        <f t="shared" si="149"/>
        <v/>
      </c>
      <c r="I238" s="1" t="str">
        <f t="shared" si="150"/>
        <v/>
      </c>
      <c r="J238" s="1" t="str">
        <f t="shared" si="151"/>
        <v/>
      </c>
      <c r="K238" s="1" t="str">
        <f t="shared" si="152"/>
        <v/>
      </c>
      <c r="L238" s="1" t="str">
        <f t="shared" si="153"/>
        <v/>
      </c>
      <c r="M238" s="1" t="str">
        <f t="shared" si="154"/>
        <v/>
      </c>
      <c r="N238" s="1" t="str">
        <f t="shared" si="155"/>
        <v/>
      </c>
      <c r="O238" s="1" t="str">
        <f t="shared" si="156"/>
        <v/>
      </c>
    </row>
    <row r="239" customHeight="1" spans="5:15">
      <c r="E239" s="1">
        <v>139</v>
      </c>
      <c r="F239" s="1" t="e">
        <f t="shared" si="111"/>
        <v>#VALUE!</v>
      </c>
      <c r="G239" s="1" t="str">
        <f t="shared" si="148"/>
        <v/>
      </c>
      <c r="H239" s="1" t="str">
        <f t="shared" si="149"/>
        <v/>
      </c>
      <c r="I239" s="1" t="str">
        <f t="shared" si="150"/>
        <v/>
      </c>
      <c r="J239" s="1" t="str">
        <f t="shared" si="151"/>
        <v/>
      </c>
      <c r="K239" s="1" t="str">
        <f t="shared" si="152"/>
        <v/>
      </c>
      <c r="L239" s="1" t="str">
        <f t="shared" si="153"/>
        <v/>
      </c>
      <c r="M239" s="1" t="str">
        <f t="shared" si="154"/>
        <v/>
      </c>
      <c r="N239" s="1" t="str">
        <f t="shared" si="155"/>
        <v/>
      </c>
      <c r="O239" s="1" t="str">
        <f t="shared" si="156"/>
        <v/>
      </c>
    </row>
    <row r="240" customHeight="1" spans="5:15">
      <c r="E240" s="1">
        <v>140</v>
      </c>
      <c r="F240" s="1" t="e">
        <f t="shared" si="111"/>
        <v>#VALUE!</v>
      </c>
      <c r="G240" s="1" t="str">
        <f t="shared" si="148"/>
        <v/>
      </c>
      <c r="H240" s="1" t="str">
        <f t="shared" si="149"/>
        <v/>
      </c>
      <c r="I240" s="1" t="str">
        <f t="shared" si="150"/>
        <v/>
      </c>
      <c r="J240" s="1" t="str">
        <f t="shared" si="151"/>
        <v/>
      </c>
      <c r="K240" s="1" t="str">
        <f t="shared" si="152"/>
        <v/>
      </c>
      <c r="L240" s="1" t="str">
        <f t="shared" si="153"/>
        <v/>
      </c>
      <c r="M240" s="1" t="str">
        <f t="shared" si="154"/>
        <v/>
      </c>
      <c r="N240" s="1" t="str">
        <f t="shared" si="155"/>
        <v/>
      </c>
      <c r="O240" s="1" t="str">
        <f t="shared" si="156"/>
        <v/>
      </c>
    </row>
    <row r="241" customHeight="1" spans="5:15">
      <c r="E241" s="1">
        <v>141</v>
      </c>
      <c r="F241" s="1" t="e">
        <f t="shared" si="111"/>
        <v>#VALUE!</v>
      </c>
      <c r="G241" s="1" t="str">
        <f t="shared" si="148"/>
        <v/>
      </c>
      <c r="H241" s="1" t="str">
        <f t="shared" si="149"/>
        <v/>
      </c>
      <c r="I241" s="1" t="str">
        <f t="shared" si="150"/>
        <v/>
      </c>
      <c r="J241" s="1" t="str">
        <f t="shared" si="151"/>
        <v/>
      </c>
      <c r="K241" s="1" t="str">
        <f t="shared" si="152"/>
        <v/>
      </c>
      <c r="L241" s="1" t="str">
        <f t="shared" si="153"/>
        <v/>
      </c>
      <c r="M241" s="1" t="str">
        <f t="shared" si="154"/>
        <v/>
      </c>
      <c r="N241" s="1" t="str">
        <f t="shared" si="155"/>
        <v/>
      </c>
      <c r="O241" s="1" t="str">
        <f t="shared" si="156"/>
        <v/>
      </c>
    </row>
    <row r="242" customHeight="1" spans="5:15">
      <c r="E242" s="1">
        <v>142</v>
      </c>
      <c r="F242" s="1" t="e">
        <f t="shared" si="111"/>
        <v>#VALUE!</v>
      </c>
      <c r="G242" s="1" t="str">
        <f t="shared" si="148"/>
        <v/>
      </c>
      <c r="H242" s="1" t="str">
        <f t="shared" si="149"/>
        <v/>
      </c>
      <c r="I242" s="1" t="str">
        <f t="shared" si="150"/>
        <v/>
      </c>
      <c r="J242" s="1" t="str">
        <f t="shared" si="151"/>
        <v/>
      </c>
      <c r="K242" s="1" t="str">
        <f t="shared" si="152"/>
        <v/>
      </c>
      <c r="L242" s="1" t="str">
        <f t="shared" si="153"/>
        <v/>
      </c>
      <c r="M242" s="1" t="str">
        <f t="shared" si="154"/>
        <v/>
      </c>
      <c r="N242" s="1" t="str">
        <f t="shared" si="155"/>
        <v/>
      </c>
      <c r="O242" s="1" t="str">
        <f t="shared" si="156"/>
        <v/>
      </c>
    </row>
    <row r="243" customHeight="1" spans="5:15">
      <c r="E243" s="1">
        <v>143</v>
      </c>
      <c r="F243" s="1" t="e">
        <f t="shared" si="111"/>
        <v>#VALUE!</v>
      </c>
      <c r="G243" s="1" t="str">
        <f t="shared" si="148"/>
        <v/>
      </c>
      <c r="H243" s="1" t="str">
        <f t="shared" si="149"/>
        <v/>
      </c>
      <c r="I243" s="1" t="str">
        <f t="shared" si="150"/>
        <v/>
      </c>
      <c r="J243" s="1" t="str">
        <f t="shared" si="151"/>
        <v/>
      </c>
      <c r="K243" s="1" t="str">
        <f t="shared" si="152"/>
        <v/>
      </c>
      <c r="L243" s="1" t="str">
        <f t="shared" si="153"/>
        <v/>
      </c>
      <c r="M243" s="1" t="str">
        <f t="shared" si="154"/>
        <v/>
      </c>
      <c r="N243" s="1" t="str">
        <f t="shared" si="155"/>
        <v/>
      </c>
      <c r="O243" s="1" t="str">
        <f t="shared" si="156"/>
        <v/>
      </c>
    </row>
    <row r="244" customHeight="1" spans="5:15">
      <c r="E244" s="1">
        <v>144</v>
      </c>
      <c r="F244" s="1" t="e">
        <f t="shared" si="111"/>
        <v>#VALUE!</v>
      </c>
      <c r="G244" s="1" t="str">
        <f t="shared" si="148"/>
        <v/>
      </c>
      <c r="H244" s="1" t="str">
        <f t="shared" si="149"/>
        <v/>
      </c>
      <c r="I244" s="1" t="str">
        <f t="shared" si="150"/>
        <v/>
      </c>
      <c r="J244" s="1" t="str">
        <f t="shared" si="151"/>
        <v/>
      </c>
      <c r="K244" s="1" t="str">
        <f t="shared" si="152"/>
        <v/>
      </c>
      <c r="L244" s="1" t="str">
        <f t="shared" si="153"/>
        <v/>
      </c>
      <c r="M244" s="1" t="str">
        <f t="shared" si="154"/>
        <v/>
      </c>
      <c r="N244" s="1" t="str">
        <f t="shared" si="155"/>
        <v/>
      </c>
      <c r="O244" s="1" t="str">
        <f t="shared" si="156"/>
        <v/>
      </c>
    </row>
    <row r="245" customHeight="1" spans="5:15">
      <c r="E245" s="1">
        <v>145</v>
      </c>
      <c r="F245" s="1" t="e">
        <f t="shared" si="111"/>
        <v>#VALUE!</v>
      </c>
      <c r="G245" s="1" t="str">
        <f t="shared" si="148"/>
        <v/>
      </c>
      <c r="H245" s="1" t="str">
        <f t="shared" si="149"/>
        <v/>
      </c>
      <c r="I245" s="1" t="str">
        <f t="shared" si="150"/>
        <v/>
      </c>
      <c r="J245" s="1" t="str">
        <f t="shared" si="151"/>
        <v/>
      </c>
      <c r="K245" s="1" t="str">
        <f t="shared" si="152"/>
        <v/>
      </c>
      <c r="L245" s="1" t="str">
        <f t="shared" si="153"/>
        <v/>
      </c>
      <c r="M245" s="1" t="str">
        <f t="shared" si="154"/>
        <v/>
      </c>
      <c r="N245" s="1" t="str">
        <f t="shared" si="155"/>
        <v/>
      </c>
      <c r="O245" s="1" t="str">
        <f t="shared" si="156"/>
        <v/>
      </c>
    </row>
    <row r="246" customHeight="1" spans="5:15">
      <c r="E246" s="1">
        <v>146</v>
      </c>
      <c r="F246" s="1" t="e">
        <f t="shared" si="111"/>
        <v>#VALUE!</v>
      </c>
      <c r="G246" s="1" t="str">
        <f t="shared" si="148"/>
        <v/>
      </c>
      <c r="H246" s="1" t="str">
        <f t="shared" si="149"/>
        <v/>
      </c>
      <c r="I246" s="1" t="str">
        <f t="shared" si="150"/>
        <v/>
      </c>
      <c r="J246" s="1" t="str">
        <f t="shared" si="151"/>
        <v/>
      </c>
      <c r="K246" s="1" t="str">
        <f t="shared" si="152"/>
        <v/>
      </c>
      <c r="L246" s="1" t="str">
        <f t="shared" si="153"/>
        <v/>
      </c>
      <c r="M246" s="1" t="str">
        <f t="shared" si="154"/>
        <v/>
      </c>
      <c r="N246" s="1" t="str">
        <f t="shared" si="155"/>
        <v/>
      </c>
      <c r="O246" s="1" t="str">
        <f t="shared" si="156"/>
        <v/>
      </c>
    </row>
    <row r="247" customHeight="1" spans="5:15">
      <c r="E247" s="1">
        <v>147</v>
      </c>
      <c r="F247" s="1" t="e">
        <f t="shared" si="111"/>
        <v>#VALUE!</v>
      </c>
      <c r="G247" s="1" t="str">
        <f t="shared" si="148"/>
        <v/>
      </c>
      <c r="H247" s="1" t="str">
        <f t="shared" si="149"/>
        <v/>
      </c>
      <c r="I247" s="1" t="str">
        <f t="shared" si="150"/>
        <v/>
      </c>
      <c r="J247" s="1" t="str">
        <f t="shared" si="151"/>
        <v/>
      </c>
      <c r="K247" s="1" t="str">
        <f t="shared" si="152"/>
        <v/>
      </c>
      <c r="L247" s="1" t="str">
        <f t="shared" si="153"/>
        <v/>
      </c>
      <c r="M247" s="1" t="str">
        <f t="shared" si="154"/>
        <v/>
      </c>
      <c r="N247" s="1" t="str">
        <f t="shared" si="155"/>
        <v/>
      </c>
      <c r="O247" s="1" t="str">
        <f t="shared" si="156"/>
        <v/>
      </c>
    </row>
    <row r="248" customHeight="1" spans="5:15">
      <c r="E248" s="1">
        <v>148</v>
      </c>
      <c r="F248" s="1" t="e">
        <f t="shared" si="111"/>
        <v>#VALUE!</v>
      </c>
      <c r="G248" s="1" t="str">
        <f t="shared" si="148"/>
        <v/>
      </c>
      <c r="H248" s="1" t="str">
        <f t="shared" si="149"/>
        <v/>
      </c>
      <c r="I248" s="1" t="str">
        <f t="shared" si="150"/>
        <v/>
      </c>
      <c r="J248" s="1" t="str">
        <f t="shared" si="151"/>
        <v/>
      </c>
      <c r="K248" s="1" t="str">
        <f t="shared" si="152"/>
        <v/>
      </c>
      <c r="L248" s="1" t="str">
        <f t="shared" si="153"/>
        <v/>
      </c>
      <c r="M248" s="1" t="str">
        <f t="shared" si="154"/>
        <v/>
      </c>
      <c r="N248" s="1" t="str">
        <f t="shared" si="155"/>
        <v/>
      </c>
      <c r="O248" s="1" t="str">
        <f t="shared" si="156"/>
        <v/>
      </c>
    </row>
    <row r="249" customHeight="1" spans="5:15">
      <c r="E249" s="1">
        <v>149</v>
      </c>
      <c r="F249" s="1" t="e">
        <f t="shared" si="111"/>
        <v>#VALUE!</v>
      </c>
      <c r="G249" s="1" t="str">
        <f t="shared" si="148"/>
        <v/>
      </c>
      <c r="H249" s="1" t="str">
        <f t="shared" si="149"/>
        <v/>
      </c>
      <c r="I249" s="1" t="str">
        <f t="shared" si="150"/>
        <v/>
      </c>
      <c r="J249" s="1" t="str">
        <f t="shared" si="151"/>
        <v/>
      </c>
      <c r="K249" s="1" t="str">
        <f t="shared" si="152"/>
        <v/>
      </c>
      <c r="L249" s="1" t="str">
        <f t="shared" si="153"/>
        <v/>
      </c>
      <c r="M249" s="1" t="str">
        <f t="shared" si="154"/>
        <v/>
      </c>
      <c r="N249" s="1" t="str">
        <f t="shared" si="155"/>
        <v/>
      </c>
      <c r="O249" s="1" t="str">
        <f t="shared" si="156"/>
        <v/>
      </c>
    </row>
    <row r="250" customHeight="1" spans="5:15">
      <c r="E250" s="1">
        <v>150</v>
      </c>
      <c r="F250" s="1" t="e">
        <f t="shared" si="111"/>
        <v>#VALUE!</v>
      </c>
      <c r="G250" s="1" t="str">
        <f t="shared" si="148"/>
        <v/>
      </c>
      <c r="H250" s="1" t="str">
        <f t="shared" si="149"/>
        <v/>
      </c>
      <c r="I250" s="1" t="str">
        <f t="shared" si="150"/>
        <v/>
      </c>
      <c r="J250" s="1" t="str">
        <f t="shared" si="151"/>
        <v/>
      </c>
      <c r="K250" s="1" t="str">
        <f t="shared" si="152"/>
        <v/>
      </c>
      <c r="L250" s="1" t="str">
        <f t="shared" si="153"/>
        <v/>
      </c>
      <c r="M250" s="1" t="str">
        <f t="shared" si="154"/>
        <v/>
      </c>
      <c r="N250" s="1" t="str">
        <f t="shared" si="155"/>
        <v/>
      </c>
      <c r="O250" s="1" t="str">
        <f t="shared" si="156"/>
        <v/>
      </c>
    </row>
    <row r="251" customHeight="1" spans="5:15">
      <c r="E251" s="1">
        <v>151</v>
      </c>
      <c r="F251" s="1" t="e">
        <f t="shared" si="111"/>
        <v>#VALUE!</v>
      </c>
      <c r="G251" s="1" t="str">
        <f t="shared" si="148"/>
        <v/>
      </c>
      <c r="H251" s="1" t="str">
        <f t="shared" si="149"/>
        <v/>
      </c>
      <c r="I251" s="1" t="str">
        <f t="shared" si="150"/>
        <v/>
      </c>
      <c r="J251" s="1" t="str">
        <f t="shared" si="151"/>
        <v/>
      </c>
      <c r="K251" s="1" t="str">
        <f t="shared" si="152"/>
        <v/>
      </c>
      <c r="L251" s="1" t="str">
        <f t="shared" si="153"/>
        <v/>
      </c>
      <c r="M251" s="1" t="str">
        <f t="shared" si="154"/>
        <v/>
      </c>
      <c r="N251" s="1" t="str">
        <f t="shared" si="155"/>
        <v/>
      </c>
      <c r="O251" s="1" t="str">
        <f t="shared" si="156"/>
        <v/>
      </c>
    </row>
    <row r="252" customHeight="1" spans="5:15">
      <c r="E252" s="1">
        <v>152</v>
      </c>
      <c r="F252" s="1" t="e">
        <f t="shared" si="111"/>
        <v>#VALUE!</v>
      </c>
      <c r="G252" s="1" t="str">
        <f t="shared" si="148"/>
        <v/>
      </c>
      <c r="H252" s="1" t="str">
        <f t="shared" si="149"/>
        <v/>
      </c>
      <c r="I252" s="1" t="str">
        <f t="shared" si="150"/>
        <v/>
      </c>
      <c r="J252" s="1" t="str">
        <f t="shared" si="151"/>
        <v/>
      </c>
      <c r="K252" s="1" t="str">
        <f t="shared" si="152"/>
        <v/>
      </c>
      <c r="L252" s="1" t="str">
        <f t="shared" si="153"/>
        <v/>
      </c>
      <c r="M252" s="1" t="str">
        <f t="shared" si="154"/>
        <v/>
      </c>
      <c r="N252" s="1" t="str">
        <f t="shared" si="155"/>
        <v/>
      </c>
      <c r="O252" s="1" t="str">
        <f t="shared" si="156"/>
        <v/>
      </c>
    </row>
    <row r="253" customHeight="1" spans="5:15">
      <c r="E253" s="1">
        <v>153</v>
      </c>
      <c r="F253" s="1" t="e">
        <f t="shared" si="111"/>
        <v>#VALUE!</v>
      </c>
      <c r="G253" s="1" t="str">
        <f t="shared" si="148"/>
        <v/>
      </c>
      <c r="H253" s="1" t="str">
        <f t="shared" si="149"/>
        <v/>
      </c>
      <c r="I253" s="1" t="str">
        <f t="shared" si="150"/>
        <v/>
      </c>
      <c r="J253" s="1" t="str">
        <f t="shared" si="151"/>
        <v/>
      </c>
      <c r="K253" s="1" t="str">
        <f t="shared" si="152"/>
        <v/>
      </c>
      <c r="L253" s="1" t="str">
        <f t="shared" si="153"/>
        <v/>
      </c>
      <c r="M253" s="1" t="str">
        <f t="shared" si="154"/>
        <v/>
      </c>
      <c r="N253" s="1" t="str">
        <f t="shared" si="155"/>
        <v/>
      </c>
      <c r="O253" s="1" t="str">
        <f t="shared" si="156"/>
        <v/>
      </c>
    </row>
    <row r="254" customHeight="1" spans="5:15">
      <c r="E254" s="1">
        <v>154</v>
      </c>
      <c r="F254" s="1" t="e">
        <f t="shared" si="111"/>
        <v>#VALUE!</v>
      </c>
      <c r="G254" s="1" t="str">
        <f t="shared" si="148"/>
        <v/>
      </c>
      <c r="H254" s="1" t="str">
        <f t="shared" si="149"/>
        <v/>
      </c>
      <c r="I254" s="1" t="str">
        <f t="shared" si="150"/>
        <v/>
      </c>
      <c r="J254" s="1" t="str">
        <f t="shared" si="151"/>
        <v/>
      </c>
      <c r="K254" s="1" t="str">
        <f t="shared" si="152"/>
        <v/>
      </c>
      <c r="L254" s="1" t="str">
        <f t="shared" si="153"/>
        <v/>
      </c>
      <c r="M254" s="1" t="str">
        <f t="shared" si="154"/>
        <v/>
      </c>
      <c r="N254" s="1" t="str">
        <f t="shared" si="155"/>
        <v/>
      </c>
      <c r="O254" s="1" t="str">
        <f t="shared" si="156"/>
        <v/>
      </c>
    </row>
    <row r="255" customHeight="1" spans="5:15">
      <c r="E255" s="1">
        <v>155</v>
      </c>
      <c r="F255" s="1" t="e">
        <f t="shared" si="111"/>
        <v>#VALUE!</v>
      </c>
      <c r="G255" s="1" t="str">
        <f t="shared" si="148"/>
        <v/>
      </c>
      <c r="H255" s="1" t="str">
        <f t="shared" si="149"/>
        <v/>
      </c>
      <c r="I255" s="1" t="str">
        <f t="shared" si="150"/>
        <v/>
      </c>
      <c r="J255" s="1" t="str">
        <f t="shared" si="151"/>
        <v/>
      </c>
      <c r="K255" s="1" t="str">
        <f t="shared" si="152"/>
        <v/>
      </c>
      <c r="L255" s="1" t="str">
        <f t="shared" si="153"/>
        <v/>
      </c>
      <c r="M255" s="1" t="str">
        <f t="shared" si="154"/>
        <v/>
      </c>
      <c r="N255" s="1" t="str">
        <f t="shared" si="155"/>
        <v/>
      </c>
      <c r="O255" s="1" t="str">
        <f t="shared" si="156"/>
        <v/>
      </c>
    </row>
    <row r="256" customHeight="1" spans="5:15">
      <c r="E256" s="1">
        <v>156</v>
      </c>
      <c r="F256" s="1" t="e">
        <f t="shared" si="111"/>
        <v>#VALUE!</v>
      </c>
      <c r="G256" s="1" t="str">
        <f t="shared" si="148"/>
        <v/>
      </c>
      <c r="H256" s="1" t="str">
        <f t="shared" si="149"/>
        <v/>
      </c>
      <c r="I256" s="1" t="str">
        <f t="shared" si="150"/>
        <v/>
      </c>
      <c r="J256" s="1" t="str">
        <f t="shared" si="151"/>
        <v/>
      </c>
      <c r="K256" s="1" t="str">
        <f t="shared" si="152"/>
        <v/>
      </c>
      <c r="L256" s="1" t="str">
        <f t="shared" si="153"/>
        <v/>
      </c>
      <c r="M256" s="1" t="str">
        <f t="shared" si="154"/>
        <v/>
      </c>
      <c r="N256" s="1" t="str">
        <f t="shared" si="155"/>
        <v/>
      </c>
      <c r="O256" s="1" t="str">
        <f t="shared" si="156"/>
        <v/>
      </c>
    </row>
    <row r="257" customHeight="1" spans="5:15">
      <c r="E257" s="1">
        <v>157</v>
      </c>
      <c r="F257" s="1" t="e">
        <f t="shared" si="111"/>
        <v>#VALUE!</v>
      </c>
      <c r="G257" s="1" t="str">
        <f t="shared" si="148"/>
        <v/>
      </c>
      <c r="H257" s="1" t="str">
        <f t="shared" si="149"/>
        <v/>
      </c>
      <c r="I257" s="1" t="str">
        <f t="shared" si="150"/>
        <v/>
      </c>
      <c r="J257" s="1" t="str">
        <f t="shared" si="151"/>
        <v/>
      </c>
      <c r="K257" s="1" t="str">
        <f t="shared" si="152"/>
        <v/>
      </c>
      <c r="L257" s="1" t="str">
        <f t="shared" si="153"/>
        <v/>
      </c>
      <c r="M257" s="1" t="str">
        <f t="shared" si="154"/>
        <v/>
      </c>
      <c r="N257" s="1" t="str">
        <f t="shared" si="155"/>
        <v/>
      </c>
      <c r="O257" s="1" t="str">
        <f t="shared" si="156"/>
        <v/>
      </c>
    </row>
    <row r="258" customHeight="1" spans="5:15">
      <c r="E258" s="1">
        <v>158</v>
      </c>
      <c r="F258" s="1" t="e">
        <f t="shared" si="111"/>
        <v>#VALUE!</v>
      </c>
      <c r="G258" s="1" t="str">
        <f t="shared" si="148"/>
        <v/>
      </c>
      <c r="H258" s="1" t="str">
        <f t="shared" si="149"/>
        <v/>
      </c>
      <c r="I258" s="1" t="str">
        <f t="shared" si="150"/>
        <v/>
      </c>
      <c r="J258" s="1" t="str">
        <f t="shared" si="151"/>
        <v/>
      </c>
      <c r="K258" s="1" t="str">
        <f t="shared" si="152"/>
        <v/>
      </c>
      <c r="L258" s="1" t="str">
        <f t="shared" si="153"/>
        <v/>
      </c>
      <c r="M258" s="1" t="str">
        <f t="shared" si="154"/>
        <v/>
      </c>
      <c r="N258" s="1" t="str">
        <f t="shared" si="155"/>
        <v/>
      </c>
      <c r="O258" s="1" t="str">
        <f t="shared" si="156"/>
        <v/>
      </c>
    </row>
    <row r="259" customHeight="1" spans="5:15">
      <c r="E259" s="1">
        <v>159</v>
      </c>
      <c r="F259" s="1" t="e">
        <f t="shared" si="111"/>
        <v>#VALUE!</v>
      </c>
      <c r="G259" s="1" t="str">
        <f t="shared" si="148"/>
        <v/>
      </c>
      <c r="H259" s="1" t="str">
        <f t="shared" si="149"/>
        <v/>
      </c>
      <c r="I259" s="1" t="str">
        <f t="shared" si="150"/>
        <v/>
      </c>
      <c r="J259" s="1" t="str">
        <f t="shared" si="151"/>
        <v/>
      </c>
      <c r="K259" s="1" t="str">
        <f t="shared" si="152"/>
        <v/>
      </c>
      <c r="L259" s="1" t="str">
        <f t="shared" si="153"/>
        <v/>
      </c>
      <c r="M259" s="1" t="str">
        <f t="shared" si="154"/>
        <v/>
      </c>
      <c r="N259" s="1" t="str">
        <f t="shared" si="155"/>
        <v/>
      </c>
      <c r="O259" s="1" t="str">
        <f t="shared" si="156"/>
        <v/>
      </c>
    </row>
    <row r="260" customHeight="1" spans="5:15">
      <c r="E260" s="1">
        <v>160</v>
      </c>
      <c r="F260" s="1" t="e">
        <f t="shared" si="111"/>
        <v>#VALUE!</v>
      </c>
      <c r="G260" s="1" t="str">
        <f t="shared" si="148"/>
        <v/>
      </c>
      <c r="H260" s="1" t="str">
        <f t="shared" si="149"/>
        <v/>
      </c>
      <c r="I260" s="1" t="str">
        <f t="shared" si="150"/>
        <v/>
      </c>
      <c r="J260" s="1" t="str">
        <f t="shared" si="151"/>
        <v/>
      </c>
      <c r="K260" s="1" t="str">
        <f t="shared" si="152"/>
        <v/>
      </c>
      <c r="L260" s="1" t="str">
        <f t="shared" si="153"/>
        <v/>
      </c>
      <c r="M260" s="1" t="str">
        <f t="shared" si="154"/>
        <v/>
      </c>
      <c r="N260" s="1" t="str">
        <f t="shared" si="155"/>
        <v/>
      </c>
      <c r="O260" s="1" t="str">
        <f t="shared" si="156"/>
        <v/>
      </c>
    </row>
    <row r="261" customHeight="1" spans="5:15">
      <c r="E261" s="1">
        <v>161</v>
      </c>
      <c r="F261" s="1" t="e">
        <f t="shared" si="111"/>
        <v>#VALUE!</v>
      </c>
      <c r="G261" s="1" t="str">
        <f t="shared" ref="G261:G292" si="157">_xlfn.IFNA(VLOOKUP(CONCATENATE(G$94," ",IF(E261&lt;10,"0",""),E261),Database,5,FALSE),"")</f>
        <v/>
      </c>
      <c r="H261" s="1" t="str">
        <f t="shared" ref="H261:H292" si="158">_xlfn.IFNA(VLOOKUP(CONCATENATE(G$94," ",IF(E261&lt;10,"0",""),E261),Database,6,FALSE),"")</f>
        <v/>
      </c>
      <c r="I261" s="1" t="str">
        <f t="shared" ref="I261:I292" si="159">_xlfn.IFNA(VLOOKUP(CONCATENATE(G$94," ",IF(E261&lt;10,"0",""),E261),Database,7,FALSE),"")</f>
        <v/>
      </c>
      <c r="J261" s="1" t="str">
        <f t="shared" ref="J261:J292" si="160">_xlfn.IFNA(VLOOKUP(CONCATENATE(G$94," ",IF(E261&lt;10,"0",""),E261),Database,8,FALSE),"")</f>
        <v/>
      </c>
      <c r="K261" s="1" t="str">
        <f t="shared" ref="K261:K292" si="161">_xlfn.IFNA(VLOOKUP(CONCATENATE(G$94," ",IF(E261&lt;10,"0",""),E261),Database,9,FALSE),"")</f>
        <v/>
      </c>
      <c r="L261" s="1" t="str">
        <f t="shared" ref="L261:L292" si="162">_xlfn.IFNA(VLOOKUP(CONCATENATE(G$94," ",IF(E261&lt;10,"0",""),E261),Database,10,FALSE),"")</f>
        <v/>
      </c>
      <c r="M261" s="1" t="str">
        <f t="shared" ref="M261:M292" si="163">_xlfn.IFNA(VLOOKUP(CONCATENATE(G$94," ",IF(E261&lt;10,"0",""),E261),Database,11,FALSE),"")</f>
        <v/>
      </c>
      <c r="N261" s="1" t="str">
        <f t="shared" ref="N261:N292" si="164">_xlfn.IFNA(VLOOKUP(CONCATENATE(G$94," ",IF(E261&lt;10,"0",""),E261),Database,12,FALSE),"")</f>
        <v/>
      </c>
      <c r="O261" s="1" t="str">
        <f t="shared" ref="O261:O292" si="165">_xlfn.IFNA(VLOOKUP(CONCATENATE(G$94," ",IF(E261&lt;10,"0",""),E261),Database,13,FALSE),"")</f>
        <v/>
      </c>
    </row>
    <row r="262" customHeight="1" spans="5:15">
      <c r="E262" s="1">
        <v>162</v>
      </c>
      <c r="F262" s="1" t="e">
        <f t="shared" si="111"/>
        <v>#VALUE!</v>
      </c>
      <c r="G262" s="1" t="str">
        <f t="shared" si="157"/>
        <v/>
      </c>
      <c r="H262" s="1" t="str">
        <f t="shared" si="158"/>
        <v/>
      </c>
      <c r="I262" s="1" t="str">
        <f t="shared" si="159"/>
        <v/>
      </c>
      <c r="J262" s="1" t="str">
        <f t="shared" si="160"/>
        <v/>
      </c>
      <c r="K262" s="1" t="str">
        <f t="shared" si="161"/>
        <v/>
      </c>
      <c r="L262" s="1" t="str">
        <f t="shared" si="162"/>
        <v/>
      </c>
      <c r="M262" s="1" t="str">
        <f t="shared" si="163"/>
        <v/>
      </c>
      <c r="N262" s="1" t="str">
        <f t="shared" si="164"/>
        <v/>
      </c>
      <c r="O262" s="1" t="str">
        <f t="shared" si="165"/>
        <v/>
      </c>
    </row>
    <row r="263" customHeight="1" spans="5:15">
      <c r="E263" s="1">
        <v>163</v>
      </c>
      <c r="F263" s="1" t="e">
        <f t="shared" si="111"/>
        <v>#VALUE!</v>
      </c>
      <c r="G263" s="1" t="str">
        <f t="shared" si="157"/>
        <v/>
      </c>
      <c r="H263" s="1" t="str">
        <f t="shared" si="158"/>
        <v/>
      </c>
      <c r="I263" s="1" t="str">
        <f t="shared" si="159"/>
        <v/>
      </c>
      <c r="J263" s="1" t="str">
        <f t="shared" si="160"/>
        <v/>
      </c>
      <c r="K263" s="1" t="str">
        <f t="shared" si="161"/>
        <v/>
      </c>
      <c r="L263" s="1" t="str">
        <f t="shared" si="162"/>
        <v/>
      </c>
      <c r="M263" s="1" t="str">
        <f t="shared" si="163"/>
        <v/>
      </c>
      <c r="N263" s="1" t="str">
        <f t="shared" si="164"/>
        <v/>
      </c>
      <c r="O263" s="1" t="str">
        <f t="shared" si="165"/>
        <v/>
      </c>
    </row>
    <row r="264" customHeight="1" spans="5:15">
      <c r="E264" s="1">
        <v>164</v>
      </c>
      <c r="F264" s="1" t="e">
        <f t="shared" si="111"/>
        <v>#VALUE!</v>
      </c>
      <c r="G264" s="1" t="str">
        <f t="shared" si="157"/>
        <v/>
      </c>
      <c r="H264" s="1" t="str">
        <f t="shared" si="158"/>
        <v/>
      </c>
      <c r="I264" s="1" t="str">
        <f t="shared" si="159"/>
        <v/>
      </c>
      <c r="J264" s="1" t="str">
        <f t="shared" si="160"/>
        <v/>
      </c>
      <c r="K264" s="1" t="str">
        <f t="shared" si="161"/>
        <v/>
      </c>
      <c r="L264" s="1" t="str">
        <f t="shared" si="162"/>
        <v/>
      </c>
      <c r="M264" s="1" t="str">
        <f t="shared" si="163"/>
        <v/>
      </c>
      <c r="N264" s="1" t="str">
        <f t="shared" si="164"/>
        <v/>
      </c>
      <c r="O264" s="1" t="str">
        <f t="shared" si="165"/>
        <v/>
      </c>
    </row>
    <row r="265" customHeight="1" spans="5:15">
      <c r="E265" s="1">
        <v>165</v>
      </c>
      <c r="F265" s="1" t="e">
        <f t="shared" si="111"/>
        <v>#VALUE!</v>
      </c>
      <c r="G265" s="1" t="str">
        <f t="shared" si="157"/>
        <v/>
      </c>
      <c r="H265" s="1" t="str">
        <f t="shared" si="158"/>
        <v/>
      </c>
      <c r="I265" s="1" t="str">
        <f t="shared" si="159"/>
        <v/>
      </c>
      <c r="J265" s="1" t="str">
        <f t="shared" si="160"/>
        <v/>
      </c>
      <c r="K265" s="1" t="str">
        <f t="shared" si="161"/>
        <v/>
      </c>
      <c r="L265" s="1" t="str">
        <f t="shared" si="162"/>
        <v/>
      </c>
      <c r="M265" s="1" t="str">
        <f t="shared" si="163"/>
        <v/>
      </c>
      <c r="N265" s="1" t="str">
        <f t="shared" si="164"/>
        <v/>
      </c>
      <c r="O265" s="1" t="str">
        <f t="shared" si="165"/>
        <v/>
      </c>
    </row>
    <row r="266" customHeight="1" spans="5:15">
      <c r="E266" s="1">
        <v>166</v>
      </c>
      <c r="F266" s="1" t="e">
        <f t="shared" si="111"/>
        <v>#VALUE!</v>
      </c>
      <c r="G266" s="1" t="str">
        <f t="shared" si="157"/>
        <v/>
      </c>
      <c r="H266" s="1" t="str">
        <f t="shared" si="158"/>
        <v/>
      </c>
      <c r="I266" s="1" t="str">
        <f t="shared" si="159"/>
        <v/>
      </c>
      <c r="J266" s="1" t="str">
        <f t="shared" si="160"/>
        <v/>
      </c>
      <c r="K266" s="1" t="str">
        <f t="shared" si="161"/>
        <v/>
      </c>
      <c r="L266" s="1" t="str">
        <f t="shared" si="162"/>
        <v/>
      </c>
      <c r="M266" s="1" t="str">
        <f t="shared" si="163"/>
        <v/>
      </c>
      <c r="N266" s="1" t="str">
        <f t="shared" si="164"/>
        <v/>
      </c>
      <c r="O266" s="1" t="str">
        <f t="shared" si="165"/>
        <v/>
      </c>
    </row>
    <row r="267" customHeight="1" spans="5:15">
      <c r="E267" s="1">
        <v>167</v>
      </c>
      <c r="F267" s="1" t="e">
        <f t="shared" si="111"/>
        <v>#VALUE!</v>
      </c>
      <c r="G267" s="1" t="str">
        <f t="shared" si="157"/>
        <v/>
      </c>
      <c r="H267" s="1" t="str">
        <f t="shared" si="158"/>
        <v/>
      </c>
      <c r="I267" s="1" t="str">
        <f t="shared" si="159"/>
        <v/>
      </c>
      <c r="J267" s="1" t="str">
        <f t="shared" si="160"/>
        <v/>
      </c>
      <c r="K267" s="1" t="str">
        <f t="shared" si="161"/>
        <v/>
      </c>
      <c r="L267" s="1" t="str">
        <f t="shared" si="162"/>
        <v/>
      </c>
      <c r="M267" s="1" t="str">
        <f t="shared" si="163"/>
        <v/>
      </c>
      <c r="N267" s="1" t="str">
        <f t="shared" si="164"/>
        <v/>
      </c>
      <c r="O267" s="1" t="str">
        <f t="shared" si="165"/>
        <v/>
      </c>
    </row>
    <row r="268" customHeight="1" spans="5:15">
      <c r="E268" s="1">
        <v>168</v>
      </c>
      <c r="F268" s="1" t="e">
        <f t="shared" si="111"/>
        <v>#VALUE!</v>
      </c>
      <c r="G268" s="1" t="str">
        <f t="shared" si="157"/>
        <v/>
      </c>
      <c r="H268" s="1" t="str">
        <f t="shared" si="158"/>
        <v/>
      </c>
      <c r="I268" s="1" t="str">
        <f t="shared" si="159"/>
        <v/>
      </c>
      <c r="J268" s="1" t="str">
        <f t="shared" si="160"/>
        <v/>
      </c>
      <c r="K268" s="1" t="str">
        <f t="shared" si="161"/>
        <v/>
      </c>
      <c r="L268" s="1" t="str">
        <f t="shared" si="162"/>
        <v/>
      </c>
      <c r="M268" s="1" t="str">
        <f t="shared" si="163"/>
        <v/>
      </c>
      <c r="N268" s="1" t="str">
        <f t="shared" si="164"/>
        <v/>
      </c>
      <c r="O268" s="1" t="str">
        <f t="shared" si="165"/>
        <v/>
      </c>
    </row>
    <row r="269" customHeight="1" spans="5:15">
      <c r="E269" s="1">
        <v>169</v>
      </c>
      <c r="F269" s="1" t="e">
        <f t="shared" si="111"/>
        <v>#VALUE!</v>
      </c>
      <c r="G269" s="1" t="str">
        <f t="shared" si="157"/>
        <v/>
      </c>
      <c r="H269" s="1" t="str">
        <f t="shared" si="158"/>
        <v/>
      </c>
      <c r="I269" s="1" t="str">
        <f t="shared" si="159"/>
        <v/>
      </c>
      <c r="J269" s="1" t="str">
        <f t="shared" si="160"/>
        <v/>
      </c>
      <c r="K269" s="1" t="str">
        <f t="shared" si="161"/>
        <v/>
      </c>
      <c r="L269" s="1" t="str">
        <f t="shared" si="162"/>
        <v/>
      </c>
      <c r="M269" s="1" t="str">
        <f t="shared" si="163"/>
        <v/>
      </c>
      <c r="N269" s="1" t="str">
        <f t="shared" si="164"/>
        <v/>
      </c>
      <c r="O269" s="1" t="str">
        <f t="shared" si="165"/>
        <v/>
      </c>
    </row>
    <row r="270" customHeight="1" spans="5:15">
      <c r="E270" s="1">
        <v>170</v>
      </c>
      <c r="F270" s="1" t="e">
        <f t="shared" si="111"/>
        <v>#VALUE!</v>
      </c>
      <c r="G270" s="1" t="str">
        <f t="shared" si="157"/>
        <v/>
      </c>
      <c r="H270" s="1" t="str">
        <f t="shared" si="158"/>
        <v/>
      </c>
      <c r="I270" s="1" t="str">
        <f t="shared" si="159"/>
        <v/>
      </c>
      <c r="J270" s="1" t="str">
        <f t="shared" si="160"/>
        <v/>
      </c>
      <c r="K270" s="1" t="str">
        <f t="shared" si="161"/>
        <v/>
      </c>
      <c r="L270" s="1" t="str">
        <f t="shared" si="162"/>
        <v/>
      </c>
      <c r="M270" s="1" t="str">
        <f t="shared" si="163"/>
        <v/>
      </c>
      <c r="N270" s="1" t="str">
        <f t="shared" si="164"/>
        <v/>
      </c>
      <c r="O270" s="1" t="str">
        <f t="shared" si="165"/>
        <v/>
      </c>
    </row>
    <row r="271" customHeight="1" spans="5:15">
      <c r="E271" s="1">
        <v>171</v>
      </c>
      <c r="F271" s="1" t="e">
        <f t="shared" si="111"/>
        <v>#VALUE!</v>
      </c>
      <c r="G271" s="1" t="str">
        <f t="shared" si="157"/>
        <v/>
      </c>
      <c r="H271" s="1" t="str">
        <f t="shared" si="158"/>
        <v/>
      </c>
      <c r="I271" s="1" t="str">
        <f t="shared" si="159"/>
        <v/>
      </c>
      <c r="J271" s="1" t="str">
        <f t="shared" si="160"/>
        <v/>
      </c>
      <c r="K271" s="1" t="str">
        <f t="shared" si="161"/>
        <v/>
      </c>
      <c r="L271" s="1" t="str">
        <f t="shared" si="162"/>
        <v/>
      </c>
      <c r="M271" s="1" t="str">
        <f t="shared" si="163"/>
        <v/>
      </c>
      <c r="N271" s="1" t="str">
        <f t="shared" si="164"/>
        <v/>
      </c>
      <c r="O271" s="1" t="str">
        <f t="shared" si="165"/>
        <v/>
      </c>
    </row>
    <row r="272" customHeight="1" spans="5:15">
      <c r="E272" s="1">
        <v>172</v>
      </c>
      <c r="F272" s="1" t="e">
        <f t="shared" si="111"/>
        <v>#VALUE!</v>
      </c>
      <c r="G272" s="1" t="str">
        <f t="shared" si="157"/>
        <v/>
      </c>
      <c r="H272" s="1" t="str">
        <f t="shared" si="158"/>
        <v/>
      </c>
      <c r="I272" s="1" t="str">
        <f t="shared" si="159"/>
        <v/>
      </c>
      <c r="J272" s="1" t="str">
        <f t="shared" si="160"/>
        <v/>
      </c>
      <c r="K272" s="1" t="str">
        <f t="shared" si="161"/>
        <v/>
      </c>
      <c r="L272" s="1" t="str">
        <f t="shared" si="162"/>
        <v/>
      </c>
      <c r="M272" s="1" t="str">
        <f t="shared" si="163"/>
        <v/>
      </c>
      <c r="N272" s="1" t="str">
        <f t="shared" si="164"/>
        <v/>
      </c>
      <c r="O272" s="1" t="str">
        <f t="shared" si="165"/>
        <v/>
      </c>
    </row>
    <row r="273" customHeight="1" spans="5:15">
      <c r="E273" s="1">
        <v>173</v>
      </c>
      <c r="F273" s="1" t="e">
        <f t="shared" si="111"/>
        <v>#VALUE!</v>
      </c>
      <c r="G273" s="1" t="str">
        <f t="shared" si="157"/>
        <v/>
      </c>
      <c r="H273" s="1" t="str">
        <f t="shared" si="158"/>
        <v/>
      </c>
      <c r="I273" s="1" t="str">
        <f t="shared" si="159"/>
        <v/>
      </c>
      <c r="J273" s="1" t="str">
        <f t="shared" si="160"/>
        <v/>
      </c>
      <c r="K273" s="1" t="str">
        <f t="shared" si="161"/>
        <v/>
      </c>
      <c r="L273" s="1" t="str">
        <f t="shared" si="162"/>
        <v/>
      </c>
      <c r="M273" s="1" t="str">
        <f t="shared" si="163"/>
        <v/>
      </c>
      <c r="N273" s="1" t="str">
        <f t="shared" si="164"/>
        <v/>
      </c>
      <c r="O273" s="1" t="str">
        <f t="shared" si="165"/>
        <v/>
      </c>
    </row>
    <row r="274" customHeight="1" spans="5:15">
      <c r="E274" s="1">
        <v>174</v>
      </c>
      <c r="F274" s="1" t="e">
        <f t="shared" si="111"/>
        <v>#VALUE!</v>
      </c>
      <c r="G274" s="1" t="str">
        <f t="shared" si="157"/>
        <v/>
      </c>
      <c r="H274" s="1" t="str">
        <f t="shared" si="158"/>
        <v/>
      </c>
      <c r="I274" s="1" t="str">
        <f t="shared" si="159"/>
        <v/>
      </c>
      <c r="J274" s="1" t="str">
        <f t="shared" si="160"/>
        <v/>
      </c>
      <c r="K274" s="1" t="str">
        <f t="shared" si="161"/>
        <v/>
      </c>
      <c r="L274" s="1" t="str">
        <f t="shared" si="162"/>
        <v/>
      </c>
      <c r="M274" s="1" t="str">
        <f t="shared" si="163"/>
        <v/>
      </c>
      <c r="N274" s="1" t="str">
        <f t="shared" si="164"/>
        <v/>
      </c>
      <c r="O274" s="1" t="str">
        <f t="shared" si="165"/>
        <v/>
      </c>
    </row>
    <row r="275" customHeight="1" spans="5:15">
      <c r="E275" s="1">
        <v>175</v>
      </c>
      <c r="F275" s="1" t="e">
        <f t="shared" si="111"/>
        <v>#VALUE!</v>
      </c>
      <c r="G275" s="1" t="str">
        <f t="shared" si="157"/>
        <v/>
      </c>
      <c r="H275" s="1" t="str">
        <f t="shared" si="158"/>
        <v/>
      </c>
      <c r="I275" s="1" t="str">
        <f t="shared" si="159"/>
        <v/>
      </c>
      <c r="J275" s="1" t="str">
        <f t="shared" si="160"/>
        <v/>
      </c>
      <c r="K275" s="1" t="str">
        <f t="shared" si="161"/>
        <v/>
      </c>
      <c r="L275" s="1" t="str">
        <f t="shared" si="162"/>
        <v/>
      </c>
      <c r="M275" s="1" t="str">
        <f t="shared" si="163"/>
        <v/>
      </c>
      <c r="N275" s="1" t="str">
        <f t="shared" si="164"/>
        <v/>
      </c>
      <c r="O275" s="1" t="str">
        <f t="shared" si="165"/>
        <v/>
      </c>
    </row>
    <row r="276" customHeight="1" spans="5:15">
      <c r="E276" s="1">
        <v>176</v>
      </c>
      <c r="F276" s="1" t="e">
        <f t="shared" si="111"/>
        <v>#VALUE!</v>
      </c>
      <c r="G276" s="1" t="str">
        <f t="shared" si="157"/>
        <v/>
      </c>
      <c r="H276" s="1" t="str">
        <f t="shared" si="158"/>
        <v/>
      </c>
      <c r="I276" s="1" t="str">
        <f t="shared" si="159"/>
        <v/>
      </c>
      <c r="J276" s="1" t="str">
        <f t="shared" si="160"/>
        <v/>
      </c>
      <c r="K276" s="1" t="str">
        <f t="shared" si="161"/>
        <v/>
      </c>
      <c r="L276" s="1" t="str">
        <f t="shared" si="162"/>
        <v/>
      </c>
      <c r="M276" s="1" t="str">
        <f t="shared" si="163"/>
        <v/>
      </c>
      <c r="N276" s="1" t="str">
        <f t="shared" si="164"/>
        <v/>
      </c>
      <c r="O276" s="1" t="str">
        <f t="shared" si="165"/>
        <v/>
      </c>
    </row>
    <row r="277" customHeight="1" spans="5:15">
      <c r="E277" s="1">
        <v>177</v>
      </c>
      <c r="F277" s="1" t="e">
        <f t="shared" si="111"/>
        <v>#VALUE!</v>
      </c>
      <c r="G277" s="1" t="str">
        <f t="shared" si="157"/>
        <v/>
      </c>
      <c r="H277" s="1" t="str">
        <f t="shared" si="158"/>
        <v/>
      </c>
      <c r="I277" s="1" t="str">
        <f t="shared" si="159"/>
        <v/>
      </c>
      <c r="J277" s="1" t="str">
        <f t="shared" si="160"/>
        <v/>
      </c>
      <c r="K277" s="1" t="str">
        <f t="shared" si="161"/>
        <v/>
      </c>
      <c r="L277" s="1" t="str">
        <f t="shared" si="162"/>
        <v/>
      </c>
      <c r="M277" s="1" t="str">
        <f t="shared" si="163"/>
        <v/>
      </c>
      <c r="N277" s="1" t="str">
        <f t="shared" si="164"/>
        <v/>
      </c>
      <c r="O277" s="1" t="str">
        <f t="shared" si="165"/>
        <v/>
      </c>
    </row>
    <row r="278" customHeight="1" spans="5:15">
      <c r="E278" s="1">
        <v>178</v>
      </c>
      <c r="F278" s="1" t="e">
        <f t="shared" si="111"/>
        <v>#VALUE!</v>
      </c>
      <c r="G278" s="1" t="str">
        <f t="shared" si="157"/>
        <v/>
      </c>
      <c r="H278" s="1" t="str">
        <f t="shared" si="158"/>
        <v/>
      </c>
      <c r="I278" s="1" t="str">
        <f t="shared" si="159"/>
        <v/>
      </c>
      <c r="J278" s="1" t="str">
        <f t="shared" si="160"/>
        <v/>
      </c>
      <c r="K278" s="1" t="str">
        <f t="shared" si="161"/>
        <v/>
      </c>
      <c r="L278" s="1" t="str">
        <f t="shared" si="162"/>
        <v/>
      </c>
      <c r="M278" s="1" t="str">
        <f t="shared" si="163"/>
        <v/>
      </c>
      <c r="N278" s="1" t="str">
        <f t="shared" si="164"/>
        <v/>
      </c>
      <c r="O278" s="1" t="str">
        <f t="shared" si="165"/>
        <v/>
      </c>
    </row>
    <row r="279" customHeight="1" spans="5:15">
      <c r="E279" s="1">
        <v>179</v>
      </c>
      <c r="F279" s="1" t="e">
        <f t="shared" si="111"/>
        <v>#VALUE!</v>
      </c>
      <c r="G279" s="1" t="str">
        <f t="shared" si="157"/>
        <v/>
      </c>
      <c r="H279" s="1" t="str">
        <f t="shared" si="158"/>
        <v/>
      </c>
      <c r="I279" s="1" t="str">
        <f t="shared" si="159"/>
        <v/>
      </c>
      <c r="J279" s="1" t="str">
        <f t="shared" si="160"/>
        <v/>
      </c>
      <c r="K279" s="1" t="str">
        <f t="shared" si="161"/>
        <v/>
      </c>
      <c r="L279" s="1" t="str">
        <f t="shared" si="162"/>
        <v/>
      </c>
      <c r="M279" s="1" t="str">
        <f t="shared" si="163"/>
        <v/>
      </c>
      <c r="N279" s="1" t="str">
        <f t="shared" si="164"/>
        <v/>
      </c>
      <c r="O279" s="1" t="str">
        <f t="shared" si="165"/>
        <v/>
      </c>
    </row>
    <row r="280" customHeight="1" spans="5:15">
      <c r="E280" s="1">
        <v>180</v>
      </c>
      <c r="F280" s="1" t="e">
        <f t="shared" si="111"/>
        <v>#VALUE!</v>
      </c>
      <c r="G280" s="1" t="str">
        <f t="shared" si="157"/>
        <v/>
      </c>
      <c r="H280" s="1" t="str">
        <f t="shared" si="158"/>
        <v/>
      </c>
      <c r="I280" s="1" t="str">
        <f t="shared" si="159"/>
        <v/>
      </c>
      <c r="J280" s="1" t="str">
        <f t="shared" si="160"/>
        <v/>
      </c>
      <c r="K280" s="1" t="str">
        <f t="shared" si="161"/>
        <v/>
      </c>
      <c r="L280" s="1" t="str">
        <f t="shared" si="162"/>
        <v/>
      </c>
      <c r="M280" s="1" t="str">
        <f t="shared" si="163"/>
        <v/>
      </c>
      <c r="N280" s="1" t="str">
        <f t="shared" si="164"/>
        <v/>
      </c>
      <c r="O280" s="1" t="str">
        <f t="shared" si="165"/>
        <v/>
      </c>
    </row>
    <row r="281" customHeight="1" spans="5:15">
      <c r="E281" s="1">
        <v>181</v>
      </c>
      <c r="F281" s="1" t="e">
        <f t="shared" si="111"/>
        <v>#VALUE!</v>
      </c>
      <c r="G281" s="1" t="str">
        <f t="shared" si="157"/>
        <v/>
      </c>
      <c r="H281" s="1" t="str">
        <f t="shared" si="158"/>
        <v/>
      </c>
      <c r="I281" s="1" t="str">
        <f t="shared" si="159"/>
        <v/>
      </c>
      <c r="J281" s="1" t="str">
        <f t="shared" si="160"/>
        <v/>
      </c>
      <c r="K281" s="1" t="str">
        <f t="shared" si="161"/>
        <v/>
      </c>
      <c r="L281" s="1" t="str">
        <f t="shared" si="162"/>
        <v/>
      </c>
      <c r="M281" s="1" t="str">
        <f t="shared" si="163"/>
        <v/>
      </c>
      <c r="N281" s="1" t="str">
        <f t="shared" si="164"/>
        <v/>
      </c>
      <c r="O281" s="1" t="str">
        <f t="shared" si="165"/>
        <v/>
      </c>
    </row>
    <row r="282" customHeight="1" spans="5:15">
      <c r="E282" s="1">
        <v>182</v>
      </c>
      <c r="F282" s="1" t="e">
        <f t="shared" si="111"/>
        <v>#VALUE!</v>
      </c>
      <c r="G282" s="1" t="str">
        <f t="shared" si="157"/>
        <v/>
      </c>
      <c r="H282" s="1" t="str">
        <f t="shared" si="158"/>
        <v/>
      </c>
      <c r="I282" s="1" t="str">
        <f t="shared" si="159"/>
        <v/>
      </c>
      <c r="J282" s="1" t="str">
        <f t="shared" si="160"/>
        <v/>
      </c>
      <c r="K282" s="1" t="str">
        <f t="shared" si="161"/>
        <v/>
      </c>
      <c r="L282" s="1" t="str">
        <f t="shared" si="162"/>
        <v/>
      </c>
      <c r="M282" s="1" t="str">
        <f t="shared" si="163"/>
        <v/>
      </c>
      <c r="N282" s="1" t="str">
        <f t="shared" si="164"/>
        <v/>
      </c>
      <c r="O282" s="1" t="str">
        <f t="shared" si="165"/>
        <v/>
      </c>
    </row>
    <row r="283" customHeight="1" spans="5:15">
      <c r="E283" s="1">
        <v>183</v>
      </c>
      <c r="F283" s="1" t="e">
        <f t="shared" si="111"/>
        <v>#VALUE!</v>
      </c>
      <c r="G283" s="1" t="str">
        <f t="shared" si="157"/>
        <v/>
      </c>
      <c r="H283" s="1" t="str">
        <f t="shared" si="158"/>
        <v/>
      </c>
      <c r="I283" s="1" t="str">
        <f t="shared" si="159"/>
        <v/>
      </c>
      <c r="J283" s="1" t="str">
        <f t="shared" si="160"/>
        <v/>
      </c>
      <c r="K283" s="1" t="str">
        <f t="shared" si="161"/>
        <v/>
      </c>
      <c r="L283" s="1" t="str">
        <f t="shared" si="162"/>
        <v/>
      </c>
      <c r="M283" s="1" t="str">
        <f t="shared" si="163"/>
        <v/>
      </c>
      <c r="N283" s="1" t="str">
        <f t="shared" si="164"/>
        <v/>
      </c>
      <c r="O283" s="1" t="str">
        <f t="shared" si="165"/>
        <v/>
      </c>
    </row>
    <row r="284" customHeight="1" spans="5:15">
      <c r="E284" s="1">
        <v>184</v>
      </c>
      <c r="F284" s="1" t="e">
        <f t="shared" si="111"/>
        <v>#VALUE!</v>
      </c>
      <c r="G284" s="1" t="str">
        <f t="shared" si="157"/>
        <v/>
      </c>
      <c r="H284" s="1" t="str">
        <f t="shared" si="158"/>
        <v/>
      </c>
      <c r="I284" s="1" t="str">
        <f t="shared" si="159"/>
        <v/>
      </c>
      <c r="J284" s="1" t="str">
        <f t="shared" si="160"/>
        <v/>
      </c>
      <c r="K284" s="1" t="str">
        <f t="shared" si="161"/>
        <v/>
      </c>
      <c r="L284" s="1" t="str">
        <f t="shared" si="162"/>
        <v/>
      </c>
      <c r="M284" s="1" t="str">
        <f t="shared" si="163"/>
        <v/>
      </c>
      <c r="N284" s="1" t="str">
        <f t="shared" si="164"/>
        <v/>
      </c>
      <c r="O284" s="1" t="str">
        <f t="shared" si="165"/>
        <v/>
      </c>
    </row>
    <row r="285" customHeight="1" spans="5:15">
      <c r="E285" s="1">
        <v>185</v>
      </c>
      <c r="F285" s="1" t="e">
        <f t="shared" si="111"/>
        <v>#VALUE!</v>
      </c>
      <c r="G285" s="1" t="str">
        <f t="shared" si="157"/>
        <v/>
      </c>
      <c r="H285" s="1" t="str">
        <f t="shared" si="158"/>
        <v/>
      </c>
      <c r="I285" s="1" t="str">
        <f t="shared" si="159"/>
        <v/>
      </c>
      <c r="J285" s="1" t="str">
        <f t="shared" si="160"/>
        <v/>
      </c>
      <c r="K285" s="1" t="str">
        <f t="shared" si="161"/>
        <v/>
      </c>
      <c r="L285" s="1" t="str">
        <f t="shared" si="162"/>
        <v/>
      </c>
      <c r="M285" s="1" t="str">
        <f t="shared" si="163"/>
        <v/>
      </c>
      <c r="N285" s="1" t="str">
        <f t="shared" si="164"/>
        <v/>
      </c>
      <c r="O285" s="1" t="str">
        <f t="shared" si="165"/>
        <v/>
      </c>
    </row>
    <row r="286" customHeight="1" spans="5:15">
      <c r="E286" s="1">
        <v>186</v>
      </c>
      <c r="F286" s="1" t="e">
        <f t="shared" si="111"/>
        <v>#VALUE!</v>
      </c>
      <c r="G286" s="1" t="str">
        <f t="shared" si="157"/>
        <v/>
      </c>
      <c r="H286" s="1" t="str">
        <f t="shared" si="158"/>
        <v/>
      </c>
      <c r="I286" s="1" t="str">
        <f t="shared" si="159"/>
        <v/>
      </c>
      <c r="J286" s="1" t="str">
        <f t="shared" si="160"/>
        <v/>
      </c>
      <c r="K286" s="1" t="str">
        <f t="shared" si="161"/>
        <v/>
      </c>
      <c r="L286" s="1" t="str">
        <f t="shared" si="162"/>
        <v/>
      </c>
      <c r="M286" s="1" t="str">
        <f t="shared" si="163"/>
        <v/>
      </c>
      <c r="N286" s="1" t="str">
        <f t="shared" si="164"/>
        <v/>
      </c>
      <c r="O286" s="1" t="str">
        <f t="shared" si="165"/>
        <v/>
      </c>
    </row>
    <row r="287" customHeight="1" spans="5:15">
      <c r="E287" s="1">
        <v>187</v>
      </c>
      <c r="F287" s="1" t="e">
        <f t="shared" si="111"/>
        <v>#VALUE!</v>
      </c>
      <c r="G287" s="1" t="str">
        <f t="shared" si="157"/>
        <v/>
      </c>
      <c r="H287" s="1" t="str">
        <f t="shared" si="158"/>
        <v/>
      </c>
      <c r="I287" s="1" t="str">
        <f t="shared" si="159"/>
        <v/>
      </c>
      <c r="J287" s="1" t="str">
        <f t="shared" si="160"/>
        <v/>
      </c>
      <c r="K287" s="1" t="str">
        <f t="shared" si="161"/>
        <v/>
      </c>
      <c r="L287" s="1" t="str">
        <f t="shared" si="162"/>
        <v/>
      </c>
      <c r="M287" s="1" t="str">
        <f t="shared" si="163"/>
        <v/>
      </c>
      <c r="N287" s="1" t="str">
        <f t="shared" si="164"/>
        <v/>
      </c>
      <c r="O287" s="1" t="str">
        <f t="shared" si="165"/>
        <v/>
      </c>
    </row>
    <row r="288" customHeight="1" spans="5:15">
      <c r="E288" s="1">
        <v>188</v>
      </c>
      <c r="F288" s="1" t="e">
        <f t="shared" si="111"/>
        <v>#VALUE!</v>
      </c>
      <c r="G288" s="1" t="str">
        <f t="shared" si="157"/>
        <v/>
      </c>
      <c r="H288" s="1" t="str">
        <f t="shared" si="158"/>
        <v/>
      </c>
      <c r="I288" s="1" t="str">
        <f t="shared" si="159"/>
        <v/>
      </c>
      <c r="J288" s="1" t="str">
        <f t="shared" si="160"/>
        <v/>
      </c>
      <c r="K288" s="1" t="str">
        <f t="shared" si="161"/>
        <v/>
      </c>
      <c r="L288" s="1" t="str">
        <f t="shared" si="162"/>
        <v/>
      </c>
      <c r="M288" s="1" t="str">
        <f t="shared" si="163"/>
        <v/>
      </c>
      <c r="N288" s="1" t="str">
        <f t="shared" si="164"/>
        <v/>
      </c>
      <c r="O288" s="1" t="str">
        <f t="shared" si="165"/>
        <v/>
      </c>
    </row>
    <row r="289" customHeight="1" spans="5:15">
      <c r="E289" s="1">
        <v>189</v>
      </c>
      <c r="F289" s="1" t="e">
        <f t="shared" si="111"/>
        <v>#VALUE!</v>
      </c>
      <c r="G289" s="1" t="str">
        <f t="shared" si="157"/>
        <v/>
      </c>
      <c r="H289" s="1" t="str">
        <f t="shared" si="158"/>
        <v/>
      </c>
      <c r="I289" s="1" t="str">
        <f t="shared" si="159"/>
        <v/>
      </c>
      <c r="J289" s="1" t="str">
        <f t="shared" si="160"/>
        <v/>
      </c>
      <c r="K289" s="1" t="str">
        <f t="shared" si="161"/>
        <v/>
      </c>
      <c r="L289" s="1" t="str">
        <f t="shared" si="162"/>
        <v/>
      </c>
      <c r="M289" s="1" t="str">
        <f t="shared" si="163"/>
        <v/>
      </c>
      <c r="N289" s="1" t="str">
        <f t="shared" si="164"/>
        <v/>
      </c>
      <c r="O289" s="1" t="str">
        <f t="shared" si="165"/>
        <v/>
      </c>
    </row>
    <row r="290" customHeight="1" spans="5:15">
      <c r="E290" s="1">
        <v>190</v>
      </c>
      <c r="F290" s="1" t="e">
        <f t="shared" si="111"/>
        <v>#VALUE!</v>
      </c>
      <c r="G290" s="1" t="str">
        <f t="shared" si="157"/>
        <v/>
      </c>
      <c r="H290" s="1" t="str">
        <f t="shared" si="158"/>
        <v/>
      </c>
      <c r="I290" s="1" t="str">
        <f t="shared" si="159"/>
        <v/>
      </c>
      <c r="J290" s="1" t="str">
        <f t="shared" si="160"/>
        <v/>
      </c>
      <c r="K290" s="1" t="str">
        <f t="shared" si="161"/>
        <v/>
      </c>
      <c r="L290" s="1" t="str">
        <f t="shared" si="162"/>
        <v/>
      </c>
      <c r="M290" s="1" t="str">
        <f t="shared" si="163"/>
        <v/>
      </c>
      <c r="N290" s="1" t="str">
        <f t="shared" si="164"/>
        <v/>
      </c>
      <c r="O290" s="1" t="str">
        <f t="shared" si="165"/>
        <v/>
      </c>
    </row>
    <row r="291" customHeight="1" spans="5:15">
      <c r="E291" s="1">
        <v>191</v>
      </c>
      <c r="F291" s="1" t="e">
        <f t="shared" si="111"/>
        <v>#VALUE!</v>
      </c>
      <c r="G291" s="1" t="str">
        <f t="shared" si="157"/>
        <v/>
      </c>
      <c r="H291" s="1" t="str">
        <f t="shared" si="158"/>
        <v/>
      </c>
      <c r="I291" s="1" t="str">
        <f t="shared" si="159"/>
        <v/>
      </c>
      <c r="J291" s="1" t="str">
        <f t="shared" si="160"/>
        <v/>
      </c>
      <c r="K291" s="1" t="str">
        <f t="shared" si="161"/>
        <v/>
      </c>
      <c r="L291" s="1" t="str">
        <f t="shared" si="162"/>
        <v/>
      </c>
      <c r="M291" s="1" t="str">
        <f t="shared" si="163"/>
        <v/>
      </c>
      <c r="N291" s="1" t="str">
        <f t="shared" si="164"/>
        <v/>
      </c>
      <c r="O291" s="1" t="str">
        <f t="shared" si="165"/>
        <v/>
      </c>
    </row>
    <row r="292" customHeight="1" spans="5:15">
      <c r="E292" s="1">
        <v>192</v>
      </c>
      <c r="F292" s="1" t="e">
        <f t="shared" si="111"/>
        <v>#VALUE!</v>
      </c>
      <c r="G292" s="1" t="str">
        <f t="shared" si="157"/>
        <v/>
      </c>
      <c r="H292" s="1" t="str">
        <f t="shared" si="158"/>
        <v/>
      </c>
      <c r="I292" s="1" t="str">
        <f t="shared" si="159"/>
        <v/>
      </c>
      <c r="J292" s="1" t="str">
        <f t="shared" si="160"/>
        <v/>
      </c>
      <c r="K292" s="1" t="str">
        <f t="shared" si="161"/>
        <v/>
      </c>
      <c r="L292" s="1" t="str">
        <f t="shared" si="162"/>
        <v/>
      </c>
      <c r="M292" s="1" t="str">
        <f t="shared" si="163"/>
        <v/>
      </c>
      <c r="N292" s="1" t="str">
        <f t="shared" si="164"/>
        <v/>
      </c>
      <c r="O292" s="1" t="str">
        <f t="shared" si="165"/>
        <v/>
      </c>
    </row>
    <row r="293" customHeight="1" spans="5:15">
      <c r="E293" s="1">
        <v>193</v>
      </c>
      <c r="F293" s="1" t="e">
        <f t="shared" si="111"/>
        <v>#VALUE!</v>
      </c>
      <c r="G293" s="1" t="str">
        <f t="shared" ref="G293:G300" si="166">_xlfn.IFNA(VLOOKUP(CONCATENATE(G$94," ",IF(E293&lt;10,"0",""),E293),Database,5,FALSE),"")</f>
        <v/>
      </c>
      <c r="H293" s="1" t="str">
        <f t="shared" ref="H293:H300" si="167">_xlfn.IFNA(VLOOKUP(CONCATENATE(G$94," ",IF(E293&lt;10,"0",""),E293),Database,6,FALSE),"")</f>
        <v/>
      </c>
      <c r="I293" s="1" t="str">
        <f t="shared" ref="I293:I300" si="168">_xlfn.IFNA(VLOOKUP(CONCATENATE(G$94," ",IF(E293&lt;10,"0",""),E293),Database,7,FALSE),"")</f>
        <v/>
      </c>
      <c r="J293" s="1" t="str">
        <f t="shared" ref="J293:J300" si="169">_xlfn.IFNA(VLOOKUP(CONCATENATE(G$94," ",IF(E293&lt;10,"0",""),E293),Database,8,FALSE),"")</f>
        <v/>
      </c>
      <c r="K293" s="1" t="str">
        <f t="shared" ref="K293:K300" si="170">_xlfn.IFNA(VLOOKUP(CONCATENATE(G$94," ",IF(E293&lt;10,"0",""),E293),Database,9,FALSE),"")</f>
        <v/>
      </c>
      <c r="L293" s="1" t="str">
        <f t="shared" ref="L293:L300" si="171">_xlfn.IFNA(VLOOKUP(CONCATENATE(G$94," ",IF(E293&lt;10,"0",""),E293),Database,10,FALSE),"")</f>
        <v/>
      </c>
      <c r="M293" s="1" t="str">
        <f t="shared" ref="M293:M300" si="172">_xlfn.IFNA(VLOOKUP(CONCATENATE(G$94," ",IF(E293&lt;10,"0",""),E293),Database,11,FALSE),"")</f>
        <v/>
      </c>
      <c r="N293" s="1" t="str">
        <f t="shared" ref="N293:N300" si="173">_xlfn.IFNA(VLOOKUP(CONCATENATE(G$94," ",IF(E293&lt;10,"0",""),E293),Database,12,FALSE),"")</f>
        <v/>
      </c>
      <c r="O293" s="1" t="str">
        <f t="shared" ref="O293:O300" si="174">_xlfn.IFNA(VLOOKUP(CONCATENATE(G$94," ",IF(E293&lt;10,"0",""),E293),Database,13,FALSE),"")</f>
        <v/>
      </c>
    </row>
    <row r="294" customHeight="1" spans="5:15">
      <c r="E294" s="1">
        <v>194</v>
      </c>
      <c r="F294" s="1" t="e">
        <f t="shared" si="111"/>
        <v>#VALUE!</v>
      </c>
      <c r="G294" s="1" t="str">
        <f t="shared" si="166"/>
        <v/>
      </c>
      <c r="H294" s="1" t="str">
        <f t="shared" si="167"/>
        <v/>
      </c>
      <c r="I294" s="1" t="str">
        <f t="shared" si="168"/>
        <v/>
      </c>
      <c r="J294" s="1" t="str">
        <f t="shared" si="169"/>
        <v/>
      </c>
      <c r="K294" s="1" t="str">
        <f t="shared" si="170"/>
        <v/>
      </c>
      <c r="L294" s="1" t="str">
        <f t="shared" si="171"/>
        <v/>
      </c>
      <c r="M294" s="1" t="str">
        <f t="shared" si="172"/>
        <v/>
      </c>
      <c r="N294" s="1" t="str">
        <f t="shared" si="173"/>
        <v/>
      </c>
      <c r="O294" s="1" t="str">
        <f t="shared" si="174"/>
        <v/>
      </c>
    </row>
    <row r="295" customHeight="1" spans="5:15">
      <c r="E295" s="1">
        <v>195</v>
      </c>
      <c r="F295" s="1" t="e">
        <f t="shared" si="111"/>
        <v>#VALUE!</v>
      </c>
      <c r="G295" s="1" t="str">
        <f t="shared" si="166"/>
        <v/>
      </c>
      <c r="H295" s="1" t="str">
        <f t="shared" si="167"/>
        <v/>
      </c>
      <c r="I295" s="1" t="str">
        <f t="shared" si="168"/>
        <v/>
      </c>
      <c r="J295" s="1" t="str">
        <f t="shared" si="169"/>
        <v/>
      </c>
      <c r="K295" s="1" t="str">
        <f t="shared" si="170"/>
        <v/>
      </c>
      <c r="L295" s="1" t="str">
        <f t="shared" si="171"/>
        <v/>
      </c>
      <c r="M295" s="1" t="str">
        <f t="shared" si="172"/>
        <v/>
      </c>
      <c r="N295" s="1" t="str">
        <f t="shared" si="173"/>
        <v/>
      </c>
      <c r="O295" s="1" t="str">
        <f t="shared" si="174"/>
        <v/>
      </c>
    </row>
    <row r="296" customHeight="1" spans="5:15">
      <c r="E296" s="1">
        <v>196</v>
      </c>
      <c r="F296" s="1" t="e">
        <f t="shared" si="111"/>
        <v>#VALUE!</v>
      </c>
      <c r="G296" s="1" t="str">
        <f t="shared" si="166"/>
        <v/>
      </c>
      <c r="H296" s="1" t="str">
        <f t="shared" si="167"/>
        <v/>
      </c>
      <c r="I296" s="1" t="str">
        <f t="shared" si="168"/>
        <v/>
      </c>
      <c r="J296" s="1" t="str">
        <f t="shared" si="169"/>
        <v/>
      </c>
      <c r="K296" s="1" t="str">
        <f t="shared" si="170"/>
        <v/>
      </c>
      <c r="L296" s="1" t="str">
        <f t="shared" si="171"/>
        <v/>
      </c>
      <c r="M296" s="1" t="str">
        <f t="shared" si="172"/>
        <v/>
      </c>
      <c r="N296" s="1" t="str">
        <f t="shared" si="173"/>
        <v/>
      </c>
      <c r="O296" s="1" t="str">
        <f t="shared" si="174"/>
        <v/>
      </c>
    </row>
    <row r="297" customHeight="1" spans="5:15">
      <c r="E297" s="1">
        <v>197</v>
      </c>
      <c r="F297" s="1" t="e">
        <f t="shared" si="111"/>
        <v>#VALUE!</v>
      </c>
      <c r="G297" s="1" t="str">
        <f t="shared" si="166"/>
        <v/>
      </c>
      <c r="H297" s="1" t="str">
        <f t="shared" si="167"/>
        <v/>
      </c>
      <c r="I297" s="1" t="str">
        <f t="shared" si="168"/>
        <v/>
      </c>
      <c r="J297" s="1" t="str">
        <f t="shared" si="169"/>
        <v/>
      </c>
      <c r="K297" s="1" t="str">
        <f t="shared" si="170"/>
        <v/>
      </c>
      <c r="L297" s="1" t="str">
        <f t="shared" si="171"/>
        <v/>
      </c>
      <c r="M297" s="1" t="str">
        <f t="shared" si="172"/>
        <v/>
      </c>
      <c r="N297" s="1" t="str">
        <f t="shared" si="173"/>
        <v/>
      </c>
      <c r="O297" s="1" t="str">
        <f t="shared" si="174"/>
        <v/>
      </c>
    </row>
    <row r="298" customHeight="1" spans="5:15">
      <c r="E298" s="1">
        <v>198</v>
      </c>
      <c r="F298" s="1" t="e">
        <f t="shared" si="111"/>
        <v>#VALUE!</v>
      </c>
      <c r="G298" s="1" t="str">
        <f t="shared" si="166"/>
        <v/>
      </c>
      <c r="H298" s="1" t="str">
        <f t="shared" si="167"/>
        <v/>
      </c>
      <c r="I298" s="1" t="str">
        <f t="shared" si="168"/>
        <v/>
      </c>
      <c r="J298" s="1" t="str">
        <f t="shared" si="169"/>
        <v/>
      </c>
      <c r="K298" s="1" t="str">
        <f t="shared" si="170"/>
        <v/>
      </c>
      <c r="L298" s="1" t="str">
        <f t="shared" si="171"/>
        <v/>
      </c>
      <c r="M298" s="1" t="str">
        <f t="shared" si="172"/>
        <v/>
      </c>
      <c r="N298" s="1" t="str">
        <f t="shared" si="173"/>
        <v/>
      </c>
      <c r="O298" s="1" t="str">
        <f t="shared" si="174"/>
        <v/>
      </c>
    </row>
    <row r="299" customHeight="1" spans="5:15">
      <c r="E299" s="1">
        <v>199</v>
      </c>
      <c r="F299" s="1" t="e">
        <f t="shared" si="111"/>
        <v>#VALUE!</v>
      </c>
      <c r="G299" s="1" t="str">
        <f t="shared" si="166"/>
        <v/>
      </c>
      <c r="H299" s="1" t="str">
        <f t="shared" si="167"/>
        <v/>
      </c>
      <c r="I299" s="1" t="str">
        <f t="shared" si="168"/>
        <v/>
      </c>
      <c r="J299" s="1" t="str">
        <f t="shared" si="169"/>
        <v/>
      </c>
      <c r="K299" s="1" t="str">
        <f t="shared" si="170"/>
        <v/>
      </c>
      <c r="L299" s="1" t="str">
        <f t="shared" si="171"/>
        <v/>
      </c>
      <c r="M299" s="1" t="str">
        <f t="shared" si="172"/>
        <v/>
      </c>
      <c r="N299" s="1" t="str">
        <f t="shared" si="173"/>
        <v/>
      </c>
      <c r="O299" s="1" t="str">
        <f t="shared" si="174"/>
        <v/>
      </c>
    </row>
    <row r="300" customHeight="1" spans="5:15">
      <c r="E300" s="1">
        <v>200</v>
      </c>
      <c r="F300" s="1" t="e">
        <f t="shared" si="111"/>
        <v>#VALUE!</v>
      </c>
      <c r="G300" s="1" t="str">
        <f t="shared" si="166"/>
        <v/>
      </c>
      <c r="H300" s="1" t="str">
        <f t="shared" si="167"/>
        <v/>
      </c>
      <c r="I300" s="1" t="str">
        <f t="shared" si="168"/>
        <v/>
      </c>
      <c r="J300" s="1" t="str">
        <f t="shared" si="169"/>
        <v/>
      </c>
      <c r="K300" s="1" t="str">
        <f t="shared" si="170"/>
        <v/>
      </c>
      <c r="L300" s="1" t="str">
        <f t="shared" si="171"/>
        <v/>
      </c>
      <c r="M300" s="1" t="str">
        <f t="shared" si="172"/>
        <v/>
      </c>
      <c r="N300" s="1" t="str">
        <f t="shared" si="173"/>
        <v/>
      </c>
      <c r="O300" s="1" t="str">
        <f t="shared" si="174"/>
        <v/>
      </c>
    </row>
  </sheetData>
  <mergeCells count="44">
    <mergeCell ref="B5:E5"/>
    <mergeCell ref="F6:H6"/>
    <mergeCell ref="I6:K6"/>
    <mergeCell ref="F7:H7"/>
    <mergeCell ref="I7:K7"/>
    <mergeCell ref="F8:H8"/>
    <mergeCell ref="I8:K8"/>
    <mergeCell ref="F9:H9"/>
    <mergeCell ref="I9:K9"/>
    <mergeCell ref="F10:H10"/>
    <mergeCell ref="I10:K10"/>
    <mergeCell ref="F11:H11"/>
    <mergeCell ref="I11:K11"/>
    <mergeCell ref="F12:H12"/>
    <mergeCell ref="I12:K12"/>
    <mergeCell ref="F13:H13"/>
    <mergeCell ref="I13:K13"/>
    <mergeCell ref="F14:H14"/>
    <mergeCell ref="F15:H15"/>
    <mergeCell ref="F16:H16"/>
    <mergeCell ref="F17:H17"/>
    <mergeCell ref="F18:H18"/>
    <mergeCell ref="F19:H19"/>
    <mergeCell ref="F20:H20"/>
    <mergeCell ref="F21:H21"/>
    <mergeCell ref="F22:H22"/>
    <mergeCell ref="F23:H23"/>
    <mergeCell ref="F24:H24"/>
    <mergeCell ref="F25:H25"/>
    <mergeCell ref="F26:H26"/>
    <mergeCell ref="F27:H27"/>
    <mergeCell ref="F28:H28"/>
    <mergeCell ref="F29:H29"/>
    <mergeCell ref="F30:H30"/>
    <mergeCell ref="F31:H31"/>
    <mergeCell ref="F32:H32"/>
    <mergeCell ref="F33:H33"/>
    <mergeCell ref="F34:H34"/>
    <mergeCell ref="F35:H35"/>
    <mergeCell ref="F36:H36"/>
    <mergeCell ref="F37:H37"/>
    <mergeCell ref="F38:H38"/>
    <mergeCell ref="F39:H39"/>
    <mergeCell ref="F40:H40"/>
  </mergeCells>
  <conditionalFormatting sqref="C7:C33">
    <cfRule type="containsText" dxfId="3" priority="1" operator="between" text="night">
      <formula>NOT(ISERROR(SEARCH("night",C7)))</formula>
    </cfRule>
    <cfRule type="containsText" dxfId="4" priority="2" operator="between" text="Twilight">
      <formula>NOT(ISERROR(SEARCH("Twilight",C7)))</formula>
    </cfRule>
    <cfRule type="containsText" dxfId="5" priority="3" operator="between" text="Morning">
      <formula>NOT(ISERROR(SEARCH("Morning",C7)))</formula>
    </cfRule>
    <cfRule type="containsText" dxfId="5" priority="4" operator="between" text="Day">
      <formula>NOT(ISERROR(SEARCH("Day",C7)))</formula>
    </cfRule>
    <cfRule type="containsText" dxfId="6" priority="5" operator="between" text="noon">
      <formula>NOT(ISERROR(SEARCH("noon",C7)))</formula>
    </cfRule>
  </conditionalFormatting>
  <conditionalFormatting sqref="I7:I13">
    <cfRule type="containsText" dxfId="8" priority="8" operator="between" text="Conjunction - Opposition">
      <formula>NOT(ISERROR(SEARCH("Conjunction - Opposition",I7)))</formula>
    </cfRule>
    <cfRule type="containsText" dxfId="9" priority="9" operator="between" text="Opposition - Conjunction">
      <formula>NOT(ISERROR(SEARCH("Opposition - Conjunction",I7)))</formula>
    </cfRule>
  </conditionalFormatting>
  <conditionalFormatting sqref="F7:H40">
    <cfRule type="containsText" dxfId="8" priority="6" operator="between" text="Sets">
      <formula>NOT(ISERROR(SEARCH("Sets",F7)))</formula>
    </cfRule>
    <cfRule type="containsText" dxfId="9" priority="7" operator="between" text="Rises">
      <formula>NOT(ISERROR(SEARCH("Rises",F7)))</formula>
    </cfRule>
  </conditionalFormatting>
  <dataValidations count="2">
    <dataValidation type="list" allowBlank="1" showErrorMessage="1" sqref="B1">
      <formula1>BodySelection</formula1>
    </dataValidation>
    <dataValidation type="list" allowBlank="1" showInputMessage="1" prompt="Select Location from Dropdown" sqref="B2">
      <formula1>$G$95:$G$300</formula1>
    </dataValidation>
  </dataValidation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56"/>
  <sheetViews>
    <sheetView workbookViewId="0">
      <selection activeCell="A1" sqref="A1"/>
    </sheetView>
  </sheetViews>
  <sheetFormatPr defaultColWidth="12.6285714285714" defaultRowHeight="15.75" customHeight="1"/>
  <sheetData>
    <row r="1" customHeight="1" spans="2:9">
      <c r="B1" s="45" t="s">
        <v>417</v>
      </c>
      <c r="E1" s="1" t="s">
        <v>418</v>
      </c>
      <c r="I1" s="49" t="s">
        <v>419</v>
      </c>
    </row>
    <row r="2" customHeight="1" spans="2:9">
      <c r="B2" s="45" t="s">
        <v>420</v>
      </c>
      <c r="E2" s="44" t="s">
        <v>421</v>
      </c>
      <c r="I2" s="50" t="s">
        <v>422</v>
      </c>
    </row>
    <row r="3" customHeight="1" spans="9:9">
      <c r="I3" s="44" t="s">
        <v>423</v>
      </c>
    </row>
    <row r="4" customHeight="1" spans="2:2">
      <c r="B4" s="44"/>
    </row>
    <row r="5" customHeight="1" spans="5:5">
      <c r="E5" s="44"/>
    </row>
    <row r="7" customHeight="1" spans="1:7">
      <c r="A7" s="1" t="s">
        <v>424</v>
      </c>
      <c r="B7" s="1" t="s">
        <v>425</v>
      </c>
      <c r="E7" s="38" t="s">
        <v>426</v>
      </c>
      <c r="G7" s="38" t="s">
        <v>427</v>
      </c>
    </row>
    <row r="8" customHeight="1" spans="2:7">
      <c r="B8" s="1" t="s">
        <v>428</v>
      </c>
      <c r="E8" s="1" t="s">
        <v>429</v>
      </c>
      <c r="G8" s="38" t="s">
        <v>430</v>
      </c>
    </row>
    <row r="9" customHeight="1" spans="2:12">
      <c r="B9" s="1" t="s">
        <v>431</v>
      </c>
      <c r="E9" s="1" t="s">
        <v>432</v>
      </c>
      <c r="G9" t="s">
        <v>433</v>
      </c>
      <c r="L9" s="51"/>
    </row>
    <row r="10" customHeight="1" spans="2:7">
      <c r="B10" s="1" t="s">
        <v>434</v>
      </c>
      <c r="E10" s="1" t="s">
        <v>435</v>
      </c>
      <c r="G10" s="44" t="s">
        <v>436</v>
      </c>
    </row>
    <row r="11" customHeight="1" spans="2:5">
      <c r="B11" s="1" t="s">
        <v>437</v>
      </c>
      <c r="E11" s="1" t="s">
        <v>438</v>
      </c>
    </row>
    <row r="12" customHeight="1" spans="2:2">
      <c r="B12" s="1" t="s">
        <v>439</v>
      </c>
    </row>
    <row r="14" customHeight="1" spans="1:1">
      <c r="A14" s="1" t="s">
        <v>440</v>
      </c>
    </row>
    <row r="15" customHeight="1" spans="1:1">
      <c r="A15" s="38" t="s">
        <v>441</v>
      </c>
    </row>
    <row r="16" customHeight="1" spans="1:1">
      <c r="A16" s="1" t="s">
        <v>442</v>
      </c>
    </row>
    <row r="17" customHeight="1" spans="1:1">
      <c r="A17" s="1" t="s">
        <v>443</v>
      </c>
    </row>
    <row r="18" customHeight="1" spans="1:1">
      <c r="A18" s="1" t="s">
        <v>444</v>
      </c>
    </row>
    <row r="20" customHeight="1" spans="1:2">
      <c r="A20" s="1" t="s">
        <v>445</v>
      </c>
      <c r="B20" s="46" t="s">
        <v>446</v>
      </c>
    </row>
    <row r="21" customHeight="1" spans="2:2">
      <c r="B21" s="1" t="s">
        <v>447</v>
      </c>
    </row>
    <row r="22" customHeight="1" spans="2:2">
      <c r="B22" s="1" t="s">
        <v>448</v>
      </c>
    </row>
    <row r="23" customHeight="1" spans="2:2">
      <c r="B23" s="1" t="s">
        <v>449</v>
      </c>
    </row>
    <row r="24" customHeight="1" spans="2:2">
      <c r="B24" s="1" t="s">
        <v>450</v>
      </c>
    </row>
    <row r="26" customHeight="1" spans="3:3">
      <c r="C26" s="1" t="s">
        <v>451</v>
      </c>
    </row>
    <row r="27" customHeight="1" spans="3:3">
      <c r="C27" s="1" t="s">
        <v>452</v>
      </c>
    </row>
    <row r="28" customHeight="1" spans="3:3">
      <c r="C28" s="1" t="s">
        <v>453</v>
      </c>
    </row>
    <row r="30" customHeight="1" spans="3:3">
      <c r="C30" s="1" t="s">
        <v>454</v>
      </c>
    </row>
    <row r="31" customHeight="1" spans="2:3">
      <c r="B31" s="1"/>
      <c r="C31" s="1" t="s">
        <v>455</v>
      </c>
    </row>
    <row r="32" customHeight="1" spans="2:3">
      <c r="B32" s="1"/>
      <c r="C32" s="1" t="s">
        <v>456</v>
      </c>
    </row>
    <row r="33" customHeight="1" spans="1:1">
      <c r="A33" s="47"/>
    </row>
    <row r="34" customHeight="1" spans="1:2">
      <c r="A34" s="47"/>
      <c r="B34" s="1" t="s">
        <v>457</v>
      </c>
    </row>
    <row r="35" customHeight="1" spans="1:2">
      <c r="A35" s="47"/>
      <c r="B35" s="1" t="s">
        <v>458</v>
      </c>
    </row>
    <row r="36" customHeight="1" spans="1:1">
      <c r="A36" s="47"/>
    </row>
    <row r="37" customHeight="1" spans="1:1">
      <c r="A37" s="47" t="s">
        <v>459</v>
      </c>
    </row>
    <row r="38" customHeight="1" spans="2:2">
      <c r="B38" s="1" t="s">
        <v>460</v>
      </c>
    </row>
    <row r="39" customHeight="1" spans="1:1">
      <c r="A39" s="47"/>
    </row>
    <row r="40" customHeight="1" spans="1:1">
      <c r="A40" s="47" t="s">
        <v>461</v>
      </c>
    </row>
    <row r="41" customHeight="1" spans="2:2">
      <c r="B41" s="38" t="s">
        <v>462</v>
      </c>
    </row>
    <row r="42" customHeight="1" spans="2:7">
      <c r="B42" s="1" t="s">
        <v>463</v>
      </c>
      <c r="G42" s="44" t="s">
        <v>464</v>
      </c>
    </row>
    <row r="43" customHeight="1" spans="2:2">
      <c r="B43" s="1"/>
    </row>
    <row r="44" customHeight="1" spans="2:2">
      <c r="B44" s="1" t="s">
        <v>465</v>
      </c>
    </row>
    <row r="45" customHeight="1" spans="2:2">
      <c r="B45" s="1" t="s">
        <v>466</v>
      </c>
    </row>
    <row r="46" customHeight="1" spans="2:2">
      <c r="B46" s="1" t="s">
        <v>467</v>
      </c>
    </row>
    <row r="47" customHeight="1" spans="2:2">
      <c r="B47" s="1" t="s">
        <v>468</v>
      </c>
    </row>
    <row r="49" customHeight="1" spans="1:26">
      <c r="A49" s="48"/>
      <c r="B49" s="4"/>
      <c r="C49" s="4"/>
      <c r="D49" s="4"/>
      <c r="E49" s="4"/>
      <c r="F49" s="4"/>
      <c r="G49" s="4"/>
      <c r="H49" s="4"/>
      <c r="I49" s="4"/>
      <c r="J49" s="4"/>
      <c r="K49" s="4"/>
      <c r="L49" s="4"/>
      <c r="M49" s="4"/>
      <c r="N49" s="4"/>
      <c r="O49" s="4"/>
      <c r="P49" s="4"/>
      <c r="Q49" s="4"/>
      <c r="R49" s="4"/>
      <c r="S49" s="4"/>
      <c r="T49" s="4"/>
      <c r="U49" s="4"/>
      <c r="V49" s="4"/>
      <c r="W49" s="4"/>
      <c r="X49" s="4"/>
      <c r="Y49" s="4"/>
      <c r="Z49" s="4"/>
    </row>
    <row r="52" customHeight="1" spans="1:1">
      <c r="A52" s="1"/>
    </row>
    <row r="53" customHeight="1" spans="1:1">
      <c r="A53" s="48" t="s">
        <v>469</v>
      </c>
    </row>
    <row r="54" customHeight="1" spans="2:2">
      <c r="B54" s="1" t="s">
        <v>470</v>
      </c>
    </row>
    <row r="55" customHeight="1" spans="2:2">
      <c r="B55" s="1" t="s">
        <v>471</v>
      </c>
    </row>
    <row r="56" customHeight="1" spans="2:2">
      <c r="B56" s="1" t="s">
        <v>472</v>
      </c>
    </row>
  </sheetData>
  <hyperlinks>
    <hyperlink ref="I1" r:id="rId2" display="Formula documentation for sunrise/sunset calculations"/>
    <hyperlink ref="E2" r:id="rId3" display="itsjustmemurphy@gmail.com"/>
    <hyperlink ref="I2" r:id="rId4" display="Formula documentation for course heading and great circle distance"/>
    <hyperlink ref="I3" r:id="rId5" display="Formula documentation for multilateration (triangulation)"/>
    <hyperlink ref="E7" r:id="rId6" display="from www.verseguide.com"/>
    <hyperlink ref="G7" r:id="rId7" display="Chris Veness of movable-type.co.uk"/>
    <hyperlink ref="G8" r:id="rId8" display="Eliyahu Hershfeld of kosherjava.com"/>
    <hyperlink ref="G9" r:id="rId9" display="Martin John Baker of euclideanspace.com"/>
    <hyperlink ref="G10" r:id="rId10" display="www.geogebra.org"/>
    <hyperlink ref="A15" r:id="rId11" display="It can triangulate any location from 4 QT/OM distances. - use the User Defined Location boxes to triangulate an unknown position.   The worksheet will return a cartesian X Y Z coordinate that can be used in verseguide.com"/>
    <hyperlink ref="B41" r:id="rId11" display="To navigate to a location without a QT marker, either copy the OM distances (OM1/OM3/OM5 and height) or the XYZ cartesian coordinates, and transfer these values to a routing site like Verseguide.com to generate a routing solution."/>
    <hyperlink ref="G42" r:id="rId12" display="nova-public.gitlab.io/navigator"/>
  </hyperlink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Q26"/>
  <sheetViews>
    <sheetView workbookViewId="0">
      <selection activeCell="A1" sqref="A1"/>
    </sheetView>
  </sheetViews>
  <sheetFormatPr defaultColWidth="12.6285714285714" defaultRowHeight="15.75" customHeight="1"/>
  <sheetData>
    <row r="1" customHeight="1" spans="1:1">
      <c r="A1" s="1" t="s">
        <v>473</v>
      </c>
    </row>
    <row r="2" customHeight="1" spans="8:8">
      <c r="H2" s="1" t="s">
        <v>474</v>
      </c>
    </row>
    <row r="3" customHeight="1" spans="1:17">
      <c r="A3" s="1" t="s">
        <v>475</v>
      </c>
      <c r="C3" s="1" t="s">
        <v>476</v>
      </c>
      <c r="H3" s="1" t="s">
        <v>477</v>
      </c>
      <c r="I3" s="38" t="s">
        <v>478</v>
      </c>
      <c r="K3" s="44"/>
      <c r="M3" s="44"/>
      <c r="N3" s="44"/>
      <c r="O3" s="44"/>
      <c r="P3" s="44"/>
      <c r="Q3" s="44"/>
    </row>
    <row r="4" customHeight="1" spans="1:16">
      <c r="A4" s="38" t="s">
        <v>61</v>
      </c>
      <c r="B4" s="44"/>
      <c r="C4" s="1" t="s">
        <v>479</v>
      </c>
      <c r="H4" s="1" t="s">
        <v>480</v>
      </c>
      <c r="I4" s="38" t="s">
        <v>481</v>
      </c>
      <c r="P4" s="44"/>
    </row>
    <row r="5" customHeight="1" spans="3:17">
      <c r="C5" s="1" t="s">
        <v>482</v>
      </c>
      <c r="K5" s="44"/>
      <c r="M5" s="44"/>
      <c r="N5" s="44"/>
      <c r="O5" s="44"/>
      <c r="P5" s="44"/>
      <c r="Q5" s="44"/>
    </row>
    <row r="6" customHeight="1" spans="1:17">
      <c r="A6" s="44"/>
      <c r="K6" s="44"/>
      <c r="M6" s="44"/>
      <c r="N6" s="44"/>
      <c r="O6" s="44"/>
      <c r="P6" s="44"/>
      <c r="Q6" s="44"/>
    </row>
    <row r="7" customHeight="1" spans="2:17">
      <c r="B7" s="1" t="s">
        <v>483</v>
      </c>
      <c r="H7" s="1" t="s">
        <v>484</v>
      </c>
      <c r="K7" s="44"/>
      <c r="L7" s="44"/>
      <c r="M7" s="44"/>
      <c r="N7" s="44"/>
      <c r="O7" s="44"/>
      <c r="P7" s="44"/>
      <c r="Q7" s="44"/>
    </row>
    <row r="8" customHeight="1" spans="1:17">
      <c r="A8" s="44"/>
      <c r="B8" s="44"/>
      <c r="K8" s="44"/>
      <c r="L8" s="44"/>
      <c r="M8" s="44"/>
      <c r="N8" s="44"/>
      <c r="O8" s="44"/>
      <c r="P8" s="44"/>
      <c r="Q8" s="44"/>
    </row>
    <row r="9" customHeight="1" spans="1:17">
      <c r="A9" s="44"/>
      <c r="B9" s="44"/>
      <c r="K9" s="44"/>
      <c r="L9" s="44"/>
      <c r="M9" s="44"/>
      <c r="N9" s="44"/>
      <c r="O9" s="44"/>
      <c r="P9" s="44"/>
      <c r="Q9" s="44"/>
    </row>
    <row r="10" customHeight="1" spans="1:2">
      <c r="A10" s="44"/>
      <c r="B10" s="44"/>
    </row>
    <row r="11" customHeight="1" spans="1:17">
      <c r="A11" s="44"/>
      <c r="K11" s="44"/>
      <c r="L11" s="44"/>
      <c r="M11" s="44"/>
      <c r="N11" s="44"/>
      <c r="O11" s="44"/>
      <c r="P11" s="44"/>
      <c r="Q11" s="44"/>
    </row>
    <row r="12" customHeight="1" spans="1:17">
      <c r="A12" s="44"/>
      <c r="K12" s="44"/>
      <c r="L12" s="44"/>
      <c r="M12" s="44"/>
      <c r="N12" s="44"/>
      <c r="O12" s="44"/>
      <c r="P12" s="44"/>
      <c r="Q12" s="44"/>
    </row>
    <row r="13" customHeight="1" spans="2:17">
      <c r="B13" s="44"/>
      <c r="K13" s="44"/>
      <c r="L13" s="44"/>
      <c r="M13" s="44"/>
      <c r="N13" s="44"/>
      <c r="O13" s="44"/>
      <c r="P13" s="44"/>
      <c r="Q13" s="44"/>
    </row>
    <row r="14" customHeight="1" spans="1:17">
      <c r="A14" s="44"/>
      <c r="K14" s="44"/>
      <c r="L14" s="44"/>
      <c r="M14" s="44"/>
      <c r="N14" s="44"/>
      <c r="O14" s="44"/>
      <c r="P14" s="44"/>
      <c r="Q14" s="44"/>
    </row>
    <row r="15" customHeight="1" spans="1:16">
      <c r="A15" s="44"/>
      <c r="B15" s="44"/>
      <c r="P15" s="44"/>
    </row>
    <row r="16" customHeight="1" spans="1:17">
      <c r="A16" s="44"/>
      <c r="K16" s="44"/>
      <c r="L16" s="44"/>
      <c r="M16" s="44"/>
      <c r="N16" s="44"/>
      <c r="O16" s="44"/>
      <c r="Q16" s="44"/>
    </row>
    <row r="17" customHeight="1" spans="1:17">
      <c r="A17" s="44"/>
      <c r="K17" s="44"/>
      <c r="L17" s="44"/>
      <c r="M17" s="44"/>
      <c r="N17" s="44"/>
      <c r="O17" s="44"/>
      <c r="P17" s="44"/>
      <c r="Q17" s="44"/>
    </row>
    <row r="18" customHeight="1" spans="2:17">
      <c r="B18" s="44"/>
      <c r="K18" s="44"/>
      <c r="L18" s="44"/>
      <c r="M18" s="44"/>
      <c r="N18" s="44"/>
      <c r="O18" s="44"/>
      <c r="P18" s="44"/>
      <c r="Q18" s="44"/>
    </row>
    <row r="19" customHeight="1" spans="1:16">
      <c r="A19" s="44"/>
      <c r="B19" s="44"/>
      <c r="P19" s="44"/>
    </row>
    <row r="20" customHeight="1" spans="1:17">
      <c r="A20" s="44"/>
      <c r="K20" s="44"/>
      <c r="L20" s="44"/>
      <c r="M20" s="44"/>
      <c r="N20" s="44"/>
      <c r="O20" s="44"/>
      <c r="Q20" s="44"/>
    </row>
    <row r="21" customHeight="1" spans="1:17">
      <c r="A21" s="44"/>
      <c r="K21" s="44"/>
      <c r="L21" s="44"/>
      <c r="M21" s="44"/>
      <c r="N21" s="44"/>
      <c r="O21" s="44"/>
      <c r="P21" s="44"/>
      <c r="Q21" s="44"/>
    </row>
    <row r="22" customHeight="1" spans="2:17">
      <c r="B22" s="44"/>
      <c r="K22" s="44"/>
      <c r="L22" s="44"/>
      <c r="M22" s="44"/>
      <c r="N22" s="44"/>
      <c r="O22" s="44"/>
      <c r="P22" s="44"/>
      <c r="Q22" s="44"/>
    </row>
    <row r="23" customHeight="1" spans="1:17">
      <c r="A23" s="44"/>
      <c r="B23" s="44"/>
      <c r="K23" s="44"/>
      <c r="L23" s="44"/>
      <c r="M23" s="44"/>
      <c r="N23" s="44"/>
      <c r="O23" s="44"/>
      <c r="P23" s="44"/>
      <c r="Q23" s="44"/>
    </row>
    <row r="24" customHeight="1" spans="1:16">
      <c r="A24" s="44"/>
      <c r="P24" s="44"/>
    </row>
    <row r="25" customHeight="1" spans="1:17">
      <c r="A25" s="44"/>
      <c r="B25" s="44"/>
      <c r="Q25" s="44"/>
    </row>
    <row r="26" customHeight="1" spans="1:1">
      <c r="A26" s="44"/>
    </row>
  </sheetData>
  <hyperlinks>
    <hyperlink ref="I3" r:id="rId2" display="https://www.geogebra.org/3d/wwe3szqb"/>
    <hyperlink ref="A4" r:id="rId3" display="Google Drive Charts Directory"/>
    <hyperlink ref="I4" r:id="rId4" display="https://www.geogebra.org/3d/fjsczhxc"/>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79"/>
  <sheetViews>
    <sheetView workbookViewId="0">
      <selection activeCell="A1" sqref="A1"/>
    </sheetView>
  </sheetViews>
  <sheetFormatPr defaultColWidth="12.6285714285714" defaultRowHeight="15.75" customHeight="1"/>
  <sheetData>
    <row r="1" customHeight="1" spans="1:11">
      <c r="A1" s="1" t="s">
        <v>51</v>
      </c>
      <c r="B1" s="39">
        <f>IF(OR(B3="",B3="NOW"),TimeUniverse,B3)</f>
        <v>394623.269305556</v>
      </c>
      <c r="J1" s="1">
        <f>VLOOKUP(E7,H5:Y47,13,FALSE)</f>
        <v>-42937680.9571889</v>
      </c>
      <c r="K1" s="1">
        <f>VLOOKUP(E7,H5:Y47,14,FALSE)</f>
        <v>6605899.9749912</v>
      </c>
    </row>
    <row r="2" customHeight="1" spans="1:11">
      <c r="A2" s="1" t="s">
        <v>485</v>
      </c>
      <c r="B2" s="40">
        <f>B1-383507</f>
        <v>11116.2693055556</v>
      </c>
      <c r="J2" s="1">
        <f>VLOOKUP(E8,H5:Y47,13,FALSE)</f>
        <v>-18944326.7606817</v>
      </c>
      <c r="K2" s="1">
        <f>VLOOKUP(E8,H5:Y47,14,FALSE)</f>
        <v>-2789016.6799601</v>
      </c>
    </row>
    <row r="3" customHeight="1" spans="1:20">
      <c r="A3" s="1" t="s">
        <v>486</v>
      </c>
      <c r="B3" s="41" t="s">
        <v>58</v>
      </c>
      <c r="C3" s="1" t="s">
        <v>487</v>
      </c>
      <c r="T3" s="1" t="s">
        <v>488</v>
      </c>
    </row>
    <row r="4" customHeight="1" spans="3:21">
      <c r="C4" s="226" t="s">
        <v>489</v>
      </c>
      <c r="F4" s="1"/>
      <c r="G4" s="1"/>
      <c r="H4" s="1"/>
      <c r="I4" s="1" t="s">
        <v>12</v>
      </c>
      <c r="J4" s="1" t="s">
        <v>13</v>
      </c>
      <c r="K4" s="1" t="s">
        <v>490</v>
      </c>
      <c r="L4" s="1" t="s">
        <v>491</v>
      </c>
      <c r="M4" s="1" t="s">
        <v>492</v>
      </c>
      <c r="P4" s="1" t="s">
        <v>493</v>
      </c>
      <c r="Q4" s="1" t="s">
        <v>494</v>
      </c>
      <c r="R4" s="1" t="s">
        <v>495</v>
      </c>
      <c r="T4" s="1" t="s">
        <v>12</v>
      </c>
      <c r="U4" s="1" t="s">
        <v>13</v>
      </c>
    </row>
    <row r="5" customHeight="1" spans="6:21">
      <c r="F5" s="1"/>
      <c r="G5" s="1"/>
      <c r="H5" s="1" t="s">
        <v>10</v>
      </c>
      <c r="I5" s="1">
        <v>0</v>
      </c>
      <c r="J5" s="1">
        <v>0</v>
      </c>
      <c r="L5" s="2">
        <f>VLOOKUP(CONCATENATE(H5," R00"),Database,20,FALSE)</f>
        <v>0</v>
      </c>
      <c r="T5" s="1">
        <v>0</v>
      </c>
      <c r="U5" s="1">
        <v>0</v>
      </c>
    </row>
    <row r="6" customHeight="1" spans="1:8">
      <c r="A6" s="1" t="str">
        <f>CONCATENATE("Distance between ",E7," and ",E8)</f>
        <v>Distance between MIC-L4 and Crusader</v>
      </c>
      <c r="D6" s="1" t="s">
        <v>496</v>
      </c>
      <c r="G6" s="1"/>
      <c r="H6" s="1"/>
    </row>
    <row r="7" customHeight="1" spans="1:21">
      <c r="A7" s="42">
        <f>ROUND(SQRT((J1-J2)^2+(K1-K2)^2),0)</f>
        <v>25767140</v>
      </c>
      <c r="B7" s="1"/>
      <c r="C7" s="1"/>
      <c r="D7" s="1" t="s">
        <v>497</v>
      </c>
      <c r="E7" s="43" t="s">
        <v>407</v>
      </c>
      <c r="G7" s="1"/>
      <c r="H7" s="1" t="s">
        <v>498</v>
      </c>
      <c r="I7" s="2">
        <f t="shared" ref="I7:I16" si="0">VLOOKUP(CONCATENATE(H7," R00"),Database,6,FALSE)</f>
        <v>12850457.093</v>
      </c>
      <c r="J7" s="2">
        <f t="shared" ref="J7:J16" si="1">VLOOKUP(CONCATENATE(H7," R00"),Database,7,FALSE)</f>
        <v>0</v>
      </c>
      <c r="K7" s="1">
        <f>SQRT(I7^2+J7^2)</f>
        <v>12850457.093</v>
      </c>
      <c r="L7" s="1">
        <v>1</v>
      </c>
      <c r="M7" s="1">
        <v>291</v>
      </c>
      <c r="N7" s="1">
        <f t="shared" ref="N7:N11" si="2">M7/291</f>
        <v>1</v>
      </c>
      <c r="O7" s="1">
        <f t="shared" ref="O7:O11" si="3">360/M7</f>
        <v>1.23711340206186</v>
      </c>
      <c r="P7" s="1">
        <f t="shared" ref="P7:P11" si="4">$B$2/M7</f>
        <v>38.2002381634212</v>
      </c>
      <c r="Q7" s="1">
        <f t="shared" ref="Q7:Q11" si="5">MOD(P7,1)</f>
        <v>0.200238163421162</v>
      </c>
      <c r="R7" s="1">
        <f t="shared" ref="R7:R11" si="6">Q7*360</f>
        <v>72.0857388316182</v>
      </c>
      <c r="T7" s="1">
        <f>(I7*COS(RADIANS(R7)))-(J7*SIN(RADIANS(R7)))</f>
        <v>3952716.61451917</v>
      </c>
      <c r="U7" s="1">
        <f>(J7*COS(RADIANS(R7)))+(I7*SIN(RADIANS(R7)))</f>
        <v>12227439.5874336</v>
      </c>
    </row>
    <row r="8" customHeight="1" spans="4:25">
      <c r="D8" s="1" t="s">
        <v>499</v>
      </c>
      <c r="E8" s="43" t="s">
        <v>62</v>
      </c>
      <c r="F8" s="1"/>
      <c r="G8" s="1"/>
      <c r="H8" s="1" t="s">
        <v>500</v>
      </c>
      <c r="I8" s="2">
        <f t="shared" si="0"/>
        <v>12892673.3088608</v>
      </c>
      <c r="J8" s="2">
        <f t="shared" si="1"/>
        <v>-31476.128840109</v>
      </c>
      <c r="K8" s="1">
        <f t="shared" ref="K8:K11" si="7">SQRT((I8-I$7)^2+(J8-J$7)^2)</f>
        <v>52658.8603025618</v>
      </c>
      <c r="L8" s="1">
        <v>1</v>
      </c>
      <c r="M8" s="3">
        <v>30.19516204</v>
      </c>
      <c r="N8" s="1">
        <f t="shared" si="2"/>
        <v>0.103763443436426</v>
      </c>
      <c r="O8" s="1">
        <f t="shared" si="3"/>
        <v>11.922439744589</v>
      </c>
      <c r="P8" s="1">
        <f t="shared" si="4"/>
        <v>368.147363833639</v>
      </c>
      <c r="Q8" s="1">
        <f t="shared" si="5"/>
        <v>0.147363833638735</v>
      </c>
      <c r="R8" s="1">
        <f t="shared" si="6"/>
        <v>53.0509801099447</v>
      </c>
      <c r="T8" s="1">
        <f t="shared" ref="T8:U8" si="8">X8+T$7</f>
        <v>4003247.75745555</v>
      </c>
      <c r="U8" s="1">
        <f t="shared" si="8"/>
        <v>12242257.1163068</v>
      </c>
      <c r="V8" s="2">
        <f t="shared" ref="V8:W8" si="9">I8-I$7</f>
        <v>42216.215860799</v>
      </c>
      <c r="W8" s="2">
        <f t="shared" si="9"/>
        <v>-31476.128840109</v>
      </c>
      <c r="X8" s="1">
        <f t="shared" ref="X8:X11" si="10">(V8*COS(RADIANS(R8)))-(W8*SIN(RADIANS(R8)))</f>
        <v>50531.142936385</v>
      </c>
      <c r="Y8" s="1">
        <f t="shared" ref="Y8:Y11" si="11">(W8*COS(RADIANS(R8)))+(V8*SIN(RADIANS(R8)))</f>
        <v>14817.5288731741</v>
      </c>
    </row>
    <row r="9" customHeight="1" spans="1:25">
      <c r="A9" s="44" t="s">
        <v>501</v>
      </c>
      <c r="F9" s="1"/>
      <c r="G9" s="1"/>
      <c r="H9" s="1" t="s">
        <v>502</v>
      </c>
      <c r="I9" s="2">
        <f t="shared" si="0"/>
        <v>12905757.636431</v>
      </c>
      <c r="J9" s="2">
        <f t="shared" si="1"/>
        <v>40955.550560376</v>
      </c>
      <c r="K9" s="1">
        <f t="shared" si="7"/>
        <v>68815.0218009652</v>
      </c>
      <c r="L9" s="1">
        <f t="shared" ref="L9:L11" si="12">SQRT((K9^3)/(K$8^3))*$L$8</f>
        <v>1.49388681621849</v>
      </c>
      <c r="M9" s="1">
        <f t="shared" ref="M9:M11" si="13">L9*$M$8</f>
        <v>45.108154485137</v>
      </c>
      <c r="N9" s="1">
        <f t="shared" si="2"/>
        <v>0.15501084015511</v>
      </c>
      <c r="O9" s="1">
        <f t="shared" si="3"/>
        <v>7.98081863709629</v>
      </c>
      <c r="P9" s="1">
        <f t="shared" si="4"/>
        <v>246.435914579887</v>
      </c>
      <c r="Q9" s="1">
        <f t="shared" si="5"/>
        <v>0.43591457988677</v>
      </c>
      <c r="R9" s="1">
        <f t="shared" si="6"/>
        <v>156.929248759237</v>
      </c>
      <c r="T9" s="1">
        <f t="shared" ref="T9:U9" si="14">X9+T$7</f>
        <v>3885789.76716901</v>
      </c>
      <c r="U9" s="1">
        <f t="shared" si="14"/>
        <v>12211430.0799697</v>
      </c>
      <c r="V9" s="2">
        <f t="shared" ref="V9:W9" si="15">I9-I$7</f>
        <v>55300.5434309989</v>
      </c>
      <c r="W9" s="2">
        <f t="shared" si="15"/>
        <v>40955.550560376</v>
      </c>
      <c r="X9" s="1">
        <f t="shared" si="10"/>
        <v>-66926.8473501523</v>
      </c>
      <c r="Y9" s="1">
        <f t="shared" si="11"/>
        <v>-16009.5074639016</v>
      </c>
    </row>
    <row r="10" customHeight="1" spans="1:25">
      <c r="A10" s="1" t="s">
        <v>503</v>
      </c>
      <c r="B10" s="1"/>
      <c r="D10" s="1" t="s">
        <v>504</v>
      </c>
      <c r="F10" s="1"/>
      <c r="G10" s="1"/>
      <c r="H10" s="1" t="s">
        <v>505</v>
      </c>
      <c r="I10" s="2">
        <f t="shared" si="0"/>
        <v>12792686.3594182</v>
      </c>
      <c r="J10" s="2">
        <f t="shared" si="1"/>
        <v>-74464.580982047</v>
      </c>
      <c r="K10" s="1">
        <f t="shared" si="7"/>
        <v>94246.652351217</v>
      </c>
      <c r="L10" s="1">
        <f t="shared" si="12"/>
        <v>2.39437250252163</v>
      </c>
      <c r="M10" s="1">
        <f t="shared" si="13"/>
        <v>72.298465697761</v>
      </c>
      <c r="N10" s="1">
        <f t="shared" si="2"/>
        <v>0.248448335731138</v>
      </c>
      <c r="O10" s="1">
        <f t="shared" si="3"/>
        <v>4.97935878065458</v>
      </c>
      <c r="P10" s="1">
        <f t="shared" si="4"/>
        <v>153.75525881872</v>
      </c>
      <c r="Q10" s="1">
        <f t="shared" si="5"/>
        <v>0.755258818719511</v>
      </c>
      <c r="R10" s="1">
        <f t="shared" si="6"/>
        <v>271.893174739024</v>
      </c>
      <c r="T10" s="1">
        <f t="shared" ref="T10:U10" si="16">X10+T$7</f>
        <v>3876384.15849442</v>
      </c>
      <c r="U10" s="1">
        <f t="shared" si="16"/>
        <v>12282718.7664854</v>
      </c>
      <c r="V10" s="2">
        <f t="shared" ref="V10:W10" si="17">I10-I$7</f>
        <v>-57770.7335818</v>
      </c>
      <c r="W10" s="2">
        <f t="shared" si="17"/>
        <v>-74464.580982047</v>
      </c>
      <c r="X10" s="1">
        <f t="shared" si="10"/>
        <v>-76332.4560247459</v>
      </c>
      <c r="Y10" s="1">
        <f t="shared" si="11"/>
        <v>55279.1790518038</v>
      </c>
    </row>
    <row r="11" customHeight="1" spans="1:25">
      <c r="A11" s="1" t="b">
        <v>1</v>
      </c>
      <c r="B11" s="1" t="s">
        <v>498</v>
      </c>
      <c r="D11" s="1" t="b">
        <v>0</v>
      </c>
      <c r="E11" s="1" t="s">
        <v>506</v>
      </c>
      <c r="F11" s="1"/>
      <c r="G11" s="1"/>
      <c r="H11" s="1" t="s">
        <v>507</v>
      </c>
      <c r="I11" s="2">
        <f t="shared" si="0"/>
        <v>12830194.7158127</v>
      </c>
      <c r="J11" s="2">
        <f t="shared" si="1"/>
        <v>114913.608600052</v>
      </c>
      <c r="K11" s="1">
        <f t="shared" si="7"/>
        <v>116686.337549717</v>
      </c>
      <c r="L11" s="1">
        <f t="shared" si="12"/>
        <v>3.29854816561706</v>
      </c>
      <c r="M11" s="1">
        <f t="shared" si="13"/>
        <v>99.6001963575518</v>
      </c>
      <c r="N11" s="1">
        <f t="shared" si="2"/>
        <v>0.342268716005332</v>
      </c>
      <c r="O11" s="1">
        <f t="shared" si="3"/>
        <v>3.61445070557539</v>
      </c>
      <c r="P11" s="1">
        <f t="shared" si="4"/>
        <v>111.608909541198</v>
      </c>
      <c r="Q11" s="1">
        <f t="shared" si="5"/>
        <v>0.608909541198003</v>
      </c>
      <c r="R11" s="1">
        <f t="shared" si="6"/>
        <v>219.207434831281</v>
      </c>
      <c r="T11" s="1">
        <f t="shared" ref="T11:U11" si="18">X11+T$7</f>
        <v>4041057.49297308</v>
      </c>
      <c r="U11" s="1">
        <f t="shared" si="18"/>
        <v>12151205.7985683</v>
      </c>
      <c r="V11" s="2">
        <f t="shared" ref="V11:W11" si="19">I11-I$7</f>
        <v>-20262.3771873005</v>
      </c>
      <c r="W11" s="2">
        <f t="shared" si="19"/>
        <v>114913.608600052</v>
      </c>
      <c r="X11" s="1">
        <f t="shared" si="10"/>
        <v>88340.8784539127</v>
      </c>
      <c r="Y11" s="1">
        <f t="shared" si="11"/>
        <v>-76233.7888652886</v>
      </c>
    </row>
    <row r="12" customHeight="1" spans="1:21">
      <c r="A12" s="1" t="b">
        <v>1</v>
      </c>
      <c r="B12" s="1" t="s">
        <v>62</v>
      </c>
      <c r="D12" s="1" t="b">
        <v>0</v>
      </c>
      <c r="E12" s="1" t="s">
        <v>508</v>
      </c>
      <c r="F12" s="1"/>
      <c r="G12" s="1"/>
      <c r="H12" s="1" t="s">
        <v>506</v>
      </c>
      <c r="I12" s="2">
        <f t="shared" si="0"/>
        <v>11565411.328</v>
      </c>
      <c r="J12" s="2">
        <f t="shared" si="1"/>
        <v>0</v>
      </c>
      <c r="K12" s="1">
        <f t="shared" ref="K12:K16" si="20">SQRT(I12^2+J12^2)</f>
        <v>11565411.328</v>
      </c>
      <c r="R12" s="1">
        <f t="shared" ref="R12:R16" si="21">R$7</f>
        <v>72.0857388316182</v>
      </c>
      <c r="T12" s="1">
        <f t="shared" ref="T12:T16" si="22">(I12*COS(RADIANS(R12)))-(J12*SIN(RADIANS(R12)))</f>
        <v>3557444.93593429</v>
      </c>
      <c r="U12" s="1">
        <f t="shared" ref="U12:U16" si="23">(J12*COS(RADIANS(R12)))+(I12*SIN(RADIANS(R12)))</f>
        <v>11004695.5756907</v>
      </c>
    </row>
    <row r="13" customHeight="1" spans="1:21">
      <c r="A13" s="1" t="b">
        <v>1</v>
      </c>
      <c r="B13" s="1" t="s">
        <v>509</v>
      </c>
      <c r="D13" s="1" t="b">
        <v>1</v>
      </c>
      <c r="E13" s="1" t="s">
        <v>375</v>
      </c>
      <c r="F13" s="1"/>
      <c r="G13" s="1"/>
      <c r="H13" s="1" t="s">
        <v>508</v>
      </c>
      <c r="I13" s="2">
        <f t="shared" si="0"/>
        <v>14135502.848</v>
      </c>
      <c r="J13" s="2">
        <f t="shared" si="1"/>
        <v>0</v>
      </c>
      <c r="K13" s="1">
        <f t="shared" si="20"/>
        <v>14135502.848</v>
      </c>
      <c r="R13" s="1">
        <f t="shared" si="21"/>
        <v>72.0857388316182</v>
      </c>
      <c r="T13" s="1">
        <f t="shared" si="22"/>
        <v>4347988.2900281</v>
      </c>
      <c r="U13" s="1">
        <f t="shared" si="23"/>
        <v>13450183.5896613</v>
      </c>
    </row>
    <row r="14" customHeight="1" spans="1:21">
      <c r="A14" s="1" t="b">
        <v>1</v>
      </c>
      <c r="B14" s="1" t="s">
        <v>1</v>
      </c>
      <c r="D14" s="1" t="b">
        <v>1</v>
      </c>
      <c r="E14" s="1" t="s">
        <v>377</v>
      </c>
      <c r="F14" s="1"/>
      <c r="G14" s="1"/>
      <c r="H14" s="1" t="s">
        <v>375</v>
      </c>
      <c r="I14" s="2">
        <f t="shared" si="0"/>
        <v>-12850457.6</v>
      </c>
      <c r="J14" s="2">
        <f t="shared" si="1"/>
        <v>-1.12342272899999</v>
      </c>
      <c r="K14" s="1">
        <f t="shared" si="20"/>
        <v>12850457.6</v>
      </c>
      <c r="R14" s="1">
        <f t="shared" si="21"/>
        <v>72.0857388316182</v>
      </c>
      <c r="T14" s="1">
        <f t="shared" si="22"/>
        <v>-3952715.70151225</v>
      </c>
      <c r="U14" s="1">
        <f t="shared" si="23"/>
        <v>-12227440.4154106</v>
      </c>
    </row>
    <row r="15" customHeight="1" spans="1:21">
      <c r="A15" s="1" t="b">
        <v>0</v>
      </c>
      <c r="B15" s="1" t="s">
        <v>510</v>
      </c>
      <c r="D15" s="1" t="b">
        <v>1</v>
      </c>
      <c r="E15" s="1" t="s">
        <v>379</v>
      </c>
      <c r="F15" s="1"/>
      <c r="G15" s="1"/>
      <c r="H15" s="1" t="s">
        <v>377</v>
      </c>
      <c r="I15" s="2">
        <f t="shared" si="0"/>
        <v>6425228.288</v>
      </c>
      <c r="J15" s="2">
        <f t="shared" si="1"/>
        <v>11128823.808</v>
      </c>
      <c r="K15" s="1">
        <f t="shared" si="20"/>
        <v>12850458.2759691</v>
      </c>
      <c r="R15" s="1">
        <f t="shared" si="21"/>
        <v>72.0857388316182</v>
      </c>
      <c r="T15" s="1">
        <f t="shared" si="22"/>
        <v>-8612916.51996931</v>
      </c>
      <c r="U15" s="1">
        <f t="shared" si="23"/>
        <v>9536873.01595564</v>
      </c>
    </row>
    <row r="16" customHeight="1" spans="1:21">
      <c r="A16" s="1"/>
      <c r="B16" s="1"/>
      <c r="D16" s="1" t="b">
        <v>0</v>
      </c>
      <c r="E16" s="1" t="s">
        <v>511</v>
      </c>
      <c r="F16" s="1"/>
      <c r="G16" s="1"/>
      <c r="H16" s="1" t="s">
        <v>379</v>
      </c>
      <c r="I16" s="2">
        <f t="shared" si="0"/>
        <v>6425227.776</v>
      </c>
      <c r="J16" s="2">
        <f t="shared" si="1"/>
        <v>-11128823.808</v>
      </c>
      <c r="K16" s="1">
        <f t="shared" si="20"/>
        <v>12850458.0199692</v>
      </c>
      <c r="R16" s="1">
        <f t="shared" si="21"/>
        <v>72.0857388316182</v>
      </c>
      <c r="T16" s="1">
        <f t="shared" si="22"/>
        <v>12565632.8179748</v>
      </c>
      <c r="U16" s="1">
        <f t="shared" si="23"/>
        <v>2690565.59236606</v>
      </c>
    </row>
    <row r="17" customHeight="1" spans="1:8">
      <c r="A17" s="1" t="s">
        <v>512</v>
      </c>
      <c r="B17" s="1"/>
      <c r="D17" s="1" t="b">
        <v>0</v>
      </c>
      <c r="E17" s="1" t="s">
        <v>513</v>
      </c>
      <c r="F17" s="1"/>
      <c r="G17" s="1"/>
      <c r="H17" s="1"/>
    </row>
    <row r="18" customHeight="1" spans="1:21">
      <c r="A18" s="1" t="b">
        <v>1</v>
      </c>
      <c r="B18" s="1" t="s">
        <v>500</v>
      </c>
      <c r="D18" s="1" t="b">
        <v>1</v>
      </c>
      <c r="E18" s="1" t="s">
        <v>514</v>
      </c>
      <c r="F18" s="1"/>
      <c r="G18" s="1"/>
      <c r="H18" s="1" t="s">
        <v>62</v>
      </c>
      <c r="I18" s="2">
        <f t="shared" ref="I18:I26" si="24">VLOOKUP(CONCATENATE(H18," R00"),Database,6,FALSE)</f>
        <v>-18962176</v>
      </c>
      <c r="J18" s="2">
        <f t="shared" ref="J18:J26" si="25">VLOOKUP(CONCATENATE(H18," R00"),Database,7,FALSE)</f>
        <v>-2664959.99999998</v>
      </c>
      <c r="K18" s="1">
        <f>SQRT(I18^2+J18^2)</f>
        <v>19148528.1537923</v>
      </c>
      <c r="L18" s="1">
        <f>SQRT((K18^3)/(K$7^3))*$L$7</f>
        <v>1.81896872808667</v>
      </c>
      <c r="M18" s="1">
        <f>L18*$M$7</f>
        <v>529.319899873222</v>
      </c>
      <c r="N18" s="1">
        <f t="shared" ref="N18:N21" si="26">M18/291</f>
        <v>1.81896872808667</v>
      </c>
      <c r="O18" s="1">
        <f t="shared" ref="O18:O21" si="27">360/M18</f>
        <v>0.680118015752335</v>
      </c>
      <c r="P18" s="1">
        <f t="shared" ref="P18:P21" si="28">$B$2/M18</f>
        <v>21.0010417296195</v>
      </c>
      <c r="Q18" s="1">
        <f t="shared" ref="Q18:Q21" si="29">MOD(P18,1)</f>
        <v>0.00104172961951221</v>
      </c>
      <c r="R18" s="1">
        <f t="shared" ref="R18:R21" si="30">Q18*360</f>
        <v>0.375022663024396</v>
      </c>
      <c r="T18" s="1">
        <f>(I18*COS(RADIANS(R18)))-(J18*SIN(RADIANS(R18)))</f>
        <v>-18944326.7606817</v>
      </c>
      <c r="U18" s="1">
        <f>(J18*COS(RADIANS(R18)))+(I18*SIN(RADIANS(R18)))</f>
        <v>-2789016.6799601</v>
      </c>
    </row>
    <row r="19" customHeight="1" spans="1:25">
      <c r="A19" s="1" t="b">
        <v>1</v>
      </c>
      <c r="B19" s="1" t="s">
        <v>502</v>
      </c>
      <c r="C19" s="1"/>
      <c r="D19" s="1" t="b">
        <v>1</v>
      </c>
      <c r="E19" s="1" t="s">
        <v>387</v>
      </c>
      <c r="F19" s="1"/>
      <c r="G19" s="1"/>
      <c r="H19" s="1" t="s">
        <v>515</v>
      </c>
      <c r="I19" s="2">
        <f t="shared" si="24"/>
        <v>-18987611.1192333</v>
      </c>
      <c r="J19" s="2">
        <f t="shared" si="25"/>
        <v>-2709009.66070514</v>
      </c>
      <c r="K19" s="1">
        <f t="shared" ref="K19:K21" si="31">SQRT((I19-I$18)^2+(J19-J$18)^2)</f>
        <v>50865.6848833459</v>
      </c>
      <c r="L19" s="1">
        <v>1</v>
      </c>
      <c r="M19" s="1">
        <v>7.863668981</v>
      </c>
      <c r="N19" s="1">
        <f t="shared" si="26"/>
        <v>0.0270229174604811</v>
      </c>
      <c r="O19" s="1">
        <f t="shared" si="27"/>
        <v>45.7801569305401</v>
      </c>
      <c r="P19" s="1">
        <f t="shared" si="28"/>
        <v>1413.62375914022</v>
      </c>
      <c r="Q19" s="1">
        <f t="shared" si="29"/>
        <v>0.623759140219363</v>
      </c>
      <c r="R19" s="1">
        <f t="shared" si="30"/>
        <v>224.553290478971</v>
      </c>
      <c r="T19" s="1">
        <f t="shared" ref="T19:U19" si="32">X19+T$18</f>
        <v>-18957105.7637928</v>
      </c>
      <c r="U19" s="1">
        <f t="shared" si="32"/>
        <v>-2739782.39334865</v>
      </c>
      <c r="V19" s="2">
        <f t="shared" ref="V19:W19" si="33">I19-I$18</f>
        <v>-25435.119233299</v>
      </c>
      <c r="W19" s="2">
        <f t="shared" si="33"/>
        <v>-44049.6607051599</v>
      </c>
      <c r="X19" s="1">
        <f t="shared" ref="X19:X21" si="34">(V19*COS(RADIANS(R19)))-(W19*SIN(RADIANS(R19)))</f>
        <v>-12779.0031110974</v>
      </c>
      <c r="Y19" s="1">
        <f t="shared" ref="Y19:Y21" si="35">(W19*COS(RADIANS(R19)))+(V19*SIN(RADIANS(R19)))</f>
        <v>49234.28661145</v>
      </c>
    </row>
    <row r="20" customHeight="1" spans="1:25">
      <c r="A20" s="1" t="b">
        <v>1</v>
      </c>
      <c r="B20" s="1" t="s">
        <v>505</v>
      </c>
      <c r="C20" s="1"/>
      <c r="D20" s="1" t="b">
        <v>1</v>
      </c>
      <c r="E20" s="1" t="s">
        <v>389</v>
      </c>
      <c r="F20" s="1"/>
      <c r="G20" s="1"/>
      <c r="H20" s="1" t="s">
        <v>516</v>
      </c>
      <c r="I20" s="2">
        <f t="shared" si="24"/>
        <v>-18930539.5395348</v>
      </c>
      <c r="J20" s="2">
        <f t="shared" si="25"/>
        <v>-2610158.76549855</v>
      </c>
      <c r="K20" s="1">
        <f t="shared" si="31"/>
        <v>63277.4915246083</v>
      </c>
      <c r="L20" s="1">
        <f t="shared" ref="L20:L21" si="36">SQRT((K20^3)/(K$19^3))*$L$19</f>
        <v>1.38751132581576</v>
      </c>
      <c r="M20" s="1">
        <f t="shared" ref="M20:M21" si="37">L20*$M$19</f>
        <v>10.9109297736036</v>
      </c>
      <c r="N20" s="1">
        <f t="shared" si="26"/>
        <v>0.0374946040330021</v>
      </c>
      <c r="O20" s="1">
        <f t="shared" si="27"/>
        <v>32.9944383723314</v>
      </c>
      <c r="P20" s="1">
        <f t="shared" si="28"/>
        <v>1018.81961814553</v>
      </c>
      <c r="Q20" s="1">
        <f t="shared" si="29"/>
        <v>0.819618145533923</v>
      </c>
      <c r="R20" s="1">
        <f t="shared" si="30"/>
        <v>295.062532392212</v>
      </c>
      <c r="T20" s="1">
        <f t="shared" ref="T20:U20" si="38">X20+T$18</f>
        <v>-18881283.8505515</v>
      </c>
      <c r="U20" s="1">
        <f t="shared" si="38"/>
        <v>-2794460.2464351</v>
      </c>
      <c r="V20" s="2">
        <f t="shared" ref="V20:W20" si="39">I20-I$18</f>
        <v>31636.4604652002</v>
      </c>
      <c r="W20" s="2">
        <f t="shared" si="39"/>
        <v>54801.2345014298</v>
      </c>
      <c r="X20" s="1">
        <f t="shared" si="34"/>
        <v>63042.9101301573</v>
      </c>
      <c r="Y20" s="1">
        <f t="shared" si="35"/>
        <v>-5443.56647500339</v>
      </c>
    </row>
    <row r="21" customHeight="1" spans="1:25">
      <c r="A21" s="1" t="b">
        <v>1</v>
      </c>
      <c r="B21" s="1" t="s">
        <v>507</v>
      </c>
      <c r="C21" s="1"/>
      <c r="D21" s="1" t="b">
        <v>0</v>
      </c>
      <c r="E21" s="1" t="s">
        <v>517</v>
      </c>
      <c r="F21" s="1"/>
      <c r="G21" s="1"/>
      <c r="H21" s="1" t="s">
        <v>146</v>
      </c>
      <c r="I21" s="2">
        <f t="shared" si="24"/>
        <v>-19022916.7989273</v>
      </c>
      <c r="J21" s="2">
        <f t="shared" si="25"/>
        <v>-2613996.15199846</v>
      </c>
      <c r="K21" s="1">
        <f t="shared" si="31"/>
        <v>79289.0815777853</v>
      </c>
      <c r="L21" s="1">
        <f t="shared" si="36"/>
        <v>1.94617879525554</v>
      </c>
      <c r="M21" s="1">
        <f t="shared" si="37"/>
        <v>15.3041058237309</v>
      </c>
      <c r="N21" s="1">
        <f t="shared" si="26"/>
        <v>0.052591428947529</v>
      </c>
      <c r="O21" s="1">
        <f t="shared" si="27"/>
        <v>23.5230992353552</v>
      </c>
      <c r="P21" s="1">
        <f t="shared" si="28"/>
        <v>726.358627781991</v>
      </c>
      <c r="Q21" s="1">
        <f t="shared" si="29"/>
        <v>0.358627781991231</v>
      </c>
      <c r="R21" s="1">
        <f t="shared" si="30"/>
        <v>129.106001516843</v>
      </c>
      <c r="T21" s="1">
        <f t="shared" ref="T21:U21" si="40">X21+T$18</f>
        <v>-18945561.0151868</v>
      </c>
      <c r="U21" s="1">
        <f t="shared" si="40"/>
        <v>-2868296.15443657</v>
      </c>
      <c r="V21" s="2">
        <f t="shared" ref="V21:W21" si="41">I21-I$18</f>
        <v>-60740.7989272997</v>
      </c>
      <c r="W21" s="2">
        <f t="shared" si="41"/>
        <v>50963.8480015201</v>
      </c>
      <c r="X21" s="1">
        <f t="shared" si="34"/>
        <v>-1234.25450516454</v>
      </c>
      <c r="Y21" s="1">
        <f t="shared" si="35"/>
        <v>-79279.4744764695</v>
      </c>
    </row>
    <row r="22" customHeight="1" spans="1:21">
      <c r="A22" s="1" t="b">
        <v>1</v>
      </c>
      <c r="B22" s="1" t="s">
        <v>515</v>
      </c>
      <c r="C22" s="1"/>
      <c r="D22" s="1" t="b">
        <v>0</v>
      </c>
      <c r="E22" s="1" t="s">
        <v>518</v>
      </c>
      <c r="F22" s="1"/>
      <c r="G22" s="1"/>
      <c r="H22" s="1" t="s">
        <v>511</v>
      </c>
      <c r="I22" s="2">
        <f t="shared" si="24"/>
        <v>-17065957.3759999</v>
      </c>
      <c r="J22" s="2">
        <f t="shared" si="25"/>
        <v>-2398463.99999998</v>
      </c>
      <c r="K22" s="1">
        <f t="shared" ref="K22:K26" si="42">SQRT(I22^2+J22^2)</f>
        <v>17233674.3243785</v>
      </c>
      <c r="R22" s="1">
        <f t="shared" ref="R22:R26" si="43">R$18</f>
        <v>0.375022663024396</v>
      </c>
      <c r="T22" s="1">
        <f t="shared" ref="T22:T26" si="44">(I22*COS(RADIANS(R22)))-(J22*SIN(RADIANS(R22)))</f>
        <v>-17049893.0606354</v>
      </c>
      <c r="U22" s="1">
        <f t="shared" ref="U22:U26" si="45">(J22*COS(RADIANS(R22)))+(I22*SIN(RADIANS(R22)))</f>
        <v>-2510115.00526166</v>
      </c>
    </row>
    <row r="23" customHeight="1" spans="1:21">
      <c r="A23" s="1" t="b">
        <v>1</v>
      </c>
      <c r="B23" s="1" t="s">
        <v>516</v>
      </c>
      <c r="C23" s="1"/>
      <c r="D23" s="1" t="b">
        <v>1</v>
      </c>
      <c r="E23" s="1" t="s">
        <v>395</v>
      </c>
      <c r="F23" s="1"/>
      <c r="G23" s="1"/>
      <c r="H23" s="1" t="s">
        <v>513</v>
      </c>
      <c r="I23" s="2">
        <f t="shared" si="24"/>
        <v>-20858376.4854332</v>
      </c>
      <c r="J23" s="2">
        <f t="shared" si="25"/>
        <v>-2931474.40205844</v>
      </c>
      <c r="K23" s="1">
        <f t="shared" si="42"/>
        <v>21063366.5822441</v>
      </c>
      <c r="R23" s="1">
        <f t="shared" si="43"/>
        <v>0.375022663024396</v>
      </c>
      <c r="T23" s="1">
        <f t="shared" si="44"/>
        <v>-20838742.2021021</v>
      </c>
      <c r="U23" s="1">
        <f t="shared" si="45"/>
        <v>-3067936.63759983</v>
      </c>
    </row>
    <row r="24" customHeight="1" spans="1:21">
      <c r="A24" s="1" t="b">
        <v>1</v>
      </c>
      <c r="B24" s="1" t="s">
        <v>146</v>
      </c>
      <c r="C24" s="1"/>
      <c r="D24" s="1" t="b">
        <v>1</v>
      </c>
      <c r="E24" s="1" t="s">
        <v>519</v>
      </c>
      <c r="F24" s="1"/>
      <c r="G24" s="1"/>
      <c r="H24" s="1" t="s">
        <v>514</v>
      </c>
      <c r="I24" s="2">
        <f t="shared" si="24"/>
        <v>18962164.826094</v>
      </c>
      <c r="J24" s="2">
        <f t="shared" si="25"/>
        <v>2664965.04050172</v>
      </c>
      <c r="K24" s="1">
        <f t="shared" si="42"/>
        <v>19148517.7901333</v>
      </c>
      <c r="R24" s="1">
        <f t="shared" si="43"/>
        <v>0.375022663024396</v>
      </c>
      <c r="T24" s="1">
        <f t="shared" si="44"/>
        <v>18944315.5540233</v>
      </c>
      <c r="U24" s="1">
        <f t="shared" si="45"/>
        <v>2789021.64721692</v>
      </c>
    </row>
    <row r="25" customHeight="1" spans="1:21">
      <c r="A25" s="1" t="b">
        <v>1</v>
      </c>
      <c r="B25" s="1" t="s">
        <v>520</v>
      </c>
      <c r="C25" s="1"/>
      <c r="D25" s="1" t="b">
        <v>1</v>
      </c>
      <c r="E25" s="1" t="s">
        <v>399</v>
      </c>
      <c r="F25" s="1"/>
      <c r="G25" s="1"/>
      <c r="H25" s="1" t="s">
        <v>387</v>
      </c>
      <c r="I25" s="2">
        <f t="shared" si="24"/>
        <v>-7173168.63999999</v>
      </c>
      <c r="J25" s="2">
        <f t="shared" si="25"/>
        <v>-17754204.16</v>
      </c>
      <c r="K25" s="1">
        <f t="shared" si="42"/>
        <v>19148527.7160632</v>
      </c>
      <c r="R25" s="1">
        <f t="shared" si="43"/>
        <v>0.375022663024396</v>
      </c>
      <c r="T25" s="1">
        <f t="shared" si="44"/>
        <v>-7056807.79678184</v>
      </c>
      <c r="U25" s="1">
        <f t="shared" si="45"/>
        <v>-17800774.6295525</v>
      </c>
    </row>
    <row r="26" customHeight="1" spans="1:21">
      <c r="A26" s="1" t="b">
        <v>1</v>
      </c>
      <c r="B26" s="1" t="s">
        <v>521</v>
      </c>
      <c r="C26" s="1"/>
      <c r="D26" s="1" t="b">
        <v>0</v>
      </c>
      <c r="E26" s="1" t="s">
        <v>522</v>
      </c>
      <c r="H26" s="1" t="s">
        <v>389</v>
      </c>
      <c r="I26" s="2">
        <f t="shared" si="24"/>
        <v>-11789008.9882602</v>
      </c>
      <c r="J26" s="2">
        <f t="shared" si="25"/>
        <v>15089246.1067637</v>
      </c>
      <c r="K26" s="1">
        <f t="shared" si="42"/>
        <v>19148526.8622879</v>
      </c>
      <c r="R26" s="1">
        <f t="shared" si="43"/>
        <v>0.375022663024396</v>
      </c>
      <c r="T26" s="1">
        <f t="shared" si="44"/>
        <v>-11887520.6048674</v>
      </c>
      <c r="U26" s="1">
        <f t="shared" si="45"/>
        <v>15011759.8856569</v>
      </c>
    </row>
    <row r="27" customHeight="1" spans="1:7">
      <c r="A27" s="1" t="b">
        <v>1</v>
      </c>
      <c r="B27" s="1" t="s">
        <v>523</v>
      </c>
      <c r="C27" s="1"/>
      <c r="D27" s="1" t="b">
        <v>0</v>
      </c>
      <c r="E27" s="1" t="s">
        <v>524</v>
      </c>
      <c r="F27" s="1"/>
      <c r="G27" s="1"/>
    </row>
    <row r="28" customHeight="1" spans="1:21">
      <c r="A28" s="1" t="b">
        <v>1</v>
      </c>
      <c r="B28" s="1" t="s">
        <v>525</v>
      </c>
      <c r="C28" s="1"/>
      <c r="D28" s="1" t="b">
        <v>1</v>
      </c>
      <c r="E28" s="1" t="s">
        <v>405</v>
      </c>
      <c r="F28" s="1"/>
      <c r="G28" s="1"/>
      <c r="H28" s="1" t="s">
        <v>510</v>
      </c>
      <c r="I28" s="2">
        <f>VLOOKUP(CONCATENATE(H28," R00"),Database,6,FALSE)</f>
        <v>-10531703.4784293</v>
      </c>
      <c r="J28" s="2">
        <f>VLOOKUP(CONCATENATE(H28," R00"),Database,7,FALSE)</f>
        <v>18241438.6638409</v>
      </c>
      <c r="K28" s="1">
        <f>SQRT(I28^2+J28^2)</f>
        <v>21063401.0236768</v>
      </c>
      <c r="L28" s="1">
        <f>SQRT((K28^3)/(K$7^3))*$L$7</f>
        <v>2.0985285432373</v>
      </c>
      <c r="M28" s="1">
        <f>L28*$M$7</f>
        <v>610.671806082054</v>
      </c>
      <c r="N28" s="1">
        <f>M28/291</f>
        <v>2.0985285432373</v>
      </c>
      <c r="O28" s="1">
        <f>360/M28</f>
        <v>0.589514689256225</v>
      </c>
      <c r="P28" s="1">
        <f>$B$2/M28</f>
        <v>18.2033445704253</v>
      </c>
      <c r="Q28" s="1">
        <f>MOD(P28,1)</f>
        <v>0.20334457042528</v>
      </c>
      <c r="R28" s="1">
        <f>Q28*360</f>
        <v>73.2040453531008</v>
      </c>
      <c r="T28" s="3">
        <f>(I28*COS(RADIANS(R28)))-(J28*SIN(RADIANS(R28)))</f>
        <v>-20506542.4279585</v>
      </c>
      <c r="U28" s="3">
        <f>(J28*COS(RADIANS(R28)))+(I28*SIN(RADIANS(R28)))</f>
        <v>-4811297.15716754</v>
      </c>
    </row>
    <row r="29" customHeight="1" spans="1:8">
      <c r="A29" s="1" t="b">
        <v>1</v>
      </c>
      <c r="B29" s="1" t="s">
        <v>526</v>
      </c>
      <c r="C29" s="1"/>
      <c r="D29" s="1" t="b">
        <v>1</v>
      </c>
      <c r="E29" s="1" t="s">
        <v>407</v>
      </c>
      <c r="F29" s="1"/>
      <c r="G29" s="1"/>
      <c r="H29" s="1"/>
    </row>
    <row r="30" customHeight="1" spans="4:21">
      <c r="D30" s="1" t="b">
        <v>1</v>
      </c>
      <c r="E30" s="1" t="s">
        <v>527</v>
      </c>
      <c r="F30" s="1"/>
      <c r="G30" s="1"/>
      <c r="H30" s="1" t="s">
        <v>509</v>
      </c>
      <c r="I30" s="2">
        <f t="shared" ref="I30:I37" si="46">VLOOKUP(CONCATENATE(H30," R00"),Database,6,FALSE)</f>
        <v>18587664.7398559</v>
      </c>
      <c r="J30" s="2">
        <f t="shared" ref="J30:J37" si="47">VLOOKUP(CONCATENATE(H30," R00"),Database,7,FALSE)</f>
        <v>-22151916.9203125</v>
      </c>
      <c r="K30" s="1">
        <f>SQRT(I30^2+J30^2)</f>
        <v>28917273.4490254</v>
      </c>
      <c r="L30" s="1">
        <f>SQRT((K30^3)/(K$7^3))*$L$7</f>
        <v>3.3756557354168</v>
      </c>
      <c r="M30" s="1">
        <f>L30*$M$7</f>
        <v>982.31581900629</v>
      </c>
      <c r="N30" s="1">
        <f t="shared" ref="N30:N32" si="48">M30/291</f>
        <v>3.3756557354168</v>
      </c>
      <c r="O30" s="1">
        <f t="shared" ref="O30:O32" si="49">360/M30</f>
        <v>0.366480914828569</v>
      </c>
      <c r="P30" s="1">
        <f t="shared" ref="P30:P32" si="50">$B$2/M30</f>
        <v>11.3163904016132</v>
      </c>
      <c r="Q30" s="1">
        <f t="shared" ref="Q30:Q32" si="51">MOD(P30,1)</f>
        <v>0.316390401613168</v>
      </c>
      <c r="R30" s="1">
        <f t="shared" ref="R30:R32" si="52">Q30*360</f>
        <v>113.90054458074</v>
      </c>
      <c r="T30" s="3">
        <f>(I30*COS(RADIANS(R30)))-(J30*SIN(RADIANS(R30)))</f>
        <v>12721594.849019</v>
      </c>
      <c r="U30" s="3">
        <f>(J30*COS(RADIANS(R30)))+(I30*SIN(RADIANS(R30)))</f>
        <v>25968629.6947514</v>
      </c>
    </row>
    <row r="31" customHeight="1" spans="6:25">
      <c r="F31" s="1"/>
      <c r="G31" s="1"/>
      <c r="H31" s="1" t="s">
        <v>520</v>
      </c>
      <c r="I31" s="2">
        <f t="shared" si="46"/>
        <v>18703607.1715559</v>
      </c>
      <c r="J31" s="2">
        <f t="shared" si="47"/>
        <v>-22121650.1338641</v>
      </c>
      <c r="K31" s="1">
        <f t="shared" ref="K31:K32" si="53">SQRT((I31-I$30)^2+(J31-J$30)^2)</f>
        <v>119827.900884652</v>
      </c>
      <c r="L31" s="1">
        <v>1</v>
      </c>
      <c r="M31" s="3">
        <v>63.44</v>
      </c>
      <c r="N31" s="1">
        <f t="shared" si="48"/>
        <v>0.218006872852234</v>
      </c>
      <c r="O31" s="1">
        <f t="shared" si="49"/>
        <v>5.67465321563682</v>
      </c>
      <c r="P31" s="1">
        <f t="shared" si="50"/>
        <v>175.224926001822</v>
      </c>
      <c r="Q31" s="1">
        <f t="shared" si="51"/>
        <v>0.22492600182153</v>
      </c>
      <c r="R31" s="1">
        <f t="shared" si="52"/>
        <v>80.9733606557506</v>
      </c>
      <c r="T31" s="1">
        <f t="shared" ref="T31:U31" si="54">X31+T$30</f>
        <v>12709893.5349745</v>
      </c>
      <c r="U31" s="1">
        <f t="shared" si="54"/>
        <v>26087884.9046168</v>
      </c>
      <c r="V31" s="2">
        <f t="shared" ref="V31:W31" si="55">I31-I$30</f>
        <v>115942.431699999</v>
      </c>
      <c r="W31" s="2">
        <f t="shared" si="55"/>
        <v>30266.7864484005</v>
      </c>
      <c r="X31" s="1">
        <f t="shared" ref="X31:X32" si="56">(V31*COS(RADIANS(R31)))-(W31*SIN(RADIANS(R31)))</f>
        <v>-11701.3140444449</v>
      </c>
      <c r="Y31" s="1">
        <f t="shared" ref="Y31:Y32" si="57">(W31*COS(RADIANS(R31)))+(V31*SIN(RADIANS(R31)))</f>
        <v>119255.209865462</v>
      </c>
    </row>
    <row r="32" customHeight="1" spans="3:25">
      <c r="C32" s="1"/>
      <c r="D32" s="1"/>
      <c r="E32" s="1"/>
      <c r="F32" s="1"/>
      <c r="G32" s="1"/>
      <c r="H32" s="1" t="s">
        <v>521</v>
      </c>
      <c r="I32" s="2">
        <f t="shared" si="46"/>
        <v>18379649.3098674</v>
      </c>
      <c r="J32" s="2">
        <f t="shared" si="47"/>
        <v>-22000466.7680382</v>
      </c>
      <c r="K32" s="1">
        <f t="shared" si="53"/>
        <v>257308.312608066</v>
      </c>
      <c r="L32" s="1">
        <f>SQRT((K32^3)/(K$31^3))*$L$31</f>
        <v>3.14661637110512</v>
      </c>
      <c r="M32" s="1">
        <f>L32*$M$31</f>
        <v>199.621342582909</v>
      </c>
      <c r="N32" s="1">
        <f t="shared" si="48"/>
        <v>0.685983995130271</v>
      </c>
      <c r="O32" s="1">
        <f t="shared" si="49"/>
        <v>1.80341438115757</v>
      </c>
      <c r="P32" s="1">
        <f t="shared" si="50"/>
        <v>55.6867775846093</v>
      </c>
      <c r="Q32" s="1">
        <f t="shared" si="51"/>
        <v>0.686777584609331</v>
      </c>
      <c r="R32" s="1">
        <f t="shared" si="52"/>
        <v>247.239930459359</v>
      </c>
      <c r="T32" s="1">
        <f t="shared" ref="T32:U32" si="58">X32+T$30</f>
        <v>12941727.5909778</v>
      </c>
      <c r="U32" s="1">
        <f t="shared" si="58"/>
        <v>26101855.6068515</v>
      </c>
      <c r="V32" s="2">
        <f t="shared" ref="V32:W32" si="59">I32-I$30</f>
        <v>-208015.4299885</v>
      </c>
      <c r="W32" s="2">
        <f t="shared" si="59"/>
        <v>151450.152274303</v>
      </c>
      <c r="X32" s="1">
        <f t="shared" si="56"/>
        <v>220132.741958828</v>
      </c>
      <c r="Y32" s="1">
        <f t="shared" si="57"/>
        <v>133225.912100079</v>
      </c>
    </row>
    <row r="33" customHeight="1" spans="3:21">
      <c r="C33" s="1"/>
      <c r="D33" s="1"/>
      <c r="E33" s="1"/>
      <c r="F33" s="1"/>
      <c r="G33" s="1"/>
      <c r="H33" s="1" t="s">
        <v>517</v>
      </c>
      <c r="I33" s="2">
        <f t="shared" si="46"/>
        <v>16729134.6373846</v>
      </c>
      <c r="J33" s="2">
        <f t="shared" si="47"/>
        <v>-19937006.9248913</v>
      </c>
      <c r="K33" s="1">
        <f t="shared" ref="K33:K37" si="60">SQRT(I33^2+J33^2)</f>
        <v>26025913.8329263</v>
      </c>
      <c r="R33" s="1">
        <f t="shared" ref="R33:R37" si="61">R$30</f>
        <v>113.90054458074</v>
      </c>
      <c r="T33" s="3">
        <f t="shared" ref="T33:T37" si="62">(I33*COS(RADIANS(R33)))-(J33*SIN(RADIANS(R33)))</f>
        <v>11449597.1392879</v>
      </c>
      <c r="U33" s="3">
        <f t="shared" ref="U33:U37" si="63">(J33*COS(RADIANS(R33)))+(I33*SIN(RADIANS(R33)))</f>
        <v>23372096.9574173</v>
      </c>
    </row>
    <row r="34" customHeight="1" spans="3:21">
      <c r="C34" s="1"/>
      <c r="D34" s="1"/>
      <c r="E34" s="1"/>
      <c r="F34" s="1"/>
      <c r="G34" s="1"/>
      <c r="H34" s="1" t="s">
        <v>518</v>
      </c>
      <c r="I34" s="2">
        <f t="shared" si="46"/>
        <v>20446718.5033901</v>
      </c>
      <c r="J34" s="2">
        <f t="shared" si="47"/>
        <v>-24367450.990706</v>
      </c>
      <c r="K34" s="1">
        <f t="shared" si="60"/>
        <v>31809447.737132</v>
      </c>
      <c r="R34" s="1">
        <f t="shared" si="61"/>
        <v>113.90054458074</v>
      </c>
      <c r="T34" s="3">
        <f t="shared" si="62"/>
        <v>13993950.9579343</v>
      </c>
      <c r="U34" s="3">
        <f t="shared" si="63"/>
        <v>28565894.0334145</v>
      </c>
    </row>
    <row r="35" customHeight="1" spans="3:21">
      <c r="C35" s="1"/>
      <c r="D35" s="1"/>
      <c r="E35" s="1"/>
      <c r="F35" s="1"/>
      <c r="G35" s="1"/>
      <c r="H35" s="1" t="s">
        <v>395</v>
      </c>
      <c r="I35" s="2">
        <f t="shared" si="46"/>
        <v>-25043446.8835029</v>
      </c>
      <c r="J35" s="2">
        <f t="shared" si="47"/>
        <v>14458841.787628</v>
      </c>
      <c r="K35" s="1">
        <f t="shared" si="60"/>
        <v>28917682.0932538</v>
      </c>
      <c r="R35" s="1">
        <f t="shared" si="61"/>
        <v>113.90054458074</v>
      </c>
      <c r="T35" s="3">
        <f t="shared" si="62"/>
        <v>-3072638.18505766</v>
      </c>
      <c r="U35" s="3">
        <f t="shared" si="63"/>
        <v>-28753977.6766661</v>
      </c>
    </row>
    <row r="36" customHeight="1" spans="3:21">
      <c r="C36" s="1"/>
      <c r="D36" s="1"/>
      <c r="E36" s="1"/>
      <c r="F36" s="1"/>
      <c r="G36" s="1"/>
      <c r="H36" s="1" t="s">
        <v>519</v>
      </c>
      <c r="I36" s="2">
        <f t="shared" si="46"/>
        <v>28478354.9156557</v>
      </c>
      <c r="J36" s="2">
        <f t="shared" si="47"/>
        <v>5021502.48291174</v>
      </c>
      <c r="K36" s="1">
        <f t="shared" si="60"/>
        <v>28917679.4692786</v>
      </c>
      <c r="R36" s="1">
        <f t="shared" si="61"/>
        <v>113.90054458074</v>
      </c>
      <c r="T36" s="3">
        <f t="shared" si="62"/>
        <v>-16128922.5376345</v>
      </c>
      <c r="U36" s="3">
        <f t="shared" si="63"/>
        <v>24001875.8363367</v>
      </c>
    </row>
    <row r="37" customHeight="1" spans="8:21">
      <c r="H37" s="1" t="s">
        <v>399</v>
      </c>
      <c r="I37" s="2">
        <f t="shared" si="46"/>
        <v>-9890422.51616967</v>
      </c>
      <c r="J37" s="2">
        <f t="shared" si="47"/>
        <v>-27173732.2251399</v>
      </c>
      <c r="K37" s="1">
        <f t="shared" si="60"/>
        <v>28917679.3777088</v>
      </c>
      <c r="R37" s="1">
        <f t="shared" si="61"/>
        <v>113.90054458074</v>
      </c>
      <c r="T37" s="3">
        <f t="shared" si="62"/>
        <v>28850694.9417494</v>
      </c>
      <c r="U37" s="3">
        <f t="shared" si="63"/>
        <v>1967125.30614509</v>
      </c>
    </row>
    <row r="38" customHeight="1" spans="3:7">
      <c r="C38" s="1"/>
      <c r="D38" s="1"/>
      <c r="E38" s="1"/>
      <c r="F38" s="1"/>
      <c r="G38" s="1"/>
    </row>
    <row r="39" customHeight="1" spans="3:21">
      <c r="C39" s="1"/>
      <c r="D39" s="1"/>
      <c r="E39" s="1"/>
      <c r="F39" s="1"/>
      <c r="G39" s="1"/>
      <c r="H39" s="1" t="s">
        <v>1</v>
      </c>
      <c r="I39" s="2">
        <f t="shared" ref="I39:I47" si="64">VLOOKUP(CONCATENATE(H39," R00"),Database,6,FALSE)</f>
        <v>22462085.2524846</v>
      </c>
      <c r="J39" s="2">
        <f t="shared" ref="J39:J47" si="65">VLOOKUP(CONCATENATE(H39," R00"),Database,7,FALSE)</f>
        <v>37185744.9648301</v>
      </c>
      <c r="K39" s="1">
        <f>SQRT(I39^2+J39^2)</f>
        <v>43443352.7997008</v>
      </c>
      <c r="L39" s="1">
        <f>SQRT((K39^3)/(K$7^3))*$L$7</f>
        <v>6.21594465393656</v>
      </c>
      <c r="M39" s="1">
        <f>L39*$M$7</f>
        <v>1808.83989429554</v>
      </c>
      <c r="N39" s="1">
        <f t="shared" ref="N39:N42" si="66">M39/291</f>
        <v>6.21594465393656</v>
      </c>
      <c r="O39" s="1">
        <f t="shared" ref="O39:O42" si="67">360/M39</f>
        <v>0.199022589636218</v>
      </c>
      <c r="P39" s="1">
        <f t="shared" ref="P39:P42" si="68">$B$2/M39</f>
        <v>6.14552417857017</v>
      </c>
      <c r="Q39" s="1">
        <f t="shared" ref="Q39:Q42" si="69">MOD(P39,1)</f>
        <v>0.145524178570173</v>
      </c>
      <c r="R39" s="1">
        <f t="shared" ref="R39:R42" si="70">Q39*360</f>
        <v>52.3887042852622</v>
      </c>
      <c r="T39" s="3">
        <f>(I39*COS(RADIANS(R39)))-(J39*SIN(RADIANS(R39)))</f>
        <v>-15748766.0734652</v>
      </c>
      <c r="U39" s="3">
        <f>(J39*COS(RADIANS(R39)))+(I39*SIN(RADIANS(R39)))</f>
        <v>40488285.5853708</v>
      </c>
    </row>
    <row r="40" customHeight="1" spans="3:25">
      <c r="C40" s="1"/>
      <c r="D40" s="1"/>
      <c r="E40" s="1"/>
      <c r="F40" s="1"/>
      <c r="G40" s="1"/>
      <c r="H40" s="1" t="s">
        <v>523</v>
      </c>
      <c r="I40" s="2">
        <f t="shared" si="64"/>
        <v>22398369.3082472</v>
      </c>
      <c r="J40" s="2">
        <f t="shared" si="65"/>
        <v>37168840.6790112</v>
      </c>
      <c r="K40" s="1">
        <f t="shared" ref="K40:K42" si="71">SQRT((I40-I$39)^2+(J40-J$39)^2)</f>
        <v>65920.2277689513</v>
      </c>
      <c r="L40" s="1">
        <v>1</v>
      </c>
      <c r="M40" s="1">
        <v>31</v>
      </c>
      <c r="N40" s="1">
        <f t="shared" si="66"/>
        <v>0.106529209621993</v>
      </c>
      <c r="O40" s="1">
        <f t="shared" si="67"/>
        <v>11.6129032258065</v>
      </c>
      <c r="P40" s="1">
        <f t="shared" si="68"/>
        <v>358.589332437276</v>
      </c>
      <c r="Q40" s="1">
        <f t="shared" si="69"/>
        <v>0.589332437276028</v>
      </c>
      <c r="R40" s="1">
        <f t="shared" si="70"/>
        <v>212.15967741937</v>
      </c>
      <c r="T40" s="1">
        <f t="shared" ref="T40:U40" si="72">X40+T$39</f>
        <v>-15703824.0194415</v>
      </c>
      <c r="U40" s="1">
        <f t="shared" si="72"/>
        <v>40536510.9750451</v>
      </c>
      <c r="V40" s="2">
        <f t="shared" ref="V40:W40" si="73">I40-I$39</f>
        <v>-63715.9442373998</v>
      </c>
      <c r="W40" s="2">
        <f t="shared" si="73"/>
        <v>-16904.2858188972</v>
      </c>
      <c r="X40" s="1">
        <f t="shared" ref="X40:X42" si="74">(V40*COS(RADIANS(R40)))-(W40*SIN(RADIANS(R40)))</f>
        <v>44942.0540237034</v>
      </c>
      <c r="Y40" s="1">
        <f t="shared" ref="Y40:Y42" si="75">(W40*COS(RADIANS(R40)))+(V40*SIN(RADIANS(R40)))</f>
        <v>48225.3896743296</v>
      </c>
    </row>
    <row r="41" customHeight="1" spans="3:25">
      <c r="C41" s="1"/>
      <c r="D41" s="1"/>
      <c r="E41" s="1"/>
      <c r="F41" s="1"/>
      <c r="G41" s="1"/>
      <c r="H41" s="1" t="s">
        <v>525</v>
      </c>
      <c r="I41" s="2">
        <f t="shared" si="64"/>
        <v>22476728.22051</v>
      </c>
      <c r="J41" s="2">
        <f t="shared" si="65"/>
        <v>37091020.0743755</v>
      </c>
      <c r="K41" s="1">
        <f t="shared" si="71"/>
        <v>95849.9941795948</v>
      </c>
      <c r="L41" s="1">
        <f t="shared" ref="L41:L42" si="76">SQRT((K41^3)/(K$40^3))*$L$40</f>
        <v>1.75331556133451</v>
      </c>
      <c r="M41" s="1">
        <f t="shared" ref="M41:M42" si="77">L41*$M$40</f>
        <v>54.3527824013699</v>
      </c>
      <c r="N41" s="1">
        <f t="shared" si="66"/>
        <v>0.186779320966907</v>
      </c>
      <c r="O41" s="1">
        <f t="shared" si="67"/>
        <v>6.62339597155428</v>
      </c>
      <c r="P41" s="1">
        <f t="shared" si="68"/>
        <v>204.520703714248</v>
      </c>
      <c r="Q41" s="1">
        <f t="shared" si="69"/>
        <v>0.520703714247844</v>
      </c>
      <c r="R41" s="1">
        <f t="shared" si="70"/>
        <v>187.453337129224</v>
      </c>
      <c r="T41" s="1">
        <f t="shared" ref="T41:U41" si="78">X41+T$39</f>
        <v>-15775572.9098961</v>
      </c>
      <c r="U41" s="1">
        <f t="shared" si="78"/>
        <v>40580310.6629573</v>
      </c>
      <c r="V41" s="2">
        <f t="shared" ref="V41:W41" si="79">I41-I$39</f>
        <v>14642.9680253975</v>
      </c>
      <c r="W41" s="2">
        <f t="shared" si="79"/>
        <v>-94724.8904545978</v>
      </c>
      <c r="X41" s="1">
        <f t="shared" si="74"/>
        <v>-26806.8364308744</v>
      </c>
      <c r="Y41" s="1">
        <f t="shared" si="75"/>
        <v>92025.0775864748</v>
      </c>
    </row>
    <row r="42" customHeight="1" spans="1:25">
      <c r="A42" s="1"/>
      <c r="B42" s="1"/>
      <c r="C42" s="1"/>
      <c r="D42" s="1"/>
      <c r="E42" s="1"/>
      <c r="F42" s="1"/>
      <c r="G42" s="1"/>
      <c r="H42" s="1" t="s">
        <v>526</v>
      </c>
      <c r="I42" s="2">
        <f t="shared" si="64"/>
        <v>22488109.735701</v>
      </c>
      <c r="J42" s="2">
        <f t="shared" si="65"/>
        <v>37081123.5646791</v>
      </c>
      <c r="K42" s="1">
        <f t="shared" si="71"/>
        <v>107809.605769783</v>
      </c>
      <c r="L42" s="1">
        <f t="shared" si="76"/>
        <v>2.09150129590399</v>
      </c>
      <c r="M42" s="1">
        <f t="shared" si="77"/>
        <v>64.8365401730238</v>
      </c>
      <c r="N42" s="1">
        <f t="shared" si="66"/>
        <v>0.222805979976027</v>
      </c>
      <c r="O42" s="1">
        <f t="shared" si="67"/>
        <v>5.55242459019711</v>
      </c>
      <c r="P42" s="1">
        <f t="shared" si="68"/>
        <v>171.450686231722</v>
      </c>
      <c r="Q42" s="1">
        <f t="shared" si="69"/>
        <v>0.450686231722216</v>
      </c>
      <c r="R42" s="1">
        <f t="shared" si="70"/>
        <v>162.247043419998</v>
      </c>
      <c r="T42" s="1">
        <f t="shared" ref="T42:U42" si="80">X42+T$39</f>
        <v>-15741650.8010706</v>
      </c>
      <c r="U42" s="1">
        <f t="shared" si="80"/>
        <v>40595860.1362413</v>
      </c>
      <c r="V42" s="2">
        <f t="shared" ref="V42:W42" si="81">I42-I$39</f>
        <v>26024.4832163975</v>
      </c>
      <c r="W42" s="2">
        <f t="shared" si="81"/>
        <v>-104621.400150999</v>
      </c>
      <c r="X42" s="1">
        <f t="shared" si="74"/>
        <v>7115.27239460944</v>
      </c>
      <c r="Y42" s="1">
        <f t="shared" si="75"/>
        <v>107574.550870485</v>
      </c>
    </row>
    <row r="43" customHeight="1" spans="8:21">
      <c r="H43" s="1" t="s">
        <v>522</v>
      </c>
      <c r="I43" s="2">
        <f t="shared" si="64"/>
        <v>20215824.238186</v>
      </c>
      <c r="J43" s="2">
        <f t="shared" si="65"/>
        <v>33467065.0076147</v>
      </c>
      <c r="K43" s="1">
        <f t="shared" ref="K43:K47" si="82">SQRT(I43^2+J43^2)</f>
        <v>39098900.1105292</v>
      </c>
      <c r="R43" s="1">
        <f t="shared" ref="R43:R47" si="83">R$39</f>
        <v>52.3887042852622</v>
      </c>
      <c r="T43" s="3">
        <f t="shared" ref="T43:T47" si="84">(I43*COS(RADIANS(R43)))-(J43*SIN(RADIANS(R43)))</f>
        <v>-14173837.9574981</v>
      </c>
      <c r="U43" s="3">
        <f t="shared" ref="U43:U47" si="85">(J43*COS(RADIANS(R43)))+(I43*SIN(RADIANS(R43)))</f>
        <v>36439351.0837902</v>
      </c>
    </row>
    <row r="44" customHeight="1" spans="2:21">
      <c r="B44" s="1"/>
      <c r="H44" s="1" t="s">
        <v>524</v>
      </c>
      <c r="I44" s="2">
        <f t="shared" si="64"/>
        <v>24708827.1534754</v>
      </c>
      <c r="J44" s="2">
        <f t="shared" si="65"/>
        <v>40905202.4592227</v>
      </c>
      <c r="K44" s="1">
        <f t="shared" si="82"/>
        <v>47788719.6682473</v>
      </c>
      <c r="R44" s="1">
        <f t="shared" si="83"/>
        <v>52.3887042852622</v>
      </c>
      <c r="T44" s="3">
        <f t="shared" si="84"/>
        <v>-17324016.6447469</v>
      </c>
      <c r="U44" s="3">
        <f t="shared" si="85"/>
        <v>44538075.5626335</v>
      </c>
    </row>
    <row r="45" customHeight="1" spans="2:21">
      <c r="B45" s="1"/>
      <c r="H45" s="1" t="s">
        <v>405</v>
      </c>
      <c r="I45" s="2">
        <f t="shared" si="64"/>
        <v>-22457170.2657861</v>
      </c>
      <c r="J45" s="2">
        <f t="shared" si="65"/>
        <v>-37187612.39564</v>
      </c>
      <c r="K45" s="1">
        <f t="shared" si="82"/>
        <v>43442410.2926491</v>
      </c>
      <c r="R45" s="1">
        <f t="shared" si="83"/>
        <v>52.3887042852622</v>
      </c>
      <c r="T45" s="3">
        <f t="shared" si="84"/>
        <v>15753245.0179131</v>
      </c>
      <c r="U45" s="3">
        <f t="shared" si="85"/>
        <v>-40485531.7791487</v>
      </c>
    </row>
    <row r="46" customHeight="1" spans="2:21">
      <c r="B46" s="1"/>
      <c r="H46" s="1" t="s">
        <v>407</v>
      </c>
      <c r="I46" s="2">
        <f t="shared" si="64"/>
        <v>-20971933.2301658</v>
      </c>
      <c r="J46" s="2">
        <f t="shared" si="65"/>
        <v>38045504.0320193</v>
      </c>
      <c r="K46" s="1">
        <f t="shared" si="82"/>
        <v>43442863.1706168</v>
      </c>
      <c r="R46" s="1">
        <f t="shared" si="83"/>
        <v>52.3887042852622</v>
      </c>
      <c r="T46" s="3">
        <f t="shared" si="84"/>
        <v>-42937680.9571889</v>
      </c>
      <c r="U46" s="3">
        <f t="shared" si="85"/>
        <v>6605899.9749912</v>
      </c>
    </row>
    <row r="47" customHeight="1" spans="2:21">
      <c r="B47" s="1"/>
      <c r="H47" s="1" t="s">
        <v>527</v>
      </c>
      <c r="I47" s="2">
        <f t="shared" si="64"/>
        <v>43435204.2882185</v>
      </c>
      <c r="J47" s="2">
        <f t="shared" si="65"/>
        <v>-851406.955908429</v>
      </c>
      <c r="K47" s="1">
        <f t="shared" si="82"/>
        <v>43443548.029182</v>
      </c>
      <c r="R47" s="1">
        <f t="shared" si="83"/>
        <v>52.3887042852622</v>
      </c>
      <c r="T47" s="3">
        <f t="shared" si="84"/>
        <v>27183022.2959866</v>
      </c>
      <c r="U47" s="3">
        <f t="shared" si="85"/>
        <v>33888422.2739823</v>
      </c>
    </row>
    <row r="48" customHeight="1" spans="2:2">
      <c r="B48" s="1"/>
    </row>
    <row r="49" customHeight="1" spans="2:2">
      <c r="B49" s="1"/>
    </row>
    <row r="50" customHeight="1" spans="2:2">
      <c r="B50" s="1"/>
    </row>
    <row r="51" customHeight="1" spans="2:2">
      <c r="B51" s="1"/>
    </row>
    <row r="52" customHeight="1" spans="2:2">
      <c r="B52" s="1"/>
    </row>
    <row r="53" customHeight="1" spans="2:2">
      <c r="B53" s="1" t="s">
        <v>528</v>
      </c>
    </row>
    <row r="54" customHeight="1" spans="2:9">
      <c r="B54" s="1" t="s">
        <v>10</v>
      </c>
      <c r="C54" s="1">
        <v>0</v>
      </c>
      <c r="D54" s="1">
        <v>0</v>
      </c>
      <c r="G54" s="1" t="s">
        <v>498</v>
      </c>
      <c r="H54" s="1">
        <v>0</v>
      </c>
      <c r="I54" s="1">
        <v>0</v>
      </c>
    </row>
    <row r="55" customHeight="1" spans="2:9">
      <c r="B55" s="1" t="str">
        <f t="shared" ref="B55:B59" si="86">IF(A11,B11,"")</f>
        <v>Hurston</v>
      </c>
      <c r="C55" s="1">
        <f t="shared" ref="C55:C59" si="87">IF(A11,VLOOKUP(B55,$H$5:$Y$47,13,FALSE)/1000000,"")</f>
        <v>3.95271661451917</v>
      </c>
      <c r="D55" s="1">
        <f t="shared" ref="D55:D59" si="88">IF(A11,VLOOKUP(B55,$H$5:$Y$47,14,FALSE)/1000000,"")</f>
        <v>12.2274395874336</v>
      </c>
      <c r="G55" s="1" t="str">
        <f t="shared" ref="G55:G58" si="89">IF(A18,B18,"")</f>
        <v>Arial</v>
      </c>
      <c r="H55" s="1">
        <f t="shared" ref="H55:H58" si="90">IF(A18,VLOOKUP(G55,$H$5:$Y$43,17,FALSE)/1000000,"")</f>
        <v>0.050531142936385</v>
      </c>
      <c r="I55" s="1">
        <f t="shared" ref="I55:I58" si="91">IF(A18,VLOOKUP(G55,$H$5:$Y$43,18,FALSE)/1000000,"")</f>
        <v>0.0148175288731741</v>
      </c>
    </row>
    <row r="56" customHeight="1" spans="2:9">
      <c r="B56" s="1" t="str">
        <f t="shared" si="86"/>
        <v>Crusader</v>
      </c>
      <c r="C56" s="1">
        <f t="shared" si="87"/>
        <v>-18.9443267606817</v>
      </c>
      <c r="D56" s="1">
        <f t="shared" si="88"/>
        <v>-2.7890166799601</v>
      </c>
      <c r="G56" s="1" t="str">
        <f t="shared" si="89"/>
        <v>Aberdeen</v>
      </c>
      <c r="H56" s="1">
        <f t="shared" si="90"/>
        <v>-0.0669268473501523</v>
      </c>
      <c r="I56" s="1">
        <f t="shared" si="91"/>
        <v>-0.0160095074639016</v>
      </c>
    </row>
    <row r="57" customHeight="1" spans="2:9">
      <c r="B57" s="1" t="str">
        <f t="shared" si="86"/>
        <v>ArcCorp</v>
      </c>
      <c r="C57" s="1">
        <f t="shared" si="87"/>
        <v>12.721594849019</v>
      </c>
      <c r="D57" s="1">
        <f t="shared" si="88"/>
        <v>25.9686296947514</v>
      </c>
      <c r="G57" s="1" t="str">
        <f t="shared" si="89"/>
        <v>Magda</v>
      </c>
      <c r="H57" s="1">
        <f t="shared" si="90"/>
        <v>-0.0763324560247459</v>
      </c>
      <c r="I57" s="1">
        <f t="shared" si="91"/>
        <v>0.0552791790518038</v>
      </c>
    </row>
    <row r="58" customHeight="1" spans="2:9">
      <c r="B58" s="1" t="str">
        <f t="shared" si="86"/>
        <v>microTech</v>
      </c>
      <c r="C58" s="1">
        <f t="shared" si="87"/>
        <v>-15.7487660734652</v>
      </c>
      <c r="D58" s="1">
        <f t="shared" si="88"/>
        <v>40.4882855853708</v>
      </c>
      <c r="G58" s="1" t="str">
        <f t="shared" si="89"/>
        <v>Ita</v>
      </c>
      <c r="H58" s="1">
        <f t="shared" si="90"/>
        <v>0.0883408784539127</v>
      </c>
      <c r="I58" s="1">
        <f t="shared" si="91"/>
        <v>-0.0762337888652886</v>
      </c>
    </row>
    <row r="59" customHeight="1" spans="2:4">
      <c r="B59" s="1" t="str">
        <f t="shared" si="86"/>
        <v/>
      </c>
      <c r="C59" s="1" t="str">
        <f t="shared" si="87"/>
        <v/>
      </c>
      <c r="D59" s="1" t="str">
        <f t="shared" si="88"/>
        <v/>
      </c>
    </row>
    <row r="60" customHeight="1" spans="2:4">
      <c r="B60" s="1" t="str">
        <f t="shared" ref="B60:B79" si="92">IF(D11,E11,"")</f>
        <v/>
      </c>
      <c r="C60" s="1" t="str">
        <f t="shared" ref="C60:C79" si="93">IF(D11,VLOOKUP(B60,$H$5:$Y$47,13,FALSE)/1000000,"")</f>
        <v/>
      </c>
      <c r="D60" s="1" t="str">
        <f t="shared" ref="D60:D79" si="94">IF(D11,VLOOKUP(B60,$H$5:$Y$47,14,FALSE)/1000000,"")</f>
        <v/>
      </c>
    </row>
    <row r="61" customHeight="1" spans="2:9">
      <c r="B61" s="1" t="str">
        <f t="shared" si="92"/>
        <v/>
      </c>
      <c r="C61" s="1" t="str">
        <f t="shared" si="93"/>
        <v/>
      </c>
      <c r="D61" s="1" t="str">
        <f t="shared" si="94"/>
        <v/>
      </c>
      <c r="G61" s="1" t="s">
        <v>62</v>
      </c>
      <c r="H61" s="1">
        <v>0</v>
      </c>
      <c r="I61" s="1">
        <v>0</v>
      </c>
    </row>
    <row r="62" customHeight="1" spans="2:9">
      <c r="B62" s="1" t="str">
        <f t="shared" si="92"/>
        <v>HUR-L3</v>
      </c>
      <c r="C62" s="1">
        <f t="shared" si="93"/>
        <v>-3.95271570151225</v>
      </c>
      <c r="D62" s="1">
        <f t="shared" si="94"/>
        <v>-12.2274404154106</v>
      </c>
      <c r="G62" s="1" t="str">
        <f t="shared" ref="G62:G64" si="95">IF(A22,B22,"")</f>
        <v>Cellin</v>
      </c>
      <c r="H62" s="1">
        <f t="shared" ref="H62:H64" si="96">IF(A22,VLOOKUP(G62,$H$5:$Y$43,17,FALSE)/1000000,"")</f>
        <v>-0.0127790031110974</v>
      </c>
      <c r="I62" s="1">
        <f t="shared" ref="I62:I64" si="97">IF(A22,VLOOKUP(G62,$H$5:$Y$43,18,FALSE)/1000000,"")</f>
        <v>0.04923428661145</v>
      </c>
    </row>
    <row r="63" customHeight="1" spans="2:9">
      <c r="B63" s="1" t="str">
        <f t="shared" si="92"/>
        <v>HUR-L4</v>
      </c>
      <c r="C63" s="1">
        <f t="shared" si="93"/>
        <v>-8.61291651996931</v>
      </c>
      <c r="D63" s="1">
        <f t="shared" si="94"/>
        <v>9.53687301595564</v>
      </c>
      <c r="G63" s="1" t="str">
        <f t="shared" si="95"/>
        <v>Daymar</v>
      </c>
      <c r="H63" s="1">
        <f t="shared" si="96"/>
        <v>0.0630429101301573</v>
      </c>
      <c r="I63" s="1">
        <f t="shared" si="97"/>
        <v>-0.00544356647500339</v>
      </c>
    </row>
    <row r="64" customHeight="1" spans="2:9">
      <c r="B64" s="1" t="str">
        <f t="shared" si="92"/>
        <v>HUR-L5</v>
      </c>
      <c r="C64" s="1">
        <f t="shared" si="93"/>
        <v>12.5656328179748</v>
      </c>
      <c r="D64" s="1">
        <f t="shared" si="94"/>
        <v>2.69056559236606</v>
      </c>
      <c r="G64" s="1" t="str">
        <f t="shared" si="95"/>
        <v>Yela</v>
      </c>
      <c r="H64" s="1">
        <f t="shared" si="96"/>
        <v>-0.00123425450516454</v>
      </c>
      <c r="I64" s="1">
        <f t="shared" si="97"/>
        <v>-0.0792794744764695</v>
      </c>
    </row>
    <row r="65" customHeight="1" spans="2:4">
      <c r="B65" s="1" t="str">
        <f t="shared" si="92"/>
        <v/>
      </c>
      <c r="C65" s="1" t="str">
        <f t="shared" si="93"/>
        <v/>
      </c>
      <c r="D65" s="1" t="str">
        <f t="shared" si="94"/>
        <v/>
      </c>
    </row>
    <row r="66" customHeight="1" spans="2:4">
      <c r="B66" s="1" t="str">
        <f t="shared" si="92"/>
        <v/>
      </c>
      <c r="C66" s="1" t="str">
        <f t="shared" si="93"/>
        <v/>
      </c>
      <c r="D66" s="1" t="str">
        <f t="shared" si="94"/>
        <v/>
      </c>
    </row>
    <row r="67" customHeight="1" spans="2:9">
      <c r="B67" s="1" t="str">
        <f t="shared" si="92"/>
        <v>CRU-L3</v>
      </c>
      <c r="C67" s="1">
        <f t="shared" si="93"/>
        <v>18.9443155540233</v>
      </c>
      <c r="D67" s="1">
        <f t="shared" si="94"/>
        <v>2.78902164721692</v>
      </c>
      <c r="G67" s="1" t="s">
        <v>509</v>
      </c>
      <c r="H67" s="1">
        <v>0</v>
      </c>
      <c r="I67" s="1">
        <v>0</v>
      </c>
    </row>
    <row r="68" customHeight="1" spans="2:9">
      <c r="B68" s="1" t="str">
        <f t="shared" si="92"/>
        <v>CRU-L4</v>
      </c>
      <c r="C68" s="1">
        <f t="shared" si="93"/>
        <v>-7.05680779678184</v>
      </c>
      <c r="D68" s="1">
        <f t="shared" si="94"/>
        <v>-17.8007746295525</v>
      </c>
      <c r="G68" s="1" t="str">
        <f t="shared" ref="G68:G69" si="98">IF(A25,B25,"")</f>
        <v>Lyria</v>
      </c>
      <c r="H68" s="1">
        <f t="shared" ref="H68:H69" si="99">IF(A25,VLOOKUP(G68,$H$5:$Y$43,17,FALSE)/1000000,"")</f>
        <v>-0.0117013140444449</v>
      </c>
      <c r="I68" s="1">
        <f t="shared" ref="I68:I69" si="100">IF(A25,VLOOKUP(G68,$H$5:$Y$43,18,FALSE)/1000000,"")</f>
        <v>0.119255209865462</v>
      </c>
    </row>
    <row r="69" customHeight="1" spans="2:9">
      <c r="B69" s="1" t="str">
        <f t="shared" si="92"/>
        <v>CRU-L5</v>
      </c>
      <c r="C69" s="1">
        <f t="shared" si="93"/>
        <v>-11.8875206048674</v>
      </c>
      <c r="D69" s="1">
        <f t="shared" si="94"/>
        <v>15.0117598856569</v>
      </c>
      <c r="G69" s="1" t="str">
        <f t="shared" si="98"/>
        <v>Wala</v>
      </c>
      <c r="H69" s="1">
        <f t="shared" si="99"/>
        <v>0.220132741958828</v>
      </c>
      <c r="I69" s="1">
        <f t="shared" si="100"/>
        <v>0.133225912100079</v>
      </c>
    </row>
    <row r="70" customHeight="1" spans="2:4">
      <c r="B70" s="1" t="str">
        <f t="shared" si="92"/>
        <v/>
      </c>
      <c r="C70" s="1" t="str">
        <f t="shared" si="93"/>
        <v/>
      </c>
      <c r="D70" s="1" t="str">
        <f t="shared" si="94"/>
        <v/>
      </c>
    </row>
    <row r="71" customHeight="1" spans="2:4">
      <c r="B71" s="1" t="str">
        <f t="shared" si="92"/>
        <v/>
      </c>
      <c r="C71" s="1" t="str">
        <f t="shared" si="93"/>
        <v/>
      </c>
      <c r="D71" s="1" t="str">
        <f t="shared" si="94"/>
        <v/>
      </c>
    </row>
    <row r="72" customHeight="1" spans="2:9">
      <c r="B72" s="1" t="str">
        <f t="shared" si="92"/>
        <v>ARC-L3</v>
      </c>
      <c r="C72" s="1">
        <f t="shared" si="93"/>
        <v>-3.07263818505766</v>
      </c>
      <c r="D72" s="1">
        <f t="shared" si="94"/>
        <v>-28.7539776766661</v>
      </c>
      <c r="G72" s="1" t="s">
        <v>1</v>
      </c>
      <c r="H72" s="1">
        <v>0</v>
      </c>
      <c r="I72" s="1">
        <v>0</v>
      </c>
    </row>
    <row r="73" customHeight="1" spans="2:9">
      <c r="B73" s="1" t="str">
        <f t="shared" si="92"/>
        <v>ARC-L4</v>
      </c>
      <c r="C73" s="1">
        <f t="shared" si="93"/>
        <v>-16.1289225376345</v>
      </c>
      <c r="D73" s="1">
        <f t="shared" si="94"/>
        <v>24.0018758363367</v>
      </c>
      <c r="G73" s="1" t="str">
        <f t="shared" ref="G73:G75" si="101">IF(A27,B27,"")</f>
        <v>Calliope</v>
      </c>
      <c r="H73" s="1">
        <f t="shared" ref="H73:H75" si="102">IF(A27,VLOOKUP(G73,$H$5:$Y$43,17,FALSE)/1000000,"")</f>
        <v>0.0449420540237034</v>
      </c>
      <c r="I73" s="1">
        <f t="shared" ref="I73:I75" si="103">IF(A27,VLOOKUP(G73,$H$5:$Y$43,18,FALSE)/1000000,"")</f>
        <v>0.0482253896743296</v>
      </c>
    </row>
    <row r="74" customHeight="1" spans="2:9">
      <c r="B74" s="1" t="str">
        <f t="shared" si="92"/>
        <v>ARC-L5</v>
      </c>
      <c r="C74" s="1">
        <f t="shared" si="93"/>
        <v>28.8506949417494</v>
      </c>
      <c r="D74" s="1">
        <f t="shared" si="94"/>
        <v>1.96712530614509</v>
      </c>
      <c r="G74" s="1" t="str">
        <f t="shared" si="101"/>
        <v>Clio</v>
      </c>
      <c r="H74" s="1">
        <f t="shared" si="102"/>
        <v>-0.0268068364308744</v>
      </c>
      <c r="I74" s="1">
        <f t="shared" si="103"/>
        <v>0.0920250775864748</v>
      </c>
    </row>
    <row r="75" customHeight="1" spans="2:9">
      <c r="B75" s="1" t="str">
        <f t="shared" si="92"/>
        <v/>
      </c>
      <c r="C75" s="1" t="str">
        <f t="shared" si="93"/>
        <v/>
      </c>
      <c r="D75" s="1" t="str">
        <f t="shared" si="94"/>
        <v/>
      </c>
      <c r="G75" s="1" t="str">
        <f t="shared" si="101"/>
        <v>Euterpe</v>
      </c>
      <c r="H75" s="1">
        <f t="shared" si="102"/>
        <v>0.00711527239460944</v>
      </c>
      <c r="I75" s="1">
        <f t="shared" si="103"/>
        <v>0.107574550870485</v>
      </c>
    </row>
    <row r="76" customHeight="1" spans="2:4">
      <c r="B76" s="1" t="str">
        <f t="shared" si="92"/>
        <v/>
      </c>
      <c r="C76" s="1" t="str">
        <f t="shared" si="93"/>
        <v/>
      </c>
      <c r="D76" s="1" t="str">
        <f t="shared" si="94"/>
        <v/>
      </c>
    </row>
    <row r="77" customHeight="1" spans="2:4">
      <c r="B77" s="1" t="str">
        <f t="shared" si="92"/>
        <v>MIC-L3</v>
      </c>
      <c r="C77" s="1">
        <f t="shared" si="93"/>
        <v>15.7532450179131</v>
      </c>
      <c r="D77" s="1">
        <f t="shared" si="94"/>
        <v>-40.4855317791487</v>
      </c>
    </row>
    <row r="78" customHeight="1" spans="2:4">
      <c r="B78" s="1" t="str">
        <f t="shared" si="92"/>
        <v>MIC-L4</v>
      </c>
      <c r="C78" s="1">
        <f t="shared" si="93"/>
        <v>-42.9376809571889</v>
      </c>
      <c r="D78" s="1">
        <f t="shared" si="94"/>
        <v>6.6058999749912</v>
      </c>
    </row>
    <row r="79" customHeight="1" spans="2:4">
      <c r="B79" s="1" t="str">
        <f t="shared" si="92"/>
        <v>MIC-L5</v>
      </c>
      <c r="C79" s="1">
        <f t="shared" si="93"/>
        <v>27.1830222959866</v>
      </c>
      <c r="D79" s="1">
        <f t="shared" si="94"/>
        <v>33.8884222739823</v>
      </c>
    </row>
  </sheetData>
  <mergeCells count="1">
    <mergeCell ref="B1:C1"/>
  </mergeCells>
  <dataValidations count="2">
    <dataValidation type="list" allowBlank="1" sqref="E7">
      <formula1>$H$5:$H$47</formula1>
    </dataValidation>
    <dataValidation type="list" allowBlank="1" sqref="E8">
      <formula1>$H$5:$H$43</formula1>
    </dataValidation>
  </dataValidations>
  <hyperlinks>
    <hyperlink ref="A9" r:id="rId2" display="3.17.2-PTU GeoGebra orbital model"/>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2:K22"/>
  <sheetViews>
    <sheetView workbookViewId="0">
      <selection activeCell="A1" sqref="A1"/>
    </sheetView>
  </sheetViews>
  <sheetFormatPr defaultColWidth="12.6285714285714" defaultRowHeight="15.75" customHeight="1"/>
  <cols>
    <col min="1" max="1" width="18.9047619047619" customWidth="1"/>
    <col min="2" max="2" width="22" customWidth="1"/>
    <col min="3" max="3" width="47.6285714285714" customWidth="1"/>
    <col min="5" max="5" width="20.0857142857143" customWidth="1"/>
    <col min="7" max="7" width="47.6285714285714" customWidth="1"/>
  </cols>
  <sheetData>
    <row r="2" customHeight="1" spans="2:7">
      <c r="B2" s="1" t="s">
        <v>529</v>
      </c>
      <c r="D2" s="30"/>
      <c r="E2" s="30" t="s">
        <v>530</v>
      </c>
      <c r="F2" s="30" t="s">
        <v>531</v>
      </c>
      <c r="G2" s="30" t="s">
        <v>532</v>
      </c>
    </row>
    <row r="3" customHeight="1" spans="1:11">
      <c r="A3" s="1" t="s">
        <v>533</v>
      </c>
      <c r="B3" s="35" t="s">
        <v>9</v>
      </c>
      <c r="C3" s="1" t="str">
        <f>IF(NOT(F3),VLOOKUP(B3,B9:D50,2,FALSE),G3)</f>
        <v>1_Un62Byu64VcdrBAQMYyDPOlsySU6bgE1wD_ZfKohdY</v>
      </c>
      <c r="D3" s="1" t="str">
        <f>IF(NOT(F3),VLOOKUP(B3,B9:D50,3,FALSE),H3)</f>
        <v>AA870</v>
      </c>
      <c r="E3" s="30" t="str">
        <f>Primary!A1</f>
        <v>3.23.0-LIVE 9171682</v>
      </c>
      <c r="F3" s="1" t="b">
        <v>0</v>
      </c>
      <c r="G3" s="36"/>
      <c r="H3" s="36"/>
      <c r="J3" s="38" t="str">
        <f t="shared" ref="J3:J4" si="0">CONCATENATE("https://docs.google.com/spreadsheets/d/",C3)</f>
        <v>https://docs.google.com/spreadsheets/d/1_Un62Byu64VcdrBAQMYyDPOlsySU6bgE1wD_ZfKohdY</v>
      </c>
      <c r="K3" s="1" t="str">
        <f t="shared" ref="K3:K4" si="1">CONCATENATE("A1:",D3)</f>
        <v>A1:AA870</v>
      </c>
    </row>
    <row r="4" customHeight="1" spans="1:11">
      <c r="A4" s="1" t="s">
        <v>534</v>
      </c>
      <c r="B4" s="35" t="s">
        <v>535</v>
      </c>
      <c r="C4" s="1" t="str">
        <f>IF(NOT(F4),VLOOKUP(B4,B9:D50,2,FALSE),G4)</f>
        <v>1JNYoq9h_0ar13HRo8mIXiiUR24gecWwkt3tHJRcu0wU</v>
      </c>
      <c r="D4" s="1" t="str">
        <f>IF(NOT(F4),VLOOKUP(B4,B9:D50,3,FALSE),H4)</f>
        <v>AA865</v>
      </c>
      <c r="E4" s="6" t="str">
        <f>Secondary!A1</f>
        <v>3.22.1-LIVE 9097523</v>
      </c>
      <c r="F4" s="1" t="b">
        <v>0</v>
      </c>
      <c r="G4" s="36"/>
      <c r="H4" s="36"/>
      <c r="J4" s="38" t="str">
        <f t="shared" si="0"/>
        <v>https://docs.google.com/spreadsheets/d/1JNYoq9h_0ar13HRo8mIXiiUR24gecWwkt3tHJRcu0wU</v>
      </c>
      <c r="K4" s="1" t="str">
        <f t="shared" si="1"/>
        <v>A1:AA865</v>
      </c>
    </row>
    <row r="8" customHeight="1" spans="2:2">
      <c r="B8" s="37" t="s">
        <v>536</v>
      </c>
    </row>
    <row r="9" customHeight="1" spans="2:4">
      <c r="B9" s="1" t="s">
        <v>537</v>
      </c>
      <c r="C9" s="1" t="s">
        <v>538</v>
      </c>
      <c r="D9" s="1" t="s">
        <v>539</v>
      </c>
    </row>
    <row r="10" customHeight="1" spans="2:5">
      <c r="B10" s="1" t="s">
        <v>540</v>
      </c>
      <c r="C10" s="1" t="s">
        <v>541</v>
      </c>
      <c r="D10" s="1" t="s">
        <v>542</v>
      </c>
      <c r="E10" s="1"/>
    </row>
    <row r="11" customHeight="1" spans="2:4">
      <c r="B11" s="1" t="s">
        <v>543</v>
      </c>
      <c r="C11" s="1" t="s">
        <v>544</v>
      </c>
      <c r="D11" s="1" t="s">
        <v>545</v>
      </c>
    </row>
    <row r="12" customHeight="1" spans="2:4">
      <c r="B12" s="1" t="s">
        <v>546</v>
      </c>
      <c r="C12" s="1" t="s">
        <v>547</v>
      </c>
      <c r="D12" s="1" t="s">
        <v>545</v>
      </c>
    </row>
    <row r="13" customHeight="1" spans="2:4">
      <c r="B13" s="1" t="s">
        <v>548</v>
      </c>
      <c r="C13" s="4" t="s">
        <v>549</v>
      </c>
      <c r="D13" s="1" t="s">
        <v>545</v>
      </c>
    </row>
    <row r="14" customHeight="1" spans="2:4">
      <c r="B14" s="4" t="s">
        <v>550</v>
      </c>
      <c r="C14" s="4" t="s">
        <v>551</v>
      </c>
      <c r="D14" s="4" t="s">
        <v>552</v>
      </c>
    </row>
    <row r="15" customHeight="1" spans="2:4">
      <c r="B15" s="4" t="s">
        <v>553</v>
      </c>
      <c r="C15" s="4" t="s">
        <v>554</v>
      </c>
      <c r="D15" s="4" t="s">
        <v>555</v>
      </c>
    </row>
    <row r="16" customHeight="1" spans="2:4">
      <c r="B16" s="4" t="s">
        <v>556</v>
      </c>
      <c r="C16" s="4" t="s">
        <v>557</v>
      </c>
      <c r="D16" s="4" t="s">
        <v>539</v>
      </c>
    </row>
    <row r="17" customHeight="1" spans="2:4">
      <c r="B17" s="1" t="s">
        <v>558</v>
      </c>
      <c r="C17" s="1" t="s">
        <v>559</v>
      </c>
      <c r="D17" s="4" t="s">
        <v>539</v>
      </c>
    </row>
    <row r="18" customHeight="1" spans="2:4">
      <c r="B18" s="4" t="s">
        <v>560</v>
      </c>
      <c r="C18" s="4" t="s">
        <v>561</v>
      </c>
      <c r="D18" s="4" t="s">
        <v>539</v>
      </c>
    </row>
    <row r="19" customHeight="1" spans="2:4">
      <c r="B19" s="1" t="s">
        <v>562</v>
      </c>
      <c r="C19" s="1" t="s">
        <v>563</v>
      </c>
      <c r="D19" s="1" t="s">
        <v>564</v>
      </c>
    </row>
    <row r="20" customHeight="1" spans="2:4">
      <c r="B20" s="1" t="s">
        <v>535</v>
      </c>
      <c r="C20" s="1" t="s">
        <v>565</v>
      </c>
      <c r="D20" s="1" t="s">
        <v>566</v>
      </c>
    </row>
    <row r="21" customHeight="1" spans="2:4">
      <c r="B21" s="1" t="s">
        <v>567</v>
      </c>
      <c r="C21" s="1" t="s">
        <v>568</v>
      </c>
      <c r="D21" s="1" t="s">
        <v>569</v>
      </c>
    </row>
    <row r="22" customHeight="1" spans="2:4">
      <c r="B22" s="1" t="s">
        <v>9</v>
      </c>
      <c r="C22" s="1" t="s">
        <v>570</v>
      </c>
      <c r="D22" s="1" t="s">
        <v>571</v>
      </c>
    </row>
  </sheetData>
  <mergeCells count="1">
    <mergeCell ref="B8:D8"/>
  </mergeCells>
  <dataValidations count="1">
    <dataValidation type="list" allowBlank="1" showErrorMessage="1" sqref="B3:B4">
      <formula1>$B$9:$B$50</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G1677"/>
  <sheetViews>
    <sheetView workbookViewId="0">
      <pane xSplit="4" topLeftCell="E1" activePane="topRight" state="frozen"/>
      <selection/>
      <selection pane="topRight" activeCell="F2" sqref="F2"/>
    </sheetView>
  </sheetViews>
  <sheetFormatPr defaultColWidth="12.6285714285714" defaultRowHeight="15.75" customHeight="1"/>
  <cols>
    <col min="1" max="3" width="12.6285714285714" customWidth="1"/>
    <col min="4" max="4" width="28.2666666666667" customWidth="1"/>
    <col min="5" max="5" width="8.90476190476191" customWidth="1"/>
    <col min="6" max="8" width="15.7238095238095" customWidth="1"/>
    <col min="9" max="12" width="13.9047619047619" customWidth="1"/>
    <col min="13" max="14" width="8.26666666666667" customWidth="1"/>
    <col min="15" max="15" width="10.7238095238095" customWidth="1"/>
    <col min="16" max="17" width="8.26666666666667" customWidth="1"/>
    <col min="18" max="28" width="12.6285714285714" customWidth="1"/>
    <col min="29" max="31" width="22" customWidth="1"/>
    <col min="32" max="59" width="12.6285714285714" customWidth="1"/>
  </cols>
  <sheetData>
    <row r="1" customHeight="1" spans="1:59">
      <c r="A1" s="6" t="str">
        <f>IF(ActiveDatabase=Standby,Secondary!A1,Primary!A1)</f>
        <v>3.23.0-LIVE 9171682</v>
      </c>
      <c r="B1" s="6" t="s">
        <v>572</v>
      </c>
      <c r="C1" s="6" t="s">
        <v>573</v>
      </c>
      <c r="D1" s="6" t="s">
        <v>574</v>
      </c>
      <c r="E1" s="7"/>
      <c r="F1" s="8" t="s">
        <v>575</v>
      </c>
      <c r="G1" s="8"/>
      <c r="H1" s="8"/>
      <c r="I1" s="13" t="s">
        <v>576</v>
      </c>
      <c r="J1" s="13"/>
      <c r="K1" s="13"/>
      <c r="L1" s="13"/>
      <c r="M1" s="7" t="s">
        <v>577</v>
      </c>
      <c r="N1" s="10" t="s">
        <v>16</v>
      </c>
      <c r="O1" s="10" t="s">
        <v>191</v>
      </c>
      <c r="P1" s="8" t="s">
        <v>578</v>
      </c>
      <c r="Q1" s="7" t="s">
        <v>579</v>
      </c>
      <c r="R1" s="16" t="s">
        <v>580</v>
      </c>
      <c r="S1" s="17" t="s">
        <v>581</v>
      </c>
      <c r="T1" s="2" t="s">
        <v>490</v>
      </c>
      <c r="U1" s="8" t="s">
        <v>582</v>
      </c>
      <c r="V1" s="10" t="s">
        <v>583</v>
      </c>
      <c r="W1" s="7" t="s">
        <v>584</v>
      </c>
      <c r="X1" s="7" t="s">
        <v>585</v>
      </c>
      <c r="Y1" s="7"/>
      <c r="Z1" s="6" t="str">
        <f>IF(ActiveDatabase=Standby,Secondary!Z1,Primary!Z1)</f>
        <v>Stanton</v>
      </c>
      <c r="AA1" s="6" t="s">
        <v>586</v>
      </c>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row>
    <row r="2" customHeight="1" spans="1:59">
      <c r="A2" s="9" t="str">
        <f>IF(ActiveDatabase=Standby,Secondary!A2,Primary!A2)</f>
        <v>Aberdeen R00</v>
      </c>
      <c r="B2" s="5">
        <f>IF(ActiveDatabase=Standby,Secondary!B2,Primary!B2)</f>
        <v>0</v>
      </c>
      <c r="C2" s="5">
        <f>IF(ActiveDatabase=Standby,Secondary!C2,Primary!C2)</f>
        <v>0</v>
      </c>
      <c r="D2" s="5" t="str">
        <f>IF(ActiveDatabase=Standby,Secondary!D2,Primary!D2)</f>
        <v>Aberdeen</v>
      </c>
      <c r="E2" s="6" t="str">
        <f>IF(ActiveDatabase=Standby,Secondary!E2,Primary!E2)</f>
        <v>Aberdeen</v>
      </c>
      <c r="F2" s="10">
        <f>IF(ActiveDatabase=Standby,Secondary!F2,Primary!F2)</f>
        <v>12905757.636431</v>
      </c>
      <c r="G2" s="10">
        <f>IF(ActiveDatabase=Standby,Secondary!G2,Primary!G2)</f>
        <v>40955.550560376</v>
      </c>
      <c r="H2" s="10">
        <f>IF(ActiveDatabase=Standby,Secondary!H2,Primary!H2)</f>
        <v>0</v>
      </c>
      <c r="I2" s="13">
        <f>IF(ActiveDatabase=Standby,Secondary!I2,Primary!I2)</f>
        <v>1</v>
      </c>
      <c r="J2" s="13">
        <f>IF(ActiveDatabase=Standby,Secondary!J2,Primary!J2)</f>
        <v>0</v>
      </c>
      <c r="K2" s="13">
        <f>IF(ActiveDatabase=Standby,Secondary!K2,Primary!K2)</f>
        <v>0</v>
      </c>
      <c r="L2" s="13">
        <f>IF(ActiveDatabase=Standby,Secondary!L2,Primary!L2)</f>
        <v>0</v>
      </c>
      <c r="M2" s="7" t="b">
        <f>IF(ActiveDatabase=Standby,Secondary!M2,Primary!M2)</f>
        <v>1</v>
      </c>
      <c r="N2" s="10">
        <f>IF(ActiveDatabase=Standby,Secondary!N2,Primary!N2)</f>
        <v>402.708</v>
      </c>
      <c r="O2" s="10">
        <f>IF(ActiveDatabase=Standby,Secondary!O2,Primary!O2)</f>
        <v>274</v>
      </c>
      <c r="P2" s="10">
        <f>IF(ActiveDatabase=Standby,Secondary!P2,Primary!P2)</f>
        <v>437.7</v>
      </c>
      <c r="Q2" s="6">
        <f>IF(ActiveDatabase=Standby,Secondary!Q2,Primary!Q2)</f>
        <v>21</v>
      </c>
      <c r="R2" s="18">
        <f>IF(ActiveDatabase=Standby,Secondary!R2,Primary!R2)</f>
        <v>2.5999999</v>
      </c>
      <c r="S2" s="19">
        <f>IF(ActiveDatabase=Standby,Secondary!S2,Primary!S2)</f>
        <v>234.432468044749</v>
      </c>
      <c r="T2" s="10">
        <f>IF(ActiveDatabase=Standby,Secondary!T2,Primary!T2)</f>
        <v>68815.024</v>
      </c>
      <c r="U2" s="10">
        <f>IF(ActiveDatabase=Standby,Secondary!U2,Primary!U2)</f>
        <v>0</v>
      </c>
      <c r="V2" s="10">
        <f>IF(ActiveDatabase=Standby,Secondary!V2,Primary!V2)</f>
        <v>36.524</v>
      </c>
      <c r="W2" s="6">
        <f>IF(ActiveDatabase=Standby,Secondary!W2,Primary!W2)</f>
        <v>548</v>
      </c>
      <c r="X2" s="6">
        <f>IF(ActiveDatabase=Standby,Secondary!X2,Primary!X2)</f>
        <v>45475.75798</v>
      </c>
      <c r="Y2" s="6">
        <f>IF(ActiveDatabase=Standby,Secondary!Y2,Primary!Y2)</f>
        <v>0</v>
      </c>
      <c r="Z2" s="6">
        <f>IF(ActiveDatabase=Standby,Secondary!Z2,Primary!Z2)</f>
        <v>0</v>
      </c>
      <c r="AA2" s="6" t="str">
        <f>IF(ActiveDatabase=Standby,Secondary!AA2,Primary!AA2)</f>
        <v>Aberdeen</v>
      </c>
      <c r="AB2" s="6"/>
      <c r="AC2" s="6"/>
      <c r="AD2" s="6"/>
      <c r="AE2" s="7"/>
      <c r="AF2" s="7"/>
      <c r="AG2" s="7"/>
      <c r="AH2" s="7"/>
      <c r="AI2" s="7"/>
      <c r="AJ2" s="7"/>
      <c r="AK2" s="7"/>
      <c r="AL2" s="7"/>
      <c r="AM2" s="7"/>
      <c r="AN2" s="7"/>
      <c r="AO2" s="6"/>
      <c r="AP2" s="7"/>
      <c r="AQ2" s="7"/>
      <c r="AR2" s="6"/>
      <c r="AS2" s="6"/>
      <c r="AT2" s="6"/>
      <c r="AU2" s="6"/>
      <c r="AV2" s="6"/>
      <c r="AW2" s="6"/>
      <c r="AX2" s="6"/>
      <c r="AY2" s="6"/>
      <c r="AZ2" s="6"/>
      <c r="BA2" s="6"/>
      <c r="BB2" s="6"/>
      <c r="BC2" s="6"/>
      <c r="BD2" s="6"/>
      <c r="BE2" s="6"/>
      <c r="BF2" s="6"/>
      <c r="BG2" s="6"/>
    </row>
    <row r="3" customHeight="1" spans="1:59">
      <c r="A3" s="9" t="str">
        <f>IF(ActiveDatabase=Standby,Secondary!A3,Primary!A3)</f>
        <v>ArcCorp R00</v>
      </c>
      <c r="B3" s="5">
        <f>IF(ActiveDatabase=Standby,Secondary!B3,Primary!B3)</f>
        <v>0</v>
      </c>
      <c r="C3" s="5">
        <f>IF(ActiveDatabase=Standby,Secondary!C3,Primary!C3)</f>
        <v>0</v>
      </c>
      <c r="D3" s="5" t="str">
        <f>IF(ActiveDatabase=Standby,Secondary!D3,Primary!D3)</f>
        <v>ArcCorp</v>
      </c>
      <c r="E3" s="6" t="str">
        <f>IF(ActiveDatabase=Standby,Secondary!E3,Primary!E3)</f>
        <v>ArcCorp</v>
      </c>
      <c r="F3" s="10">
        <f>IF(ActiveDatabase=Standby,Secondary!F3,Primary!F3)</f>
        <v>18587664.7398559</v>
      </c>
      <c r="G3" s="10">
        <f>IF(ActiveDatabase=Standby,Secondary!G3,Primary!G3)</f>
        <v>-22151916.9203125</v>
      </c>
      <c r="H3" s="10">
        <f>IF(ActiveDatabase=Standby,Secondary!H3,Primary!H3)</f>
        <v>0</v>
      </c>
      <c r="I3" s="13">
        <f>IF(ActiveDatabase=Standby,Secondary!I3,Primary!I3)</f>
        <v>1</v>
      </c>
      <c r="J3" s="13">
        <f>IF(ActiveDatabase=Standby,Secondary!J3,Primary!J3)</f>
        <v>0</v>
      </c>
      <c r="K3" s="13">
        <f>IF(ActiveDatabase=Standby,Secondary!K3,Primary!K3)</f>
        <v>0</v>
      </c>
      <c r="L3" s="13">
        <f>IF(ActiveDatabase=Standby,Secondary!L3,Primary!L3)</f>
        <v>0</v>
      </c>
      <c r="M3" s="7" t="b">
        <f>IF(ActiveDatabase=Standby,Secondary!M3,Primary!M3)</f>
        <v>1</v>
      </c>
      <c r="N3" s="10">
        <f>IF(ActiveDatabase=Standby,Secondary!N3,Primary!N3)</f>
        <v>1151.452</v>
      </c>
      <c r="O3" s="10">
        <f>IF(ActiveDatabase=Standby,Secondary!O3,Primary!O3)</f>
        <v>800</v>
      </c>
      <c r="P3" s="10">
        <f>IF(ActiveDatabase=Standby,Secondary!P3,Primary!P3)</f>
        <v>990</v>
      </c>
      <c r="Q3" s="6">
        <f>IF(ActiveDatabase=Standby,Secondary!Q3,Primary!Q3)</f>
        <v>14</v>
      </c>
      <c r="R3" s="18">
        <f>IF(ActiveDatabase=Standby,Secondary!R3,Primary!R3)</f>
        <v>3.1099999</v>
      </c>
      <c r="S3" s="19">
        <f>IF(ActiveDatabase=Standby,Secondary!S3,Primary!S3)</f>
        <v>88.4109476372397</v>
      </c>
      <c r="T3" s="10">
        <f>IF(ActiveDatabase=Standby,Secondary!T3,Primary!T3)</f>
        <v>28917272.576</v>
      </c>
      <c r="U3" s="10">
        <f>IF(ActiveDatabase=Standby,Secondary!U3,Primary!U3)</f>
        <v>0</v>
      </c>
      <c r="V3" s="10">
        <f>IF(ActiveDatabase=Standby,Secondary!V3,Primary!V3)</f>
        <v>310</v>
      </c>
      <c r="W3" s="6">
        <f>IF(ActiveDatabase=Standby,Secondary!W3,Primary!W3)</f>
        <v>1900</v>
      </c>
      <c r="X3" s="6">
        <f>IF(ActiveDatabase=Standby,Secondary!X3,Primary!X3)</f>
        <v>45473.88681</v>
      </c>
      <c r="Y3" s="6">
        <f>IF(ActiveDatabase=Standby,Secondary!Y3,Primary!Y3)</f>
        <v>0</v>
      </c>
      <c r="Z3" s="6">
        <f>IF(ActiveDatabase=Standby,Secondary!Z3,Primary!Z3)</f>
        <v>0</v>
      </c>
      <c r="AA3" s="6" t="str">
        <f>IF(ActiveDatabase=Standby,Secondary!AA3,Primary!AA3)</f>
        <v>ArcCorp</v>
      </c>
      <c r="AB3" s="6"/>
      <c r="AC3" s="6"/>
      <c r="AD3" s="6"/>
      <c r="AE3" s="7"/>
      <c r="AF3" s="7"/>
      <c r="AG3" s="7"/>
      <c r="AH3" s="7"/>
      <c r="AI3" s="7"/>
      <c r="AJ3" s="7"/>
      <c r="AK3" s="7"/>
      <c r="AL3" s="7"/>
      <c r="AM3" s="7"/>
      <c r="AN3" s="7"/>
      <c r="AO3" s="6"/>
      <c r="AP3" s="7"/>
      <c r="AQ3" s="7"/>
      <c r="AR3" s="6"/>
      <c r="AS3" s="6"/>
      <c r="AT3" s="6"/>
      <c r="AU3" s="6"/>
      <c r="AV3" s="6"/>
      <c r="AW3" s="6"/>
      <c r="AX3" s="6"/>
      <c r="AY3" s="6"/>
      <c r="AZ3" s="6"/>
      <c r="BA3" s="6"/>
      <c r="BB3" s="6"/>
      <c r="BC3" s="6"/>
      <c r="BD3" s="6"/>
      <c r="BE3" s="6"/>
      <c r="BF3" s="6"/>
      <c r="BG3" s="6"/>
    </row>
    <row r="4" customHeight="1" spans="1:59">
      <c r="A4" s="9" t="str">
        <f>IF(ActiveDatabase=Standby,Secondary!A4,Primary!A4)</f>
        <v>Arial R00</v>
      </c>
      <c r="B4" s="5">
        <f>IF(ActiveDatabase=Standby,Secondary!B4,Primary!B4)</f>
        <v>0</v>
      </c>
      <c r="C4" s="5">
        <f>IF(ActiveDatabase=Standby,Secondary!C4,Primary!C4)</f>
        <v>0</v>
      </c>
      <c r="D4" s="5" t="str">
        <f>IF(ActiveDatabase=Standby,Secondary!D4,Primary!D4)</f>
        <v>Arial</v>
      </c>
      <c r="E4" s="6" t="str">
        <f>IF(ActiveDatabase=Standby,Secondary!E4,Primary!E4)</f>
        <v>Arial</v>
      </c>
      <c r="F4" s="10">
        <f>IF(ActiveDatabase=Standby,Secondary!F4,Primary!F4)</f>
        <v>12892673.3088608</v>
      </c>
      <c r="G4" s="10">
        <f>IF(ActiveDatabase=Standby,Secondary!G4,Primary!G4)</f>
        <v>-31476.128840109</v>
      </c>
      <c r="H4" s="10">
        <f>IF(ActiveDatabase=Standby,Secondary!H4,Primary!H4)</f>
        <v>0</v>
      </c>
      <c r="I4" s="13">
        <f>IF(ActiveDatabase=Standby,Secondary!I4,Primary!I4)</f>
        <v>1</v>
      </c>
      <c r="J4" s="13">
        <f>IF(ActiveDatabase=Standby,Secondary!J4,Primary!J4)</f>
        <v>0</v>
      </c>
      <c r="K4" s="13">
        <f>IF(ActiveDatabase=Standby,Secondary!K4,Primary!K4)</f>
        <v>0</v>
      </c>
      <c r="L4" s="13">
        <f>IF(ActiveDatabase=Standby,Secondary!L4,Primary!L4)</f>
        <v>0</v>
      </c>
      <c r="M4" s="7" t="b">
        <f>IF(ActiveDatabase=Standby,Secondary!M4,Primary!M4)</f>
        <v>1</v>
      </c>
      <c r="N4" s="10">
        <f>IF(ActiveDatabase=Standby,Secondary!N4,Primary!N4)</f>
        <v>501.542</v>
      </c>
      <c r="O4" s="10">
        <f>IF(ActiveDatabase=Standby,Secondary!O4,Primary!O4)</f>
        <v>344.5</v>
      </c>
      <c r="P4" s="10">
        <f>IF(ActiveDatabase=Standby,Secondary!P4,Primary!P4)</f>
        <v>511.725</v>
      </c>
      <c r="Q4" s="6">
        <f>IF(ActiveDatabase=Standby,Secondary!Q4,Primary!Q4)</f>
        <v>12</v>
      </c>
      <c r="R4" s="18">
        <f>IF(ActiveDatabase=Standby,Secondary!R4,Primary!R4)</f>
        <v>5.5100002</v>
      </c>
      <c r="S4" s="19">
        <f>IF(ActiveDatabase=Standby,Secondary!S4,Primary!S4)</f>
        <v>311.408723418269</v>
      </c>
      <c r="T4" s="10">
        <f>IF(ActiveDatabase=Standby,Secondary!T4,Primary!T4)</f>
        <v>52658.856</v>
      </c>
      <c r="U4" s="10">
        <f>IF(ActiveDatabase=Standby,Secondary!U4,Primary!U4)</f>
        <v>0</v>
      </c>
      <c r="V4" s="10">
        <f>IF(ActiveDatabase=Standby,Secondary!V4,Primary!V4)</f>
        <v>323.292</v>
      </c>
      <c r="W4" s="6">
        <f>IF(ActiveDatabase=Standby,Secondary!W4,Primary!W4)</f>
        <v>689</v>
      </c>
      <c r="X4" s="6">
        <f>IF(ActiveDatabase=Standby,Secondary!X4,Primary!X4)</f>
        <v>45475.76181</v>
      </c>
      <c r="Y4" s="6">
        <f>IF(ActiveDatabase=Standby,Secondary!Y4,Primary!Y4)</f>
        <v>0</v>
      </c>
      <c r="Z4" s="6">
        <f>IF(ActiveDatabase=Standby,Secondary!Z4,Primary!Z4)</f>
        <v>0</v>
      </c>
      <c r="AA4" s="6" t="str">
        <f>IF(ActiveDatabase=Standby,Secondary!AA4,Primary!AA4)</f>
        <v>Arial</v>
      </c>
      <c r="AB4" s="6"/>
      <c r="AC4" s="6"/>
      <c r="AD4" s="6"/>
      <c r="AE4" s="7"/>
      <c r="AF4" s="7"/>
      <c r="AG4" s="7"/>
      <c r="AH4" s="7"/>
      <c r="AI4" s="7"/>
      <c r="AJ4" s="7"/>
      <c r="AK4" s="7"/>
      <c r="AL4" s="7"/>
      <c r="AM4" s="7"/>
      <c r="AN4" s="7"/>
      <c r="AO4" s="6"/>
      <c r="AP4" s="7"/>
      <c r="AQ4" s="7"/>
      <c r="AR4" s="6"/>
      <c r="AS4" s="6"/>
      <c r="AT4" s="6"/>
      <c r="AU4" s="6"/>
      <c r="AV4" s="6"/>
      <c r="AW4" s="6"/>
      <c r="AX4" s="6"/>
      <c r="AY4" s="6"/>
      <c r="AZ4" s="6"/>
      <c r="BA4" s="6"/>
      <c r="BB4" s="6"/>
      <c r="BC4" s="6"/>
      <c r="BD4" s="6"/>
      <c r="BE4" s="6"/>
      <c r="BF4" s="6"/>
      <c r="BG4" s="6"/>
    </row>
    <row r="5" customHeight="1" spans="1:59">
      <c r="A5" s="9" t="str">
        <f>IF(ActiveDatabase=Standby,Secondary!A5,Primary!A5)</f>
        <v>Calliope R00</v>
      </c>
      <c r="B5" s="5">
        <f>IF(ActiveDatabase=Standby,Secondary!B5,Primary!B5)</f>
        <v>0</v>
      </c>
      <c r="C5" s="5">
        <f>IF(ActiveDatabase=Standby,Secondary!C5,Primary!C5)</f>
        <v>0</v>
      </c>
      <c r="D5" s="5" t="str">
        <f>IF(ActiveDatabase=Standby,Secondary!D5,Primary!D5)</f>
        <v>Calliope</v>
      </c>
      <c r="E5" s="6" t="str">
        <f>IF(ActiveDatabase=Standby,Secondary!E5,Primary!E5)</f>
        <v>Calliope</v>
      </c>
      <c r="F5" s="10">
        <f>IF(ActiveDatabase=Standby,Secondary!F5,Primary!F5)</f>
        <v>22398369.3082472</v>
      </c>
      <c r="G5" s="10">
        <f>IF(ActiveDatabase=Standby,Secondary!G5,Primary!G5)</f>
        <v>37168840.6790112</v>
      </c>
      <c r="H5" s="10">
        <f>IF(ActiveDatabase=Standby,Secondary!H5,Primary!H5)</f>
        <v>0</v>
      </c>
      <c r="I5" s="13">
        <f>IF(ActiveDatabase=Standby,Secondary!I5,Primary!I5)</f>
        <v>1</v>
      </c>
      <c r="J5" s="13">
        <f>IF(ActiveDatabase=Standby,Secondary!J5,Primary!J5)</f>
        <v>0</v>
      </c>
      <c r="K5" s="13">
        <f>IF(ActiveDatabase=Standby,Secondary!K5,Primary!K5)</f>
        <v>0</v>
      </c>
      <c r="L5" s="13">
        <f>IF(ActiveDatabase=Standby,Secondary!L5,Primary!L5)</f>
        <v>0</v>
      </c>
      <c r="M5" s="7" t="b">
        <f>IF(ActiveDatabase=Standby,Secondary!M5,Primary!M5)</f>
        <v>1</v>
      </c>
      <c r="N5" s="10">
        <f>IF(ActiveDatabase=Standby,Secondary!N5,Primary!N5)</f>
        <v>352.214</v>
      </c>
      <c r="O5" s="10">
        <f>IF(ActiveDatabase=Standby,Secondary!O5,Primary!O5)</f>
        <v>240</v>
      </c>
      <c r="P5" s="10">
        <f>IF(ActiveDatabase=Standby,Secondary!P5,Primary!P5)</f>
        <v>402.35</v>
      </c>
      <c r="Q5" s="6">
        <f>IF(ActiveDatabase=Standby,Secondary!Q5,Primary!Q5)</f>
        <v>22</v>
      </c>
      <c r="R5" s="18">
        <f>IF(ActiveDatabase=Standby,Secondary!R5,Primary!R5)</f>
        <v>4.5900002</v>
      </c>
      <c r="S5" s="19">
        <f>IF(ActiveDatabase=Standby,Secondary!S5,Primary!S5)</f>
        <v>114.210406658708</v>
      </c>
      <c r="T5" s="10">
        <f>IF(ActiveDatabase=Standby,Secondary!T5,Primary!T5)</f>
        <v>65823.064</v>
      </c>
      <c r="U5" s="10">
        <f>IF(ActiveDatabase=Standby,Secondary!U5,Primary!U5)</f>
        <v>0</v>
      </c>
      <c r="V5" s="10">
        <f>IF(ActiveDatabase=Standby,Secondary!V5,Primary!V5)</f>
        <v>194.774</v>
      </c>
      <c r="W5" s="6">
        <f>IF(ActiveDatabase=Standby,Secondary!W5,Primary!W5)</f>
        <v>480.666</v>
      </c>
      <c r="X5" s="6">
        <f>IF(ActiveDatabase=Standby,Secondary!X5,Primary!X5)</f>
        <v>45476.55417</v>
      </c>
      <c r="Y5" s="6">
        <f>IF(ActiveDatabase=Standby,Secondary!Y5,Primary!Y5)</f>
        <v>0</v>
      </c>
      <c r="Z5" s="6">
        <f>IF(ActiveDatabase=Standby,Secondary!Z5,Primary!Z5)</f>
        <v>0</v>
      </c>
      <c r="AA5" s="6" t="str">
        <f>IF(ActiveDatabase=Standby,Secondary!AA5,Primary!AA5)</f>
        <v>Calliope</v>
      </c>
      <c r="AB5" s="6"/>
      <c r="AC5" s="6"/>
      <c r="AD5" s="6"/>
      <c r="AE5" s="7"/>
      <c r="AF5" s="7"/>
      <c r="AG5" s="7"/>
      <c r="AH5" s="7"/>
      <c r="AI5" s="7"/>
      <c r="AJ5" s="7"/>
      <c r="AK5" s="7"/>
      <c r="AL5" s="7"/>
      <c r="AM5" s="7"/>
      <c r="AN5" s="7"/>
      <c r="AO5" s="6"/>
      <c r="AP5" s="7"/>
      <c r="AQ5" s="7"/>
      <c r="AR5" s="6"/>
      <c r="AS5" s="6"/>
      <c r="AT5" s="6"/>
      <c r="AU5" s="6"/>
      <c r="AV5" s="6"/>
      <c r="AW5" s="6"/>
      <c r="AX5" s="6"/>
      <c r="AY5" s="6"/>
      <c r="AZ5" s="6"/>
      <c r="BA5" s="6"/>
      <c r="BB5" s="6"/>
      <c r="BC5" s="6"/>
      <c r="BD5" s="6"/>
      <c r="BE5" s="6"/>
      <c r="BF5" s="6"/>
      <c r="BG5" s="6"/>
    </row>
    <row r="6" customHeight="1" spans="1:59">
      <c r="A6" s="9" t="str">
        <f>IF(ActiveDatabase=Standby,Secondary!A6,Primary!A6)</f>
        <v>Cellin R00</v>
      </c>
      <c r="B6" s="5">
        <f>IF(ActiveDatabase=Standby,Secondary!B6,Primary!B6)</f>
        <v>0</v>
      </c>
      <c r="C6" s="5">
        <f>IF(ActiveDatabase=Standby,Secondary!C6,Primary!C6)</f>
        <v>0</v>
      </c>
      <c r="D6" s="5" t="str">
        <f>IF(ActiveDatabase=Standby,Secondary!D6,Primary!D6)</f>
        <v>Cellin</v>
      </c>
      <c r="E6" s="6" t="str">
        <f>IF(ActiveDatabase=Standby,Secondary!E6,Primary!E6)</f>
        <v>Cellin</v>
      </c>
      <c r="F6" s="10">
        <f>IF(ActiveDatabase=Standby,Secondary!F6,Primary!F6)</f>
        <v>-18987611.1192333</v>
      </c>
      <c r="G6" s="10">
        <f>IF(ActiveDatabase=Standby,Secondary!G6,Primary!G6)</f>
        <v>-2709009.66070514</v>
      </c>
      <c r="H6" s="10">
        <f>IF(ActiveDatabase=Standby,Secondary!H6,Primary!H6)</f>
        <v>0</v>
      </c>
      <c r="I6" s="13">
        <f>IF(ActiveDatabase=Standby,Secondary!I6,Primary!I6)</f>
        <v>1</v>
      </c>
      <c r="J6" s="13">
        <f>IF(ActiveDatabase=Standby,Secondary!J6,Primary!J6)</f>
        <v>0</v>
      </c>
      <c r="K6" s="13">
        <f>IF(ActiveDatabase=Standby,Secondary!K6,Primary!K6)</f>
        <v>0</v>
      </c>
      <c r="L6" s="13">
        <f>IF(ActiveDatabase=Standby,Secondary!L6,Primary!L6)</f>
        <v>0</v>
      </c>
      <c r="M6" s="7" t="b">
        <f>IF(ActiveDatabase=Standby,Secondary!M6,Primary!M6)</f>
        <v>1</v>
      </c>
      <c r="N6" s="10">
        <f>IF(ActiveDatabase=Standby,Secondary!N6,Primary!N6)</f>
        <v>380.53</v>
      </c>
      <c r="O6" s="10">
        <f>IF(ActiveDatabase=Standby,Secondary!O6,Primary!O6)</f>
        <v>260</v>
      </c>
      <c r="P6" s="10">
        <f>IF(ActiveDatabase=Standby,Secondary!P6,Primary!P6)</f>
        <v>423.35</v>
      </c>
      <c r="Q6" s="6">
        <f>IF(ActiveDatabase=Standby,Secondary!Q6,Primary!Q6)</f>
        <v>26</v>
      </c>
      <c r="R6" s="18">
        <f>IF(ActiveDatabase=Standby,Secondary!R6,Primary!R6)</f>
        <v>4.4499998</v>
      </c>
      <c r="S6" s="19">
        <f>IF(ActiveDatabase=Standby,Secondary!S6,Primary!S6)</f>
        <v>300.264786541541</v>
      </c>
      <c r="T6" s="10">
        <f>IF(ActiveDatabase=Standby,Secondary!T6,Primary!T6)</f>
        <v>50863.26</v>
      </c>
      <c r="U6" s="10">
        <f>IF(ActiveDatabase=Standby,Secondary!U6,Primary!U6)</f>
        <v>0</v>
      </c>
      <c r="V6" s="10">
        <f>IF(ActiveDatabase=Standby,Secondary!V6,Primary!V6)</f>
        <v>240</v>
      </c>
      <c r="W6" s="6">
        <f>IF(ActiveDatabase=Standby,Secondary!W6,Primary!W6)</f>
        <v>520.666</v>
      </c>
      <c r="X6" s="6">
        <f>IF(ActiveDatabase=Standby,Secondary!X6,Primary!X6)</f>
        <v>45475.78136</v>
      </c>
      <c r="Y6" s="6">
        <f>IF(ActiveDatabase=Standby,Secondary!Y6,Primary!Y6)</f>
        <v>0</v>
      </c>
      <c r="Z6" s="6">
        <f>IF(ActiveDatabase=Standby,Secondary!Z6,Primary!Z6)</f>
        <v>0</v>
      </c>
      <c r="AA6" s="6" t="str">
        <f>IF(ActiveDatabase=Standby,Secondary!AA6,Primary!AA6)</f>
        <v>Cellin</v>
      </c>
      <c r="AB6" s="6"/>
      <c r="AC6" s="6"/>
      <c r="AD6" s="6"/>
      <c r="AE6" s="7"/>
      <c r="AF6" s="7"/>
      <c r="AG6" s="7"/>
      <c r="AH6" s="7"/>
      <c r="AI6" s="7"/>
      <c r="AJ6" s="7"/>
      <c r="AK6" s="7"/>
      <c r="AL6" s="7"/>
      <c r="AM6" s="7"/>
      <c r="AN6" s="7"/>
      <c r="AO6" s="6"/>
      <c r="AP6" s="7"/>
      <c r="AQ6" s="7"/>
      <c r="AR6" s="6"/>
      <c r="AS6" s="6"/>
      <c r="AT6" s="6"/>
      <c r="AU6" s="6"/>
      <c r="AV6" s="6"/>
      <c r="AW6" s="6"/>
      <c r="AX6" s="6"/>
      <c r="AY6" s="6"/>
      <c r="AZ6" s="6"/>
      <c r="BA6" s="6"/>
      <c r="BB6" s="6"/>
      <c r="BC6" s="6"/>
      <c r="BD6" s="6"/>
      <c r="BE6" s="6"/>
      <c r="BF6" s="6"/>
      <c r="BG6" s="6"/>
    </row>
    <row r="7" customHeight="1" spans="1:59">
      <c r="A7" s="9" t="str">
        <f>IF(ActiveDatabase=Standby,Secondary!A7,Primary!A7)</f>
        <v>Clio R00</v>
      </c>
      <c r="B7" s="5">
        <f>IF(ActiveDatabase=Standby,Secondary!B7,Primary!B7)</f>
        <v>0</v>
      </c>
      <c r="C7" s="5">
        <f>IF(ActiveDatabase=Standby,Secondary!C7,Primary!C7)</f>
        <v>0</v>
      </c>
      <c r="D7" s="5" t="str">
        <f>IF(ActiveDatabase=Standby,Secondary!D7,Primary!D7)</f>
        <v>Clio</v>
      </c>
      <c r="E7" s="6" t="str">
        <f>IF(ActiveDatabase=Standby,Secondary!E7,Primary!E7)</f>
        <v>Clio</v>
      </c>
      <c r="F7" s="10">
        <f>IF(ActiveDatabase=Standby,Secondary!F7,Primary!F7)</f>
        <v>22476728.22051</v>
      </c>
      <c r="G7" s="10">
        <f>IF(ActiveDatabase=Standby,Secondary!G7,Primary!G7)</f>
        <v>37091020.0743755</v>
      </c>
      <c r="H7" s="10">
        <f>IF(ActiveDatabase=Standby,Secondary!H7,Primary!H7)</f>
        <v>0</v>
      </c>
      <c r="I7" s="13">
        <f>IF(ActiveDatabase=Standby,Secondary!I7,Primary!I7)</f>
        <v>1</v>
      </c>
      <c r="J7" s="13">
        <f>IF(ActiveDatabase=Standby,Secondary!J7,Primary!J7)</f>
        <v>0</v>
      </c>
      <c r="K7" s="13">
        <f>IF(ActiveDatabase=Standby,Secondary!K7,Primary!K7)</f>
        <v>0</v>
      </c>
      <c r="L7" s="13">
        <f>IF(ActiveDatabase=Standby,Secondary!L7,Primary!L7)</f>
        <v>0</v>
      </c>
      <c r="M7" s="7" t="b">
        <f>IF(ActiveDatabase=Standby,Secondary!M7,Primary!M7)</f>
        <v>1</v>
      </c>
      <c r="N7" s="10">
        <f>IF(ActiveDatabase=Standby,Secondary!N7,Primary!N7)</f>
        <v>489.867</v>
      </c>
      <c r="O7" s="10">
        <f>IF(ActiveDatabase=Standby,Secondary!O7,Primary!O7)</f>
        <v>337.17</v>
      </c>
      <c r="P7" s="10">
        <f>IF(ActiveDatabase=Standby,Secondary!P7,Primary!P7)</f>
        <v>504.025</v>
      </c>
      <c r="Q7" s="6">
        <f>IF(ActiveDatabase=Standby,Secondary!Q7,Primary!Q7)</f>
        <v>20</v>
      </c>
      <c r="R7" s="18">
        <f>IF(ActiveDatabase=Standby,Secondary!R7,Primary!R7)</f>
        <v>3.25</v>
      </c>
      <c r="S7" s="19">
        <f>IF(ActiveDatabase=Standby,Secondary!S7,Primary!S7)</f>
        <v>320.736808241731</v>
      </c>
      <c r="T7" s="10">
        <f>IF(ActiveDatabase=Standby,Secondary!T7,Primary!T7)</f>
        <v>95742.64</v>
      </c>
      <c r="U7" s="10">
        <f>IF(ActiveDatabase=Standby,Secondary!U7,Primary!U7)</f>
        <v>0</v>
      </c>
      <c r="V7" s="10">
        <f>IF(ActiveDatabase=Standby,Secondary!V7,Primary!V7)</f>
        <v>278.839</v>
      </c>
      <c r="W7" s="6">
        <f>IF(ActiveDatabase=Standby,Secondary!W7,Primary!W7)</f>
        <v>674.334</v>
      </c>
      <c r="X7" s="6">
        <f>IF(ActiveDatabase=Standby,Secondary!X7,Primary!X7)</f>
        <v>45476.57125</v>
      </c>
      <c r="Y7" s="6">
        <f>IF(ActiveDatabase=Standby,Secondary!Y7,Primary!Y7)</f>
        <v>0</v>
      </c>
      <c r="Z7" s="6">
        <f>IF(ActiveDatabase=Standby,Secondary!Z7,Primary!Z7)</f>
        <v>0</v>
      </c>
      <c r="AA7" s="6" t="str">
        <f>IF(ActiveDatabase=Standby,Secondary!AA7,Primary!AA7)</f>
        <v>Clio</v>
      </c>
      <c r="AB7" s="6"/>
      <c r="AC7" s="6"/>
      <c r="AD7" s="6"/>
      <c r="AE7" s="7"/>
      <c r="AF7" s="7"/>
      <c r="AG7" s="7"/>
      <c r="AH7" s="7"/>
      <c r="AI7" s="7"/>
      <c r="AJ7" s="7"/>
      <c r="AK7" s="7"/>
      <c r="AL7" s="7"/>
      <c r="AM7" s="7"/>
      <c r="AN7" s="7"/>
      <c r="AO7" s="6"/>
      <c r="AP7" s="7"/>
      <c r="AQ7" s="7"/>
      <c r="AR7" s="6"/>
      <c r="AS7" s="6"/>
      <c r="AT7" s="6"/>
      <c r="AU7" s="6"/>
      <c r="AV7" s="6"/>
      <c r="AW7" s="6"/>
      <c r="AX7" s="6"/>
      <c r="AY7" s="6"/>
      <c r="AZ7" s="6"/>
      <c r="BA7" s="6"/>
      <c r="BB7" s="6"/>
      <c r="BC7" s="6"/>
      <c r="BD7" s="6"/>
      <c r="BE7" s="6"/>
      <c r="BF7" s="6"/>
      <c r="BG7" s="6"/>
    </row>
    <row r="8" customHeight="1" spans="1:59">
      <c r="A8" s="9" t="str">
        <f>IF(ActiveDatabase=Standby,Secondary!A8,Primary!A8)</f>
        <v>Crusader R00</v>
      </c>
      <c r="B8" s="5">
        <f>IF(ActiveDatabase=Standby,Secondary!B8,Primary!B8)</f>
        <v>0</v>
      </c>
      <c r="C8" s="5">
        <f>IF(ActiveDatabase=Standby,Secondary!C8,Primary!C8)</f>
        <v>0</v>
      </c>
      <c r="D8" s="5" t="str">
        <f>IF(ActiveDatabase=Standby,Secondary!D8,Primary!D8)</f>
        <v>Crusader</v>
      </c>
      <c r="E8" s="6" t="str">
        <f>IF(ActiveDatabase=Standby,Secondary!E8,Primary!E8)</f>
        <v>Crusader</v>
      </c>
      <c r="F8" s="10">
        <f>IF(ActiveDatabase=Standby,Secondary!F8,Primary!F8)</f>
        <v>-18962176</v>
      </c>
      <c r="G8" s="10">
        <f>IF(ActiveDatabase=Standby,Secondary!G8,Primary!G8)</f>
        <v>-2664959.99999998</v>
      </c>
      <c r="H8" s="10">
        <f>IF(ActiveDatabase=Standby,Secondary!H8,Primary!H8)</f>
        <v>0</v>
      </c>
      <c r="I8" s="13">
        <f>IF(ActiveDatabase=Standby,Secondary!I8,Primary!I8)</f>
        <v>1</v>
      </c>
      <c r="J8" s="13">
        <f>IF(ActiveDatabase=Standby,Secondary!J8,Primary!J8)</f>
        <v>0</v>
      </c>
      <c r="K8" s="13">
        <f>IF(ActiveDatabase=Standby,Secondary!K8,Primary!K8)</f>
        <v>0</v>
      </c>
      <c r="L8" s="13">
        <f>IF(ActiveDatabase=Standby,Secondary!L8,Primary!L8)</f>
        <v>0</v>
      </c>
      <c r="M8" s="7" t="b">
        <f>IF(ActiveDatabase=Standby,Secondary!M8,Primary!M8)</f>
        <v>1</v>
      </c>
      <c r="N8" s="10">
        <f>IF(ActiveDatabase=Standby,Secondary!N8,Primary!N8)</f>
        <v>10673.17</v>
      </c>
      <c r="O8" s="10">
        <f>IF(ActiveDatabase=Standby,Secondary!O8,Primary!O8)</f>
        <v>7450.01</v>
      </c>
      <c r="P8" s="10">
        <f>IF(ActiveDatabase=Standby,Secondary!P8,Primary!P8)</f>
        <v>7972.5</v>
      </c>
      <c r="Q8" s="6">
        <f>IF(ActiveDatabase=Standby,Secondary!Q8,Primary!Q8)</f>
        <v>12</v>
      </c>
      <c r="R8" s="18">
        <f>IF(ActiveDatabase=Standby,Secondary!R8,Primary!R8)</f>
        <v>5.0999999</v>
      </c>
      <c r="S8" s="19">
        <f>IF(ActiveDatabase=Standby,Secondary!S8,Primary!S8)</f>
        <v>169.960320900157</v>
      </c>
      <c r="T8" s="10">
        <f>IF(ActiveDatabase=Standby,Secondary!T8,Primary!T8)</f>
        <v>19148527.616</v>
      </c>
      <c r="U8" s="10">
        <f>IF(ActiveDatabase=Standby,Secondary!U8,Primary!U8)</f>
        <v>0</v>
      </c>
      <c r="V8" s="10">
        <f>IF(ActiveDatabase=Standby,Secondary!V8,Primary!V8)</f>
        <v>188</v>
      </c>
      <c r="W8" s="6">
        <f>IF(ActiveDatabase=Standby,Secondary!W8,Primary!W8)</f>
        <v>14900</v>
      </c>
      <c r="X8" s="6">
        <f>IF(ActiveDatabase=Standby,Secondary!X8,Primary!X8)</f>
        <v>45475.77739</v>
      </c>
      <c r="Y8" s="6">
        <f>IF(ActiveDatabase=Standby,Secondary!Y8,Primary!Y8)</f>
        <v>0</v>
      </c>
      <c r="Z8" s="6">
        <f>IF(ActiveDatabase=Standby,Secondary!Z8,Primary!Z8)</f>
        <v>0</v>
      </c>
      <c r="AA8" s="6" t="str">
        <f>IF(ActiveDatabase=Standby,Secondary!AA8,Primary!AA8)</f>
        <v>Crusader</v>
      </c>
      <c r="AB8" s="6"/>
      <c r="AC8" s="6"/>
      <c r="AD8" s="6"/>
      <c r="AE8" s="7"/>
      <c r="AF8" s="7"/>
      <c r="AG8" s="7"/>
      <c r="AH8" s="7"/>
      <c r="AI8" s="7"/>
      <c r="AJ8" s="7"/>
      <c r="AK8" s="7"/>
      <c r="AL8" s="7"/>
      <c r="AM8" s="7"/>
      <c r="AN8" s="7"/>
      <c r="AO8" s="6"/>
      <c r="AP8" s="7"/>
      <c r="AQ8" s="7"/>
      <c r="AR8" s="6"/>
      <c r="AS8" s="6"/>
      <c r="AT8" s="6"/>
      <c r="AU8" s="6"/>
      <c r="AV8" s="6"/>
      <c r="AW8" s="6"/>
      <c r="AX8" s="6"/>
      <c r="AY8" s="6"/>
      <c r="AZ8" s="6"/>
      <c r="BA8" s="6"/>
      <c r="BB8" s="6"/>
      <c r="BC8" s="6"/>
      <c r="BD8" s="6"/>
      <c r="BE8" s="6"/>
      <c r="BF8" s="6"/>
      <c r="BG8" s="6"/>
    </row>
    <row r="9" customHeight="1" spans="1:59">
      <c r="A9" s="9" t="str">
        <f>IF(ActiveDatabase=Standby,Secondary!A9,Primary!A9)</f>
        <v>Daymar R00</v>
      </c>
      <c r="B9" s="5">
        <f>IF(ActiveDatabase=Standby,Secondary!B9,Primary!B9)</f>
        <v>0</v>
      </c>
      <c r="C9" s="5">
        <f>IF(ActiveDatabase=Standby,Secondary!C9,Primary!C9)</f>
        <v>0</v>
      </c>
      <c r="D9" s="5" t="str">
        <f>IF(ActiveDatabase=Standby,Secondary!D9,Primary!D9)</f>
        <v>Daymar</v>
      </c>
      <c r="E9" s="6" t="str">
        <f>IF(ActiveDatabase=Standby,Secondary!E9,Primary!E9)</f>
        <v>Daymar</v>
      </c>
      <c r="F9" s="10">
        <f>IF(ActiveDatabase=Standby,Secondary!F9,Primary!F9)</f>
        <v>-18930539.5395348</v>
      </c>
      <c r="G9" s="10">
        <f>IF(ActiveDatabase=Standby,Secondary!G9,Primary!G9)</f>
        <v>-2610158.76549855</v>
      </c>
      <c r="H9" s="10">
        <f>IF(ActiveDatabase=Standby,Secondary!H9,Primary!H9)</f>
        <v>0</v>
      </c>
      <c r="I9" s="13">
        <f>IF(ActiveDatabase=Standby,Secondary!I9,Primary!I9)</f>
        <v>1</v>
      </c>
      <c r="J9" s="13">
        <f>IF(ActiveDatabase=Standby,Secondary!J9,Primary!J9)</f>
        <v>0</v>
      </c>
      <c r="K9" s="13">
        <f>IF(ActiveDatabase=Standby,Secondary!K9,Primary!K9)</f>
        <v>0</v>
      </c>
      <c r="L9" s="13">
        <f>IF(ActiveDatabase=Standby,Secondary!L9,Primary!L9)</f>
        <v>0</v>
      </c>
      <c r="M9" s="7" t="b">
        <f>IF(ActiveDatabase=Standby,Secondary!M9,Primary!M9)</f>
        <v>1</v>
      </c>
      <c r="N9" s="10">
        <f>IF(ActiveDatabase=Standby,Secondary!N9,Primary!N9)</f>
        <v>430.028</v>
      </c>
      <c r="O9" s="10">
        <f>IF(ActiveDatabase=Standby,Secondary!O9,Primary!O9)</f>
        <v>295</v>
      </c>
      <c r="P9" s="10">
        <f>IF(ActiveDatabase=Standby,Secondary!P9,Primary!P9)</f>
        <v>459.75</v>
      </c>
      <c r="Q9" s="6">
        <f>IF(ActiveDatabase=Standby,Secondary!Q9,Primary!Q9)</f>
        <v>74</v>
      </c>
      <c r="R9" s="18">
        <f>IF(ActiveDatabase=Standby,Secondary!R9,Primary!R9)</f>
        <v>2.48</v>
      </c>
      <c r="S9" s="19">
        <f>IF(ActiveDatabase=Standby,Secondary!S9,Primary!S9)</f>
        <v>97.9266280127811</v>
      </c>
      <c r="T9" s="10">
        <f>IF(ActiveDatabase=Standby,Secondary!T9,Primary!T9)</f>
        <v>63279.908</v>
      </c>
      <c r="U9" s="10">
        <f>IF(ActiveDatabase=Standby,Secondary!U9,Primary!U9)</f>
        <v>0</v>
      </c>
      <c r="V9" s="10">
        <f>IF(ActiveDatabase=Standby,Secondary!V9,Primary!V9)</f>
        <v>60</v>
      </c>
      <c r="W9" s="6">
        <f>IF(ActiveDatabase=Standby,Secondary!W9,Primary!W9)</f>
        <v>590</v>
      </c>
      <c r="X9" s="6">
        <f>IF(ActiveDatabase=Standby,Secondary!X9,Primary!X9)</f>
        <v>45475.79209</v>
      </c>
      <c r="Y9" s="6">
        <f>IF(ActiveDatabase=Standby,Secondary!Y9,Primary!Y9)</f>
        <v>0</v>
      </c>
      <c r="Z9" s="6">
        <f>IF(ActiveDatabase=Standby,Secondary!Z9,Primary!Z9)</f>
        <v>0</v>
      </c>
      <c r="AA9" s="6" t="str">
        <f>IF(ActiveDatabase=Standby,Secondary!AA9,Primary!AA9)</f>
        <v>Daymar</v>
      </c>
      <c r="AB9" s="6"/>
      <c r="AC9" s="6"/>
      <c r="AD9" s="6"/>
      <c r="AE9" s="7"/>
      <c r="AF9" s="7"/>
      <c r="AG9" s="7"/>
      <c r="AH9" s="7"/>
      <c r="AI9" s="7"/>
      <c r="AJ9" s="7"/>
      <c r="AK9" s="7"/>
      <c r="AL9" s="7"/>
      <c r="AM9" s="7"/>
      <c r="AN9" s="7"/>
      <c r="AO9" s="6"/>
      <c r="AP9" s="7"/>
      <c r="AQ9" s="7"/>
      <c r="AR9" s="6"/>
      <c r="AS9" s="6"/>
      <c r="AT9" s="6"/>
      <c r="AU9" s="6"/>
      <c r="AV9" s="6"/>
      <c r="AW9" s="6"/>
      <c r="AX9" s="6"/>
      <c r="AY9" s="6"/>
      <c r="AZ9" s="6"/>
      <c r="BA9" s="6"/>
      <c r="BB9" s="6"/>
      <c r="BC9" s="6"/>
      <c r="BD9" s="6"/>
      <c r="BE9" s="6"/>
      <c r="BF9" s="6"/>
      <c r="BG9" s="6"/>
    </row>
    <row r="10" customHeight="1" spans="1:59">
      <c r="A10" s="9" t="str">
        <f>IF(ActiveDatabase=Standby,Secondary!A10,Primary!A10)</f>
        <v>Delamar R00</v>
      </c>
      <c r="B10" s="5">
        <f>IF(ActiveDatabase=Standby,Secondary!B10,Primary!B10)</f>
        <v>0</v>
      </c>
      <c r="C10" s="5">
        <f>IF(ActiveDatabase=Standby,Secondary!C10,Primary!C10)</f>
        <v>0</v>
      </c>
      <c r="D10" s="5" t="str">
        <f>IF(ActiveDatabase=Standby,Secondary!D10,Primary!D10)</f>
        <v>Delamar</v>
      </c>
      <c r="E10" s="6" t="str">
        <f>IF(ActiveDatabase=Standby,Secondary!E10,Primary!E10)</f>
        <v>Delamar</v>
      </c>
      <c r="F10" s="10">
        <f>IF(ActiveDatabase=Standby,Secondary!F10,Primary!F10)</f>
        <v>-10531703.4784293</v>
      </c>
      <c r="G10" s="10">
        <f>IF(ActiveDatabase=Standby,Secondary!G10,Primary!G10)</f>
        <v>18241438.6638409</v>
      </c>
      <c r="H10" s="10">
        <f>IF(ActiveDatabase=Standby,Secondary!H10,Primary!H10)</f>
        <v>0</v>
      </c>
      <c r="I10" s="13">
        <f>IF(ActiveDatabase=Standby,Secondary!I10,Primary!I10)</f>
        <v>-0.02566203</v>
      </c>
      <c r="J10" s="13">
        <f>IF(ActiveDatabase=Standby,Secondary!J10,Primary!J10)</f>
        <v>0.76970404</v>
      </c>
      <c r="K10" s="13">
        <f>IF(ActiveDatabase=Standby,Secondary!K10,Primary!K10)</f>
        <v>-0.45771712</v>
      </c>
      <c r="L10" s="13">
        <f>IF(ActiveDatabase=Standby,Secondary!L10,Primary!L10)</f>
        <v>-0.44428843</v>
      </c>
      <c r="M10" s="7" t="b">
        <f>IF(ActiveDatabase=Standby,Secondary!M10,Primary!M10)</f>
        <v>1</v>
      </c>
      <c r="N10" s="10">
        <f>IF(ActiveDatabase=Standby,Secondary!N10,Primary!N10)</f>
        <v>118.89</v>
      </c>
      <c r="O10" s="10">
        <f>IF(ActiveDatabase=Standby,Secondary!O10,Primary!O10)</f>
        <v>75</v>
      </c>
      <c r="P10" s="10">
        <f>IF(ActiveDatabase=Standby,Secondary!P10,Primary!P10)</f>
        <v>228.75</v>
      </c>
      <c r="Q10" s="6">
        <f>IF(ActiveDatabase=Standby,Secondary!Q10,Primary!Q10)</f>
        <v>10</v>
      </c>
      <c r="R10" s="18">
        <f>IF(ActiveDatabase=Standby,Secondary!R10,Primary!R10)</f>
        <v>0</v>
      </c>
      <c r="S10" s="19">
        <f>IF(ActiveDatabase=Standby,Secondary!S10,Primary!S10)</f>
        <v>0</v>
      </c>
      <c r="T10" s="10">
        <f>IF(ActiveDatabase=Standby,Secondary!T10,Primary!T10)</f>
        <v>21063401.472</v>
      </c>
      <c r="U10" s="10">
        <f>IF(ActiveDatabase=Standby,Secondary!U10,Primary!U10)</f>
        <v>0</v>
      </c>
      <c r="V10" s="10">
        <f>IF(ActiveDatabase=Standby,Secondary!V10,Primary!V10)</f>
        <v>120</v>
      </c>
      <c r="W10" s="6">
        <f>IF(ActiveDatabase=Standby,Secondary!W10,Primary!W10)</f>
        <v>700</v>
      </c>
      <c r="X10" s="6">
        <f>IF(ActiveDatabase=Standby,Secondary!X10,Primary!X10)</f>
        <v>0</v>
      </c>
      <c r="Y10" s="6">
        <f>IF(ActiveDatabase=Standby,Secondary!Y10,Primary!Y10)</f>
        <v>0</v>
      </c>
      <c r="Z10" s="6">
        <f>IF(ActiveDatabase=Standby,Secondary!Z10,Primary!Z10)</f>
        <v>0</v>
      </c>
      <c r="AA10" s="6" t="str">
        <f>IF(ActiveDatabase=Standby,Secondary!AA10,Primary!AA10)</f>
        <v>Euterpe</v>
      </c>
      <c r="AB10" s="6"/>
      <c r="AC10" s="6"/>
      <c r="AD10" s="6"/>
      <c r="AE10" s="7"/>
      <c r="AF10" s="7"/>
      <c r="AG10" s="7"/>
      <c r="AH10" s="7"/>
      <c r="AI10" s="7"/>
      <c r="AJ10" s="7"/>
      <c r="AK10" s="7"/>
      <c r="AL10" s="7"/>
      <c r="AM10" s="7"/>
      <c r="AN10" s="7"/>
      <c r="AO10" s="6"/>
      <c r="AP10" s="7"/>
      <c r="AQ10" s="7"/>
      <c r="AR10" s="6"/>
      <c r="AS10" s="6"/>
      <c r="AT10" s="6"/>
      <c r="AU10" s="6"/>
      <c r="AV10" s="6"/>
      <c r="AW10" s="6"/>
      <c r="AX10" s="6"/>
      <c r="AY10" s="6"/>
      <c r="AZ10" s="6"/>
      <c r="BA10" s="6"/>
      <c r="BB10" s="6"/>
      <c r="BC10" s="6"/>
      <c r="BD10" s="6"/>
      <c r="BE10" s="6"/>
      <c r="BF10" s="6"/>
      <c r="BG10" s="6"/>
    </row>
    <row r="11" customHeight="1" spans="1:59">
      <c r="A11" s="9" t="str">
        <f>IF(ActiveDatabase=Standby,Secondary!A11,Primary!A11)</f>
        <v>Euterpe R00</v>
      </c>
      <c r="B11" s="5">
        <f>IF(ActiveDatabase=Standby,Secondary!B11,Primary!B11)</f>
        <v>0</v>
      </c>
      <c r="C11" s="5">
        <f>IF(ActiveDatabase=Standby,Secondary!C11,Primary!C11)</f>
        <v>0</v>
      </c>
      <c r="D11" s="5" t="str">
        <f>IF(ActiveDatabase=Standby,Secondary!D11,Primary!D11)</f>
        <v>Euterpe</v>
      </c>
      <c r="E11" s="6" t="str">
        <f>IF(ActiveDatabase=Standby,Secondary!E11,Primary!E11)</f>
        <v>Euterpe</v>
      </c>
      <c r="F11" s="10">
        <f>IF(ActiveDatabase=Standby,Secondary!F11,Primary!F11)</f>
        <v>22488109.735701</v>
      </c>
      <c r="G11" s="10">
        <f>IF(ActiveDatabase=Standby,Secondary!G11,Primary!G11)</f>
        <v>37081123.5646791</v>
      </c>
      <c r="H11" s="10">
        <f>IF(ActiveDatabase=Standby,Secondary!H11,Primary!H11)</f>
        <v>0</v>
      </c>
      <c r="I11" s="13">
        <f>IF(ActiveDatabase=Standby,Secondary!I11,Primary!I11)</f>
        <v>1</v>
      </c>
      <c r="J11" s="13">
        <f>IF(ActiveDatabase=Standby,Secondary!J11,Primary!J11)</f>
        <v>0</v>
      </c>
      <c r="K11" s="13">
        <f>IF(ActiveDatabase=Standby,Secondary!K11,Primary!K11)</f>
        <v>0</v>
      </c>
      <c r="L11" s="13">
        <f>IF(ActiveDatabase=Standby,Secondary!L11,Primary!L11)</f>
        <v>0</v>
      </c>
      <c r="M11" s="7" t="b">
        <f>IF(ActiveDatabase=Standby,Secondary!M11,Primary!M11)</f>
        <v>1</v>
      </c>
      <c r="N11" s="10">
        <f>IF(ActiveDatabase=Standby,Secondary!N11,Primary!N11)</f>
        <v>314.031</v>
      </c>
      <c r="O11" s="10">
        <f>IF(ActiveDatabase=Standby,Secondary!O11,Primary!O11)</f>
        <v>213</v>
      </c>
      <c r="P11" s="10">
        <f>IF(ActiveDatabase=Standby,Secondary!P11,Primary!P11)</f>
        <v>373.475</v>
      </c>
      <c r="Q11" s="6">
        <f>IF(ActiveDatabase=Standby,Secondary!Q11,Primary!Q11)</f>
        <v>27</v>
      </c>
      <c r="R11" s="18">
        <f>IF(ActiveDatabase=Standby,Secondary!R11,Primary!R11)</f>
        <v>4.2800002</v>
      </c>
      <c r="S11" s="19">
        <f>IF(ActiveDatabase=Standby,Secondary!S11,Primary!S11)</f>
        <v>99.1054730380663</v>
      </c>
      <c r="T11" s="10">
        <f>IF(ActiveDatabase=Standby,Secondary!T11,Primary!T11)</f>
        <v>107710.472</v>
      </c>
      <c r="U11" s="10">
        <f>IF(ActiveDatabase=Standby,Secondary!U11,Primary!U11)</f>
        <v>0</v>
      </c>
      <c r="V11" s="10">
        <f>IF(ActiveDatabase=Standby,Secondary!V11,Primary!V11)</f>
        <v>284.02</v>
      </c>
      <c r="W11" s="6">
        <f>IF(ActiveDatabase=Standby,Secondary!W11,Primary!W11)</f>
        <v>425.666</v>
      </c>
      <c r="X11" s="6">
        <f>IF(ActiveDatabase=Standby,Secondary!X11,Primary!X11)</f>
        <v>45476.56575</v>
      </c>
      <c r="Y11" s="1">
        <f>IF(ActiveDatabase=Standby,Secondary!Y11,Primary!Y11)</f>
        <v>0</v>
      </c>
      <c r="Z11" s="1">
        <f>IF(ActiveDatabase=Standby,Secondary!Z11,Primary!Z11)</f>
        <v>0</v>
      </c>
      <c r="AA11" s="6" t="str">
        <f>IF(ActiveDatabase=Standby,Secondary!AA11,Primary!AA11)</f>
        <v>Hurston</v>
      </c>
      <c r="AB11" s="6"/>
      <c r="AC11" s="6"/>
      <c r="AD11" s="6"/>
      <c r="AE11" s="7"/>
      <c r="AF11" s="7"/>
      <c r="AG11" s="7"/>
      <c r="AH11" s="7"/>
      <c r="AI11" s="7"/>
      <c r="AJ11" s="7"/>
      <c r="AK11" s="7"/>
      <c r="AL11" s="7"/>
      <c r="AM11" s="7"/>
      <c r="AN11" s="7"/>
      <c r="AO11" s="6"/>
      <c r="AP11" s="7"/>
      <c r="AQ11" s="7"/>
      <c r="AR11" s="6"/>
      <c r="AS11" s="6"/>
      <c r="AT11" s="6"/>
      <c r="AU11" s="6"/>
      <c r="AV11" s="6"/>
      <c r="AW11" s="6"/>
      <c r="AX11" s="6"/>
      <c r="AY11" s="6"/>
      <c r="AZ11" s="6"/>
      <c r="BA11" s="6"/>
      <c r="BB11" s="6"/>
      <c r="BC11" s="6"/>
      <c r="BD11" s="6"/>
      <c r="BE11" s="6"/>
      <c r="BF11" s="6"/>
      <c r="BG11" s="6"/>
    </row>
    <row r="12" customHeight="1" spans="1:59">
      <c r="A12" s="9" t="str">
        <f>IF(ActiveDatabase=Standby,Secondary!A12,Primary!A12)</f>
        <v>Hurston R00</v>
      </c>
      <c r="B12" s="5">
        <f>IF(ActiveDatabase=Standby,Secondary!B12,Primary!B12)</f>
        <v>0</v>
      </c>
      <c r="C12" s="5">
        <f>IF(ActiveDatabase=Standby,Secondary!C12,Primary!C12)</f>
        <v>0</v>
      </c>
      <c r="D12" s="5" t="str">
        <f>IF(ActiveDatabase=Standby,Secondary!D12,Primary!D12)</f>
        <v>Hurston</v>
      </c>
      <c r="E12" s="6" t="str">
        <f>IF(ActiveDatabase=Standby,Secondary!E12,Primary!E12)</f>
        <v>Hurston</v>
      </c>
      <c r="F12" s="10">
        <f>IF(ActiveDatabase=Standby,Secondary!F12,Primary!F12)</f>
        <v>12850457.093</v>
      </c>
      <c r="G12" s="10">
        <f>IF(ActiveDatabase=Standby,Secondary!G12,Primary!G12)</f>
        <v>0</v>
      </c>
      <c r="H12" s="10">
        <f>IF(ActiveDatabase=Standby,Secondary!H12,Primary!H12)</f>
        <v>0</v>
      </c>
      <c r="I12" s="13">
        <f>IF(ActiveDatabase=Standby,Secondary!I12,Primary!I12)</f>
        <v>1</v>
      </c>
      <c r="J12" s="13">
        <f>IF(ActiveDatabase=Standby,Secondary!J12,Primary!J12)</f>
        <v>0</v>
      </c>
      <c r="K12" s="13">
        <f>IF(ActiveDatabase=Standby,Secondary!K12,Primary!K12)</f>
        <v>0</v>
      </c>
      <c r="L12" s="13">
        <f>IF(ActiveDatabase=Standby,Secondary!L12,Primary!L12)</f>
        <v>0</v>
      </c>
      <c r="M12" s="7" t="b">
        <f>IF(ActiveDatabase=Standby,Secondary!M12,Primary!M12)</f>
        <v>1</v>
      </c>
      <c r="N12" s="10">
        <f>IF(ActiveDatabase=Standby,Secondary!N12,Primary!N12)</f>
        <v>1436.814</v>
      </c>
      <c r="O12" s="10">
        <f>IF(ActiveDatabase=Standby,Secondary!O12,Primary!O12)</f>
        <v>1000</v>
      </c>
      <c r="P12" s="10">
        <f>IF(ActiveDatabase=Standby,Secondary!P12,Primary!P12)</f>
        <v>1200</v>
      </c>
      <c r="Q12" s="6">
        <f>IF(ActiveDatabase=Standby,Secondary!Q12,Primary!Q12)</f>
        <v>145</v>
      </c>
      <c r="R12" s="18">
        <f>IF(ActiveDatabase=Standby,Secondary!R12,Primary!R12)</f>
        <v>2.48</v>
      </c>
      <c r="S12" s="19">
        <f>IF(ActiveDatabase=Standby,Secondary!S12,Primary!S12)</f>
        <v>62.7219070339505</v>
      </c>
      <c r="T12" s="10">
        <f>IF(ActiveDatabase=Standby,Secondary!T12,Primary!T12)</f>
        <v>12850457.6</v>
      </c>
      <c r="U12" s="10">
        <f>IF(ActiveDatabase=Standby,Secondary!U12,Primary!U12)</f>
        <v>0</v>
      </c>
      <c r="V12" s="10">
        <f>IF(ActiveDatabase=Standby,Secondary!V12,Primary!V12)</f>
        <v>0</v>
      </c>
      <c r="W12" s="6">
        <f>IF(ActiveDatabase=Standby,Secondary!W12,Primary!W12)</f>
        <v>2000</v>
      </c>
      <c r="X12" s="6">
        <f>IF(ActiveDatabase=Standby,Secondary!X12,Primary!X12)</f>
        <v>45475.76707</v>
      </c>
      <c r="Y12" s="6">
        <f>IF(ActiveDatabase=Standby,Secondary!Y12,Primary!Y12)</f>
        <v>0</v>
      </c>
      <c r="Z12" s="6">
        <f>IF(ActiveDatabase=Standby,Secondary!Z12,Primary!Z12)</f>
        <v>0</v>
      </c>
      <c r="AA12" s="6" t="str">
        <f>IF(ActiveDatabase=Standby,Secondary!AA12,Primary!AA12)</f>
        <v>Ita</v>
      </c>
      <c r="AB12" s="6"/>
      <c r="AC12" s="6"/>
      <c r="AD12" s="6"/>
      <c r="AE12" s="7"/>
      <c r="AF12" s="7"/>
      <c r="AG12" s="7"/>
      <c r="AH12" s="7"/>
      <c r="AI12" s="7"/>
      <c r="AJ12" s="7"/>
      <c r="AK12" s="7"/>
      <c r="AL12" s="7"/>
      <c r="AM12" s="7"/>
      <c r="AN12" s="7"/>
      <c r="AO12" s="6"/>
      <c r="AP12" s="7"/>
      <c r="AQ12" s="7"/>
      <c r="AR12" s="6"/>
      <c r="AS12" s="6"/>
      <c r="AT12" s="6"/>
      <c r="AU12" s="6"/>
      <c r="AV12" s="6"/>
      <c r="AW12" s="6"/>
      <c r="AX12" s="6"/>
      <c r="AY12" s="6"/>
      <c r="AZ12" s="6"/>
      <c r="BA12" s="6"/>
      <c r="BB12" s="6"/>
      <c r="BC12" s="6"/>
      <c r="BD12" s="6"/>
      <c r="BE12" s="6"/>
      <c r="BF12" s="6"/>
      <c r="BG12" s="6"/>
    </row>
    <row r="13" customHeight="1" spans="1:59">
      <c r="A13" s="9" t="str">
        <f>IF(ActiveDatabase=Standby,Secondary!A13,Primary!A13)</f>
        <v>Ita R00</v>
      </c>
      <c r="B13" s="5">
        <f>IF(ActiveDatabase=Standby,Secondary!B13,Primary!B13)</f>
        <v>0</v>
      </c>
      <c r="C13" s="5">
        <f>IF(ActiveDatabase=Standby,Secondary!C13,Primary!C13)</f>
        <v>0</v>
      </c>
      <c r="D13" s="5" t="str">
        <f>IF(ActiveDatabase=Standby,Secondary!D13,Primary!D13)</f>
        <v>Ita</v>
      </c>
      <c r="E13" s="6" t="str">
        <f>IF(ActiveDatabase=Standby,Secondary!E13,Primary!E13)</f>
        <v>Ita</v>
      </c>
      <c r="F13" s="10">
        <f>IF(ActiveDatabase=Standby,Secondary!F13,Primary!F13)</f>
        <v>12830194.7158127</v>
      </c>
      <c r="G13" s="10">
        <f>IF(ActiveDatabase=Standby,Secondary!G13,Primary!G13)</f>
        <v>114913.608600052</v>
      </c>
      <c r="H13" s="10">
        <f>IF(ActiveDatabase=Standby,Secondary!H13,Primary!H13)</f>
        <v>0</v>
      </c>
      <c r="I13" s="13">
        <f>IF(ActiveDatabase=Standby,Secondary!I13,Primary!I13)</f>
        <v>1</v>
      </c>
      <c r="J13" s="13">
        <f>IF(ActiveDatabase=Standby,Secondary!J13,Primary!J13)</f>
        <v>0</v>
      </c>
      <c r="K13" s="13">
        <f>IF(ActiveDatabase=Standby,Secondary!K13,Primary!K13)</f>
        <v>0</v>
      </c>
      <c r="L13" s="13">
        <f>IF(ActiveDatabase=Standby,Secondary!L13,Primary!L13)</f>
        <v>0</v>
      </c>
      <c r="M13" s="7" t="b">
        <f>IF(ActiveDatabase=Standby,Secondary!M13,Primary!M13)</f>
        <v>1</v>
      </c>
      <c r="N13" s="10">
        <f>IF(ActiveDatabase=Standby,Secondary!N13,Primary!N13)</f>
        <v>472.453</v>
      </c>
      <c r="O13" s="10">
        <f>IF(ActiveDatabase=Standby,Secondary!O13,Primary!O13)</f>
        <v>325</v>
      </c>
      <c r="P13" s="10">
        <f>IF(ActiveDatabase=Standby,Secondary!P13,Primary!P13)</f>
        <v>491.25</v>
      </c>
      <c r="Q13" s="6">
        <f>IF(ActiveDatabase=Standby,Secondary!Q13,Primary!Q13)</f>
        <v>44</v>
      </c>
      <c r="R13" s="18">
        <f>IF(ActiveDatabase=Standby,Secondary!R13,Primary!R13)</f>
        <v>4.8499999</v>
      </c>
      <c r="S13" s="19">
        <f>IF(ActiveDatabase=Standby,Secondary!S13,Primary!S13)</f>
        <v>143.590549570971</v>
      </c>
      <c r="T13" s="10">
        <f>IF(ActiveDatabase=Standby,Secondary!T13,Primary!T13)</f>
        <v>116686.336</v>
      </c>
      <c r="U13" s="10">
        <f>IF(ActiveDatabase=Standby,Secondary!U13,Primary!U13)</f>
        <v>0</v>
      </c>
      <c r="V13" s="10">
        <f>IF(ActiveDatabase=Standby,Secondary!V13,Primary!V13)</f>
        <v>100</v>
      </c>
      <c r="W13" s="6">
        <f>IF(ActiveDatabase=Standby,Secondary!W13,Primary!W13)</f>
        <v>650</v>
      </c>
      <c r="X13" s="6">
        <f>IF(ActiveDatabase=Standby,Secondary!X13,Primary!X13)</f>
        <v>45475.75244</v>
      </c>
      <c r="Y13" s="6">
        <f>IF(ActiveDatabase=Standby,Secondary!Y13,Primary!Y13)</f>
        <v>0</v>
      </c>
      <c r="Z13" s="6">
        <f>IF(ActiveDatabase=Standby,Secondary!Z13,Primary!Z13)</f>
        <v>0</v>
      </c>
      <c r="AA13" s="6" t="str">
        <f>IF(ActiveDatabase=Standby,Secondary!AA13,Primary!AA13)</f>
        <v>Lyria</v>
      </c>
      <c r="AB13" s="6"/>
      <c r="AC13" s="6"/>
      <c r="AD13" s="6"/>
      <c r="AE13" s="7"/>
      <c r="AF13" s="7"/>
      <c r="AG13" s="7"/>
      <c r="AH13" s="7"/>
      <c r="AI13" s="7"/>
      <c r="AJ13" s="7"/>
      <c r="AK13" s="7"/>
      <c r="AL13" s="7"/>
      <c r="AM13" s="7"/>
      <c r="AN13" s="7"/>
      <c r="AO13" s="6"/>
      <c r="AP13" s="7"/>
      <c r="AQ13" s="7"/>
      <c r="AR13" s="6"/>
      <c r="AS13" s="6"/>
      <c r="AT13" s="6"/>
      <c r="AU13" s="6"/>
      <c r="AV13" s="6"/>
      <c r="AW13" s="6"/>
      <c r="AX13" s="6"/>
      <c r="AY13" s="6"/>
      <c r="AZ13" s="6"/>
      <c r="BA13" s="6"/>
      <c r="BB13" s="6"/>
      <c r="BC13" s="6"/>
      <c r="BD13" s="6"/>
      <c r="BE13" s="6"/>
      <c r="BF13" s="6"/>
      <c r="BG13" s="6"/>
    </row>
    <row r="14" customHeight="1" spans="1:59">
      <c r="A14" s="9" t="str">
        <f>IF(ActiveDatabase=Standby,Secondary!A14,Primary!A14)</f>
        <v>Lyria R00</v>
      </c>
      <c r="B14" s="5">
        <f>IF(ActiveDatabase=Standby,Secondary!B14,Primary!B14)</f>
        <v>0</v>
      </c>
      <c r="C14" s="5">
        <f>IF(ActiveDatabase=Standby,Secondary!C14,Primary!C14)</f>
        <v>0</v>
      </c>
      <c r="D14" s="5" t="str">
        <f>IF(ActiveDatabase=Standby,Secondary!D14,Primary!D14)</f>
        <v>Lyria</v>
      </c>
      <c r="E14" s="6" t="str">
        <f>IF(ActiveDatabase=Standby,Secondary!E14,Primary!E14)</f>
        <v>Lyria</v>
      </c>
      <c r="F14" s="10">
        <f>IF(ActiveDatabase=Standby,Secondary!F14,Primary!F14)</f>
        <v>18703607.1715559</v>
      </c>
      <c r="G14" s="10">
        <f>IF(ActiveDatabase=Standby,Secondary!G14,Primary!G14)</f>
        <v>-22121650.1338641</v>
      </c>
      <c r="H14" s="10">
        <f>IF(ActiveDatabase=Standby,Secondary!H14,Primary!H14)</f>
        <v>0</v>
      </c>
      <c r="I14" s="13">
        <f>IF(ActiveDatabase=Standby,Secondary!I14,Primary!I14)</f>
        <v>1</v>
      </c>
      <c r="J14" s="13">
        <f>IF(ActiveDatabase=Standby,Secondary!J14,Primary!J14)</f>
        <v>0</v>
      </c>
      <c r="K14" s="13">
        <f>IF(ActiveDatabase=Standby,Secondary!K14,Primary!K14)</f>
        <v>0</v>
      </c>
      <c r="L14" s="13">
        <f>IF(ActiveDatabase=Standby,Secondary!L14,Primary!L14)</f>
        <v>0</v>
      </c>
      <c r="M14" s="7" t="b">
        <f>IF(ActiveDatabase=Standby,Secondary!M14,Primary!M14)</f>
        <v>1</v>
      </c>
      <c r="N14" s="10">
        <f>IF(ActiveDatabase=Standby,Secondary!N14,Primary!N14)</f>
        <v>328.204</v>
      </c>
      <c r="O14" s="10">
        <f>IF(ActiveDatabase=Standby,Secondary!O14,Primary!O14)</f>
        <v>223</v>
      </c>
      <c r="P14" s="10">
        <f>IF(ActiveDatabase=Standby,Secondary!P14,Primary!P14)</f>
        <v>384.15</v>
      </c>
      <c r="Q14" s="6">
        <f>IF(ActiveDatabase=Standby,Secondary!Q14,Primary!Q14)</f>
        <v>29</v>
      </c>
      <c r="R14" s="18">
        <f>IF(ActiveDatabase=Standby,Secondary!R14,Primary!R14)</f>
        <v>6.4299998</v>
      </c>
      <c r="S14" s="19">
        <f>IF(ActiveDatabase=Standby,Secondary!S14,Primary!S14)</f>
        <v>103.057214156613</v>
      </c>
      <c r="T14" s="10">
        <f>IF(ActiveDatabase=Standby,Secondary!T14,Primary!T14)</f>
        <v>119827.896</v>
      </c>
      <c r="U14" s="10">
        <f>IF(ActiveDatabase=Standby,Secondary!U14,Primary!U14)</f>
        <v>0</v>
      </c>
      <c r="V14" s="10">
        <f>IF(ActiveDatabase=Standby,Secondary!V14,Primary!V14)</f>
        <v>14.631</v>
      </c>
      <c r="W14" s="6">
        <f>IF(ActiveDatabase=Standby,Secondary!W14,Primary!W14)</f>
        <v>446</v>
      </c>
      <c r="X14" s="6">
        <f>IF(ActiveDatabase=Standby,Secondary!X14,Primary!X14)</f>
        <v>45473.8807</v>
      </c>
      <c r="Y14" s="6">
        <f>IF(ActiveDatabase=Standby,Secondary!Y14,Primary!Y14)</f>
        <v>0</v>
      </c>
      <c r="Z14" s="6">
        <f>IF(ActiveDatabase=Standby,Secondary!Z14,Primary!Z14)</f>
        <v>0</v>
      </c>
      <c r="AA14" s="6" t="str">
        <f>IF(ActiveDatabase=Standby,Secondary!AA14,Primary!AA14)</f>
        <v>Magda</v>
      </c>
      <c r="AB14" s="6"/>
      <c r="AC14" s="6"/>
      <c r="AD14" s="6"/>
      <c r="AE14" s="7"/>
      <c r="AF14" s="7"/>
      <c r="AG14" s="7"/>
      <c r="AH14" s="7"/>
      <c r="AI14" s="7"/>
      <c r="AJ14" s="7"/>
      <c r="AK14" s="7"/>
      <c r="AL14" s="7"/>
      <c r="AM14" s="7"/>
      <c r="AN14" s="7"/>
      <c r="AO14" s="6"/>
      <c r="AP14" s="7"/>
      <c r="AQ14" s="7"/>
      <c r="AR14" s="6"/>
      <c r="AS14" s="6"/>
      <c r="AT14" s="6"/>
      <c r="AU14" s="6"/>
      <c r="AV14" s="6"/>
      <c r="AW14" s="6"/>
      <c r="AX14" s="6"/>
      <c r="AY14" s="6"/>
      <c r="AZ14" s="6"/>
      <c r="BA14" s="6"/>
      <c r="BB14" s="6"/>
      <c r="BC14" s="6"/>
      <c r="BD14" s="6"/>
      <c r="BE14" s="6"/>
      <c r="BF14" s="6"/>
      <c r="BG14" s="6"/>
    </row>
    <row r="15" customHeight="1" spans="1:59">
      <c r="A15" s="9" t="str">
        <f>IF(ActiveDatabase=Standby,Secondary!A15,Primary!A15)</f>
        <v>Magda R00</v>
      </c>
      <c r="B15" s="5">
        <f>IF(ActiveDatabase=Standby,Secondary!B15,Primary!B15)</f>
        <v>0</v>
      </c>
      <c r="C15" s="5">
        <f>IF(ActiveDatabase=Standby,Secondary!C15,Primary!C15)</f>
        <v>0</v>
      </c>
      <c r="D15" s="5" t="str">
        <f>IF(ActiveDatabase=Standby,Secondary!D15,Primary!D15)</f>
        <v>Magda</v>
      </c>
      <c r="E15" s="6" t="str">
        <f>IF(ActiveDatabase=Standby,Secondary!E15,Primary!E15)</f>
        <v>Magda</v>
      </c>
      <c r="F15" s="10">
        <f>IF(ActiveDatabase=Standby,Secondary!F15,Primary!F15)</f>
        <v>12792686.3594182</v>
      </c>
      <c r="G15" s="10">
        <f>IF(ActiveDatabase=Standby,Secondary!G15,Primary!G15)</f>
        <v>-74464.580982047</v>
      </c>
      <c r="H15" s="10">
        <f>IF(ActiveDatabase=Standby,Secondary!H15,Primary!H15)</f>
        <v>0</v>
      </c>
      <c r="I15" s="13">
        <f>IF(ActiveDatabase=Standby,Secondary!I15,Primary!I15)</f>
        <v>1</v>
      </c>
      <c r="J15" s="13">
        <f>IF(ActiveDatabase=Standby,Secondary!J15,Primary!J15)</f>
        <v>0</v>
      </c>
      <c r="K15" s="13">
        <f>IF(ActiveDatabase=Standby,Secondary!K15,Primary!K15)</f>
        <v>0</v>
      </c>
      <c r="L15" s="13">
        <f>IF(ActiveDatabase=Standby,Secondary!L15,Primary!L15)</f>
        <v>0</v>
      </c>
      <c r="M15" s="7" t="b">
        <f>IF(ActiveDatabase=Standby,Secondary!M15,Primary!M15)</f>
        <v>1</v>
      </c>
      <c r="N15" s="10">
        <f>IF(ActiveDatabase=Standby,Secondary!N15,Primary!N15)</f>
        <v>494.84</v>
      </c>
      <c r="O15" s="10">
        <f>IF(ActiveDatabase=Standby,Secondary!O15,Primary!O15)</f>
        <v>340.83</v>
      </c>
      <c r="P15" s="10">
        <f>IF(ActiveDatabase=Standby,Secondary!P15,Primary!P15)</f>
        <v>507.875</v>
      </c>
      <c r="Q15" s="6">
        <f>IF(ActiveDatabase=Standby,Secondary!Q15,Primary!Q15)</f>
        <v>55</v>
      </c>
      <c r="R15" s="18">
        <f>IF(ActiveDatabase=Standby,Secondary!R15,Primary!R15)</f>
        <v>1.9400001</v>
      </c>
      <c r="S15" s="19">
        <f>IF(ActiveDatabase=Standby,Secondary!S15,Primary!S15)</f>
        <v>116.846258382685</v>
      </c>
      <c r="T15" s="10">
        <f>IF(ActiveDatabase=Standby,Secondary!T15,Primary!T15)</f>
        <v>94246.656</v>
      </c>
      <c r="U15" s="10">
        <f>IF(ActiveDatabase=Standby,Secondary!U15,Primary!U15)</f>
        <v>0</v>
      </c>
      <c r="V15" s="10">
        <f>IF(ActiveDatabase=Standby,Secondary!V15,Primary!V15)</f>
        <v>232.195</v>
      </c>
      <c r="W15" s="6">
        <f>IF(ActiveDatabase=Standby,Secondary!W15,Primary!W15)</f>
        <v>681.666</v>
      </c>
      <c r="X15" s="6">
        <f>IF(ActiveDatabase=Standby,Secondary!X15,Primary!X15)</f>
        <v>45475.74653</v>
      </c>
      <c r="Y15" s="6">
        <f>IF(ActiveDatabase=Standby,Secondary!Y15,Primary!Y15)</f>
        <v>0</v>
      </c>
      <c r="Z15" s="6">
        <f>IF(ActiveDatabase=Standby,Secondary!Z15,Primary!Z15)</f>
        <v>0</v>
      </c>
      <c r="AA15" s="6" t="str">
        <f>IF(ActiveDatabase=Standby,Secondary!AA15,Primary!AA15)</f>
        <v>microTech</v>
      </c>
      <c r="AB15" s="6"/>
      <c r="AC15" s="6"/>
      <c r="AD15" s="6"/>
      <c r="AE15" s="7"/>
      <c r="AF15" s="7"/>
      <c r="AG15" s="7"/>
      <c r="AH15" s="7"/>
      <c r="AI15" s="7"/>
      <c r="AJ15" s="7"/>
      <c r="AK15" s="7"/>
      <c r="AL15" s="7"/>
      <c r="AM15" s="7"/>
      <c r="AN15" s="7"/>
      <c r="AO15" s="6"/>
      <c r="AP15" s="7"/>
      <c r="AQ15" s="7"/>
      <c r="AR15" s="6"/>
      <c r="AS15" s="6"/>
      <c r="AT15" s="6"/>
      <c r="AU15" s="6"/>
      <c r="AV15" s="6"/>
      <c r="AW15" s="6"/>
      <c r="AX15" s="6"/>
      <c r="AY15" s="6"/>
      <c r="AZ15" s="6"/>
      <c r="BA15" s="6"/>
      <c r="BB15" s="6"/>
      <c r="BC15" s="6"/>
      <c r="BD15" s="6"/>
      <c r="BE15" s="6"/>
      <c r="BF15" s="6"/>
      <c r="BG15" s="6"/>
    </row>
    <row r="16" customHeight="1" spans="1:59">
      <c r="A16" s="9" t="str">
        <f>IF(ActiveDatabase=Standby,Secondary!A16,Primary!A16)</f>
        <v>microTech R00</v>
      </c>
      <c r="B16" s="5">
        <f>IF(ActiveDatabase=Standby,Secondary!B16,Primary!B16)</f>
        <v>0</v>
      </c>
      <c r="C16" s="5">
        <f>IF(ActiveDatabase=Standby,Secondary!C16,Primary!C16)</f>
        <v>0</v>
      </c>
      <c r="D16" s="5" t="str">
        <f>IF(ActiveDatabase=Standby,Secondary!D16,Primary!D16)</f>
        <v>microTech</v>
      </c>
      <c r="E16" s="6" t="str">
        <f>IF(ActiveDatabase=Standby,Secondary!E16,Primary!E16)</f>
        <v>microTech</v>
      </c>
      <c r="F16" s="10">
        <f>IF(ActiveDatabase=Standby,Secondary!F16,Primary!F16)</f>
        <v>22462085.2524846</v>
      </c>
      <c r="G16" s="10">
        <f>IF(ActiveDatabase=Standby,Secondary!G16,Primary!G16)</f>
        <v>37185744.9648301</v>
      </c>
      <c r="H16" s="10">
        <f>IF(ActiveDatabase=Standby,Secondary!H16,Primary!H16)</f>
        <v>0</v>
      </c>
      <c r="I16" s="13">
        <f>IF(ActiveDatabase=Standby,Secondary!I16,Primary!I16)</f>
        <v>1</v>
      </c>
      <c r="J16" s="13">
        <f>IF(ActiveDatabase=Standby,Secondary!J16,Primary!J16)</f>
        <v>0</v>
      </c>
      <c r="K16" s="13">
        <f>IF(ActiveDatabase=Standby,Secondary!K16,Primary!K16)</f>
        <v>0</v>
      </c>
      <c r="L16" s="13">
        <f>IF(ActiveDatabase=Standby,Secondary!L16,Primary!L16)</f>
        <v>0</v>
      </c>
      <c r="M16" s="7" t="b">
        <f>IF(ActiveDatabase=Standby,Secondary!M16,Primary!M16)</f>
        <v>1</v>
      </c>
      <c r="N16" s="10">
        <f>IF(ActiveDatabase=Standby,Secondary!N16,Primary!N16)</f>
        <v>1439.593</v>
      </c>
      <c r="O16" s="10">
        <f>IF(ActiveDatabase=Standby,Secondary!O16,Primary!O16)</f>
        <v>1000</v>
      </c>
      <c r="P16" s="10">
        <f>IF(ActiveDatabase=Standby,Secondary!P16,Primary!P16)</f>
        <v>1800</v>
      </c>
      <c r="Q16" s="6">
        <f>IF(ActiveDatabase=Standby,Secondary!Q16,Primary!Q16)</f>
        <v>101</v>
      </c>
      <c r="R16" s="18">
        <f>IF(ActiveDatabase=Standby,Secondary!R16,Primary!R16)</f>
        <v>4.1199999</v>
      </c>
      <c r="S16" s="19">
        <f>IF(ActiveDatabase=Standby,Secondary!S16,Primary!S16)</f>
        <v>158.012884649985</v>
      </c>
      <c r="T16" s="10">
        <f>IF(ActiveDatabase=Standby,Secondary!T16,Primary!T16)</f>
        <v>43443216.384</v>
      </c>
      <c r="U16" s="10">
        <f>IF(ActiveDatabase=Standby,Secondary!U16,Primary!U16)</f>
        <v>0</v>
      </c>
      <c r="V16" s="10">
        <f>IF(ActiveDatabase=Standby,Secondary!V16,Primary!V16)</f>
        <v>58.866</v>
      </c>
      <c r="W16" s="6">
        <f>IF(ActiveDatabase=Standby,Secondary!W16,Primary!W16)</f>
        <v>2300</v>
      </c>
      <c r="X16" s="6">
        <f>IF(ActiveDatabase=Standby,Secondary!X16,Primary!X16)</f>
        <v>45476.5594</v>
      </c>
      <c r="Y16" s="6">
        <f>IF(ActiveDatabase=Standby,Secondary!Y16,Primary!Y16)</f>
        <v>0</v>
      </c>
      <c r="Z16" s="6">
        <f>IF(ActiveDatabase=Standby,Secondary!Z16,Primary!Z16)</f>
        <v>0</v>
      </c>
      <c r="AA16" s="6" t="str">
        <f>IF(ActiveDatabase=Standby,Secondary!AA16,Primary!AA16)</f>
        <v>Wala</v>
      </c>
      <c r="AB16" s="6"/>
      <c r="AC16" s="6"/>
      <c r="AD16" s="6"/>
      <c r="AE16" s="7"/>
      <c r="AF16" s="7"/>
      <c r="AG16" s="7"/>
      <c r="AH16" s="7"/>
      <c r="AI16" s="7"/>
      <c r="AJ16" s="7"/>
      <c r="AK16" s="7"/>
      <c r="AL16" s="7"/>
      <c r="AM16" s="7"/>
      <c r="AN16" s="7"/>
      <c r="AO16" s="6"/>
      <c r="AP16" s="7"/>
      <c r="AQ16" s="7"/>
      <c r="AR16" s="6"/>
      <c r="AS16" s="6"/>
      <c r="AT16" s="6"/>
      <c r="AU16" s="6"/>
      <c r="AV16" s="6"/>
      <c r="AW16" s="6"/>
      <c r="AX16" s="6"/>
      <c r="AY16" s="6"/>
      <c r="AZ16" s="6"/>
      <c r="BA16" s="6"/>
      <c r="BB16" s="6"/>
      <c r="BC16" s="6"/>
      <c r="BD16" s="6"/>
      <c r="BE16" s="6"/>
      <c r="BF16" s="6"/>
      <c r="BG16" s="6"/>
    </row>
    <row r="17" customHeight="1" spans="1:59">
      <c r="A17" s="9" t="str">
        <f>IF(ActiveDatabase=Standby,Secondary!A17,Primary!A17)</f>
        <v>Stanton R00</v>
      </c>
      <c r="B17" s="5">
        <f>IF(ActiveDatabase=Standby,Secondary!B17,Primary!B17)</f>
        <v>0</v>
      </c>
      <c r="C17" s="5">
        <f>IF(ActiveDatabase=Standby,Secondary!C17,Primary!C17)</f>
        <v>0</v>
      </c>
      <c r="D17" s="5" t="str">
        <f>IF(ActiveDatabase=Standby,Secondary!D17,Primary!D17)</f>
        <v>Stanton</v>
      </c>
      <c r="E17" s="6" t="str">
        <f>IF(ActiveDatabase=Standby,Secondary!E17,Primary!E17)</f>
        <v>Stanton</v>
      </c>
      <c r="F17" s="10">
        <f>IF(ActiveDatabase=Standby,Secondary!F17,Primary!F17)</f>
        <v>136049.869550902</v>
      </c>
      <c r="G17" s="10">
        <f>IF(ActiveDatabase=Standby,Secondary!G17,Primary!G17)</f>
        <v>1294427.3997762</v>
      </c>
      <c r="H17" s="10">
        <f>IF(ActiveDatabase=Standby,Secondary!H17,Primary!H17)</f>
        <v>2923345.3678455</v>
      </c>
      <c r="I17" s="13">
        <f>IF(ActiveDatabase=Standby,Secondary!I17,Primary!I17)</f>
        <v>1</v>
      </c>
      <c r="J17" s="13">
        <f>IF(ActiveDatabase=Standby,Secondary!J17,Primary!J17)</f>
        <v>0</v>
      </c>
      <c r="K17" s="13">
        <f>IF(ActiveDatabase=Standby,Secondary!K17,Primary!K17)</f>
        <v>1e-8</v>
      </c>
      <c r="L17" s="13">
        <f>IF(ActiveDatabase=Standby,Secondary!L17,Primary!L17)</f>
        <v>2e-8</v>
      </c>
      <c r="M17" s="7" t="b">
        <f>IF(ActiveDatabase=Standby,Secondary!M17,Primary!M17)</f>
        <v>1</v>
      </c>
      <c r="N17" s="10">
        <f>IF(ActiveDatabase=Standby,Secondary!N17,Primary!N17)</f>
        <v>0</v>
      </c>
      <c r="O17" s="10">
        <f>IF(ActiveDatabase=Standby,Secondary!O17,Primary!O17)</f>
        <v>696000</v>
      </c>
      <c r="P17" s="10">
        <f>IF(ActiveDatabase=Standby,Secondary!P17,Primary!P17)</f>
        <v>0</v>
      </c>
      <c r="Q17" s="6">
        <f>IF(ActiveDatabase=Standby,Secondary!Q17,Primary!Q17)</f>
        <v>0</v>
      </c>
      <c r="R17" s="18">
        <f>IF(ActiveDatabase=Standby,Secondary!R17,Primary!R17)</f>
        <v>0</v>
      </c>
      <c r="S17" s="19">
        <f>IF(ActiveDatabase=Standby,Secondary!S17,Primary!S17)</f>
        <v>0</v>
      </c>
      <c r="T17" s="10">
        <f>IF(ActiveDatabase=Standby,Secondary!T17,Primary!T17)</f>
        <v>0</v>
      </c>
      <c r="U17" s="10">
        <f>IF(ActiveDatabase=Standby,Secondary!U17,Primary!U17)</f>
        <v>0</v>
      </c>
      <c r="V17" s="10">
        <f>IF(ActiveDatabase=Standby,Secondary!V17,Primary!V17)</f>
        <v>0</v>
      </c>
      <c r="W17" s="6">
        <f>IF(ActiveDatabase=Standby,Secondary!W17,Primary!W17)</f>
        <v>0</v>
      </c>
      <c r="X17" s="6">
        <f>IF(ActiveDatabase=Standby,Secondary!X17,Primary!X17)</f>
        <v>0</v>
      </c>
      <c r="Y17" s="6">
        <f>IF(ActiveDatabase=Standby,Secondary!Y17,Primary!Y17)</f>
        <v>0</v>
      </c>
      <c r="Z17" s="6">
        <f>IF(ActiveDatabase=Standby,Secondary!Z17,Primary!Z17)</f>
        <v>0</v>
      </c>
      <c r="AA17" s="6" t="str">
        <f>IF(ActiveDatabase=Standby,Secondary!AA17,Primary!AA17)</f>
        <v>Yela</v>
      </c>
      <c r="AB17" s="6"/>
      <c r="AC17" s="6"/>
      <c r="AD17" s="6"/>
      <c r="AE17" s="7"/>
      <c r="AF17" s="7"/>
      <c r="AG17" s="7"/>
      <c r="AH17" s="7"/>
      <c r="AI17" s="7"/>
      <c r="AJ17" s="7"/>
      <c r="AK17" s="7"/>
      <c r="AL17" s="7"/>
      <c r="AM17" s="7"/>
      <c r="AN17" s="7"/>
      <c r="AO17" s="6"/>
      <c r="AP17" s="7"/>
      <c r="AQ17" s="7"/>
      <c r="AR17" s="6"/>
      <c r="AS17" s="6"/>
      <c r="AT17" s="6"/>
      <c r="AU17" s="6"/>
      <c r="AV17" s="6"/>
      <c r="AW17" s="6"/>
      <c r="AX17" s="6"/>
      <c r="AY17" s="6"/>
      <c r="AZ17" s="6"/>
      <c r="BA17" s="6"/>
      <c r="BB17" s="6"/>
      <c r="BC17" s="6"/>
      <c r="BD17" s="6"/>
      <c r="BE17" s="6"/>
      <c r="BF17" s="6"/>
      <c r="BG17" s="6"/>
    </row>
    <row r="18" customHeight="1" spans="1:59">
      <c r="A18" s="9" t="str">
        <f>IF(ActiveDatabase=Standby,Secondary!A18,Primary!A18)</f>
        <v>Wala R00</v>
      </c>
      <c r="B18" s="5">
        <f>IF(ActiveDatabase=Standby,Secondary!B18,Primary!B18)</f>
        <v>0</v>
      </c>
      <c r="C18" s="5">
        <f>IF(ActiveDatabase=Standby,Secondary!C18,Primary!C18)</f>
        <v>0</v>
      </c>
      <c r="D18" s="5" t="str">
        <f>IF(ActiveDatabase=Standby,Secondary!D18,Primary!D18)</f>
        <v>Wala</v>
      </c>
      <c r="E18" s="6" t="str">
        <f>IF(ActiveDatabase=Standby,Secondary!E18,Primary!E18)</f>
        <v>Wala</v>
      </c>
      <c r="F18" s="10">
        <f>IF(ActiveDatabase=Standby,Secondary!F18,Primary!F18)</f>
        <v>18379649.3098674</v>
      </c>
      <c r="G18" s="10">
        <f>IF(ActiveDatabase=Standby,Secondary!G18,Primary!G18)</f>
        <v>-22000466.7680382</v>
      </c>
      <c r="H18" s="10">
        <f>IF(ActiveDatabase=Standby,Secondary!H18,Primary!H18)</f>
        <v>0</v>
      </c>
      <c r="I18" s="13">
        <f>IF(ActiveDatabase=Standby,Secondary!I18,Primary!I18)</f>
        <v>1</v>
      </c>
      <c r="J18" s="13">
        <f>IF(ActiveDatabase=Standby,Secondary!J18,Primary!J18)</f>
        <v>0</v>
      </c>
      <c r="K18" s="13">
        <f>IF(ActiveDatabase=Standby,Secondary!K18,Primary!K18)</f>
        <v>0</v>
      </c>
      <c r="L18" s="13">
        <f>IF(ActiveDatabase=Standby,Secondary!L18,Primary!L18)</f>
        <v>0</v>
      </c>
      <c r="M18" s="7" t="b">
        <f>IF(ActiveDatabase=Standby,Secondary!M18,Primary!M18)</f>
        <v>1</v>
      </c>
      <c r="N18" s="10">
        <f>IF(ActiveDatabase=Standby,Secondary!N18,Primary!N18)</f>
        <v>413.056</v>
      </c>
      <c r="O18" s="10">
        <f>IF(ActiveDatabase=Standby,Secondary!O18,Primary!O18)</f>
        <v>283</v>
      </c>
      <c r="P18" s="10">
        <f>IF(ActiveDatabase=Standby,Secondary!P18,Primary!P18)</f>
        <v>447.308</v>
      </c>
      <c r="Q18" s="6">
        <f>IF(ActiveDatabase=Standby,Secondary!Q18,Primary!Q18)</f>
        <v>42</v>
      </c>
      <c r="R18" s="18">
        <f>IF(ActiveDatabase=Standby,Secondary!R18,Primary!R18)</f>
        <v>6.3200002</v>
      </c>
      <c r="S18" s="19">
        <f>IF(ActiveDatabase=Standby,Secondary!S18,Primary!S18)</f>
        <v>294.677991953506</v>
      </c>
      <c r="T18" s="10">
        <f>IF(ActiveDatabase=Standby,Secondary!T18,Primary!T18)</f>
        <v>257308.32</v>
      </c>
      <c r="U18" s="10">
        <f>IF(ActiveDatabase=Standby,Secondary!U18,Primary!U18)</f>
        <v>0</v>
      </c>
      <c r="V18" s="10">
        <f>IF(ActiveDatabase=Standby,Secondary!V18,Primary!V18)</f>
        <v>143.943</v>
      </c>
      <c r="W18" s="6">
        <f>IF(ActiveDatabase=Standby,Secondary!W18,Primary!W18)</f>
        <v>566.3</v>
      </c>
      <c r="X18" s="6">
        <f>IF(ActiveDatabase=Standby,Secondary!X18,Primary!X18)</f>
        <v>45473.87405</v>
      </c>
      <c r="Y18" s="7">
        <f>IF(ActiveDatabase=Standby,Secondary!Y18,Primary!Y18)</f>
        <v>0</v>
      </c>
      <c r="Z18" s="7">
        <f>IF(ActiveDatabase=Standby,Secondary!Z18,Primary!Z18)</f>
        <v>0</v>
      </c>
      <c r="AA18" s="6" t="str">
        <f>IF(ActiveDatabase=Standby,Secondary!AA18,Primary!AA18)</f>
        <v>HUR-L1</v>
      </c>
      <c r="AB18" s="6"/>
      <c r="AC18" s="6"/>
      <c r="AD18" s="6"/>
      <c r="AE18" s="7"/>
      <c r="AF18" s="7"/>
      <c r="AG18" s="7"/>
      <c r="AH18" s="7"/>
      <c r="AI18" s="7"/>
      <c r="AJ18" s="7"/>
      <c r="AK18" s="7"/>
      <c r="AL18" s="7"/>
      <c r="AM18" s="7"/>
      <c r="AN18" s="7"/>
      <c r="AO18" s="6"/>
      <c r="AP18" s="7"/>
      <c r="AQ18" s="7"/>
      <c r="AR18" s="6"/>
      <c r="AS18" s="6"/>
      <c r="AT18" s="6"/>
      <c r="AU18" s="6"/>
      <c r="AV18" s="6"/>
      <c r="AW18" s="6"/>
      <c r="AX18" s="6"/>
      <c r="AY18" s="6"/>
      <c r="AZ18" s="6"/>
      <c r="BA18" s="6"/>
      <c r="BB18" s="6"/>
      <c r="BC18" s="6"/>
      <c r="BD18" s="6"/>
      <c r="BE18" s="6"/>
      <c r="BF18" s="6"/>
      <c r="BG18" s="6"/>
    </row>
    <row r="19" customHeight="1" spans="1:59">
      <c r="A19" s="9" t="str">
        <f>IF(ActiveDatabase=Standby,Secondary!A19,Primary!A19)</f>
        <v>Yela R00</v>
      </c>
      <c r="B19" s="5">
        <f>IF(ActiveDatabase=Standby,Secondary!B19,Primary!B19)</f>
        <v>0</v>
      </c>
      <c r="C19" s="5">
        <f>IF(ActiveDatabase=Standby,Secondary!C19,Primary!C19)</f>
        <v>0</v>
      </c>
      <c r="D19" s="5" t="str">
        <f>IF(ActiveDatabase=Standby,Secondary!D19,Primary!D19)</f>
        <v>Yela</v>
      </c>
      <c r="E19" s="6" t="str">
        <f>IF(ActiveDatabase=Standby,Secondary!E19,Primary!E19)</f>
        <v>Yela</v>
      </c>
      <c r="F19" s="10">
        <f>IF(ActiveDatabase=Standby,Secondary!F19,Primary!F19)</f>
        <v>-19022916.7989273</v>
      </c>
      <c r="G19" s="10">
        <f>IF(ActiveDatabase=Standby,Secondary!G19,Primary!G19)</f>
        <v>-2613996.15199846</v>
      </c>
      <c r="H19" s="10">
        <f>IF(ActiveDatabase=Standby,Secondary!H19,Primary!H19)</f>
        <v>0</v>
      </c>
      <c r="I19" s="13">
        <f>IF(ActiveDatabase=Standby,Secondary!I19,Primary!I19)</f>
        <v>1</v>
      </c>
      <c r="J19" s="13">
        <f>IF(ActiveDatabase=Standby,Secondary!J19,Primary!J19)</f>
        <v>0</v>
      </c>
      <c r="K19" s="13">
        <f>IF(ActiveDatabase=Standby,Secondary!K19,Primary!K19)</f>
        <v>0</v>
      </c>
      <c r="L19" s="13">
        <f>IF(ActiveDatabase=Standby,Secondary!L19,Primary!L19)</f>
        <v>0</v>
      </c>
      <c r="M19" s="7" t="b">
        <f>IF(ActiveDatabase=Standby,Secondary!M19,Primary!M19)</f>
        <v>1</v>
      </c>
      <c r="N19" s="10">
        <f>IF(ActiveDatabase=Standby,Secondary!N19,Primary!N19)</f>
        <v>455.483</v>
      </c>
      <c r="O19" s="10">
        <f>IF(ActiveDatabase=Standby,Secondary!O19,Primary!O19)</f>
        <v>313</v>
      </c>
      <c r="P19" s="10">
        <f>IF(ActiveDatabase=Standby,Secondary!P19,Primary!P19)</f>
        <v>478.65</v>
      </c>
      <c r="Q19" s="6">
        <f>IF(ActiveDatabase=Standby,Secondary!Q19,Primary!Q19)</f>
        <v>31</v>
      </c>
      <c r="R19" s="18">
        <f>IF(ActiveDatabase=Standby,Secondary!R19,Primary!R19)</f>
        <v>1.8200001</v>
      </c>
      <c r="S19" s="19">
        <f>IF(ActiveDatabase=Standby,Secondary!S19,Primary!S19)</f>
        <v>268.80398404542</v>
      </c>
      <c r="T19" s="10">
        <f>IF(ActiveDatabase=Standby,Secondary!T19,Primary!T19)</f>
        <v>79286.88</v>
      </c>
      <c r="U19" s="10">
        <f>IF(ActiveDatabase=Standby,Secondary!U19,Primary!U19)</f>
        <v>0</v>
      </c>
      <c r="V19" s="10">
        <f>IF(ActiveDatabase=Standby,Secondary!V19,Primary!V19)</f>
        <v>140</v>
      </c>
      <c r="W19" s="6">
        <f>IF(ActiveDatabase=Standby,Secondary!W19,Primary!W19)</f>
        <v>1016.6</v>
      </c>
      <c r="X19" s="6">
        <f>IF(ActiveDatabase=Standby,Secondary!X19,Primary!X19)</f>
        <v>45475.78765</v>
      </c>
      <c r="Y19" s="6">
        <f>IF(ActiveDatabase=Standby,Secondary!Y19,Primary!Y19)</f>
        <v>0</v>
      </c>
      <c r="Z19" s="6">
        <f>IF(ActiveDatabase=Standby,Secondary!Z19,Primary!Z19)</f>
        <v>0</v>
      </c>
      <c r="AA19" s="6" t="str">
        <f>IF(ActiveDatabase=Standby,Secondary!AA19,Primary!AA19)</f>
        <v>HUR-L2</v>
      </c>
      <c r="AB19" s="6"/>
      <c r="AC19" s="6"/>
      <c r="AD19" s="6"/>
      <c r="AE19" s="7"/>
      <c r="AF19" s="7"/>
      <c r="AG19" s="7"/>
      <c r="AH19" s="7"/>
      <c r="AI19" s="7"/>
      <c r="AJ19" s="7"/>
      <c r="AK19" s="7"/>
      <c r="AL19" s="7"/>
      <c r="AM19" s="7"/>
      <c r="AN19" s="7"/>
      <c r="AO19" s="6"/>
      <c r="AP19" s="7"/>
      <c r="AQ19" s="7"/>
      <c r="AR19" s="6"/>
      <c r="AS19" s="6"/>
      <c r="AT19" s="6"/>
      <c r="AU19" s="6"/>
      <c r="AV19" s="6"/>
      <c r="AW19" s="6"/>
      <c r="AX19" s="6"/>
      <c r="AY19" s="6"/>
      <c r="AZ19" s="6"/>
      <c r="BA19" s="6"/>
      <c r="BB19" s="6"/>
      <c r="BC19" s="6"/>
      <c r="BD19" s="6"/>
      <c r="BE19" s="6"/>
      <c r="BF19" s="6"/>
      <c r="BG19" s="6"/>
    </row>
    <row r="20" customHeight="1" spans="1:59">
      <c r="A20" s="9" t="str">
        <f>IF(ActiveDatabase=Standby,Secondary!A20,Primary!A20)</f>
        <v>Earth R00</v>
      </c>
      <c r="B20" s="5">
        <f>IF(ActiveDatabase=Standby,Secondary!B20,Primary!B20)</f>
        <v>0</v>
      </c>
      <c r="C20" s="5">
        <f>IF(ActiveDatabase=Standby,Secondary!C20,Primary!C20)</f>
        <v>0</v>
      </c>
      <c r="D20" s="5" t="str">
        <f>IF(ActiveDatabase=Standby,Secondary!D20,Primary!D20)</f>
        <v>Earth</v>
      </c>
      <c r="E20" s="6" t="str">
        <f>IF(ActiveDatabase=Standby,Secondary!E20,Primary!E20)</f>
        <v>Earth</v>
      </c>
      <c r="F20" s="10">
        <f>IF(ActiveDatabase=Standby,Secondary!F20,Primary!F20)</f>
        <v>0</v>
      </c>
      <c r="G20" s="10">
        <f>IF(ActiveDatabase=Standby,Secondary!G20,Primary!G20)</f>
        <v>0</v>
      </c>
      <c r="H20" s="10">
        <f>IF(ActiveDatabase=Standby,Secondary!H20,Primary!H20)</f>
        <v>0</v>
      </c>
      <c r="I20" s="13">
        <f>IF(ActiveDatabase=Standby,Secondary!I20,Primary!I20)</f>
        <v>0</v>
      </c>
      <c r="J20" s="13">
        <f>IF(ActiveDatabase=Standby,Secondary!J20,Primary!J20)</f>
        <v>0</v>
      </c>
      <c r="K20" s="13">
        <f>IF(ActiveDatabase=Standby,Secondary!K20,Primary!K20)</f>
        <v>0</v>
      </c>
      <c r="L20" s="13">
        <f>IF(ActiveDatabase=Standby,Secondary!L20,Primary!L20)</f>
        <v>0</v>
      </c>
      <c r="M20" s="7">
        <f>IF(ActiveDatabase=Standby,Secondary!M20,Primary!M20)</f>
        <v>0</v>
      </c>
      <c r="N20" s="10">
        <f>IF(ActiveDatabase=Standby,Secondary!N20,Primary!N20)</f>
        <v>9239.782</v>
      </c>
      <c r="O20" s="10">
        <f>IF(ActiveDatabase=Standby,Secondary!O20,Primary!O20)</f>
        <v>6378.1</v>
      </c>
      <c r="P20" s="10">
        <f>IF(ActiveDatabase=Standby,Secondary!P20,Primary!P20)</f>
        <v>0</v>
      </c>
      <c r="Q20" s="6">
        <f>IF(ActiveDatabase=Standby,Secondary!Q20,Primary!Q20)</f>
        <v>0</v>
      </c>
      <c r="R20" s="18">
        <f>IF(ActiveDatabase=Standby,Secondary!R20,Primary!R20)</f>
        <v>0</v>
      </c>
      <c r="S20" s="19">
        <f>IF(ActiveDatabase=Standby,Secondary!S20,Primary!S20)</f>
        <v>0</v>
      </c>
      <c r="T20" s="10">
        <f>IF(ActiveDatabase=Standby,Secondary!T20,Primary!T20)</f>
        <v>0</v>
      </c>
      <c r="U20" s="10">
        <f>IF(ActiveDatabase=Standby,Secondary!U20,Primary!U20)</f>
        <v>0</v>
      </c>
      <c r="V20" s="10">
        <f>IF(ActiveDatabase=Standby,Secondary!V20,Primary!V20)</f>
        <v>0</v>
      </c>
      <c r="W20" s="6">
        <f>IF(ActiveDatabase=Standby,Secondary!W20,Primary!W20)</f>
        <v>0</v>
      </c>
      <c r="X20" s="6">
        <f>IF(ActiveDatabase=Standby,Secondary!X20,Primary!X20)</f>
        <v>0</v>
      </c>
      <c r="Y20" s="6">
        <f>IF(ActiveDatabase=Standby,Secondary!Y20,Primary!Y20)</f>
        <v>0</v>
      </c>
      <c r="Z20" s="6">
        <f>IF(ActiveDatabase=Standby,Secondary!Z20,Primary!Z20)</f>
        <v>0</v>
      </c>
      <c r="AA20" s="6" t="str">
        <f>IF(ActiveDatabase=Standby,Secondary!AA20,Primary!AA20)</f>
        <v>HUR-L3</v>
      </c>
      <c r="AB20" s="6"/>
      <c r="AC20" s="6"/>
      <c r="AD20" s="6"/>
      <c r="AE20" s="7"/>
      <c r="AF20" s="7"/>
      <c r="AG20" s="7"/>
      <c r="AH20" s="7"/>
      <c r="AI20" s="7"/>
      <c r="AJ20" s="7"/>
      <c r="AK20" s="7"/>
      <c r="AL20" s="7"/>
      <c r="AM20" s="7"/>
      <c r="AN20" s="7"/>
      <c r="AO20" s="6"/>
      <c r="AP20" s="7"/>
      <c r="AQ20" s="7"/>
      <c r="AR20" s="6"/>
      <c r="AS20" s="6"/>
      <c r="AT20" s="6"/>
      <c r="AU20" s="6"/>
      <c r="AV20" s="6"/>
      <c r="AW20" s="6"/>
      <c r="AX20" s="6"/>
      <c r="AY20" s="6"/>
      <c r="AZ20" s="6"/>
      <c r="BA20" s="6"/>
      <c r="BB20" s="6"/>
      <c r="BC20" s="6"/>
      <c r="BD20" s="6"/>
      <c r="BE20" s="6"/>
      <c r="BF20" s="6"/>
      <c r="BG20" s="6"/>
    </row>
    <row r="21" customHeight="1" spans="1:59">
      <c r="A21" s="9" t="str">
        <f>IF(ActiveDatabase=Standby,Secondary!A21,Primary!A21)</f>
        <v>ARC-L1 R00</v>
      </c>
      <c r="B21" s="5">
        <f>IF(ActiveDatabase=Standby,Secondary!B21,Primary!B21)</f>
        <v>0</v>
      </c>
      <c r="C21" s="5">
        <f>IF(ActiveDatabase=Standby,Secondary!C21,Primary!C21)</f>
        <v>0</v>
      </c>
      <c r="D21" s="5" t="str">
        <f>IF(ActiveDatabase=Standby,Secondary!D21,Primary!D21)</f>
        <v>ARC-L1</v>
      </c>
      <c r="E21" s="6" t="str">
        <f>IF(ActiveDatabase=Standby,Secondary!E21,Primary!E21)</f>
        <v>ARC-L1</v>
      </c>
      <c r="F21" s="10">
        <f>IF(ActiveDatabase=Standby,Secondary!F21,Primary!F21)</f>
        <v>16729134.6373846</v>
      </c>
      <c r="G21" s="10">
        <f>IF(ActiveDatabase=Standby,Secondary!G21,Primary!G21)</f>
        <v>-19937006.9248913</v>
      </c>
      <c r="H21" s="10">
        <f>IF(ActiveDatabase=Standby,Secondary!H21,Primary!H21)</f>
        <v>8.076625</v>
      </c>
      <c r="I21" s="13">
        <f>IF(ActiveDatabase=Standby,Secondary!I21,Primary!I21)</f>
        <v>1</v>
      </c>
      <c r="J21" s="13">
        <f>IF(ActiveDatabase=Standby,Secondary!J21,Primary!J21)</f>
        <v>0</v>
      </c>
      <c r="K21" s="13">
        <f>IF(ActiveDatabase=Standby,Secondary!K21,Primary!K21)</f>
        <v>0</v>
      </c>
      <c r="L21" s="13">
        <f>IF(ActiveDatabase=Standby,Secondary!L21,Primary!L21)</f>
        <v>0</v>
      </c>
      <c r="M21" s="7" t="b">
        <f>IF(ActiveDatabase=Standby,Secondary!M21,Primary!M21)</f>
        <v>1</v>
      </c>
      <c r="N21" s="10">
        <f>IF(ActiveDatabase=Standby,Secondary!N21,Primary!N21)</f>
        <v>0</v>
      </c>
      <c r="O21" s="10">
        <f>IF(ActiveDatabase=Standby,Secondary!O21,Primary!O21)</f>
        <v>0</v>
      </c>
      <c r="P21" s="10">
        <f>IF(ActiveDatabase=Standby,Secondary!P21,Primary!P21)</f>
        <v>0</v>
      </c>
      <c r="Q21" s="6">
        <f>IF(ActiveDatabase=Standby,Secondary!Q21,Primary!Q21)</f>
        <v>0</v>
      </c>
      <c r="R21" s="18">
        <f>IF(ActiveDatabase=Standby,Secondary!R21,Primary!R21)</f>
        <v>0</v>
      </c>
      <c r="S21" s="19">
        <f>IF(ActiveDatabase=Standby,Secondary!S21,Primary!S21)</f>
        <v>0</v>
      </c>
      <c r="T21" s="10">
        <f>IF(ActiveDatabase=Standby,Secondary!T21,Primary!T21)</f>
        <v>0</v>
      </c>
      <c r="U21" s="10">
        <f>IF(ActiveDatabase=Standby,Secondary!U21,Primary!U21)</f>
        <v>0</v>
      </c>
      <c r="V21" s="10">
        <f>IF(ActiveDatabase=Standby,Secondary!V21,Primary!V21)</f>
        <v>0</v>
      </c>
      <c r="W21" s="6">
        <f>IF(ActiveDatabase=Standby,Secondary!W21,Primary!W21)</f>
        <v>0</v>
      </c>
      <c r="X21" s="6">
        <f>IF(ActiveDatabase=Standby,Secondary!X21,Primary!X21)</f>
        <v>0</v>
      </c>
      <c r="Y21" s="7">
        <f>IF(ActiveDatabase=Standby,Secondary!Y21,Primary!Y21)</f>
        <v>0</v>
      </c>
      <c r="Z21" s="7">
        <f>IF(ActiveDatabase=Standby,Secondary!Z21,Primary!Z21)</f>
        <v>0</v>
      </c>
      <c r="AA21" s="7" t="str">
        <f>IF(ActiveDatabase=Standby,Secondary!AA21,Primary!AA21)</f>
        <v>HUR-L4</v>
      </c>
      <c r="AB21" s="6"/>
      <c r="AC21" s="6"/>
      <c r="AD21" s="6"/>
      <c r="AE21" s="7"/>
      <c r="AF21" s="7"/>
      <c r="AG21" s="7"/>
      <c r="AH21" s="7"/>
      <c r="AI21" s="7"/>
      <c r="AJ21" s="7"/>
      <c r="AK21" s="7"/>
      <c r="AL21" s="7"/>
      <c r="AM21" s="7"/>
      <c r="AN21" s="7"/>
      <c r="AO21" s="6"/>
      <c r="AP21" s="7"/>
      <c r="AQ21" s="7"/>
      <c r="AR21" s="6"/>
      <c r="AS21" s="6"/>
      <c r="AT21" s="6"/>
      <c r="AU21" s="6"/>
      <c r="AV21" s="6"/>
      <c r="AW21" s="6"/>
      <c r="AX21" s="6"/>
      <c r="AY21" s="6"/>
      <c r="AZ21" s="6"/>
      <c r="BA21" s="6"/>
      <c r="BB21" s="6"/>
      <c r="BC21" s="6"/>
      <c r="BD21" s="6"/>
      <c r="BE21" s="6"/>
      <c r="BF21" s="6"/>
      <c r="BG21" s="6"/>
    </row>
    <row r="22" customHeight="1" spans="1:59">
      <c r="A22" s="9" t="str">
        <f>IF(ActiveDatabase=Standby,Secondary!A22,Primary!A22)</f>
        <v>ARC-L2 R00</v>
      </c>
      <c r="B22" s="5">
        <f>IF(ActiveDatabase=Standby,Secondary!B22,Primary!B22)</f>
        <v>0</v>
      </c>
      <c r="C22" s="5">
        <f>IF(ActiveDatabase=Standby,Secondary!C22,Primary!C22)</f>
        <v>0</v>
      </c>
      <c r="D22" s="5" t="str">
        <f>IF(ActiveDatabase=Standby,Secondary!D22,Primary!D22)</f>
        <v>ARC-L2</v>
      </c>
      <c r="E22" s="6" t="str">
        <f>IF(ActiveDatabase=Standby,Secondary!E22,Primary!E22)</f>
        <v>ARC-L2</v>
      </c>
      <c r="F22" s="10">
        <f>IF(ActiveDatabase=Standby,Secondary!F22,Primary!F22)</f>
        <v>20446718.5033901</v>
      </c>
      <c r="G22" s="10">
        <f>IF(ActiveDatabase=Standby,Secondary!G22,Primary!G22)</f>
        <v>-24367450.990706</v>
      </c>
      <c r="H22" s="10">
        <f>IF(ActiveDatabase=Standby,Secondary!H22,Primary!H22)</f>
        <v>8.076625</v>
      </c>
      <c r="I22" s="13">
        <f>IF(ActiveDatabase=Standby,Secondary!I22,Primary!I22)</f>
        <v>1</v>
      </c>
      <c r="J22" s="13">
        <f>IF(ActiveDatabase=Standby,Secondary!J22,Primary!J22)</f>
        <v>0</v>
      </c>
      <c r="K22" s="13">
        <f>IF(ActiveDatabase=Standby,Secondary!K22,Primary!K22)</f>
        <v>0</v>
      </c>
      <c r="L22" s="13">
        <f>IF(ActiveDatabase=Standby,Secondary!L22,Primary!L22)</f>
        <v>0</v>
      </c>
      <c r="M22" s="7" t="b">
        <f>IF(ActiveDatabase=Standby,Secondary!M22,Primary!M22)</f>
        <v>1</v>
      </c>
      <c r="N22" s="10">
        <f>IF(ActiveDatabase=Standby,Secondary!N22,Primary!N22)</f>
        <v>0</v>
      </c>
      <c r="O22" s="10">
        <f>IF(ActiveDatabase=Standby,Secondary!O22,Primary!O22)</f>
        <v>0</v>
      </c>
      <c r="P22" s="10">
        <f>IF(ActiveDatabase=Standby,Secondary!P22,Primary!P22)</f>
        <v>0</v>
      </c>
      <c r="Q22" s="6">
        <f>IF(ActiveDatabase=Standby,Secondary!Q22,Primary!Q22)</f>
        <v>0</v>
      </c>
      <c r="R22" s="18">
        <f>IF(ActiveDatabase=Standby,Secondary!R22,Primary!R22)</f>
        <v>0</v>
      </c>
      <c r="S22" s="19">
        <f>IF(ActiveDatabase=Standby,Secondary!S22,Primary!S22)</f>
        <v>0</v>
      </c>
      <c r="T22" s="10">
        <f>IF(ActiveDatabase=Standby,Secondary!T22,Primary!T22)</f>
        <v>0</v>
      </c>
      <c r="U22" s="10">
        <f>IF(ActiveDatabase=Standby,Secondary!U22,Primary!U22)</f>
        <v>0</v>
      </c>
      <c r="V22" s="10">
        <f>IF(ActiveDatabase=Standby,Secondary!V22,Primary!V22)</f>
        <v>0</v>
      </c>
      <c r="W22" s="6">
        <f>IF(ActiveDatabase=Standby,Secondary!W22,Primary!W22)</f>
        <v>0</v>
      </c>
      <c r="X22" s="6">
        <f>IF(ActiveDatabase=Standby,Secondary!X22,Primary!X22)</f>
        <v>0</v>
      </c>
      <c r="Y22" s="7">
        <f>IF(ActiveDatabase=Standby,Secondary!Y22,Primary!Y22)</f>
        <v>0</v>
      </c>
      <c r="Z22" s="7">
        <f>IF(ActiveDatabase=Standby,Secondary!Z22,Primary!Z22)</f>
        <v>0</v>
      </c>
      <c r="AA22" s="7" t="str">
        <f>IF(ActiveDatabase=Standby,Secondary!AA22,Primary!AA22)</f>
        <v>HUR-L5</v>
      </c>
      <c r="AB22" s="6"/>
      <c r="AC22" s="6"/>
      <c r="AD22" s="6"/>
      <c r="AE22" s="7"/>
      <c r="AF22" s="7"/>
      <c r="AG22" s="7"/>
      <c r="AH22" s="7"/>
      <c r="AI22" s="7"/>
      <c r="AJ22" s="7"/>
      <c r="AK22" s="7"/>
      <c r="AL22" s="7"/>
      <c r="AM22" s="7"/>
      <c r="AN22" s="7"/>
      <c r="AO22" s="6"/>
      <c r="AP22" s="7"/>
      <c r="AQ22" s="7"/>
      <c r="AR22" s="6"/>
      <c r="AS22" s="6"/>
      <c r="AT22" s="6"/>
      <c r="AU22" s="6"/>
      <c r="AV22" s="6"/>
      <c r="AW22" s="6"/>
      <c r="AX22" s="6"/>
      <c r="AY22" s="6"/>
      <c r="AZ22" s="6"/>
      <c r="BA22" s="6"/>
      <c r="BB22" s="6"/>
      <c r="BC22" s="6"/>
      <c r="BD22" s="6"/>
      <c r="BE22" s="6"/>
      <c r="BF22" s="6"/>
      <c r="BG22" s="6"/>
    </row>
    <row r="23" customHeight="1" spans="1:59">
      <c r="A23" s="9" t="str">
        <f>IF(ActiveDatabase=Standby,Secondary!A23,Primary!A23)</f>
        <v>ARC-L3 R00</v>
      </c>
      <c r="B23" s="5">
        <f>IF(ActiveDatabase=Standby,Secondary!B23,Primary!B23)</f>
        <v>0</v>
      </c>
      <c r="C23" s="5">
        <f>IF(ActiveDatabase=Standby,Secondary!C23,Primary!C23)</f>
        <v>0</v>
      </c>
      <c r="D23" s="5" t="str">
        <f>IF(ActiveDatabase=Standby,Secondary!D23,Primary!D23)</f>
        <v>ARC-L3</v>
      </c>
      <c r="E23" s="6" t="str">
        <f>IF(ActiveDatabase=Standby,Secondary!E23,Primary!E23)</f>
        <v>ARC-L3</v>
      </c>
      <c r="F23" s="10">
        <f>IF(ActiveDatabase=Standby,Secondary!F23,Primary!F23)</f>
        <v>-25043446.8835029</v>
      </c>
      <c r="G23" s="10">
        <f>IF(ActiveDatabase=Standby,Secondary!G23,Primary!G23)</f>
        <v>14458841.787628</v>
      </c>
      <c r="H23" s="10">
        <f>IF(ActiveDatabase=Standby,Secondary!H23,Primary!H23)</f>
        <v>8.076625</v>
      </c>
      <c r="I23" s="13">
        <f>IF(ActiveDatabase=Standby,Secondary!I23,Primary!I23)</f>
        <v>1</v>
      </c>
      <c r="J23" s="13">
        <f>IF(ActiveDatabase=Standby,Secondary!J23,Primary!J23)</f>
        <v>0</v>
      </c>
      <c r="K23" s="13">
        <f>IF(ActiveDatabase=Standby,Secondary!K23,Primary!K23)</f>
        <v>0</v>
      </c>
      <c r="L23" s="13">
        <f>IF(ActiveDatabase=Standby,Secondary!L23,Primary!L23)</f>
        <v>0</v>
      </c>
      <c r="M23" s="7" t="b">
        <f>IF(ActiveDatabase=Standby,Secondary!M23,Primary!M23)</f>
        <v>1</v>
      </c>
      <c r="N23" s="10">
        <f>IF(ActiveDatabase=Standby,Secondary!N23,Primary!N23)</f>
        <v>0</v>
      </c>
      <c r="O23" s="10">
        <f>IF(ActiveDatabase=Standby,Secondary!O23,Primary!O23)</f>
        <v>0</v>
      </c>
      <c r="P23" s="10">
        <f>IF(ActiveDatabase=Standby,Secondary!P23,Primary!P23)</f>
        <v>0</v>
      </c>
      <c r="Q23" s="6">
        <f>IF(ActiveDatabase=Standby,Secondary!Q23,Primary!Q23)</f>
        <v>0</v>
      </c>
      <c r="R23" s="18">
        <f>IF(ActiveDatabase=Standby,Secondary!R23,Primary!R23)</f>
        <v>0</v>
      </c>
      <c r="S23" s="19">
        <f>IF(ActiveDatabase=Standby,Secondary!S23,Primary!S23)</f>
        <v>0</v>
      </c>
      <c r="T23" s="10">
        <f>IF(ActiveDatabase=Standby,Secondary!T23,Primary!T23)</f>
        <v>0</v>
      </c>
      <c r="U23" s="10">
        <f>IF(ActiveDatabase=Standby,Secondary!U23,Primary!U23)</f>
        <v>0</v>
      </c>
      <c r="V23" s="10">
        <f>IF(ActiveDatabase=Standby,Secondary!V23,Primary!V23)</f>
        <v>0</v>
      </c>
      <c r="W23" s="6">
        <f>IF(ActiveDatabase=Standby,Secondary!W23,Primary!W23)</f>
        <v>0</v>
      </c>
      <c r="X23" s="6">
        <f>IF(ActiveDatabase=Standby,Secondary!X23,Primary!X23)</f>
        <v>0</v>
      </c>
      <c r="Y23" s="7">
        <f>IF(ActiveDatabase=Standby,Secondary!Y23,Primary!Y23)</f>
        <v>0</v>
      </c>
      <c r="Z23" s="7">
        <f>IF(ActiveDatabase=Standby,Secondary!Z23,Primary!Z23)</f>
        <v>0</v>
      </c>
      <c r="AA23" s="7" t="str">
        <f>IF(ActiveDatabase=Standby,Secondary!AA23,Primary!AA23)</f>
        <v>CRU-L1</v>
      </c>
      <c r="AB23" s="6"/>
      <c r="AC23" s="6"/>
      <c r="AD23" s="6"/>
      <c r="AE23" s="7"/>
      <c r="AF23" s="7"/>
      <c r="AG23" s="7"/>
      <c r="AH23" s="7"/>
      <c r="AI23" s="7"/>
      <c r="AJ23" s="7"/>
      <c r="AK23" s="7"/>
      <c r="AL23" s="7"/>
      <c r="AM23" s="7"/>
      <c r="AN23" s="7"/>
      <c r="AO23" s="6"/>
      <c r="AP23" s="7"/>
      <c r="AQ23" s="7"/>
      <c r="AR23" s="6"/>
      <c r="AS23" s="6"/>
      <c r="AT23" s="6"/>
      <c r="AU23" s="6"/>
      <c r="AV23" s="6"/>
      <c r="AW23" s="6"/>
      <c r="AX23" s="6"/>
      <c r="AY23" s="6"/>
      <c r="AZ23" s="6"/>
      <c r="BA23" s="6"/>
      <c r="BB23" s="6"/>
      <c r="BC23" s="6"/>
      <c r="BD23" s="6"/>
      <c r="BE23" s="6"/>
      <c r="BF23" s="6"/>
      <c r="BG23" s="6"/>
    </row>
    <row r="24" customHeight="1" spans="1:59">
      <c r="A24" s="9" t="str">
        <f>IF(ActiveDatabase=Standby,Secondary!A24,Primary!A24)</f>
        <v>ARC-L4 R00</v>
      </c>
      <c r="B24" s="5">
        <f>IF(ActiveDatabase=Standby,Secondary!B24,Primary!B24)</f>
        <v>0</v>
      </c>
      <c r="C24" s="5">
        <f>IF(ActiveDatabase=Standby,Secondary!C24,Primary!C24)</f>
        <v>0</v>
      </c>
      <c r="D24" s="5" t="str">
        <f>IF(ActiveDatabase=Standby,Secondary!D24,Primary!D24)</f>
        <v>ARC-L4</v>
      </c>
      <c r="E24" s="6" t="str">
        <f>IF(ActiveDatabase=Standby,Secondary!E24,Primary!E24)</f>
        <v>ARC-L4</v>
      </c>
      <c r="F24" s="10">
        <f>IF(ActiveDatabase=Standby,Secondary!F24,Primary!F24)</f>
        <v>28478354.9156557</v>
      </c>
      <c r="G24" s="10">
        <f>IF(ActiveDatabase=Standby,Secondary!G24,Primary!G24)</f>
        <v>5021502.48291174</v>
      </c>
      <c r="H24" s="10">
        <f>IF(ActiveDatabase=Standby,Secondary!H24,Primary!H24)</f>
        <v>8.076625</v>
      </c>
      <c r="I24" s="13">
        <f>IF(ActiveDatabase=Standby,Secondary!I24,Primary!I24)</f>
        <v>1</v>
      </c>
      <c r="J24" s="13">
        <f>IF(ActiveDatabase=Standby,Secondary!J24,Primary!J24)</f>
        <v>0</v>
      </c>
      <c r="K24" s="13">
        <f>IF(ActiveDatabase=Standby,Secondary!K24,Primary!K24)</f>
        <v>0</v>
      </c>
      <c r="L24" s="13">
        <f>IF(ActiveDatabase=Standby,Secondary!L24,Primary!L24)</f>
        <v>0</v>
      </c>
      <c r="M24" s="7" t="b">
        <f>IF(ActiveDatabase=Standby,Secondary!M24,Primary!M24)</f>
        <v>1</v>
      </c>
      <c r="N24" s="10">
        <f>IF(ActiveDatabase=Standby,Secondary!N24,Primary!N24)</f>
        <v>0</v>
      </c>
      <c r="O24" s="10">
        <f>IF(ActiveDatabase=Standby,Secondary!O24,Primary!O24)</f>
        <v>0</v>
      </c>
      <c r="P24" s="10">
        <f>IF(ActiveDatabase=Standby,Secondary!P24,Primary!P24)</f>
        <v>0</v>
      </c>
      <c r="Q24" s="6">
        <f>IF(ActiveDatabase=Standby,Secondary!Q24,Primary!Q24)</f>
        <v>0</v>
      </c>
      <c r="R24" s="18">
        <f>IF(ActiveDatabase=Standby,Secondary!R24,Primary!R24)</f>
        <v>0</v>
      </c>
      <c r="S24" s="19">
        <f>IF(ActiveDatabase=Standby,Secondary!S24,Primary!S24)</f>
        <v>0</v>
      </c>
      <c r="T24" s="10">
        <f>IF(ActiveDatabase=Standby,Secondary!T24,Primary!T24)</f>
        <v>0</v>
      </c>
      <c r="U24" s="10">
        <f>IF(ActiveDatabase=Standby,Secondary!U24,Primary!U24)</f>
        <v>0</v>
      </c>
      <c r="V24" s="10">
        <f>IF(ActiveDatabase=Standby,Secondary!V24,Primary!V24)</f>
        <v>0</v>
      </c>
      <c r="W24" s="6">
        <f>IF(ActiveDatabase=Standby,Secondary!W24,Primary!W24)</f>
        <v>0</v>
      </c>
      <c r="X24" s="6">
        <f>IF(ActiveDatabase=Standby,Secondary!X24,Primary!X24)</f>
        <v>0</v>
      </c>
      <c r="Y24" s="7">
        <f>IF(ActiveDatabase=Standby,Secondary!Y24,Primary!Y24)</f>
        <v>0</v>
      </c>
      <c r="Z24" s="7">
        <f>IF(ActiveDatabase=Standby,Secondary!Z24,Primary!Z24)</f>
        <v>0</v>
      </c>
      <c r="AA24" s="7" t="str">
        <f>IF(ActiveDatabase=Standby,Secondary!AA24,Primary!AA24)</f>
        <v>CRU-L2</v>
      </c>
      <c r="AB24" s="6"/>
      <c r="AC24" s="6"/>
      <c r="AD24" s="6"/>
      <c r="AE24" s="7"/>
      <c r="AF24" s="7"/>
      <c r="AG24" s="7"/>
      <c r="AH24" s="7"/>
      <c r="AI24" s="7"/>
      <c r="AJ24" s="7"/>
      <c r="AK24" s="7"/>
      <c r="AL24" s="7"/>
      <c r="AM24" s="7"/>
      <c r="AN24" s="7"/>
      <c r="AO24" s="6"/>
      <c r="AP24" s="7"/>
      <c r="AQ24" s="7"/>
      <c r="AR24" s="6"/>
      <c r="AS24" s="6"/>
      <c r="AT24" s="6"/>
      <c r="AU24" s="6"/>
      <c r="AV24" s="6"/>
      <c r="AW24" s="6"/>
      <c r="AX24" s="6"/>
      <c r="AY24" s="6"/>
      <c r="AZ24" s="6"/>
      <c r="BA24" s="6"/>
      <c r="BB24" s="6"/>
      <c r="BC24" s="6"/>
      <c r="BD24" s="6"/>
      <c r="BE24" s="6"/>
      <c r="BF24" s="6"/>
      <c r="BG24" s="6"/>
    </row>
    <row r="25" customHeight="1" spans="1:59">
      <c r="A25" s="9" t="str">
        <f>IF(ActiveDatabase=Standby,Secondary!A25,Primary!A25)</f>
        <v>ARC-L5 R00</v>
      </c>
      <c r="B25" s="5">
        <f>IF(ActiveDatabase=Standby,Secondary!B25,Primary!B25)</f>
        <v>0</v>
      </c>
      <c r="C25" s="5">
        <f>IF(ActiveDatabase=Standby,Secondary!C25,Primary!C25)</f>
        <v>0</v>
      </c>
      <c r="D25" s="5" t="str">
        <f>IF(ActiveDatabase=Standby,Secondary!D25,Primary!D25)</f>
        <v>ARC-L5</v>
      </c>
      <c r="E25" s="6" t="str">
        <f>IF(ActiveDatabase=Standby,Secondary!E25,Primary!E25)</f>
        <v>ARC-L5</v>
      </c>
      <c r="F25" s="10">
        <f>IF(ActiveDatabase=Standby,Secondary!F25,Primary!F25)</f>
        <v>-9890422.51616967</v>
      </c>
      <c r="G25" s="10">
        <f>IF(ActiveDatabase=Standby,Secondary!G25,Primary!G25)</f>
        <v>-27173732.2251399</v>
      </c>
      <c r="H25" s="10">
        <f>IF(ActiveDatabase=Standby,Secondary!H25,Primary!H25)</f>
        <v>8.076625</v>
      </c>
      <c r="I25" s="13">
        <f>IF(ActiveDatabase=Standby,Secondary!I25,Primary!I25)</f>
        <v>1</v>
      </c>
      <c r="J25" s="13">
        <f>IF(ActiveDatabase=Standby,Secondary!J25,Primary!J25)</f>
        <v>0</v>
      </c>
      <c r="K25" s="13">
        <f>IF(ActiveDatabase=Standby,Secondary!K25,Primary!K25)</f>
        <v>0</v>
      </c>
      <c r="L25" s="13">
        <f>IF(ActiveDatabase=Standby,Secondary!L25,Primary!L25)</f>
        <v>0</v>
      </c>
      <c r="M25" s="7" t="b">
        <f>IF(ActiveDatabase=Standby,Secondary!M25,Primary!M25)</f>
        <v>1</v>
      </c>
      <c r="N25" s="10">
        <f>IF(ActiveDatabase=Standby,Secondary!N25,Primary!N25)</f>
        <v>0</v>
      </c>
      <c r="O25" s="10">
        <f>IF(ActiveDatabase=Standby,Secondary!O25,Primary!O25)</f>
        <v>0</v>
      </c>
      <c r="P25" s="10">
        <f>IF(ActiveDatabase=Standby,Secondary!P25,Primary!P25)</f>
        <v>0</v>
      </c>
      <c r="Q25" s="6">
        <f>IF(ActiveDatabase=Standby,Secondary!Q25,Primary!Q25)</f>
        <v>0</v>
      </c>
      <c r="R25" s="18">
        <f>IF(ActiveDatabase=Standby,Secondary!R25,Primary!R25)</f>
        <v>0</v>
      </c>
      <c r="S25" s="19">
        <f>IF(ActiveDatabase=Standby,Secondary!S25,Primary!S25)</f>
        <v>0</v>
      </c>
      <c r="T25" s="10">
        <f>IF(ActiveDatabase=Standby,Secondary!T25,Primary!T25)</f>
        <v>0</v>
      </c>
      <c r="U25" s="10">
        <f>IF(ActiveDatabase=Standby,Secondary!U25,Primary!U25)</f>
        <v>0</v>
      </c>
      <c r="V25" s="10">
        <f>IF(ActiveDatabase=Standby,Secondary!V25,Primary!V25)</f>
        <v>0</v>
      </c>
      <c r="W25" s="6">
        <f>IF(ActiveDatabase=Standby,Secondary!W25,Primary!W25)</f>
        <v>0</v>
      </c>
      <c r="X25" s="6">
        <f>IF(ActiveDatabase=Standby,Secondary!X25,Primary!X25)</f>
        <v>0</v>
      </c>
      <c r="Y25" s="7">
        <f>IF(ActiveDatabase=Standby,Secondary!Y25,Primary!Y25)</f>
        <v>0</v>
      </c>
      <c r="Z25" s="7">
        <f>IF(ActiveDatabase=Standby,Secondary!Z25,Primary!Z25)</f>
        <v>0</v>
      </c>
      <c r="AA25" s="7" t="str">
        <f>IF(ActiveDatabase=Standby,Secondary!AA25,Primary!AA25)</f>
        <v>CRU-L3</v>
      </c>
      <c r="AB25" s="6"/>
      <c r="AC25" s="6"/>
      <c r="AD25" s="6"/>
      <c r="AE25" s="7"/>
      <c r="AF25" s="7"/>
      <c r="AG25" s="7"/>
      <c r="AH25" s="7"/>
      <c r="AI25" s="7"/>
      <c r="AJ25" s="7"/>
      <c r="AK25" s="7"/>
      <c r="AL25" s="7"/>
      <c r="AM25" s="7"/>
      <c r="AN25" s="7"/>
      <c r="AO25" s="6"/>
      <c r="AP25" s="7"/>
      <c r="AQ25" s="7"/>
      <c r="AR25" s="6"/>
      <c r="AS25" s="6"/>
      <c r="AT25" s="6"/>
      <c r="AU25" s="6"/>
      <c r="AV25" s="6"/>
      <c r="AW25" s="6"/>
      <c r="AX25" s="6"/>
      <c r="AY25" s="6"/>
      <c r="AZ25" s="6"/>
      <c r="BA25" s="6"/>
      <c r="BB25" s="6"/>
      <c r="BC25" s="6"/>
      <c r="BD25" s="6"/>
      <c r="BE25" s="6"/>
      <c r="BF25" s="6"/>
      <c r="BG25" s="6"/>
    </row>
    <row r="26" customHeight="1" spans="1:59">
      <c r="A26" s="9" t="str">
        <f>IF(ActiveDatabase=Standby,Secondary!A26,Primary!A26)</f>
        <v>CRU-L1 R00</v>
      </c>
      <c r="B26" s="5">
        <f>IF(ActiveDatabase=Standby,Secondary!B26,Primary!B26)</f>
        <v>0</v>
      </c>
      <c r="C26" s="5">
        <f>IF(ActiveDatabase=Standby,Secondary!C26,Primary!C26)</f>
        <v>0</v>
      </c>
      <c r="D26" s="5" t="str">
        <f>IF(ActiveDatabase=Standby,Secondary!D26,Primary!D26)</f>
        <v>CRU-L1</v>
      </c>
      <c r="E26" s="6" t="str">
        <f>IF(ActiveDatabase=Standby,Secondary!E26,Primary!E26)</f>
        <v>CRU-L1</v>
      </c>
      <c r="F26" s="10">
        <f>IF(ActiveDatabase=Standby,Secondary!F26,Primary!F26)</f>
        <v>-17065957.3759999</v>
      </c>
      <c r="G26" s="10">
        <f>IF(ActiveDatabase=Standby,Secondary!G26,Primary!G26)</f>
        <v>-2398463.99999998</v>
      </c>
      <c r="H26" s="10">
        <f>IF(ActiveDatabase=Standby,Secondary!H26,Primary!H26)</f>
        <v>0</v>
      </c>
      <c r="I26" s="13">
        <f>IF(ActiveDatabase=Standby,Secondary!I26,Primary!I26)</f>
        <v>0.96363044</v>
      </c>
      <c r="J26" s="13">
        <f>IF(ActiveDatabase=Standby,Secondary!J26,Primary!J26)</f>
        <v>0</v>
      </c>
      <c r="K26" s="13">
        <f>IF(ActiveDatabase=Standby,Secondary!K26,Primary!K26)</f>
        <v>0</v>
      </c>
      <c r="L26" s="13">
        <f>IF(ActiveDatabase=Standby,Secondary!L26,Primary!L26)</f>
        <v>-0.26723838</v>
      </c>
      <c r="M26" s="7" t="b">
        <f>IF(ActiveDatabase=Standby,Secondary!M26,Primary!M26)</f>
        <v>1</v>
      </c>
      <c r="N26" s="10">
        <f>IF(ActiveDatabase=Standby,Secondary!N26,Primary!N26)</f>
        <v>0</v>
      </c>
      <c r="O26" s="10">
        <f>IF(ActiveDatabase=Standby,Secondary!O26,Primary!O26)</f>
        <v>0</v>
      </c>
      <c r="P26" s="10">
        <f>IF(ActiveDatabase=Standby,Secondary!P26,Primary!P26)</f>
        <v>0</v>
      </c>
      <c r="Q26" s="6">
        <f>IF(ActiveDatabase=Standby,Secondary!Q26,Primary!Q26)</f>
        <v>0</v>
      </c>
      <c r="R26" s="18">
        <f>IF(ActiveDatabase=Standby,Secondary!R26,Primary!R26)</f>
        <v>0</v>
      </c>
      <c r="S26" s="19">
        <f>IF(ActiveDatabase=Standby,Secondary!S26,Primary!S26)</f>
        <v>0</v>
      </c>
      <c r="T26" s="10">
        <f>IF(ActiveDatabase=Standby,Secondary!T26,Primary!T26)</f>
        <v>0</v>
      </c>
      <c r="U26" s="10">
        <f>IF(ActiveDatabase=Standby,Secondary!U26,Primary!U26)</f>
        <v>0</v>
      </c>
      <c r="V26" s="10">
        <f>IF(ActiveDatabase=Standby,Secondary!V26,Primary!V26)</f>
        <v>0</v>
      </c>
      <c r="W26" s="6">
        <f>IF(ActiveDatabase=Standby,Secondary!W26,Primary!W26)</f>
        <v>0</v>
      </c>
      <c r="X26" s="6">
        <f>IF(ActiveDatabase=Standby,Secondary!X26,Primary!X26)</f>
        <v>0</v>
      </c>
      <c r="Y26" s="7">
        <f>IF(ActiveDatabase=Standby,Secondary!Y26,Primary!Y26)</f>
        <v>0</v>
      </c>
      <c r="Z26" s="7">
        <f>IF(ActiveDatabase=Standby,Secondary!Z26,Primary!Z26)</f>
        <v>0</v>
      </c>
      <c r="AA26" s="7" t="str">
        <f>IF(ActiveDatabase=Standby,Secondary!AA26,Primary!AA26)</f>
        <v>CRU-L4</v>
      </c>
      <c r="AB26" s="6"/>
      <c r="AC26" s="6"/>
      <c r="AD26" s="6"/>
      <c r="AE26" s="7"/>
      <c r="AF26" s="7"/>
      <c r="AG26" s="7"/>
      <c r="AH26" s="7"/>
      <c r="AI26" s="7"/>
      <c r="AJ26" s="7"/>
      <c r="AK26" s="7"/>
      <c r="AL26" s="7"/>
      <c r="AM26" s="7"/>
      <c r="AN26" s="7"/>
      <c r="AO26" s="6"/>
      <c r="AP26" s="7"/>
      <c r="AQ26" s="7"/>
      <c r="AR26" s="6"/>
      <c r="AS26" s="6"/>
      <c r="AT26" s="6"/>
      <c r="AU26" s="6"/>
      <c r="AV26" s="6"/>
      <c r="AW26" s="6"/>
      <c r="AX26" s="6"/>
      <c r="AY26" s="6"/>
      <c r="AZ26" s="6"/>
      <c r="BA26" s="6"/>
      <c r="BB26" s="6"/>
      <c r="BC26" s="6"/>
      <c r="BD26" s="6"/>
      <c r="BE26" s="6"/>
      <c r="BF26" s="6"/>
      <c r="BG26" s="6"/>
    </row>
    <row r="27" customHeight="1" spans="1:59">
      <c r="A27" s="9" t="str">
        <f>IF(ActiveDatabase=Standby,Secondary!A27,Primary!A27)</f>
        <v>CRU-L2 R00</v>
      </c>
      <c r="B27" s="5">
        <f>IF(ActiveDatabase=Standby,Secondary!B27,Primary!B27)</f>
        <v>0</v>
      </c>
      <c r="C27" s="5">
        <f>IF(ActiveDatabase=Standby,Secondary!C27,Primary!C27)</f>
        <v>0</v>
      </c>
      <c r="D27" s="5" t="str">
        <f>IF(ActiveDatabase=Standby,Secondary!D27,Primary!D27)</f>
        <v>CRU-L2</v>
      </c>
      <c r="E27" s="6" t="str">
        <f>IF(ActiveDatabase=Standby,Secondary!E27,Primary!E27)</f>
        <v>CRU-L2</v>
      </c>
      <c r="F27" s="10">
        <f>IF(ActiveDatabase=Standby,Secondary!F27,Primary!F27)</f>
        <v>-20858376.4854332</v>
      </c>
      <c r="G27" s="10">
        <f>IF(ActiveDatabase=Standby,Secondary!G27,Primary!G27)</f>
        <v>-2931474.40205844</v>
      </c>
      <c r="H27" s="10">
        <f>IF(ActiveDatabase=Standby,Secondary!H27,Primary!H27)</f>
        <v>0</v>
      </c>
      <c r="I27" s="13">
        <f>IF(ActiveDatabase=Standby,Secondary!I27,Primary!I27)</f>
        <v>0.96363044</v>
      </c>
      <c r="J27" s="13">
        <f>IF(ActiveDatabase=Standby,Secondary!J27,Primary!J27)</f>
        <v>0</v>
      </c>
      <c r="K27" s="13">
        <f>IF(ActiveDatabase=Standby,Secondary!K27,Primary!K27)</f>
        <v>0</v>
      </c>
      <c r="L27" s="13">
        <f>IF(ActiveDatabase=Standby,Secondary!L27,Primary!L27)</f>
        <v>-0.26723838</v>
      </c>
      <c r="M27" s="7" t="b">
        <f>IF(ActiveDatabase=Standby,Secondary!M27,Primary!M27)</f>
        <v>1</v>
      </c>
      <c r="N27" s="10">
        <f>IF(ActiveDatabase=Standby,Secondary!N27,Primary!N27)</f>
        <v>0</v>
      </c>
      <c r="O27" s="10">
        <f>IF(ActiveDatabase=Standby,Secondary!O27,Primary!O27)</f>
        <v>0</v>
      </c>
      <c r="P27" s="10">
        <f>IF(ActiveDatabase=Standby,Secondary!P27,Primary!P27)</f>
        <v>0</v>
      </c>
      <c r="Q27" s="6">
        <f>IF(ActiveDatabase=Standby,Secondary!Q27,Primary!Q27)</f>
        <v>0</v>
      </c>
      <c r="R27" s="18">
        <f>IF(ActiveDatabase=Standby,Secondary!R27,Primary!R27)</f>
        <v>0</v>
      </c>
      <c r="S27" s="19">
        <f>IF(ActiveDatabase=Standby,Secondary!S27,Primary!S27)</f>
        <v>0</v>
      </c>
      <c r="T27" s="10">
        <f>IF(ActiveDatabase=Standby,Secondary!T27,Primary!T27)</f>
        <v>0</v>
      </c>
      <c r="U27" s="10">
        <f>IF(ActiveDatabase=Standby,Secondary!U27,Primary!U27)</f>
        <v>0</v>
      </c>
      <c r="V27" s="10">
        <f>IF(ActiveDatabase=Standby,Secondary!V27,Primary!V27)</f>
        <v>0</v>
      </c>
      <c r="W27" s="6">
        <f>IF(ActiveDatabase=Standby,Secondary!W27,Primary!W27)</f>
        <v>0</v>
      </c>
      <c r="X27" s="6">
        <f>IF(ActiveDatabase=Standby,Secondary!X27,Primary!X27)</f>
        <v>0</v>
      </c>
      <c r="Y27" s="7">
        <f>IF(ActiveDatabase=Standby,Secondary!Y27,Primary!Y27)</f>
        <v>0</v>
      </c>
      <c r="Z27" s="7">
        <f>IF(ActiveDatabase=Standby,Secondary!Z27,Primary!Z27)</f>
        <v>0</v>
      </c>
      <c r="AA27" s="7" t="str">
        <f>IF(ActiveDatabase=Standby,Secondary!AA27,Primary!AA27)</f>
        <v>CRU-L5</v>
      </c>
      <c r="AB27" s="6"/>
      <c r="AC27" s="6"/>
      <c r="AD27" s="6"/>
      <c r="AE27" s="7"/>
      <c r="AF27" s="7"/>
      <c r="AG27" s="7"/>
      <c r="AH27" s="7"/>
      <c r="AI27" s="7"/>
      <c r="AJ27" s="7"/>
      <c r="AK27" s="7"/>
      <c r="AL27" s="7"/>
      <c r="AM27" s="7"/>
      <c r="AN27" s="7"/>
      <c r="AO27" s="6"/>
      <c r="AP27" s="7"/>
      <c r="AQ27" s="7"/>
      <c r="AR27" s="6"/>
      <c r="AS27" s="6"/>
      <c r="AT27" s="6"/>
      <c r="AU27" s="6"/>
      <c r="AV27" s="6"/>
      <c r="AW27" s="6"/>
      <c r="AX27" s="6"/>
      <c r="AY27" s="6"/>
      <c r="AZ27" s="6"/>
      <c r="BA27" s="6"/>
      <c r="BB27" s="6"/>
      <c r="BC27" s="6"/>
      <c r="BD27" s="6"/>
      <c r="BE27" s="6"/>
      <c r="BF27" s="6"/>
      <c r="BG27" s="6"/>
    </row>
    <row r="28" customHeight="1" spans="1:59">
      <c r="A28" s="9" t="str">
        <f>IF(ActiveDatabase=Standby,Secondary!A28,Primary!A28)</f>
        <v>CRU-L3 R00</v>
      </c>
      <c r="B28" s="5">
        <f>IF(ActiveDatabase=Standby,Secondary!B28,Primary!B28)</f>
        <v>0</v>
      </c>
      <c r="C28" s="5">
        <f>IF(ActiveDatabase=Standby,Secondary!C28,Primary!C28)</f>
        <v>0</v>
      </c>
      <c r="D28" s="5" t="str">
        <f>IF(ActiveDatabase=Standby,Secondary!D28,Primary!D28)</f>
        <v>CRU-L3</v>
      </c>
      <c r="E28" s="6" t="str">
        <f>IF(ActiveDatabase=Standby,Secondary!E28,Primary!E28)</f>
        <v>CRU-L3</v>
      </c>
      <c r="F28" s="10">
        <f>IF(ActiveDatabase=Standby,Secondary!F28,Primary!F28)</f>
        <v>18962164.826094</v>
      </c>
      <c r="G28" s="10">
        <f>IF(ActiveDatabase=Standby,Secondary!G28,Primary!G28)</f>
        <v>2664965.04050172</v>
      </c>
      <c r="H28" s="10">
        <f>IF(ActiveDatabase=Standby,Secondary!H28,Primary!H28)</f>
        <v>0</v>
      </c>
      <c r="I28" s="13">
        <f>IF(ActiveDatabase=Standby,Secondary!I28,Primary!I28)</f>
        <v>0.96363044</v>
      </c>
      <c r="J28" s="13">
        <f>IF(ActiveDatabase=Standby,Secondary!J28,Primary!J28)</f>
        <v>0</v>
      </c>
      <c r="K28" s="13">
        <f>IF(ActiveDatabase=Standby,Secondary!K28,Primary!K28)</f>
        <v>0</v>
      </c>
      <c r="L28" s="13">
        <f>IF(ActiveDatabase=Standby,Secondary!L28,Primary!L28)</f>
        <v>-0.26723838</v>
      </c>
      <c r="M28" s="7" t="b">
        <f>IF(ActiveDatabase=Standby,Secondary!M28,Primary!M28)</f>
        <v>1</v>
      </c>
      <c r="N28" s="10">
        <f>IF(ActiveDatabase=Standby,Secondary!N28,Primary!N28)</f>
        <v>0</v>
      </c>
      <c r="O28" s="10">
        <f>IF(ActiveDatabase=Standby,Secondary!O28,Primary!O28)</f>
        <v>0</v>
      </c>
      <c r="P28" s="10">
        <f>IF(ActiveDatabase=Standby,Secondary!P28,Primary!P28)</f>
        <v>0</v>
      </c>
      <c r="Q28" s="6">
        <f>IF(ActiveDatabase=Standby,Secondary!Q28,Primary!Q28)</f>
        <v>0</v>
      </c>
      <c r="R28" s="18">
        <f>IF(ActiveDatabase=Standby,Secondary!R28,Primary!R28)</f>
        <v>0</v>
      </c>
      <c r="S28" s="19">
        <f>IF(ActiveDatabase=Standby,Secondary!S28,Primary!S28)</f>
        <v>0</v>
      </c>
      <c r="T28" s="10">
        <f>IF(ActiveDatabase=Standby,Secondary!T28,Primary!T28)</f>
        <v>0</v>
      </c>
      <c r="U28" s="10">
        <f>IF(ActiveDatabase=Standby,Secondary!U28,Primary!U28)</f>
        <v>0</v>
      </c>
      <c r="V28" s="10">
        <f>IF(ActiveDatabase=Standby,Secondary!V28,Primary!V28)</f>
        <v>0</v>
      </c>
      <c r="W28" s="6">
        <f>IF(ActiveDatabase=Standby,Secondary!W28,Primary!W28)</f>
        <v>0</v>
      </c>
      <c r="X28" s="6">
        <f>IF(ActiveDatabase=Standby,Secondary!X28,Primary!X28)</f>
        <v>0</v>
      </c>
      <c r="Y28" s="7">
        <f>IF(ActiveDatabase=Standby,Secondary!Y28,Primary!Y28)</f>
        <v>0</v>
      </c>
      <c r="Z28" s="7">
        <f>IF(ActiveDatabase=Standby,Secondary!Z28,Primary!Z28)</f>
        <v>0</v>
      </c>
      <c r="AA28" s="7" t="str">
        <f>IF(ActiveDatabase=Standby,Secondary!AA28,Primary!AA28)</f>
        <v>ARC-L1</v>
      </c>
      <c r="AB28" s="6"/>
      <c r="AC28" s="6"/>
      <c r="AD28" s="6"/>
      <c r="AE28" s="7"/>
      <c r="AF28" s="7"/>
      <c r="AG28" s="7"/>
      <c r="AH28" s="7"/>
      <c r="AI28" s="7"/>
      <c r="AJ28" s="7"/>
      <c r="AK28" s="7"/>
      <c r="AL28" s="7"/>
      <c r="AM28" s="7"/>
      <c r="AN28" s="7"/>
      <c r="AO28" s="6"/>
      <c r="AP28" s="7"/>
      <c r="AQ28" s="7"/>
      <c r="AR28" s="6"/>
      <c r="AS28" s="6"/>
      <c r="AT28" s="6"/>
      <c r="AU28" s="6"/>
      <c r="AV28" s="6"/>
      <c r="AW28" s="6"/>
      <c r="AX28" s="6"/>
      <c r="AY28" s="6"/>
      <c r="AZ28" s="6"/>
      <c r="BA28" s="6"/>
      <c r="BB28" s="6"/>
      <c r="BC28" s="6"/>
      <c r="BD28" s="6"/>
      <c r="BE28" s="6"/>
      <c r="BF28" s="6"/>
      <c r="BG28" s="6"/>
    </row>
    <row r="29" customHeight="1" spans="1:59">
      <c r="A29" s="9" t="str">
        <f>IF(ActiveDatabase=Standby,Secondary!A29,Primary!A29)</f>
        <v>CRU-L4 R00</v>
      </c>
      <c r="B29" s="5">
        <f>IF(ActiveDatabase=Standby,Secondary!B29,Primary!B29)</f>
        <v>0</v>
      </c>
      <c r="C29" s="5">
        <f>IF(ActiveDatabase=Standby,Secondary!C29,Primary!C29)</f>
        <v>0</v>
      </c>
      <c r="D29" s="5" t="str">
        <f>IF(ActiveDatabase=Standby,Secondary!D29,Primary!D29)</f>
        <v>CRU-L4</v>
      </c>
      <c r="E29" s="6" t="str">
        <f>IF(ActiveDatabase=Standby,Secondary!E29,Primary!E29)</f>
        <v>CRU-L4</v>
      </c>
      <c r="F29" s="10">
        <f>IF(ActiveDatabase=Standby,Secondary!F29,Primary!F29)</f>
        <v>-7173168.63999999</v>
      </c>
      <c r="G29" s="10">
        <f>IF(ActiveDatabase=Standby,Secondary!G29,Primary!G29)</f>
        <v>-17754204.16</v>
      </c>
      <c r="H29" s="10">
        <f>IF(ActiveDatabase=Standby,Secondary!H29,Primary!H29)</f>
        <v>0</v>
      </c>
      <c r="I29" s="13">
        <f>IF(ActiveDatabase=Standby,Secondary!I29,Primary!I29)</f>
        <v>0.96363044</v>
      </c>
      <c r="J29" s="13">
        <f>IF(ActiveDatabase=Standby,Secondary!J29,Primary!J29)</f>
        <v>0</v>
      </c>
      <c r="K29" s="13">
        <f>IF(ActiveDatabase=Standby,Secondary!K29,Primary!K29)</f>
        <v>0</v>
      </c>
      <c r="L29" s="13">
        <f>IF(ActiveDatabase=Standby,Secondary!L29,Primary!L29)</f>
        <v>-0.26723838</v>
      </c>
      <c r="M29" s="7" t="b">
        <f>IF(ActiveDatabase=Standby,Secondary!M29,Primary!M29)</f>
        <v>1</v>
      </c>
      <c r="N29" s="10">
        <f>IF(ActiveDatabase=Standby,Secondary!N29,Primary!N29)</f>
        <v>0</v>
      </c>
      <c r="O29" s="10">
        <f>IF(ActiveDatabase=Standby,Secondary!O29,Primary!O29)</f>
        <v>0</v>
      </c>
      <c r="P29" s="10">
        <f>IF(ActiveDatabase=Standby,Secondary!P29,Primary!P29)</f>
        <v>0</v>
      </c>
      <c r="Q29" s="6">
        <f>IF(ActiveDatabase=Standby,Secondary!Q29,Primary!Q29)</f>
        <v>0</v>
      </c>
      <c r="R29" s="18">
        <f>IF(ActiveDatabase=Standby,Secondary!R29,Primary!R29)</f>
        <v>0</v>
      </c>
      <c r="S29" s="19">
        <f>IF(ActiveDatabase=Standby,Secondary!S29,Primary!S29)</f>
        <v>0</v>
      </c>
      <c r="T29" s="10">
        <f>IF(ActiveDatabase=Standby,Secondary!T29,Primary!T29)</f>
        <v>0</v>
      </c>
      <c r="U29" s="10">
        <f>IF(ActiveDatabase=Standby,Secondary!U29,Primary!U29)</f>
        <v>0</v>
      </c>
      <c r="V29" s="10">
        <f>IF(ActiveDatabase=Standby,Secondary!V29,Primary!V29)</f>
        <v>0</v>
      </c>
      <c r="W29" s="6">
        <f>IF(ActiveDatabase=Standby,Secondary!W29,Primary!W29)</f>
        <v>0</v>
      </c>
      <c r="X29" s="6">
        <f>IF(ActiveDatabase=Standby,Secondary!X29,Primary!X29)</f>
        <v>0</v>
      </c>
      <c r="Y29" s="7">
        <f>IF(ActiveDatabase=Standby,Secondary!Y29,Primary!Y29)</f>
        <v>0</v>
      </c>
      <c r="Z29" s="7">
        <f>IF(ActiveDatabase=Standby,Secondary!Z29,Primary!Z29)</f>
        <v>0</v>
      </c>
      <c r="AA29" s="7" t="str">
        <f>IF(ActiveDatabase=Standby,Secondary!AA29,Primary!AA29)</f>
        <v>ARC-L2</v>
      </c>
      <c r="AB29" s="6"/>
      <c r="AC29" s="6"/>
      <c r="AD29" s="6"/>
      <c r="AE29" s="7"/>
      <c r="AF29" s="7"/>
      <c r="AG29" s="7"/>
      <c r="AH29" s="7"/>
      <c r="AI29" s="7"/>
      <c r="AJ29" s="7"/>
      <c r="AK29" s="7"/>
      <c r="AL29" s="7"/>
      <c r="AM29" s="7"/>
      <c r="AN29" s="7"/>
      <c r="AO29" s="6"/>
      <c r="AP29" s="7"/>
      <c r="AQ29" s="7"/>
      <c r="AR29" s="6"/>
      <c r="AS29" s="6"/>
      <c r="AT29" s="6"/>
      <c r="AU29" s="6"/>
      <c r="AV29" s="6"/>
      <c r="AW29" s="6"/>
      <c r="AX29" s="6"/>
      <c r="AY29" s="6"/>
      <c r="AZ29" s="6"/>
      <c r="BA29" s="6"/>
      <c r="BB29" s="6"/>
      <c r="BC29" s="6"/>
      <c r="BD29" s="6"/>
      <c r="BE29" s="6"/>
      <c r="BF29" s="6"/>
      <c r="BG29" s="6"/>
    </row>
    <row r="30" customHeight="1" spans="1:59">
      <c r="A30" s="9" t="str">
        <f>IF(ActiveDatabase=Standby,Secondary!A30,Primary!A30)</f>
        <v>CRU-L5 R00</v>
      </c>
      <c r="B30" s="5">
        <f>IF(ActiveDatabase=Standby,Secondary!B30,Primary!B30)</f>
        <v>0</v>
      </c>
      <c r="C30" s="5">
        <f>IF(ActiveDatabase=Standby,Secondary!C30,Primary!C30)</f>
        <v>0</v>
      </c>
      <c r="D30" s="5" t="str">
        <f>IF(ActiveDatabase=Standby,Secondary!D30,Primary!D30)</f>
        <v>CRU-L5</v>
      </c>
      <c r="E30" s="6" t="str">
        <f>IF(ActiveDatabase=Standby,Secondary!E30,Primary!E30)</f>
        <v>CRU-L5</v>
      </c>
      <c r="F30" s="10">
        <f>IF(ActiveDatabase=Standby,Secondary!F30,Primary!F30)</f>
        <v>-11789008.9882602</v>
      </c>
      <c r="G30" s="10">
        <f>IF(ActiveDatabase=Standby,Secondary!G30,Primary!G30)</f>
        <v>15089246.1067637</v>
      </c>
      <c r="H30" s="10">
        <f>IF(ActiveDatabase=Standby,Secondary!H30,Primary!H30)</f>
        <v>0</v>
      </c>
      <c r="I30" s="13">
        <f>IF(ActiveDatabase=Standby,Secondary!I30,Primary!I30)</f>
        <v>0.96363044</v>
      </c>
      <c r="J30" s="13">
        <f>IF(ActiveDatabase=Standby,Secondary!J30,Primary!J30)</f>
        <v>0</v>
      </c>
      <c r="K30" s="13">
        <f>IF(ActiveDatabase=Standby,Secondary!K30,Primary!K30)</f>
        <v>0</v>
      </c>
      <c r="L30" s="13">
        <f>IF(ActiveDatabase=Standby,Secondary!L30,Primary!L30)</f>
        <v>-0.26723838</v>
      </c>
      <c r="M30" s="7" t="b">
        <f>IF(ActiveDatabase=Standby,Secondary!M30,Primary!M30)</f>
        <v>1</v>
      </c>
      <c r="N30" s="10">
        <f>IF(ActiveDatabase=Standby,Secondary!N30,Primary!N30)</f>
        <v>0</v>
      </c>
      <c r="O30" s="10">
        <f>IF(ActiveDatabase=Standby,Secondary!O30,Primary!O30)</f>
        <v>0</v>
      </c>
      <c r="P30" s="10">
        <f>IF(ActiveDatabase=Standby,Secondary!P30,Primary!P30)</f>
        <v>0</v>
      </c>
      <c r="Q30" s="6">
        <f>IF(ActiveDatabase=Standby,Secondary!Q30,Primary!Q30)</f>
        <v>0</v>
      </c>
      <c r="R30" s="18">
        <f>IF(ActiveDatabase=Standby,Secondary!R30,Primary!R30)</f>
        <v>0</v>
      </c>
      <c r="S30" s="19">
        <f>IF(ActiveDatabase=Standby,Secondary!S30,Primary!S30)</f>
        <v>0</v>
      </c>
      <c r="T30" s="10">
        <f>IF(ActiveDatabase=Standby,Secondary!T30,Primary!T30)</f>
        <v>0</v>
      </c>
      <c r="U30" s="10">
        <f>IF(ActiveDatabase=Standby,Secondary!U30,Primary!U30)</f>
        <v>0</v>
      </c>
      <c r="V30" s="10">
        <f>IF(ActiveDatabase=Standby,Secondary!V30,Primary!V30)</f>
        <v>0</v>
      </c>
      <c r="W30" s="6">
        <f>IF(ActiveDatabase=Standby,Secondary!W30,Primary!W30)</f>
        <v>0</v>
      </c>
      <c r="X30" s="6">
        <f>IF(ActiveDatabase=Standby,Secondary!X30,Primary!X30)</f>
        <v>0</v>
      </c>
      <c r="Y30" s="7">
        <f>IF(ActiveDatabase=Standby,Secondary!Y30,Primary!Y30)</f>
        <v>0</v>
      </c>
      <c r="Z30" s="7">
        <f>IF(ActiveDatabase=Standby,Secondary!Z30,Primary!Z30)</f>
        <v>0</v>
      </c>
      <c r="AA30" s="7" t="str">
        <f>IF(ActiveDatabase=Standby,Secondary!AA30,Primary!AA30)</f>
        <v>ARC-L3</v>
      </c>
      <c r="AB30" s="6"/>
      <c r="AC30" s="6"/>
      <c r="AD30" s="6"/>
      <c r="AE30" s="7"/>
      <c r="AF30" s="7"/>
      <c r="AG30" s="7"/>
      <c r="AH30" s="7"/>
      <c r="AI30" s="7"/>
      <c r="AJ30" s="7"/>
      <c r="AK30" s="7"/>
      <c r="AL30" s="7"/>
      <c r="AM30" s="7"/>
      <c r="AN30" s="7"/>
      <c r="AO30" s="6"/>
      <c r="AP30" s="7"/>
      <c r="AQ30" s="7"/>
      <c r="AR30" s="6"/>
      <c r="AS30" s="6"/>
      <c r="AT30" s="6"/>
      <c r="AU30" s="6"/>
      <c r="AV30" s="6"/>
      <c r="AW30" s="6"/>
      <c r="AX30" s="6"/>
      <c r="AY30" s="6"/>
      <c r="AZ30" s="6"/>
      <c r="BA30" s="6"/>
      <c r="BB30" s="6"/>
      <c r="BC30" s="6"/>
      <c r="BD30" s="6"/>
      <c r="BE30" s="6"/>
      <c r="BF30" s="6"/>
      <c r="BG30" s="6"/>
    </row>
    <row r="31" customHeight="1" spans="1:59">
      <c r="A31" s="9" t="str">
        <f>IF(ActiveDatabase=Standby,Secondary!A31,Primary!A31)</f>
        <v>HUR-L1 R00</v>
      </c>
      <c r="B31" s="5">
        <f>IF(ActiveDatabase=Standby,Secondary!B31,Primary!B31)</f>
        <v>0</v>
      </c>
      <c r="C31" s="5">
        <f>IF(ActiveDatabase=Standby,Secondary!C31,Primary!C31)</f>
        <v>0</v>
      </c>
      <c r="D31" s="5" t="str">
        <f>IF(ActiveDatabase=Standby,Secondary!D31,Primary!D31)</f>
        <v>HUR-L1</v>
      </c>
      <c r="E31" s="6" t="str">
        <f>IF(ActiveDatabase=Standby,Secondary!E31,Primary!E31)</f>
        <v>HUR-L1</v>
      </c>
      <c r="F31" s="10">
        <f>IF(ActiveDatabase=Standby,Secondary!F31,Primary!F31)</f>
        <v>11565411.328</v>
      </c>
      <c r="G31" s="10">
        <f>IF(ActiveDatabase=Standby,Secondary!G31,Primary!G31)</f>
        <v>0</v>
      </c>
      <c r="H31" s="10">
        <f>IF(ActiveDatabase=Standby,Secondary!H31,Primary!H31)</f>
        <v>0</v>
      </c>
      <c r="I31" s="13">
        <f>IF(ActiveDatabase=Standby,Secondary!I31,Primary!I31)</f>
        <v>1</v>
      </c>
      <c r="J31" s="13">
        <f>IF(ActiveDatabase=Standby,Secondary!J31,Primary!J31)</f>
        <v>0</v>
      </c>
      <c r="K31" s="13">
        <f>IF(ActiveDatabase=Standby,Secondary!K31,Primary!K31)</f>
        <v>0</v>
      </c>
      <c r="L31" s="13">
        <f>IF(ActiveDatabase=Standby,Secondary!L31,Primary!L31)</f>
        <v>0</v>
      </c>
      <c r="M31" s="7" t="b">
        <f>IF(ActiveDatabase=Standby,Secondary!M31,Primary!M31)</f>
        <v>1</v>
      </c>
      <c r="N31" s="10">
        <f>IF(ActiveDatabase=Standby,Secondary!N31,Primary!N31)</f>
        <v>0</v>
      </c>
      <c r="O31" s="10">
        <f>IF(ActiveDatabase=Standby,Secondary!O31,Primary!O31)</f>
        <v>0</v>
      </c>
      <c r="P31" s="10">
        <f>IF(ActiveDatabase=Standby,Secondary!P31,Primary!P31)</f>
        <v>0</v>
      </c>
      <c r="Q31" s="6">
        <f>IF(ActiveDatabase=Standby,Secondary!Q31,Primary!Q31)</f>
        <v>0</v>
      </c>
      <c r="R31" s="18">
        <f>IF(ActiveDatabase=Standby,Secondary!R31,Primary!R31)</f>
        <v>0</v>
      </c>
      <c r="S31" s="19">
        <f>IF(ActiveDatabase=Standby,Secondary!S31,Primary!S31)</f>
        <v>0</v>
      </c>
      <c r="T31" s="10">
        <f>IF(ActiveDatabase=Standby,Secondary!T31,Primary!T31)</f>
        <v>0</v>
      </c>
      <c r="U31" s="10">
        <f>IF(ActiveDatabase=Standby,Secondary!U31,Primary!U31)</f>
        <v>0</v>
      </c>
      <c r="V31" s="10">
        <f>IF(ActiveDatabase=Standby,Secondary!V31,Primary!V31)</f>
        <v>0</v>
      </c>
      <c r="W31" s="6">
        <f>IF(ActiveDatabase=Standby,Secondary!W31,Primary!W31)</f>
        <v>0</v>
      </c>
      <c r="X31" s="6">
        <f>IF(ActiveDatabase=Standby,Secondary!X31,Primary!X31)</f>
        <v>0</v>
      </c>
      <c r="Y31" s="7">
        <f>IF(ActiveDatabase=Standby,Secondary!Y31,Primary!Y31)</f>
        <v>0</v>
      </c>
      <c r="Z31" s="7">
        <f>IF(ActiveDatabase=Standby,Secondary!Z31,Primary!Z31)</f>
        <v>0</v>
      </c>
      <c r="AA31" s="7" t="str">
        <f>IF(ActiveDatabase=Standby,Secondary!AA31,Primary!AA31)</f>
        <v>ARC-L4</v>
      </c>
      <c r="AB31" s="6"/>
      <c r="AC31" s="6"/>
      <c r="AD31" s="6"/>
      <c r="AE31" s="7"/>
      <c r="AF31" s="7"/>
      <c r="AG31" s="7"/>
      <c r="AH31" s="7"/>
      <c r="AI31" s="7"/>
      <c r="AJ31" s="7"/>
      <c r="AK31" s="7"/>
      <c r="AL31" s="7"/>
      <c r="AM31" s="7"/>
      <c r="AN31" s="7"/>
      <c r="AO31" s="6"/>
      <c r="AP31" s="7"/>
      <c r="AQ31" s="7"/>
      <c r="AR31" s="6"/>
      <c r="AS31" s="6"/>
      <c r="AT31" s="6"/>
      <c r="AU31" s="6"/>
      <c r="AV31" s="6"/>
      <c r="AW31" s="6"/>
      <c r="AX31" s="6"/>
      <c r="AY31" s="6"/>
      <c r="AZ31" s="6"/>
      <c r="BA31" s="6"/>
      <c r="BB31" s="6"/>
      <c r="BC31" s="6"/>
      <c r="BD31" s="6"/>
      <c r="BE31" s="6"/>
      <c r="BF31" s="6"/>
      <c r="BG31" s="6"/>
    </row>
    <row r="32" customHeight="1" spans="1:59">
      <c r="A32" s="9" t="str">
        <f>IF(ActiveDatabase=Standby,Secondary!A32,Primary!A32)</f>
        <v>HUR-L2 R00</v>
      </c>
      <c r="B32" s="5">
        <f>IF(ActiveDatabase=Standby,Secondary!B32,Primary!B32)</f>
        <v>0</v>
      </c>
      <c r="C32" s="5">
        <f>IF(ActiveDatabase=Standby,Secondary!C32,Primary!C32)</f>
        <v>0</v>
      </c>
      <c r="D32" s="5" t="str">
        <f>IF(ActiveDatabase=Standby,Secondary!D32,Primary!D32)</f>
        <v>HUR-L2</v>
      </c>
      <c r="E32" s="6" t="str">
        <f>IF(ActiveDatabase=Standby,Secondary!E32,Primary!E32)</f>
        <v>HUR-L2</v>
      </c>
      <c r="F32" s="10">
        <f>IF(ActiveDatabase=Standby,Secondary!F32,Primary!F32)</f>
        <v>14135502.848</v>
      </c>
      <c r="G32" s="10">
        <f>IF(ActiveDatabase=Standby,Secondary!G32,Primary!G32)</f>
        <v>0</v>
      </c>
      <c r="H32" s="10">
        <f>IF(ActiveDatabase=Standby,Secondary!H32,Primary!H32)</f>
        <v>0</v>
      </c>
      <c r="I32" s="13">
        <f>IF(ActiveDatabase=Standby,Secondary!I32,Primary!I32)</f>
        <v>1</v>
      </c>
      <c r="J32" s="13">
        <f>IF(ActiveDatabase=Standby,Secondary!J32,Primary!J32)</f>
        <v>0</v>
      </c>
      <c r="K32" s="13">
        <f>IF(ActiveDatabase=Standby,Secondary!K32,Primary!K32)</f>
        <v>0</v>
      </c>
      <c r="L32" s="13">
        <f>IF(ActiveDatabase=Standby,Secondary!L32,Primary!L32)</f>
        <v>0</v>
      </c>
      <c r="M32" s="7" t="b">
        <f>IF(ActiveDatabase=Standby,Secondary!M32,Primary!M32)</f>
        <v>1</v>
      </c>
      <c r="N32" s="10">
        <f>IF(ActiveDatabase=Standby,Secondary!N32,Primary!N32)</f>
        <v>0</v>
      </c>
      <c r="O32" s="10">
        <f>IF(ActiveDatabase=Standby,Secondary!O32,Primary!O32)</f>
        <v>0</v>
      </c>
      <c r="P32" s="10">
        <f>IF(ActiveDatabase=Standby,Secondary!P32,Primary!P32)</f>
        <v>0</v>
      </c>
      <c r="Q32" s="6">
        <f>IF(ActiveDatabase=Standby,Secondary!Q32,Primary!Q32)</f>
        <v>0</v>
      </c>
      <c r="R32" s="18">
        <f>IF(ActiveDatabase=Standby,Secondary!R32,Primary!R32)</f>
        <v>0</v>
      </c>
      <c r="S32" s="19">
        <f>IF(ActiveDatabase=Standby,Secondary!S32,Primary!S32)</f>
        <v>0</v>
      </c>
      <c r="T32" s="10">
        <f>IF(ActiveDatabase=Standby,Secondary!T32,Primary!T32)</f>
        <v>0</v>
      </c>
      <c r="U32" s="10">
        <f>IF(ActiveDatabase=Standby,Secondary!U32,Primary!U32)</f>
        <v>0</v>
      </c>
      <c r="V32" s="10">
        <f>IF(ActiveDatabase=Standby,Secondary!V32,Primary!V32)</f>
        <v>0</v>
      </c>
      <c r="W32" s="6">
        <f>IF(ActiveDatabase=Standby,Secondary!W32,Primary!W32)</f>
        <v>0</v>
      </c>
      <c r="X32" s="6">
        <f>IF(ActiveDatabase=Standby,Secondary!X32,Primary!X32)</f>
        <v>0</v>
      </c>
      <c r="Y32" s="7">
        <f>IF(ActiveDatabase=Standby,Secondary!Y32,Primary!Y32)</f>
        <v>0</v>
      </c>
      <c r="Z32" s="7">
        <f>IF(ActiveDatabase=Standby,Secondary!Z32,Primary!Z32)</f>
        <v>0</v>
      </c>
      <c r="AA32" s="7" t="str">
        <f>IF(ActiveDatabase=Standby,Secondary!AA32,Primary!AA32)</f>
        <v>ARC-L5</v>
      </c>
      <c r="AB32" s="6"/>
      <c r="AC32" s="6"/>
      <c r="AD32" s="6"/>
      <c r="AE32" s="7"/>
      <c r="AF32" s="7"/>
      <c r="AG32" s="7"/>
      <c r="AH32" s="7"/>
      <c r="AI32" s="7"/>
      <c r="AJ32" s="7"/>
      <c r="AK32" s="7"/>
      <c r="AL32" s="7"/>
      <c r="AM32" s="7"/>
      <c r="AN32" s="7"/>
      <c r="AO32" s="6"/>
      <c r="AP32" s="7"/>
      <c r="AQ32" s="7"/>
      <c r="AR32" s="6"/>
      <c r="AS32" s="6"/>
      <c r="AT32" s="6"/>
      <c r="AU32" s="6"/>
      <c r="AV32" s="6"/>
      <c r="AW32" s="6"/>
      <c r="AX32" s="6"/>
      <c r="AY32" s="6"/>
      <c r="AZ32" s="6"/>
      <c r="BA32" s="6"/>
      <c r="BB32" s="6"/>
      <c r="BC32" s="6"/>
      <c r="BD32" s="6"/>
      <c r="BE32" s="6"/>
      <c r="BF32" s="6"/>
      <c r="BG32" s="6"/>
    </row>
    <row r="33" customHeight="1" spans="1:59">
      <c r="A33" s="9" t="str">
        <f>IF(ActiveDatabase=Standby,Secondary!A33,Primary!A33)</f>
        <v>HUR-L3 R00</v>
      </c>
      <c r="B33" s="5">
        <f>IF(ActiveDatabase=Standby,Secondary!B33,Primary!B33)</f>
        <v>0</v>
      </c>
      <c r="C33" s="5">
        <f>IF(ActiveDatabase=Standby,Secondary!C33,Primary!C33)</f>
        <v>0</v>
      </c>
      <c r="D33" s="5" t="str">
        <f>IF(ActiveDatabase=Standby,Secondary!D33,Primary!D33)</f>
        <v>HUR-L3</v>
      </c>
      <c r="E33" s="6" t="str">
        <f>IF(ActiveDatabase=Standby,Secondary!E33,Primary!E33)</f>
        <v>HUR-L3</v>
      </c>
      <c r="F33" s="10">
        <f>IF(ActiveDatabase=Standby,Secondary!F33,Primary!F33)</f>
        <v>-12850457.6</v>
      </c>
      <c r="G33" s="10">
        <f>IF(ActiveDatabase=Standby,Secondary!G33,Primary!G33)</f>
        <v>-1.12342272899999</v>
      </c>
      <c r="H33" s="10">
        <f>IF(ActiveDatabase=Standby,Secondary!H33,Primary!H33)</f>
        <v>0</v>
      </c>
      <c r="I33" s="13">
        <f>IF(ActiveDatabase=Standby,Secondary!I33,Primary!I33)</f>
        <v>1</v>
      </c>
      <c r="J33" s="13">
        <f>IF(ActiveDatabase=Standby,Secondary!J33,Primary!J33)</f>
        <v>0</v>
      </c>
      <c r="K33" s="13">
        <f>IF(ActiveDatabase=Standby,Secondary!K33,Primary!K33)</f>
        <v>0</v>
      </c>
      <c r="L33" s="13">
        <f>IF(ActiveDatabase=Standby,Secondary!L33,Primary!L33)</f>
        <v>0</v>
      </c>
      <c r="M33" s="7" t="b">
        <f>IF(ActiveDatabase=Standby,Secondary!M33,Primary!M33)</f>
        <v>1</v>
      </c>
      <c r="N33" s="10">
        <f>IF(ActiveDatabase=Standby,Secondary!N33,Primary!N33)</f>
        <v>0</v>
      </c>
      <c r="O33" s="10">
        <f>IF(ActiveDatabase=Standby,Secondary!O33,Primary!O33)</f>
        <v>0</v>
      </c>
      <c r="P33" s="10">
        <f>IF(ActiveDatabase=Standby,Secondary!P33,Primary!P33)</f>
        <v>0</v>
      </c>
      <c r="Q33" s="6">
        <f>IF(ActiveDatabase=Standby,Secondary!Q33,Primary!Q33)</f>
        <v>0</v>
      </c>
      <c r="R33" s="18">
        <f>IF(ActiveDatabase=Standby,Secondary!R33,Primary!R33)</f>
        <v>0</v>
      </c>
      <c r="S33" s="19">
        <f>IF(ActiveDatabase=Standby,Secondary!S33,Primary!S33)</f>
        <v>0</v>
      </c>
      <c r="T33" s="10">
        <f>IF(ActiveDatabase=Standby,Secondary!T33,Primary!T33)</f>
        <v>0</v>
      </c>
      <c r="U33" s="10">
        <f>IF(ActiveDatabase=Standby,Secondary!U33,Primary!U33)</f>
        <v>0</v>
      </c>
      <c r="V33" s="10">
        <f>IF(ActiveDatabase=Standby,Secondary!V33,Primary!V33)</f>
        <v>0</v>
      </c>
      <c r="W33" s="6">
        <f>IF(ActiveDatabase=Standby,Secondary!W33,Primary!W33)</f>
        <v>0</v>
      </c>
      <c r="X33" s="6">
        <f>IF(ActiveDatabase=Standby,Secondary!X33,Primary!X33)</f>
        <v>0</v>
      </c>
      <c r="Y33" s="7">
        <f>IF(ActiveDatabase=Standby,Secondary!Y33,Primary!Y33)</f>
        <v>0</v>
      </c>
      <c r="Z33" s="7">
        <f>IF(ActiveDatabase=Standby,Secondary!Z33,Primary!Z33)</f>
        <v>0</v>
      </c>
      <c r="AA33" s="7" t="str">
        <f>IF(ActiveDatabase=Standby,Secondary!AA33,Primary!AA33)</f>
        <v>MIC-L1</v>
      </c>
      <c r="AB33" s="6"/>
      <c r="AC33" s="6"/>
      <c r="AD33" s="6"/>
      <c r="AE33" s="7"/>
      <c r="AF33" s="7"/>
      <c r="AG33" s="7"/>
      <c r="AH33" s="7"/>
      <c r="AI33" s="7"/>
      <c r="AJ33" s="7"/>
      <c r="AK33" s="7"/>
      <c r="AL33" s="7"/>
      <c r="AM33" s="7"/>
      <c r="AN33" s="7"/>
      <c r="AO33" s="6"/>
      <c r="AP33" s="7"/>
      <c r="AQ33" s="7"/>
      <c r="AR33" s="6"/>
      <c r="AS33" s="6"/>
      <c r="AT33" s="6"/>
      <c r="AU33" s="6"/>
      <c r="AV33" s="6"/>
      <c r="AW33" s="6"/>
      <c r="AX33" s="6"/>
      <c r="AY33" s="6"/>
      <c r="AZ33" s="6"/>
      <c r="BA33" s="6"/>
      <c r="BB33" s="6"/>
      <c r="BC33" s="6"/>
      <c r="BD33" s="6"/>
      <c r="BE33" s="6"/>
      <c r="BF33" s="6"/>
      <c r="BG33" s="6"/>
    </row>
    <row r="34" customHeight="1" spans="1:59">
      <c r="A34" s="9" t="str">
        <f>IF(ActiveDatabase=Standby,Secondary!A34,Primary!A34)</f>
        <v>HUR-L4 R00</v>
      </c>
      <c r="B34" s="5">
        <f>IF(ActiveDatabase=Standby,Secondary!B34,Primary!B34)</f>
        <v>0</v>
      </c>
      <c r="C34" s="5">
        <f>IF(ActiveDatabase=Standby,Secondary!C34,Primary!C34)</f>
        <v>0</v>
      </c>
      <c r="D34" s="5" t="str">
        <f>IF(ActiveDatabase=Standby,Secondary!D34,Primary!D34)</f>
        <v>HUR-L4</v>
      </c>
      <c r="E34" s="6" t="str">
        <f>IF(ActiveDatabase=Standby,Secondary!E34,Primary!E34)</f>
        <v>HUR-L4</v>
      </c>
      <c r="F34" s="10">
        <f>IF(ActiveDatabase=Standby,Secondary!F34,Primary!F34)</f>
        <v>6425228.288</v>
      </c>
      <c r="G34" s="10">
        <f>IF(ActiveDatabase=Standby,Secondary!G34,Primary!G34)</f>
        <v>11128823.808</v>
      </c>
      <c r="H34" s="10">
        <f>IF(ActiveDatabase=Standby,Secondary!H34,Primary!H34)</f>
        <v>0</v>
      </c>
      <c r="I34" s="13">
        <f>IF(ActiveDatabase=Standby,Secondary!I34,Primary!I34)</f>
        <v>1</v>
      </c>
      <c r="J34" s="13">
        <f>IF(ActiveDatabase=Standby,Secondary!J34,Primary!J34)</f>
        <v>0</v>
      </c>
      <c r="K34" s="13">
        <f>IF(ActiveDatabase=Standby,Secondary!K34,Primary!K34)</f>
        <v>0</v>
      </c>
      <c r="L34" s="13">
        <f>IF(ActiveDatabase=Standby,Secondary!L34,Primary!L34)</f>
        <v>0</v>
      </c>
      <c r="M34" s="7" t="b">
        <f>IF(ActiveDatabase=Standby,Secondary!M34,Primary!M34)</f>
        <v>1</v>
      </c>
      <c r="N34" s="10">
        <f>IF(ActiveDatabase=Standby,Secondary!N34,Primary!N34)</f>
        <v>0</v>
      </c>
      <c r="O34" s="10">
        <f>IF(ActiveDatabase=Standby,Secondary!O34,Primary!O34)</f>
        <v>0</v>
      </c>
      <c r="P34" s="10">
        <f>IF(ActiveDatabase=Standby,Secondary!P34,Primary!P34)</f>
        <v>0</v>
      </c>
      <c r="Q34" s="6">
        <f>IF(ActiveDatabase=Standby,Secondary!Q34,Primary!Q34)</f>
        <v>0</v>
      </c>
      <c r="R34" s="18">
        <f>IF(ActiveDatabase=Standby,Secondary!R34,Primary!R34)</f>
        <v>0</v>
      </c>
      <c r="S34" s="19">
        <f>IF(ActiveDatabase=Standby,Secondary!S34,Primary!S34)</f>
        <v>0</v>
      </c>
      <c r="T34" s="10">
        <f>IF(ActiveDatabase=Standby,Secondary!T34,Primary!T34)</f>
        <v>0</v>
      </c>
      <c r="U34" s="10">
        <f>IF(ActiveDatabase=Standby,Secondary!U34,Primary!U34)</f>
        <v>0</v>
      </c>
      <c r="V34" s="10">
        <f>IF(ActiveDatabase=Standby,Secondary!V34,Primary!V34)</f>
        <v>0</v>
      </c>
      <c r="W34" s="6">
        <f>IF(ActiveDatabase=Standby,Secondary!W34,Primary!W34)</f>
        <v>0</v>
      </c>
      <c r="X34" s="6">
        <f>IF(ActiveDatabase=Standby,Secondary!X34,Primary!X34)</f>
        <v>0</v>
      </c>
      <c r="Y34" s="7">
        <f>IF(ActiveDatabase=Standby,Secondary!Y34,Primary!Y34)</f>
        <v>0</v>
      </c>
      <c r="Z34" s="7">
        <f>IF(ActiveDatabase=Standby,Secondary!Z34,Primary!Z34)</f>
        <v>0</v>
      </c>
      <c r="AA34" s="7" t="str">
        <f>IF(ActiveDatabase=Standby,Secondary!AA34,Primary!AA34)</f>
        <v>MIC-L2</v>
      </c>
      <c r="AB34" s="6"/>
      <c r="AC34" s="6"/>
      <c r="AD34" s="6"/>
      <c r="AE34" s="7"/>
      <c r="AF34" s="7"/>
      <c r="AG34" s="7"/>
      <c r="AH34" s="7"/>
      <c r="AI34" s="7"/>
      <c r="AJ34" s="7"/>
      <c r="AK34" s="7"/>
      <c r="AL34" s="7"/>
      <c r="AM34" s="7"/>
      <c r="AN34" s="7"/>
      <c r="AO34" s="6"/>
      <c r="AP34" s="7"/>
      <c r="AQ34" s="7"/>
      <c r="AR34" s="6"/>
      <c r="AS34" s="6"/>
      <c r="AT34" s="6"/>
      <c r="AU34" s="6"/>
      <c r="AV34" s="6"/>
      <c r="AW34" s="6"/>
      <c r="AX34" s="6"/>
      <c r="AY34" s="6"/>
      <c r="AZ34" s="6"/>
      <c r="BA34" s="6"/>
      <c r="BB34" s="6"/>
      <c r="BC34" s="6"/>
      <c r="BD34" s="6"/>
      <c r="BE34" s="6"/>
      <c r="BF34" s="6"/>
      <c r="BG34" s="6"/>
    </row>
    <row r="35" customHeight="1" spans="1:59">
      <c r="A35" s="9" t="str">
        <f>IF(ActiveDatabase=Standby,Secondary!A35,Primary!A35)</f>
        <v>HUR-L5 R00</v>
      </c>
      <c r="B35" s="5">
        <f>IF(ActiveDatabase=Standby,Secondary!B35,Primary!B35)</f>
        <v>0</v>
      </c>
      <c r="C35" s="5">
        <f>IF(ActiveDatabase=Standby,Secondary!C35,Primary!C35)</f>
        <v>0</v>
      </c>
      <c r="D35" s="5" t="str">
        <f>IF(ActiveDatabase=Standby,Secondary!D35,Primary!D35)</f>
        <v>HUR-L5</v>
      </c>
      <c r="E35" s="6" t="str">
        <f>IF(ActiveDatabase=Standby,Secondary!E35,Primary!E35)</f>
        <v>HUR-L5</v>
      </c>
      <c r="F35" s="10">
        <f>IF(ActiveDatabase=Standby,Secondary!F35,Primary!F35)</f>
        <v>6425227.776</v>
      </c>
      <c r="G35" s="10">
        <f>IF(ActiveDatabase=Standby,Secondary!G35,Primary!G35)</f>
        <v>-11128823.808</v>
      </c>
      <c r="H35" s="10">
        <f>IF(ActiveDatabase=Standby,Secondary!H35,Primary!H35)</f>
        <v>0</v>
      </c>
      <c r="I35" s="13">
        <f>IF(ActiveDatabase=Standby,Secondary!I35,Primary!I35)</f>
        <v>1</v>
      </c>
      <c r="J35" s="13">
        <f>IF(ActiveDatabase=Standby,Secondary!J35,Primary!J35)</f>
        <v>0</v>
      </c>
      <c r="K35" s="13">
        <f>IF(ActiveDatabase=Standby,Secondary!K35,Primary!K35)</f>
        <v>0</v>
      </c>
      <c r="L35" s="13">
        <f>IF(ActiveDatabase=Standby,Secondary!L35,Primary!L35)</f>
        <v>0</v>
      </c>
      <c r="M35" s="7" t="b">
        <f>IF(ActiveDatabase=Standby,Secondary!M35,Primary!M35)</f>
        <v>1</v>
      </c>
      <c r="N35" s="10">
        <f>IF(ActiveDatabase=Standby,Secondary!N35,Primary!N35)</f>
        <v>0</v>
      </c>
      <c r="O35" s="10">
        <f>IF(ActiveDatabase=Standby,Secondary!O35,Primary!O35)</f>
        <v>0</v>
      </c>
      <c r="P35" s="10">
        <f>IF(ActiveDatabase=Standby,Secondary!P35,Primary!P35)</f>
        <v>0</v>
      </c>
      <c r="Q35" s="6">
        <f>IF(ActiveDatabase=Standby,Secondary!Q35,Primary!Q35)</f>
        <v>0</v>
      </c>
      <c r="R35" s="18">
        <f>IF(ActiveDatabase=Standby,Secondary!R35,Primary!R35)</f>
        <v>0</v>
      </c>
      <c r="S35" s="19">
        <f>IF(ActiveDatabase=Standby,Secondary!S35,Primary!S35)</f>
        <v>0</v>
      </c>
      <c r="T35" s="10">
        <f>IF(ActiveDatabase=Standby,Secondary!T35,Primary!T35)</f>
        <v>0</v>
      </c>
      <c r="U35" s="10">
        <f>IF(ActiveDatabase=Standby,Secondary!U35,Primary!U35)</f>
        <v>0</v>
      </c>
      <c r="V35" s="10">
        <f>IF(ActiveDatabase=Standby,Secondary!V35,Primary!V35)</f>
        <v>0</v>
      </c>
      <c r="W35" s="6">
        <f>IF(ActiveDatabase=Standby,Secondary!W35,Primary!W35)</f>
        <v>0</v>
      </c>
      <c r="X35" s="6">
        <f>IF(ActiveDatabase=Standby,Secondary!X35,Primary!X35)</f>
        <v>0</v>
      </c>
      <c r="Y35" s="12">
        <f>IF(ActiveDatabase=Standby,Secondary!Y35,Primary!Y35)</f>
        <v>0</v>
      </c>
      <c r="Z35" s="12">
        <f>IF(ActiveDatabase=Standby,Secondary!Z35,Primary!Z35)</f>
        <v>0</v>
      </c>
      <c r="AA35" s="7" t="str">
        <f>IF(ActiveDatabase=Standby,Secondary!AA35,Primary!AA35)</f>
        <v>MIC-L3</v>
      </c>
      <c r="AB35" s="12"/>
      <c r="AC35" s="12"/>
      <c r="AD35" s="12"/>
      <c r="AE35" s="12"/>
      <c r="AF35" s="12"/>
      <c r="AG35" s="12"/>
      <c r="AH35" s="6"/>
      <c r="AI35" s="7"/>
      <c r="AJ35" s="9"/>
      <c r="AK35" s="7"/>
      <c r="AL35" s="7"/>
      <c r="AM35" s="7"/>
      <c r="AN35" s="7"/>
      <c r="AO35" s="6"/>
      <c r="AP35" s="6"/>
      <c r="AQ35" s="6"/>
      <c r="AR35" s="6"/>
      <c r="AS35" s="6"/>
      <c r="AT35" s="6"/>
      <c r="AU35" s="6"/>
      <c r="AV35" s="6"/>
      <c r="AW35" s="6"/>
      <c r="AX35" s="6"/>
      <c r="AY35" s="6"/>
      <c r="AZ35" s="6"/>
      <c r="BA35" s="6"/>
      <c r="BB35" s="6"/>
      <c r="BC35" s="6"/>
      <c r="BD35" s="6"/>
      <c r="BE35" s="6"/>
      <c r="BF35" s="6"/>
      <c r="BG35" s="6"/>
    </row>
    <row r="36" customHeight="1" spans="1:59">
      <c r="A36" s="9" t="str">
        <f>IF(ActiveDatabase=Standby,Secondary!A36,Primary!A36)</f>
        <v>MIC-L1 R00</v>
      </c>
      <c r="B36" s="5">
        <f>IF(ActiveDatabase=Standby,Secondary!B36,Primary!B36)</f>
        <v>0</v>
      </c>
      <c r="C36" s="5">
        <f>IF(ActiveDatabase=Standby,Secondary!C36,Primary!C36)</f>
        <v>0</v>
      </c>
      <c r="D36" s="5" t="str">
        <f>IF(ActiveDatabase=Standby,Secondary!D36,Primary!D36)</f>
        <v>MIC-L1</v>
      </c>
      <c r="E36" s="6" t="str">
        <f>IF(ActiveDatabase=Standby,Secondary!E36,Primary!E36)</f>
        <v>MIC-L1</v>
      </c>
      <c r="F36" s="10">
        <f>IF(ActiveDatabase=Standby,Secondary!F36,Primary!F36)</f>
        <v>20215824.238186</v>
      </c>
      <c r="G36" s="10">
        <f>IF(ActiveDatabase=Standby,Secondary!G36,Primary!G36)</f>
        <v>33467065.0076147</v>
      </c>
      <c r="H36" s="10">
        <f>IF(ActiveDatabase=Standby,Secondary!H36,Primary!H36)</f>
        <v>0</v>
      </c>
      <c r="I36" s="13">
        <f>IF(ActiveDatabase=Standby,Secondary!I36,Primary!I36)</f>
        <v>1</v>
      </c>
      <c r="J36" s="13">
        <f>IF(ActiveDatabase=Standby,Secondary!J36,Primary!J36)</f>
        <v>0</v>
      </c>
      <c r="K36" s="13">
        <f>IF(ActiveDatabase=Standby,Secondary!K36,Primary!K36)</f>
        <v>0</v>
      </c>
      <c r="L36" s="13">
        <f>IF(ActiveDatabase=Standby,Secondary!L36,Primary!L36)</f>
        <v>0</v>
      </c>
      <c r="M36" s="7" t="b">
        <f>IF(ActiveDatabase=Standby,Secondary!M36,Primary!M36)</f>
        <v>1</v>
      </c>
      <c r="N36" s="10">
        <f>IF(ActiveDatabase=Standby,Secondary!N36,Primary!N36)</f>
        <v>0</v>
      </c>
      <c r="O36" s="10">
        <f>IF(ActiveDatabase=Standby,Secondary!O36,Primary!O36)</f>
        <v>0</v>
      </c>
      <c r="P36" s="10">
        <f>IF(ActiveDatabase=Standby,Secondary!P36,Primary!P36)</f>
        <v>0</v>
      </c>
      <c r="Q36" s="6">
        <f>IF(ActiveDatabase=Standby,Secondary!Q36,Primary!Q36)</f>
        <v>0</v>
      </c>
      <c r="R36" s="18">
        <f>IF(ActiveDatabase=Standby,Secondary!R36,Primary!R36)</f>
        <v>0</v>
      </c>
      <c r="S36" s="19">
        <f>IF(ActiveDatabase=Standby,Secondary!S36,Primary!S36)</f>
        <v>0</v>
      </c>
      <c r="T36" s="10">
        <f>IF(ActiveDatabase=Standby,Secondary!T36,Primary!T36)</f>
        <v>0</v>
      </c>
      <c r="U36" s="10">
        <f>IF(ActiveDatabase=Standby,Secondary!U36,Primary!U36)</f>
        <v>0</v>
      </c>
      <c r="V36" s="10">
        <f>IF(ActiveDatabase=Standby,Secondary!V36,Primary!V36)</f>
        <v>0</v>
      </c>
      <c r="W36" s="6">
        <f>IF(ActiveDatabase=Standby,Secondary!W36,Primary!W36)</f>
        <v>0</v>
      </c>
      <c r="X36" s="6">
        <f>IF(ActiveDatabase=Standby,Secondary!X36,Primary!X36)</f>
        <v>0</v>
      </c>
      <c r="Y36" s="12">
        <f>IF(ActiveDatabase=Standby,Secondary!Y36,Primary!Y36)</f>
        <v>0</v>
      </c>
      <c r="Z36" s="12">
        <f>IF(ActiveDatabase=Standby,Secondary!Z36,Primary!Z36)</f>
        <v>0</v>
      </c>
      <c r="AA36" s="7" t="str">
        <f>IF(ActiveDatabase=Standby,Secondary!AA36,Primary!AA36)</f>
        <v>MIC-L4</v>
      </c>
      <c r="AB36" s="12"/>
      <c r="AC36" s="6"/>
      <c r="AD36" s="6"/>
      <c r="AE36" s="7"/>
      <c r="AF36" s="7"/>
      <c r="AG36" s="7"/>
      <c r="AH36" s="7"/>
      <c r="AI36" s="7"/>
      <c r="AJ36" s="7"/>
      <c r="AK36" s="7"/>
      <c r="AL36" s="7"/>
      <c r="AM36" s="7"/>
      <c r="AN36" s="7"/>
      <c r="AO36" s="6"/>
      <c r="AP36" s="7"/>
      <c r="AQ36" s="7"/>
      <c r="AR36" s="6"/>
      <c r="AS36" s="6"/>
      <c r="AT36" s="6"/>
      <c r="AU36" s="6"/>
      <c r="AV36" s="6"/>
      <c r="AW36" s="6"/>
      <c r="AX36" s="6"/>
      <c r="AY36" s="6"/>
      <c r="AZ36" s="6"/>
      <c r="BA36" s="6"/>
      <c r="BB36" s="6"/>
      <c r="BC36" s="6"/>
      <c r="BD36" s="6"/>
      <c r="BE36" s="6"/>
      <c r="BF36" s="6"/>
      <c r="BG36" s="6"/>
    </row>
    <row r="37" customHeight="1" spans="1:59">
      <c r="A37" s="9" t="str">
        <f>IF(ActiveDatabase=Standby,Secondary!A37,Primary!A37)</f>
        <v>MIC-L2 R00</v>
      </c>
      <c r="B37" s="5">
        <f>IF(ActiveDatabase=Standby,Secondary!B37,Primary!B37)</f>
        <v>0</v>
      </c>
      <c r="C37" s="5">
        <f>IF(ActiveDatabase=Standby,Secondary!C37,Primary!C37)</f>
        <v>0</v>
      </c>
      <c r="D37" s="5" t="str">
        <f>IF(ActiveDatabase=Standby,Secondary!D37,Primary!D37)</f>
        <v>MIC-L2</v>
      </c>
      <c r="E37" s="6" t="str">
        <f>IF(ActiveDatabase=Standby,Secondary!E37,Primary!E37)</f>
        <v>MIC-L2</v>
      </c>
      <c r="F37" s="10">
        <f>IF(ActiveDatabase=Standby,Secondary!F37,Primary!F37)</f>
        <v>24708827.1534754</v>
      </c>
      <c r="G37" s="10">
        <f>IF(ActiveDatabase=Standby,Secondary!G37,Primary!G37)</f>
        <v>40905202.4592227</v>
      </c>
      <c r="H37" s="10">
        <f>IF(ActiveDatabase=Standby,Secondary!H37,Primary!H37)</f>
        <v>-5.0088e-5</v>
      </c>
      <c r="I37" s="13">
        <f>IF(ActiveDatabase=Standby,Secondary!I37,Primary!I37)</f>
        <v>1</v>
      </c>
      <c r="J37" s="13">
        <f>IF(ActiveDatabase=Standby,Secondary!J37,Primary!J37)</f>
        <v>0</v>
      </c>
      <c r="K37" s="13">
        <f>IF(ActiveDatabase=Standby,Secondary!K37,Primary!K37)</f>
        <v>0</v>
      </c>
      <c r="L37" s="13">
        <f>IF(ActiveDatabase=Standby,Secondary!L37,Primary!L37)</f>
        <v>0</v>
      </c>
      <c r="M37" s="7" t="b">
        <f>IF(ActiveDatabase=Standby,Secondary!M37,Primary!M37)</f>
        <v>1</v>
      </c>
      <c r="N37" s="10">
        <f>IF(ActiveDatabase=Standby,Secondary!N37,Primary!N37)</f>
        <v>0</v>
      </c>
      <c r="O37" s="10">
        <f>IF(ActiveDatabase=Standby,Secondary!O37,Primary!O37)</f>
        <v>0</v>
      </c>
      <c r="P37" s="10">
        <f>IF(ActiveDatabase=Standby,Secondary!P37,Primary!P37)</f>
        <v>0</v>
      </c>
      <c r="Q37" s="6">
        <f>IF(ActiveDatabase=Standby,Secondary!Q37,Primary!Q37)</f>
        <v>0</v>
      </c>
      <c r="R37" s="18">
        <f>IF(ActiveDatabase=Standby,Secondary!R37,Primary!R37)</f>
        <v>0</v>
      </c>
      <c r="S37" s="19">
        <f>IF(ActiveDatabase=Standby,Secondary!S37,Primary!S37)</f>
        <v>0</v>
      </c>
      <c r="T37" s="10">
        <f>IF(ActiveDatabase=Standby,Secondary!T37,Primary!T37)</f>
        <v>0</v>
      </c>
      <c r="U37" s="10">
        <f>IF(ActiveDatabase=Standby,Secondary!U37,Primary!U37)</f>
        <v>0</v>
      </c>
      <c r="V37" s="10">
        <f>IF(ActiveDatabase=Standby,Secondary!V37,Primary!V37)</f>
        <v>0</v>
      </c>
      <c r="W37" s="6">
        <f>IF(ActiveDatabase=Standby,Secondary!W37,Primary!W37)</f>
        <v>0</v>
      </c>
      <c r="X37" s="6">
        <f>IF(ActiveDatabase=Standby,Secondary!X37,Primary!X37)</f>
        <v>0</v>
      </c>
      <c r="Y37" s="12">
        <f>IF(ActiveDatabase=Standby,Secondary!Y37,Primary!Y37)</f>
        <v>0</v>
      </c>
      <c r="Z37" s="12">
        <f>IF(ActiveDatabase=Standby,Secondary!Z37,Primary!Z37)</f>
        <v>0</v>
      </c>
      <c r="AA37" s="7" t="str">
        <f>IF(ActiveDatabase=Standby,Secondary!AA37,Primary!AA37)</f>
        <v>MIC-L5</v>
      </c>
      <c r="AB37" s="12"/>
      <c r="AC37" s="6"/>
      <c r="AD37" s="6"/>
      <c r="AE37" s="7"/>
      <c r="AF37" s="7"/>
      <c r="AG37" s="7"/>
      <c r="AH37" s="7"/>
      <c r="AI37" s="7"/>
      <c r="AJ37" s="7"/>
      <c r="AK37" s="7"/>
      <c r="AL37" s="7"/>
      <c r="AM37" s="7"/>
      <c r="AN37" s="7"/>
      <c r="AO37" s="6"/>
      <c r="AP37" s="7"/>
      <c r="AQ37" s="7"/>
      <c r="AR37" s="6"/>
      <c r="AS37" s="6"/>
      <c r="AT37" s="6"/>
      <c r="AU37" s="6"/>
      <c r="AV37" s="6"/>
      <c r="AW37" s="6"/>
      <c r="AX37" s="6"/>
      <c r="AY37" s="6"/>
      <c r="AZ37" s="6"/>
      <c r="BA37" s="6"/>
      <c r="BB37" s="6"/>
      <c r="BC37" s="6"/>
      <c r="BD37" s="6"/>
      <c r="BE37" s="6"/>
      <c r="BF37" s="6"/>
      <c r="BG37" s="6"/>
    </row>
    <row r="38" customHeight="1" spans="1:59">
      <c r="A38" s="9" t="str">
        <f>IF(ActiveDatabase=Standby,Secondary!A38,Primary!A38)</f>
        <v>MIC-L3 R00</v>
      </c>
      <c r="B38" s="5">
        <f>IF(ActiveDatabase=Standby,Secondary!B38,Primary!B38)</f>
        <v>0</v>
      </c>
      <c r="C38" s="5">
        <f>IF(ActiveDatabase=Standby,Secondary!C38,Primary!C38)</f>
        <v>0</v>
      </c>
      <c r="D38" s="5" t="str">
        <f>IF(ActiveDatabase=Standby,Secondary!D38,Primary!D38)</f>
        <v>MIC-L3</v>
      </c>
      <c r="E38" s="6" t="str">
        <f>IF(ActiveDatabase=Standby,Secondary!E38,Primary!E38)</f>
        <v>MIC-L3</v>
      </c>
      <c r="F38" s="10">
        <f>IF(ActiveDatabase=Standby,Secondary!F38,Primary!F38)</f>
        <v>-22457170.2657861</v>
      </c>
      <c r="G38" s="10">
        <f>IF(ActiveDatabase=Standby,Secondary!G38,Primary!G38)</f>
        <v>-37187612.39564</v>
      </c>
      <c r="H38" s="10">
        <f>IF(ActiveDatabase=Standby,Secondary!H38,Primary!H38)</f>
        <v>0</v>
      </c>
      <c r="I38" s="13">
        <f>IF(ActiveDatabase=Standby,Secondary!I38,Primary!I38)</f>
        <v>1</v>
      </c>
      <c r="J38" s="13">
        <f>IF(ActiveDatabase=Standby,Secondary!J38,Primary!J38)</f>
        <v>0</v>
      </c>
      <c r="K38" s="13">
        <f>IF(ActiveDatabase=Standby,Secondary!K38,Primary!K38)</f>
        <v>0</v>
      </c>
      <c r="L38" s="13">
        <f>IF(ActiveDatabase=Standby,Secondary!L38,Primary!L38)</f>
        <v>0</v>
      </c>
      <c r="M38" s="7" t="b">
        <f>IF(ActiveDatabase=Standby,Secondary!M38,Primary!M38)</f>
        <v>1</v>
      </c>
      <c r="N38" s="10">
        <f>IF(ActiveDatabase=Standby,Secondary!N38,Primary!N38)</f>
        <v>0</v>
      </c>
      <c r="O38" s="10">
        <f>IF(ActiveDatabase=Standby,Secondary!O38,Primary!O38)</f>
        <v>0</v>
      </c>
      <c r="P38" s="10">
        <f>IF(ActiveDatabase=Standby,Secondary!P38,Primary!P38)</f>
        <v>0</v>
      </c>
      <c r="Q38" s="6">
        <f>IF(ActiveDatabase=Standby,Secondary!Q38,Primary!Q38)</f>
        <v>0</v>
      </c>
      <c r="R38" s="18">
        <f>IF(ActiveDatabase=Standby,Secondary!R38,Primary!R38)</f>
        <v>0</v>
      </c>
      <c r="S38" s="19">
        <f>IF(ActiveDatabase=Standby,Secondary!S38,Primary!S38)</f>
        <v>0</v>
      </c>
      <c r="T38" s="10">
        <f>IF(ActiveDatabase=Standby,Secondary!T38,Primary!T38)</f>
        <v>0</v>
      </c>
      <c r="U38" s="10">
        <f>IF(ActiveDatabase=Standby,Secondary!U38,Primary!U38)</f>
        <v>0</v>
      </c>
      <c r="V38" s="10">
        <f>IF(ActiveDatabase=Standby,Secondary!V38,Primary!V38)</f>
        <v>0</v>
      </c>
      <c r="W38" s="6">
        <f>IF(ActiveDatabase=Standby,Secondary!W38,Primary!W38)</f>
        <v>0</v>
      </c>
      <c r="X38" s="6">
        <f>IF(ActiveDatabase=Standby,Secondary!X38,Primary!X38)</f>
        <v>0</v>
      </c>
      <c r="Y38" s="12">
        <f>IF(ActiveDatabase=Standby,Secondary!Y38,Primary!Y38)</f>
        <v>0</v>
      </c>
      <c r="Z38" s="12">
        <f>IF(ActiveDatabase=Standby,Secondary!Z38,Primary!Z38)</f>
        <v>0</v>
      </c>
      <c r="AA38" s="7" t="str">
        <f>IF(ActiveDatabase=Standby,Secondary!AA38,Primary!AA38)</f>
        <v>Magnus Jump Point</v>
      </c>
      <c r="AB38" s="12"/>
      <c r="AC38" s="6"/>
      <c r="AD38" s="6"/>
      <c r="AE38" s="7"/>
      <c r="AF38" s="7"/>
      <c r="AG38" s="7"/>
      <c r="AH38" s="7"/>
      <c r="AI38" s="7"/>
      <c r="AJ38" s="7"/>
      <c r="AK38" s="7"/>
      <c r="AL38" s="7"/>
      <c r="AM38" s="7"/>
      <c r="AN38" s="7"/>
      <c r="AO38" s="6"/>
      <c r="AP38" s="7"/>
      <c r="AQ38" s="7"/>
      <c r="AR38" s="6"/>
      <c r="AS38" s="6"/>
      <c r="AT38" s="6"/>
      <c r="AU38" s="6"/>
      <c r="AV38" s="6"/>
      <c r="AW38" s="6"/>
      <c r="AX38" s="6"/>
      <c r="AY38" s="6"/>
      <c r="AZ38" s="6"/>
      <c r="BA38" s="6"/>
      <c r="BB38" s="6"/>
      <c r="BC38" s="6"/>
      <c r="BD38" s="6"/>
      <c r="BE38" s="6"/>
      <c r="BF38" s="6"/>
      <c r="BG38" s="6"/>
    </row>
    <row r="39" customHeight="1" spans="1:59">
      <c r="A39" s="9" t="str">
        <f>IF(ActiveDatabase=Standby,Secondary!A39,Primary!A39)</f>
        <v>MIC-L4 R00</v>
      </c>
      <c r="B39" s="5">
        <f>IF(ActiveDatabase=Standby,Secondary!B39,Primary!B39)</f>
        <v>0</v>
      </c>
      <c r="C39" s="5">
        <f>IF(ActiveDatabase=Standby,Secondary!C39,Primary!C39)</f>
        <v>0</v>
      </c>
      <c r="D39" s="5" t="str">
        <f>IF(ActiveDatabase=Standby,Secondary!D39,Primary!D39)</f>
        <v>MIC-L4</v>
      </c>
      <c r="E39" s="6" t="str">
        <f>IF(ActiveDatabase=Standby,Secondary!E39,Primary!E39)</f>
        <v>MIC-L4</v>
      </c>
      <c r="F39" s="10">
        <f>IF(ActiveDatabase=Standby,Secondary!F39,Primary!F39)</f>
        <v>-20971933.2301658</v>
      </c>
      <c r="G39" s="10">
        <f>IF(ActiveDatabase=Standby,Secondary!G39,Primary!G39)</f>
        <v>38045504.0320193</v>
      </c>
      <c r="H39" s="10">
        <f>IF(ActiveDatabase=Standby,Secondary!H39,Primary!H39)</f>
        <v>0</v>
      </c>
      <c r="I39" s="13">
        <f>IF(ActiveDatabase=Standby,Secondary!I39,Primary!I39)</f>
        <v>1</v>
      </c>
      <c r="J39" s="13">
        <f>IF(ActiveDatabase=Standby,Secondary!J39,Primary!J39)</f>
        <v>0</v>
      </c>
      <c r="K39" s="13">
        <f>IF(ActiveDatabase=Standby,Secondary!K39,Primary!K39)</f>
        <v>0</v>
      </c>
      <c r="L39" s="13">
        <f>IF(ActiveDatabase=Standby,Secondary!L39,Primary!L39)</f>
        <v>0</v>
      </c>
      <c r="M39" s="7" t="b">
        <f>IF(ActiveDatabase=Standby,Secondary!M39,Primary!M39)</f>
        <v>1</v>
      </c>
      <c r="N39" s="10">
        <f>IF(ActiveDatabase=Standby,Secondary!N39,Primary!N39)</f>
        <v>0</v>
      </c>
      <c r="O39" s="10">
        <f>IF(ActiveDatabase=Standby,Secondary!O39,Primary!O39)</f>
        <v>0</v>
      </c>
      <c r="P39" s="10">
        <f>IF(ActiveDatabase=Standby,Secondary!P39,Primary!P39)</f>
        <v>0</v>
      </c>
      <c r="Q39" s="6">
        <f>IF(ActiveDatabase=Standby,Secondary!Q39,Primary!Q39)</f>
        <v>0</v>
      </c>
      <c r="R39" s="18">
        <f>IF(ActiveDatabase=Standby,Secondary!R39,Primary!R39)</f>
        <v>0</v>
      </c>
      <c r="S39" s="19">
        <f>IF(ActiveDatabase=Standby,Secondary!S39,Primary!S39)</f>
        <v>0</v>
      </c>
      <c r="T39" s="10">
        <f>IF(ActiveDatabase=Standby,Secondary!T39,Primary!T39)</f>
        <v>0</v>
      </c>
      <c r="U39" s="10">
        <f>IF(ActiveDatabase=Standby,Secondary!U39,Primary!U39)</f>
        <v>0</v>
      </c>
      <c r="V39" s="10">
        <f>IF(ActiveDatabase=Standby,Secondary!V39,Primary!V39)</f>
        <v>0</v>
      </c>
      <c r="W39" s="6">
        <f>IF(ActiveDatabase=Standby,Secondary!W39,Primary!W39)</f>
        <v>0</v>
      </c>
      <c r="X39" s="6">
        <f>IF(ActiveDatabase=Standby,Secondary!X39,Primary!X39)</f>
        <v>0</v>
      </c>
      <c r="Y39" s="12">
        <f>IF(ActiveDatabase=Standby,Secondary!Y39,Primary!Y39)</f>
        <v>0</v>
      </c>
      <c r="Z39" s="12">
        <f>IF(ActiveDatabase=Standby,Secondary!Z39,Primary!Z39)</f>
        <v>0</v>
      </c>
      <c r="AA39" s="7" t="str">
        <f>IF(ActiveDatabase=Standby,Secondary!AA39,Primary!AA39)</f>
        <v>Pyro Jump Point</v>
      </c>
      <c r="AB39" s="12"/>
      <c r="AC39" s="6"/>
      <c r="AD39" s="6"/>
      <c r="AE39" s="7"/>
      <c r="AF39" s="7"/>
      <c r="AG39" s="7"/>
      <c r="AH39" s="7"/>
      <c r="AI39" s="7"/>
      <c r="AJ39" s="7"/>
      <c r="AK39" s="7"/>
      <c r="AL39" s="7"/>
      <c r="AM39" s="7"/>
      <c r="AN39" s="7"/>
      <c r="AO39" s="6"/>
      <c r="AP39" s="7"/>
      <c r="AQ39" s="7"/>
      <c r="AR39" s="6"/>
      <c r="AS39" s="6"/>
      <c r="AT39" s="6"/>
      <c r="AU39" s="6"/>
      <c r="AV39" s="6"/>
      <c r="AW39" s="6"/>
      <c r="AX39" s="6"/>
      <c r="AY39" s="6"/>
      <c r="AZ39" s="6"/>
      <c r="BA39" s="6"/>
      <c r="BB39" s="6"/>
      <c r="BC39" s="6"/>
      <c r="BD39" s="6"/>
      <c r="BE39" s="6"/>
      <c r="BF39" s="6"/>
      <c r="BG39" s="6"/>
    </row>
    <row r="40" customHeight="1" spans="1:59">
      <c r="A40" s="9" t="str">
        <f>IF(ActiveDatabase=Standby,Secondary!A40,Primary!A40)</f>
        <v>MIC-L5 R00</v>
      </c>
      <c r="B40" s="5">
        <f>IF(ActiveDatabase=Standby,Secondary!B40,Primary!B40)</f>
        <v>0</v>
      </c>
      <c r="C40" s="5">
        <f>IF(ActiveDatabase=Standby,Secondary!C40,Primary!C40)</f>
        <v>0</v>
      </c>
      <c r="D40" s="5" t="str">
        <f>IF(ActiveDatabase=Standby,Secondary!D40,Primary!D40)</f>
        <v>MIC-L5</v>
      </c>
      <c r="E40" s="6" t="str">
        <f>IF(ActiveDatabase=Standby,Secondary!E40,Primary!E40)</f>
        <v>MIC-L5</v>
      </c>
      <c r="F40" s="10">
        <f>IF(ActiveDatabase=Standby,Secondary!F40,Primary!F40)</f>
        <v>43435204.2882185</v>
      </c>
      <c r="G40" s="10">
        <f>IF(ActiveDatabase=Standby,Secondary!G40,Primary!G40)</f>
        <v>-851406.955908429</v>
      </c>
      <c r="H40" s="10">
        <f>IF(ActiveDatabase=Standby,Secondary!H40,Primary!H40)</f>
        <v>0</v>
      </c>
      <c r="I40" s="13">
        <f>IF(ActiveDatabase=Standby,Secondary!I40,Primary!I40)</f>
        <v>1</v>
      </c>
      <c r="J40" s="13">
        <f>IF(ActiveDatabase=Standby,Secondary!J40,Primary!J40)</f>
        <v>0</v>
      </c>
      <c r="K40" s="13">
        <f>IF(ActiveDatabase=Standby,Secondary!K40,Primary!K40)</f>
        <v>0</v>
      </c>
      <c r="L40" s="13">
        <f>IF(ActiveDatabase=Standby,Secondary!L40,Primary!L40)</f>
        <v>0</v>
      </c>
      <c r="M40" s="7" t="b">
        <f>IF(ActiveDatabase=Standby,Secondary!M40,Primary!M40)</f>
        <v>1</v>
      </c>
      <c r="N40" s="10">
        <f>IF(ActiveDatabase=Standby,Secondary!N40,Primary!N40)</f>
        <v>0</v>
      </c>
      <c r="O40" s="10">
        <f>IF(ActiveDatabase=Standby,Secondary!O40,Primary!O40)</f>
        <v>0</v>
      </c>
      <c r="P40" s="10">
        <f>IF(ActiveDatabase=Standby,Secondary!P40,Primary!P40)</f>
        <v>0</v>
      </c>
      <c r="Q40" s="6">
        <f>IF(ActiveDatabase=Standby,Secondary!Q40,Primary!Q40)</f>
        <v>0</v>
      </c>
      <c r="R40" s="18">
        <f>IF(ActiveDatabase=Standby,Secondary!R40,Primary!R40)</f>
        <v>0</v>
      </c>
      <c r="S40" s="19">
        <f>IF(ActiveDatabase=Standby,Secondary!S40,Primary!S40)</f>
        <v>0</v>
      </c>
      <c r="T40" s="10">
        <f>IF(ActiveDatabase=Standby,Secondary!T40,Primary!T40)</f>
        <v>0</v>
      </c>
      <c r="U40" s="10">
        <f>IF(ActiveDatabase=Standby,Secondary!U40,Primary!U40)</f>
        <v>0</v>
      </c>
      <c r="V40" s="10">
        <f>IF(ActiveDatabase=Standby,Secondary!V40,Primary!V40)</f>
        <v>0</v>
      </c>
      <c r="W40" s="6">
        <f>IF(ActiveDatabase=Standby,Secondary!W40,Primary!W40)</f>
        <v>0</v>
      </c>
      <c r="X40" s="6">
        <f>IF(ActiveDatabase=Standby,Secondary!X40,Primary!X40)</f>
        <v>0</v>
      </c>
      <c r="Y40" s="12">
        <f>IF(ActiveDatabase=Standby,Secondary!Y40,Primary!Y40)</f>
        <v>0</v>
      </c>
      <c r="Z40" s="12">
        <f>IF(ActiveDatabase=Standby,Secondary!Z40,Primary!Z40)</f>
        <v>0</v>
      </c>
      <c r="AA40" s="7" t="str">
        <f>IF(ActiveDatabase=Standby,Secondary!AA40,Primary!AA40)</f>
        <v>Terra Jump Point</v>
      </c>
      <c r="AB40" s="12"/>
      <c r="AC40" s="6"/>
      <c r="AD40" s="6"/>
      <c r="AE40" s="7"/>
      <c r="AF40" s="7"/>
      <c r="AG40" s="7"/>
      <c r="AH40" s="7"/>
      <c r="AI40" s="7"/>
      <c r="AJ40" s="7"/>
      <c r="AK40" s="7"/>
      <c r="AL40" s="7"/>
      <c r="AM40" s="7"/>
      <c r="AN40" s="7"/>
      <c r="AO40" s="6"/>
      <c r="AP40" s="7"/>
      <c r="AQ40" s="7"/>
      <c r="AR40" s="6"/>
      <c r="AS40" s="6"/>
      <c r="AT40" s="6"/>
      <c r="AU40" s="6"/>
      <c r="AV40" s="6"/>
      <c r="AW40" s="6"/>
      <c r="AX40" s="6"/>
      <c r="AY40" s="6"/>
      <c r="AZ40" s="6"/>
      <c r="BA40" s="6"/>
      <c r="BB40" s="6"/>
      <c r="BC40" s="6"/>
      <c r="BD40" s="6"/>
      <c r="BE40" s="6"/>
      <c r="BF40" s="6"/>
      <c r="BG40" s="6"/>
    </row>
    <row r="41" customHeight="1" spans="1:59">
      <c r="A41" s="9" t="str">
        <f>IF(ActiveDatabase=Standby,Secondary!A41,Primary!A41)</f>
        <v>MagnusJP R00</v>
      </c>
      <c r="B41" s="5">
        <f>IF(ActiveDatabase=Standby,Secondary!B41,Primary!B41)</f>
        <v>0</v>
      </c>
      <c r="C41" s="5">
        <f>IF(ActiveDatabase=Standby,Secondary!C41,Primary!C41)</f>
        <v>0</v>
      </c>
      <c r="D41" s="5" t="str">
        <f>IF(ActiveDatabase=Standby,Secondary!D41,Primary!D41)</f>
        <v>Stanton-Magnus Jump Point</v>
      </c>
      <c r="E41" s="6" t="str">
        <f>IF(ActiveDatabase=Standby,Secondary!E41,Primary!E41)</f>
        <v>Magnus JP</v>
      </c>
      <c r="F41" s="10">
        <f>IF(ActiveDatabase=Standby,Secondary!F41,Primary!F41)</f>
        <v>-62284273.8607205</v>
      </c>
      <c r="G41" s="10">
        <f>IF(ActiveDatabase=Standby,Secondary!G41,Primary!G41)</f>
        <v>23467618.0513957</v>
      </c>
      <c r="H41" s="10">
        <f>IF(ActiveDatabase=Standby,Secondary!H41,Primary!H41)</f>
        <v>20198396.608</v>
      </c>
      <c r="I41" s="13">
        <f>IF(ActiveDatabase=Standby,Secondary!I41,Primary!I41)</f>
        <v>0.30793616</v>
      </c>
      <c r="J41" s="13">
        <f>IF(ActiveDatabase=Standby,Secondary!J41,Primary!J41)</f>
        <v>-0.14839508</v>
      </c>
      <c r="K41" s="13">
        <f>IF(ActiveDatabase=Standby,Secondary!K41,Primary!K41)</f>
        <v>-0.027259013</v>
      </c>
      <c r="L41" s="13">
        <f>IF(ActiveDatabase=Standby,Secondary!L41,Primary!L41)</f>
        <v>0.93936741</v>
      </c>
      <c r="M41" s="7" t="b">
        <f>IF(ActiveDatabase=Standby,Secondary!M41,Primary!M41)</f>
        <v>1</v>
      </c>
      <c r="N41" s="10">
        <f>IF(ActiveDatabase=Standby,Secondary!N41,Primary!N41)</f>
        <v>0</v>
      </c>
      <c r="O41" s="10">
        <f>IF(ActiveDatabase=Standby,Secondary!O41,Primary!O41)</f>
        <v>0</v>
      </c>
      <c r="P41" s="10">
        <f>IF(ActiveDatabase=Standby,Secondary!P41,Primary!P41)</f>
        <v>0</v>
      </c>
      <c r="Q41" s="6">
        <f>IF(ActiveDatabase=Standby,Secondary!Q41,Primary!Q41)</f>
        <v>0</v>
      </c>
      <c r="R41" s="18">
        <f>IF(ActiveDatabase=Standby,Secondary!R41,Primary!R41)</f>
        <v>0</v>
      </c>
      <c r="S41" s="19">
        <f>IF(ActiveDatabase=Standby,Secondary!S41,Primary!S41)</f>
        <v>0</v>
      </c>
      <c r="T41" s="10">
        <f>IF(ActiveDatabase=Standby,Secondary!T41,Primary!T41)</f>
        <v>0</v>
      </c>
      <c r="U41" s="10">
        <f>IF(ActiveDatabase=Standby,Secondary!U41,Primary!U41)</f>
        <v>0</v>
      </c>
      <c r="V41" s="10">
        <f>IF(ActiveDatabase=Standby,Secondary!V41,Primary!V41)</f>
        <v>0</v>
      </c>
      <c r="W41" s="6">
        <f>IF(ActiveDatabase=Standby,Secondary!W41,Primary!W41)</f>
        <v>0</v>
      </c>
      <c r="X41" s="6">
        <f>IF(ActiveDatabase=Standby,Secondary!X41,Primary!X41)</f>
        <v>0</v>
      </c>
      <c r="Y41" s="12">
        <f>IF(ActiveDatabase=Standby,Secondary!Y41,Primary!Y41)</f>
        <v>0</v>
      </c>
      <c r="Z41" s="12">
        <f>IF(ActiveDatabase=Standby,Secondary!Z41,Primary!Z41)</f>
        <v>0</v>
      </c>
      <c r="AA41" s="7">
        <f>IF(ActiveDatabase=Standby,Secondary!AA41,Primary!AA41)</f>
        <v>0</v>
      </c>
      <c r="AB41" s="12"/>
      <c r="AC41" s="6"/>
      <c r="AD41" s="6"/>
      <c r="AE41" s="7"/>
      <c r="AF41" s="7"/>
      <c r="AG41" s="7"/>
      <c r="AH41" s="7"/>
      <c r="AI41" s="7"/>
      <c r="AJ41" s="7"/>
      <c r="AK41" s="7"/>
      <c r="AL41" s="7"/>
      <c r="AM41" s="7"/>
      <c r="AN41" s="7"/>
      <c r="AO41" s="6"/>
      <c r="AP41" s="7"/>
      <c r="AQ41" s="7"/>
      <c r="AR41" s="6"/>
      <c r="AS41" s="6"/>
      <c r="AT41" s="6"/>
      <c r="AU41" s="6"/>
      <c r="AV41" s="6"/>
      <c r="AW41" s="6"/>
      <c r="AX41" s="6"/>
      <c r="AY41" s="6"/>
      <c r="AZ41" s="6"/>
      <c r="BA41" s="6"/>
      <c r="BB41" s="6"/>
      <c r="BC41" s="6"/>
      <c r="BD41" s="6"/>
      <c r="BE41" s="6"/>
      <c r="BF41" s="6"/>
      <c r="BG41" s="6"/>
    </row>
    <row r="42" customHeight="1" spans="1:59">
      <c r="A42" s="9" t="str">
        <f>IF(ActiveDatabase=Standby,Secondary!A42,Primary!A42)</f>
        <v>PyroJP R00</v>
      </c>
      <c r="B42" s="5">
        <f>IF(ActiveDatabase=Standby,Secondary!B42,Primary!B42)</f>
        <v>0</v>
      </c>
      <c r="C42" s="5">
        <f>IF(ActiveDatabase=Standby,Secondary!C42,Primary!C42)</f>
        <v>0</v>
      </c>
      <c r="D42" s="5" t="str">
        <f>IF(ActiveDatabase=Standby,Secondary!D42,Primary!D42)</f>
        <v>Stanton-Pyro Jump Point</v>
      </c>
      <c r="E42" s="6" t="str">
        <f>IF(ActiveDatabase=Standby,Secondary!E42,Primary!E42)</f>
        <v>Pyro JP</v>
      </c>
      <c r="F42" s="10">
        <f>IF(ActiveDatabase=Standby,Secondary!F42,Primary!F42)</f>
        <v>3310491.63980217</v>
      </c>
      <c r="G42" s="10">
        <f>IF(ActiveDatabase=Standby,Secondary!G42,Primary!G42)</f>
        <v>-27979408.2214568</v>
      </c>
      <c r="H42" s="10">
        <f>IF(ActiveDatabase=Standby,Secondary!H42,Primary!H42)</f>
        <v>-2676285.679</v>
      </c>
      <c r="I42" s="13">
        <f>IF(ActiveDatabase=Standby,Secondary!I42,Primary!I42)</f>
        <v>-0.10573804</v>
      </c>
      <c r="J42" s="13">
        <f>IF(ActiveDatabase=Standby,Secondary!J42,Primary!J42)</f>
        <v>0.13918006</v>
      </c>
      <c r="K42" s="13">
        <f>IF(ActiveDatabase=Standby,Secondary!K42,Primary!K42)</f>
        <v>-0.22767709</v>
      </c>
      <c r="L42" s="13">
        <f>IF(ActiveDatabase=Standby,Secondary!L42,Primary!L42)</f>
        <v>0.95792043</v>
      </c>
      <c r="M42" s="7" t="b">
        <f>IF(ActiveDatabase=Standby,Secondary!M42,Primary!M42)</f>
        <v>1</v>
      </c>
      <c r="N42" s="10">
        <f>IF(ActiveDatabase=Standby,Secondary!N42,Primary!N42)</f>
        <v>0</v>
      </c>
      <c r="O42" s="10">
        <f>IF(ActiveDatabase=Standby,Secondary!O42,Primary!O42)</f>
        <v>0</v>
      </c>
      <c r="P42" s="10">
        <f>IF(ActiveDatabase=Standby,Secondary!P42,Primary!P42)</f>
        <v>0</v>
      </c>
      <c r="Q42" s="6">
        <f>IF(ActiveDatabase=Standby,Secondary!Q42,Primary!Q42)</f>
        <v>0</v>
      </c>
      <c r="R42" s="18">
        <f>IF(ActiveDatabase=Standby,Secondary!R42,Primary!R42)</f>
        <v>0</v>
      </c>
      <c r="S42" s="19">
        <f>IF(ActiveDatabase=Standby,Secondary!S42,Primary!S42)</f>
        <v>0</v>
      </c>
      <c r="T42" s="10">
        <f>IF(ActiveDatabase=Standby,Secondary!T42,Primary!T42)</f>
        <v>0</v>
      </c>
      <c r="U42" s="10">
        <f>IF(ActiveDatabase=Standby,Secondary!U42,Primary!U42)</f>
        <v>0</v>
      </c>
      <c r="V42" s="10">
        <f>IF(ActiveDatabase=Standby,Secondary!V42,Primary!V42)</f>
        <v>0</v>
      </c>
      <c r="W42" s="6">
        <f>IF(ActiveDatabase=Standby,Secondary!W42,Primary!W42)</f>
        <v>0</v>
      </c>
      <c r="X42" s="6">
        <f>IF(ActiveDatabase=Standby,Secondary!X42,Primary!X42)</f>
        <v>0</v>
      </c>
      <c r="Y42" s="12">
        <f>IF(ActiveDatabase=Standby,Secondary!Y42,Primary!Y42)</f>
        <v>0</v>
      </c>
      <c r="Z42" s="12">
        <f>IF(ActiveDatabase=Standby,Secondary!Z42,Primary!Z42)</f>
        <v>0</v>
      </c>
      <c r="AA42" s="7">
        <f>IF(ActiveDatabase=Standby,Secondary!AA42,Primary!AA42)</f>
        <v>0</v>
      </c>
      <c r="AB42" s="12"/>
      <c r="AC42" s="6"/>
      <c r="AD42" s="6"/>
      <c r="AE42" s="7"/>
      <c r="AF42" s="7"/>
      <c r="AG42" s="7"/>
      <c r="AH42" s="7"/>
      <c r="AI42" s="7"/>
      <c r="AJ42" s="7"/>
      <c r="AK42" s="7"/>
      <c r="AL42" s="7"/>
      <c r="AM42" s="7"/>
      <c r="AN42" s="7"/>
      <c r="AO42" s="6"/>
      <c r="AP42" s="7"/>
      <c r="AQ42" s="7"/>
      <c r="AR42" s="6"/>
      <c r="AS42" s="7"/>
      <c r="AT42" s="7"/>
      <c r="AU42" s="7"/>
      <c r="AV42" s="7"/>
      <c r="AW42" s="7"/>
      <c r="AX42" s="7"/>
      <c r="AY42" s="7"/>
      <c r="AZ42" s="7"/>
      <c r="BA42" s="7"/>
      <c r="BB42" s="7"/>
      <c r="BC42" s="7"/>
      <c r="BD42" s="7"/>
      <c r="BE42" s="7"/>
      <c r="BF42" s="7"/>
      <c r="BG42" s="7"/>
    </row>
    <row r="43" customHeight="1" spans="1:59">
      <c r="A43" s="9" t="str">
        <f>IF(ActiveDatabase=Standby,Secondary!A43,Primary!A43)</f>
        <v>TerraJP R00</v>
      </c>
      <c r="B43" s="5">
        <f>IF(ActiveDatabase=Standby,Secondary!B43,Primary!B43)</f>
        <v>0</v>
      </c>
      <c r="C43" s="5">
        <f>IF(ActiveDatabase=Standby,Secondary!C43,Primary!C43)</f>
        <v>0</v>
      </c>
      <c r="D43" s="5" t="str">
        <f>IF(ActiveDatabase=Standby,Secondary!D43,Primary!D43)</f>
        <v>Stanton-Terra Jump Point</v>
      </c>
      <c r="E43" s="6" t="str">
        <f>IF(ActiveDatabase=Standby,Secondary!E43,Primary!E43)</f>
        <v>Terra JP</v>
      </c>
      <c r="F43" s="10">
        <f>IF(ActiveDatabase=Standby,Secondary!F43,Primary!F43)</f>
        <v>51118221.6169033</v>
      </c>
      <c r="G43" s="10">
        <f>IF(ActiveDatabase=Standby,Secondary!G43,Primary!G43)</f>
        <v>-5269981.30311381</v>
      </c>
      <c r="H43" s="10">
        <f>IF(ActiveDatabase=Standby,Secondary!H43,Primary!H43)</f>
        <v>-4339551.619</v>
      </c>
      <c r="I43" s="13">
        <f>IF(ActiveDatabase=Standby,Secondary!I43,Primary!I43)</f>
        <v>0.84275234</v>
      </c>
      <c r="J43" s="13">
        <f>IF(ActiveDatabase=Standby,Secondary!J43,Primary!J43)</f>
        <v>-0.15849306</v>
      </c>
      <c r="K43" s="13">
        <f>IF(ActiveDatabase=Standby,Secondary!K43,Primary!K43)</f>
        <v>-0.091506034</v>
      </c>
      <c r="L43" s="13">
        <f>IF(ActiveDatabase=Standby,Secondary!L43,Primary!L43)</f>
        <v>-0.5062362</v>
      </c>
      <c r="M43" s="7" t="b">
        <f>IF(ActiveDatabase=Standby,Secondary!M43,Primary!M43)</f>
        <v>1</v>
      </c>
      <c r="N43" s="10">
        <f>IF(ActiveDatabase=Standby,Secondary!N43,Primary!N43)</f>
        <v>0</v>
      </c>
      <c r="O43" s="10">
        <f>IF(ActiveDatabase=Standby,Secondary!O43,Primary!O43)</f>
        <v>0</v>
      </c>
      <c r="P43" s="10">
        <f>IF(ActiveDatabase=Standby,Secondary!P43,Primary!P43)</f>
        <v>0</v>
      </c>
      <c r="Q43" s="6">
        <f>IF(ActiveDatabase=Standby,Secondary!Q43,Primary!Q43)</f>
        <v>0</v>
      </c>
      <c r="R43" s="18">
        <f>IF(ActiveDatabase=Standby,Secondary!R43,Primary!R43)</f>
        <v>0</v>
      </c>
      <c r="S43" s="19">
        <f>IF(ActiveDatabase=Standby,Secondary!S43,Primary!S43)</f>
        <v>0</v>
      </c>
      <c r="T43" s="10">
        <f>IF(ActiveDatabase=Standby,Secondary!T43,Primary!T43)</f>
        <v>0</v>
      </c>
      <c r="U43" s="10">
        <f>IF(ActiveDatabase=Standby,Secondary!U43,Primary!U43)</f>
        <v>0</v>
      </c>
      <c r="V43" s="10">
        <f>IF(ActiveDatabase=Standby,Secondary!V43,Primary!V43)</f>
        <v>0</v>
      </c>
      <c r="W43" s="6">
        <f>IF(ActiveDatabase=Standby,Secondary!W43,Primary!W43)</f>
        <v>0</v>
      </c>
      <c r="X43" s="6">
        <f>IF(ActiveDatabase=Standby,Secondary!X43,Primary!X43)</f>
        <v>0</v>
      </c>
      <c r="Y43" s="12">
        <f>IF(ActiveDatabase=Standby,Secondary!Y43,Primary!Y43)</f>
        <v>0</v>
      </c>
      <c r="Z43" s="12">
        <f>IF(ActiveDatabase=Standby,Secondary!Z43,Primary!Z43)</f>
        <v>0</v>
      </c>
      <c r="AA43" s="7">
        <f>IF(ActiveDatabase=Standby,Secondary!AA43,Primary!AA43)</f>
        <v>0</v>
      </c>
      <c r="AB43" s="12"/>
      <c r="AC43" s="6"/>
      <c r="AD43" s="6"/>
      <c r="AE43" s="7"/>
      <c r="AF43" s="7"/>
      <c r="AG43" s="7"/>
      <c r="AH43" s="7"/>
      <c r="AI43" s="7"/>
      <c r="AJ43" s="7"/>
      <c r="AK43" s="7"/>
      <c r="AL43" s="7"/>
      <c r="AM43" s="7"/>
      <c r="AN43" s="7"/>
      <c r="AO43" s="6"/>
      <c r="AP43" s="7"/>
      <c r="AQ43" s="7"/>
      <c r="AR43" s="6"/>
      <c r="AS43" s="7"/>
      <c r="AT43" s="7"/>
      <c r="AU43" s="7"/>
      <c r="AV43" s="7"/>
      <c r="AW43" s="7"/>
      <c r="AX43" s="7"/>
      <c r="AY43" s="7"/>
      <c r="AZ43" s="7"/>
      <c r="BA43" s="7"/>
      <c r="BB43" s="7"/>
      <c r="BC43" s="7"/>
      <c r="BD43" s="7"/>
      <c r="BE43" s="7"/>
      <c r="BF43" s="7"/>
      <c r="BG43" s="7"/>
    </row>
    <row r="44" customHeight="1" spans="1:59">
      <c r="A44" s="9">
        <f>IF(ActiveDatabase=Standby,Secondary!A44,Primary!A44)</f>
        <v>0</v>
      </c>
      <c r="B44" s="5">
        <f>IF(ActiveDatabase=Standby,Secondary!B44,Primary!B44)</f>
        <v>0</v>
      </c>
      <c r="C44" s="5">
        <f>IF(ActiveDatabase=Standby,Secondary!C44,Primary!C44)</f>
        <v>0</v>
      </c>
      <c r="D44" s="5">
        <f>IF(ActiveDatabase=Standby,Secondary!D44,Primary!D44)</f>
        <v>0</v>
      </c>
      <c r="E44" s="6">
        <f>IF(ActiveDatabase=Standby,Secondary!E44,Primary!E44)</f>
        <v>0</v>
      </c>
      <c r="F44" s="10">
        <f>IF(ActiveDatabase=Standby,Secondary!F44,Primary!F44)</f>
        <v>0</v>
      </c>
      <c r="G44" s="10">
        <f>IF(ActiveDatabase=Standby,Secondary!G44,Primary!G44)</f>
        <v>0</v>
      </c>
      <c r="H44" s="10">
        <f>IF(ActiveDatabase=Standby,Secondary!H44,Primary!H44)</f>
        <v>0</v>
      </c>
      <c r="I44" s="13">
        <f>IF(ActiveDatabase=Standby,Secondary!I44,Primary!I44)</f>
        <v>0</v>
      </c>
      <c r="J44" s="13">
        <f>IF(ActiveDatabase=Standby,Secondary!J44,Primary!J44)</f>
        <v>0</v>
      </c>
      <c r="K44" s="13">
        <f>IF(ActiveDatabase=Standby,Secondary!K44,Primary!K44)</f>
        <v>0</v>
      </c>
      <c r="L44" s="13">
        <f>IF(ActiveDatabase=Standby,Secondary!L44,Primary!L44)</f>
        <v>0</v>
      </c>
      <c r="M44" s="7">
        <f>IF(ActiveDatabase=Standby,Secondary!M44,Primary!M44)</f>
        <v>0</v>
      </c>
      <c r="N44" s="10" t="str">
        <f>IF(ActiveDatabase=Standby,Secondary!N44,Primary!N44)</f>
        <v>Rise Corr</v>
      </c>
      <c r="O44" s="10" t="str">
        <f>IF(ActiveDatabase=Standby,Secondary!O44,Primary!O44)</f>
        <v>Set Corr</v>
      </c>
      <c r="P44" s="10">
        <f>IF(ActiveDatabase=Standby,Secondary!P44,Primary!P44)</f>
        <v>0</v>
      </c>
      <c r="Q44" s="6">
        <f>IF(ActiveDatabase=Standby,Secondary!Q44,Primary!Q44)</f>
        <v>0</v>
      </c>
      <c r="R44" s="18">
        <f>IF(ActiveDatabase=Standby,Secondary!R44,Primary!R44)</f>
        <v>0</v>
      </c>
      <c r="S44" s="19">
        <f>IF(ActiveDatabase=Standby,Secondary!S44,Primary!S44)</f>
        <v>0</v>
      </c>
      <c r="T44" s="10">
        <f>IF(ActiveDatabase=Standby,Secondary!T44,Primary!T44)</f>
        <v>0</v>
      </c>
      <c r="U44" s="10">
        <f>IF(ActiveDatabase=Standby,Secondary!U44,Primary!U44)</f>
        <v>0</v>
      </c>
      <c r="V44" s="10">
        <f>IF(ActiveDatabase=Standby,Secondary!V44,Primary!V44)</f>
        <v>0</v>
      </c>
      <c r="W44" s="6">
        <f>IF(ActiveDatabase=Standby,Secondary!W44,Primary!W44)</f>
        <v>0</v>
      </c>
      <c r="X44" s="6">
        <f>IF(ActiveDatabase=Standby,Secondary!X44,Primary!X44)</f>
        <v>0</v>
      </c>
      <c r="Y44" s="12">
        <f>IF(ActiveDatabase=Standby,Secondary!Y44,Primary!Y44)</f>
        <v>0</v>
      </c>
      <c r="Z44" s="12">
        <f>IF(ActiveDatabase=Standby,Secondary!Z44,Primary!Z44)</f>
        <v>0</v>
      </c>
      <c r="AA44" s="7">
        <f>IF(ActiveDatabase=Standby,Secondary!AA44,Primary!AA44)</f>
        <v>0</v>
      </c>
      <c r="AB44" s="12"/>
      <c r="AC44" s="6"/>
      <c r="AD44" s="6"/>
      <c r="AE44" s="7"/>
      <c r="AF44" s="7"/>
      <c r="AG44" s="7"/>
      <c r="AH44" s="7"/>
      <c r="AI44" s="7"/>
      <c r="AJ44" s="7"/>
      <c r="AK44" s="7"/>
      <c r="AL44" s="7"/>
      <c r="AM44" s="7"/>
      <c r="AN44" s="7"/>
      <c r="AO44" s="6"/>
      <c r="AP44" s="7"/>
      <c r="AQ44" s="7"/>
      <c r="AR44" s="6"/>
      <c r="AS44" s="7"/>
      <c r="AT44" s="7"/>
      <c r="AU44" s="7"/>
      <c r="AV44" s="7"/>
      <c r="AW44" s="7"/>
      <c r="AX44" s="7"/>
      <c r="AY44" s="7"/>
      <c r="AZ44" s="7"/>
      <c r="BA44" s="7"/>
      <c r="BB44" s="7"/>
      <c r="BC44" s="7"/>
      <c r="BD44" s="7"/>
      <c r="BE44" s="7"/>
      <c r="BF44" s="7"/>
      <c r="BG44" s="7"/>
    </row>
    <row r="45" customHeight="1" spans="1:59">
      <c r="A45" s="9" t="str">
        <f>IF(ActiveDatabase=Standby,Secondary!A45,Primary!A45)</f>
        <v>Aberdeen R01</v>
      </c>
      <c r="B45" s="5" t="str">
        <f>IF(ActiveDatabase=Standby,Secondary!B45,Primary!B45)</f>
        <v>Aberdeen 29</v>
      </c>
      <c r="C45" s="5">
        <f>IF(ActiveDatabase=Standby,Secondary!C45,Primary!C45)</f>
        <v>0</v>
      </c>
      <c r="D45" s="5" t="str">
        <f>IF(ActiveDatabase=Standby,Secondary!D45,Primary!D45)</f>
        <v>OM-1</v>
      </c>
      <c r="E45" s="6" t="str">
        <f>IF(ActiveDatabase=Standby,Secondary!E45,Primary!E45)</f>
        <v>OM1</v>
      </c>
      <c r="F45" s="10">
        <f>IF(ActiveDatabase=Standby,Secondary!F45,Primary!F45)</f>
        <v>0</v>
      </c>
      <c r="G45" s="10">
        <f>IF(ActiveDatabase=Standby,Secondary!G45,Primary!G45)</f>
        <v>0</v>
      </c>
      <c r="H45" s="10">
        <f>IF(ActiveDatabase=Standby,Secondary!H45,Primary!H45)</f>
        <v>402.708</v>
      </c>
      <c r="I45" s="13">
        <f>IF(ActiveDatabase=Standby,Secondary!I45,Primary!I45)</f>
        <v>0</v>
      </c>
      <c r="J45" s="13">
        <f>IF(ActiveDatabase=Standby,Secondary!J45,Primary!J45)</f>
        <v>0</v>
      </c>
      <c r="K45" s="13">
        <f>IF(ActiveDatabase=Standby,Secondary!K45,Primary!K45)</f>
        <v>0</v>
      </c>
      <c r="L45" s="13">
        <f>IF(ActiveDatabase=Standby,Secondary!L45,Primary!L45)</f>
        <v>0</v>
      </c>
      <c r="M45" s="7" t="b">
        <f>IF(ActiveDatabase=Standby,Secondary!M45,Primary!M45)</f>
        <v>1</v>
      </c>
      <c r="N45" s="10">
        <f>IF(ActiveDatabase=Standby,Secondary!N45,Primary!N45)</f>
        <v>0</v>
      </c>
      <c r="O45" s="10">
        <f>IF(ActiveDatabase=Standby,Secondary!O45,Primary!O45)</f>
        <v>0</v>
      </c>
      <c r="P45" s="10">
        <f>IF(ActiveDatabase=Standby,Secondary!P45,Primary!P45)</f>
        <v>0</v>
      </c>
      <c r="Q45" s="6">
        <f>IF(ActiveDatabase=Standby,Secondary!Q45,Primary!Q45)</f>
        <v>0</v>
      </c>
      <c r="R45" s="18">
        <f>IF(ActiveDatabase=Standby,Secondary!R45,Primary!R45)</f>
        <v>0</v>
      </c>
      <c r="S45" s="19">
        <f>IF(ActiveDatabase=Standby,Secondary!S45,Primary!S45)</f>
        <v>0</v>
      </c>
      <c r="T45" s="10">
        <f>IF(ActiveDatabase=Standby,Secondary!T45,Primary!T45)</f>
        <v>0</v>
      </c>
      <c r="U45" s="10">
        <f>IF(ActiveDatabase=Standby,Secondary!U45,Primary!U45)</f>
        <v>0</v>
      </c>
      <c r="V45" s="10">
        <f>IF(ActiveDatabase=Standby,Secondary!V45,Primary!V45)</f>
        <v>0</v>
      </c>
      <c r="W45" s="6">
        <f>IF(ActiveDatabase=Standby,Secondary!W45,Primary!W45)</f>
        <v>0</v>
      </c>
      <c r="X45" s="6">
        <f>IF(ActiveDatabase=Standby,Secondary!X45,Primary!X45)</f>
        <v>0</v>
      </c>
      <c r="Y45" s="12">
        <f>IF(ActiveDatabase=Standby,Secondary!Y45,Primary!Y45)</f>
        <v>0</v>
      </c>
      <c r="Z45" s="12">
        <f>IF(ActiveDatabase=Standby,Secondary!Z45,Primary!Z45)</f>
        <v>0</v>
      </c>
      <c r="AA45" s="7">
        <f>IF(ActiveDatabase=Standby,Secondary!AA45,Primary!AA45)</f>
        <v>0</v>
      </c>
      <c r="AB45" s="12"/>
      <c r="AC45" s="6"/>
      <c r="AD45" s="6"/>
      <c r="AE45" s="7"/>
      <c r="AF45" s="7"/>
      <c r="AG45" s="7"/>
      <c r="AH45" s="7"/>
      <c r="AI45" s="7"/>
      <c r="AJ45" s="7"/>
      <c r="AK45" s="7"/>
      <c r="AL45" s="7"/>
      <c r="AM45" s="7"/>
      <c r="AN45" s="7"/>
      <c r="AO45" s="6"/>
      <c r="AP45" s="7"/>
      <c r="AQ45" s="7"/>
      <c r="AR45" s="6"/>
      <c r="AS45" s="7"/>
      <c r="AT45" s="7"/>
      <c r="AU45" s="7"/>
      <c r="AV45" s="7"/>
      <c r="AW45" s="7"/>
      <c r="AX45" s="7"/>
      <c r="AY45" s="7"/>
      <c r="AZ45" s="7"/>
      <c r="BA45" s="7"/>
      <c r="BB45" s="7"/>
      <c r="BC45" s="7"/>
      <c r="BD45" s="7"/>
      <c r="BE45" s="7"/>
      <c r="BF45" s="7"/>
      <c r="BG45" s="7"/>
    </row>
    <row r="46" customHeight="1" spans="1:59">
      <c r="A46" s="9" t="str">
        <f>IF(ActiveDatabase=Standby,Secondary!A46,Primary!A46)</f>
        <v>Aberdeen R02</v>
      </c>
      <c r="B46" s="5" t="str">
        <f>IF(ActiveDatabase=Standby,Secondary!B46,Primary!B46)</f>
        <v>Aberdeen 30</v>
      </c>
      <c r="C46" s="5">
        <f>IF(ActiveDatabase=Standby,Secondary!C46,Primary!C46)</f>
        <v>0</v>
      </c>
      <c r="D46" s="5" t="str">
        <f>IF(ActiveDatabase=Standby,Secondary!D46,Primary!D46)</f>
        <v>OM-2</v>
      </c>
      <c r="E46" s="6" t="str">
        <f>IF(ActiveDatabase=Standby,Secondary!E46,Primary!E46)</f>
        <v>OM2</v>
      </c>
      <c r="F46" s="10">
        <f>IF(ActiveDatabase=Standby,Secondary!F46,Primary!F46)</f>
        <v>0</v>
      </c>
      <c r="G46" s="10">
        <f>IF(ActiveDatabase=Standby,Secondary!G46,Primary!G46)</f>
        <v>0</v>
      </c>
      <c r="H46" s="10">
        <f>IF(ActiveDatabase=Standby,Secondary!H46,Primary!H46)</f>
        <v>-402.708</v>
      </c>
      <c r="I46" s="13">
        <f>IF(ActiveDatabase=Standby,Secondary!I46,Primary!I46)</f>
        <v>0</v>
      </c>
      <c r="J46" s="13">
        <f>IF(ActiveDatabase=Standby,Secondary!J46,Primary!J46)</f>
        <v>0</v>
      </c>
      <c r="K46" s="13">
        <f>IF(ActiveDatabase=Standby,Secondary!K46,Primary!K46)</f>
        <v>0</v>
      </c>
      <c r="L46" s="13">
        <f>IF(ActiveDatabase=Standby,Secondary!L46,Primary!L46)</f>
        <v>0</v>
      </c>
      <c r="M46" s="7" t="b">
        <f>IF(ActiveDatabase=Standby,Secondary!M46,Primary!M46)</f>
        <v>1</v>
      </c>
      <c r="N46" s="10">
        <f>IF(ActiveDatabase=Standby,Secondary!N46,Primary!N46)</f>
        <v>0</v>
      </c>
      <c r="O46" s="10">
        <f>IF(ActiveDatabase=Standby,Secondary!O46,Primary!O46)</f>
        <v>0</v>
      </c>
      <c r="P46" s="10">
        <f>IF(ActiveDatabase=Standby,Secondary!P46,Primary!P46)</f>
        <v>0</v>
      </c>
      <c r="Q46" s="6">
        <f>IF(ActiveDatabase=Standby,Secondary!Q46,Primary!Q46)</f>
        <v>0</v>
      </c>
      <c r="R46" s="18">
        <f>IF(ActiveDatabase=Standby,Secondary!R46,Primary!R46)</f>
        <v>0</v>
      </c>
      <c r="S46" s="19">
        <f>IF(ActiveDatabase=Standby,Secondary!S46,Primary!S46)</f>
        <v>0</v>
      </c>
      <c r="T46" s="10">
        <f>IF(ActiveDatabase=Standby,Secondary!T46,Primary!T46)</f>
        <v>0</v>
      </c>
      <c r="U46" s="10">
        <f>IF(ActiveDatabase=Standby,Secondary!U46,Primary!U46)</f>
        <v>0</v>
      </c>
      <c r="V46" s="10">
        <f>IF(ActiveDatabase=Standby,Secondary!V46,Primary!V46)</f>
        <v>0</v>
      </c>
      <c r="W46" s="6">
        <f>IF(ActiveDatabase=Standby,Secondary!W46,Primary!W46)</f>
        <v>0</v>
      </c>
      <c r="X46" s="6">
        <f>IF(ActiveDatabase=Standby,Secondary!X46,Primary!X46)</f>
        <v>0</v>
      </c>
      <c r="Y46" s="12">
        <f>IF(ActiveDatabase=Standby,Secondary!Y46,Primary!Y46)</f>
        <v>0</v>
      </c>
      <c r="Z46" s="12">
        <f>IF(ActiveDatabase=Standby,Secondary!Z46,Primary!Z46)</f>
        <v>0</v>
      </c>
      <c r="AA46" s="7">
        <f>IF(ActiveDatabase=Standby,Secondary!AA46,Primary!AA46)</f>
        <v>0</v>
      </c>
      <c r="AB46" s="12"/>
      <c r="AC46" s="6"/>
      <c r="AD46" s="6"/>
      <c r="AE46" s="7"/>
      <c r="AF46" s="7"/>
      <c r="AG46" s="7"/>
      <c r="AH46" s="7"/>
      <c r="AI46" s="7"/>
      <c r="AJ46" s="7"/>
      <c r="AK46" s="7"/>
      <c r="AL46" s="7"/>
      <c r="AM46" s="7"/>
      <c r="AN46" s="7"/>
      <c r="AO46" s="6"/>
      <c r="AP46" s="7"/>
      <c r="AQ46" s="7"/>
      <c r="AR46" s="6"/>
      <c r="AS46" s="7"/>
      <c r="AT46" s="7"/>
      <c r="AU46" s="7"/>
      <c r="AV46" s="7"/>
      <c r="AW46" s="7"/>
      <c r="AX46" s="7"/>
      <c r="AY46" s="7"/>
      <c r="AZ46" s="7"/>
      <c r="BA46" s="7"/>
      <c r="BB46" s="7"/>
      <c r="BC46" s="7"/>
      <c r="BD46" s="7"/>
      <c r="BE46" s="7"/>
      <c r="BF46" s="7"/>
      <c r="BG46" s="7"/>
    </row>
    <row r="47" customHeight="1" spans="1:59">
      <c r="A47" s="9" t="str">
        <f>IF(ActiveDatabase=Standby,Secondary!A47,Primary!A47)</f>
        <v>Aberdeen R03</v>
      </c>
      <c r="B47" s="5" t="str">
        <f>IF(ActiveDatabase=Standby,Secondary!B47,Primary!B47)</f>
        <v>Aberdeen 31</v>
      </c>
      <c r="C47" s="5" t="str">
        <f>IF(ActiveDatabase=Standby,Secondary!C47,Primary!C47)</f>
        <v>Aberdeen 07</v>
      </c>
      <c r="D47" s="5" t="str">
        <f>IF(ActiveDatabase=Standby,Secondary!D47,Primary!D47)</f>
        <v>OM-3</v>
      </c>
      <c r="E47" s="6" t="str">
        <f>IF(ActiveDatabase=Standby,Secondary!E47,Primary!E47)</f>
        <v>OM3</v>
      </c>
      <c r="F47" s="10">
        <f>IF(ActiveDatabase=Standby,Secondary!F47,Primary!F47)</f>
        <v>0</v>
      </c>
      <c r="G47" s="10">
        <f>IF(ActiveDatabase=Standby,Secondary!G47,Primary!G47)</f>
        <v>402.708</v>
      </c>
      <c r="H47" s="10">
        <f>IF(ActiveDatabase=Standby,Secondary!H47,Primary!H47)</f>
        <v>0</v>
      </c>
      <c r="I47" s="13">
        <f>IF(ActiveDatabase=Standby,Secondary!I47,Primary!I47)</f>
        <v>0</v>
      </c>
      <c r="J47" s="13">
        <f>IF(ActiveDatabase=Standby,Secondary!J47,Primary!J47)</f>
        <v>0</v>
      </c>
      <c r="K47" s="13">
        <f>IF(ActiveDatabase=Standby,Secondary!K47,Primary!K47)</f>
        <v>0</v>
      </c>
      <c r="L47" s="13">
        <f>IF(ActiveDatabase=Standby,Secondary!L47,Primary!L47)</f>
        <v>0</v>
      </c>
      <c r="M47" s="7" t="b">
        <f>IF(ActiveDatabase=Standby,Secondary!M47,Primary!M47)</f>
        <v>1</v>
      </c>
      <c r="N47" s="10">
        <f>IF(ActiveDatabase=Standby,Secondary!N47,Primary!N47)</f>
        <v>0</v>
      </c>
      <c r="O47" s="10">
        <f>IF(ActiveDatabase=Standby,Secondary!O47,Primary!O47)</f>
        <v>0</v>
      </c>
      <c r="P47" s="10">
        <f>IF(ActiveDatabase=Standby,Secondary!P47,Primary!P47)</f>
        <v>0</v>
      </c>
      <c r="Q47" s="6">
        <f>IF(ActiveDatabase=Standby,Secondary!Q47,Primary!Q47)</f>
        <v>0</v>
      </c>
      <c r="R47" s="18">
        <f>IF(ActiveDatabase=Standby,Secondary!R47,Primary!R47)</f>
        <v>0</v>
      </c>
      <c r="S47" s="19">
        <f>IF(ActiveDatabase=Standby,Secondary!S47,Primary!S47)</f>
        <v>0</v>
      </c>
      <c r="T47" s="10">
        <f>IF(ActiveDatabase=Standby,Secondary!T47,Primary!T47)</f>
        <v>0</v>
      </c>
      <c r="U47" s="10">
        <f>IF(ActiveDatabase=Standby,Secondary!U47,Primary!U47)</f>
        <v>0</v>
      </c>
      <c r="V47" s="10">
        <f>IF(ActiveDatabase=Standby,Secondary!V47,Primary!V47)</f>
        <v>0</v>
      </c>
      <c r="W47" s="6">
        <f>IF(ActiveDatabase=Standby,Secondary!W47,Primary!W47)</f>
        <v>0</v>
      </c>
      <c r="X47" s="6">
        <f>IF(ActiveDatabase=Standby,Secondary!X47,Primary!X47)</f>
        <v>0</v>
      </c>
      <c r="Y47" s="12">
        <f>IF(ActiveDatabase=Standby,Secondary!Y47,Primary!Y47)</f>
        <v>0</v>
      </c>
      <c r="Z47" s="12">
        <f>IF(ActiveDatabase=Standby,Secondary!Z47,Primary!Z47)</f>
        <v>0</v>
      </c>
      <c r="AA47" s="7">
        <f>IF(ActiveDatabase=Standby,Secondary!AA47,Primary!AA47)</f>
        <v>0</v>
      </c>
      <c r="AB47" s="12"/>
      <c r="AC47" s="6"/>
      <c r="AD47" s="6"/>
      <c r="AE47" s="7"/>
      <c r="AF47" s="7"/>
      <c r="AG47" s="7"/>
      <c r="AH47" s="7"/>
      <c r="AI47" s="7"/>
      <c r="AJ47" s="7"/>
      <c r="AK47" s="7"/>
      <c r="AL47" s="7"/>
      <c r="AM47" s="7"/>
      <c r="AN47" s="7"/>
      <c r="AO47" s="6"/>
      <c r="AP47" s="7"/>
      <c r="AQ47" s="7"/>
      <c r="AR47" s="6"/>
      <c r="AS47" s="7"/>
      <c r="AT47" s="7"/>
      <c r="AU47" s="7"/>
      <c r="AV47" s="7"/>
      <c r="AW47" s="7"/>
      <c r="AX47" s="7"/>
      <c r="AY47" s="7"/>
      <c r="AZ47" s="7"/>
      <c r="BA47" s="7"/>
      <c r="BB47" s="7"/>
      <c r="BC47" s="7"/>
      <c r="BD47" s="7"/>
      <c r="BE47" s="7"/>
      <c r="BF47" s="7"/>
      <c r="BG47" s="7"/>
    </row>
    <row r="48" customHeight="1" spans="1:59">
      <c r="A48" s="9" t="str">
        <f>IF(ActiveDatabase=Standby,Secondary!A48,Primary!A48)</f>
        <v>Aberdeen R04</v>
      </c>
      <c r="B48" s="5" t="str">
        <f>IF(ActiveDatabase=Standby,Secondary!B48,Primary!B48)</f>
        <v>Aberdeen 32</v>
      </c>
      <c r="C48" s="5" t="str">
        <f>IF(ActiveDatabase=Standby,Secondary!C48,Primary!C48)</f>
        <v>Aberdeen 19</v>
      </c>
      <c r="D48" s="5" t="str">
        <f>IF(ActiveDatabase=Standby,Secondary!D48,Primary!D48)</f>
        <v>OM-4</v>
      </c>
      <c r="E48" s="6" t="str">
        <f>IF(ActiveDatabase=Standby,Secondary!E48,Primary!E48)</f>
        <v>OM4</v>
      </c>
      <c r="F48" s="10">
        <f>IF(ActiveDatabase=Standby,Secondary!F48,Primary!F48)</f>
        <v>0</v>
      </c>
      <c r="G48" s="10">
        <f>IF(ActiveDatabase=Standby,Secondary!G48,Primary!G48)</f>
        <v>-402.708</v>
      </c>
      <c r="H48" s="10">
        <f>IF(ActiveDatabase=Standby,Secondary!H48,Primary!H48)</f>
        <v>0</v>
      </c>
      <c r="I48" s="13">
        <f>IF(ActiveDatabase=Standby,Secondary!I48,Primary!I48)</f>
        <v>0</v>
      </c>
      <c r="J48" s="13">
        <f>IF(ActiveDatabase=Standby,Secondary!J48,Primary!J48)</f>
        <v>0</v>
      </c>
      <c r="K48" s="13">
        <f>IF(ActiveDatabase=Standby,Secondary!K48,Primary!K48)</f>
        <v>0</v>
      </c>
      <c r="L48" s="13">
        <f>IF(ActiveDatabase=Standby,Secondary!L48,Primary!L48)</f>
        <v>0</v>
      </c>
      <c r="M48" s="7" t="b">
        <f>IF(ActiveDatabase=Standby,Secondary!M48,Primary!M48)</f>
        <v>1</v>
      </c>
      <c r="N48" s="10">
        <f>IF(ActiveDatabase=Standby,Secondary!N48,Primary!N48)</f>
        <v>0</v>
      </c>
      <c r="O48" s="10">
        <f>IF(ActiveDatabase=Standby,Secondary!O48,Primary!O48)</f>
        <v>0</v>
      </c>
      <c r="P48" s="10">
        <f>IF(ActiveDatabase=Standby,Secondary!P48,Primary!P48)</f>
        <v>0</v>
      </c>
      <c r="Q48" s="6">
        <f>IF(ActiveDatabase=Standby,Secondary!Q48,Primary!Q48)</f>
        <v>0</v>
      </c>
      <c r="R48" s="18">
        <f>IF(ActiveDatabase=Standby,Secondary!R48,Primary!R48)</f>
        <v>0</v>
      </c>
      <c r="S48" s="19">
        <f>IF(ActiveDatabase=Standby,Secondary!S48,Primary!S48)</f>
        <v>0</v>
      </c>
      <c r="T48" s="10">
        <f>IF(ActiveDatabase=Standby,Secondary!T48,Primary!T48)</f>
        <v>0</v>
      </c>
      <c r="U48" s="10">
        <f>IF(ActiveDatabase=Standby,Secondary!U48,Primary!U48)</f>
        <v>0</v>
      </c>
      <c r="V48" s="10">
        <f>IF(ActiveDatabase=Standby,Secondary!V48,Primary!V48)</f>
        <v>0</v>
      </c>
      <c r="W48" s="6">
        <f>IF(ActiveDatabase=Standby,Secondary!W48,Primary!W48)</f>
        <v>0</v>
      </c>
      <c r="X48" s="6">
        <f>IF(ActiveDatabase=Standby,Secondary!X48,Primary!X48)</f>
        <v>0</v>
      </c>
      <c r="Y48" s="12">
        <f>IF(ActiveDatabase=Standby,Secondary!Y48,Primary!Y48)</f>
        <v>0</v>
      </c>
      <c r="Z48" s="12">
        <f>IF(ActiveDatabase=Standby,Secondary!Z48,Primary!Z48)</f>
        <v>0</v>
      </c>
      <c r="AA48" s="7">
        <f>IF(ActiveDatabase=Standby,Secondary!AA48,Primary!AA48)</f>
        <v>0</v>
      </c>
      <c r="AB48" s="12"/>
      <c r="AC48" s="6"/>
      <c r="AD48" s="6"/>
      <c r="AE48" s="7"/>
      <c r="AF48" s="7"/>
      <c r="AG48" s="7"/>
      <c r="AH48" s="7"/>
      <c r="AI48" s="7"/>
      <c r="AJ48" s="7"/>
      <c r="AK48" s="7"/>
      <c r="AL48" s="7"/>
      <c r="AM48" s="7"/>
      <c r="AN48" s="7"/>
      <c r="AO48" s="6"/>
      <c r="AP48" s="7"/>
      <c r="AQ48" s="7"/>
      <c r="AR48" s="6"/>
      <c r="AS48" s="7"/>
      <c r="AT48" s="7"/>
      <c r="AU48" s="7"/>
      <c r="AV48" s="7"/>
      <c r="AW48" s="7"/>
      <c r="AX48" s="7"/>
      <c r="AY48" s="7"/>
      <c r="AZ48" s="7"/>
      <c r="BA48" s="7"/>
      <c r="BB48" s="7"/>
      <c r="BC48" s="7"/>
      <c r="BD48" s="7"/>
      <c r="BE48" s="7"/>
      <c r="BF48" s="7"/>
      <c r="BG48" s="7"/>
    </row>
    <row r="49" customHeight="1" spans="1:59">
      <c r="A49" s="9" t="str">
        <f>IF(ActiveDatabase=Standby,Secondary!A49,Primary!A49)</f>
        <v>Aberdeen R05</v>
      </c>
      <c r="B49" s="5" t="str">
        <f>IF(ActiveDatabase=Standby,Secondary!B49,Primary!B49)</f>
        <v>Aberdeen 33</v>
      </c>
      <c r="C49" s="5" t="str">
        <f>IF(ActiveDatabase=Standby,Secondary!C49,Primary!C49)</f>
        <v>Aberdeen 15</v>
      </c>
      <c r="D49" s="5" t="str">
        <f>IF(ActiveDatabase=Standby,Secondary!D49,Primary!D49)</f>
        <v>OM-5</v>
      </c>
      <c r="E49" s="6" t="str">
        <f>IF(ActiveDatabase=Standby,Secondary!E49,Primary!E49)</f>
        <v>OM5</v>
      </c>
      <c r="F49" s="10">
        <f>IF(ActiveDatabase=Standby,Secondary!F49,Primary!F49)</f>
        <v>402.708</v>
      </c>
      <c r="G49" s="10">
        <f>IF(ActiveDatabase=Standby,Secondary!G49,Primary!G49)</f>
        <v>0</v>
      </c>
      <c r="H49" s="10">
        <f>IF(ActiveDatabase=Standby,Secondary!H49,Primary!H49)</f>
        <v>0</v>
      </c>
      <c r="I49" s="13">
        <f>IF(ActiveDatabase=Standby,Secondary!I49,Primary!I49)</f>
        <v>0</v>
      </c>
      <c r="J49" s="13">
        <f>IF(ActiveDatabase=Standby,Secondary!J49,Primary!J49)</f>
        <v>0</v>
      </c>
      <c r="K49" s="13">
        <f>IF(ActiveDatabase=Standby,Secondary!K49,Primary!K49)</f>
        <v>0</v>
      </c>
      <c r="L49" s="13">
        <f>IF(ActiveDatabase=Standby,Secondary!L49,Primary!L49)</f>
        <v>0</v>
      </c>
      <c r="M49" s="7" t="b">
        <f>IF(ActiveDatabase=Standby,Secondary!M49,Primary!M49)</f>
        <v>1</v>
      </c>
      <c r="N49" s="10">
        <f>IF(ActiveDatabase=Standby,Secondary!N49,Primary!N49)</f>
        <v>0</v>
      </c>
      <c r="O49" s="10">
        <f>IF(ActiveDatabase=Standby,Secondary!O49,Primary!O49)</f>
        <v>0</v>
      </c>
      <c r="P49" s="10">
        <f>IF(ActiveDatabase=Standby,Secondary!P49,Primary!P49)</f>
        <v>0</v>
      </c>
      <c r="Q49" s="6">
        <f>IF(ActiveDatabase=Standby,Secondary!Q49,Primary!Q49)</f>
        <v>0</v>
      </c>
      <c r="R49" s="18">
        <f>IF(ActiveDatabase=Standby,Secondary!R49,Primary!R49)</f>
        <v>0</v>
      </c>
      <c r="S49" s="19">
        <f>IF(ActiveDatabase=Standby,Secondary!S49,Primary!S49)</f>
        <v>0</v>
      </c>
      <c r="T49" s="10">
        <f>IF(ActiveDatabase=Standby,Secondary!T49,Primary!T49)</f>
        <v>0</v>
      </c>
      <c r="U49" s="10">
        <f>IF(ActiveDatabase=Standby,Secondary!U49,Primary!U49)</f>
        <v>0</v>
      </c>
      <c r="V49" s="10">
        <f>IF(ActiveDatabase=Standby,Secondary!V49,Primary!V49)</f>
        <v>0</v>
      </c>
      <c r="W49" s="6">
        <f>IF(ActiveDatabase=Standby,Secondary!W49,Primary!W49)</f>
        <v>0</v>
      </c>
      <c r="X49" s="6">
        <f>IF(ActiveDatabase=Standby,Secondary!X49,Primary!X49)</f>
        <v>0</v>
      </c>
      <c r="Y49" s="12">
        <f>IF(ActiveDatabase=Standby,Secondary!Y49,Primary!Y49)</f>
        <v>0</v>
      </c>
      <c r="Z49" s="12">
        <f>IF(ActiveDatabase=Standby,Secondary!Z49,Primary!Z49)</f>
        <v>0</v>
      </c>
      <c r="AA49" s="7">
        <f>IF(ActiveDatabase=Standby,Secondary!AA49,Primary!AA49)</f>
        <v>0</v>
      </c>
      <c r="AB49" s="12"/>
      <c r="AC49" s="6"/>
      <c r="AD49" s="6"/>
      <c r="AE49" s="7"/>
      <c r="AF49" s="7"/>
      <c r="AG49" s="7"/>
      <c r="AH49" s="7"/>
      <c r="AI49" s="7"/>
      <c r="AJ49" s="7"/>
      <c r="AK49" s="7"/>
      <c r="AL49" s="7"/>
      <c r="AM49" s="7"/>
      <c r="AN49" s="7"/>
      <c r="AO49" s="6"/>
      <c r="AP49" s="7"/>
      <c r="AQ49" s="7"/>
      <c r="AR49" s="6"/>
      <c r="AS49" s="7"/>
      <c r="AT49" s="7"/>
      <c r="AU49" s="7"/>
      <c r="AV49" s="7"/>
      <c r="AW49" s="7"/>
      <c r="AX49" s="7"/>
      <c r="AY49" s="7"/>
      <c r="AZ49" s="7"/>
      <c r="BA49" s="7"/>
      <c r="BB49" s="7"/>
      <c r="BC49" s="7"/>
      <c r="BD49" s="7"/>
      <c r="BE49" s="7"/>
      <c r="BF49" s="7"/>
      <c r="BG49" s="7"/>
    </row>
    <row r="50" customHeight="1" spans="1:59">
      <c r="A50" s="9" t="str">
        <f>IF(ActiveDatabase=Standby,Secondary!A50,Primary!A50)</f>
        <v>Aberdeen R06</v>
      </c>
      <c r="B50" s="5" t="str">
        <f>IF(ActiveDatabase=Standby,Secondary!B50,Primary!B50)</f>
        <v>Aberdeen 34</v>
      </c>
      <c r="C50" s="5" t="str">
        <f>IF(ActiveDatabase=Standby,Secondary!C50,Primary!C50)</f>
        <v>Aberdeen 21</v>
      </c>
      <c r="D50" s="5" t="str">
        <f>IF(ActiveDatabase=Standby,Secondary!D50,Primary!D50)</f>
        <v>OM-6</v>
      </c>
      <c r="E50" s="6" t="str">
        <f>IF(ActiveDatabase=Standby,Secondary!E50,Primary!E50)</f>
        <v>OM6</v>
      </c>
      <c r="F50" s="10">
        <f>IF(ActiveDatabase=Standby,Secondary!F50,Primary!F50)</f>
        <v>-402.708</v>
      </c>
      <c r="G50" s="10">
        <f>IF(ActiveDatabase=Standby,Secondary!G50,Primary!G50)</f>
        <v>0</v>
      </c>
      <c r="H50" s="10">
        <f>IF(ActiveDatabase=Standby,Secondary!H50,Primary!H50)</f>
        <v>0</v>
      </c>
      <c r="I50" s="13">
        <f>IF(ActiveDatabase=Standby,Secondary!I50,Primary!I50)</f>
        <v>0</v>
      </c>
      <c r="J50" s="13">
        <f>IF(ActiveDatabase=Standby,Secondary!J50,Primary!J50)</f>
        <v>0</v>
      </c>
      <c r="K50" s="13">
        <f>IF(ActiveDatabase=Standby,Secondary!K50,Primary!K50)</f>
        <v>0</v>
      </c>
      <c r="L50" s="13">
        <f>IF(ActiveDatabase=Standby,Secondary!L50,Primary!L50)</f>
        <v>0</v>
      </c>
      <c r="M50" s="7" t="b">
        <f>IF(ActiveDatabase=Standby,Secondary!M50,Primary!M50)</f>
        <v>1</v>
      </c>
      <c r="N50" s="10">
        <f>IF(ActiveDatabase=Standby,Secondary!N50,Primary!N50)</f>
        <v>0</v>
      </c>
      <c r="O50" s="10">
        <f>IF(ActiveDatabase=Standby,Secondary!O50,Primary!O50)</f>
        <v>0</v>
      </c>
      <c r="P50" s="10">
        <f>IF(ActiveDatabase=Standby,Secondary!P50,Primary!P50)</f>
        <v>0</v>
      </c>
      <c r="Q50" s="6">
        <f>IF(ActiveDatabase=Standby,Secondary!Q50,Primary!Q50)</f>
        <v>0</v>
      </c>
      <c r="R50" s="18">
        <f>IF(ActiveDatabase=Standby,Secondary!R50,Primary!R50)</f>
        <v>0</v>
      </c>
      <c r="S50" s="19">
        <f>IF(ActiveDatabase=Standby,Secondary!S50,Primary!S50)</f>
        <v>0</v>
      </c>
      <c r="T50" s="10">
        <f>IF(ActiveDatabase=Standby,Secondary!T50,Primary!T50)</f>
        <v>0</v>
      </c>
      <c r="U50" s="10">
        <f>IF(ActiveDatabase=Standby,Secondary!U50,Primary!U50)</f>
        <v>0</v>
      </c>
      <c r="V50" s="10">
        <f>IF(ActiveDatabase=Standby,Secondary!V50,Primary!V50)</f>
        <v>0</v>
      </c>
      <c r="W50" s="6">
        <f>IF(ActiveDatabase=Standby,Secondary!W50,Primary!W50)</f>
        <v>0</v>
      </c>
      <c r="X50" s="6">
        <f>IF(ActiveDatabase=Standby,Secondary!X50,Primary!X50)</f>
        <v>0</v>
      </c>
      <c r="Y50" s="12">
        <f>IF(ActiveDatabase=Standby,Secondary!Y50,Primary!Y50)</f>
        <v>0</v>
      </c>
      <c r="Z50" s="12">
        <f>IF(ActiveDatabase=Standby,Secondary!Z50,Primary!Z50)</f>
        <v>0</v>
      </c>
      <c r="AA50" s="7">
        <f>IF(ActiveDatabase=Standby,Secondary!AA50,Primary!AA50)</f>
        <v>0</v>
      </c>
      <c r="AB50" s="12"/>
      <c r="AC50" s="6"/>
      <c r="AD50" s="6"/>
      <c r="AE50" s="7"/>
      <c r="AF50" s="7"/>
      <c r="AG50" s="7"/>
      <c r="AH50" s="7"/>
      <c r="AI50" s="7"/>
      <c r="AJ50" s="7"/>
      <c r="AK50" s="7"/>
      <c r="AL50" s="7"/>
      <c r="AM50" s="7"/>
      <c r="AN50" s="7"/>
      <c r="AO50" s="6"/>
      <c r="AP50" s="7"/>
      <c r="AQ50" s="7"/>
      <c r="AR50" s="6"/>
      <c r="AS50" s="7"/>
      <c r="AT50" s="7"/>
      <c r="AU50" s="7"/>
      <c r="AV50" s="7"/>
      <c r="AW50" s="7"/>
      <c r="AX50" s="7"/>
      <c r="AY50" s="7"/>
      <c r="AZ50" s="7"/>
      <c r="BA50" s="7"/>
      <c r="BB50" s="7"/>
      <c r="BC50" s="7"/>
      <c r="BD50" s="7"/>
      <c r="BE50" s="7"/>
      <c r="BF50" s="7"/>
      <c r="BG50" s="7"/>
    </row>
    <row r="51" customHeight="1" spans="1:59">
      <c r="A51" s="9" t="str">
        <f>IF(ActiveDatabase=Standby,Secondary!A51,Primary!A51)</f>
        <v>Aberdeen</v>
      </c>
      <c r="B51" s="5" t="str">
        <f>IF(ActiveDatabase=Standby,Secondary!B51,Primary!B51)</f>
        <v>Aberdeen 00</v>
      </c>
      <c r="C51" s="5">
        <f>IF(ActiveDatabase=Standby,Secondary!C51,Primary!C51)</f>
        <v>0</v>
      </c>
      <c r="D51" s="5" t="str">
        <f>IF(ActiveDatabase=Standby,Secondary!D51,Primary!D51)</f>
        <v>Trading Terminals</v>
      </c>
      <c r="E51" s="6">
        <f>IF(ActiveDatabase=Standby,Secondary!E51,Primary!E51)</f>
        <v>0</v>
      </c>
      <c r="F51" s="10">
        <f>IF(ActiveDatabase=Standby,Secondary!F51,Primary!F51)</f>
        <v>0</v>
      </c>
      <c r="G51" s="10">
        <f>IF(ActiveDatabase=Standby,Secondary!G51,Primary!G51)</f>
        <v>0</v>
      </c>
      <c r="H51" s="10">
        <f>IF(ActiveDatabase=Standby,Secondary!H51,Primary!H51)</f>
        <v>0</v>
      </c>
      <c r="I51" s="13">
        <f>IF(ActiveDatabase=Standby,Secondary!I51,Primary!I51)</f>
        <v>0</v>
      </c>
      <c r="J51" s="13">
        <f>IF(ActiveDatabase=Standby,Secondary!J51,Primary!J51)</f>
        <v>0</v>
      </c>
      <c r="K51" s="13">
        <f>IF(ActiveDatabase=Standby,Secondary!K51,Primary!K51)</f>
        <v>0</v>
      </c>
      <c r="L51" s="13">
        <f>IF(ActiveDatabase=Standby,Secondary!L51,Primary!L51)</f>
        <v>0</v>
      </c>
      <c r="M51" s="7">
        <f>IF(ActiveDatabase=Standby,Secondary!M51,Primary!M51)</f>
        <v>0</v>
      </c>
      <c r="N51" s="10">
        <f>IF(ActiveDatabase=Standby,Secondary!N51,Primary!N51)</f>
        <v>0</v>
      </c>
      <c r="O51" s="10">
        <f>IF(ActiveDatabase=Standby,Secondary!O51,Primary!O51)</f>
        <v>0</v>
      </c>
      <c r="P51" s="10">
        <f>IF(ActiveDatabase=Standby,Secondary!P51,Primary!P51)</f>
        <v>0</v>
      </c>
      <c r="Q51" s="6">
        <f>IF(ActiveDatabase=Standby,Secondary!Q51,Primary!Q51)</f>
        <v>0</v>
      </c>
      <c r="R51" s="18">
        <f>IF(ActiveDatabase=Standby,Secondary!R51,Primary!R51)</f>
        <v>0</v>
      </c>
      <c r="S51" s="19">
        <f>IF(ActiveDatabase=Standby,Secondary!S51,Primary!S51)</f>
        <v>0</v>
      </c>
      <c r="T51" s="10">
        <f>IF(ActiveDatabase=Standby,Secondary!T51,Primary!T51)</f>
        <v>0</v>
      </c>
      <c r="U51" s="10">
        <f>IF(ActiveDatabase=Standby,Secondary!U51,Primary!U51)</f>
        <v>0</v>
      </c>
      <c r="V51" s="10">
        <f>IF(ActiveDatabase=Standby,Secondary!V51,Primary!V51)</f>
        <v>0</v>
      </c>
      <c r="W51" s="6">
        <f>IF(ActiveDatabase=Standby,Secondary!W51,Primary!W51)</f>
        <v>0</v>
      </c>
      <c r="X51" s="6">
        <f>IF(ActiveDatabase=Standby,Secondary!X51,Primary!X51)</f>
        <v>0</v>
      </c>
      <c r="Y51" s="12">
        <f>IF(ActiveDatabase=Standby,Secondary!Y51,Primary!Y51)</f>
        <v>0</v>
      </c>
      <c r="Z51" s="12">
        <f>IF(ActiveDatabase=Standby,Secondary!Z51,Primary!Z51)</f>
        <v>0</v>
      </c>
      <c r="AA51" s="7">
        <f>IF(ActiveDatabase=Standby,Secondary!AA51,Primary!AA51)</f>
        <v>0</v>
      </c>
      <c r="AB51" s="12"/>
      <c r="AC51" s="6"/>
      <c r="AD51" s="6"/>
      <c r="AE51" s="7"/>
      <c r="AF51" s="7"/>
      <c r="AG51" s="7"/>
      <c r="AH51" s="7"/>
      <c r="AI51" s="7"/>
      <c r="AJ51" s="7"/>
      <c r="AK51" s="7"/>
      <c r="AL51" s="7"/>
      <c r="AM51" s="7"/>
      <c r="AN51" s="7"/>
      <c r="AO51" s="6"/>
      <c r="AP51" s="7"/>
      <c r="AQ51" s="7"/>
      <c r="AR51" s="6"/>
      <c r="AS51" s="7"/>
      <c r="AT51" s="7"/>
      <c r="AU51" s="7"/>
      <c r="AV51" s="7"/>
      <c r="AW51" s="7"/>
      <c r="AX51" s="7"/>
      <c r="AY51" s="7"/>
      <c r="AZ51" s="7"/>
      <c r="BA51" s="7"/>
      <c r="BB51" s="7"/>
      <c r="BC51" s="7"/>
      <c r="BD51" s="7"/>
      <c r="BE51" s="7"/>
      <c r="BF51" s="7"/>
      <c r="BG51" s="7"/>
    </row>
    <row r="52" customHeight="1" spans="1:59">
      <c r="A52" s="9" t="str">
        <f>IF(ActiveDatabase=Standby,Secondary!A52,Primary!A52)</f>
        <v>Aberdeen 01</v>
      </c>
      <c r="B52" s="5" t="str">
        <f>IF(ActiveDatabase=Standby,Secondary!B52,Primary!B52)</f>
        <v>Aberdeen 01</v>
      </c>
      <c r="C52" s="5" t="str">
        <f>IF(ActiveDatabase=Standby,Secondary!C52,Primary!C52)</f>
        <v>Aberdeen 06</v>
      </c>
      <c r="D52" s="5" t="str">
        <f>IF(ActiveDatabase=Standby,Secondary!D52,Primary!D52)</f>
        <v>HDMS Anderson (PB)</v>
      </c>
      <c r="E52" s="6" t="str">
        <f>IF(ActiveDatabase=Standby,Secondary!E52,Primary!E52)</f>
        <v>Anderson</v>
      </c>
      <c r="F52" s="10">
        <f>IF(ActiveDatabase=Standby,Secondary!F52,Primary!F52)</f>
        <v>-26.950086108</v>
      </c>
      <c r="G52" s="10">
        <f>IF(ActiveDatabase=Standby,Secondary!G52,Primary!G52)</f>
        <v>180.220820853999</v>
      </c>
      <c r="H52" s="10">
        <f>IF(ActiveDatabase=Standby,Secondary!H52,Primary!H52)</f>
        <v>206.879088917999</v>
      </c>
      <c r="I52" s="13">
        <f>IF(ActiveDatabase=Standby,Secondary!I52,Primary!I52)</f>
        <v>0</v>
      </c>
      <c r="J52" s="13">
        <f>IF(ActiveDatabase=Standby,Secondary!J52,Primary!J52)</f>
        <v>0</v>
      </c>
      <c r="K52" s="13">
        <f>IF(ActiveDatabase=Standby,Secondary!K52,Primary!K52)</f>
        <v>0</v>
      </c>
      <c r="L52" s="13">
        <f>IF(ActiveDatabase=Standby,Secondary!L52,Primary!L52)</f>
        <v>0</v>
      </c>
      <c r="M52" s="7" t="b">
        <f>IF(ActiveDatabase=Standby,Secondary!M52,Primary!M52)</f>
        <v>1</v>
      </c>
      <c r="N52" s="10">
        <f>IF(ActiveDatabase=Standby,Secondary!N52,Primary!N52)</f>
        <v>0</v>
      </c>
      <c r="O52" s="10">
        <f>IF(ActiveDatabase=Standby,Secondary!O52,Primary!O52)</f>
        <v>0</v>
      </c>
      <c r="P52" s="10">
        <f>IF(ActiveDatabase=Standby,Secondary!P52,Primary!P52)</f>
        <v>0</v>
      </c>
      <c r="Q52" s="6">
        <f>IF(ActiveDatabase=Standby,Secondary!Q52,Primary!Q52)</f>
        <v>0</v>
      </c>
      <c r="R52" s="18">
        <f>IF(ActiveDatabase=Standby,Secondary!R52,Primary!R52)</f>
        <v>0</v>
      </c>
      <c r="S52" s="19">
        <f>IF(ActiveDatabase=Standby,Secondary!S52,Primary!S52)</f>
        <v>0</v>
      </c>
      <c r="T52" s="10">
        <f>IF(ActiveDatabase=Standby,Secondary!T52,Primary!T52)</f>
        <v>0</v>
      </c>
      <c r="U52" s="10">
        <f>IF(ActiveDatabase=Standby,Secondary!U52,Primary!U52)</f>
        <v>0</v>
      </c>
      <c r="V52" s="10">
        <f>IF(ActiveDatabase=Standby,Secondary!V52,Primary!V52)</f>
        <v>0</v>
      </c>
      <c r="W52" s="6">
        <f>IF(ActiveDatabase=Standby,Secondary!W52,Primary!W52)</f>
        <v>0</v>
      </c>
      <c r="X52" s="6">
        <f>IF(ActiveDatabase=Standby,Secondary!X52,Primary!X52)</f>
        <v>0</v>
      </c>
      <c r="Y52" s="12">
        <f>IF(ActiveDatabase=Standby,Secondary!Y52,Primary!Y52)</f>
        <v>0</v>
      </c>
      <c r="Z52" s="12">
        <f>IF(ActiveDatabase=Standby,Secondary!Z52,Primary!Z52)</f>
        <v>0</v>
      </c>
      <c r="AA52" s="7">
        <f>IF(ActiveDatabase=Standby,Secondary!AA52,Primary!AA52)</f>
        <v>0</v>
      </c>
      <c r="AB52" s="12"/>
      <c r="AC52" s="6"/>
      <c r="AD52" s="6"/>
      <c r="AE52" s="7"/>
      <c r="AF52" s="7"/>
      <c r="AG52" s="7"/>
      <c r="AH52" s="7"/>
      <c r="AI52" s="7"/>
      <c r="AJ52" s="7"/>
      <c r="AK52" s="7"/>
      <c r="AL52" s="7"/>
      <c r="AM52" s="7"/>
      <c r="AN52" s="7"/>
      <c r="AO52" s="6"/>
      <c r="AP52" s="7"/>
      <c r="AQ52" s="7"/>
      <c r="AR52" s="6"/>
      <c r="AS52" s="7"/>
      <c r="AT52" s="7"/>
      <c r="AU52" s="7"/>
      <c r="AV52" s="7"/>
      <c r="AW52" s="7"/>
      <c r="AX52" s="7"/>
      <c r="AY52" s="7"/>
      <c r="AZ52" s="7"/>
      <c r="BA52" s="7"/>
      <c r="BB52" s="7"/>
      <c r="BC52" s="7"/>
      <c r="BD52" s="7"/>
      <c r="BE52" s="7"/>
      <c r="BF52" s="7"/>
      <c r="BG52" s="7"/>
    </row>
    <row r="53" customHeight="1" spans="1:59">
      <c r="A53" s="9" t="str">
        <f>IF(ActiveDatabase=Standby,Secondary!A53,Primary!A53)</f>
        <v>Aberdeen 02</v>
      </c>
      <c r="B53" s="5" t="str">
        <f>IF(ActiveDatabase=Standby,Secondary!B53,Primary!B53)</f>
        <v>Aberdeen 02</v>
      </c>
      <c r="C53" s="5" t="str">
        <f>IF(ActiveDatabase=Standby,Secondary!C53,Primary!C53)</f>
        <v>Aberdeen 04</v>
      </c>
      <c r="D53" s="5" t="str">
        <f>IF(ActiveDatabase=Standby,Secondary!D53,Primary!D53)</f>
        <v>HDMS Norgaard (PB)</v>
      </c>
      <c r="E53" s="6" t="str">
        <f>IF(ActiveDatabase=Standby,Secondary!E53,Primary!E53)</f>
        <v>Norgaard</v>
      </c>
      <c r="F53" s="10">
        <f>IF(ActiveDatabase=Standby,Secondary!F53,Primary!F53)</f>
        <v>-141.571902032</v>
      </c>
      <c r="G53" s="10">
        <f>IF(ActiveDatabase=Standby,Secondary!G53,Primary!G53)</f>
        <v>195.318175168999</v>
      </c>
      <c r="H53" s="10">
        <f>IF(ActiveDatabase=Standby,Secondary!H53,Primary!H53)</f>
        <v>132.097599225</v>
      </c>
      <c r="I53" s="13">
        <f>IF(ActiveDatabase=Standby,Secondary!I53,Primary!I53)</f>
        <v>0</v>
      </c>
      <c r="J53" s="13">
        <f>IF(ActiveDatabase=Standby,Secondary!J53,Primary!J53)</f>
        <v>0</v>
      </c>
      <c r="K53" s="13">
        <f>IF(ActiveDatabase=Standby,Secondary!K53,Primary!K53)</f>
        <v>0</v>
      </c>
      <c r="L53" s="13">
        <f>IF(ActiveDatabase=Standby,Secondary!L53,Primary!L53)</f>
        <v>0</v>
      </c>
      <c r="M53" s="7" t="b">
        <f>IF(ActiveDatabase=Standby,Secondary!M53,Primary!M53)</f>
        <v>1</v>
      </c>
      <c r="N53" s="10">
        <f>IF(ActiveDatabase=Standby,Secondary!N53,Primary!N53)</f>
        <v>4</v>
      </c>
      <c r="O53" s="10">
        <f>IF(ActiveDatabase=Standby,Secondary!O53,Primary!O53)</f>
        <v>0</v>
      </c>
      <c r="P53" s="10">
        <f>IF(ActiveDatabase=Standby,Secondary!P53,Primary!P53)</f>
        <v>0</v>
      </c>
      <c r="Q53" s="6">
        <f>IF(ActiveDatabase=Standby,Secondary!Q53,Primary!Q53)</f>
        <v>0</v>
      </c>
      <c r="R53" s="18">
        <f>IF(ActiveDatabase=Standby,Secondary!R53,Primary!R53)</f>
        <v>0</v>
      </c>
      <c r="S53" s="19">
        <f>IF(ActiveDatabase=Standby,Secondary!S53,Primary!S53)</f>
        <v>0</v>
      </c>
      <c r="T53" s="10">
        <f>IF(ActiveDatabase=Standby,Secondary!T53,Primary!T53)</f>
        <v>0</v>
      </c>
      <c r="U53" s="10">
        <f>IF(ActiveDatabase=Standby,Secondary!U53,Primary!U53)</f>
        <v>0</v>
      </c>
      <c r="V53" s="10">
        <f>IF(ActiveDatabase=Standby,Secondary!V53,Primary!V53)</f>
        <v>0</v>
      </c>
      <c r="W53" s="6">
        <f>IF(ActiveDatabase=Standby,Secondary!W53,Primary!W53)</f>
        <v>0</v>
      </c>
      <c r="X53" s="6">
        <f>IF(ActiveDatabase=Standby,Secondary!X53,Primary!X53)</f>
        <v>0</v>
      </c>
      <c r="Y53" s="12">
        <f>IF(ActiveDatabase=Standby,Secondary!Y53,Primary!Y53)</f>
        <v>0</v>
      </c>
      <c r="Z53" s="12">
        <f>IF(ActiveDatabase=Standby,Secondary!Z53,Primary!Z53)</f>
        <v>0</v>
      </c>
      <c r="AA53" s="7">
        <f>IF(ActiveDatabase=Standby,Secondary!AA53,Primary!AA53)</f>
        <v>0</v>
      </c>
      <c r="AB53" s="12"/>
      <c r="AC53" s="6"/>
      <c r="AD53" s="6"/>
      <c r="AE53" s="7"/>
      <c r="AF53" s="7"/>
      <c r="AG53" s="7"/>
      <c r="AH53" s="7"/>
      <c r="AI53" s="7"/>
      <c r="AJ53" s="7"/>
      <c r="AK53" s="7"/>
      <c r="AL53" s="7"/>
      <c r="AM53" s="7"/>
      <c r="AN53" s="7"/>
      <c r="AO53" s="6"/>
      <c r="AP53" s="7"/>
      <c r="AQ53" s="7"/>
      <c r="AR53" s="6"/>
      <c r="AS53" s="7"/>
      <c r="AT53" s="7"/>
      <c r="AU53" s="7"/>
      <c r="AV53" s="7"/>
      <c r="AW53" s="7"/>
      <c r="AX53" s="7"/>
      <c r="AY53" s="7"/>
      <c r="AZ53" s="7"/>
      <c r="BA53" s="7"/>
      <c r="BB53" s="7"/>
      <c r="BC53" s="7"/>
      <c r="BD53" s="7"/>
      <c r="BE53" s="7"/>
      <c r="BF53" s="7"/>
      <c r="BG53" s="7"/>
    </row>
    <row r="54" customHeight="1" spans="1:59">
      <c r="A54" s="9" t="str">
        <f>IF(ActiveDatabase=Standby,Secondary!A54,Primary!A54)</f>
        <v>Aberdeen</v>
      </c>
      <c r="B54" s="5" t="str">
        <f>IF(ActiveDatabase=Standby,Secondary!B54,Primary!B54)</f>
        <v>Aberdeen 04</v>
      </c>
      <c r="C54" s="5">
        <f>IF(ActiveDatabase=Standby,Secondary!C54,Primary!C54)</f>
        <v>0</v>
      </c>
      <c r="D54" s="5" t="str">
        <f>IF(ActiveDatabase=Standby,Secondary!D54,Primary!D54)</f>
        <v>Correctional Facility</v>
      </c>
      <c r="E54" s="6">
        <f>IF(ActiveDatabase=Standby,Secondary!E54,Primary!E54)</f>
        <v>0</v>
      </c>
      <c r="F54" s="10">
        <f>IF(ActiveDatabase=Standby,Secondary!F54,Primary!F54)</f>
        <v>0</v>
      </c>
      <c r="G54" s="10">
        <f>IF(ActiveDatabase=Standby,Secondary!G54,Primary!G54)</f>
        <v>0</v>
      </c>
      <c r="H54" s="10">
        <f>IF(ActiveDatabase=Standby,Secondary!H54,Primary!H54)</f>
        <v>0</v>
      </c>
      <c r="I54" s="13">
        <f>IF(ActiveDatabase=Standby,Secondary!I54,Primary!I54)</f>
        <v>0</v>
      </c>
      <c r="J54" s="13">
        <f>IF(ActiveDatabase=Standby,Secondary!J54,Primary!J54)</f>
        <v>0</v>
      </c>
      <c r="K54" s="13">
        <f>IF(ActiveDatabase=Standby,Secondary!K54,Primary!K54)</f>
        <v>0</v>
      </c>
      <c r="L54" s="13">
        <f>IF(ActiveDatabase=Standby,Secondary!L54,Primary!L54)</f>
        <v>0</v>
      </c>
      <c r="M54" s="7">
        <f>IF(ActiveDatabase=Standby,Secondary!M54,Primary!M54)</f>
        <v>0</v>
      </c>
      <c r="N54" s="10">
        <f>IF(ActiveDatabase=Standby,Secondary!N54,Primary!N54)</f>
        <v>0</v>
      </c>
      <c r="O54" s="10">
        <f>IF(ActiveDatabase=Standby,Secondary!O54,Primary!O54)</f>
        <v>0</v>
      </c>
      <c r="P54" s="10">
        <f>IF(ActiveDatabase=Standby,Secondary!P54,Primary!P54)</f>
        <v>0</v>
      </c>
      <c r="Q54" s="6">
        <f>IF(ActiveDatabase=Standby,Secondary!Q54,Primary!Q54)</f>
        <v>0</v>
      </c>
      <c r="R54" s="18">
        <f>IF(ActiveDatabase=Standby,Secondary!R54,Primary!R54)</f>
        <v>0</v>
      </c>
      <c r="S54" s="19">
        <f>IF(ActiveDatabase=Standby,Secondary!S54,Primary!S54)</f>
        <v>0</v>
      </c>
      <c r="T54" s="10">
        <f>IF(ActiveDatabase=Standby,Secondary!T54,Primary!T54)</f>
        <v>0</v>
      </c>
      <c r="U54" s="10">
        <f>IF(ActiveDatabase=Standby,Secondary!U54,Primary!U54)</f>
        <v>0</v>
      </c>
      <c r="V54" s="10">
        <f>IF(ActiveDatabase=Standby,Secondary!V54,Primary!V54)</f>
        <v>0</v>
      </c>
      <c r="W54" s="6">
        <f>IF(ActiveDatabase=Standby,Secondary!W54,Primary!W54)</f>
        <v>0</v>
      </c>
      <c r="X54" s="6">
        <f>IF(ActiveDatabase=Standby,Secondary!X54,Primary!X54)</f>
        <v>0</v>
      </c>
      <c r="Y54" s="12">
        <f>IF(ActiveDatabase=Standby,Secondary!Y54,Primary!Y54)</f>
        <v>0</v>
      </c>
      <c r="Z54" s="12">
        <f>IF(ActiveDatabase=Standby,Secondary!Z54,Primary!Z54)</f>
        <v>0</v>
      </c>
      <c r="AA54" s="7">
        <f>IF(ActiveDatabase=Standby,Secondary!AA54,Primary!AA54)</f>
        <v>0</v>
      </c>
      <c r="AB54" s="12"/>
      <c r="AC54" s="6"/>
      <c r="AD54" s="6"/>
      <c r="AE54" s="7"/>
      <c r="AF54" s="7"/>
      <c r="AG54" s="7"/>
      <c r="AH54" s="7"/>
      <c r="AI54" s="7"/>
      <c r="AJ54" s="7"/>
      <c r="AK54" s="7"/>
      <c r="AL54" s="7"/>
      <c r="AM54" s="7"/>
      <c r="AN54" s="7"/>
      <c r="AO54" s="6"/>
      <c r="AP54" s="7"/>
      <c r="AQ54" s="7"/>
      <c r="AR54" s="6"/>
      <c r="AS54" s="7"/>
      <c r="AT54" s="7"/>
      <c r="AU54" s="7"/>
      <c r="AV54" s="7"/>
      <c r="AW54" s="7"/>
      <c r="AX54" s="7"/>
      <c r="AY54" s="7"/>
      <c r="AZ54" s="7"/>
      <c r="BA54" s="7"/>
      <c r="BB54" s="7"/>
      <c r="BC54" s="7"/>
      <c r="BD54" s="7"/>
      <c r="BE54" s="7"/>
      <c r="BF54" s="7"/>
      <c r="BG54" s="7"/>
    </row>
    <row r="55" customHeight="1" spans="1:59">
      <c r="A55" s="9" t="str">
        <f>IF(ActiveDatabase=Standby,Secondary!A55,Primary!A55)</f>
        <v>Aberdeen 03</v>
      </c>
      <c r="B55" s="5" t="str">
        <f>IF(ActiveDatabase=Standby,Secondary!B55,Primary!B55)</f>
        <v>Aberdeen 05</v>
      </c>
      <c r="C55" s="5" t="str">
        <f>IF(ActiveDatabase=Standby,Secondary!C55,Primary!C55)</f>
        <v>Aberdeen 08</v>
      </c>
      <c r="D55" s="5" t="str">
        <f>IF(ActiveDatabase=Standby,Secondary!D55,Primary!D55)</f>
        <v>Klescher Rehabilitation Facility</v>
      </c>
      <c r="E55" s="6" t="str">
        <f>IF(ActiveDatabase=Standby,Secondary!E55,Primary!E55)</f>
        <v>Klescher</v>
      </c>
      <c r="F55" s="10">
        <f>IF(ActiveDatabase=Standby,Secondary!F55,Primary!F55)</f>
        <v>44.975809179</v>
      </c>
      <c r="G55" s="10">
        <f>IF(ActiveDatabase=Standby,Secondary!G55,Primary!G55)</f>
        <v>221.563853468999</v>
      </c>
      <c r="H55" s="10">
        <f>IF(ActiveDatabase=Standby,Secondary!H55,Primary!H55)</f>
        <v>-156.583812527</v>
      </c>
      <c r="I55" s="13">
        <f>IF(ActiveDatabase=Standby,Secondary!I55,Primary!I55)</f>
        <v>0</v>
      </c>
      <c r="J55" s="13">
        <f>IF(ActiveDatabase=Standby,Secondary!J55,Primary!J55)</f>
        <v>0</v>
      </c>
      <c r="K55" s="13">
        <f>IF(ActiveDatabase=Standby,Secondary!K55,Primary!K55)</f>
        <v>0</v>
      </c>
      <c r="L55" s="13">
        <f>IF(ActiveDatabase=Standby,Secondary!L55,Primary!L55)</f>
        <v>0</v>
      </c>
      <c r="M55" s="7" t="b">
        <f>IF(ActiveDatabase=Standby,Secondary!M55,Primary!M55)</f>
        <v>1</v>
      </c>
      <c r="N55" s="10">
        <f>IF(ActiveDatabase=Standby,Secondary!N55,Primary!N55)</f>
        <v>0</v>
      </c>
      <c r="O55" s="10">
        <f>IF(ActiveDatabase=Standby,Secondary!O55,Primary!O55)</f>
        <v>0</v>
      </c>
      <c r="P55" s="10">
        <f>IF(ActiveDatabase=Standby,Secondary!P55,Primary!P55)</f>
        <v>0</v>
      </c>
      <c r="Q55" s="6">
        <f>IF(ActiveDatabase=Standby,Secondary!Q55,Primary!Q55)</f>
        <v>0</v>
      </c>
      <c r="R55" s="18">
        <f>IF(ActiveDatabase=Standby,Secondary!R55,Primary!R55)</f>
        <v>0</v>
      </c>
      <c r="S55" s="19">
        <f>IF(ActiveDatabase=Standby,Secondary!S55,Primary!S55)</f>
        <v>0</v>
      </c>
      <c r="T55" s="10">
        <f>IF(ActiveDatabase=Standby,Secondary!T55,Primary!T55)</f>
        <v>0</v>
      </c>
      <c r="U55" s="10">
        <f>IF(ActiveDatabase=Standby,Secondary!U55,Primary!U55)</f>
        <v>0</v>
      </c>
      <c r="V55" s="10">
        <f>IF(ActiveDatabase=Standby,Secondary!V55,Primary!V55)</f>
        <v>0</v>
      </c>
      <c r="W55" s="6">
        <f>IF(ActiveDatabase=Standby,Secondary!W55,Primary!W55)</f>
        <v>0</v>
      </c>
      <c r="X55" s="6">
        <f>IF(ActiveDatabase=Standby,Secondary!X55,Primary!X55)</f>
        <v>0</v>
      </c>
      <c r="Y55" s="12">
        <f>IF(ActiveDatabase=Standby,Secondary!Y55,Primary!Y55)</f>
        <v>0</v>
      </c>
      <c r="Z55" s="12">
        <f>IF(ActiveDatabase=Standby,Secondary!Z55,Primary!Z55)</f>
        <v>0</v>
      </c>
      <c r="AA55" s="7">
        <f>IF(ActiveDatabase=Standby,Secondary!AA55,Primary!AA55)</f>
        <v>0</v>
      </c>
      <c r="AB55" s="12"/>
      <c r="AC55" s="6"/>
      <c r="AD55" s="6"/>
      <c r="AE55" s="7"/>
      <c r="AF55" s="7"/>
      <c r="AG55" s="7"/>
      <c r="AH55" s="7"/>
      <c r="AI55" s="7"/>
      <c r="AJ55" s="7"/>
      <c r="AK55" s="7"/>
      <c r="AL55" s="7"/>
      <c r="AM55" s="7"/>
      <c r="AN55" s="7"/>
      <c r="AO55" s="6"/>
      <c r="AP55" s="7"/>
      <c r="AQ55" s="7"/>
      <c r="AR55" s="6"/>
      <c r="AS55" s="7"/>
      <c r="AT55" s="7"/>
      <c r="AU55" s="7"/>
      <c r="AV55" s="7"/>
      <c r="AW55" s="7"/>
      <c r="AX55" s="7"/>
      <c r="AY55" s="7"/>
      <c r="AZ55" s="7"/>
      <c r="BA55" s="7"/>
      <c r="BB55" s="7"/>
      <c r="BC55" s="7"/>
      <c r="BD55" s="7"/>
      <c r="BE55" s="7"/>
      <c r="BF55" s="7"/>
      <c r="BG55" s="7"/>
    </row>
    <row r="56" customHeight="1" spans="1:59">
      <c r="A56" s="9" t="str">
        <f>IF(ActiveDatabase=Standby,Secondary!A56,Primary!A56)</f>
        <v>Aberdeen</v>
      </c>
      <c r="B56" s="5" t="str">
        <f>IF(ActiveDatabase=Standby,Secondary!B56,Primary!B56)</f>
        <v>Aberdeen 07</v>
      </c>
      <c r="C56" s="5">
        <f>IF(ActiveDatabase=Standby,Secondary!C56,Primary!C56)</f>
        <v>0</v>
      </c>
      <c r="D56" s="5" t="str">
        <f>IF(ActiveDatabase=Standby,Secondary!D56,Primary!D56)</f>
        <v>Emergency Shelters</v>
      </c>
      <c r="E56" s="6">
        <f>IF(ActiveDatabase=Standby,Secondary!E56,Primary!E56)</f>
        <v>0</v>
      </c>
      <c r="F56" s="10">
        <f>IF(ActiveDatabase=Standby,Secondary!F56,Primary!F56)</f>
        <v>0</v>
      </c>
      <c r="G56" s="10">
        <f>IF(ActiveDatabase=Standby,Secondary!G56,Primary!G56)</f>
        <v>0</v>
      </c>
      <c r="H56" s="10">
        <f>IF(ActiveDatabase=Standby,Secondary!H56,Primary!H56)</f>
        <v>0</v>
      </c>
      <c r="I56" s="13">
        <f>IF(ActiveDatabase=Standby,Secondary!I56,Primary!I56)</f>
        <v>0</v>
      </c>
      <c r="J56" s="13">
        <f>IF(ActiveDatabase=Standby,Secondary!J56,Primary!J56)</f>
        <v>0</v>
      </c>
      <c r="K56" s="13">
        <f>IF(ActiveDatabase=Standby,Secondary!K56,Primary!K56)</f>
        <v>0</v>
      </c>
      <c r="L56" s="13">
        <f>IF(ActiveDatabase=Standby,Secondary!L56,Primary!L56)</f>
        <v>0</v>
      </c>
      <c r="M56" s="7">
        <f>IF(ActiveDatabase=Standby,Secondary!M56,Primary!M56)</f>
        <v>0</v>
      </c>
      <c r="N56" s="10">
        <f>IF(ActiveDatabase=Standby,Secondary!N56,Primary!N56)</f>
        <v>0</v>
      </c>
      <c r="O56" s="10">
        <f>IF(ActiveDatabase=Standby,Secondary!O56,Primary!O56)</f>
        <v>0</v>
      </c>
      <c r="P56" s="10">
        <f>IF(ActiveDatabase=Standby,Secondary!P56,Primary!P56)</f>
        <v>0</v>
      </c>
      <c r="Q56" s="6">
        <f>IF(ActiveDatabase=Standby,Secondary!Q56,Primary!Q56)</f>
        <v>0</v>
      </c>
      <c r="R56" s="18">
        <f>IF(ActiveDatabase=Standby,Secondary!R56,Primary!R56)</f>
        <v>0</v>
      </c>
      <c r="S56" s="19">
        <f>IF(ActiveDatabase=Standby,Secondary!S56,Primary!S56)</f>
        <v>0</v>
      </c>
      <c r="T56" s="10">
        <f>IF(ActiveDatabase=Standby,Secondary!T56,Primary!T56)</f>
        <v>0</v>
      </c>
      <c r="U56" s="10">
        <f>IF(ActiveDatabase=Standby,Secondary!U56,Primary!U56)</f>
        <v>0</v>
      </c>
      <c r="V56" s="10">
        <f>IF(ActiveDatabase=Standby,Secondary!V56,Primary!V56)</f>
        <v>0</v>
      </c>
      <c r="W56" s="6">
        <f>IF(ActiveDatabase=Standby,Secondary!W56,Primary!W56)</f>
        <v>0</v>
      </c>
      <c r="X56" s="6">
        <f>IF(ActiveDatabase=Standby,Secondary!X56,Primary!X56)</f>
        <v>0</v>
      </c>
      <c r="Y56" s="12">
        <f>IF(ActiveDatabase=Standby,Secondary!Y56,Primary!Y56)</f>
        <v>0</v>
      </c>
      <c r="Z56" s="12">
        <f>IF(ActiveDatabase=Standby,Secondary!Z56,Primary!Z56)</f>
        <v>0</v>
      </c>
      <c r="AA56" s="7">
        <f>IF(ActiveDatabase=Standby,Secondary!AA56,Primary!AA56)</f>
        <v>0</v>
      </c>
      <c r="AB56" s="12"/>
      <c r="AC56" s="6"/>
      <c r="AD56" s="6"/>
      <c r="AE56" s="7"/>
      <c r="AF56" s="7"/>
      <c r="AG56" s="7"/>
      <c r="AH56" s="7"/>
      <c r="AI56" s="7"/>
      <c r="AJ56" s="7"/>
      <c r="AK56" s="7"/>
      <c r="AL56" s="7"/>
      <c r="AM56" s="7"/>
      <c r="AN56" s="7"/>
      <c r="AO56" s="6"/>
      <c r="AP56" s="7"/>
      <c r="AQ56" s="7"/>
      <c r="AR56" s="6"/>
      <c r="AS56" s="7"/>
      <c r="AT56" s="7"/>
      <c r="AU56" s="7"/>
      <c r="AV56" s="7"/>
      <c r="AW56" s="7"/>
      <c r="AX56" s="7"/>
      <c r="AY56" s="7"/>
      <c r="AZ56" s="7"/>
      <c r="BA56" s="7"/>
      <c r="BB56" s="7"/>
      <c r="BC56" s="7"/>
      <c r="BD56" s="7"/>
      <c r="BE56" s="7"/>
      <c r="BF56" s="7"/>
      <c r="BG56" s="7"/>
    </row>
    <row r="57" customHeight="1" spans="1:59">
      <c r="A57" s="9" t="str">
        <f>IF(ActiveDatabase=Standby,Secondary!A57,Primary!A57)</f>
        <v>Aberdeen 04</v>
      </c>
      <c r="B57" s="5" t="str">
        <f>IF(ActiveDatabase=Standby,Secondary!B57,Primary!B57)</f>
        <v>Aberdeen 08</v>
      </c>
      <c r="C57" s="5" t="str">
        <f>IF(ActiveDatabase=Standby,Secondary!C57,Primary!C57)</f>
        <v>Aberdeen 10</v>
      </c>
      <c r="D57" s="5" t="str">
        <f>IF(ActiveDatabase=Standby,Secondary!D57,Primary!D57)</f>
        <v>Barton Flats Aid Shelter (PB)</v>
      </c>
      <c r="E57" s="6" t="str">
        <f>IF(ActiveDatabase=Standby,Secondary!E57,Primary!E57)</f>
        <v>Barton</v>
      </c>
      <c r="F57" s="10">
        <f>IF(ActiveDatabase=Standby,Secondary!F57,Primary!F57)</f>
        <v>54.340769739</v>
      </c>
      <c r="G57" s="10">
        <f>IF(ActiveDatabase=Standby,Secondary!G57,Primary!G57)</f>
        <v>217.120485204</v>
      </c>
      <c r="H57" s="10">
        <f>IF(ActiveDatabase=Standby,Secondary!H57,Primary!H57)</f>
        <v>-159.881078736</v>
      </c>
      <c r="I57" s="13">
        <f>IF(ActiveDatabase=Standby,Secondary!I57,Primary!I57)</f>
        <v>0</v>
      </c>
      <c r="J57" s="13">
        <f>IF(ActiveDatabase=Standby,Secondary!J57,Primary!J57)</f>
        <v>0</v>
      </c>
      <c r="K57" s="13">
        <f>IF(ActiveDatabase=Standby,Secondary!K57,Primary!K57)</f>
        <v>0</v>
      </c>
      <c r="L57" s="13">
        <f>IF(ActiveDatabase=Standby,Secondary!L57,Primary!L57)</f>
        <v>0</v>
      </c>
      <c r="M57" s="7" t="b">
        <f>IF(ActiveDatabase=Standby,Secondary!M57,Primary!M57)</f>
        <v>1</v>
      </c>
      <c r="N57" s="10">
        <f>IF(ActiveDatabase=Standby,Secondary!N57,Primary!N57)</f>
        <v>0</v>
      </c>
      <c r="O57" s="10">
        <f>IF(ActiveDatabase=Standby,Secondary!O57,Primary!O57)</f>
        <v>0</v>
      </c>
      <c r="P57" s="10">
        <f>IF(ActiveDatabase=Standby,Secondary!P57,Primary!P57)</f>
        <v>0</v>
      </c>
      <c r="Q57" s="6">
        <f>IF(ActiveDatabase=Standby,Secondary!Q57,Primary!Q57)</f>
        <v>0</v>
      </c>
      <c r="R57" s="18">
        <f>IF(ActiveDatabase=Standby,Secondary!R57,Primary!R57)</f>
        <v>0</v>
      </c>
      <c r="S57" s="19">
        <f>IF(ActiveDatabase=Standby,Secondary!S57,Primary!S57)</f>
        <v>0</v>
      </c>
      <c r="T57" s="10">
        <f>IF(ActiveDatabase=Standby,Secondary!T57,Primary!T57)</f>
        <v>0</v>
      </c>
      <c r="U57" s="10">
        <f>IF(ActiveDatabase=Standby,Secondary!U57,Primary!U57)</f>
        <v>0</v>
      </c>
      <c r="V57" s="10">
        <f>IF(ActiveDatabase=Standby,Secondary!V57,Primary!V57)</f>
        <v>0</v>
      </c>
      <c r="W57" s="6">
        <f>IF(ActiveDatabase=Standby,Secondary!W57,Primary!W57)</f>
        <v>0</v>
      </c>
      <c r="X57" s="6">
        <f>IF(ActiveDatabase=Standby,Secondary!X57,Primary!X57)</f>
        <v>0</v>
      </c>
      <c r="Y57" s="12">
        <f>IF(ActiveDatabase=Standby,Secondary!Y57,Primary!Y57)</f>
        <v>0</v>
      </c>
      <c r="Z57" s="12">
        <f>IF(ActiveDatabase=Standby,Secondary!Z57,Primary!Z57)</f>
        <v>0</v>
      </c>
      <c r="AA57" s="7">
        <f>IF(ActiveDatabase=Standby,Secondary!AA57,Primary!AA57)</f>
        <v>0</v>
      </c>
      <c r="AB57" s="12"/>
      <c r="AC57" s="6"/>
      <c r="AD57" s="6"/>
      <c r="AE57" s="7"/>
      <c r="AF57" s="7"/>
      <c r="AG57" s="7"/>
      <c r="AH57" s="7"/>
      <c r="AI57" s="7"/>
      <c r="AJ57" s="7"/>
      <c r="AK57" s="7"/>
      <c r="AL57" s="7"/>
      <c r="AM57" s="7"/>
      <c r="AN57" s="7"/>
      <c r="AO57" s="6"/>
      <c r="AP57" s="7"/>
      <c r="AQ57" s="7"/>
      <c r="AR57" s="6"/>
      <c r="AS57" s="7"/>
      <c r="AT57" s="7"/>
      <c r="AU57" s="7"/>
      <c r="AV57" s="7"/>
      <c r="AW57" s="7"/>
      <c r="AX57" s="7"/>
      <c r="AY57" s="7"/>
      <c r="AZ57" s="7"/>
      <c r="BA57" s="7"/>
      <c r="BB57" s="7"/>
      <c r="BC57" s="7"/>
      <c r="BD57" s="7"/>
      <c r="BE57" s="7"/>
      <c r="BF57" s="7"/>
      <c r="BG57" s="7"/>
    </row>
    <row r="58" customHeight="1" spans="1:59">
      <c r="A58" s="9" t="str">
        <f>IF(ActiveDatabase=Standby,Secondary!A58,Primary!A58)</f>
        <v>Aberdeen</v>
      </c>
      <c r="B58" s="5" t="str">
        <f>IF(ActiveDatabase=Standby,Secondary!B58,Primary!B58)</f>
        <v>Aberdeen 10</v>
      </c>
      <c r="C58" s="5">
        <f>IF(ActiveDatabase=Standby,Secondary!C58,Primary!C58)</f>
        <v>0</v>
      </c>
      <c r="D58" s="5" t="str">
        <f>IF(ActiveDatabase=Standby,Secondary!D58,Primary!D58)</f>
        <v>Caves</v>
      </c>
      <c r="E58" s="6">
        <f>IF(ActiveDatabase=Standby,Secondary!E58,Primary!E58)</f>
        <v>0</v>
      </c>
      <c r="F58" s="10">
        <f>IF(ActiveDatabase=Standby,Secondary!F58,Primary!F58)</f>
        <v>0</v>
      </c>
      <c r="G58" s="10">
        <f>IF(ActiveDatabase=Standby,Secondary!G58,Primary!G58)</f>
        <v>0</v>
      </c>
      <c r="H58" s="10">
        <f>IF(ActiveDatabase=Standby,Secondary!H58,Primary!H58)</f>
        <v>0</v>
      </c>
      <c r="I58" s="13">
        <f>IF(ActiveDatabase=Standby,Secondary!I58,Primary!I58)</f>
        <v>0</v>
      </c>
      <c r="J58" s="13">
        <f>IF(ActiveDatabase=Standby,Secondary!J58,Primary!J58)</f>
        <v>0</v>
      </c>
      <c r="K58" s="13">
        <f>IF(ActiveDatabase=Standby,Secondary!K58,Primary!K58)</f>
        <v>0</v>
      </c>
      <c r="L58" s="13">
        <f>IF(ActiveDatabase=Standby,Secondary!L58,Primary!L58)</f>
        <v>0</v>
      </c>
      <c r="M58" s="7">
        <f>IF(ActiveDatabase=Standby,Secondary!M58,Primary!M58)</f>
        <v>0</v>
      </c>
      <c r="N58" s="10">
        <f>IF(ActiveDatabase=Standby,Secondary!N58,Primary!N58)</f>
        <v>0</v>
      </c>
      <c r="O58" s="10">
        <f>IF(ActiveDatabase=Standby,Secondary!O58,Primary!O58)</f>
        <v>0</v>
      </c>
      <c r="P58" s="10">
        <f>IF(ActiveDatabase=Standby,Secondary!P58,Primary!P58)</f>
        <v>0</v>
      </c>
      <c r="Q58" s="6">
        <f>IF(ActiveDatabase=Standby,Secondary!Q58,Primary!Q58)</f>
        <v>0</v>
      </c>
      <c r="R58" s="18">
        <f>IF(ActiveDatabase=Standby,Secondary!R58,Primary!R58)</f>
        <v>0</v>
      </c>
      <c r="S58" s="19">
        <f>IF(ActiveDatabase=Standby,Secondary!S58,Primary!S58)</f>
        <v>0</v>
      </c>
      <c r="T58" s="10">
        <f>IF(ActiveDatabase=Standby,Secondary!T58,Primary!T58)</f>
        <v>0</v>
      </c>
      <c r="U58" s="10">
        <f>IF(ActiveDatabase=Standby,Secondary!U58,Primary!U58)</f>
        <v>0</v>
      </c>
      <c r="V58" s="10">
        <f>IF(ActiveDatabase=Standby,Secondary!V58,Primary!V58)</f>
        <v>0</v>
      </c>
      <c r="W58" s="6">
        <f>IF(ActiveDatabase=Standby,Secondary!W58,Primary!W58)</f>
        <v>0</v>
      </c>
      <c r="X58" s="6">
        <f>IF(ActiveDatabase=Standby,Secondary!X58,Primary!X58)</f>
        <v>0</v>
      </c>
      <c r="Y58" s="12">
        <f>IF(ActiveDatabase=Standby,Secondary!Y58,Primary!Y58)</f>
        <v>0</v>
      </c>
      <c r="Z58" s="12">
        <f>IF(ActiveDatabase=Standby,Secondary!Z58,Primary!Z58)</f>
        <v>0</v>
      </c>
      <c r="AA58" s="9">
        <f>IF(ActiveDatabase=Standby,Secondary!AA58,Primary!AA58)</f>
        <v>0</v>
      </c>
      <c r="AB58" s="12"/>
      <c r="AC58" s="6"/>
      <c r="AD58" s="6"/>
      <c r="AE58" s="7"/>
      <c r="AF58" s="7"/>
      <c r="AG58" s="7"/>
      <c r="AH58" s="7"/>
      <c r="AI58" s="7"/>
      <c r="AJ58" s="7"/>
      <c r="AK58" s="7"/>
      <c r="AL58" s="7"/>
      <c r="AM58" s="7"/>
      <c r="AN58" s="7"/>
      <c r="AO58" s="6"/>
      <c r="AP58" s="7"/>
      <c r="AQ58" s="7"/>
      <c r="AR58" s="6"/>
      <c r="AS58" s="7"/>
      <c r="AT58" s="7"/>
      <c r="AU58" s="7"/>
      <c r="AV58" s="7"/>
      <c r="AW58" s="7"/>
      <c r="AX58" s="7"/>
      <c r="AY58" s="7"/>
      <c r="AZ58" s="7"/>
      <c r="BA58" s="7"/>
      <c r="BB58" s="7"/>
      <c r="BC58" s="7"/>
      <c r="BD58" s="7"/>
      <c r="BE58" s="7"/>
      <c r="BF58" s="7"/>
      <c r="BG58" s="7"/>
    </row>
    <row r="59" customHeight="1" spans="1:59">
      <c r="A59" s="9" t="str">
        <f>IF(ActiveDatabase=Standby,Secondary!A59,Primary!A59)</f>
        <v>Aberdeen 05</v>
      </c>
      <c r="B59" s="5" t="str">
        <f>IF(ActiveDatabase=Standby,Secondary!B59,Primary!B59)</f>
        <v>Aberdeen 11</v>
      </c>
      <c r="C59" s="5" t="str">
        <f>IF(ActiveDatabase=Standby,Secondary!C59,Primary!C59)</f>
        <v>Aberdeen 14</v>
      </c>
      <c r="D59" s="5" t="str">
        <f>IF(ActiveDatabase=Standby,Secondary!D59,Primary!D59)</f>
        <v>HDES Dobbs (NA)</v>
      </c>
      <c r="E59" s="6" t="str">
        <f>IF(ActiveDatabase=Standby,Secondary!E59,Primary!E59)</f>
        <v>Dobbs</v>
      </c>
      <c r="F59" s="10">
        <f>IF(ActiveDatabase=Standby,Secondary!F59,Primary!F59)</f>
        <v>270.579075483</v>
      </c>
      <c r="G59" s="10">
        <f>IF(ActiveDatabase=Standby,Secondary!G59,Primary!G59)</f>
        <v>47.399275712</v>
      </c>
      <c r="H59" s="10">
        <f>IF(ActiveDatabase=Standby,Secondary!H59,Primary!H59)</f>
        <v>-11.403672422</v>
      </c>
      <c r="I59" s="13">
        <f>IF(ActiveDatabase=Standby,Secondary!I59,Primary!I59)</f>
        <v>0</v>
      </c>
      <c r="J59" s="13">
        <f>IF(ActiveDatabase=Standby,Secondary!J59,Primary!J59)</f>
        <v>0</v>
      </c>
      <c r="K59" s="13">
        <f>IF(ActiveDatabase=Standby,Secondary!K59,Primary!K59)</f>
        <v>0</v>
      </c>
      <c r="L59" s="13">
        <f>IF(ActiveDatabase=Standby,Secondary!L59,Primary!L59)</f>
        <v>0</v>
      </c>
      <c r="M59" s="7" t="b">
        <f>IF(ActiveDatabase=Standby,Secondary!M59,Primary!M59)</f>
        <v>1</v>
      </c>
      <c r="N59" s="10">
        <f>IF(ActiveDatabase=Standby,Secondary!N59,Primary!N59)</f>
        <v>0</v>
      </c>
      <c r="O59" s="10">
        <f>IF(ActiveDatabase=Standby,Secondary!O59,Primary!O59)</f>
        <v>0</v>
      </c>
      <c r="P59" s="10">
        <f>IF(ActiveDatabase=Standby,Secondary!P59,Primary!P59)</f>
        <v>0</v>
      </c>
      <c r="Q59" s="6">
        <f>IF(ActiveDatabase=Standby,Secondary!Q59,Primary!Q59)</f>
        <v>0</v>
      </c>
      <c r="R59" s="18">
        <f>IF(ActiveDatabase=Standby,Secondary!R59,Primary!R59)</f>
        <v>0</v>
      </c>
      <c r="S59" s="19">
        <f>IF(ActiveDatabase=Standby,Secondary!S59,Primary!S59)</f>
        <v>0</v>
      </c>
      <c r="T59" s="10">
        <f>IF(ActiveDatabase=Standby,Secondary!T59,Primary!T59)</f>
        <v>0</v>
      </c>
      <c r="U59" s="10">
        <f>IF(ActiveDatabase=Standby,Secondary!U59,Primary!U59)</f>
        <v>0</v>
      </c>
      <c r="V59" s="10">
        <f>IF(ActiveDatabase=Standby,Secondary!V59,Primary!V59)</f>
        <v>0</v>
      </c>
      <c r="W59" s="6">
        <f>IF(ActiveDatabase=Standby,Secondary!W59,Primary!W59)</f>
        <v>0</v>
      </c>
      <c r="X59" s="6">
        <f>IF(ActiveDatabase=Standby,Secondary!X59,Primary!X59)</f>
        <v>0</v>
      </c>
      <c r="Y59" s="12">
        <f>IF(ActiveDatabase=Standby,Secondary!Y59,Primary!Y59)</f>
        <v>0</v>
      </c>
      <c r="Z59" s="12">
        <f>IF(ActiveDatabase=Standby,Secondary!Z59,Primary!Z59)</f>
        <v>0</v>
      </c>
      <c r="AA59" s="9">
        <f>IF(ActiveDatabase=Standby,Secondary!AA59,Primary!AA59)</f>
        <v>0</v>
      </c>
      <c r="AB59" s="12"/>
      <c r="AC59" s="6"/>
      <c r="AD59" s="6"/>
      <c r="AE59" s="7"/>
      <c r="AF59" s="7"/>
      <c r="AG59" s="7"/>
      <c r="AH59" s="7"/>
      <c r="AI59" s="7"/>
      <c r="AJ59" s="7"/>
      <c r="AK59" s="7"/>
      <c r="AL59" s="7"/>
      <c r="AM59" s="7"/>
      <c r="AN59" s="7"/>
      <c r="AO59" s="6"/>
      <c r="AP59" s="7"/>
      <c r="AQ59" s="7"/>
      <c r="AR59" s="6"/>
      <c r="AS59" s="7"/>
      <c r="AT59" s="7"/>
      <c r="AU59" s="7"/>
      <c r="AV59" s="7"/>
      <c r="AW59" s="7"/>
      <c r="AX59" s="7"/>
      <c r="AY59" s="7"/>
      <c r="AZ59" s="7"/>
      <c r="BA59" s="7"/>
      <c r="BB59" s="7"/>
      <c r="BC59" s="7"/>
      <c r="BD59" s="7"/>
      <c r="BE59" s="7"/>
      <c r="BF59" s="7"/>
      <c r="BG59" s="7"/>
    </row>
    <row r="60" customHeight="1" spans="1:59">
      <c r="A60" s="9" t="str">
        <f>IF(ActiveDatabase=Standby,Secondary!A60,Primary!A60)</f>
        <v>Aberdeen 07</v>
      </c>
      <c r="B60" s="5" t="str">
        <f>IF(ActiveDatabase=Standby,Secondary!B60,Primary!B60)</f>
        <v>Aberdeen 12</v>
      </c>
      <c r="C60" s="5" t="str">
        <f>IF(ActiveDatabase=Standby,Secondary!C60,Primary!C60)</f>
        <v>Aberdeen 18</v>
      </c>
      <c r="D60" s="5" t="str">
        <f>IF(ActiveDatabase=Standby,Secondary!D60,Primary!D60)</f>
        <v>Rock Cave 20V</v>
      </c>
      <c r="E60" s="6" t="str">
        <f>IF(ActiveDatabase=Standby,Secondary!E60,Primary!E60)</f>
        <v>RCave 20V</v>
      </c>
      <c r="F60" s="10">
        <f>IF(ActiveDatabase=Standby,Secondary!F60,Primary!F60)</f>
        <v>56.811249685</v>
      </c>
      <c r="G60" s="10">
        <f>IF(ActiveDatabase=Standby,Secondary!G60,Primary!G60)</f>
        <v>-124.614960246</v>
      </c>
      <c r="H60" s="10">
        <f>IF(ActiveDatabase=Standby,Secondary!H60,Primary!H60)</f>
        <v>238.531967426999</v>
      </c>
      <c r="I60" s="13">
        <f>IF(ActiveDatabase=Standby,Secondary!I60,Primary!I60)</f>
        <v>0</v>
      </c>
      <c r="J60" s="13">
        <f>IF(ActiveDatabase=Standby,Secondary!J60,Primary!J60)</f>
        <v>0</v>
      </c>
      <c r="K60" s="13">
        <f>IF(ActiveDatabase=Standby,Secondary!K60,Primary!K60)</f>
        <v>0</v>
      </c>
      <c r="L60" s="13">
        <f>IF(ActiveDatabase=Standby,Secondary!L60,Primary!L60)</f>
        <v>0</v>
      </c>
      <c r="M60" s="7" t="b">
        <f>IF(ActiveDatabase=Standby,Secondary!M60,Primary!M60)</f>
        <v>0</v>
      </c>
      <c r="N60" s="10">
        <f>IF(ActiveDatabase=Standby,Secondary!N60,Primary!N60)</f>
        <v>0</v>
      </c>
      <c r="O60" s="10">
        <f>IF(ActiveDatabase=Standby,Secondary!O60,Primary!O60)</f>
        <v>0</v>
      </c>
      <c r="P60" s="10">
        <f>IF(ActiveDatabase=Standby,Secondary!P60,Primary!P60)</f>
        <v>0</v>
      </c>
      <c r="Q60" s="6">
        <f>IF(ActiveDatabase=Standby,Secondary!Q60,Primary!Q60)</f>
        <v>0</v>
      </c>
      <c r="R60" s="18">
        <f>IF(ActiveDatabase=Standby,Secondary!R60,Primary!R60)</f>
        <v>0</v>
      </c>
      <c r="S60" s="19">
        <f>IF(ActiveDatabase=Standby,Secondary!S60,Primary!S60)</f>
        <v>0</v>
      </c>
      <c r="T60" s="10">
        <f>IF(ActiveDatabase=Standby,Secondary!T60,Primary!T60)</f>
        <v>0</v>
      </c>
      <c r="U60" s="10">
        <f>IF(ActiveDatabase=Standby,Secondary!U60,Primary!U60)</f>
        <v>0</v>
      </c>
      <c r="V60" s="10">
        <f>IF(ActiveDatabase=Standby,Secondary!V60,Primary!V60)</f>
        <v>0</v>
      </c>
      <c r="W60" s="6">
        <f>IF(ActiveDatabase=Standby,Secondary!W60,Primary!W60)</f>
        <v>0</v>
      </c>
      <c r="X60" s="6">
        <f>IF(ActiveDatabase=Standby,Secondary!X60,Primary!X60)</f>
        <v>0</v>
      </c>
      <c r="Y60" s="12">
        <f>IF(ActiveDatabase=Standby,Secondary!Y60,Primary!Y60)</f>
        <v>0</v>
      </c>
      <c r="Z60" s="12">
        <f>IF(ActiveDatabase=Standby,Secondary!Z60,Primary!Z60)</f>
        <v>0</v>
      </c>
      <c r="AA60" s="9">
        <f>IF(ActiveDatabase=Standby,Secondary!AA60,Primary!AA60)</f>
        <v>0</v>
      </c>
      <c r="AB60" s="12"/>
      <c r="AC60" s="6"/>
      <c r="AD60" s="6"/>
      <c r="AE60" s="7"/>
      <c r="AF60" s="7"/>
      <c r="AG60" s="7"/>
      <c r="AH60" s="7"/>
      <c r="AI60" s="7"/>
      <c r="AJ60" s="7"/>
      <c r="AK60" s="7"/>
      <c r="AL60" s="7"/>
      <c r="AM60" s="7"/>
      <c r="AN60" s="7"/>
      <c r="AO60" s="6"/>
      <c r="AP60" s="7"/>
      <c r="AQ60" s="7"/>
      <c r="AR60" s="6"/>
      <c r="AS60" s="7"/>
      <c r="AT60" s="7"/>
      <c r="AU60" s="7"/>
      <c r="AV60" s="7"/>
      <c r="AW60" s="7"/>
      <c r="AX60" s="7"/>
      <c r="AY60" s="7"/>
      <c r="AZ60" s="7"/>
      <c r="BA60" s="7"/>
      <c r="BB60" s="7"/>
      <c r="BC60" s="7"/>
      <c r="BD60" s="7"/>
      <c r="BE60" s="7"/>
      <c r="BF60" s="7"/>
      <c r="BG60" s="7"/>
    </row>
    <row r="61" customHeight="1" spans="1:59">
      <c r="A61" s="9" t="str">
        <f>IF(ActiveDatabase=Standby,Secondary!A61,Primary!A61)</f>
        <v>Aberdeen 10</v>
      </c>
      <c r="B61" s="5" t="str">
        <f>IF(ActiveDatabase=Standby,Secondary!B61,Primary!B61)</f>
        <v>Aberdeen 15</v>
      </c>
      <c r="C61" s="5" t="str">
        <f>IF(ActiveDatabase=Standby,Secondary!C61,Primary!C61)</f>
        <v>Aberdeen 13</v>
      </c>
      <c r="D61" s="5" t="str">
        <f>IF(ActiveDatabase=Standby,Secondary!D61,Primary!D61)</f>
        <v>Rock Cave 33X</v>
      </c>
      <c r="E61" s="6" t="str">
        <f>IF(ActiveDatabase=Standby,Secondary!E61,Primary!E61)</f>
        <v>RCave 33X</v>
      </c>
      <c r="F61" s="10">
        <f>IF(ActiveDatabase=Standby,Secondary!F61,Primary!F61)</f>
        <v>77.253226039</v>
      </c>
      <c r="G61" s="10">
        <f>IF(ActiveDatabase=Standby,Secondary!G61,Primary!G61)</f>
        <v>19.426333853</v>
      </c>
      <c r="H61" s="10">
        <f>IF(ActiveDatabase=Standby,Secondary!H61,Primary!H61)</f>
        <v>263.113060717999</v>
      </c>
      <c r="I61" s="13">
        <f>IF(ActiveDatabase=Standby,Secondary!I61,Primary!I61)</f>
        <v>0</v>
      </c>
      <c r="J61" s="13">
        <f>IF(ActiveDatabase=Standby,Secondary!J61,Primary!J61)</f>
        <v>0</v>
      </c>
      <c r="K61" s="13">
        <f>IF(ActiveDatabase=Standby,Secondary!K61,Primary!K61)</f>
        <v>0</v>
      </c>
      <c r="L61" s="13">
        <f>IF(ActiveDatabase=Standby,Secondary!L61,Primary!L61)</f>
        <v>0</v>
      </c>
      <c r="M61" s="7" t="b">
        <f>IF(ActiveDatabase=Standby,Secondary!M61,Primary!M61)</f>
        <v>0</v>
      </c>
      <c r="N61" s="10">
        <f>IF(ActiveDatabase=Standby,Secondary!N61,Primary!N61)</f>
        <v>0</v>
      </c>
      <c r="O61" s="10">
        <f>IF(ActiveDatabase=Standby,Secondary!O61,Primary!O61)</f>
        <v>0</v>
      </c>
      <c r="P61" s="10">
        <f>IF(ActiveDatabase=Standby,Secondary!P61,Primary!P61)</f>
        <v>0</v>
      </c>
      <c r="Q61" s="6">
        <f>IF(ActiveDatabase=Standby,Secondary!Q61,Primary!Q61)</f>
        <v>0</v>
      </c>
      <c r="R61" s="18">
        <f>IF(ActiveDatabase=Standby,Secondary!R61,Primary!R61)</f>
        <v>0</v>
      </c>
      <c r="S61" s="19">
        <f>IF(ActiveDatabase=Standby,Secondary!S61,Primary!S61)</f>
        <v>0</v>
      </c>
      <c r="T61" s="10">
        <f>IF(ActiveDatabase=Standby,Secondary!T61,Primary!T61)</f>
        <v>0</v>
      </c>
      <c r="U61" s="10">
        <f>IF(ActiveDatabase=Standby,Secondary!U61,Primary!U61)</f>
        <v>0</v>
      </c>
      <c r="V61" s="10">
        <f>IF(ActiveDatabase=Standby,Secondary!V61,Primary!V61)</f>
        <v>0</v>
      </c>
      <c r="W61" s="6">
        <f>IF(ActiveDatabase=Standby,Secondary!W61,Primary!W61)</f>
        <v>0</v>
      </c>
      <c r="X61" s="6">
        <f>IF(ActiveDatabase=Standby,Secondary!X61,Primary!X61)</f>
        <v>0</v>
      </c>
      <c r="Y61" s="12">
        <f>IF(ActiveDatabase=Standby,Secondary!Y61,Primary!Y61)</f>
        <v>0</v>
      </c>
      <c r="Z61" s="12">
        <f>IF(ActiveDatabase=Standby,Secondary!Z61,Primary!Z61)</f>
        <v>0</v>
      </c>
      <c r="AA61" s="9">
        <f>IF(ActiveDatabase=Standby,Secondary!AA61,Primary!AA61)</f>
        <v>0</v>
      </c>
      <c r="AB61" s="12"/>
      <c r="AC61" s="6"/>
      <c r="AD61" s="6"/>
      <c r="AE61" s="7"/>
      <c r="AF61" s="7"/>
      <c r="AG61" s="7"/>
      <c r="AH61" s="7"/>
      <c r="AI61" s="7"/>
      <c r="AJ61" s="7"/>
      <c r="AK61" s="7"/>
      <c r="AL61" s="7"/>
      <c r="AM61" s="7"/>
      <c r="AN61" s="7"/>
      <c r="AO61" s="6"/>
      <c r="AP61" s="7"/>
      <c r="AQ61" s="7"/>
      <c r="AR61" s="6"/>
      <c r="AS61" s="7"/>
      <c r="AT61" s="7"/>
      <c r="AU61" s="7"/>
      <c r="AV61" s="7"/>
      <c r="AW61" s="7"/>
      <c r="AX61" s="7"/>
      <c r="AY61" s="7"/>
      <c r="AZ61" s="7"/>
      <c r="BA61" s="7"/>
      <c r="BB61" s="7"/>
      <c r="BC61" s="7"/>
      <c r="BD61" s="7"/>
      <c r="BE61" s="7"/>
      <c r="BF61" s="7"/>
      <c r="BG61" s="7"/>
    </row>
    <row r="62" customHeight="1" spans="1:59">
      <c r="A62" s="9" t="str">
        <f>IF(ActiveDatabase=Standby,Secondary!A62,Primary!A62)</f>
        <v>Aberdeen 11</v>
      </c>
      <c r="B62" s="5" t="str">
        <f>IF(ActiveDatabase=Standby,Secondary!B62,Primary!B62)</f>
        <v>Aberdeen 16</v>
      </c>
      <c r="C62" s="5" t="str">
        <f>IF(ActiveDatabase=Standby,Secondary!C62,Primary!C62)</f>
        <v>Aberdeen 02</v>
      </c>
      <c r="D62" s="5" t="str">
        <f>IF(ActiveDatabase=Standby,Secondary!D62,Primary!D62)</f>
        <v>Rock Cave 52L</v>
      </c>
      <c r="E62" s="6" t="str">
        <f>IF(ActiveDatabase=Standby,Secondary!E62,Primary!E62)</f>
        <v>RCave 52L</v>
      </c>
      <c r="F62" s="10">
        <f>IF(ActiveDatabase=Standby,Secondary!F62,Primary!F62)</f>
        <v>-177.481967337999</v>
      </c>
      <c r="G62" s="10">
        <f>IF(ActiveDatabase=Standby,Secondary!G62,Primary!G62)</f>
        <v>203.52396713</v>
      </c>
      <c r="H62" s="10">
        <f>IF(ActiveDatabase=Standby,Secondary!H62,Primary!H62)</f>
        <v>-53.400698794</v>
      </c>
      <c r="I62" s="13">
        <f>IF(ActiveDatabase=Standby,Secondary!I62,Primary!I62)</f>
        <v>0</v>
      </c>
      <c r="J62" s="13">
        <f>IF(ActiveDatabase=Standby,Secondary!J62,Primary!J62)</f>
        <v>0</v>
      </c>
      <c r="K62" s="13">
        <f>IF(ActiveDatabase=Standby,Secondary!K62,Primary!K62)</f>
        <v>0</v>
      </c>
      <c r="L62" s="13">
        <f>IF(ActiveDatabase=Standby,Secondary!L62,Primary!L62)</f>
        <v>0</v>
      </c>
      <c r="M62" s="7" t="b">
        <f>IF(ActiveDatabase=Standby,Secondary!M62,Primary!M62)</f>
        <v>0</v>
      </c>
      <c r="N62" s="10">
        <f>IF(ActiveDatabase=Standby,Secondary!N62,Primary!N62)</f>
        <v>0</v>
      </c>
      <c r="O62" s="10">
        <f>IF(ActiveDatabase=Standby,Secondary!O62,Primary!O62)</f>
        <v>0</v>
      </c>
      <c r="P62" s="10">
        <f>IF(ActiveDatabase=Standby,Secondary!P62,Primary!P62)</f>
        <v>0</v>
      </c>
      <c r="Q62" s="6">
        <f>IF(ActiveDatabase=Standby,Secondary!Q62,Primary!Q62)</f>
        <v>0</v>
      </c>
      <c r="R62" s="18">
        <f>IF(ActiveDatabase=Standby,Secondary!R62,Primary!R62)</f>
        <v>0</v>
      </c>
      <c r="S62" s="19">
        <f>IF(ActiveDatabase=Standby,Secondary!S62,Primary!S62)</f>
        <v>0</v>
      </c>
      <c r="T62" s="10">
        <f>IF(ActiveDatabase=Standby,Secondary!T62,Primary!T62)</f>
        <v>0</v>
      </c>
      <c r="U62" s="10">
        <f>IF(ActiveDatabase=Standby,Secondary!U62,Primary!U62)</f>
        <v>0</v>
      </c>
      <c r="V62" s="10">
        <f>IF(ActiveDatabase=Standby,Secondary!V62,Primary!V62)</f>
        <v>0</v>
      </c>
      <c r="W62" s="6">
        <f>IF(ActiveDatabase=Standby,Secondary!W62,Primary!W62)</f>
        <v>0</v>
      </c>
      <c r="X62" s="6">
        <f>IF(ActiveDatabase=Standby,Secondary!X62,Primary!X62)</f>
        <v>0</v>
      </c>
      <c r="Y62" s="12">
        <f>IF(ActiveDatabase=Standby,Secondary!Y62,Primary!Y62)</f>
        <v>0</v>
      </c>
      <c r="Z62" s="12">
        <f>IF(ActiveDatabase=Standby,Secondary!Z62,Primary!Z62)</f>
        <v>0</v>
      </c>
      <c r="AA62" s="9">
        <f>IF(ActiveDatabase=Standby,Secondary!AA62,Primary!AA62)</f>
        <v>0</v>
      </c>
      <c r="AB62" s="12"/>
      <c r="AC62" s="6"/>
      <c r="AD62" s="6"/>
      <c r="AE62" s="7"/>
      <c r="AF62" s="7"/>
      <c r="AG62" s="7"/>
      <c r="AH62" s="7"/>
      <c r="AI62" s="7"/>
      <c r="AJ62" s="7"/>
      <c r="AK62" s="7"/>
      <c r="AL62" s="7"/>
      <c r="AM62" s="7"/>
      <c r="AN62" s="7"/>
      <c r="AO62" s="6"/>
      <c r="AP62" s="7"/>
      <c r="AQ62" s="7"/>
      <c r="AR62" s="6"/>
      <c r="AS62" s="7"/>
      <c r="AT62" s="7"/>
      <c r="AU62" s="7"/>
      <c r="AV62" s="7"/>
      <c r="AW62" s="7"/>
      <c r="AX62" s="7"/>
      <c r="AY62" s="7"/>
      <c r="AZ62" s="7"/>
      <c r="BA62" s="7"/>
      <c r="BB62" s="7"/>
      <c r="BC62" s="7"/>
      <c r="BD62" s="7"/>
      <c r="BE62" s="7"/>
      <c r="BF62" s="7"/>
      <c r="BG62" s="7"/>
    </row>
    <row r="63" customHeight="1" spans="1:59">
      <c r="A63" s="9" t="str">
        <f>IF(ActiveDatabase=Standby,Secondary!A63,Primary!A63)</f>
        <v>Aberdeen 09</v>
      </c>
      <c r="B63" s="5" t="str">
        <f>IF(ActiveDatabase=Standby,Secondary!B63,Primary!B63)</f>
        <v>Aberdeen 14</v>
      </c>
      <c r="C63" s="5" t="str">
        <f>IF(ActiveDatabase=Standby,Secondary!C63,Primary!C63)</f>
        <v>Aberdeen 16</v>
      </c>
      <c r="D63" s="5" t="str">
        <f>IF(ActiveDatabase=Standby,Secondary!D63,Primary!D63)</f>
        <v>Rock Cave 26K</v>
      </c>
      <c r="E63" s="6" t="str">
        <f>IF(ActiveDatabase=Standby,Secondary!E63,Primary!E63)</f>
        <v>RCave 26K</v>
      </c>
      <c r="F63" s="10">
        <f>IF(ActiveDatabase=Standby,Secondary!F63,Primary!F63)</f>
        <v>230.505937647999</v>
      </c>
      <c r="G63" s="10">
        <f>IF(ActiveDatabase=Standby,Secondary!G63,Primary!G63)</f>
        <v>-109.037625069999</v>
      </c>
      <c r="H63" s="10">
        <f>IF(ActiveDatabase=Standby,Secondary!H63,Primary!H63)</f>
        <v>-103.945554754</v>
      </c>
      <c r="I63" s="13">
        <f>IF(ActiveDatabase=Standby,Secondary!I63,Primary!I63)</f>
        <v>0</v>
      </c>
      <c r="J63" s="13">
        <f>IF(ActiveDatabase=Standby,Secondary!J63,Primary!J63)</f>
        <v>0</v>
      </c>
      <c r="K63" s="13">
        <f>IF(ActiveDatabase=Standby,Secondary!K63,Primary!K63)</f>
        <v>0</v>
      </c>
      <c r="L63" s="13">
        <f>IF(ActiveDatabase=Standby,Secondary!L63,Primary!L63)</f>
        <v>0</v>
      </c>
      <c r="M63" s="7" t="b">
        <f>IF(ActiveDatabase=Standby,Secondary!M63,Primary!M63)</f>
        <v>0</v>
      </c>
      <c r="N63" s="10">
        <f>IF(ActiveDatabase=Standby,Secondary!N63,Primary!N63)</f>
        <v>0</v>
      </c>
      <c r="O63" s="10">
        <f>IF(ActiveDatabase=Standby,Secondary!O63,Primary!O63)</f>
        <v>0</v>
      </c>
      <c r="P63" s="10">
        <f>IF(ActiveDatabase=Standby,Secondary!P63,Primary!P63)</f>
        <v>0</v>
      </c>
      <c r="Q63" s="6">
        <f>IF(ActiveDatabase=Standby,Secondary!Q63,Primary!Q63)</f>
        <v>0</v>
      </c>
      <c r="R63" s="18">
        <f>IF(ActiveDatabase=Standby,Secondary!R63,Primary!R63)</f>
        <v>0</v>
      </c>
      <c r="S63" s="19">
        <f>IF(ActiveDatabase=Standby,Secondary!S63,Primary!S63)</f>
        <v>0</v>
      </c>
      <c r="T63" s="10">
        <f>IF(ActiveDatabase=Standby,Secondary!T63,Primary!T63)</f>
        <v>0</v>
      </c>
      <c r="U63" s="10">
        <f>IF(ActiveDatabase=Standby,Secondary!U63,Primary!U63)</f>
        <v>0</v>
      </c>
      <c r="V63" s="10">
        <f>IF(ActiveDatabase=Standby,Secondary!V63,Primary!V63)</f>
        <v>0</v>
      </c>
      <c r="W63" s="6">
        <f>IF(ActiveDatabase=Standby,Secondary!W63,Primary!W63)</f>
        <v>0</v>
      </c>
      <c r="X63" s="6">
        <f>IF(ActiveDatabase=Standby,Secondary!X63,Primary!X63)</f>
        <v>0</v>
      </c>
      <c r="Y63" s="12">
        <f>IF(ActiveDatabase=Standby,Secondary!Y63,Primary!Y63)</f>
        <v>0</v>
      </c>
      <c r="Z63" s="12">
        <f>IF(ActiveDatabase=Standby,Secondary!Z63,Primary!Z63)</f>
        <v>0</v>
      </c>
      <c r="AA63" s="9">
        <f>IF(ActiveDatabase=Standby,Secondary!AA63,Primary!AA63)</f>
        <v>0</v>
      </c>
      <c r="AB63" s="12"/>
      <c r="AC63" s="6"/>
      <c r="AD63" s="6"/>
      <c r="AE63" s="7"/>
      <c r="AF63" s="7"/>
      <c r="AG63" s="7"/>
      <c r="AH63" s="7"/>
      <c r="AI63" s="7"/>
      <c r="AJ63" s="7"/>
      <c r="AK63" s="7"/>
      <c r="AL63" s="7"/>
      <c r="AM63" s="7"/>
      <c r="AN63" s="7"/>
      <c r="AO63" s="6"/>
      <c r="AP63" s="7"/>
      <c r="AQ63" s="7"/>
      <c r="AR63" s="6"/>
      <c r="AS63" s="7"/>
      <c r="AT63" s="7"/>
      <c r="AU63" s="7"/>
      <c r="AV63" s="7"/>
      <c r="AW63" s="7"/>
      <c r="AX63" s="7"/>
      <c r="AY63" s="7"/>
      <c r="AZ63" s="7"/>
      <c r="BA63" s="7"/>
      <c r="BB63" s="7"/>
      <c r="BC63" s="7"/>
      <c r="BD63" s="7"/>
      <c r="BE63" s="7"/>
      <c r="BF63" s="7"/>
      <c r="BG63" s="7"/>
    </row>
    <row r="64" customHeight="1" spans="1:59">
      <c r="A64" s="9" t="str">
        <f>IF(ActiveDatabase=Standby,Secondary!A64,Primary!A64)</f>
        <v>Aberdeen 08</v>
      </c>
      <c r="B64" s="5" t="str">
        <f>IF(ActiveDatabase=Standby,Secondary!B64,Primary!B64)</f>
        <v>Aberdeen 13</v>
      </c>
      <c r="C64" s="5" t="str">
        <f>IF(ActiveDatabase=Standby,Secondary!C64,Primary!C64)</f>
        <v>Aberdeen 17</v>
      </c>
      <c r="D64" s="5" t="str">
        <f>IF(ActiveDatabase=Standby,Secondary!D64,Primary!D64)</f>
        <v>Rock Cave 24H</v>
      </c>
      <c r="E64" s="6" t="str">
        <f>IF(ActiveDatabase=Standby,Secondary!E64,Primary!E64)</f>
        <v>RCave 24H</v>
      </c>
      <c r="F64" s="10">
        <f>IF(ActiveDatabase=Standby,Secondary!F64,Primary!F64)</f>
        <v>175.925709069</v>
      </c>
      <c r="G64" s="10">
        <f>IF(ActiveDatabase=Standby,Secondary!G64,Primary!G64)</f>
        <v>-151.288136015</v>
      </c>
      <c r="H64" s="10">
        <f>IF(ActiveDatabase=Standby,Secondary!H64,Primary!H64)</f>
        <v>-146.452409775999</v>
      </c>
      <c r="I64" s="13">
        <f>IF(ActiveDatabase=Standby,Secondary!I64,Primary!I64)</f>
        <v>0</v>
      </c>
      <c r="J64" s="13">
        <f>IF(ActiveDatabase=Standby,Secondary!J64,Primary!J64)</f>
        <v>0</v>
      </c>
      <c r="K64" s="13">
        <f>IF(ActiveDatabase=Standby,Secondary!K64,Primary!K64)</f>
        <v>0</v>
      </c>
      <c r="L64" s="13">
        <f>IF(ActiveDatabase=Standby,Secondary!L64,Primary!L64)</f>
        <v>0</v>
      </c>
      <c r="M64" s="7" t="b">
        <f>IF(ActiveDatabase=Standby,Secondary!M64,Primary!M64)</f>
        <v>0</v>
      </c>
      <c r="N64" s="10">
        <f>IF(ActiveDatabase=Standby,Secondary!N64,Primary!N64)</f>
        <v>0</v>
      </c>
      <c r="O64" s="10">
        <f>IF(ActiveDatabase=Standby,Secondary!O64,Primary!O64)</f>
        <v>0</v>
      </c>
      <c r="P64" s="10">
        <f>IF(ActiveDatabase=Standby,Secondary!P64,Primary!P64)</f>
        <v>0</v>
      </c>
      <c r="Q64" s="6">
        <f>IF(ActiveDatabase=Standby,Secondary!Q64,Primary!Q64)</f>
        <v>0</v>
      </c>
      <c r="R64" s="18">
        <f>IF(ActiveDatabase=Standby,Secondary!R64,Primary!R64)</f>
        <v>0</v>
      </c>
      <c r="S64" s="19">
        <f>IF(ActiveDatabase=Standby,Secondary!S64,Primary!S64)</f>
        <v>0</v>
      </c>
      <c r="T64" s="10">
        <f>IF(ActiveDatabase=Standby,Secondary!T64,Primary!T64)</f>
        <v>0</v>
      </c>
      <c r="U64" s="10">
        <f>IF(ActiveDatabase=Standby,Secondary!U64,Primary!U64)</f>
        <v>0</v>
      </c>
      <c r="V64" s="10">
        <f>IF(ActiveDatabase=Standby,Secondary!V64,Primary!V64)</f>
        <v>0</v>
      </c>
      <c r="W64" s="6">
        <f>IF(ActiveDatabase=Standby,Secondary!W64,Primary!W64)</f>
        <v>0</v>
      </c>
      <c r="X64" s="6">
        <f>IF(ActiveDatabase=Standby,Secondary!X64,Primary!X64)</f>
        <v>0</v>
      </c>
      <c r="Y64" s="12">
        <f>IF(ActiveDatabase=Standby,Secondary!Y64,Primary!Y64)</f>
        <v>0</v>
      </c>
      <c r="Z64" s="12">
        <f>IF(ActiveDatabase=Standby,Secondary!Z64,Primary!Z64)</f>
        <v>0</v>
      </c>
      <c r="AA64" s="9">
        <f>IF(ActiveDatabase=Standby,Secondary!AA64,Primary!AA64)</f>
        <v>0</v>
      </c>
      <c r="AB64" s="12"/>
      <c r="AC64" s="6"/>
      <c r="AD64" s="6"/>
      <c r="AE64" s="7"/>
      <c r="AF64" s="7"/>
      <c r="AG64" s="7"/>
      <c r="AH64" s="7"/>
      <c r="AI64" s="7"/>
      <c r="AJ64" s="7"/>
      <c r="AK64" s="7"/>
      <c r="AL64" s="7"/>
      <c r="AM64" s="7"/>
      <c r="AN64" s="7"/>
      <c r="AO64" s="6"/>
      <c r="AP64" s="7"/>
      <c r="AQ64" s="7"/>
      <c r="AR64" s="6"/>
      <c r="AS64" s="7"/>
      <c r="AT64" s="7"/>
      <c r="AU64" s="7"/>
      <c r="AV64" s="7"/>
      <c r="AW64" s="7"/>
      <c r="AX64" s="7"/>
      <c r="AY64" s="7"/>
      <c r="AZ64" s="7"/>
      <c r="BA64" s="7"/>
      <c r="BB64" s="7"/>
      <c r="BC64" s="7"/>
      <c r="BD64" s="7"/>
      <c r="BE64" s="7"/>
      <c r="BF64" s="7"/>
      <c r="BG64" s="7"/>
    </row>
    <row r="65" customHeight="1" spans="1:59">
      <c r="A65" s="9" t="str">
        <f>IF(ActiveDatabase=Standby,Secondary!A65,Primary!A65)</f>
        <v>Aberdeen</v>
      </c>
      <c r="B65" s="5" t="str">
        <f>IF(ActiveDatabase=Standby,Secondary!B65,Primary!B65)</f>
        <v>Aberdeen 18</v>
      </c>
      <c r="C65" s="5">
        <f>IF(ActiveDatabase=Standby,Secondary!C65,Primary!C65)</f>
        <v>0</v>
      </c>
      <c r="D65" s="5" t="str">
        <f>IF(ActiveDatabase=Standby,Secondary!D65,Primary!D65)</f>
        <v>Wrecks</v>
      </c>
      <c r="E65" s="6">
        <f>IF(ActiveDatabase=Standby,Secondary!E65,Primary!E65)</f>
        <v>0</v>
      </c>
      <c r="F65" s="10">
        <f>IF(ActiveDatabase=Standby,Secondary!F65,Primary!F65)</f>
        <v>0</v>
      </c>
      <c r="G65" s="10">
        <f>IF(ActiveDatabase=Standby,Secondary!G65,Primary!G65)</f>
        <v>0</v>
      </c>
      <c r="H65" s="10">
        <f>IF(ActiveDatabase=Standby,Secondary!H65,Primary!H65)</f>
        <v>0</v>
      </c>
      <c r="I65" s="13">
        <f>IF(ActiveDatabase=Standby,Secondary!I65,Primary!I65)</f>
        <v>0</v>
      </c>
      <c r="J65" s="13">
        <f>IF(ActiveDatabase=Standby,Secondary!J65,Primary!J65)</f>
        <v>0</v>
      </c>
      <c r="K65" s="13">
        <f>IF(ActiveDatabase=Standby,Secondary!K65,Primary!K65)</f>
        <v>0</v>
      </c>
      <c r="L65" s="13">
        <f>IF(ActiveDatabase=Standby,Secondary!L65,Primary!L65)</f>
        <v>0</v>
      </c>
      <c r="M65" s="7">
        <f>IF(ActiveDatabase=Standby,Secondary!M65,Primary!M65)</f>
        <v>0</v>
      </c>
      <c r="N65" s="10">
        <f>IF(ActiveDatabase=Standby,Secondary!N65,Primary!N65)</f>
        <v>0</v>
      </c>
      <c r="O65" s="10">
        <f>IF(ActiveDatabase=Standby,Secondary!O65,Primary!O65)</f>
        <v>0</v>
      </c>
      <c r="P65" s="10">
        <f>IF(ActiveDatabase=Standby,Secondary!P65,Primary!P65)</f>
        <v>0</v>
      </c>
      <c r="Q65" s="6">
        <f>IF(ActiveDatabase=Standby,Secondary!Q65,Primary!Q65)</f>
        <v>0</v>
      </c>
      <c r="R65" s="18">
        <f>IF(ActiveDatabase=Standby,Secondary!R65,Primary!R65)</f>
        <v>0</v>
      </c>
      <c r="S65" s="19">
        <f>IF(ActiveDatabase=Standby,Secondary!S65,Primary!S65)</f>
        <v>0</v>
      </c>
      <c r="T65" s="10">
        <f>IF(ActiveDatabase=Standby,Secondary!T65,Primary!T65)</f>
        <v>0</v>
      </c>
      <c r="U65" s="10">
        <f>IF(ActiveDatabase=Standby,Secondary!U65,Primary!U65)</f>
        <v>0</v>
      </c>
      <c r="V65" s="10">
        <f>IF(ActiveDatabase=Standby,Secondary!V65,Primary!V65)</f>
        <v>0</v>
      </c>
      <c r="W65" s="6">
        <f>IF(ActiveDatabase=Standby,Secondary!W65,Primary!W65)</f>
        <v>0</v>
      </c>
      <c r="X65" s="6">
        <f>IF(ActiveDatabase=Standby,Secondary!X65,Primary!X65)</f>
        <v>0</v>
      </c>
      <c r="Y65" s="12">
        <f>IF(ActiveDatabase=Standby,Secondary!Y65,Primary!Y65)</f>
        <v>0</v>
      </c>
      <c r="Z65" s="12">
        <f>IF(ActiveDatabase=Standby,Secondary!Z65,Primary!Z65)</f>
        <v>0</v>
      </c>
      <c r="AA65" s="9">
        <f>IF(ActiveDatabase=Standby,Secondary!AA65,Primary!AA65)</f>
        <v>0</v>
      </c>
      <c r="AB65" s="12"/>
      <c r="AC65" s="6"/>
      <c r="AD65" s="6"/>
      <c r="AE65" s="7"/>
      <c r="AF65" s="7"/>
      <c r="AG65" s="7"/>
      <c r="AH65" s="7"/>
      <c r="AI65" s="7"/>
      <c r="AJ65" s="7"/>
      <c r="AK65" s="7"/>
      <c r="AL65" s="7"/>
      <c r="AM65" s="7"/>
      <c r="AN65" s="7"/>
      <c r="AO65" s="6"/>
      <c r="AP65" s="7"/>
      <c r="AQ65" s="7"/>
      <c r="AR65" s="6"/>
      <c r="AS65" s="7"/>
      <c r="AT65" s="7"/>
      <c r="AU65" s="7"/>
      <c r="AV65" s="7"/>
      <c r="AW65" s="7"/>
      <c r="AX65" s="7"/>
      <c r="AY65" s="7"/>
      <c r="AZ65" s="7"/>
      <c r="BA65" s="7"/>
      <c r="BB65" s="7"/>
      <c r="BC65" s="7"/>
      <c r="BD65" s="7"/>
      <c r="BE65" s="7"/>
      <c r="BF65" s="7"/>
      <c r="BG65" s="7"/>
    </row>
    <row r="66" customHeight="1" spans="1:59">
      <c r="A66" s="9" t="str">
        <f>IF(ActiveDatabase=Standby,Secondary!A66,Primary!A66)</f>
        <v>Aberdeen 13</v>
      </c>
      <c r="B66" s="5" t="str">
        <f>IF(ActiveDatabase=Standby,Secondary!B66,Primary!B66)</f>
        <v>Aberdeen 20</v>
      </c>
      <c r="C66" s="5" t="str">
        <f>IF(ActiveDatabase=Standby,Secondary!C66,Primary!C66)</f>
        <v>Aberdeen 03</v>
      </c>
      <c r="D66" s="5" t="str">
        <f>IF(ActiveDatabase=Standby,Secondary!D66,Primary!D66)</f>
        <v>Caterpillar Wreck 52R</v>
      </c>
      <c r="E66" s="6" t="str">
        <f>IF(ActiveDatabase=Standby,Secondary!E66,Primary!E66)</f>
        <v>Caterpillar 52R</v>
      </c>
      <c r="F66" s="10">
        <f>IF(ActiveDatabase=Standby,Secondary!F66,Primary!F66)</f>
        <v>-160.519985745999</v>
      </c>
      <c r="G66" s="10">
        <f>IF(ActiveDatabase=Standby,Secondary!G66,Primary!G66)</f>
        <v>187.064562421</v>
      </c>
      <c r="H66" s="10">
        <f>IF(ActiveDatabase=Standby,Secondary!H66,Primary!H66)</f>
        <v>122.157253146999</v>
      </c>
      <c r="I66" s="13">
        <f>IF(ActiveDatabase=Standby,Secondary!I66,Primary!I66)</f>
        <v>0</v>
      </c>
      <c r="J66" s="13">
        <f>IF(ActiveDatabase=Standby,Secondary!J66,Primary!J66)</f>
        <v>0</v>
      </c>
      <c r="K66" s="13">
        <f>IF(ActiveDatabase=Standby,Secondary!K66,Primary!K66)</f>
        <v>0</v>
      </c>
      <c r="L66" s="13">
        <f>IF(ActiveDatabase=Standby,Secondary!L66,Primary!L66)</f>
        <v>0</v>
      </c>
      <c r="M66" s="7" t="b">
        <f>IF(ActiveDatabase=Standby,Secondary!M66,Primary!M66)</f>
        <v>0</v>
      </c>
      <c r="N66" s="10">
        <f>IF(ActiveDatabase=Standby,Secondary!N66,Primary!N66)</f>
        <v>0</v>
      </c>
      <c r="O66" s="10">
        <f>IF(ActiveDatabase=Standby,Secondary!O66,Primary!O66)</f>
        <v>0</v>
      </c>
      <c r="P66" s="10">
        <f>IF(ActiveDatabase=Standby,Secondary!P66,Primary!P66)</f>
        <v>0</v>
      </c>
      <c r="Q66" s="6">
        <f>IF(ActiveDatabase=Standby,Secondary!Q66,Primary!Q66)</f>
        <v>0</v>
      </c>
      <c r="R66" s="18">
        <f>IF(ActiveDatabase=Standby,Secondary!R66,Primary!R66)</f>
        <v>0</v>
      </c>
      <c r="S66" s="19">
        <f>IF(ActiveDatabase=Standby,Secondary!S66,Primary!S66)</f>
        <v>0</v>
      </c>
      <c r="T66" s="10">
        <f>IF(ActiveDatabase=Standby,Secondary!T66,Primary!T66)</f>
        <v>0</v>
      </c>
      <c r="U66" s="10">
        <f>IF(ActiveDatabase=Standby,Secondary!U66,Primary!U66)</f>
        <v>0</v>
      </c>
      <c r="V66" s="10">
        <f>IF(ActiveDatabase=Standby,Secondary!V66,Primary!V66)</f>
        <v>0</v>
      </c>
      <c r="W66" s="6">
        <f>IF(ActiveDatabase=Standby,Secondary!W66,Primary!W66)</f>
        <v>0</v>
      </c>
      <c r="X66" s="6">
        <f>IF(ActiveDatabase=Standby,Secondary!X66,Primary!X66)</f>
        <v>0</v>
      </c>
      <c r="Y66" s="12">
        <f>IF(ActiveDatabase=Standby,Secondary!Y66,Primary!Y66)</f>
        <v>0</v>
      </c>
      <c r="Z66" s="12">
        <f>IF(ActiveDatabase=Standby,Secondary!Z66,Primary!Z66)</f>
        <v>0</v>
      </c>
      <c r="AA66" s="9">
        <f>IF(ActiveDatabase=Standby,Secondary!AA66,Primary!AA66)</f>
        <v>0</v>
      </c>
      <c r="AB66" s="12"/>
      <c r="AC66" s="6"/>
      <c r="AD66" s="6"/>
      <c r="AE66" s="7"/>
      <c r="AF66" s="7"/>
      <c r="AG66" s="7"/>
      <c r="AH66" s="7"/>
      <c r="AI66" s="7"/>
      <c r="AJ66" s="7"/>
      <c r="AK66" s="7"/>
      <c r="AL66" s="7"/>
      <c r="AM66" s="7"/>
      <c r="AN66" s="7"/>
      <c r="AO66" s="6"/>
      <c r="AP66" s="7"/>
      <c r="AQ66" s="7"/>
      <c r="AR66" s="6"/>
      <c r="AS66" s="7"/>
      <c r="AT66" s="7"/>
      <c r="AU66" s="7"/>
      <c r="AV66" s="7"/>
      <c r="AW66" s="7"/>
      <c r="AX66" s="7"/>
      <c r="AY66" s="7"/>
      <c r="AZ66" s="7"/>
      <c r="BA66" s="7"/>
      <c r="BB66" s="7"/>
      <c r="BC66" s="7"/>
      <c r="BD66" s="7"/>
      <c r="BE66" s="7"/>
      <c r="BF66" s="7"/>
      <c r="BG66" s="7"/>
    </row>
    <row r="67" customHeight="1" spans="1:59">
      <c r="A67" s="9" t="str">
        <f>IF(ActiveDatabase=Standby,Secondary!A67,Primary!A67)</f>
        <v>Aberdeen 12</v>
      </c>
      <c r="B67" s="5" t="str">
        <f>IF(ActiveDatabase=Standby,Secondary!B67,Primary!B67)</f>
        <v>Aberdeen 19</v>
      </c>
      <c r="C67" s="5" t="str">
        <f>IF(ActiveDatabase=Standby,Secondary!C67,Primary!C67)</f>
        <v>Aberdeen 05</v>
      </c>
      <c r="D67" s="5" t="str">
        <f>IF(ActiveDatabase=Standby,Secondary!D67,Primary!D67)</f>
        <v>Caterpillar Wreck 51W</v>
      </c>
      <c r="E67" s="6" t="str">
        <f>IF(ActiveDatabase=Standby,Secondary!E67,Primary!E67)</f>
        <v>Caterpillar 51W</v>
      </c>
      <c r="F67" s="10">
        <f>IF(ActiveDatabase=Standby,Secondary!F67,Primary!F67)</f>
        <v>-61.992268491</v>
      </c>
      <c r="G67" s="10">
        <f>IF(ActiveDatabase=Standby,Secondary!G67,Primary!G67)</f>
        <v>94.0448265459999</v>
      </c>
      <c r="H67" s="10">
        <f>IF(ActiveDatabase=Standby,Secondary!H67,Primary!H67)</f>
        <v>251.030948911</v>
      </c>
      <c r="I67" s="13">
        <f>IF(ActiveDatabase=Standby,Secondary!I67,Primary!I67)</f>
        <v>0</v>
      </c>
      <c r="J67" s="13">
        <f>IF(ActiveDatabase=Standby,Secondary!J67,Primary!J67)</f>
        <v>0</v>
      </c>
      <c r="K67" s="13">
        <f>IF(ActiveDatabase=Standby,Secondary!K67,Primary!K67)</f>
        <v>0</v>
      </c>
      <c r="L67" s="13">
        <f>IF(ActiveDatabase=Standby,Secondary!L67,Primary!L67)</f>
        <v>0</v>
      </c>
      <c r="M67" s="7" t="b">
        <f>IF(ActiveDatabase=Standby,Secondary!M67,Primary!M67)</f>
        <v>0</v>
      </c>
      <c r="N67" s="10">
        <f>IF(ActiveDatabase=Standby,Secondary!N67,Primary!N67)</f>
        <v>0</v>
      </c>
      <c r="O67" s="10">
        <f>IF(ActiveDatabase=Standby,Secondary!O67,Primary!O67)</f>
        <v>0</v>
      </c>
      <c r="P67" s="10">
        <f>IF(ActiveDatabase=Standby,Secondary!P67,Primary!P67)</f>
        <v>0</v>
      </c>
      <c r="Q67" s="6">
        <f>IF(ActiveDatabase=Standby,Secondary!Q67,Primary!Q67)</f>
        <v>0</v>
      </c>
      <c r="R67" s="18">
        <f>IF(ActiveDatabase=Standby,Secondary!R67,Primary!R67)</f>
        <v>0</v>
      </c>
      <c r="S67" s="19">
        <f>IF(ActiveDatabase=Standby,Secondary!S67,Primary!S67)</f>
        <v>0</v>
      </c>
      <c r="T67" s="10">
        <f>IF(ActiveDatabase=Standby,Secondary!T67,Primary!T67)</f>
        <v>0</v>
      </c>
      <c r="U67" s="10">
        <f>IF(ActiveDatabase=Standby,Secondary!U67,Primary!U67)</f>
        <v>0</v>
      </c>
      <c r="V67" s="10">
        <f>IF(ActiveDatabase=Standby,Secondary!V67,Primary!V67)</f>
        <v>0</v>
      </c>
      <c r="W67" s="6">
        <f>IF(ActiveDatabase=Standby,Secondary!W67,Primary!W67)</f>
        <v>0</v>
      </c>
      <c r="X67" s="6">
        <f>IF(ActiveDatabase=Standby,Secondary!X67,Primary!X67)</f>
        <v>0</v>
      </c>
      <c r="Y67" s="12">
        <f>IF(ActiveDatabase=Standby,Secondary!Y67,Primary!Y67)</f>
        <v>0</v>
      </c>
      <c r="Z67" s="12">
        <f>IF(ActiveDatabase=Standby,Secondary!Z67,Primary!Z67)</f>
        <v>0</v>
      </c>
      <c r="AA67" s="9">
        <f>IF(ActiveDatabase=Standby,Secondary!AA67,Primary!AA67)</f>
        <v>0</v>
      </c>
      <c r="AB67" s="12"/>
      <c r="AC67" s="6"/>
      <c r="AD67" s="6"/>
      <c r="AE67" s="7"/>
      <c r="AF67" s="7"/>
      <c r="AG67" s="7"/>
      <c r="AH67" s="7"/>
      <c r="AI67" s="7"/>
      <c r="AJ67" s="7"/>
      <c r="AK67" s="7"/>
      <c r="AL67" s="7"/>
      <c r="AM67" s="7"/>
      <c r="AN67" s="7"/>
      <c r="AO67" s="6"/>
      <c r="AP67" s="7"/>
      <c r="AQ67" s="7"/>
      <c r="AR67" s="6"/>
      <c r="AS67" s="7"/>
      <c r="AT67" s="7"/>
      <c r="AU67" s="7"/>
      <c r="AV67" s="7"/>
      <c r="AW67" s="7"/>
      <c r="AX67" s="7"/>
      <c r="AY67" s="7"/>
      <c r="AZ67" s="7"/>
      <c r="BA67" s="7"/>
      <c r="BB67" s="7"/>
      <c r="BC67" s="7"/>
      <c r="BD67" s="7"/>
      <c r="BE67" s="7"/>
      <c r="BF67" s="7"/>
      <c r="BG67" s="7"/>
    </row>
    <row r="68" customHeight="1" spans="1:59">
      <c r="A68" s="9" t="str">
        <f>IF(ActiveDatabase=Standby,Secondary!A68,Primary!A68)</f>
        <v>Aberdeen 14</v>
      </c>
      <c r="B68" s="5" t="str">
        <f>IF(ActiveDatabase=Standby,Secondary!B68,Primary!B68)</f>
        <v>Aberdeen 21</v>
      </c>
      <c r="C68" s="5" t="str">
        <f>IF(ActiveDatabase=Standby,Secondary!C68,Primary!C68)</f>
        <v>Aberdeen 01</v>
      </c>
      <c r="D68" s="5" t="str">
        <f>IF(ActiveDatabase=Standby,Secondary!D68,Primary!D68)</f>
        <v>Constellation Wreck</v>
      </c>
      <c r="E68" s="6" t="str">
        <f>IF(ActiveDatabase=Standby,Secondary!E68,Primary!E68)</f>
        <v>Constellation</v>
      </c>
      <c r="F68" s="10">
        <f>IF(ActiveDatabase=Standby,Secondary!F68,Primary!F68)</f>
        <v>-207.122457713</v>
      </c>
      <c r="G68" s="10">
        <f>IF(ActiveDatabase=Standby,Secondary!G68,Primary!G68)</f>
        <v>163.655097375</v>
      </c>
      <c r="H68" s="10">
        <f>IF(ActiveDatabase=Standby,Secondary!H68,Primary!H68)</f>
        <v>75.8243688669998</v>
      </c>
      <c r="I68" s="13">
        <f>IF(ActiveDatabase=Standby,Secondary!I68,Primary!I68)</f>
        <v>0</v>
      </c>
      <c r="J68" s="13">
        <f>IF(ActiveDatabase=Standby,Secondary!J68,Primary!J68)</f>
        <v>0</v>
      </c>
      <c r="K68" s="13">
        <f>IF(ActiveDatabase=Standby,Secondary!K68,Primary!K68)</f>
        <v>0</v>
      </c>
      <c r="L68" s="13">
        <f>IF(ActiveDatabase=Standby,Secondary!L68,Primary!L68)</f>
        <v>0</v>
      </c>
      <c r="M68" s="7" t="b">
        <f>IF(ActiveDatabase=Standby,Secondary!M68,Primary!M68)</f>
        <v>0</v>
      </c>
      <c r="N68" s="10">
        <f>IF(ActiveDatabase=Standby,Secondary!N68,Primary!N68)</f>
        <v>0</v>
      </c>
      <c r="O68" s="10">
        <f>IF(ActiveDatabase=Standby,Secondary!O68,Primary!O68)</f>
        <v>0</v>
      </c>
      <c r="P68" s="10">
        <f>IF(ActiveDatabase=Standby,Secondary!P68,Primary!P68)</f>
        <v>0</v>
      </c>
      <c r="Q68" s="6">
        <f>IF(ActiveDatabase=Standby,Secondary!Q68,Primary!Q68)</f>
        <v>0</v>
      </c>
      <c r="R68" s="18">
        <f>IF(ActiveDatabase=Standby,Secondary!R68,Primary!R68)</f>
        <v>0</v>
      </c>
      <c r="S68" s="19">
        <f>IF(ActiveDatabase=Standby,Secondary!S68,Primary!S68)</f>
        <v>0</v>
      </c>
      <c r="T68" s="10">
        <f>IF(ActiveDatabase=Standby,Secondary!T68,Primary!T68)</f>
        <v>0</v>
      </c>
      <c r="U68" s="10">
        <f>IF(ActiveDatabase=Standby,Secondary!U68,Primary!U68)</f>
        <v>0</v>
      </c>
      <c r="V68" s="10">
        <f>IF(ActiveDatabase=Standby,Secondary!V68,Primary!V68)</f>
        <v>0</v>
      </c>
      <c r="W68" s="6">
        <f>IF(ActiveDatabase=Standby,Secondary!W68,Primary!W68)</f>
        <v>0</v>
      </c>
      <c r="X68" s="6">
        <f>IF(ActiveDatabase=Standby,Secondary!X68,Primary!X68)</f>
        <v>0</v>
      </c>
      <c r="Y68" s="12">
        <f>IF(ActiveDatabase=Standby,Secondary!Y68,Primary!Y68)</f>
        <v>0</v>
      </c>
      <c r="Z68" s="12">
        <f>IF(ActiveDatabase=Standby,Secondary!Z68,Primary!Z68)</f>
        <v>0</v>
      </c>
      <c r="AA68" s="9">
        <f>IF(ActiveDatabase=Standby,Secondary!AA68,Primary!AA68)</f>
        <v>0</v>
      </c>
      <c r="AB68" s="12"/>
      <c r="AC68" s="6"/>
      <c r="AD68" s="6"/>
      <c r="AE68" s="7"/>
      <c r="AF68" s="7"/>
      <c r="AG68" s="7"/>
      <c r="AH68" s="7"/>
      <c r="AI68" s="7"/>
      <c r="AJ68" s="7"/>
      <c r="AK68" s="7"/>
      <c r="AL68" s="7"/>
      <c r="AM68" s="7"/>
      <c r="AN68" s="7"/>
      <c r="AO68" s="6"/>
      <c r="AP68" s="7"/>
      <c r="AQ68" s="7"/>
      <c r="AR68" s="6"/>
      <c r="AS68" s="7"/>
      <c r="AT68" s="7"/>
      <c r="AU68" s="7"/>
      <c r="AV68" s="7"/>
      <c r="AW68" s="7"/>
      <c r="AX68" s="7"/>
      <c r="AY68" s="7"/>
      <c r="AZ68" s="7"/>
      <c r="BA68" s="7"/>
      <c r="BB68" s="7"/>
      <c r="BC68" s="7"/>
      <c r="BD68" s="7"/>
      <c r="BE68" s="7"/>
      <c r="BF68" s="7"/>
      <c r="BG68" s="7"/>
    </row>
    <row r="69" customHeight="1" spans="1:59">
      <c r="A69" s="9" t="str">
        <f>IF(ActiveDatabase=Standby,Secondary!A69,Primary!A69)</f>
        <v>Aberdeen 16</v>
      </c>
      <c r="B69" s="5" t="str">
        <f>IF(ActiveDatabase=Standby,Secondary!B69,Primary!B69)</f>
        <v>Aberdeen 23</v>
      </c>
      <c r="C69" s="5" t="str">
        <f>IF(ActiveDatabase=Standby,Secondary!C69,Primary!C69)</f>
        <v>Aberdeen 11</v>
      </c>
      <c r="D69" s="5" t="str">
        <f>IF(ActiveDatabase=Standby,Secondary!D69,Primary!D69)</f>
        <v>Freelancer Wreck</v>
      </c>
      <c r="E69" s="6" t="str">
        <f>IF(ActiveDatabase=Standby,Secondary!E69,Primary!E69)</f>
        <v>Freelancer</v>
      </c>
      <c r="F69" s="10">
        <f>IF(ActiveDatabase=Standby,Secondary!F69,Primary!F69)</f>
        <v>239.132150683999</v>
      </c>
      <c r="G69" s="10">
        <f>IF(ActiveDatabase=Standby,Secondary!G69,Primary!G69)</f>
        <v>116.814567593999</v>
      </c>
      <c r="H69" s="10">
        <f>IF(ActiveDatabase=Standby,Secondary!H69,Primary!H69)</f>
        <v>68.700639026</v>
      </c>
      <c r="I69" s="13">
        <f>IF(ActiveDatabase=Standby,Secondary!I69,Primary!I69)</f>
        <v>0</v>
      </c>
      <c r="J69" s="13">
        <f>IF(ActiveDatabase=Standby,Secondary!J69,Primary!J69)</f>
        <v>0</v>
      </c>
      <c r="K69" s="13">
        <f>IF(ActiveDatabase=Standby,Secondary!K69,Primary!K69)</f>
        <v>0</v>
      </c>
      <c r="L69" s="13">
        <f>IF(ActiveDatabase=Standby,Secondary!L69,Primary!L69)</f>
        <v>0</v>
      </c>
      <c r="M69" s="7" t="b">
        <f>IF(ActiveDatabase=Standby,Secondary!M69,Primary!M69)</f>
        <v>0</v>
      </c>
      <c r="N69" s="10">
        <f>IF(ActiveDatabase=Standby,Secondary!N69,Primary!N69)</f>
        <v>0</v>
      </c>
      <c r="O69" s="10">
        <f>IF(ActiveDatabase=Standby,Secondary!O69,Primary!O69)</f>
        <v>0</v>
      </c>
      <c r="P69" s="10">
        <f>IF(ActiveDatabase=Standby,Secondary!P69,Primary!P69)</f>
        <v>0</v>
      </c>
      <c r="Q69" s="6">
        <f>IF(ActiveDatabase=Standby,Secondary!Q69,Primary!Q69)</f>
        <v>0</v>
      </c>
      <c r="R69" s="18">
        <f>IF(ActiveDatabase=Standby,Secondary!R69,Primary!R69)</f>
        <v>0</v>
      </c>
      <c r="S69" s="19">
        <f>IF(ActiveDatabase=Standby,Secondary!S69,Primary!S69)</f>
        <v>0</v>
      </c>
      <c r="T69" s="10">
        <f>IF(ActiveDatabase=Standby,Secondary!T69,Primary!T69)</f>
        <v>0</v>
      </c>
      <c r="U69" s="10">
        <f>IF(ActiveDatabase=Standby,Secondary!U69,Primary!U69)</f>
        <v>0</v>
      </c>
      <c r="V69" s="10">
        <f>IF(ActiveDatabase=Standby,Secondary!V69,Primary!V69)</f>
        <v>0</v>
      </c>
      <c r="W69" s="6">
        <f>IF(ActiveDatabase=Standby,Secondary!W69,Primary!W69)</f>
        <v>0</v>
      </c>
      <c r="X69" s="6">
        <f>IF(ActiveDatabase=Standby,Secondary!X69,Primary!X69)</f>
        <v>0</v>
      </c>
      <c r="Y69" s="12">
        <f>IF(ActiveDatabase=Standby,Secondary!Y69,Primary!Y69)</f>
        <v>0</v>
      </c>
      <c r="Z69" s="12">
        <f>IF(ActiveDatabase=Standby,Secondary!Z69,Primary!Z69)</f>
        <v>0</v>
      </c>
      <c r="AA69" s="9">
        <f>IF(ActiveDatabase=Standby,Secondary!AA69,Primary!AA69)</f>
        <v>0</v>
      </c>
      <c r="AB69" s="12"/>
      <c r="AC69" s="6"/>
      <c r="AD69" s="6"/>
      <c r="AE69" s="7"/>
      <c r="AF69" s="7"/>
      <c r="AG69" s="7"/>
      <c r="AH69" s="7"/>
      <c r="AI69" s="7"/>
      <c r="AJ69" s="7"/>
      <c r="AK69" s="7"/>
      <c r="AL69" s="7"/>
      <c r="AM69" s="7"/>
      <c r="AN69" s="7"/>
      <c r="AO69" s="6"/>
      <c r="AP69" s="7"/>
      <c r="AQ69" s="7"/>
      <c r="AR69" s="6"/>
      <c r="AS69" s="7"/>
      <c r="AT69" s="7"/>
      <c r="AU69" s="7"/>
      <c r="AV69" s="7"/>
      <c r="AW69" s="7"/>
      <c r="AX69" s="7"/>
      <c r="AY69" s="7"/>
      <c r="AZ69" s="7"/>
      <c r="BA69" s="7"/>
      <c r="BB69" s="7"/>
      <c r="BC69" s="7"/>
      <c r="BD69" s="7"/>
      <c r="BE69" s="7"/>
      <c r="BF69" s="7"/>
      <c r="BG69" s="7"/>
    </row>
    <row r="70" customHeight="1" spans="1:59">
      <c r="A70" s="9" t="str">
        <f>IF(ActiveDatabase=Standby,Secondary!A70,Primary!A70)</f>
        <v>Aberdeen 17</v>
      </c>
      <c r="B70" s="5" t="str">
        <f>IF(ActiveDatabase=Standby,Secondary!B70,Primary!B70)</f>
        <v>Aberdeen 24</v>
      </c>
      <c r="C70" s="5" t="str">
        <f>IF(ActiveDatabase=Standby,Secondary!C70,Primary!C70)</f>
        <v>Aberdeen 12</v>
      </c>
      <c r="D70" s="5" t="str">
        <f>IF(ActiveDatabase=Standby,Secondary!D70,Primary!D70)</f>
        <v>Starfarer Wreck</v>
      </c>
      <c r="E70" s="6" t="str">
        <f>IF(ActiveDatabase=Standby,Secondary!E70,Primary!E70)</f>
        <v>Starfarer</v>
      </c>
      <c r="F70" s="10">
        <f>IF(ActiveDatabase=Standby,Secondary!F70,Primary!F70)</f>
        <v>153.456221401999</v>
      </c>
      <c r="G70" s="10">
        <f>IF(ActiveDatabase=Standby,Secondary!G70,Primary!G70)</f>
        <v>48.4436297439999</v>
      </c>
      <c r="H70" s="10">
        <f>IF(ActiveDatabase=Standby,Secondary!H70,Primary!H70)</f>
        <v>223.124503857</v>
      </c>
      <c r="I70" s="13">
        <f>IF(ActiveDatabase=Standby,Secondary!I70,Primary!I70)</f>
        <v>0</v>
      </c>
      <c r="J70" s="13">
        <f>IF(ActiveDatabase=Standby,Secondary!J70,Primary!J70)</f>
        <v>0</v>
      </c>
      <c r="K70" s="13">
        <f>IF(ActiveDatabase=Standby,Secondary!K70,Primary!K70)</f>
        <v>0</v>
      </c>
      <c r="L70" s="13">
        <f>IF(ActiveDatabase=Standby,Secondary!L70,Primary!L70)</f>
        <v>0</v>
      </c>
      <c r="M70" s="7" t="b">
        <f>IF(ActiveDatabase=Standby,Secondary!M70,Primary!M70)</f>
        <v>0</v>
      </c>
      <c r="N70" s="10">
        <f>IF(ActiveDatabase=Standby,Secondary!N70,Primary!N70)</f>
        <v>0</v>
      </c>
      <c r="O70" s="10">
        <f>IF(ActiveDatabase=Standby,Secondary!O70,Primary!O70)</f>
        <v>0</v>
      </c>
      <c r="P70" s="10">
        <f>IF(ActiveDatabase=Standby,Secondary!P70,Primary!P70)</f>
        <v>0</v>
      </c>
      <c r="Q70" s="6">
        <f>IF(ActiveDatabase=Standby,Secondary!Q70,Primary!Q70)</f>
        <v>0</v>
      </c>
      <c r="R70" s="18">
        <f>IF(ActiveDatabase=Standby,Secondary!R70,Primary!R70)</f>
        <v>0</v>
      </c>
      <c r="S70" s="19">
        <f>IF(ActiveDatabase=Standby,Secondary!S70,Primary!S70)</f>
        <v>0</v>
      </c>
      <c r="T70" s="10">
        <f>IF(ActiveDatabase=Standby,Secondary!T70,Primary!T70)</f>
        <v>0</v>
      </c>
      <c r="U70" s="10">
        <f>IF(ActiveDatabase=Standby,Secondary!U70,Primary!U70)</f>
        <v>0</v>
      </c>
      <c r="V70" s="10">
        <f>IF(ActiveDatabase=Standby,Secondary!V70,Primary!V70)</f>
        <v>0</v>
      </c>
      <c r="W70" s="6">
        <f>IF(ActiveDatabase=Standby,Secondary!W70,Primary!W70)</f>
        <v>0</v>
      </c>
      <c r="X70" s="6">
        <f>IF(ActiveDatabase=Standby,Secondary!X70,Primary!X70)</f>
        <v>0</v>
      </c>
      <c r="Y70" s="12">
        <f>IF(ActiveDatabase=Standby,Secondary!Y70,Primary!Y70)</f>
        <v>0</v>
      </c>
      <c r="Z70" s="12">
        <f>IF(ActiveDatabase=Standby,Secondary!Z70,Primary!Z70)</f>
        <v>0</v>
      </c>
      <c r="AA70" s="9">
        <f>IF(ActiveDatabase=Standby,Secondary!AA70,Primary!AA70)</f>
        <v>0</v>
      </c>
      <c r="AB70" s="12"/>
      <c r="AC70" s="6"/>
      <c r="AD70" s="6"/>
      <c r="AE70" s="7"/>
      <c r="AF70" s="7"/>
      <c r="AG70" s="7"/>
      <c r="AH70" s="7"/>
      <c r="AI70" s="7"/>
      <c r="AJ70" s="7"/>
      <c r="AK70" s="7"/>
      <c r="AL70" s="7"/>
      <c r="AM70" s="7"/>
      <c r="AN70" s="7"/>
      <c r="AO70" s="6"/>
      <c r="AP70" s="7"/>
      <c r="AQ70" s="7"/>
      <c r="AR70" s="6"/>
      <c r="AS70" s="7"/>
      <c r="AT70" s="7"/>
      <c r="AU70" s="7"/>
      <c r="AV70" s="7"/>
      <c r="AW70" s="7"/>
      <c r="AX70" s="7"/>
      <c r="AY70" s="7"/>
      <c r="AZ70" s="7"/>
      <c r="BA70" s="7"/>
      <c r="BB70" s="7"/>
      <c r="BC70" s="7"/>
      <c r="BD70" s="7"/>
      <c r="BE70" s="7"/>
      <c r="BF70" s="7"/>
      <c r="BG70" s="7"/>
    </row>
    <row r="71" customHeight="1" spans="1:59">
      <c r="A71" s="9" t="str">
        <f>IF(ActiveDatabase=Standby,Secondary!A71,Primary!A71)</f>
        <v>Aberdeen 15</v>
      </c>
      <c r="B71" s="5" t="str">
        <f>IF(ActiveDatabase=Standby,Secondary!B71,Primary!B71)</f>
        <v>Aberdeen 22</v>
      </c>
      <c r="C71" s="5" t="str">
        <f>IF(ActiveDatabase=Standby,Secondary!C71,Primary!C71)</f>
        <v>Aberdeen 09</v>
      </c>
      <c r="D71" s="5" t="str">
        <f>IF(ActiveDatabase=Standby,Secondary!D71,Primary!D71)</f>
        <v>Cutlass Wreck</v>
      </c>
      <c r="E71" s="6" t="str">
        <f>IF(ActiveDatabase=Standby,Secondary!E71,Primary!E71)</f>
        <v>Cutlass</v>
      </c>
      <c r="F71" s="10">
        <f>IF(ActiveDatabase=Standby,Secondary!F71,Primary!F71)</f>
        <v>48.390643083</v>
      </c>
      <c r="G71" s="10">
        <f>IF(ActiveDatabase=Standby,Secondary!G71,Primary!G71)</f>
        <v>219.891078516999</v>
      </c>
      <c r="H71" s="10">
        <f>IF(ActiveDatabase=Standby,Secondary!H71,Primary!H71)</f>
        <v>-157.839092374</v>
      </c>
      <c r="I71" s="13">
        <f>IF(ActiveDatabase=Standby,Secondary!I71,Primary!I71)</f>
        <v>0</v>
      </c>
      <c r="J71" s="13">
        <f>IF(ActiveDatabase=Standby,Secondary!J71,Primary!J71)</f>
        <v>0</v>
      </c>
      <c r="K71" s="13">
        <f>IF(ActiveDatabase=Standby,Secondary!K71,Primary!K71)</f>
        <v>0</v>
      </c>
      <c r="L71" s="13">
        <f>IF(ActiveDatabase=Standby,Secondary!L71,Primary!L71)</f>
        <v>0</v>
      </c>
      <c r="M71" s="7" t="b">
        <f>IF(ActiveDatabase=Standby,Secondary!M71,Primary!M71)</f>
        <v>0</v>
      </c>
      <c r="N71" s="10">
        <f>IF(ActiveDatabase=Standby,Secondary!N71,Primary!N71)</f>
        <v>0</v>
      </c>
      <c r="O71" s="10">
        <f>IF(ActiveDatabase=Standby,Secondary!O71,Primary!O71)</f>
        <v>0</v>
      </c>
      <c r="P71" s="10">
        <f>IF(ActiveDatabase=Standby,Secondary!P71,Primary!P71)</f>
        <v>0</v>
      </c>
      <c r="Q71" s="6">
        <f>IF(ActiveDatabase=Standby,Secondary!Q71,Primary!Q71)</f>
        <v>0</v>
      </c>
      <c r="R71" s="18">
        <f>IF(ActiveDatabase=Standby,Secondary!R71,Primary!R71)</f>
        <v>0</v>
      </c>
      <c r="S71" s="19">
        <f>IF(ActiveDatabase=Standby,Secondary!S71,Primary!S71)</f>
        <v>0</v>
      </c>
      <c r="T71" s="10">
        <f>IF(ActiveDatabase=Standby,Secondary!T71,Primary!T71)</f>
        <v>0</v>
      </c>
      <c r="U71" s="10">
        <f>IF(ActiveDatabase=Standby,Secondary!U71,Primary!U71)</f>
        <v>0</v>
      </c>
      <c r="V71" s="10">
        <f>IF(ActiveDatabase=Standby,Secondary!V71,Primary!V71)</f>
        <v>0</v>
      </c>
      <c r="W71" s="6">
        <f>IF(ActiveDatabase=Standby,Secondary!W71,Primary!W71)</f>
        <v>0</v>
      </c>
      <c r="X71" s="6">
        <f>IF(ActiveDatabase=Standby,Secondary!X71,Primary!X71)</f>
        <v>0</v>
      </c>
      <c r="Y71" s="12">
        <f>IF(ActiveDatabase=Standby,Secondary!Y71,Primary!Y71)</f>
        <v>0</v>
      </c>
      <c r="Z71" s="12">
        <f>IF(ActiveDatabase=Standby,Secondary!Z71,Primary!Z71)</f>
        <v>0</v>
      </c>
      <c r="AA71" s="9">
        <f>IF(ActiveDatabase=Standby,Secondary!AA71,Primary!AA71)</f>
        <v>0</v>
      </c>
      <c r="AB71" s="12"/>
      <c r="AC71" s="6"/>
      <c r="AD71" s="6"/>
      <c r="AE71" s="7"/>
      <c r="AF71" s="7"/>
      <c r="AG71" s="7"/>
      <c r="AH71" s="7"/>
      <c r="AI71" s="7"/>
      <c r="AJ71" s="7"/>
      <c r="AK71" s="7"/>
      <c r="AL71" s="7"/>
      <c r="AM71" s="7"/>
      <c r="AN71" s="7"/>
      <c r="AO71" s="6"/>
      <c r="AP71" s="7"/>
      <c r="AQ71" s="7"/>
      <c r="AR71" s="6"/>
      <c r="AS71" s="7"/>
      <c r="AT71" s="7"/>
      <c r="AU71" s="7"/>
      <c r="AV71" s="7"/>
      <c r="AW71" s="7"/>
      <c r="AX71" s="7"/>
      <c r="AY71" s="7"/>
      <c r="AZ71" s="7"/>
      <c r="BA71" s="7"/>
      <c r="BB71" s="7"/>
      <c r="BC71" s="7"/>
      <c r="BD71" s="7"/>
      <c r="BE71" s="7"/>
      <c r="BF71" s="7"/>
      <c r="BG71" s="7"/>
    </row>
    <row r="72" customHeight="1" spans="1:59">
      <c r="A72" s="9" t="str">
        <f>IF(ActiveDatabase=Standby,Secondary!A72,Primary!A72)</f>
        <v>Aberdeen</v>
      </c>
      <c r="B72" s="5" t="str">
        <f>IF(ActiveDatabase=Standby,Secondary!B72,Primary!B72)</f>
        <v>Aberdeen 26</v>
      </c>
      <c r="C72" s="5">
        <f>IF(ActiveDatabase=Standby,Secondary!C72,Primary!C72)</f>
        <v>0</v>
      </c>
      <c r="D72" s="5" t="str">
        <f>IF(ActiveDatabase=Standby,Secondary!D72,Primary!D72)</f>
        <v>Comm Array</v>
      </c>
      <c r="E72" s="6">
        <f>IF(ActiveDatabase=Standby,Secondary!E72,Primary!E72)</f>
        <v>0</v>
      </c>
      <c r="F72" s="10">
        <f>IF(ActiveDatabase=Standby,Secondary!F72,Primary!F72)</f>
        <v>0</v>
      </c>
      <c r="G72" s="10">
        <f>IF(ActiveDatabase=Standby,Secondary!G72,Primary!G72)</f>
        <v>0</v>
      </c>
      <c r="H72" s="10">
        <f>IF(ActiveDatabase=Standby,Secondary!H72,Primary!H72)</f>
        <v>0</v>
      </c>
      <c r="I72" s="13">
        <f>IF(ActiveDatabase=Standby,Secondary!I72,Primary!I72)</f>
        <v>0</v>
      </c>
      <c r="J72" s="13">
        <f>IF(ActiveDatabase=Standby,Secondary!J72,Primary!J72)</f>
        <v>0</v>
      </c>
      <c r="K72" s="13">
        <f>IF(ActiveDatabase=Standby,Secondary!K72,Primary!K72)</f>
        <v>0</v>
      </c>
      <c r="L72" s="13">
        <f>IF(ActiveDatabase=Standby,Secondary!L72,Primary!L72)</f>
        <v>0</v>
      </c>
      <c r="M72" s="7">
        <f>IF(ActiveDatabase=Standby,Secondary!M72,Primary!M72)</f>
        <v>0</v>
      </c>
      <c r="N72" s="10">
        <f>IF(ActiveDatabase=Standby,Secondary!N72,Primary!N72)</f>
        <v>0</v>
      </c>
      <c r="O72" s="10">
        <f>IF(ActiveDatabase=Standby,Secondary!O72,Primary!O72)</f>
        <v>0</v>
      </c>
      <c r="P72" s="10">
        <f>IF(ActiveDatabase=Standby,Secondary!P72,Primary!P72)</f>
        <v>0</v>
      </c>
      <c r="Q72" s="6">
        <f>IF(ActiveDatabase=Standby,Secondary!Q72,Primary!Q72)</f>
        <v>0</v>
      </c>
      <c r="R72" s="18">
        <f>IF(ActiveDatabase=Standby,Secondary!R72,Primary!R72)</f>
        <v>0</v>
      </c>
      <c r="S72" s="19">
        <f>IF(ActiveDatabase=Standby,Secondary!S72,Primary!S72)</f>
        <v>0</v>
      </c>
      <c r="T72" s="10">
        <f>IF(ActiveDatabase=Standby,Secondary!T72,Primary!T72)</f>
        <v>0</v>
      </c>
      <c r="U72" s="10">
        <f>IF(ActiveDatabase=Standby,Secondary!U72,Primary!U72)</f>
        <v>0</v>
      </c>
      <c r="V72" s="10">
        <f>IF(ActiveDatabase=Standby,Secondary!V72,Primary!V72)</f>
        <v>0</v>
      </c>
      <c r="W72" s="6">
        <f>IF(ActiveDatabase=Standby,Secondary!W72,Primary!W72)</f>
        <v>0</v>
      </c>
      <c r="X72" s="6">
        <f>IF(ActiveDatabase=Standby,Secondary!X72,Primary!X72)</f>
        <v>0</v>
      </c>
      <c r="Y72" s="12">
        <f>IF(ActiveDatabase=Standby,Secondary!Y72,Primary!Y72)</f>
        <v>0</v>
      </c>
      <c r="Z72" s="12">
        <f>IF(ActiveDatabase=Standby,Secondary!Z72,Primary!Z72)</f>
        <v>0</v>
      </c>
      <c r="AA72" s="9">
        <f>IF(ActiveDatabase=Standby,Secondary!AA72,Primary!AA72)</f>
        <v>0</v>
      </c>
      <c r="AB72" s="12"/>
      <c r="AC72" s="6"/>
      <c r="AD72" s="6"/>
      <c r="AE72" s="7"/>
      <c r="AF72" s="7"/>
      <c r="AG72" s="7"/>
      <c r="AH72" s="7"/>
      <c r="AI72" s="7"/>
      <c r="AJ72" s="7"/>
      <c r="AK72" s="7"/>
      <c r="AL72" s="7"/>
      <c r="AM72" s="7"/>
      <c r="AN72" s="7"/>
      <c r="AO72" s="6"/>
      <c r="AP72" s="7"/>
      <c r="AQ72" s="7"/>
      <c r="AR72" s="6"/>
      <c r="AS72" s="7"/>
      <c r="AT72" s="7"/>
      <c r="AU72" s="7"/>
      <c r="AV72" s="7"/>
      <c r="AW72" s="7"/>
      <c r="AX72" s="7"/>
      <c r="AY72" s="7"/>
      <c r="AZ72" s="7"/>
      <c r="BA72" s="7"/>
      <c r="BB72" s="7"/>
      <c r="BC72" s="7"/>
      <c r="BD72" s="7"/>
      <c r="BE72" s="7"/>
      <c r="BF72" s="7"/>
      <c r="BG72" s="7"/>
    </row>
    <row r="73" customHeight="1" spans="1:59">
      <c r="A73" s="9" t="str">
        <f>IF(ActiveDatabase=Standby,Secondary!A73,Primary!A73)</f>
        <v>Aberdeen 06</v>
      </c>
      <c r="B73" s="5" t="str">
        <f>IF(ActiveDatabase=Standby,Secondary!B73,Primary!B73)</f>
        <v>Aberdeen 27</v>
      </c>
      <c r="C73" s="5" t="str">
        <f>IF(ActiveDatabase=Standby,Secondary!C73,Primary!C73)</f>
        <v>Aberdeen 20</v>
      </c>
      <c r="D73" s="5" t="str">
        <f>IF(ActiveDatabase=Standby,Secondary!D73,Primary!D73)</f>
        <v>Comm Array ST1-92</v>
      </c>
      <c r="E73" s="6" t="str">
        <f>IF(ActiveDatabase=Standby,Secondary!E73,Primary!E73)</f>
        <v>ST1-92</v>
      </c>
      <c r="F73" s="10">
        <f>IF(ActiveDatabase=Standby,Secondary!F73,Primary!F73)</f>
        <v>-435.358516500473</v>
      </c>
      <c r="G73" s="10">
        <f>IF(ActiveDatabase=Standby,Secondary!G73,Primary!G73)</f>
        <v>-45.213629606001</v>
      </c>
      <c r="H73" s="10">
        <f>IF(ActiveDatabase=Standby,Secondary!H73,Primary!H73)</f>
        <v>24</v>
      </c>
      <c r="I73" s="13">
        <f>IF(ActiveDatabase=Standby,Secondary!I73,Primary!I73)</f>
        <v>0</v>
      </c>
      <c r="J73" s="13">
        <f>IF(ActiveDatabase=Standby,Secondary!J73,Primary!J73)</f>
        <v>0</v>
      </c>
      <c r="K73" s="13">
        <f>IF(ActiveDatabase=Standby,Secondary!K73,Primary!K73)</f>
        <v>0</v>
      </c>
      <c r="L73" s="13">
        <f>IF(ActiveDatabase=Standby,Secondary!L73,Primary!L73)</f>
        <v>0</v>
      </c>
      <c r="M73" s="7" t="b">
        <f>IF(ActiveDatabase=Standby,Secondary!M73,Primary!M73)</f>
        <v>1</v>
      </c>
      <c r="N73" s="10">
        <f>IF(ActiveDatabase=Standby,Secondary!N73,Primary!N73)</f>
        <v>0</v>
      </c>
      <c r="O73" s="10">
        <f>IF(ActiveDatabase=Standby,Secondary!O73,Primary!O73)</f>
        <v>0</v>
      </c>
      <c r="P73" s="10">
        <f>IF(ActiveDatabase=Standby,Secondary!P73,Primary!P73)</f>
        <v>0</v>
      </c>
      <c r="Q73" s="6">
        <f>IF(ActiveDatabase=Standby,Secondary!Q73,Primary!Q73)</f>
        <v>0</v>
      </c>
      <c r="R73" s="18">
        <f>IF(ActiveDatabase=Standby,Secondary!R73,Primary!R73)</f>
        <v>0</v>
      </c>
      <c r="S73" s="19">
        <f>IF(ActiveDatabase=Standby,Secondary!S73,Primary!S73)</f>
        <v>0</v>
      </c>
      <c r="T73" s="10">
        <f>IF(ActiveDatabase=Standby,Secondary!T73,Primary!T73)</f>
        <v>0</v>
      </c>
      <c r="U73" s="10">
        <f>IF(ActiveDatabase=Standby,Secondary!U73,Primary!U73)</f>
        <v>0</v>
      </c>
      <c r="V73" s="10">
        <f>IF(ActiveDatabase=Standby,Secondary!V73,Primary!V73)</f>
        <v>0</v>
      </c>
      <c r="W73" s="6">
        <f>IF(ActiveDatabase=Standby,Secondary!W73,Primary!W73)</f>
        <v>0</v>
      </c>
      <c r="X73" s="6">
        <f>IF(ActiveDatabase=Standby,Secondary!X73,Primary!X73)</f>
        <v>0</v>
      </c>
      <c r="Y73" s="12">
        <f>IF(ActiveDatabase=Standby,Secondary!Y73,Primary!Y73)</f>
        <v>0</v>
      </c>
      <c r="Z73" s="12">
        <f>IF(ActiveDatabase=Standby,Secondary!Z73,Primary!Z73)</f>
        <v>0</v>
      </c>
      <c r="AA73" s="9">
        <f>IF(ActiveDatabase=Standby,Secondary!AA73,Primary!AA73)</f>
        <v>0</v>
      </c>
      <c r="AB73" s="12"/>
      <c r="AC73" s="6"/>
      <c r="AD73" s="6"/>
      <c r="AE73" s="7"/>
      <c r="AF73" s="7"/>
      <c r="AG73" s="7"/>
      <c r="AH73" s="7"/>
      <c r="AI73" s="7"/>
      <c r="AJ73" s="7"/>
      <c r="AK73" s="7"/>
      <c r="AL73" s="7"/>
      <c r="AM73" s="7"/>
      <c r="AN73" s="7"/>
      <c r="AO73" s="6"/>
      <c r="AP73" s="7"/>
      <c r="AQ73" s="7"/>
      <c r="AR73" s="6"/>
      <c r="AS73" s="7"/>
      <c r="AT73" s="7"/>
      <c r="AU73" s="7"/>
      <c r="AV73" s="7"/>
      <c r="AW73" s="7"/>
      <c r="AX73" s="7"/>
      <c r="AY73" s="7"/>
      <c r="AZ73" s="7"/>
      <c r="BA73" s="7"/>
      <c r="BB73" s="7"/>
      <c r="BC73" s="7"/>
      <c r="BD73" s="7"/>
      <c r="BE73" s="7"/>
      <c r="BF73" s="7"/>
      <c r="BG73" s="7"/>
    </row>
    <row r="74" customHeight="1" spans="1:59">
      <c r="A74" s="9">
        <f>IF(ActiveDatabase=Standby,Secondary!A74,Primary!A74)</f>
        <v>0</v>
      </c>
      <c r="B74" s="5">
        <f>IF(ActiveDatabase=Standby,Secondary!B74,Primary!B74)</f>
        <v>0</v>
      </c>
      <c r="C74" s="5">
        <f>IF(ActiveDatabase=Standby,Secondary!C74,Primary!C74)</f>
        <v>0</v>
      </c>
      <c r="D74" s="5">
        <f>IF(ActiveDatabase=Standby,Secondary!D74,Primary!D74)</f>
        <v>0</v>
      </c>
      <c r="E74" s="6">
        <f>IF(ActiveDatabase=Standby,Secondary!E74,Primary!E74)</f>
        <v>0</v>
      </c>
      <c r="F74" s="10">
        <f>IF(ActiveDatabase=Standby,Secondary!F74,Primary!F74)</f>
        <v>0</v>
      </c>
      <c r="G74" s="10">
        <f>IF(ActiveDatabase=Standby,Secondary!G74,Primary!G74)</f>
        <v>0</v>
      </c>
      <c r="H74" s="10">
        <f>IF(ActiveDatabase=Standby,Secondary!H74,Primary!H74)</f>
        <v>0</v>
      </c>
      <c r="I74" s="13">
        <f>IF(ActiveDatabase=Standby,Secondary!I74,Primary!I74)</f>
        <v>0</v>
      </c>
      <c r="J74" s="13">
        <f>IF(ActiveDatabase=Standby,Secondary!J74,Primary!J74)</f>
        <v>0</v>
      </c>
      <c r="K74" s="13">
        <f>IF(ActiveDatabase=Standby,Secondary!K74,Primary!K74)</f>
        <v>0</v>
      </c>
      <c r="L74" s="13">
        <f>IF(ActiveDatabase=Standby,Secondary!L74,Primary!L74)</f>
        <v>0</v>
      </c>
      <c r="M74" s="7">
        <f>IF(ActiveDatabase=Standby,Secondary!M74,Primary!M74)</f>
        <v>0</v>
      </c>
      <c r="N74" s="10">
        <f>IF(ActiveDatabase=Standby,Secondary!N74,Primary!N74)</f>
        <v>0</v>
      </c>
      <c r="O74" s="10">
        <f>IF(ActiveDatabase=Standby,Secondary!O74,Primary!O74)</f>
        <v>0</v>
      </c>
      <c r="P74" s="10">
        <f>IF(ActiveDatabase=Standby,Secondary!P74,Primary!P74)</f>
        <v>0</v>
      </c>
      <c r="Q74" s="6">
        <f>IF(ActiveDatabase=Standby,Secondary!Q74,Primary!Q74)</f>
        <v>0</v>
      </c>
      <c r="R74" s="18">
        <f>IF(ActiveDatabase=Standby,Secondary!R74,Primary!R74)</f>
        <v>0</v>
      </c>
      <c r="S74" s="19">
        <f>IF(ActiveDatabase=Standby,Secondary!S74,Primary!S74)</f>
        <v>0</v>
      </c>
      <c r="T74" s="10">
        <f>IF(ActiveDatabase=Standby,Secondary!T74,Primary!T74)</f>
        <v>0</v>
      </c>
      <c r="U74" s="10">
        <f>IF(ActiveDatabase=Standby,Secondary!U74,Primary!U74)</f>
        <v>0</v>
      </c>
      <c r="V74" s="10">
        <f>IF(ActiveDatabase=Standby,Secondary!V74,Primary!V74)</f>
        <v>0</v>
      </c>
      <c r="W74" s="6">
        <f>IF(ActiveDatabase=Standby,Secondary!W74,Primary!W74)</f>
        <v>0</v>
      </c>
      <c r="X74" s="6">
        <f>IF(ActiveDatabase=Standby,Secondary!X74,Primary!X74)</f>
        <v>0</v>
      </c>
      <c r="Y74" s="12">
        <f>IF(ActiveDatabase=Standby,Secondary!Y74,Primary!Y74)</f>
        <v>0</v>
      </c>
      <c r="Z74" s="12">
        <f>IF(ActiveDatabase=Standby,Secondary!Z74,Primary!Z74)</f>
        <v>0</v>
      </c>
      <c r="AA74" s="9">
        <f>IF(ActiveDatabase=Standby,Secondary!AA74,Primary!AA74)</f>
        <v>0</v>
      </c>
      <c r="AB74" s="12"/>
      <c r="AC74" s="6"/>
      <c r="AD74" s="6"/>
      <c r="AE74" s="7"/>
      <c r="AF74" s="7"/>
      <c r="AG74" s="7"/>
      <c r="AH74" s="7"/>
      <c r="AI74" s="7"/>
      <c r="AJ74" s="7"/>
      <c r="AK74" s="7"/>
      <c r="AL74" s="7"/>
      <c r="AM74" s="7"/>
      <c r="AN74" s="7"/>
      <c r="AO74" s="6"/>
      <c r="AP74" s="7"/>
      <c r="AQ74" s="7"/>
      <c r="AR74" s="6"/>
      <c r="AS74" s="7"/>
      <c r="AT74" s="7"/>
      <c r="AU74" s="7"/>
      <c r="AV74" s="7"/>
      <c r="AW74" s="7"/>
      <c r="AX74" s="7"/>
      <c r="AY74" s="7"/>
      <c r="AZ74" s="7"/>
      <c r="BA74" s="7"/>
      <c r="BB74" s="7"/>
      <c r="BC74" s="7"/>
      <c r="BD74" s="7"/>
      <c r="BE74" s="7"/>
      <c r="BF74" s="7"/>
      <c r="BG74" s="7"/>
    </row>
    <row r="75" customHeight="1" spans="1:59">
      <c r="A75" s="9" t="str">
        <f>IF(ActiveDatabase=Standby,Secondary!A75,Primary!A75)</f>
        <v>ArcCorp R01</v>
      </c>
      <c r="B75" s="5" t="str">
        <f>IF(ActiveDatabase=Standby,Secondary!B75,Primary!B75)</f>
        <v>ArcCorp 18</v>
      </c>
      <c r="C75" s="5">
        <f>IF(ActiveDatabase=Standby,Secondary!C75,Primary!C75)</f>
        <v>0</v>
      </c>
      <c r="D75" s="5" t="str">
        <f>IF(ActiveDatabase=Standby,Secondary!D75,Primary!D75)</f>
        <v>OM-1</v>
      </c>
      <c r="E75" s="6" t="str">
        <f>IF(ActiveDatabase=Standby,Secondary!E75,Primary!E75)</f>
        <v>OM1</v>
      </c>
      <c r="F75" s="10">
        <f>IF(ActiveDatabase=Standby,Secondary!F75,Primary!F75)</f>
        <v>0</v>
      </c>
      <c r="G75" s="10">
        <f>IF(ActiveDatabase=Standby,Secondary!G75,Primary!G75)</f>
        <v>0</v>
      </c>
      <c r="H75" s="10">
        <f>IF(ActiveDatabase=Standby,Secondary!H75,Primary!H75)</f>
        <v>1151.452</v>
      </c>
      <c r="I75" s="13">
        <f>IF(ActiveDatabase=Standby,Secondary!I75,Primary!I75)</f>
        <v>0</v>
      </c>
      <c r="J75" s="13">
        <f>IF(ActiveDatabase=Standby,Secondary!J75,Primary!J75)</f>
        <v>0</v>
      </c>
      <c r="K75" s="13">
        <f>IF(ActiveDatabase=Standby,Secondary!K75,Primary!K75)</f>
        <v>0</v>
      </c>
      <c r="L75" s="13">
        <f>IF(ActiveDatabase=Standby,Secondary!L75,Primary!L75)</f>
        <v>0</v>
      </c>
      <c r="M75" s="7" t="b">
        <f>IF(ActiveDatabase=Standby,Secondary!M75,Primary!M75)</f>
        <v>1</v>
      </c>
      <c r="N75" s="10">
        <f>IF(ActiveDatabase=Standby,Secondary!N75,Primary!N75)</f>
        <v>0</v>
      </c>
      <c r="O75" s="10">
        <f>IF(ActiveDatabase=Standby,Secondary!O75,Primary!O75)</f>
        <v>0</v>
      </c>
      <c r="P75" s="10">
        <f>IF(ActiveDatabase=Standby,Secondary!P75,Primary!P75)</f>
        <v>0</v>
      </c>
      <c r="Q75" s="6">
        <f>IF(ActiveDatabase=Standby,Secondary!Q75,Primary!Q75)</f>
        <v>0</v>
      </c>
      <c r="R75" s="18">
        <f>IF(ActiveDatabase=Standby,Secondary!R75,Primary!R75)</f>
        <v>0</v>
      </c>
      <c r="S75" s="19">
        <f>IF(ActiveDatabase=Standby,Secondary!S75,Primary!S75)</f>
        <v>0</v>
      </c>
      <c r="T75" s="10">
        <f>IF(ActiveDatabase=Standby,Secondary!T75,Primary!T75)</f>
        <v>0</v>
      </c>
      <c r="U75" s="10">
        <f>IF(ActiveDatabase=Standby,Secondary!U75,Primary!U75)</f>
        <v>0</v>
      </c>
      <c r="V75" s="10">
        <f>IF(ActiveDatabase=Standby,Secondary!V75,Primary!V75)</f>
        <v>0</v>
      </c>
      <c r="W75" s="6">
        <f>IF(ActiveDatabase=Standby,Secondary!W75,Primary!W75)</f>
        <v>0</v>
      </c>
      <c r="X75" s="6">
        <f>IF(ActiveDatabase=Standby,Secondary!X75,Primary!X75)</f>
        <v>0</v>
      </c>
      <c r="Y75" s="12">
        <f>IF(ActiveDatabase=Standby,Secondary!Y75,Primary!Y75)</f>
        <v>0</v>
      </c>
      <c r="Z75" s="12">
        <f>IF(ActiveDatabase=Standby,Secondary!Z75,Primary!Z75)</f>
        <v>0</v>
      </c>
      <c r="AA75" s="9">
        <f>IF(ActiveDatabase=Standby,Secondary!AA75,Primary!AA75)</f>
        <v>0</v>
      </c>
      <c r="AB75" s="12"/>
      <c r="AC75" s="6"/>
      <c r="AD75" s="6"/>
      <c r="AE75" s="7"/>
      <c r="AF75" s="7"/>
      <c r="AG75" s="7"/>
      <c r="AH75" s="7"/>
      <c r="AI75" s="7"/>
      <c r="AJ75" s="7"/>
      <c r="AK75" s="7"/>
      <c r="AL75" s="7"/>
      <c r="AM75" s="7"/>
      <c r="AN75" s="7"/>
      <c r="AO75" s="6"/>
      <c r="AP75" s="7"/>
      <c r="AQ75" s="7"/>
      <c r="AR75" s="6"/>
      <c r="AS75" s="7"/>
      <c r="AT75" s="7"/>
      <c r="AU75" s="7"/>
      <c r="AV75" s="7"/>
      <c r="AW75" s="7"/>
      <c r="AX75" s="7"/>
      <c r="AY75" s="7"/>
      <c r="AZ75" s="7"/>
      <c r="BA75" s="7"/>
      <c r="BB75" s="7"/>
      <c r="BC75" s="7"/>
      <c r="BD75" s="7"/>
      <c r="BE75" s="7"/>
      <c r="BF75" s="7"/>
      <c r="BG75" s="7"/>
    </row>
    <row r="76" customHeight="1" spans="1:59">
      <c r="A76" s="9" t="str">
        <f>IF(ActiveDatabase=Standby,Secondary!A76,Primary!A76)</f>
        <v>ArcCorp R02</v>
      </c>
      <c r="B76" s="5" t="str">
        <f>IF(ActiveDatabase=Standby,Secondary!B76,Primary!B76)</f>
        <v>ArcCorp 19</v>
      </c>
      <c r="C76" s="5">
        <f>IF(ActiveDatabase=Standby,Secondary!C76,Primary!C76)</f>
        <v>0</v>
      </c>
      <c r="D76" s="5" t="str">
        <f>IF(ActiveDatabase=Standby,Secondary!D76,Primary!D76)</f>
        <v>OM-2</v>
      </c>
      <c r="E76" s="6" t="str">
        <f>IF(ActiveDatabase=Standby,Secondary!E76,Primary!E76)</f>
        <v>OM2</v>
      </c>
      <c r="F76" s="10">
        <f>IF(ActiveDatabase=Standby,Secondary!F76,Primary!F76)</f>
        <v>0</v>
      </c>
      <c r="G76" s="10">
        <f>IF(ActiveDatabase=Standby,Secondary!G76,Primary!G76)</f>
        <v>0</v>
      </c>
      <c r="H76" s="10">
        <f>IF(ActiveDatabase=Standby,Secondary!H76,Primary!H76)</f>
        <v>-1151.452</v>
      </c>
      <c r="I76" s="13">
        <f>IF(ActiveDatabase=Standby,Secondary!I76,Primary!I76)</f>
        <v>0</v>
      </c>
      <c r="J76" s="13">
        <f>IF(ActiveDatabase=Standby,Secondary!J76,Primary!J76)</f>
        <v>0</v>
      </c>
      <c r="K76" s="13">
        <f>IF(ActiveDatabase=Standby,Secondary!K76,Primary!K76)</f>
        <v>0</v>
      </c>
      <c r="L76" s="13">
        <f>IF(ActiveDatabase=Standby,Secondary!L76,Primary!L76)</f>
        <v>0</v>
      </c>
      <c r="M76" s="7" t="b">
        <f>IF(ActiveDatabase=Standby,Secondary!M76,Primary!M76)</f>
        <v>1</v>
      </c>
      <c r="N76" s="10">
        <f>IF(ActiveDatabase=Standby,Secondary!N76,Primary!N76)</f>
        <v>0</v>
      </c>
      <c r="O76" s="10">
        <f>IF(ActiveDatabase=Standby,Secondary!O76,Primary!O76)</f>
        <v>0</v>
      </c>
      <c r="P76" s="10">
        <f>IF(ActiveDatabase=Standby,Secondary!P76,Primary!P76)</f>
        <v>0</v>
      </c>
      <c r="Q76" s="6">
        <f>IF(ActiveDatabase=Standby,Secondary!Q76,Primary!Q76)</f>
        <v>0</v>
      </c>
      <c r="R76" s="18">
        <f>IF(ActiveDatabase=Standby,Secondary!R76,Primary!R76)</f>
        <v>0</v>
      </c>
      <c r="S76" s="19">
        <f>IF(ActiveDatabase=Standby,Secondary!S76,Primary!S76)</f>
        <v>0</v>
      </c>
      <c r="T76" s="10">
        <f>IF(ActiveDatabase=Standby,Secondary!T76,Primary!T76)</f>
        <v>0</v>
      </c>
      <c r="U76" s="10">
        <f>IF(ActiveDatabase=Standby,Secondary!U76,Primary!U76)</f>
        <v>0</v>
      </c>
      <c r="V76" s="10">
        <f>IF(ActiveDatabase=Standby,Secondary!V76,Primary!V76)</f>
        <v>0</v>
      </c>
      <c r="W76" s="6">
        <f>IF(ActiveDatabase=Standby,Secondary!W76,Primary!W76)</f>
        <v>0</v>
      </c>
      <c r="X76" s="6">
        <f>IF(ActiveDatabase=Standby,Secondary!X76,Primary!X76)</f>
        <v>0</v>
      </c>
      <c r="Y76" s="12">
        <f>IF(ActiveDatabase=Standby,Secondary!Y76,Primary!Y76)</f>
        <v>0</v>
      </c>
      <c r="Z76" s="12">
        <f>IF(ActiveDatabase=Standby,Secondary!Z76,Primary!Z76)</f>
        <v>0</v>
      </c>
      <c r="AA76" s="9">
        <f>IF(ActiveDatabase=Standby,Secondary!AA76,Primary!AA76)</f>
        <v>0</v>
      </c>
      <c r="AB76" s="12"/>
      <c r="AC76" s="6"/>
      <c r="AD76" s="6"/>
      <c r="AE76" s="7"/>
      <c r="AF76" s="7"/>
      <c r="AG76" s="7"/>
      <c r="AH76" s="7"/>
      <c r="AI76" s="7"/>
      <c r="AJ76" s="7"/>
      <c r="AK76" s="7"/>
      <c r="AL76" s="7"/>
      <c r="AM76" s="7"/>
      <c r="AN76" s="7"/>
      <c r="AO76" s="6"/>
      <c r="AP76" s="7"/>
      <c r="AQ76" s="7"/>
      <c r="AR76" s="6"/>
      <c r="AS76" s="7"/>
      <c r="AT76" s="7"/>
      <c r="AU76" s="7"/>
      <c r="AV76" s="7"/>
      <c r="AW76" s="7"/>
      <c r="AX76" s="7"/>
      <c r="AY76" s="7"/>
      <c r="AZ76" s="7"/>
      <c r="BA76" s="7"/>
      <c r="BB76" s="7"/>
      <c r="BC76" s="7"/>
      <c r="BD76" s="7"/>
      <c r="BE76" s="7"/>
      <c r="BF76" s="7"/>
      <c r="BG76" s="7"/>
    </row>
    <row r="77" customHeight="1" spans="1:59">
      <c r="A77" s="9" t="str">
        <f>IF(ActiveDatabase=Standby,Secondary!A77,Primary!A77)</f>
        <v>ArcCorp R03</v>
      </c>
      <c r="B77" s="5" t="str">
        <f>IF(ActiveDatabase=Standby,Secondary!B77,Primary!B77)</f>
        <v>ArcCorp 20</v>
      </c>
      <c r="C77" s="5" t="str">
        <f>IF(ActiveDatabase=Standby,Secondary!C77,Primary!C77)</f>
        <v>ArcCorp 01</v>
      </c>
      <c r="D77" s="5" t="str">
        <f>IF(ActiveDatabase=Standby,Secondary!D77,Primary!D77)</f>
        <v>OM-3</v>
      </c>
      <c r="E77" s="6" t="str">
        <f>IF(ActiveDatabase=Standby,Secondary!E77,Primary!E77)</f>
        <v>OM3</v>
      </c>
      <c r="F77" s="10">
        <f>IF(ActiveDatabase=Standby,Secondary!F77,Primary!F77)</f>
        <v>0</v>
      </c>
      <c r="G77" s="10">
        <f>IF(ActiveDatabase=Standby,Secondary!G77,Primary!G77)</f>
        <v>1151.452</v>
      </c>
      <c r="H77" s="10">
        <f>IF(ActiveDatabase=Standby,Secondary!H77,Primary!H77)</f>
        <v>0</v>
      </c>
      <c r="I77" s="13">
        <f>IF(ActiveDatabase=Standby,Secondary!I77,Primary!I77)</f>
        <v>0</v>
      </c>
      <c r="J77" s="13">
        <f>IF(ActiveDatabase=Standby,Secondary!J77,Primary!J77)</f>
        <v>0</v>
      </c>
      <c r="K77" s="13">
        <f>IF(ActiveDatabase=Standby,Secondary!K77,Primary!K77)</f>
        <v>0</v>
      </c>
      <c r="L77" s="13">
        <f>IF(ActiveDatabase=Standby,Secondary!L77,Primary!L77)</f>
        <v>0</v>
      </c>
      <c r="M77" s="7" t="b">
        <f>IF(ActiveDatabase=Standby,Secondary!M77,Primary!M77)</f>
        <v>1</v>
      </c>
      <c r="N77" s="10">
        <f>IF(ActiveDatabase=Standby,Secondary!N77,Primary!N77)</f>
        <v>0</v>
      </c>
      <c r="O77" s="10">
        <f>IF(ActiveDatabase=Standby,Secondary!O77,Primary!O77)</f>
        <v>0</v>
      </c>
      <c r="P77" s="10">
        <f>IF(ActiveDatabase=Standby,Secondary!P77,Primary!P77)</f>
        <v>0</v>
      </c>
      <c r="Q77" s="6">
        <f>IF(ActiveDatabase=Standby,Secondary!Q77,Primary!Q77)</f>
        <v>0</v>
      </c>
      <c r="R77" s="18">
        <f>IF(ActiveDatabase=Standby,Secondary!R77,Primary!R77)</f>
        <v>0</v>
      </c>
      <c r="S77" s="19">
        <f>IF(ActiveDatabase=Standby,Secondary!S77,Primary!S77)</f>
        <v>0</v>
      </c>
      <c r="T77" s="10">
        <f>IF(ActiveDatabase=Standby,Secondary!T77,Primary!T77)</f>
        <v>0</v>
      </c>
      <c r="U77" s="10">
        <f>IF(ActiveDatabase=Standby,Secondary!U77,Primary!U77)</f>
        <v>0</v>
      </c>
      <c r="V77" s="10">
        <f>IF(ActiveDatabase=Standby,Secondary!V77,Primary!V77)</f>
        <v>0</v>
      </c>
      <c r="W77" s="6">
        <f>IF(ActiveDatabase=Standby,Secondary!W77,Primary!W77)</f>
        <v>0</v>
      </c>
      <c r="X77" s="6">
        <f>IF(ActiveDatabase=Standby,Secondary!X77,Primary!X77)</f>
        <v>0</v>
      </c>
      <c r="Y77" s="12">
        <f>IF(ActiveDatabase=Standby,Secondary!Y77,Primary!Y77)</f>
        <v>0</v>
      </c>
      <c r="Z77" s="12">
        <f>IF(ActiveDatabase=Standby,Secondary!Z77,Primary!Z77)</f>
        <v>0</v>
      </c>
      <c r="AA77" s="9">
        <f>IF(ActiveDatabase=Standby,Secondary!AA77,Primary!AA77)</f>
        <v>0</v>
      </c>
      <c r="AB77" s="12"/>
      <c r="AC77" s="6"/>
      <c r="AD77" s="6"/>
      <c r="AE77" s="7"/>
      <c r="AF77" s="7"/>
      <c r="AG77" s="7"/>
      <c r="AH77" s="7"/>
      <c r="AI77" s="7"/>
      <c r="AJ77" s="7"/>
      <c r="AK77" s="7"/>
      <c r="AL77" s="7"/>
      <c r="AM77" s="7"/>
      <c r="AN77" s="7"/>
      <c r="AO77" s="6"/>
      <c r="AP77" s="7"/>
      <c r="AQ77" s="7"/>
      <c r="AR77" s="6"/>
      <c r="AS77" s="7"/>
      <c r="AT77" s="7"/>
      <c r="AU77" s="7"/>
      <c r="AV77" s="7"/>
      <c r="AW77" s="7"/>
      <c r="AX77" s="7"/>
      <c r="AY77" s="7"/>
      <c r="AZ77" s="7"/>
      <c r="BA77" s="7"/>
      <c r="BB77" s="7"/>
      <c r="BC77" s="7"/>
      <c r="BD77" s="7"/>
      <c r="BE77" s="7"/>
      <c r="BF77" s="7"/>
      <c r="BG77" s="7"/>
    </row>
    <row r="78" customHeight="1" spans="1:59">
      <c r="A78" s="9" t="str">
        <f>IF(ActiveDatabase=Standby,Secondary!A78,Primary!A78)</f>
        <v>ArcCorp R04</v>
      </c>
      <c r="B78" s="5" t="str">
        <f>IF(ActiveDatabase=Standby,Secondary!B78,Primary!B78)</f>
        <v>ArcCorp 21</v>
      </c>
      <c r="C78" s="5" t="str">
        <f>IF(ActiveDatabase=Standby,Secondary!C78,Primary!C78)</f>
        <v>ArcCorp 06</v>
      </c>
      <c r="D78" s="5" t="str">
        <f>IF(ActiveDatabase=Standby,Secondary!D78,Primary!D78)</f>
        <v>OM-4</v>
      </c>
      <c r="E78" s="6" t="str">
        <f>IF(ActiveDatabase=Standby,Secondary!E78,Primary!E78)</f>
        <v>OM4</v>
      </c>
      <c r="F78" s="10">
        <f>IF(ActiveDatabase=Standby,Secondary!F78,Primary!F78)</f>
        <v>0</v>
      </c>
      <c r="G78" s="10">
        <f>IF(ActiveDatabase=Standby,Secondary!G78,Primary!G78)</f>
        <v>-1151.452</v>
      </c>
      <c r="H78" s="10">
        <f>IF(ActiveDatabase=Standby,Secondary!H78,Primary!H78)</f>
        <v>0</v>
      </c>
      <c r="I78" s="13">
        <f>IF(ActiveDatabase=Standby,Secondary!I78,Primary!I78)</f>
        <v>0</v>
      </c>
      <c r="J78" s="13">
        <f>IF(ActiveDatabase=Standby,Secondary!J78,Primary!J78)</f>
        <v>0</v>
      </c>
      <c r="K78" s="13">
        <f>IF(ActiveDatabase=Standby,Secondary!K78,Primary!K78)</f>
        <v>0</v>
      </c>
      <c r="L78" s="13">
        <f>IF(ActiveDatabase=Standby,Secondary!L78,Primary!L78)</f>
        <v>0</v>
      </c>
      <c r="M78" s="7" t="b">
        <f>IF(ActiveDatabase=Standby,Secondary!M78,Primary!M78)</f>
        <v>1</v>
      </c>
      <c r="N78" s="10">
        <f>IF(ActiveDatabase=Standby,Secondary!N78,Primary!N78)</f>
        <v>0</v>
      </c>
      <c r="O78" s="10">
        <f>IF(ActiveDatabase=Standby,Secondary!O78,Primary!O78)</f>
        <v>0</v>
      </c>
      <c r="P78" s="10">
        <f>IF(ActiveDatabase=Standby,Secondary!P78,Primary!P78)</f>
        <v>0</v>
      </c>
      <c r="Q78" s="6">
        <f>IF(ActiveDatabase=Standby,Secondary!Q78,Primary!Q78)</f>
        <v>0</v>
      </c>
      <c r="R78" s="18">
        <f>IF(ActiveDatabase=Standby,Secondary!R78,Primary!R78)</f>
        <v>0</v>
      </c>
      <c r="S78" s="19">
        <f>IF(ActiveDatabase=Standby,Secondary!S78,Primary!S78)</f>
        <v>0</v>
      </c>
      <c r="T78" s="10">
        <f>IF(ActiveDatabase=Standby,Secondary!T78,Primary!T78)</f>
        <v>0</v>
      </c>
      <c r="U78" s="10">
        <f>IF(ActiveDatabase=Standby,Secondary!U78,Primary!U78)</f>
        <v>0</v>
      </c>
      <c r="V78" s="10">
        <f>IF(ActiveDatabase=Standby,Secondary!V78,Primary!V78)</f>
        <v>0</v>
      </c>
      <c r="W78" s="6">
        <f>IF(ActiveDatabase=Standby,Secondary!W78,Primary!W78)</f>
        <v>0</v>
      </c>
      <c r="X78" s="6">
        <f>IF(ActiveDatabase=Standby,Secondary!X78,Primary!X78)</f>
        <v>0</v>
      </c>
      <c r="Y78" s="12">
        <f>IF(ActiveDatabase=Standby,Secondary!Y78,Primary!Y78)</f>
        <v>0</v>
      </c>
      <c r="Z78" s="12">
        <f>IF(ActiveDatabase=Standby,Secondary!Z78,Primary!Z78)</f>
        <v>0</v>
      </c>
      <c r="AA78" s="9">
        <f>IF(ActiveDatabase=Standby,Secondary!AA78,Primary!AA78)</f>
        <v>0</v>
      </c>
      <c r="AB78" s="12"/>
      <c r="AC78" s="6"/>
      <c r="AD78" s="6"/>
      <c r="AE78" s="7"/>
      <c r="AF78" s="7"/>
      <c r="AG78" s="7"/>
      <c r="AH78" s="7"/>
      <c r="AI78" s="7"/>
      <c r="AJ78" s="7"/>
      <c r="AK78" s="7"/>
      <c r="AL78" s="7"/>
      <c r="AM78" s="7"/>
      <c r="AN78" s="7"/>
      <c r="AO78" s="6"/>
      <c r="AP78" s="7"/>
      <c r="AQ78" s="7"/>
      <c r="AR78" s="6"/>
      <c r="AS78" s="7"/>
      <c r="AT78" s="7"/>
      <c r="AU78" s="7"/>
      <c r="AV78" s="7"/>
      <c r="AW78" s="7"/>
      <c r="AX78" s="7"/>
      <c r="AY78" s="7"/>
      <c r="AZ78" s="7"/>
      <c r="BA78" s="7"/>
      <c r="BB78" s="7"/>
      <c r="BC78" s="7"/>
      <c r="BD78" s="7"/>
      <c r="BE78" s="7"/>
      <c r="BF78" s="7"/>
      <c r="BG78" s="7"/>
    </row>
    <row r="79" customHeight="1" spans="1:59">
      <c r="A79" s="9" t="str">
        <f>IF(ActiveDatabase=Standby,Secondary!A79,Primary!A79)</f>
        <v>ArcCorp R05</v>
      </c>
      <c r="B79" s="5" t="str">
        <f>IF(ActiveDatabase=Standby,Secondary!B79,Primary!B79)</f>
        <v>ArcCorp 22</v>
      </c>
      <c r="C79" s="5" t="str">
        <f>IF(ActiveDatabase=Standby,Secondary!C79,Primary!C79)</f>
        <v>ArcCorp 04</v>
      </c>
      <c r="D79" s="5" t="str">
        <f>IF(ActiveDatabase=Standby,Secondary!D79,Primary!D79)</f>
        <v>OM-5</v>
      </c>
      <c r="E79" s="6" t="str">
        <f>IF(ActiveDatabase=Standby,Secondary!E79,Primary!E79)</f>
        <v>OM5</v>
      </c>
      <c r="F79" s="10">
        <f>IF(ActiveDatabase=Standby,Secondary!F79,Primary!F79)</f>
        <v>1151.452</v>
      </c>
      <c r="G79" s="10">
        <f>IF(ActiveDatabase=Standby,Secondary!G79,Primary!G79)</f>
        <v>0</v>
      </c>
      <c r="H79" s="10">
        <f>IF(ActiveDatabase=Standby,Secondary!H79,Primary!H79)</f>
        <v>0</v>
      </c>
      <c r="I79" s="13">
        <f>IF(ActiveDatabase=Standby,Secondary!I79,Primary!I79)</f>
        <v>0</v>
      </c>
      <c r="J79" s="13">
        <f>IF(ActiveDatabase=Standby,Secondary!J79,Primary!J79)</f>
        <v>0</v>
      </c>
      <c r="K79" s="13">
        <f>IF(ActiveDatabase=Standby,Secondary!K79,Primary!K79)</f>
        <v>0</v>
      </c>
      <c r="L79" s="13">
        <f>IF(ActiveDatabase=Standby,Secondary!L79,Primary!L79)</f>
        <v>0</v>
      </c>
      <c r="M79" s="7" t="b">
        <f>IF(ActiveDatabase=Standby,Secondary!M79,Primary!M79)</f>
        <v>1</v>
      </c>
      <c r="N79" s="10">
        <f>IF(ActiveDatabase=Standby,Secondary!N79,Primary!N79)</f>
        <v>0</v>
      </c>
      <c r="O79" s="10">
        <f>IF(ActiveDatabase=Standby,Secondary!O79,Primary!O79)</f>
        <v>0</v>
      </c>
      <c r="P79" s="10">
        <f>IF(ActiveDatabase=Standby,Secondary!P79,Primary!P79)</f>
        <v>0</v>
      </c>
      <c r="Q79" s="6">
        <f>IF(ActiveDatabase=Standby,Secondary!Q79,Primary!Q79)</f>
        <v>0</v>
      </c>
      <c r="R79" s="18">
        <f>IF(ActiveDatabase=Standby,Secondary!R79,Primary!R79)</f>
        <v>0</v>
      </c>
      <c r="S79" s="19">
        <f>IF(ActiveDatabase=Standby,Secondary!S79,Primary!S79)</f>
        <v>0</v>
      </c>
      <c r="T79" s="10">
        <f>IF(ActiveDatabase=Standby,Secondary!T79,Primary!T79)</f>
        <v>0</v>
      </c>
      <c r="U79" s="10">
        <f>IF(ActiveDatabase=Standby,Secondary!U79,Primary!U79)</f>
        <v>0</v>
      </c>
      <c r="V79" s="10">
        <f>IF(ActiveDatabase=Standby,Secondary!V79,Primary!V79)</f>
        <v>0</v>
      </c>
      <c r="W79" s="6">
        <f>IF(ActiveDatabase=Standby,Secondary!W79,Primary!W79)</f>
        <v>0</v>
      </c>
      <c r="X79" s="6">
        <f>IF(ActiveDatabase=Standby,Secondary!X79,Primary!X79)</f>
        <v>0</v>
      </c>
      <c r="Y79" s="12">
        <f>IF(ActiveDatabase=Standby,Secondary!Y79,Primary!Y79)</f>
        <v>0</v>
      </c>
      <c r="Z79" s="12">
        <f>IF(ActiveDatabase=Standby,Secondary!Z79,Primary!Z79)</f>
        <v>0</v>
      </c>
      <c r="AA79" s="9">
        <f>IF(ActiveDatabase=Standby,Secondary!AA79,Primary!AA79)</f>
        <v>0</v>
      </c>
      <c r="AB79" s="12"/>
      <c r="AC79" s="6"/>
      <c r="AD79" s="6"/>
      <c r="AE79" s="7"/>
      <c r="AF79" s="7"/>
      <c r="AG79" s="7"/>
      <c r="AH79" s="7"/>
      <c r="AI79" s="7"/>
      <c r="AJ79" s="7"/>
      <c r="AK79" s="7"/>
      <c r="AL79" s="7"/>
      <c r="AM79" s="7"/>
      <c r="AN79" s="7"/>
      <c r="AO79" s="6"/>
      <c r="AP79" s="7"/>
      <c r="AQ79" s="7"/>
      <c r="AR79" s="6"/>
      <c r="AS79" s="7"/>
      <c r="AT79" s="7"/>
      <c r="AU79" s="7"/>
      <c r="AV79" s="7"/>
      <c r="AW79" s="7"/>
      <c r="AX79" s="7"/>
      <c r="AY79" s="7"/>
      <c r="AZ79" s="7"/>
      <c r="BA79" s="7"/>
      <c r="BB79" s="7"/>
      <c r="BC79" s="7"/>
      <c r="BD79" s="7"/>
      <c r="BE79" s="7"/>
      <c r="BF79" s="7"/>
      <c r="BG79" s="7"/>
    </row>
    <row r="80" customHeight="1" spans="1:59">
      <c r="A80" s="9" t="str">
        <f>IF(ActiveDatabase=Standby,Secondary!A80,Primary!A80)</f>
        <v>ArcCorp R06</v>
      </c>
      <c r="B80" s="5" t="str">
        <f>IF(ActiveDatabase=Standby,Secondary!B80,Primary!B80)</f>
        <v>ArcCorp 23</v>
      </c>
      <c r="C80" s="5" t="str">
        <f>IF(ActiveDatabase=Standby,Secondary!C80,Primary!C80)</f>
        <v>ArcCorp 14</v>
      </c>
      <c r="D80" s="5" t="str">
        <f>IF(ActiveDatabase=Standby,Secondary!D80,Primary!D80)</f>
        <v>OM-6</v>
      </c>
      <c r="E80" s="6" t="str">
        <f>IF(ActiveDatabase=Standby,Secondary!E80,Primary!E80)</f>
        <v>OM6</v>
      </c>
      <c r="F80" s="10">
        <f>IF(ActiveDatabase=Standby,Secondary!F80,Primary!F80)</f>
        <v>-1151.452</v>
      </c>
      <c r="G80" s="10">
        <f>IF(ActiveDatabase=Standby,Secondary!G80,Primary!G80)</f>
        <v>0</v>
      </c>
      <c r="H80" s="10">
        <f>IF(ActiveDatabase=Standby,Secondary!H80,Primary!H80)</f>
        <v>0</v>
      </c>
      <c r="I80" s="13">
        <f>IF(ActiveDatabase=Standby,Secondary!I80,Primary!I80)</f>
        <v>0</v>
      </c>
      <c r="J80" s="13">
        <f>IF(ActiveDatabase=Standby,Secondary!J80,Primary!J80)</f>
        <v>0</v>
      </c>
      <c r="K80" s="13">
        <f>IF(ActiveDatabase=Standby,Secondary!K80,Primary!K80)</f>
        <v>0</v>
      </c>
      <c r="L80" s="13">
        <f>IF(ActiveDatabase=Standby,Secondary!L80,Primary!L80)</f>
        <v>0</v>
      </c>
      <c r="M80" s="7" t="b">
        <f>IF(ActiveDatabase=Standby,Secondary!M80,Primary!M80)</f>
        <v>1</v>
      </c>
      <c r="N80" s="10">
        <f>IF(ActiveDatabase=Standby,Secondary!N80,Primary!N80)</f>
        <v>0</v>
      </c>
      <c r="O80" s="10">
        <f>IF(ActiveDatabase=Standby,Secondary!O80,Primary!O80)</f>
        <v>0</v>
      </c>
      <c r="P80" s="10">
        <f>IF(ActiveDatabase=Standby,Secondary!P80,Primary!P80)</f>
        <v>0</v>
      </c>
      <c r="Q80" s="6">
        <f>IF(ActiveDatabase=Standby,Secondary!Q80,Primary!Q80)</f>
        <v>0</v>
      </c>
      <c r="R80" s="18">
        <f>IF(ActiveDatabase=Standby,Secondary!R80,Primary!R80)</f>
        <v>0</v>
      </c>
      <c r="S80" s="19">
        <f>IF(ActiveDatabase=Standby,Secondary!S80,Primary!S80)</f>
        <v>0</v>
      </c>
      <c r="T80" s="10">
        <f>IF(ActiveDatabase=Standby,Secondary!T80,Primary!T80)</f>
        <v>0</v>
      </c>
      <c r="U80" s="10">
        <f>IF(ActiveDatabase=Standby,Secondary!U80,Primary!U80)</f>
        <v>0</v>
      </c>
      <c r="V80" s="10">
        <f>IF(ActiveDatabase=Standby,Secondary!V80,Primary!V80)</f>
        <v>0</v>
      </c>
      <c r="W80" s="6">
        <f>IF(ActiveDatabase=Standby,Secondary!W80,Primary!W80)</f>
        <v>0</v>
      </c>
      <c r="X80" s="6">
        <f>IF(ActiveDatabase=Standby,Secondary!X80,Primary!X80)</f>
        <v>0</v>
      </c>
      <c r="Y80" s="12">
        <f>IF(ActiveDatabase=Standby,Secondary!Y80,Primary!Y80)</f>
        <v>0</v>
      </c>
      <c r="Z80" s="12">
        <f>IF(ActiveDatabase=Standby,Secondary!Z80,Primary!Z80)</f>
        <v>0</v>
      </c>
      <c r="AA80" s="9">
        <f>IF(ActiveDatabase=Standby,Secondary!AA80,Primary!AA80)</f>
        <v>0</v>
      </c>
      <c r="AB80" s="12"/>
      <c r="AC80" s="6"/>
      <c r="AD80" s="6"/>
      <c r="AE80" s="7"/>
      <c r="AF80" s="7"/>
      <c r="AG80" s="7"/>
      <c r="AH80" s="7"/>
      <c r="AI80" s="7"/>
      <c r="AJ80" s="7"/>
      <c r="AK80" s="7"/>
      <c r="AL80" s="7"/>
      <c r="AM80" s="7"/>
      <c r="AN80" s="7"/>
      <c r="AO80" s="6"/>
      <c r="AP80" s="7"/>
      <c r="AQ80" s="7"/>
      <c r="AR80" s="6"/>
      <c r="AS80" s="7"/>
      <c r="AT80" s="7"/>
      <c r="AU80" s="7"/>
      <c r="AV80" s="7"/>
      <c r="AW80" s="7"/>
      <c r="AX80" s="7"/>
      <c r="AY80" s="7"/>
      <c r="AZ80" s="7"/>
      <c r="BA80" s="7"/>
      <c r="BB80" s="7"/>
      <c r="BC80" s="7"/>
      <c r="BD80" s="7"/>
      <c r="BE80" s="7"/>
      <c r="BF80" s="7"/>
      <c r="BG80" s="7"/>
    </row>
    <row r="81" customHeight="1" spans="1:59">
      <c r="A81" s="9" t="str">
        <f>IF(ActiveDatabase=Standby,Secondary!A81,Primary!A81)</f>
        <v>ArcCorp</v>
      </c>
      <c r="B81" s="5" t="str">
        <f>IF(ActiveDatabase=Standby,Secondary!B81,Primary!B81)</f>
        <v>ArcCorp 00</v>
      </c>
      <c r="C81" s="5">
        <f>IF(ActiveDatabase=Standby,Secondary!C81,Primary!C81)</f>
        <v>0</v>
      </c>
      <c r="D81" s="5" t="str">
        <f>IF(ActiveDatabase=Standby,Secondary!D81,Primary!D81)</f>
        <v>Landing Zone</v>
      </c>
      <c r="E81" s="6">
        <f>IF(ActiveDatabase=Standby,Secondary!E81,Primary!E81)</f>
        <v>0</v>
      </c>
      <c r="F81" s="10">
        <f>IF(ActiveDatabase=Standby,Secondary!F81,Primary!F81)</f>
        <v>0</v>
      </c>
      <c r="G81" s="10">
        <f>IF(ActiveDatabase=Standby,Secondary!G81,Primary!G81)</f>
        <v>0</v>
      </c>
      <c r="H81" s="10">
        <f>IF(ActiveDatabase=Standby,Secondary!H81,Primary!H81)</f>
        <v>0</v>
      </c>
      <c r="I81" s="13">
        <f>IF(ActiveDatabase=Standby,Secondary!I81,Primary!I81)</f>
        <v>0</v>
      </c>
      <c r="J81" s="13">
        <f>IF(ActiveDatabase=Standby,Secondary!J81,Primary!J81)</f>
        <v>0</v>
      </c>
      <c r="K81" s="13">
        <f>IF(ActiveDatabase=Standby,Secondary!K81,Primary!K81)</f>
        <v>0</v>
      </c>
      <c r="L81" s="13">
        <f>IF(ActiveDatabase=Standby,Secondary!L81,Primary!L81)</f>
        <v>0</v>
      </c>
      <c r="M81" s="7">
        <f>IF(ActiveDatabase=Standby,Secondary!M81,Primary!M81)</f>
        <v>0</v>
      </c>
      <c r="N81" s="10">
        <f>IF(ActiveDatabase=Standby,Secondary!N81,Primary!N81)</f>
        <v>0</v>
      </c>
      <c r="O81" s="10">
        <f>IF(ActiveDatabase=Standby,Secondary!O81,Primary!O81)</f>
        <v>0</v>
      </c>
      <c r="P81" s="10">
        <f>IF(ActiveDatabase=Standby,Secondary!P81,Primary!P81)</f>
        <v>0</v>
      </c>
      <c r="Q81" s="6">
        <f>IF(ActiveDatabase=Standby,Secondary!Q81,Primary!Q81)</f>
        <v>0</v>
      </c>
      <c r="R81" s="18">
        <f>IF(ActiveDatabase=Standby,Secondary!R81,Primary!R81)</f>
        <v>0</v>
      </c>
      <c r="S81" s="19">
        <f>IF(ActiveDatabase=Standby,Secondary!S81,Primary!S81)</f>
        <v>0</v>
      </c>
      <c r="T81" s="10">
        <f>IF(ActiveDatabase=Standby,Secondary!T81,Primary!T81)</f>
        <v>0</v>
      </c>
      <c r="U81" s="10">
        <f>IF(ActiveDatabase=Standby,Secondary!U81,Primary!U81)</f>
        <v>0</v>
      </c>
      <c r="V81" s="10">
        <f>IF(ActiveDatabase=Standby,Secondary!V81,Primary!V81)</f>
        <v>0</v>
      </c>
      <c r="W81" s="6">
        <f>IF(ActiveDatabase=Standby,Secondary!W81,Primary!W81)</f>
        <v>0</v>
      </c>
      <c r="X81" s="6">
        <f>IF(ActiveDatabase=Standby,Secondary!X81,Primary!X81)</f>
        <v>0</v>
      </c>
      <c r="Y81" s="12">
        <f>IF(ActiveDatabase=Standby,Secondary!Y81,Primary!Y81)</f>
        <v>0</v>
      </c>
      <c r="Z81" s="12">
        <f>IF(ActiveDatabase=Standby,Secondary!Z81,Primary!Z81)</f>
        <v>0</v>
      </c>
      <c r="AA81" s="9">
        <f>IF(ActiveDatabase=Standby,Secondary!AA81,Primary!AA81)</f>
        <v>0</v>
      </c>
      <c r="AB81" s="12"/>
      <c r="AC81" s="6"/>
      <c r="AD81" s="6"/>
      <c r="AE81" s="7"/>
      <c r="AF81" s="7"/>
      <c r="AG81" s="7"/>
      <c r="AH81" s="7"/>
      <c r="AI81" s="7"/>
      <c r="AJ81" s="7"/>
      <c r="AK81" s="7"/>
      <c r="AL81" s="7"/>
      <c r="AM81" s="7"/>
      <c r="AN81" s="7"/>
      <c r="AO81" s="6"/>
      <c r="AP81" s="7"/>
      <c r="AQ81" s="7"/>
      <c r="AR81" s="6"/>
      <c r="AS81" s="7"/>
      <c r="AT81" s="7"/>
      <c r="AU81" s="7"/>
      <c r="AV81" s="7"/>
      <c r="AW81" s="7"/>
      <c r="AX81" s="7"/>
      <c r="AY81" s="7"/>
      <c r="AZ81" s="7"/>
      <c r="BA81" s="7"/>
      <c r="BB81" s="7"/>
      <c r="BC81" s="7"/>
      <c r="BD81" s="7"/>
      <c r="BE81" s="7"/>
      <c r="BF81" s="7"/>
      <c r="BG81" s="7"/>
    </row>
    <row r="82" customHeight="1" spans="1:59">
      <c r="A82" s="9" t="str">
        <f>IF(ActiveDatabase=Standby,Secondary!A82,Primary!A82)</f>
        <v>ArcCorp 01</v>
      </c>
      <c r="B82" s="5" t="str">
        <f>IF(ActiveDatabase=Standby,Secondary!B82,Primary!B82)</f>
        <v>ArcCorp 01</v>
      </c>
      <c r="C82" s="5" t="str">
        <f>IF(ActiveDatabase=Standby,Secondary!C82,Primary!C82)</f>
        <v>ArcCorp 11</v>
      </c>
      <c r="D82" s="5" t="str">
        <f>IF(ActiveDatabase=Standby,Secondary!D82,Primary!D82)</f>
        <v>Area 18</v>
      </c>
      <c r="E82" s="6" t="str">
        <f>IF(ActiveDatabase=Standby,Secondary!E82,Primary!E82)</f>
        <v>Area 18</v>
      </c>
      <c r="F82" s="10">
        <f>IF(ActiveDatabase=Standby,Secondary!F82,Primary!F82)</f>
        <v>-747.409136838</v>
      </c>
      <c r="G82" s="10">
        <f>IF(ActiveDatabase=Standby,Secondary!G82,Primary!G82)</f>
        <v>-116.733519176</v>
      </c>
      <c r="H82" s="10">
        <f>IF(ActiveDatabase=Standby,Secondary!H82,Primary!H82)</f>
        <v>-262.094438105999</v>
      </c>
      <c r="I82" s="13">
        <f>IF(ActiveDatabase=Standby,Secondary!I82,Primary!I82)</f>
        <v>0</v>
      </c>
      <c r="J82" s="13">
        <f>IF(ActiveDatabase=Standby,Secondary!J82,Primary!J82)</f>
        <v>0</v>
      </c>
      <c r="K82" s="13">
        <f>IF(ActiveDatabase=Standby,Secondary!K82,Primary!K82)</f>
        <v>0</v>
      </c>
      <c r="L82" s="13">
        <f>IF(ActiveDatabase=Standby,Secondary!L82,Primary!L82)</f>
        <v>0</v>
      </c>
      <c r="M82" s="7" t="b">
        <f>IF(ActiveDatabase=Standby,Secondary!M82,Primary!M82)</f>
        <v>1</v>
      </c>
      <c r="N82" s="10">
        <f>IF(ActiveDatabase=Standby,Secondary!N82,Primary!N82)</f>
        <v>0</v>
      </c>
      <c r="O82" s="10">
        <f>IF(ActiveDatabase=Standby,Secondary!O82,Primary!O82)</f>
        <v>0</v>
      </c>
      <c r="P82" s="10">
        <f>IF(ActiveDatabase=Standby,Secondary!P82,Primary!P82)</f>
        <v>0</v>
      </c>
      <c r="Q82" s="6">
        <f>IF(ActiveDatabase=Standby,Secondary!Q82,Primary!Q82)</f>
        <v>0</v>
      </c>
      <c r="R82" s="18">
        <f>IF(ActiveDatabase=Standby,Secondary!R82,Primary!R82)</f>
        <v>0</v>
      </c>
      <c r="S82" s="19">
        <f>IF(ActiveDatabase=Standby,Secondary!S82,Primary!S82)</f>
        <v>0</v>
      </c>
      <c r="T82" s="10">
        <f>IF(ActiveDatabase=Standby,Secondary!T82,Primary!T82)</f>
        <v>0</v>
      </c>
      <c r="U82" s="10">
        <f>IF(ActiveDatabase=Standby,Secondary!U82,Primary!U82)</f>
        <v>0</v>
      </c>
      <c r="V82" s="10">
        <f>IF(ActiveDatabase=Standby,Secondary!V82,Primary!V82)</f>
        <v>0</v>
      </c>
      <c r="W82" s="6">
        <f>IF(ActiveDatabase=Standby,Secondary!W82,Primary!W82)</f>
        <v>0</v>
      </c>
      <c r="X82" s="6">
        <f>IF(ActiveDatabase=Standby,Secondary!X82,Primary!X82)</f>
        <v>0</v>
      </c>
      <c r="Y82" s="12">
        <f>IF(ActiveDatabase=Standby,Secondary!Y82,Primary!Y82)</f>
        <v>0</v>
      </c>
      <c r="Z82" s="12">
        <f>IF(ActiveDatabase=Standby,Secondary!Z82,Primary!Z82)</f>
        <v>0</v>
      </c>
      <c r="AA82" s="9">
        <f>IF(ActiveDatabase=Standby,Secondary!AA82,Primary!AA82)</f>
        <v>0</v>
      </c>
      <c r="AB82" s="12"/>
      <c r="AC82" s="6"/>
      <c r="AD82" s="6"/>
      <c r="AE82" s="7"/>
      <c r="AF82" s="7"/>
      <c r="AG82" s="7"/>
      <c r="AH82" s="7"/>
      <c r="AI82" s="7"/>
      <c r="AJ82" s="7"/>
      <c r="AK82" s="7"/>
      <c r="AL82" s="7"/>
      <c r="AM82" s="7"/>
      <c r="AN82" s="7"/>
      <c r="AO82" s="6"/>
      <c r="AP82" s="7"/>
      <c r="AQ82" s="7"/>
      <c r="AR82" s="6"/>
      <c r="AS82" s="7"/>
      <c r="AT82" s="7"/>
      <c r="AU82" s="7"/>
      <c r="AV82" s="7"/>
      <c r="AW82" s="7"/>
      <c r="AX82" s="7"/>
      <c r="AY82" s="7"/>
      <c r="AZ82" s="7"/>
      <c r="BA82" s="7"/>
      <c r="BB82" s="7"/>
      <c r="BC82" s="7"/>
      <c r="BD82" s="7"/>
      <c r="BE82" s="7"/>
      <c r="BF82" s="7"/>
      <c r="BG82" s="7"/>
    </row>
    <row r="83" customHeight="1" spans="1:59">
      <c r="A83" s="9" t="str">
        <f>IF(ActiveDatabase=Standby,Secondary!A83,Primary!A83)</f>
        <v>ArcCorp 10</v>
      </c>
      <c r="B83" s="5" t="str">
        <f>IF(ActiveDatabase=Standby,Secondary!B83,Primary!B83)</f>
        <v>ArcCorp 02</v>
      </c>
      <c r="C83" s="5" t="str">
        <f>IF(ActiveDatabase=Standby,Secondary!C83,Primary!C83)</f>
        <v>ArcCorp 13</v>
      </c>
      <c r="D83" s="5" t="str">
        <f>IF(ActiveDatabase=Standby,Secondary!D83,Primary!D83)</f>
        <v>Riker Memorial Spaceport</v>
      </c>
      <c r="E83" s="6" t="str">
        <f>IF(ActiveDatabase=Standby,Secondary!E83,Primary!E83)</f>
        <v>Riker</v>
      </c>
      <c r="F83" s="10">
        <f>IF(ActiveDatabase=Standby,Secondary!F83,Primary!F83)</f>
        <v>-748.361331199837</v>
      </c>
      <c r="G83" s="10">
        <f>IF(ActiveDatabase=Standby,Secondary!G83,Primary!G83)</f>
        <v>-103.662810667519</v>
      </c>
      <c r="H83" s="10">
        <f>IF(ActiveDatabase=Standby,Secondary!H83,Primary!H83)</f>
        <v>-263.811313496571</v>
      </c>
      <c r="I83" s="13">
        <f>IF(ActiveDatabase=Standby,Secondary!I83,Primary!I83)</f>
        <v>0</v>
      </c>
      <c r="J83" s="13">
        <f>IF(ActiveDatabase=Standby,Secondary!J83,Primary!J83)</f>
        <v>0</v>
      </c>
      <c r="K83" s="13">
        <f>IF(ActiveDatabase=Standby,Secondary!K83,Primary!K83)</f>
        <v>0</v>
      </c>
      <c r="L83" s="13">
        <f>IF(ActiveDatabase=Standby,Secondary!L83,Primary!L83)</f>
        <v>0</v>
      </c>
      <c r="M83" s="7" t="b">
        <f>IF(ActiveDatabase=Standby,Secondary!M83,Primary!M83)</f>
        <v>0</v>
      </c>
      <c r="N83" s="10">
        <f>IF(ActiveDatabase=Standby,Secondary!N83,Primary!N83)</f>
        <v>0</v>
      </c>
      <c r="O83" s="10">
        <f>IF(ActiveDatabase=Standby,Secondary!O83,Primary!O83)</f>
        <v>0</v>
      </c>
      <c r="P83" s="10">
        <f>IF(ActiveDatabase=Standby,Secondary!P83,Primary!P83)</f>
        <v>0</v>
      </c>
      <c r="Q83" s="6">
        <f>IF(ActiveDatabase=Standby,Secondary!Q83,Primary!Q83)</f>
        <v>0</v>
      </c>
      <c r="R83" s="18">
        <f>IF(ActiveDatabase=Standby,Secondary!R83,Primary!R83)</f>
        <v>0</v>
      </c>
      <c r="S83" s="19">
        <f>IF(ActiveDatabase=Standby,Secondary!S83,Primary!S83)</f>
        <v>0</v>
      </c>
      <c r="T83" s="10">
        <f>IF(ActiveDatabase=Standby,Secondary!T83,Primary!T83)</f>
        <v>0</v>
      </c>
      <c r="U83" s="10">
        <f>IF(ActiveDatabase=Standby,Secondary!U83,Primary!U83)</f>
        <v>0</v>
      </c>
      <c r="V83" s="10">
        <f>IF(ActiveDatabase=Standby,Secondary!V83,Primary!V83)</f>
        <v>0</v>
      </c>
      <c r="W83" s="6">
        <f>IF(ActiveDatabase=Standby,Secondary!W83,Primary!W83)</f>
        <v>0</v>
      </c>
      <c r="X83" s="6">
        <f>IF(ActiveDatabase=Standby,Secondary!X83,Primary!X83)</f>
        <v>0</v>
      </c>
      <c r="Y83" s="12">
        <f>IF(ActiveDatabase=Standby,Secondary!Y83,Primary!Y83)</f>
        <v>0</v>
      </c>
      <c r="Z83" s="12">
        <f>IF(ActiveDatabase=Standby,Secondary!Z83,Primary!Z83)</f>
        <v>0</v>
      </c>
      <c r="AA83" s="9">
        <f>IF(ActiveDatabase=Standby,Secondary!AA83,Primary!AA83)</f>
        <v>0</v>
      </c>
      <c r="AB83" s="12"/>
      <c r="AC83" s="6"/>
      <c r="AD83" s="6"/>
      <c r="AE83" s="7"/>
      <c r="AF83" s="7"/>
      <c r="AG83" s="7"/>
      <c r="AH83" s="7"/>
      <c r="AI83" s="7"/>
      <c r="AJ83" s="7"/>
      <c r="AK83" s="7"/>
      <c r="AL83" s="7"/>
      <c r="AM83" s="7"/>
      <c r="AN83" s="7"/>
      <c r="AO83" s="6"/>
      <c r="AP83" s="7"/>
      <c r="AQ83" s="7"/>
      <c r="AR83" s="6"/>
      <c r="AS83" s="7"/>
      <c r="AT83" s="7"/>
      <c r="AU83" s="7"/>
      <c r="AV83" s="7"/>
      <c r="AW83" s="7"/>
      <c r="AX83" s="7"/>
      <c r="AY83" s="7"/>
      <c r="AZ83" s="7"/>
      <c r="BA83" s="7"/>
      <c r="BB83" s="7"/>
      <c r="BC83" s="7"/>
      <c r="BD83" s="7"/>
      <c r="BE83" s="7"/>
      <c r="BF83" s="7"/>
      <c r="BG83" s="7"/>
    </row>
    <row r="84" customHeight="1" spans="1:59">
      <c r="A84" s="9" t="str">
        <f>IF(ActiveDatabase=Standby,Secondary!A84,Primary!A84)</f>
        <v>ArcCorp 02</v>
      </c>
      <c r="B84" s="5" t="str">
        <f>IF(ActiveDatabase=Standby,Secondary!B84,Primary!B84)</f>
        <v>ArcCorp 03</v>
      </c>
      <c r="C84" s="5" t="str">
        <f>IF(ActiveDatabase=Standby,Secondary!C84,Primary!C84)</f>
        <v>ArcCorp 09</v>
      </c>
      <c r="D84" s="5" t="str">
        <f>IF(ActiveDatabase=Standby,Secondary!D84,Primary!D84)</f>
        <v>Baijini Point</v>
      </c>
      <c r="E84" s="6" t="str">
        <f>IF(ActiveDatabase=Standby,Secondary!E84,Primary!E84)</f>
        <v>Baijini</v>
      </c>
      <c r="F84" s="10">
        <f>IF(ActiveDatabase=Standby,Secondary!F84,Primary!F84)</f>
        <v>-771.9605625</v>
      </c>
      <c r="G84" s="10">
        <f>IF(ActiveDatabase=Standby,Secondary!G84,Primary!G84)</f>
        <v>-321.34721875</v>
      </c>
      <c r="H84" s="10">
        <f>IF(ActiveDatabase=Standby,Secondary!H84,Primary!H84)</f>
        <v>-359.50934375</v>
      </c>
      <c r="I84" s="13">
        <f>IF(ActiveDatabase=Standby,Secondary!I84,Primary!I84)</f>
        <v>0</v>
      </c>
      <c r="J84" s="13">
        <f>IF(ActiveDatabase=Standby,Secondary!J84,Primary!J84)</f>
        <v>0</v>
      </c>
      <c r="K84" s="13">
        <f>IF(ActiveDatabase=Standby,Secondary!K84,Primary!K84)</f>
        <v>0</v>
      </c>
      <c r="L84" s="13">
        <f>IF(ActiveDatabase=Standby,Secondary!L84,Primary!L84)</f>
        <v>0</v>
      </c>
      <c r="M84" s="7" t="b">
        <f>IF(ActiveDatabase=Standby,Secondary!M84,Primary!M84)</f>
        <v>1</v>
      </c>
      <c r="N84" s="10">
        <f>IF(ActiveDatabase=Standby,Secondary!N84,Primary!N84)</f>
        <v>0</v>
      </c>
      <c r="O84" s="10">
        <f>IF(ActiveDatabase=Standby,Secondary!O84,Primary!O84)</f>
        <v>0</v>
      </c>
      <c r="P84" s="10">
        <f>IF(ActiveDatabase=Standby,Secondary!P84,Primary!P84)</f>
        <v>0</v>
      </c>
      <c r="Q84" s="6">
        <f>IF(ActiveDatabase=Standby,Secondary!Q84,Primary!Q84)</f>
        <v>0</v>
      </c>
      <c r="R84" s="18">
        <f>IF(ActiveDatabase=Standby,Secondary!R84,Primary!R84)</f>
        <v>0</v>
      </c>
      <c r="S84" s="19">
        <f>IF(ActiveDatabase=Standby,Secondary!S84,Primary!S84)</f>
        <v>0</v>
      </c>
      <c r="T84" s="10">
        <f>IF(ActiveDatabase=Standby,Secondary!T84,Primary!T84)</f>
        <v>0</v>
      </c>
      <c r="U84" s="10">
        <f>IF(ActiveDatabase=Standby,Secondary!U84,Primary!U84)</f>
        <v>0</v>
      </c>
      <c r="V84" s="10">
        <f>IF(ActiveDatabase=Standby,Secondary!V84,Primary!V84)</f>
        <v>0</v>
      </c>
      <c r="W84" s="6">
        <f>IF(ActiveDatabase=Standby,Secondary!W84,Primary!W84)</f>
        <v>0</v>
      </c>
      <c r="X84" s="6">
        <f>IF(ActiveDatabase=Standby,Secondary!X84,Primary!X84)</f>
        <v>0</v>
      </c>
      <c r="Y84" s="12">
        <f>IF(ActiveDatabase=Standby,Secondary!Y84,Primary!Y84)</f>
        <v>0</v>
      </c>
      <c r="Z84" s="12">
        <f>IF(ActiveDatabase=Standby,Secondary!Z84,Primary!Z84)</f>
        <v>0</v>
      </c>
      <c r="AA84" s="9">
        <f>IF(ActiveDatabase=Standby,Secondary!AA84,Primary!AA84)</f>
        <v>0</v>
      </c>
      <c r="AB84" s="12"/>
      <c r="AC84" s="6"/>
      <c r="AD84" s="6"/>
      <c r="AE84" s="7"/>
      <c r="AF84" s="7"/>
      <c r="AG84" s="7"/>
      <c r="AH84" s="7"/>
      <c r="AI84" s="7"/>
      <c r="AJ84" s="7"/>
      <c r="AK84" s="7"/>
      <c r="AL84" s="7"/>
      <c r="AM84" s="7"/>
      <c r="AN84" s="7"/>
      <c r="AO84" s="6"/>
      <c r="AP84" s="7"/>
      <c r="AQ84" s="7"/>
      <c r="AR84" s="6"/>
      <c r="AS84" s="7"/>
      <c r="AT84" s="7"/>
      <c r="AU84" s="7"/>
      <c r="AV84" s="7"/>
      <c r="AW84" s="7"/>
      <c r="AX84" s="7"/>
      <c r="AY84" s="7"/>
      <c r="AZ84" s="7"/>
      <c r="BA84" s="7"/>
      <c r="BB84" s="7"/>
      <c r="BC84" s="7"/>
      <c r="BD84" s="7"/>
      <c r="BE84" s="7"/>
      <c r="BF84" s="7"/>
      <c r="BG84" s="7"/>
    </row>
    <row r="85" customHeight="1" spans="1:59">
      <c r="A85" s="9" t="str">
        <f>IF(ActiveDatabase=Standby,Secondary!A85,Primary!A85)</f>
        <v>ArcCorp</v>
      </c>
      <c r="B85" s="5" t="str">
        <f>IF(ActiveDatabase=Standby,Secondary!B85,Primary!B85)</f>
        <v>ArcCorp 05</v>
      </c>
      <c r="C85" s="5">
        <f>IF(ActiveDatabase=Standby,Secondary!C85,Primary!C85)</f>
        <v>0</v>
      </c>
      <c r="D85" s="5" t="str">
        <f>IF(ActiveDatabase=Standby,Secondary!D85,Primary!D85)</f>
        <v>Other Areas</v>
      </c>
      <c r="E85" s="6">
        <f>IF(ActiveDatabase=Standby,Secondary!E85,Primary!E85)</f>
        <v>0</v>
      </c>
      <c r="F85" s="10">
        <f>IF(ActiveDatabase=Standby,Secondary!F85,Primary!F85)</f>
        <v>0</v>
      </c>
      <c r="G85" s="10">
        <f>IF(ActiveDatabase=Standby,Secondary!G85,Primary!G85)</f>
        <v>0</v>
      </c>
      <c r="H85" s="10">
        <f>IF(ActiveDatabase=Standby,Secondary!H85,Primary!H85)</f>
        <v>0</v>
      </c>
      <c r="I85" s="13">
        <f>IF(ActiveDatabase=Standby,Secondary!I85,Primary!I85)</f>
        <v>0</v>
      </c>
      <c r="J85" s="13">
        <f>IF(ActiveDatabase=Standby,Secondary!J85,Primary!J85)</f>
        <v>0</v>
      </c>
      <c r="K85" s="13">
        <f>IF(ActiveDatabase=Standby,Secondary!K85,Primary!K85)</f>
        <v>0</v>
      </c>
      <c r="L85" s="13">
        <f>IF(ActiveDatabase=Standby,Secondary!L85,Primary!L85)</f>
        <v>0</v>
      </c>
      <c r="M85" s="7">
        <f>IF(ActiveDatabase=Standby,Secondary!M85,Primary!M85)</f>
        <v>0</v>
      </c>
      <c r="N85" s="10">
        <f>IF(ActiveDatabase=Standby,Secondary!N85,Primary!N85)</f>
        <v>0</v>
      </c>
      <c r="O85" s="10">
        <f>IF(ActiveDatabase=Standby,Secondary!O85,Primary!O85)</f>
        <v>0</v>
      </c>
      <c r="P85" s="10">
        <f>IF(ActiveDatabase=Standby,Secondary!P85,Primary!P85)</f>
        <v>0</v>
      </c>
      <c r="Q85" s="6">
        <f>IF(ActiveDatabase=Standby,Secondary!Q85,Primary!Q85)</f>
        <v>0</v>
      </c>
      <c r="R85" s="18">
        <f>IF(ActiveDatabase=Standby,Secondary!R85,Primary!R85)</f>
        <v>0</v>
      </c>
      <c r="S85" s="19">
        <f>IF(ActiveDatabase=Standby,Secondary!S85,Primary!S85)</f>
        <v>0</v>
      </c>
      <c r="T85" s="10">
        <f>IF(ActiveDatabase=Standby,Secondary!T85,Primary!T85)</f>
        <v>0</v>
      </c>
      <c r="U85" s="10">
        <f>IF(ActiveDatabase=Standby,Secondary!U85,Primary!U85)</f>
        <v>0</v>
      </c>
      <c r="V85" s="10">
        <f>IF(ActiveDatabase=Standby,Secondary!V85,Primary!V85)</f>
        <v>0</v>
      </c>
      <c r="W85" s="6">
        <f>IF(ActiveDatabase=Standby,Secondary!W85,Primary!W85)</f>
        <v>0</v>
      </c>
      <c r="X85" s="6">
        <f>IF(ActiveDatabase=Standby,Secondary!X85,Primary!X85)</f>
        <v>0</v>
      </c>
      <c r="Y85" s="12">
        <f>IF(ActiveDatabase=Standby,Secondary!Y85,Primary!Y85)</f>
        <v>0</v>
      </c>
      <c r="Z85" s="12">
        <f>IF(ActiveDatabase=Standby,Secondary!Z85,Primary!Z85)</f>
        <v>0</v>
      </c>
      <c r="AA85" s="9">
        <f>IF(ActiveDatabase=Standby,Secondary!AA85,Primary!AA85)</f>
        <v>0</v>
      </c>
      <c r="AB85" s="12"/>
      <c r="AC85" s="6"/>
      <c r="AD85" s="6"/>
      <c r="AE85" s="7"/>
      <c r="AF85" s="7"/>
      <c r="AG85" s="7"/>
      <c r="AH85" s="7"/>
      <c r="AI85" s="7"/>
      <c r="AJ85" s="7"/>
      <c r="AK85" s="7"/>
      <c r="AL85" s="7"/>
      <c r="AM85" s="7"/>
      <c r="AN85" s="7"/>
      <c r="AO85" s="6"/>
      <c r="AP85" s="7"/>
      <c r="AQ85" s="7"/>
      <c r="AR85" s="6"/>
      <c r="AS85" s="7"/>
      <c r="AT85" s="7"/>
      <c r="AU85" s="7"/>
      <c r="AV85" s="7"/>
      <c r="AW85" s="7"/>
      <c r="AX85" s="7"/>
      <c r="AY85" s="7"/>
      <c r="AZ85" s="7"/>
      <c r="BA85" s="7"/>
      <c r="BB85" s="7"/>
      <c r="BC85" s="7"/>
      <c r="BD85" s="7"/>
      <c r="BE85" s="7"/>
      <c r="BF85" s="7"/>
      <c r="BG85" s="7"/>
    </row>
    <row r="86" customHeight="1" spans="1:59">
      <c r="A86" s="9" t="str">
        <f>IF(ActiveDatabase=Standby,Secondary!A86,Primary!A86)</f>
        <v>ArcCorp 04</v>
      </c>
      <c r="B86" s="5" t="str">
        <f>IF(ActiveDatabase=Standby,Secondary!B86,Primary!B86)</f>
        <v>ArcCorp 06</v>
      </c>
      <c r="C86" s="5" t="str">
        <f>IF(ActiveDatabase=Standby,Secondary!C86,Primary!C86)</f>
        <v>ArcCorp 08</v>
      </c>
      <c r="D86" s="5" t="str">
        <f>IF(ActiveDatabase=Standby,Secondary!D86,Primary!D86)</f>
        <v>Area 04</v>
      </c>
      <c r="E86" s="6" t="str">
        <f>IF(ActiveDatabase=Standby,Secondary!E86,Primary!E86)</f>
        <v>Area 04</v>
      </c>
      <c r="F86" s="10">
        <f>IF(ActiveDatabase=Standby,Secondary!F86,Primary!F86)</f>
        <v>-314.30627262595</v>
      </c>
      <c r="G86" s="10">
        <f>IF(ActiveDatabase=Standby,Secondary!G86,Primary!G86)</f>
        <v>-601.435300324063</v>
      </c>
      <c r="H86" s="10">
        <f>IF(ActiveDatabase=Standby,Secondary!H86,Primary!H86)</f>
        <v>423.658971631491</v>
      </c>
      <c r="I86" s="13">
        <f>IF(ActiveDatabase=Standby,Secondary!I86,Primary!I86)</f>
        <v>0</v>
      </c>
      <c r="J86" s="13">
        <f>IF(ActiveDatabase=Standby,Secondary!J86,Primary!J86)</f>
        <v>0</v>
      </c>
      <c r="K86" s="13">
        <f>IF(ActiveDatabase=Standby,Secondary!K86,Primary!K86)</f>
        <v>0</v>
      </c>
      <c r="L86" s="13">
        <f>IF(ActiveDatabase=Standby,Secondary!L86,Primary!L86)</f>
        <v>0</v>
      </c>
      <c r="M86" s="7" t="b">
        <f>IF(ActiveDatabase=Standby,Secondary!M86,Primary!M86)</f>
        <v>1</v>
      </c>
      <c r="N86" s="10">
        <f>IF(ActiveDatabase=Standby,Secondary!N86,Primary!N86)</f>
        <v>0</v>
      </c>
      <c r="O86" s="10">
        <f>IF(ActiveDatabase=Standby,Secondary!O86,Primary!O86)</f>
        <v>0</v>
      </c>
      <c r="P86" s="10">
        <f>IF(ActiveDatabase=Standby,Secondary!P86,Primary!P86)</f>
        <v>0</v>
      </c>
      <c r="Q86" s="6">
        <f>IF(ActiveDatabase=Standby,Secondary!Q86,Primary!Q86)</f>
        <v>0</v>
      </c>
      <c r="R86" s="18">
        <f>IF(ActiveDatabase=Standby,Secondary!R86,Primary!R86)</f>
        <v>0</v>
      </c>
      <c r="S86" s="19">
        <f>IF(ActiveDatabase=Standby,Secondary!S86,Primary!S86)</f>
        <v>0</v>
      </c>
      <c r="T86" s="10">
        <f>IF(ActiveDatabase=Standby,Secondary!T86,Primary!T86)</f>
        <v>0</v>
      </c>
      <c r="U86" s="10">
        <f>IF(ActiveDatabase=Standby,Secondary!U86,Primary!U86)</f>
        <v>0</v>
      </c>
      <c r="V86" s="10">
        <f>IF(ActiveDatabase=Standby,Secondary!V86,Primary!V86)</f>
        <v>0</v>
      </c>
      <c r="W86" s="6">
        <f>IF(ActiveDatabase=Standby,Secondary!W86,Primary!W86)</f>
        <v>0</v>
      </c>
      <c r="X86" s="6">
        <f>IF(ActiveDatabase=Standby,Secondary!X86,Primary!X86)</f>
        <v>0</v>
      </c>
      <c r="Y86" s="12">
        <f>IF(ActiveDatabase=Standby,Secondary!Y86,Primary!Y86)</f>
        <v>0</v>
      </c>
      <c r="Z86" s="12">
        <f>IF(ActiveDatabase=Standby,Secondary!Z86,Primary!Z86)</f>
        <v>0</v>
      </c>
      <c r="AA86" s="9">
        <f>IF(ActiveDatabase=Standby,Secondary!AA86,Primary!AA86)</f>
        <v>0</v>
      </c>
      <c r="AB86" s="12"/>
      <c r="AC86" s="6"/>
      <c r="AD86" s="6"/>
      <c r="AE86" s="7"/>
      <c r="AF86" s="7"/>
      <c r="AG86" s="7"/>
      <c r="AH86" s="7"/>
      <c r="AI86" s="7"/>
      <c r="AJ86" s="7"/>
      <c r="AK86" s="7"/>
      <c r="AL86" s="7"/>
      <c r="AM86" s="7"/>
      <c r="AN86" s="7"/>
      <c r="AO86" s="6"/>
      <c r="AP86" s="7"/>
      <c r="AQ86" s="7"/>
      <c r="AR86" s="6"/>
      <c r="AS86" s="7"/>
      <c r="AT86" s="7"/>
      <c r="AU86" s="7"/>
      <c r="AV86" s="7"/>
      <c r="AW86" s="7"/>
      <c r="AX86" s="7"/>
      <c r="AY86" s="7"/>
      <c r="AZ86" s="7"/>
      <c r="BA86" s="7"/>
      <c r="BB86" s="7"/>
      <c r="BC86" s="7"/>
      <c r="BD86" s="7"/>
      <c r="BE86" s="7"/>
      <c r="BF86" s="7"/>
      <c r="BG86" s="7"/>
    </row>
    <row r="87" customHeight="1" spans="1:59">
      <c r="A87" s="9" t="str">
        <f>IF(ActiveDatabase=Standby,Secondary!A87,Primary!A87)</f>
        <v>ArcCorp 05</v>
      </c>
      <c r="B87" s="5" t="str">
        <f>IF(ActiveDatabase=Standby,Secondary!B87,Primary!B87)</f>
        <v>ArcCorp 07</v>
      </c>
      <c r="C87" s="5" t="str">
        <f>IF(ActiveDatabase=Standby,Secondary!C87,Primary!C87)</f>
        <v>ArcCorp 12</v>
      </c>
      <c r="D87" s="5" t="str">
        <f>IF(ActiveDatabase=Standby,Secondary!D87,Primary!D87)</f>
        <v>Area 06</v>
      </c>
      <c r="E87" s="6" t="str">
        <f>IF(ActiveDatabase=Standby,Secondary!E87,Primary!E87)</f>
        <v>Area 06</v>
      </c>
      <c r="F87" s="10">
        <f>IF(ActiveDatabase=Standby,Secondary!F87,Primary!F87)</f>
        <v>-745.806098015556</v>
      </c>
      <c r="G87" s="10">
        <f>IF(ActiveDatabase=Standby,Secondary!G87,Primary!G87)</f>
        <v>-111.306101015363</v>
      </c>
      <c r="H87" s="10">
        <f>IF(ActiveDatabase=Standby,Secondary!H87,Primary!H87)</f>
        <v>267.379807230525</v>
      </c>
      <c r="I87" s="13">
        <f>IF(ActiveDatabase=Standby,Secondary!I87,Primary!I87)</f>
        <v>0</v>
      </c>
      <c r="J87" s="13">
        <f>IF(ActiveDatabase=Standby,Secondary!J87,Primary!J87)</f>
        <v>0</v>
      </c>
      <c r="K87" s="13">
        <f>IF(ActiveDatabase=Standby,Secondary!K87,Primary!K87)</f>
        <v>0</v>
      </c>
      <c r="L87" s="13">
        <f>IF(ActiveDatabase=Standby,Secondary!L87,Primary!L87)</f>
        <v>0</v>
      </c>
      <c r="M87" s="7" t="b">
        <f>IF(ActiveDatabase=Standby,Secondary!M87,Primary!M87)</f>
        <v>1</v>
      </c>
      <c r="N87" s="10">
        <f>IF(ActiveDatabase=Standby,Secondary!N87,Primary!N87)</f>
        <v>0</v>
      </c>
      <c r="O87" s="10">
        <f>IF(ActiveDatabase=Standby,Secondary!O87,Primary!O87)</f>
        <v>0</v>
      </c>
      <c r="P87" s="10">
        <f>IF(ActiveDatabase=Standby,Secondary!P87,Primary!P87)</f>
        <v>0</v>
      </c>
      <c r="Q87" s="6">
        <f>IF(ActiveDatabase=Standby,Secondary!Q87,Primary!Q87)</f>
        <v>0</v>
      </c>
      <c r="R87" s="18">
        <f>IF(ActiveDatabase=Standby,Secondary!R87,Primary!R87)</f>
        <v>0</v>
      </c>
      <c r="S87" s="19">
        <f>IF(ActiveDatabase=Standby,Secondary!S87,Primary!S87)</f>
        <v>0</v>
      </c>
      <c r="T87" s="10">
        <f>IF(ActiveDatabase=Standby,Secondary!T87,Primary!T87)</f>
        <v>0</v>
      </c>
      <c r="U87" s="10">
        <f>IF(ActiveDatabase=Standby,Secondary!U87,Primary!U87)</f>
        <v>0</v>
      </c>
      <c r="V87" s="10">
        <f>IF(ActiveDatabase=Standby,Secondary!V87,Primary!V87)</f>
        <v>0</v>
      </c>
      <c r="W87" s="6">
        <f>IF(ActiveDatabase=Standby,Secondary!W87,Primary!W87)</f>
        <v>0</v>
      </c>
      <c r="X87" s="6">
        <f>IF(ActiveDatabase=Standby,Secondary!X87,Primary!X87)</f>
        <v>0</v>
      </c>
      <c r="Y87" s="12">
        <f>IF(ActiveDatabase=Standby,Secondary!Y87,Primary!Y87)</f>
        <v>0</v>
      </c>
      <c r="Z87" s="12">
        <f>IF(ActiveDatabase=Standby,Secondary!Z87,Primary!Z87)</f>
        <v>0</v>
      </c>
      <c r="AA87" s="9">
        <f>IF(ActiveDatabase=Standby,Secondary!AA87,Primary!AA87)</f>
        <v>0</v>
      </c>
      <c r="AB87" s="12"/>
      <c r="AC87" s="6"/>
      <c r="AD87" s="6"/>
      <c r="AE87" s="7"/>
      <c r="AF87" s="7"/>
      <c r="AG87" s="7"/>
      <c r="AH87" s="7"/>
      <c r="AI87" s="7"/>
      <c r="AJ87" s="7"/>
      <c r="AK87" s="7"/>
      <c r="AL87" s="7"/>
      <c r="AM87" s="7"/>
      <c r="AN87" s="7"/>
      <c r="AO87" s="6"/>
      <c r="AP87" s="7"/>
      <c r="AQ87" s="7"/>
      <c r="AR87" s="6"/>
      <c r="AS87" s="7"/>
      <c r="AT87" s="7"/>
      <c r="AU87" s="7"/>
      <c r="AV87" s="7"/>
      <c r="AW87" s="7"/>
      <c r="AX87" s="7"/>
      <c r="AY87" s="7"/>
      <c r="AZ87" s="7"/>
      <c r="BA87" s="7"/>
      <c r="BB87" s="7"/>
      <c r="BC87" s="7"/>
      <c r="BD87" s="7"/>
      <c r="BE87" s="7"/>
      <c r="BF87" s="7"/>
      <c r="BG87" s="7"/>
    </row>
    <row r="88" customHeight="1" spans="1:59">
      <c r="A88" s="9" t="str">
        <f>IF(ActiveDatabase=Standby,Secondary!A88,Primary!A88)</f>
        <v>ArcCorp 06</v>
      </c>
      <c r="B88" s="5" t="str">
        <f>IF(ActiveDatabase=Standby,Secondary!B88,Primary!B88)</f>
        <v>ArcCorp 08</v>
      </c>
      <c r="C88" s="5" t="str">
        <f>IF(ActiveDatabase=Standby,Secondary!C88,Primary!C88)</f>
        <v>ArcCorp 03</v>
      </c>
      <c r="D88" s="5" t="str">
        <f>IF(ActiveDatabase=Standby,Secondary!D88,Primary!D88)</f>
        <v>Area 11</v>
      </c>
      <c r="E88" s="6" t="str">
        <f>IF(ActiveDatabase=Standby,Secondary!E88,Primary!E88)</f>
        <v>Area 11</v>
      </c>
      <c r="F88" s="10">
        <f>IF(ActiveDatabase=Standby,Secondary!F88,Primary!F88)</f>
        <v>508.203690113667</v>
      </c>
      <c r="G88" s="10">
        <f>IF(ActiveDatabase=Standby,Secondary!G88,Primary!G88)</f>
        <v>397.589314300851</v>
      </c>
      <c r="H88" s="10">
        <f>IF(ActiveDatabase=Standby,Secondary!H88,Primary!H88)</f>
        <v>472.921663609141</v>
      </c>
      <c r="I88" s="13">
        <f>IF(ActiveDatabase=Standby,Secondary!I88,Primary!I88)</f>
        <v>0</v>
      </c>
      <c r="J88" s="13">
        <f>IF(ActiveDatabase=Standby,Secondary!J88,Primary!J88)</f>
        <v>0</v>
      </c>
      <c r="K88" s="13">
        <f>IF(ActiveDatabase=Standby,Secondary!K88,Primary!K88)</f>
        <v>0</v>
      </c>
      <c r="L88" s="13">
        <f>IF(ActiveDatabase=Standby,Secondary!L88,Primary!L88)</f>
        <v>0</v>
      </c>
      <c r="M88" s="7" t="b">
        <f>IF(ActiveDatabase=Standby,Secondary!M88,Primary!M88)</f>
        <v>1</v>
      </c>
      <c r="N88" s="10">
        <f>IF(ActiveDatabase=Standby,Secondary!N88,Primary!N88)</f>
        <v>0</v>
      </c>
      <c r="O88" s="10">
        <f>IF(ActiveDatabase=Standby,Secondary!O88,Primary!O88)</f>
        <v>0</v>
      </c>
      <c r="P88" s="10">
        <f>IF(ActiveDatabase=Standby,Secondary!P88,Primary!P88)</f>
        <v>0</v>
      </c>
      <c r="Q88" s="6">
        <f>IF(ActiveDatabase=Standby,Secondary!Q88,Primary!Q88)</f>
        <v>0</v>
      </c>
      <c r="R88" s="18">
        <f>IF(ActiveDatabase=Standby,Secondary!R88,Primary!R88)</f>
        <v>0</v>
      </c>
      <c r="S88" s="19">
        <f>IF(ActiveDatabase=Standby,Secondary!S88,Primary!S88)</f>
        <v>0</v>
      </c>
      <c r="T88" s="10">
        <f>IF(ActiveDatabase=Standby,Secondary!T88,Primary!T88)</f>
        <v>0</v>
      </c>
      <c r="U88" s="10">
        <f>IF(ActiveDatabase=Standby,Secondary!U88,Primary!U88)</f>
        <v>0</v>
      </c>
      <c r="V88" s="10">
        <f>IF(ActiveDatabase=Standby,Secondary!V88,Primary!V88)</f>
        <v>0</v>
      </c>
      <c r="W88" s="6">
        <f>IF(ActiveDatabase=Standby,Secondary!W88,Primary!W88)</f>
        <v>0</v>
      </c>
      <c r="X88" s="6">
        <f>IF(ActiveDatabase=Standby,Secondary!X88,Primary!X88)</f>
        <v>0</v>
      </c>
      <c r="Y88" s="12">
        <f>IF(ActiveDatabase=Standby,Secondary!Y88,Primary!Y88)</f>
        <v>0</v>
      </c>
      <c r="Z88" s="12">
        <f>IF(ActiveDatabase=Standby,Secondary!Z88,Primary!Z88)</f>
        <v>0</v>
      </c>
      <c r="AA88" s="9">
        <f>IF(ActiveDatabase=Standby,Secondary!AA88,Primary!AA88)</f>
        <v>0</v>
      </c>
      <c r="AB88" s="12"/>
      <c r="AC88" s="6"/>
      <c r="AD88" s="6"/>
      <c r="AE88" s="7"/>
      <c r="AF88" s="7"/>
      <c r="AG88" s="7"/>
      <c r="AH88" s="7"/>
      <c r="AI88" s="7"/>
      <c r="AJ88" s="7"/>
      <c r="AK88" s="7"/>
      <c r="AL88" s="7"/>
      <c r="AM88" s="7"/>
      <c r="AN88" s="7"/>
      <c r="AO88" s="6"/>
      <c r="AP88" s="7"/>
      <c r="AQ88" s="7"/>
      <c r="AR88" s="6"/>
      <c r="AS88" s="7"/>
      <c r="AT88" s="7"/>
      <c r="AU88" s="7"/>
      <c r="AV88" s="7"/>
      <c r="AW88" s="7"/>
      <c r="AX88" s="7"/>
      <c r="AY88" s="7"/>
      <c r="AZ88" s="7"/>
      <c r="BA88" s="7"/>
      <c r="BB88" s="7"/>
      <c r="BC88" s="7"/>
      <c r="BD88" s="7"/>
      <c r="BE88" s="7"/>
      <c r="BF88" s="7"/>
      <c r="BG88" s="7"/>
    </row>
    <row r="89" customHeight="1" spans="1:59">
      <c r="A89" s="9" t="str">
        <f>IF(ActiveDatabase=Standby,Secondary!A89,Primary!A89)</f>
        <v>ArcCorp 07</v>
      </c>
      <c r="B89" s="5" t="str">
        <f>IF(ActiveDatabase=Standby,Secondary!B89,Primary!B89)</f>
        <v>ArcCorp 09</v>
      </c>
      <c r="C89" s="5" t="str">
        <f>IF(ActiveDatabase=Standby,Secondary!C89,Primary!C89)</f>
        <v>ArcCorp 07</v>
      </c>
      <c r="D89" s="5" t="str">
        <f>IF(ActiveDatabase=Standby,Secondary!D89,Primary!D89)</f>
        <v>Area 17</v>
      </c>
      <c r="E89" s="6" t="str">
        <f>IF(ActiveDatabase=Standby,Secondary!E89,Primary!E89)</f>
        <v>Area 17</v>
      </c>
      <c r="F89" s="10">
        <f>IF(ActiveDatabase=Standby,Secondary!F89,Primary!F89)</f>
        <v>-310.289620619919</v>
      </c>
      <c r="G89" s="10">
        <f>IF(ActiveDatabase=Standby,Secondary!G89,Primary!G89)</f>
        <v>-601.810944957003</v>
      </c>
      <c r="H89" s="10">
        <f>IF(ActiveDatabase=Standby,Secondary!H89,Primary!H89)</f>
        <v>-425.980479792219</v>
      </c>
      <c r="I89" s="13">
        <f>IF(ActiveDatabase=Standby,Secondary!I89,Primary!I89)</f>
        <v>0</v>
      </c>
      <c r="J89" s="13">
        <f>IF(ActiveDatabase=Standby,Secondary!J89,Primary!J89)</f>
        <v>0</v>
      </c>
      <c r="K89" s="13">
        <f>IF(ActiveDatabase=Standby,Secondary!K89,Primary!K89)</f>
        <v>0</v>
      </c>
      <c r="L89" s="13">
        <f>IF(ActiveDatabase=Standby,Secondary!L89,Primary!L89)</f>
        <v>0</v>
      </c>
      <c r="M89" s="7" t="b">
        <f>IF(ActiveDatabase=Standby,Secondary!M89,Primary!M89)</f>
        <v>1</v>
      </c>
      <c r="N89" s="10">
        <f>IF(ActiveDatabase=Standby,Secondary!N89,Primary!N89)</f>
        <v>0</v>
      </c>
      <c r="O89" s="10">
        <f>IF(ActiveDatabase=Standby,Secondary!O89,Primary!O89)</f>
        <v>0</v>
      </c>
      <c r="P89" s="10">
        <f>IF(ActiveDatabase=Standby,Secondary!P89,Primary!P89)</f>
        <v>0</v>
      </c>
      <c r="Q89" s="6">
        <f>IF(ActiveDatabase=Standby,Secondary!Q89,Primary!Q89)</f>
        <v>0</v>
      </c>
      <c r="R89" s="18">
        <f>IF(ActiveDatabase=Standby,Secondary!R89,Primary!R89)</f>
        <v>0</v>
      </c>
      <c r="S89" s="19">
        <f>IF(ActiveDatabase=Standby,Secondary!S89,Primary!S89)</f>
        <v>0</v>
      </c>
      <c r="T89" s="10">
        <f>IF(ActiveDatabase=Standby,Secondary!T89,Primary!T89)</f>
        <v>0</v>
      </c>
      <c r="U89" s="10">
        <f>IF(ActiveDatabase=Standby,Secondary!U89,Primary!U89)</f>
        <v>0</v>
      </c>
      <c r="V89" s="10">
        <f>IF(ActiveDatabase=Standby,Secondary!V89,Primary!V89)</f>
        <v>0</v>
      </c>
      <c r="W89" s="6">
        <f>IF(ActiveDatabase=Standby,Secondary!W89,Primary!W89)</f>
        <v>0</v>
      </c>
      <c r="X89" s="6">
        <f>IF(ActiveDatabase=Standby,Secondary!X89,Primary!X89)</f>
        <v>0</v>
      </c>
      <c r="Y89" s="12">
        <f>IF(ActiveDatabase=Standby,Secondary!Y89,Primary!Y89)</f>
        <v>0</v>
      </c>
      <c r="Z89" s="12">
        <f>IF(ActiveDatabase=Standby,Secondary!Z89,Primary!Z89)</f>
        <v>0</v>
      </c>
      <c r="AA89" s="9">
        <f>IF(ActiveDatabase=Standby,Secondary!AA89,Primary!AA89)</f>
        <v>0</v>
      </c>
      <c r="AB89" s="12"/>
      <c r="AC89" s="6"/>
      <c r="AD89" s="6"/>
      <c r="AE89" s="7"/>
      <c r="AF89" s="7"/>
      <c r="AG89" s="7"/>
      <c r="AH89" s="7"/>
      <c r="AI89" s="7"/>
      <c r="AJ89" s="7"/>
      <c r="AK89" s="7"/>
      <c r="AL89" s="7"/>
      <c r="AM89" s="7"/>
      <c r="AN89" s="7"/>
      <c r="AO89" s="6"/>
      <c r="AP89" s="7"/>
      <c r="AQ89" s="7"/>
      <c r="AR89" s="6"/>
      <c r="AS89" s="7"/>
      <c r="AT89" s="7"/>
      <c r="AU89" s="7"/>
      <c r="AV89" s="7"/>
      <c r="AW89" s="7"/>
      <c r="AX89" s="7"/>
      <c r="AY89" s="7"/>
      <c r="AZ89" s="7"/>
      <c r="BA89" s="7"/>
      <c r="BB89" s="7"/>
      <c r="BC89" s="7"/>
      <c r="BD89" s="7"/>
      <c r="BE89" s="7"/>
      <c r="BF89" s="7"/>
      <c r="BG89" s="7"/>
    </row>
    <row r="90" customHeight="1" spans="1:59">
      <c r="A90" s="9" t="str">
        <f>IF(ActiveDatabase=Standby,Secondary!A90,Primary!A90)</f>
        <v>ArcCorp 08</v>
      </c>
      <c r="B90" s="5" t="str">
        <f>IF(ActiveDatabase=Standby,Secondary!B90,Primary!B90)</f>
        <v>ArcCorp 10</v>
      </c>
      <c r="C90" s="5" t="str">
        <f>IF(ActiveDatabase=Standby,Secondary!C90,Primary!C90)</f>
        <v>ArcCorp 02</v>
      </c>
      <c r="D90" s="5" t="str">
        <f>IF(ActiveDatabase=Standby,Secondary!D90,Primary!D90)</f>
        <v>Area 20</v>
      </c>
      <c r="E90" s="6" t="str">
        <f>IF(ActiveDatabase=Standby,Secondary!E90,Primary!E90)</f>
        <v>Area 20</v>
      </c>
      <c r="F90" s="10">
        <f>IF(ActiveDatabase=Standby,Secondary!F90,Primary!F90)</f>
        <v>506.936537780362</v>
      </c>
      <c r="G90" s="10">
        <f>IF(ActiveDatabase=Standby,Secondary!G90,Primary!G90)</f>
        <v>401.103654273606</v>
      </c>
      <c r="H90" s="10">
        <f>IF(ActiveDatabase=Standby,Secondary!H90,Primary!H90)</f>
        <v>-471.307950960836</v>
      </c>
      <c r="I90" s="13">
        <f>IF(ActiveDatabase=Standby,Secondary!I90,Primary!I90)</f>
        <v>0</v>
      </c>
      <c r="J90" s="13">
        <f>IF(ActiveDatabase=Standby,Secondary!J90,Primary!J90)</f>
        <v>0</v>
      </c>
      <c r="K90" s="13">
        <f>IF(ActiveDatabase=Standby,Secondary!K90,Primary!K90)</f>
        <v>0</v>
      </c>
      <c r="L90" s="13">
        <f>IF(ActiveDatabase=Standby,Secondary!L90,Primary!L90)</f>
        <v>0</v>
      </c>
      <c r="M90" s="7" t="b">
        <f>IF(ActiveDatabase=Standby,Secondary!M90,Primary!M90)</f>
        <v>1</v>
      </c>
      <c r="N90" s="10">
        <f>IF(ActiveDatabase=Standby,Secondary!N90,Primary!N90)</f>
        <v>0</v>
      </c>
      <c r="O90" s="10">
        <f>IF(ActiveDatabase=Standby,Secondary!O90,Primary!O90)</f>
        <v>0</v>
      </c>
      <c r="P90" s="10">
        <f>IF(ActiveDatabase=Standby,Secondary!P90,Primary!P90)</f>
        <v>0</v>
      </c>
      <c r="Q90" s="6">
        <f>IF(ActiveDatabase=Standby,Secondary!Q90,Primary!Q90)</f>
        <v>0</v>
      </c>
      <c r="R90" s="18">
        <f>IF(ActiveDatabase=Standby,Secondary!R90,Primary!R90)</f>
        <v>0</v>
      </c>
      <c r="S90" s="19">
        <f>IF(ActiveDatabase=Standby,Secondary!S90,Primary!S90)</f>
        <v>0</v>
      </c>
      <c r="T90" s="10">
        <f>IF(ActiveDatabase=Standby,Secondary!T90,Primary!T90)</f>
        <v>0</v>
      </c>
      <c r="U90" s="10">
        <f>IF(ActiveDatabase=Standby,Secondary!U90,Primary!U90)</f>
        <v>0</v>
      </c>
      <c r="V90" s="10">
        <f>IF(ActiveDatabase=Standby,Secondary!V90,Primary!V90)</f>
        <v>0</v>
      </c>
      <c r="W90" s="6">
        <f>IF(ActiveDatabase=Standby,Secondary!W90,Primary!W90)</f>
        <v>0</v>
      </c>
      <c r="X90" s="6">
        <f>IF(ActiveDatabase=Standby,Secondary!X90,Primary!X90)</f>
        <v>0</v>
      </c>
      <c r="Y90" s="12">
        <f>IF(ActiveDatabase=Standby,Secondary!Y90,Primary!Y90)</f>
        <v>0</v>
      </c>
      <c r="Z90" s="12">
        <f>IF(ActiveDatabase=Standby,Secondary!Z90,Primary!Z90)</f>
        <v>0</v>
      </c>
      <c r="AA90" s="9">
        <f>IF(ActiveDatabase=Standby,Secondary!AA90,Primary!AA90)</f>
        <v>0</v>
      </c>
      <c r="AB90" s="12"/>
      <c r="AC90" s="6"/>
      <c r="AD90" s="6"/>
      <c r="AE90" s="7"/>
      <c r="AF90" s="7"/>
      <c r="AG90" s="7"/>
      <c r="AH90" s="7"/>
      <c r="AI90" s="7"/>
      <c r="AJ90" s="7"/>
      <c r="AK90" s="7"/>
      <c r="AL90" s="7"/>
      <c r="AM90" s="7"/>
      <c r="AN90" s="7"/>
      <c r="AO90" s="6"/>
      <c r="AP90" s="7"/>
      <c r="AQ90" s="7"/>
      <c r="AR90" s="6"/>
      <c r="AS90" s="7"/>
      <c r="AT90" s="7"/>
      <c r="AU90" s="7"/>
      <c r="AV90" s="7"/>
      <c r="AW90" s="7"/>
      <c r="AX90" s="7"/>
      <c r="AY90" s="7"/>
      <c r="AZ90" s="7"/>
      <c r="BA90" s="7"/>
      <c r="BB90" s="7"/>
      <c r="BC90" s="7"/>
      <c r="BD90" s="7"/>
      <c r="BE90" s="7"/>
      <c r="BF90" s="7"/>
      <c r="BG90" s="7"/>
    </row>
    <row r="91" customHeight="1" spans="1:59">
      <c r="A91" s="9" t="str">
        <f>IF(ActiveDatabase=Standby,Secondary!A91,Primary!A91)</f>
        <v>ArcCorp</v>
      </c>
      <c r="B91" s="5" t="str">
        <f>IF(ActiveDatabase=Standby,Secondary!B91,Primary!B91)</f>
        <v>ArcCorp 12</v>
      </c>
      <c r="C91" s="5">
        <f>IF(ActiveDatabase=Standby,Secondary!C91,Primary!C91)</f>
        <v>0</v>
      </c>
      <c r="D91" s="5" t="str">
        <f>IF(ActiveDatabase=Standby,Secondary!D91,Primary!D91)</f>
        <v>Racetracks</v>
      </c>
      <c r="E91" s="6">
        <f>IF(ActiveDatabase=Standby,Secondary!E91,Primary!E91)</f>
        <v>0</v>
      </c>
      <c r="F91" s="10">
        <f>IF(ActiveDatabase=Standby,Secondary!F91,Primary!F91)</f>
        <v>0</v>
      </c>
      <c r="G91" s="10">
        <f>IF(ActiveDatabase=Standby,Secondary!G91,Primary!G91)</f>
        <v>0</v>
      </c>
      <c r="H91" s="10">
        <f>IF(ActiveDatabase=Standby,Secondary!H91,Primary!H91)</f>
        <v>0</v>
      </c>
      <c r="I91" s="13">
        <f>IF(ActiveDatabase=Standby,Secondary!I91,Primary!I91)</f>
        <v>0</v>
      </c>
      <c r="J91" s="13">
        <f>IF(ActiveDatabase=Standby,Secondary!J91,Primary!J91)</f>
        <v>0</v>
      </c>
      <c r="K91" s="13">
        <f>IF(ActiveDatabase=Standby,Secondary!K91,Primary!K91)</f>
        <v>0</v>
      </c>
      <c r="L91" s="13">
        <f>IF(ActiveDatabase=Standby,Secondary!L91,Primary!L91)</f>
        <v>0</v>
      </c>
      <c r="M91" s="7">
        <f>IF(ActiveDatabase=Standby,Secondary!M91,Primary!M91)</f>
        <v>0</v>
      </c>
      <c r="N91" s="10">
        <f>IF(ActiveDatabase=Standby,Secondary!N91,Primary!N91)</f>
        <v>0</v>
      </c>
      <c r="O91" s="10">
        <f>IF(ActiveDatabase=Standby,Secondary!O91,Primary!O91)</f>
        <v>0</v>
      </c>
      <c r="P91" s="10">
        <f>IF(ActiveDatabase=Standby,Secondary!P91,Primary!P91)</f>
        <v>0</v>
      </c>
      <c r="Q91" s="6">
        <f>IF(ActiveDatabase=Standby,Secondary!Q91,Primary!Q91)</f>
        <v>0</v>
      </c>
      <c r="R91" s="18">
        <f>IF(ActiveDatabase=Standby,Secondary!R91,Primary!R91)</f>
        <v>0</v>
      </c>
      <c r="S91" s="19">
        <f>IF(ActiveDatabase=Standby,Secondary!S91,Primary!S91)</f>
        <v>0</v>
      </c>
      <c r="T91" s="10">
        <f>IF(ActiveDatabase=Standby,Secondary!T91,Primary!T91)</f>
        <v>0</v>
      </c>
      <c r="U91" s="10">
        <f>IF(ActiveDatabase=Standby,Secondary!U91,Primary!U91)</f>
        <v>0</v>
      </c>
      <c r="V91" s="10">
        <f>IF(ActiveDatabase=Standby,Secondary!V91,Primary!V91)</f>
        <v>0</v>
      </c>
      <c r="W91" s="6">
        <f>IF(ActiveDatabase=Standby,Secondary!W91,Primary!W91)</f>
        <v>0</v>
      </c>
      <c r="X91" s="6">
        <f>IF(ActiveDatabase=Standby,Secondary!X91,Primary!X91)</f>
        <v>0</v>
      </c>
      <c r="Y91" s="12">
        <f>IF(ActiveDatabase=Standby,Secondary!Y91,Primary!Y91)</f>
        <v>0</v>
      </c>
      <c r="Z91" s="12">
        <f>IF(ActiveDatabase=Standby,Secondary!Z91,Primary!Z91)</f>
        <v>0</v>
      </c>
      <c r="AA91" s="9">
        <f>IF(ActiveDatabase=Standby,Secondary!AA91,Primary!AA91)</f>
        <v>0</v>
      </c>
      <c r="AB91" s="12"/>
      <c r="AC91" s="6"/>
      <c r="AD91" s="6"/>
      <c r="AE91" s="7"/>
      <c r="AF91" s="7"/>
      <c r="AG91" s="7"/>
      <c r="AH91" s="7"/>
      <c r="AI91" s="7"/>
      <c r="AJ91" s="7"/>
      <c r="AK91" s="7"/>
      <c r="AL91" s="7"/>
      <c r="AM91" s="7"/>
      <c r="AN91" s="7"/>
      <c r="AO91" s="6"/>
      <c r="AP91" s="7"/>
      <c r="AQ91" s="7"/>
      <c r="AR91" s="6"/>
      <c r="AS91" s="7"/>
      <c r="AT91" s="7"/>
      <c r="AU91" s="7"/>
      <c r="AV91" s="7"/>
      <c r="AW91" s="7"/>
      <c r="AX91" s="7"/>
      <c r="AY91" s="7"/>
      <c r="AZ91" s="7"/>
      <c r="BA91" s="7"/>
      <c r="BB91" s="7"/>
      <c r="BC91" s="7"/>
      <c r="BD91" s="7"/>
      <c r="BE91" s="7"/>
      <c r="BF91" s="7"/>
      <c r="BG91" s="7"/>
    </row>
    <row r="92" customHeight="1" spans="1:59">
      <c r="A92" s="9" t="str">
        <f>IF(ActiveDatabase=Standby,Secondary!A92,Primary!A92)</f>
        <v>ArcCorp 03</v>
      </c>
      <c r="B92" s="5" t="str">
        <f>IF(ActiveDatabase=Standby,Secondary!B92,Primary!B92)</f>
        <v>ArcCorp 13</v>
      </c>
      <c r="C92" s="5" t="str">
        <f>IF(ActiveDatabase=Standby,Secondary!C92,Primary!C92)</f>
        <v>ArcCorp 10</v>
      </c>
      <c r="D92" s="5" t="str">
        <f>IF(ActiveDatabase=Standby,Secondary!D92,Primary!D92)</f>
        <v>The Sky Scraper</v>
      </c>
      <c r="E92" s="6" t="str">
        <f>IF(ActiveDatabase=Standby,Secondary!E92,Primary!E92)</f>
        <v>SkyScraper</v>
      </c>
      <c r="F92" s="10">
        <f>IF(ActiveDatabase=Standby,Secondary!F92,Primary!F92)</f>
        <v>-746.272</v>
      </c>
      <c r="G92" s="10">
        <f>IF(ActiveDatabase=Standby,Secondary!G92,Primary!G92)</f>
        <v>-155.436</v>
      </c>
      <c r="H92" s="10">
        <f>IF(ActiveDatabase=Standby,Secondary!H92,Primary!H92)</f>
        <v>-245.264</v>
      </c>
      <c r="I92" s="13">
        <f>IF(ActiveDatabase=Standby,Secondary!I92,Primary!I92)</f>
        <v>0</v>
      </c>
      <c r="J92" s="13">
        <f>IF(ActiveDatabase=Standby,Secondary!J92,Primary!J92)</f>
        <v>0</v>
      </c>
      <c r="K92" s="13">
        <f>IF(ActiveDatabase=Standby,Secondary!K92,Primary!K92)</f>
        <v>0</v>
      </c>
      <c r="L92" s="13">
        <f>IF(ActiveDatabase=Standby,Secondary!L92,Primary!L92)</f>
        <v>0</v>
      </c>
      <c r="M92" s="7" t="b">
        <f>IF(ActiveDatabase=Standby,Secondary!M92,Primary!M92)</f>
        <v>1</v>
      </c>
      <c r="N92" s="10">
        <f>IF(ActiveDatabase=Standby,Secondary!N92,Primary!N92)</f>
        <v>0</v>
      </c>
      <c r="O92" s="10">
        <f>IF(ActiveDatabase=Standby,Secondary!O92,Primary!O92)</f>
        <v>0</v>
      </c>
      <c r="P92" s="10">
        <f>IF(ActiveDatabase=Standby,Secondary!P92,Primary!P92)</f>
        <v>0</v>
      </c>
      <c r="Q92" s="6">
        <f>IF(ActiveDatabase=Standby,Secondary!Q92,Primary!Q92)</f>
        <v>0</v>
      </c>
      <c r="R92" s="18">
        <f>IF(ActiveDatabase=Standby,Secondary!R92,Primary!R92)</f>
        <v>0</v>
      </c>
      <c r="S92" s="19">
        <f>IF(ActiveDatabase=Standby,Secondary!S92,Primary!S92)</f>
        <v>0</v>
      </c>
      <c r="T92" s="10">
        <f>IF(ActiveDatabase=Standby,Secondary!T92,Primary!T92)</f>
        <v>0</v>
      </c>
      <c r="U92" s="10">
        <f>IF(ActiveDatabase=Standby,Secondary!U92,Primary!U92)</f>
        <v>0</v>
      </c>
      <c r="V92" s="10">
        <f>IF(ActiveDatabase=Standby,Secondary!V92,Primary!V92)</f>
        <v>0</v>
      </c>
      <c r="W92" s="6">
        <f>IF(ActiveDatabase=Standby,Secondary!W92,Primary!W92)</f>
        <v>0</v>
      </c>
      <c r="X92" s="6">
        <f>IF(ActiveDatabase=Standby,Secondary!X92,Primary!X92)</f>
        <v>0</v>
      </c>
      <c r="Y92" s="12">
        <f>IF(ActiveDatabase=Standby,Secondary!Y92,Primary!Y92)</f>
        <v>0</v>
      </c>
      <c r="Z92" s="12">
        <f>IF(ActiveDatabase=Standby,Secondary!Z92,Primary!Z92)</f>
        <v>0</v>
      </c>
      <c r="AA92" s="7">
        <f>IF(ActiveDatabase=Standby,Secondary!AA92,Primary!AA92)</f>
        <v>0</v>
      </c>
      <c r="AB92" s="12"/>
      <c r="AC92" s="6"/>
      <c r="AD92" s="6"/>
      <c r="AE92" s="7"/>
      <c r="AF92" s="7"/>
      <c r="AG92" s="7"/>
      <c r="AH92" s="7"/>
      <c r="AI92" s="7"/>
      <c r="AJ92" s="7"/>
      <c r="AK92" s="7"/>
      <c r="AL92" s="7"/>
      <c r="AM92" s="7"/>
      <c r="AN92" s="7"/>
      <c r="AO92" s="6"/>
      <c r="AP92" s="7"/>
      <c r="AQ92" s="7"/>
      <c r="AR92" s="6"/>
      <c r="AS92" s="7"/>
      <c r="AT92" s="7"/>
      <c r="AU92" s="7"/>
      <c r="AV92" s="7"/>
      <c r="AW92" s="7"/>
      <c r="AX92" s="7"/>
      <c r="AY92" s="7"/>
      <c r="AZ92" s="7"/>
      <c r="BA92" s="7"/>
      <c r="BB92" s="7"/>
      <c r="BC92" s="7"/>
      <c r="BD92" s="7"/>
      <c r="BE92" s="7"/>
      <c r="BF92" s="7"/>
      <c r="BG92" s="7"/>
    </row>
    <row r="93" customHeight="1" spans="1:59">
      <c r="A93" s="9" t="str">
        <f>IF(ActiveDatabase=Standby,Secondary!A93,Primary!A93)</f>
        <v>ArcCorp</v>
      </c>
      <c r="B93" s="5" t="str">
        <f>IF(ActiveDatabase=Standby,Secondary!B93,Primary!B93)</f>
        <v>ArcCorp 15</v>
      </c>
      <c r="C93" s="5">
        <f>IF(ActiveDatabase=Standby,Secondary!C93,Primary!C93)</f>
        <v>0</v>
      </c>
      <c r="D93" s="5" t="str">
        <f>IF(ActiveDatabase=Standby,Secondary!D93,Primary!D93)</f>
        <v>Comm Array</v>
      </c>
      <c r="E93" s="6">
        <f>IF(ActiveDatabase=Standby,Secondary!E93,Primary!E93)</f>
        <v>0</v>
      </c>
      <c r="F93" s="10">
        <f>IF(ActiveDatabase=Standby,Secondary!F93,Primary!F93)</f>
        <v>0</v>
      </c>
      <c r="G93" s="10">
        <f>IF(ActiveDatabase=Standby,Secondary!G93,Primary!G93)</f>
        <v>0</v>
      </c>
      <c r="H93" s="10">
        <f>IF(ActiveDatabase=Standby,Secondary!H93,Primary!H93)</f>
        <v>0</v>
      </c>
      <c r="I93" s="13">
        <f>IF(ActiveDatabase=Standby,Secondary!I93,Primary!I93)</f>
        <v>0</v>
      </c>
      <c r="J93" s="13">
        <f>IF(ActiveDatabase=Standby,Secondary!J93,Primary!J93)</f>
        <v>0</v>
      </c>
      <c r="K93" s="13">
        <f>IF(ActiveDatabase=Standby,Secondary!K93,Primary!K93)</f>
        <v>0</v>
      </c>
      <c r="L93" s="13">
        <f>IF(ActiveDatabase=Standby,Secondary!L93,Primary!L93)</f>
        <v>0</v>
      </c>
      <c r="M93" s="7">
        <f>IF(ActiveDatabase=Standby,Secondary!M93,Primary!M93)</f>
        <v>0</v>
      </c>
      <c r="N93" s="10">
        <f>IF(ActiveDatabase=Standby,Secondary!N93,Primary!N93)</f>
        <v>0</v>
      </c>
      <c r="O93" s="10">
        <f>IF(ActiveDatabase=Standby,Secondary!O93,Primary!O93)</f>
        <v>0</v>
      </c>
      <c r="P93" s="10">
        <f>IF(ActiveDatabase=Standby,Secondary!P93,Primary!P93)</f>
        <v>0</v>
      </c>
      <c r="Q93" s="6">
        <f>IF(ActiveDatabase=Standby,Secondary!Q93,Primary!Q93)</f>
        <v>0</v>
      </c>
      <c r="R93" s="18">
        <f>IF(ActiveDatabase=Standby,Secondary!R93,Primary!R93)</f>
        <v>0</v>
      </c>
      <c r="S93" s="19">
        <f>IF(ActiveDatabase=Standby,Secondary!S93,Primary!S93)</f>
        <v>0</v>
      </c>
      <c r="T93" s="10">
        <f>IF(ActiveDatabase=Standby,Secondary!T93,Primary!T93)</f>
        <v>0</v>
      </c>
      <c r="U93" s="10">
        <f>IF(ActiveDatabase=Standby,Secondary!U93,Primary!U93)</f>
        <v>0</v>
      </c>
      <c r="V93" s="10">
        <f>IF(ActiveDatabase=Standby,Secondary!V93,Primary!V93)</f>
        <v>0</v>
      </c>
      <c r="W93" s="6">
        <f>IF(ActiveDatabase=Standby,Secondary!W93,Primary!W93)</f>
        <v>0</v>
      </c>
      <c r="X93" s="6">
        <f>IF(ActiveDatabase=Standby,Secondary!X93,Primary!X93)</f>
        <v>0</v>
      </c>
      <c r="Y93" s="12">
        <f>IF(ActiveDatabase=Standby,Secondary!Y93,Primary!Y93)</f>
        <v>0</v>
      </c>
      <c r="Z93" s="12">
        <f>IF(ActiveDatabase=Standby,Secondary!Z93,Primary!Z93)</f>
        <v>0</v>
      </c>
      <c r="AA93" s="7">
        <f>IF(ActiveDatabase=Standby,Secondary!AA93,Primary!AA93)</f>
        <v>0</v>
      </c>
      <c r="AB93" s="12"/>
      <c r="AC93" s="6"/>
      <c r="AD93" s="6"/>
      <c r="AE93" s="7"/>
      <c r="AF93" s="7"/>
      <c r="AG93" s="7"/>
      <c r="AH93" s="7"/>
      <c r="AI93" s="7"/>
      <c r="AJ93" s="7"/>
      <c r="AK93" s="7"/>
      <c r="AL93" s="7"/>
      <c r="AM93" s="7"/>
      <c r="AN93" s="7"/>
      <c r="AO93" s="6"/>
      <c r="AP93" s="7"/>
      <c r="AQ93" s="7"/>
      <c r="AR93" s="6"/>
      <c r="AS93" s="7"/>
      <c r="AT93" s="7"/>
      <c r="AU93" s="7"/>
      <c r="AV93" s="7"/>
      <c r="AW93" s="7"/>
      <c r="AX93" s="7"/>
      <c r="AY93" s="7"/>
      <c r="AZ93" s="7"/>
      <c r="BA93" s="7"/>
      <c r="BB93" s="7"/>
      <c r="BC93" s="7"/>
      <c r="BD93" s="7"/>
      <c r="BE93" s="7"/>
      <c r="BF93" s="7"/>
      <c r="BG93" s="7"/>
    </row>
    <row r="94" customHeight="1" spans="1:59">
      <c r="A94" s="9" t="str">
        <f>IF(ActiveDatabase=Standby,Secondary!A94,Primary!A94)</f>
        <v>ArcCorp 09</v>
      </c>
      <c r="B94" s="5" t="str">
        <f>IF(ActiveDatabase=Standby,Secondary!B94,Primary!B94)</f>
        <v>ArcCorp 16</v>
      </c>
      <c r="C94" s="5" t="str">
        <f>IF(ActiveDatabase=Standby,Secondary!C94,Primary!C94)</f>
        <v>ArcCorp 05</v>
      </c>
      <c r="D94" s="5" t="str">
        <f>IF(ActiveDatabase=Standby,Secondary!D94,Primary!D94)</f>
        <v>Comm Array ST3-90</v>
      </c>
      <c r="E94" s="6" t="str">
        <f>IF(ActiveDatabase=Standby,Secondary!E94,Primary!E94)</f>
        <v>ST3-90</v>
      </c>
      <c r="F94" s="10">
        <f>IF(ActiveDatabase=Standby,Secondary!F94,Primary!F94)</f>
        <v>758.384130001068</v>
      </c>
      <c r="G94" s="10">
        <f>IF(ActiveDatabase=Standby,Secondary!G94,Primary!G94)</f>
        <v>-636.359991600037</v>
      </c>
      <c r="H94" s="10">
        <f>IF(ActiveDatabase=Standby,Secondary!H94,Primary!H94)</f>
        <v>24</v>
      </c>
      <c r="I94" s="13">
        <f>IF(ActiveDatabase=Standby,Secondary!I94,Primary!I94)</f>
        <v>0</v>
      </c>
      <c r="J94" s="13">
        <f>IF(ActiveDatabase=Standby,Secondary!J94,Primary!J94)</f>
        <v>0</v>
      </c>
      <c r="K94" s="13">
        <f>IF(ActiveDatabase=Standby,Secondary!K94,Primary!K94)</f>
        <v>0</v>
      </c>
      <c r="L94" s="13">
        <f>IF(ActiveDatabase=Standby,Secondary!L94,Primary!L94)</f>
        <v>0</v>
      </c>
      <c r="M94" s="7" t="b">
        <f>IF(ActiveDatabase=Standby,Secondary!M94,Primary!M94)</f>
        <v>1</v>
      </c>
      <c r="N94" s="10">
        <f>IF(ActiveDatabase=Standby,Secondary!N94,Primary!N94)</f>
        <v>0</v>
      </c>
      <c r="O94" s="10">
        <f>IF(ActiveDatabase=Standby,Secondary!O94,Primary!O94)</f>
        <v>0</v>
      </c>
      <c r="P94" s="10">
        <f>IF(ActiveDatabase=Standby,Secondary!P94,Primary!P94)</f>
        <v>0</v>
      </c>
      <c r="Q94" s="6">
        <f>IF(ActiveDatabase=Standby,Secondary!Q94,Primary!Q94)</f>
        <v>0</v>
      </c>
      <c r="R94" s="18">
        <f>IF(ActiveDatabase=Standby,Secondary!R94,Primary!R94)</f>
        <v>0</v>
      </c>
      <c r="S94" s="19">
        <f>IF(ActiveDatabase=Standby,Secondary!S94,Primary!S94)</f>
        <v>0</v>
      </c>
      <c r="T94" s="10">
        <f>IF(ActiveDatabase=Standby,Secondary!T94,Primary!T94)</f>
        <v>0</v>
      </c>
      <c r="U94" s="10">
        <f>IF(ActiveDatabase=Standby,Secondary!U94,Primary!U94)</f>
        <v>0</v>
      </c>
      <c r="V94" s="10">
        <f>IF(ActiveDatabase=Standby,Secondary!V94,Primary!V94)</f>
        <v>0</v>
      </c>
      <c r="W94" s="6">
        <f>IF(ActiveDatabase=Standby,Secondary!W94,Primary!W94)</f>
        <v>0</v>
      </c>
      <c r="X94" s="6">
        <f>IF(ActiveDatabase=Standby,Secondary!X94,Primary!X94)</f>
        <v>0</v>
      </c>
      <c r="Y94" s="12">
        <f>IF(ActiveDatabase=Standby,Secondary!Y94,Primary!Y94)</f>
        <v>0</v>
      </c>
      <c r="Z94" s="12">
        <f>IF(ActiveDatabase=Standby,Secondary!Z94,Primary!Z94)</f>
        <v>0</v>
      </c>
      <c r="AA94" s="7">
        <f>IF(ActiveDatabase=Standby,Secondary!AA94,Primary!AA94)</f>
        <v>0</v>
      </c>
      <c r="AB94" s="12"/>
      <c r="AC94" s="6"/>
      <c r="AD94" s="6"/>
      <c r="AE94" s="7"/>
      <c r="AF94" s="7"/>
      <c r="AG94" s="7"/>
      <c r="AH94" s="7"/>
      <c r="AI94" s="7"/>
      <c r="AJ94" s="7"/>
      <c r="AK94" s="7"/>
      <c r="AL94" s="7"/>
      <c r="AM94" s="7"/>
      <c r="AN94" s="7"/>
      <c r="AO94" s="6"/>
      <c r="AP94" s="7"/>
      <c r="AQ94" s="7"/>
      <c r="AR94" s="6"/>
      <c r="AS94" s="7"/>
      <c r="AT94" s="7"/>
      <c r="AU94" s="7"/>
      <c r="AV94" s="7"/>
      <c r="AW94" s="7"/>
      <c r="AX94" s="7"/>
      <c r="AY94" s="7"/>
      <c r="AZ94" s="7"/>
      <c r="BA94" s="7"/>
      <c r="BB94" s="7"/>
      <c r="BC94" s="7"/>
      <c r="BD94" s="7"/>
      <c r="BE94" s="7"/>
      <c r="BF94" s="7"/>
      <c r="BG94" s="7"/>
    </row>
    <row r="95" customHeight="1" spans="1:59">
      <c r="A95" s="9">
        <f>IF(ActiveDatabase=Standby,Secondary!A95,Primary!A95)</f>
        <v>0</v>
      </c>
      <c r="B95" s="5">
        <f>IF(ActiveDatabase=Standby,Secondary!B95,Primary!B95)</f>
        <v>0</v>
      </c>
      <c r="C95" s="5">
        <f>IF(ActiveDatabase=Standby,Secondary!C95,Primary!C95)</f>
        <v>0</v>
      </c>
      <c r="D95" s="5">
        <f>IF(ActiveDatabase=Standby,Secondary!D95,Primary!D95)</f>
        <v>0</v>
      </c>
      <c r="E95" s="6">
        <f>IF(ActiveDatabase=Standby,Secondary!E95,Primary!E95)</f>
        <v>0</v>
      </c>
      <c r="F95" s="10">
        <f>IF(ActiveDatabase=Standby,Secondary!F95,Primary!F95)</f>
        <v>0</v>
      </c>
      <c r="G95" s="10">
        <f>IF(ActiveDatabase=Standby,Secondary!G95,Primary!G95)</f>
        <v>0</v>
      </c>
      <c r="H95" s="10">
        <f>IF(ActiveDatabase=Standby,Secondary!H95,Primary!H95)</f>
        <v>0</v>
      </c>
      <c r="I95" s="13">
        <f>IF(ActiveDatabase=Standby,Secondary!I95,Primary!I95)</f>
        <v>0</v>
      </c>
      <c r="J95" s="13">
        <f>IF(ActiveDatabase=Standby,Secondary!J95,Primary!J95)</f>
        <v>0</v>
      </c>
      <c r="K95" s="13">
        <f>IF(ActiveDatabase=Standby,Secondary!K95,Primary!K95)</f>
        <v>0</v>
      </c>
      <c r="L95" s="13">
        <f>IF(ActiveDatabase=Standby,Secondary!L95,Primary!L95)</f>
        <v>0</v>
      </c>
      <c r="M95" s="7">
        <f>IF(ActiveDatabase=Standby,Secondary!M95,Primary!M95)</f>
        <v>0</v>
      </c>
      <c r="N95" s="10">
        <f>IF(ActiveDatabase=Standby,Secondary!N95,Primary!N95)</f>
        <v>0</v>
      </c>
      <c r="O95" s="10">
        <f>IF(ActiveDatabase=Standby,Secondary!O95,Primary!O95)</f>
        <v>0</v>
      </c>
      <c r="P95" s="10">
        <f>IF(ActiveDatabase=Standby,Secondary!P95,Primary!P95)</f>
        <v>0</v>
      </c>
      <c r="Q95" s="6">
        <f>IF(ActiveDatabase=Standby,Secondary!Q95,Primary!Q95)</f>
        <v>0</v>
      </c>
      <c r="R95" s="18">
        <f>IF(ActiveDatabase=Standby,Secondary!R95,Primary!R95)</f>
        <v>0</v>
      </c>
      <c r="S95" s="19">
        <f>IF(ActiveDatabase=Standby,Secondary!S95,Primary!S95)</f>
        <v>0</v>
      </c>
      <c r="T95" s="10">
        <f>IF(ActiveDatabase=Standby,Secondary!T95,Primary!T95)</f>
        <v>0</v>
      </c>
      <c r="U95" s="10">
        <f>IF(ActiveDatabase=Standby,Secondary!U95,Primary!U95)</f>
        <v>0</v>
      </c>
      <c r="V95" s="10">
        <f>IF(ActiveDatabase=Standby,Secondary!V95,Primary!V95)</f>
        <v>0</v>
      </c>
      <c r="W95" s="6">
        <f>IF(ActiveDatabase=Standby,Secondary!W95,Primary!W95)</f>
        <v>0</v>
      </c>
      <c r="X95" s="6">
        <f>IF(ActiveDatabase=Standby,Secondary!X95,Primary!X95)</f>
        <v>0</v>
      </c>
      <c r="Y95" s="12">
        <f>IF(ActiveDatabase=Standby,Secondary!Y95,Primary!Y95)</f>
        <v>0</v>
      </c>
      <c r="Z95" s="12">
        <f>IF(ActiveDatabase=Standby,Secondary!Z95,Primary!Z95)</f>
        <v>0</v>
      </c>
      <c r="AA95" s="9">
        <f>IF(ActiveDatabase=Standby,Secondary!AA95,Primary!AA95)</f>
        <v>0</v>
      </c>
      <c r="AB95" s="12"/>
      <c r="AC95" s="6"/>
      <c r="AD95" s="6"/>
      <c r="AE95" s="7"/>
      <c r="AF95" s="7"/>
      <c r="AG95" s="7"/>
      <c r="AH95" s="7"/>
      <c r="AI95" s="7"/>
      <c r="AJ95" s="7"/>
      <c r="AK95" s="7"/>
      <c r="AL95" s="7"/>
      <c r="AM95" s="7"/>
      <c r="AN95" s="7"/>
      <c r="AO95" s="6"/>
      <c r="AP95" s="7"/>
      <c r="AQ95" s="7"/>
      <c r="AR95" s="6"/>
      <c r="AS95" s="7"/>
      <c r="AT95" s="7"/>
      <c r="AU95" s="7"/>
      <c r="AV95" s="7"/>
      <c r="AW95" s="7"/>
      <c r="AX95" s="7"/>
      <c r="AY95" s="7"/>
      <c r="AZ95" s="7"/>
      <c r="BA95" s="7"/>
      <c r="BB95" s="7"/>
      <c r="BC95" s="7"/>
      <c r="BD95" s="7"/>
      <c r="BE95" s="7"/>
      <c r="BF95" s="7"/>
      <c r="BG95" s="7"/>
    </row>
    <row r="96" customHeight="1" spans="1:59">
      <c r="A96" s="9" t="str">
        <f>IF(ActiveDatabase=Standby,Secondary!A96,Primary!A96)</f>
        <v>Arial R01</v>
      </c>
      <c r="B96" s="5" t="str">
        <f>IF(ActiveDatabase=Standby,Secondary!B96,Primary!B96)</f>
        <v>Arial 14</v>
      </c>
      <c r="C96" s="5">
        <f>IF(ActiveDatabase=Standby,Secondary!C96,Primary!C96)</f>
        <v>0</v>
      </c>
      <c r="D96" s="5" t="str">
        <f>IF(ActiveDatabase=Standby,Secondary!D96,Primary!D96)</f>
        <v>OM-1</v>
      </c>
      <c r="E96" s="6" t="str">
        <f>IF(ActiveDatabase=Standby,Secondary!E96,Primary!E96)</f>
        <v>OM1</v>
      </c>
      <c r="F96" s="10">
        <f>IF(ActiveDatabase=Standby,Secondary!F96,Primary!F96)</f>
        <v>0</v>
      </c>
      <c r="G96" s="10">
        <f>IF(ActiveDatabase=Standby,Secondary!G96,Primary!G96)</f>
        <v>0</v>
      </c>
      <c r="H96" s="10">
        <f>IF(ActiveDatabase=Standby,Secondary!H96,Primary!H96)</f>
        <v>501.542</v>
      </c>
      <c r="I96" s="13">
        <f>IF(ActiveDatabase=Standby,Secondary!I96,Primary!I96)</f>
        <v>0</v>
      </c>
      <c r="J96" s="13">
        <f>IF(ActiveDatabase=Standby,Secondary!J96,Primary!J96)</f>
        <v>0</v>
      </c>
      <c r="K96" s="13">
        <f>IF(ActiveDatabase=Standby,Secondary!K96,Primary!K96)</f>
        <v>0</v>
      </c>
      <c r="L96" s="13">
        <f>IF(ActiveDatabase=Standby,Secondary!L96,Primary!L96)</f>
        <v>0</v>
      </c>
      <c r="M96" s="7" t="b">
        <f>IF(ActiveDatabase=Standby,Secondary!M96,Primary!M96)</f>
        <v>1</v>
      </c>
      <c r="N96" s="10">
        <f>IF(ActiveDatabase=Standby,Secondary!N96,Primary!N96)</f>
        <v>0</v>
      </c>
      <c r="O96" s="10">
        <f>IF(ActiveDatabase=Standby,Secondary!O96,Primary!O96)</f>
        <v>0</v>
      </c>
      <c r="P96" s="10">
        <f>IF(ActiveDatabase=Standby,Secondary!P96,Primary!P96)</f>
        <v>0</v>
      </c>
      <c r="Q96" s="6">
        <f>IF(ActiveDatabase=Standby,Secondary!Q96,Primary!Q96)</f>
        <v>0</v>
      </c>
      <c r="R96" s="18">
        <f>IF(ActiveDatabase=Standby,Secondary!R96,Primary!R96)</f>
        <v>0</v>
      </c>
      <c r="S96" s="19">
        <f>IF(ActiveDatabase=Standby,Secondary!S96,Primary!S96)</f>
        <v>0</v>
      </c>
      <c r="T96" s="10">
        <f>IF(ActiveDatabase=Standby,Secondary!T96,Primary!T96)</f>
        <v>0</v>
      </c>
      <c r="U96" s="10">
        <f>IF(ActiveDatabase=Standby,Secondary!U96,Primary!U96)</f>
        <v>0</v>
      </c>
      <c r="V96" s="10">
        <f>IF(ActiveDatabase=Standby,Secondary!V96,Primary!V96)</f>
        <v>0</v>
      </c>
      <c r="W96" s="6">
        <f>IF(ActiveDatabase=Standby,Secondary!W96,Primary!W96)</f>
        <v>0</v>
      </c>
      <c r="X96" s="6">
        <f>IF(ActiveDatabase=Standby,Secondary!X96,Primary!X96)</f>
        <v>0</v>
      </c>
      <c r="Y96" s="12">
        <f>IF(ActiveDatabase=Standby,Secondary!Y96,Primary!Y96)</f>
        <v>0</v>
      </c>
      <c r="Z96" s="12">
        <f>IF(ActiveDatabase=Standby,Secondary!Z96,Primary!Z96)</f>
        <v>0</v>
      </c>
      <c r="AA96" s="9">
        <f>IF(ActiveDatabase=Standby,Secondary!AA96,Primary!AA96)</f>
        <v>0</v>
      </c>
      <c r="AB96" s="12"/>
      <c r="AC96" s="6"/>
      <c r="AD96" s="6"/>
      <c r="AE96" s="7"/>
      <c r="AF96" s="7"/>
      <c r="AG96" s="7"/>
      <c r="AH96" s="7"/>
      <c r="AI96" s="7"/>
      <c r="AJ96" s="7"/>
      <c r="AK96" s="7"/>
      <c r="AL96" s="7"/>
      <c r="AM96" s="7"/>
      <c r="AN96" s="7"/>
      <c r="AO96" s="6"/>
      <c r="AP96" s="7"/>
      <c r="AQ96" s="7"/>
      <c r="AR96" s="6"/>
      <c r="AS96" s="7"/>
      <c r="AT96" s="7"/>
      <c r="AU96" s="7"/>
      <c r="AV96" s="7"/>
      <c r="AW96" s="7"/>
      <c r="AX96" s="7"/>
      <c r="AY96" s="7"/>
      <c r="AZ96" s="7"/>
      <c r="BA96" s="7"/>
      <c r="BB96" s="7"/>
      <c r="BC96" s="7"/>
      <c r="BD96" s="7"/>
      <c r="BE96" s="7"/>
      <c r="BF96" s="7"/>
      <c r="BG96" s="7"/>
    </row>
    <row r="97" customHeight="1" spans="1:59">
      <c r="A97" s="9" t="str">
        <f>IF(ActiveDatabase=Standby,Secondary!A97,Primary!A97)</f>
        <v>Arial R02</v>
      </c>
      <c r="B97" s="5" t="str">
        <f>IF(ActiveDatabase=Standby,Secondary!B97,Primary!B97)</f>
        <v>Arial 15</v>
      </c>
      <c r="C97" s="5">
        <f>IF(ActiveDatabase=Standby,Secondary!C97,Primary!C97)</f>
        <v>0</v>
      </c>
      <c r="D97" s="5" t="str">
        <f>IF(ActiveDatabase=Standby,Secondary!D97,Primary!D97)</f>
        <v>OM-2</v>
      </c>
      <c r="E97" s="6" t="str">
        <f>IF(ActiveDatabase=Standby,Secondary!E97,Primary!E97)</f>
        <v>OM2</v>
      </c>
      <c r="F97" s="10">
        <f>IF(ActiveDatabase=Standby,Secondary!F97,Primary!F97)</f>
        <v>0</v>
      </c>
      <c r="G97" s="10">
        <f>IF(ActiveDatabase=Standby,Secondary!G97,Primary!G97)</f>
        <v>0</v>
      </c>
      <c r="H97" s="10">
        <f>IF(ActiveDatabase=Standby,Secondary!H97,Primary!H97)</f>
        <v>-501.542</v>
      </c>
      <c r="I97" s="13">
        <f>IF(ActiveDatabase=Standby,Secondary!I97,Primary!I97)</f>
        <v>0</v>
      </c>
      <c r="J97" s="13">
        <f>IF(ActiveDatabase=Standby,Secondary!J97,Primary!J97)</f>
        <v>0</v>
      </c>
      <c r="K97" s="13">
        <f>IF(ActiveDatabase=Standby,Secondary!K97,Primary!K97)</f>
        <v>0</v>
      </c>
      <c r="L97" s="13">
        <f>IF(ActiveDatabase=Standby,Secondary!L97,Primary!L97)</f>
        <v>0</v>
      </c>
      <c r="M97" s="7" t="b">
        <f>IF(ActiveDatabase=Standby,Secondary!M97,Primary!M97)</f>
        <v>1</v>
      </c>
      <c r="N97" s="10">
        <f>IF(ActiveDatabase=Standby,Secondary!N97,Primary!N97)</f>
        <v>0</v>
      </c>
      <c r="O97" s="10">
        <f>IF(ActiveDatabase=Standby,Secondary!O97,Primary!O97)</f>
        <v>0</v>
      </c>
      <c r="P97" s="10">
        <f>IF(ActiveDatabase=Standby,Secondary!P97,Primary!P97)</f>
        <v>0</v>
      </c>
      <c r="Q97" s="6">
        <f>IF(ActiveDatabase=Standby,Secondary!Q97,Primary!Q97)</f>
        <v>0</v>
      </c>
      <c r="R97" s="18">
        <f>IF(ActiveDatabase=Standby,Secondary!R97,Primary!R97)</f>
        <v>0</v>
      </c>
      <c r="S97" s="19">
        <f>IF(ActiveDatabase=Standby,Secondary!S97,Primary!S97)</f>
        <v>0</v>
      </c>
      <c r="T97" s="10">
        <f>IF(ActiveDatabase=Standby,Secondary!T97,Primary!T97)</f>
        <v>0</v>
      </c>
      <c r="U97" s="10">
        <f>IF(ActiveDatabase=Standby,Secondary!U97,Primary!U97)</f>
        <v>0</v>
      </c>
      <c r="V97" s="10">
        <f>IF(ActiveDatabase=Standby,Secondary!V97,Primary!V97)</f>
        <v>0</v>
      </c>
      <c r="W97" s="6">
        <f>IF(ActiveDatabase=Standby,Secondary!W97,Primary!W97)</f>
        <v>0</v>
      </c>
      <c r="X97" s="6">
        <f>IF(ActiveDatabase=Standby,Secondary!X97,Primary!X97)</f>
        <v>0</v>
      </c>
      <c r="Y97" s="12">
        <f>IF(ActiveDatabase=Standby,Secondary!Y97,Primary!Y97)</f>
        <v>0</v>
      </c>
      <c r="Z97" s="12">
        <f>IF(ActiveDatabase=Standby,Secondary!Z97,Primary!Z97)</f>
        <v>0</v>
      </c>
      <c r="AA97" s="9">
        <f>IF(ActiveDatabase=Standby,Secondary!AA97,Primary!AA97)</f>
        <v>0</v>
      </c>
      <c r="AB97" s="12"/>
      <c r="AC97" s="6"/>
      <c r="AD97" s="6"/>
      <c r="AE97" s="7"/>
      <c r="AF97" s="7"/>
      <c r="AG97" s="7"/>
      <c r="AH97" s="7"/>
      <c r="AI97" s="7"/>
      <c r="AJ97" s="7"/>
      <c r="AK97" s="7"/>
      <c r="AL97" s="7"/>
      <c r="AM97" s="7"/>
      <c r="AN97" s="7"/>
      <c r="AO97" s="6"/>
      <c r="AP97" s="7"/>
      <c r="AQ97" s="7"/>
      <c r="AR97" s="6"/>
      <c r="AS97" s="7"/>
      <c r="AT97" s="7"/>
      <c r="AU97" s="7"/>
      <c r="AV97" s="7"/>
      <c r="AW97" s="7"/>
      <c r="AX97" s="7"/>
      <c r="AY97" s="7"/>
      <c r="AZ97" s="7"/>
      <c r="BA97" s="7"/>
      <c r="BB97" s="7"/>
      <c r="BC97" s="7"/>
      <c r="BD97" s="7"/>
      <c r="BE97" s="7"/>
      <c r="BF97" s="7"/>
      <c r="BG97" s="7"/>
    </row>
    <row r="98" customHeight="1" spans="1:59">
      <c r="A98" s="9" t="str">
        <f>IF(ActiveDatabase=Standby,Secondary!A98,Primary!A98)</f>
        <v>Arial R03</v>
      </c>
      <c r="B98" s="5" t="str">
        <f>IF(ActiveDatabase=Standby,Secondary!B98,Primary!B98)</f>
        <v>Arial 16</v>
      </c>
      <c r="C98" s="5" t="str">
        <f>IF(ActiveDatabase=Standby,Secondary!C98,Primary!C98)</f>
        <v>Arial 03</v>
      </c>
      <c r="D98" s="5" t="str">
        <f>IF(ActiveDatabase=Standby,Secondary!D98,Primary!D98)</f>
        <v>OM-3</v>
      </c>
      <c r="E98" s="6" t="str">
        <f>IF(ActiveDatabase=Standby,Secondary!E98,Primary!E98)</f>
        <v>OM3</v>
      </c>
      <c r="F98" s="10">
        <f>IF(ActiveDatabase=Standby,Secondary!F98,Primary!F98)</f>
        <v>0</v>
      </c>
      <c r="G98" s="10">
        <f>IF(ActiveDatabase=Standby,Secondary!G98,Primary!G98)</f>
        <v>501.542</v>
      </c>
      <c r="H98" s="10">
        <f>IF(ActiveDatabase=Standby,Secondary!H98,Primary!H98)</f>
        <v>0</v>
      </c>
      <c r="I98" s="13">
        <f>IF(ActiveDatabase=Standby,Secondary!I98,Primary!I98)</f>
        <v>0</v>
      </c>
      <c r="J98" s="13">
        <f>IF(ActiveDatabase=Standby,Secondary!J98,Primary!J98)</f>
        <v>0</v>
      </c>
      <c r="K98" s="13">
        <f>IF(ActiveDatabase=Standby,Secondary!K98,Primary!K98)</f>
        <v>0</v>
      </c>
      <c r="L98" s="13">
        <f>IF(ActiveDatabase=Standby,Secondary!L98,Primary!L98)</f>
        <v>0</v>
      </c>
      <c r="M98" s="7" t="b">
        <f>IF(ActiveDatabase=Standby,Secondary!M98,Primary!M98)</f>
        <v>1</v>
      </c>
      <c r="N98" s="10">
        <f>IF(ActiveDatabase=Standby,Secondary!N98,Primary!N98)</f>
        <v>0</v>
      </c>
      <c r="O98" s="10">
        <f>IF(ActiveDatabase=Standby,Secondary!O98,Primary!O98)</f>
        <v>0</v>
      </c>
      <c r="P98" s="10">
        <f>IF(ActiveDatabase=Standby,Secondary!P98,Primary!P98)</f>
        <v>0</v>
      </c>
      <c r="Q98" s="6">
        <f>IF(ActiveDatabase=Standby,Secondary!Q98,Primary!Q98)</f>
        <v>0</v>
      </c>
      <c r="R98" s="18">
        <f>IF(ActiveDatabase=Standby,Secondary!R98,Primary!R98)</f>
        <v>0</v>
      </c>
      <c r="S98" s="19">
        <f>IF(ActiveDatabase=Standby,Secondary!S98,Primary!S98)</f>
        <v>0</v>
      </c>
      <c r="T98" s="10">
        <f>IF(ActiveDatabase=Standby,Secondary!T98,Primary!T98)</f>
        <v>0</v>
      </c>
      <c r="U98" s="10">
        <f>IF(ActiveDatabase=Standby,Secondary!U98,Primary!U98)</f>
        <v>0</v>
      </c>
      <c r="V98" s="10">
        <f>IF(ActiveDatabase=Standby,Secondary!V98,Primary!V98)</f>
        <v>0</v>
      </c>
      <c r="W98" s="6">
        <f>IF(ActiveDatabase=Standby,Secondary!W98,Primary!W98)</f>
        <v>0</v>
      </c>
      <c r="X98" s="6">
        <f>IF(ActiveDatabase=Standby,Secondary!X98,Primary!X98)</f>
        <v>0</v>
      </c>
      <c r="Y98" s="12">
        <f>IF(ActiveDatabase=Standby,Secondary!Y98,Primary!Y98)</f>
        <v>0</v>
      </c>
      <c r="Z98" s="12">
        <f>IF(ActiveDatabase=Standby,Secondary!Z98,Primary!Z98)</f>
        <v>0</v>
      </c>
      <c r="AA98" s="9">
        <f>IF(ActiveDatabase=Standby,Secondary!AA98,Primary!AA98)</f>
        <v>0</v>
      </c>
      <c r="AB98" s="12"/>
      <c r="AC98" s="6"/>
      <c r="AD98" s="6"/>
      <c r="AE98" s="7"/>
      <c r="AF98" s="7"/>
      <c r="AG98" s="7"/>
      <c r="AH98" s="7"/>
      <c r="AI98" s="7"/>
      <c r="AJ98" s="7"/>
      <c r="AK98" s="7"/>
      <c r="AL98" s="7"/>
      <c r="AM98" s="7"/>
      <c r="AN98" s="7"/>
      <c r="AO98" s="6"/>
      <c r="AP98" s="7"/>
      <c r="AQ98" s="7"/>
      <c r="AR98" s="6"/>
      <c r="AS98" s="7"/>
      <c r="AT98" s="7"/>
      <c r="AU98" s="7"/>
      <c r="AV98" s="7"/>
      <c r="AW98" s="7"/>
      <c r="AX98" s="7"/>
      <c r="AY98" s="7"/>
      <c r="AZ98" s="7"/>
      <c r="BA98" s="7"/>
      <c r="BB98" s="7"/>
      <c r="BC98" s="7"/>
      <c r="BD98" s="7"/>
      <c r="BE98" s="7"/>
      <c r="BF98" s="7"/>
      <c r="BG98" s="7"/>
    </row>
    <row r="99" customHeight="1" spans="1:59">
      <c r="A99" s="9" t="str">
        <f>IF(ActiveDatabase=Standby,Secondary!A99,Primary!A99)</f>
        <v>Arial R04</v>
      </c>
      <c r="B99" s="5" t="str">
        <f>IF(ActiveDatabase=Standby,Secondary!B99,Primary!B99)</f>
        <v>Arial 17</v>
      </c>
      <c r="C99" s="5" t="str">
        <f>IF(ActiveDatabase=Standby,Secondary!C99,Primary!C99)</f>
        <v>Arial 10</v>
      </c>
      <c r="D99" s="5" t="str">
        <f>IF(ActiveDatabase=Standby,Secondary!D99,Primary!D99)</f>
        <v>OM-4</v>
      </c>
      <c r="E99" s="6" t="str">
        <f>IF(ActiveDatabase=Standby,Secondary!E99,Primary!E99)</f>
        <v>OM4</v>
      </c>
      <c r="F99" s="10">
        <f>IF(ActiveDatabase=Standby,Secondary!F99,Primary!F99)</f>
        <v>0</v>
      </c>
      <c r="G99" s="10">
        <f>IF(ActiveDatabase=Standby,Secondary!G99,Primary!G99)</f>
        <v>-501.542</v>
      </c>
      <c r="H99" s="10">
        <f>IF(ActiveDatabase=Standby,Secondary!H99,Primary!H99)</f>
        <v>0</v>
      </c>
      <c r="I99" s="13">
        <f>IF(ActiveDatabase=Standby,Secondary!I99,Primary!I99)</f>
        <v>0</v>
      </c>
      <c r="J99" s="13">
        <f>IF(ActiveDatabase=Standby,Secondary!J99,Primary!J99)</f>
        <v>0</v>
      </c>
      <c r="K99" s="13">
        <f>IF(ActiveDatabase=Standby,Secondary!K99,Primary!K99)</f>
        <v>0</v>
      </c>
      <c r="L99" s="13">
        <f>IF(ActiveDatabase=Standby,Secondary!L99,Primary!L99)</f>
        <v>0</v>
      </c>
      <c r="M99" s="7" t="b">
        <f>IF(ActiveDatabase=Standby,Secondary!M99,Primary!M99)</f>
        <v>1</v>
      </c>
      <c r="N99" s="10">
        <f>IF(ActiveDatabase=Standby,Secondary!N99,Primary!N99)</f>
        <v>0</v>
      </c>
      <c r="O99" s="10">
        <f>IF(ActiveDatabase=Standby,Secondary!O99,Primary!O99)</f>
        <v>0</v>
      </c>
      <c r="P99" s="10">
        <f>IF(ActiveDatabase=Standby,Secondary!P99,Primary!P99)</f>
        <v>0</v>
      </c>
      <c r="Q99" s="6">
        <f>IF(ActiveDatabase=Standby,Secondary!Q99,Primary!Q99)</f>
        <v>0</v>
      </c>
      <c r="R99" s="18">
        <f>IF(ActiveDatabase=Standby,Secondary!R99,Primary!R99)</f>
        <v>0</v>
      </c>
      <c r="S99" s="19">
        <f>IF(ActiveDatabase=Standby,Secondary!S99,Primary!S99)</f>
        <v>0</v>
      </c>
      <c r="T99" s="10">
        <f>IF(ActiveDatabase=Standby,Secondary!T99,Primary!T99)</f>
        <v>0</v>
      </c>
      <c r="U99" s="10">
        <f>IF(ActiveDatabase=Standby,Secondary!U99,Primary!U99)</f>
        <v>0</v>
      </c>
      <c r="V99" s="10">
        <f>IF(ActiveDatabase=Standby,Secondary!V99,Primary!V99)</f>
        <v>0</v>
      </c>
      <c r="W99" s="6">
        <f>IF(ActiveDatabase=Standby,Secondary!W99,Primary!W99)</f>
        <v>0</v>
      </c>
      <c r="X99" s="6">
        <f>IF(ActiveDatabase=Standby,Secondary!X99,Primary!X99)</f>
        <v>0</v>
      </c>
      <c r="Y99" s="12">
        <f>IF(ActiveDatabase=Standby,Secondary!Y99,Primary!Y99)</f>
        <v>0</v>
      </c>
      <c r="Z99" s="12">
        <f>IF(ActiveDatabase=Standby,Secondary!Z99,Primary!Z99)</f>
        <v>0</v>
      </c>
      <c r="AA99" s="9">
        <f>IF(ActiveDatabase=Standby,Secondary!AA99,Primary!AA99)</f>
        <v>0</v>
      </c>
      <c r="AB99" s="12"/>
      <c r="AC99" s="6"/>
      <c r="AD99" s="6"/>
      <c r="AE99" s="7"/>
      <c r="AF99" s="7"/>
      <c r="AG99" s="7"/>
      <c r="AH99" s="7"/>
      <c r="AI99" s="7"/>
      <c r="AJ99" s="7"/>
      <c r="AK99" s="7"/>
      <c r="AL99" s="7"/>
      <c r="AM99" s="7"/>
      <c r="AN99" s="7"/>
      <c r="AO99" s="6"/>
      <c r="AP99" s="7"/>
      <c r="AQ99" s="7"/>
      <c r="AR99" s="6"/>
      <c r="AS99" s="7"/>
      <c r="AT99" s="7"/>
      <c r="AU99" s="7"/>
      <c r="AV99" s="7"/>
      <c r="AW99" s="7"/>
      <c r="AX99" s="7"/>
      <c r="AY99" s="7"/>
      <c r="AZ99" s="7"/>
      <c r="BA99" s="7"/>
      <c r="BB99" s="7"/>
      <c r="BC99" s="7"/>
      <c r="BD99" s="7"/>
      <c r="BE99" s="7"/>
      <c r="BF99" s="7"/>
      <c r="BG99" s="7"/>
    </row>
    <row r="100" customHeight="1" spans="1:59">
      <c r="A100" s="9" t="str">
        <f>IF(ActiveDatabase=Standby,Secondary!A100,Primary!A100)</f>
        <v>Arial R05</v>
      </c>
      <c r="B100" s="5" t="str">
        <f>IF(ActiveDatabase=Standby,Secondary!B100,Primary!B100)</f>
        <v>Arial 18</v>
      </c>
      <c r="C100" s="5" t="str">
        <f>IF(ActiveDatabase=Standby,Secondary!C100,Primary!C100)</f>
        <v>Arial 05</v>
      </c>
      <c r="D100" s="5" t="str">
        <f>IF(ActiveDatabase=Standby,Secondary!D100,Primary!D100)</f>
        <v>OM-5</v>
      </c>
      <c r="E100" s="6" t="str">
        <f>IF(ActiveDatabase=Standby,Secondary!E100,Primary!E100)</f>
        <v>OM5</v>
      </c>
      <c r="F100" s="10">
        <f>IF(ActiveDatabase=Standby,Secondary!F100,Primary!F100)</f>
        <v>501.542</v>
      </c>
      <c r="G100" s="10">
        <f>IF(ActiveDatabase=Standby,Secondary!G100,Primary!G100)</f>
        <v>0</v>
      </c>
      <c r="H100" s="10">
        <f>IF(ActiveDatabase=Standby,Secondary!H100,Primary!H100)</f>
        <v>0</v>
      </c>
      <c r="I100" s="13">
        <f>IF(ActiveDatabase=Standby,Secondary!I100,Primary!I100)</f>
        <v>0</v>
      </c>
      <c r="J100" s="13">
        <f>IF(ActiveDatabase=Standby,Secondary!J100,Primary!J100)</f>
        <v>0</v>
      </c>
      <c r="K100" s="13">
        <f>IF(ActiveDatabase=Standby,Secondary!K100,Primary!K100)</f>
        <v>0</v>
      </c>
      <c r="L100" s="13">
        <f>IF(ActiveDatabase=Standby,Secondary!L100,Primary!L100)</f>
        <v>0</v>
      </c>
      <c r="M100" s="7" t="b">
        <f>IF(ActiveDatabase=Standby,Secondary!M100,Primary!M100)</f>
        <v>1</v>
      </c>
      <c r="N100" s="10">
        <f>IF(ActiveDatabase=Standby,Secondary!N100,Primary!N100)</f>
        <v>0</v>
      </c>
      <c r="O100" s="10">
        <f>IF(ActiveDatabase=Standby,Secondary!O100,Primary!O100)</f>
        <v>0</v>
      </c>
      <c r="P100" s="10">
        <f>IF(ActiveDatabase=Standby,Secondary!P100,Primary!P100)</f>
        <v>0</v>
      </c>
      <c r="Q100" s="6">
        <f>IF(ActiveDatabase=Standby,Secondary!Q100,Primary!Q100)</f>
        <v>0</v>
      </c>
      <c r="R100" s="18">
        <f>IF(ActiveDatabase=Standby,Secondary!R100,Primary!R100)</f>
        <v>0</v>
      </c>
      <c r="S100" s="19">
        <f>IF(ActiveDatabase=Standby,Secondary!S100,Primary!S100)</f>
        <v>0</v>
      </c>
      <c r="T100" s="10">
        <f>IF(ActiveDatabase=Standby,Secondary!T100,Primary!T100)</f>
        <v>0</v>
      </c>
      <c r="U100" s="10">
        <f>IF(ActiveDatabase=Standby,Secondary!U100,Primary!U100)</f>
        <v>0</v>
      </c>
      <c r="V100" s="10">
        <f>IF(ActiveDatabase=Standby,Secondary!V100,Primary!V100)</f>
        <v>0</v>
      </c>
      <c r="W100" s="6">
        <f>IF(ActiveDatabase=Standby,Secondary!W100,Primary!W100)</f>
        <v>0</v>
      </c>
      <c r="X100" s="6">
        <f>IF(ActiveDatabase=Standby,Secondary!X100,Primary!X100)</f>
        <v>0</v>
      </c>
      <c r="Y100" s="12">
        <f>IF(ActiveDatabase=Standby,Secondary!Y100,Primary!Y100)</f>
        <v>0</v>
      </c>
      <c r="Z100" s="12">
        <f>IF(ActiveDatabase=Standby,Secondary!Z100,Primary!Z100)</f>
        <v>0</v>
      </c>
      <c r="AA100" s="9">
        <f>IF(ActiveDatabase=Standby,Secondary!AA100,Primary!AA100)</f>
        <v>0</v>
      </c>
      <c r="AB100" s="12"/>
      <c r="AC100" s="6"/>
      <c r="AD100" s="6"/>
      <c r="AE100" s="7"/>
      <c r="AF100" s="7"/>
      <c r="AG100" s="7"/>
      <c r="AH100" s="7"/>
      <c r="AI100" s="7"/>
      <c r="AJ100" s="7"/>
      <c r="AK100" s="7"/>
      <c r="AL100" s="7"/>
      <c r="AM100" s="7"/>
      <c r="AN100" s="7"/>
      <c r="AO100" s="6"/>
      <c r="AP100" s="7"/>
      <c r="AQ100" s="7"/>
      <c r="AR100" s="6"/>
      <c r="AS100" s="7"/>
      <c r="AT100" s="7"/>
      <c r="AU100" s="7"/>
      <c r="AV100" s="7"/>
      <c r="AW100" s="7"/>
      <c r="AX100" s="7"/>
      <c r="AY100" s="7"/>
      <c r="AZ100" s="7"/>
      <c r="BA100" s="7"/>
      <c r="BB100" s="7"/>
      <c r="BC100" s="7"/>
      <c r="BD100" s="7"/>
      <c r="BE100" s="7"/>
      <c r="BF100" s="7"/>
      <c r="BG100" s="7"/>
    </row>
    <row r="101" customHeight="1" spans="1:59">
      <c r="A101" s="9" t="str">
        <f>IF(ActiveDatabase=Standby,Secondary!A101,Primary!A101)</f>
        <v>Arial R06</v>
      </c>
      <c r="B101" s="5" t="str">
        <f>IF(ActiveDatabase=Standby,Secondary!B101,Primary!B101)</f>
        <v>Arial 19</v>
      </c>
      <c r="C101" s="5" t="str">
        <f>IF(ActiveDatabase=Standby,Secondary!C101,Primary!C101)</f>
        <v>Arial 12</v>
      </c>
      <c r="D101" s="5" t="str">
        <f>IF(ActiveDatabase=Standby,Secondary!D101,Primary!D101)</f>
        <v>OM-6</v>
      </c>
      <c r="E101" s="6" t="str">
        <f>IF(ActiveDatabase=Standby,Secondary!E101,Primary!E101)</f>
        <v>OM6</v>
      </c>
      <c r="F101" s="10">
        <f>IF(ActiveDatabase=Standby,Secondary!F101,Primary!F101)</f>
        <v>-501.542</v>
      </c>
      <c r="G101" s="10">
        <f>IF(ActiveDatabase=Standby,Secondary!G101,Primary!G101)</f>
        <v>0</v>
      </c>
      <c r="H101" s="10">
        <f>IF(ActiveDatabase=Standby,Secondary!H101,Primary!H101)</f>
        <v>0</v>
      </c>
      <c r="I101" s="13">
        <f>IF(ActiveDatabase=Standby,Secondary!I101,Primary!I101)</f>
        <v>0</v>
      </c>
      <c r="J101" s="13">
        <f>IF(ActiveDatabase=Standby,Secondary!J101,Primary!J101)</f>
        <v>0</v>
      </c>
      <c r="K101" s="13">
        <f>IF(ActiveDatabase=Standby,Secondary!K101,Primary!K101)</f>
        <v>0</v>
      </c>
      <c r="L101" s="13">
        <f>IF(ActiveDatabase=Standby,Secondary!L101,Primary!L101)</f>
        <v>0</v>
      </c>
      <c r="M101" s="7" t="b">
        <f>IF(ActiveDatabase=Standby,Secondary!M101,Primary!M101)</f>
        <v>1</v>
      </c>
      <c r="N101" s="10">
        <f>IF(ActiveDatabase=Standby,Secondary!N101,Primary!N101)</f>
        <v>0</v>
      </c>
      <c r="O101" s="10">
        <f>IF(ActiveDatabase=Standby,Secondary!O101,Primary!O101)</f>
        <v>0</v>
      </c>
      <c r="P101" s="10">
        <f>IF(ActiveDatabase=Standby,Secondary!P101,Primary!P101)</f>
        <v>0</v>
      </c>
      <c r="Q101" s="6">
        <f>IF(ActiveDatabase=Standby,Secondary!Q101,Primary!Q101)</f>
        <v>0</v>
      </c>
      <c r="R101" s="18">
        <f>IF(ActiveDatabase=Standby,Secondary!R101,Primary!R101)</f>
        <v>0</v>
      </c>
      <c r="S101" s="19">
        <f>IF(ActiveDatabase=Standby,Secondary!S101,Primary!S101)</f>
        <v>0</v>
      </c>
      <c r="T101" s="10">
        <f>IF(ActiveDatabase=Standby,Secondary!T101,Primary!T101)</f>
        <v>0</v>
      </c>
      <c r="U101" s="10">
        <f>IF(ActiveDatabase=Standby,Secondary!U101,Primary!U101)</f>
        <v>0</v>
      </c>
      <c r="V101" s="10">
        <f>IF(ActiveDatabase=Standby,Secondary!V101,Primary!V101)</f>
        <v>0</v>
      </c>
      <c r="W101" s="6">
        <f>IF(ActiveDatabase=Standby,Secondary!W101,Primary!W101)</f>
        <v>0</v>
      </c>
      <c r="X101" s="6">
        <f>IF(ActiveDatabase=Standby,Secondary!X101,Primary!X101)</f>
        <v>0</v>
      </c>
      <c r="Y101" s="12">
        <f>IF(ActiveDatabase=Standby,Secondary!Y101,Primary!Y101)</f>
        <v>0</v>
      </c>
      <c r="Z101" s="12">
        <f>IF(ActiveDatabase=Standby,Secondary!Z101,Primary!Z101)</f>
        <v>0</v>
      </c>
      <c r="AA101" s="9">
        <f>IF(ActiveDatabase=Standby,Secondary!AA101,Primary!AA101)</f>
        <v>0</v>
      </c>
      <c r="AB101" s="12"/>
      <c r="AC101" s="6"/>
      <c r="AD101" s="6"/>
      <c r="AE101" s="7"/>
      <c r="AF101" s="7"/>
      <c r="AG101" s="7"/>
      <c r="AH101" s="7"/>
      <c r="AI101" s="7"/>
      <c r="AJ101" s="7"/>
      <c r="AK101" s="7"/>
      <c r="AL101" s="7"/>
      <c r="AM101" s="7"/>
      <c r="AN101" s="7"/>
      <c r="AO101" s="6"/>
      <c r="AP101" s="7"/>
      <c r="AQ101" s="7"/>
      <c r="AR101" s="6"/>
      <c r="AS101" s="7"/>
      <c r="AT101" s="7"/>
      <c r="AU101" s="7"/>
      <c r="AV101" s="7"/>
      <c r="AW101" s="7"/>
      <c r="AX101" s="7"/>
      <c r="AY101" s="7"/>
      <c r="AZ101" s="7"/>
      <c r="BA101" s="7"/>
      <c r="BB101" s="7"/>
      <c r="BC101" s="7"/>
      <c r="BD101" s="7"/>
      <c r="BE101" s="7"/>
      <c r="BF101" s="7"/>
      <c r="BG101" s="7"/>
    </row>
    <row r="102" customHeight="1" spans="1:59">
      <c r="A102" s="9" t="str">
        <f>IF(ActiveDatabase=Standby,Secondary!A102,Primary!A102)</f>
        <v>Arial</v>
      </c>
      <c r="B102" s="5" t="str">
        <f>IF(ActiveDatabase=Standby,Secondary!B102,Primary!B102)</f>
        <v>Arial 00</v>
      </c>
      <c r="C102" s="5">
        <f>IF(ActiveDatabase=Standby,Secondary!C102,Primary!C102)</f>
        <v>0</v>
      </c>
      <c r="D102" s="5" t="str">
        <f>IF(ActiveDatabase=Standby,Secondary!D102,Primary!D102)</f>
        <v>Trading Terminals</v>
      </c>
      <c r="E102" s="6">
        <f>IF(ActiveDatabase=Standby,Secondary!E102,Primary!E102)</f>
        <v>0</v>
      </c>
      <c r="F102" s="10">
        <f>IF(ActiveDatabase=Standby,Secondary!F102,Primary!F102)</f>
        <v>0</v>
      </c>
      <c r="G102" s="10">
        <f>IF(ActiveDatabase=Standby,Secondary!G102,Primary!G102)</f>
        <v>0</v>
      </c>
      <c r="H102" s="10">
        <f>IF(ActiveDatabase=Standby,Secondary!H102,Primary!H102)</f>
        <v>0</v>
      </c>
      <c r="I102" s="13">
        <f>IF(ActiveDatabase=Standby,Secondary!I102,Primary!I102)</f>
        <v>0</v>
      </c>
      <c r="J102" s="13">
        <f>IF(ActiveDatabase=Standby,Secondary!J102,Primary!J102)</f>
        <v>0</v>
      </c>
      <c r="K102" s="13">
        <f>IF(ActiveDatabase=Standby,Secondary!K102,Primary!K102)</f>
        <v>0</v>
      </c>
      <c r="L102" s="13">
        <f>IF(ActiveDatabase=Standby,Secondary!L102,Primary!L102)</f>
        <v>0</v>
      </c>
      <c r="M102" s="7">
        <f>IF(ActiveDatabase=Standby,Secondary!M102,Primary!M102)</f>
        <v>0</v>
      </c>
      <c r="N102" s="10">
        <f>IF(ActiveDatabase=Standby,Secondary!N102,Primary!N102)</f>
        <v>0</v>
      </c>
      <c r="O102" s="10">
        <f>IF(ActiveDatabase=Standby,Secondary!O102,Primary!O102)</f>
        <v>0</v>
      </c>
      <c r="P102" s="10">
        <f>IF(ActiveDatabase=Standby,Secondary!P102,Primary!P102)</f>
        <v>0</v>
      </c>
      <c r="Q102" s="6">
        <f>IF(ActiveDatabase=Standby,Secondary!Q102,Primary!Q102)</f>
        <v>0</v>
      </c>
      <c r="R102" s="18">
        <f>IF(ActiveDatabase=Standby,Secondary!R102,Primary!R102)</f>
        <v>0</v>
      </c>
      <c r="S102" s="19">
        <f>IF(ActiveDatabase=Standby,Secondary!S102,Primary!S102)</f>
        <v>0</v>
      </c>
      <c r="T102" s="10">
        <f>IF(ActiveDatabase=Standby,Secondary!T102,Primary!T102)</f>
        <v>0</v>
      </c>
      <c r="U102" s="10">
        <f>IF(ActiveDatabase=Standby,Secondary!U102,Primary!U102)</f>
        <v>0</v>
      </c>
      <c r="V102" s="10">
        <f>IF(ActiveDatabase=Standby,Secondary!V102,Primary!V102)</f>
        <v>0</v>
      </c>
      <c r="W102" s="6">
        <f>IF(ActiveDatabase=Standby,Secondary!W102,Primary!W102)</f>
        <v>0</v>
      </c>
      <c r="X102" s="6">
        <f>IF(ActiveDatabase=Standby,Secondary!X102,Primary!X102)</f>
        <v>0</v>
      </c>
      <c r="Y102" s="12">
        <f>IF(ActiveDatabase=Standby,Secondary!Y102,Primary!Y102)</f>
        <v>0</v>
      </c>
      <c r="Z102" s="12">
        <f>IF(ActiveDatabase=Standby,Secondary!Z102,Primary!Z102)</f>
        <v>0</v>
      </c>
      <c r="AA102" s="9">
        <f>IF(ActiveDatabase=Standby,Secondary!AA102,Primary!AA102)</f>
        <v>0</v>
      </c>
      <c r="AB102" s="12"/>
      <c r="AC102" s="6"/>
      <c r="AD102" s="6"/>
      <c r="AE102" s="7"/>
      <c r="AF102" s="7"/>
      <c r="AG102" s="7"/>
      <c r="AH102" s="7"/>
      <c r="AI102" s="7"/>
      <c r="AJ102" s="7"/>
      <c r="AK102" s="7"/>
      <c r="AL102" s="7"/>
      <c r="AM102" s="7"/>
      <c r="AN102" s="7"/>
      <c r="AO102" s="6"/>
      <c r="AP102" s="7"/>
      <c r="AQ102" s="7"/>
      <c r="AR102" s="6"/>
      <c r="AS102" s="7"/>
      <c r="AT102" s="7"/>
      <c r="AU102" s="7"/>
      <c r="AV102" s="7"/>
      <c r="AW102" s="7"/>
      <c r="AX102" s="7"/>
      <c r="AY102" s="7"/>
      <c r="AZ102" s="7"/>
      <c r="BA102" s="7"/>
      <c r="BB102" s="7"/>
      <c r="BC102" s="7"/>
      <c r="BD102" s="7"/>
      <c r="BE102" s="7"/>
      <c r="BF102" s="7"/>
      <c r="BG102" s="7"/>
    </row>
    <row r="103" customHeight="1" spans="1:59">
      <c r="A103" s="9" t="str">
        <f>IF(ActiveDatabase=Standby,Secondary!A103,Primary!A103)</f>
        <v>Arial 01</v>
      </c>
      <c r="B103" s="5" t="str">
        <f>IF(ActiveDatabase=Standby,Secondary!B103,Primary!B103)</f>
        <v>Arial 01</v>
      </c>
      <c r="C103" s="5" t="str">
        <f>IF(ActiveDatabase=Standby,Secondary!C103,Primary!C103)</f>
        <v>Arial 08</v>
      </c>
      <c r="D103" s="5" t="str">
        <f>IF(ActiveDatabase=Standby,Secondary!D103,Primary!D103)</f>
        <v>HDMS Bezdek (PB)</v>
      </c>
      <c r="E103" s="6" t="str">
        <f>IF(ActiveDatabase=Standby,Secondary!E103,Primary!E103)</f>
        <v>Bezdek</v>
      </c>
      <c r="F103" s="10">
        <f>IF(ActiveDatabase=Standby,Secondary!F103,Primary!F103)</f>
        <v>26.735388974</v>
      </c>
      <c r="G103" s="10">
        <f>IF(ActiveDatabase=Standby,Secondary!G103,Primary!G103)</f>
        <v>-234.697649360999</v>
      </c>
      <c r="H103" s="10">
        <f>IF(ActiveDatabase=Standby,Secondary!H103,Primary!H103)</f>
        <v>251.505154463</v>
      </c>
      <c r="I103" s="13">
        <f>IF(ActiveDatabase=Standby,Secondary!I103,Primary!I103)</f>
        <v>0</v>
      </c>
      <c r="J103" s="13">
        <f>IF(ActiveDatabase=Standby,Secondary!J103,Primary!J103)</f>
        <v>0</v>
      </c>
      <c r="K103" s="13">
        <f>IF(ActiveDatabase=Standby,Secondary!K103,Primary!K103)</f>
        <v>0</v>
      </c>
      <c r="L103" s="13">
        <f>IF(ActiveDatabase=Standby,Secondary!L103,Primary!L103)</f>
        <v>0</v>
      </c>
      <c r="M103" s="7" t="b">
        <f>IF(ActiveDatabase=Standby,Secondary!M103,Primary!M103)</f>
        <v>1</v>
      </c>
      <c r="N103" s="10">
        <f>IF(ActiveDatabase=Standby,Secondary!N103,Primary!N103)</f>
        <v>0</v>
      </c>
      <c r="O103" s="10">
        <f>IF(ActiveDatabase=Standby,Secondary!O103,Primary!O103)</f>
        <v>0</v>
      </c>
      <c r="P103" s="10">
        <f>IF(ActiveDatabase=Standby,Secondary!P103,Primary!P103)</f>
        <v>0</v>
      </c>
      <c r="Q103" s="6">
        <f>IF(ActiveDatabase=Standby,Secondary!Q103,Primary!Q103)</f>
        <v>0</v>
      </c>
      <c r="R103" s="18">
        <f>IF(ActiveDatabase=Standby,Secondary!R103,Primary!R103)</f>
        <v>0</v>
      </c>
      <c r="S103" s="19">
        <f>IF(ActiveDatabase=Standby,Secondary!S103,Primary!S103)</f>
        <v>0</v>
      </c>
      <c r="T103" s="10">
        <f>IF(ActiveDatabase=Standby,Secondary!T103,Primary!T103)</f>
        <v>0</v>
      </c>
      <c r="U103" s="10">
        <f>IF(ActiveDatabase=Standby,Secondary!U103,Primary!U103)</f>
        <v>0</v>
      </c>
      <c r="V103" s="10">
        <f>IF(ActiveDatabase=Standby,Secondary!V103,Primary!V103)</f>
        <v>0</v>
      </c>
      <c r="W103" s="6">
        <f>IF(ActiveDatabase=Standby,Secondary!W103,Primary!W103)</f>
        <v>0</v>
      </c>
      <c r="X103" s="6">
        <f>IF(ActiveDatabase=Standby,Secondary!X103,Primary!X103)</f>
        <v>0</v>
      </c>
      <c r="Y103" s="12">
        <f>IF(ActiveDatabase=Standby,Secondary!Y103,Primary!Y103)</f>
        <v>0</v>
      </c>
      <c r="Z103" s="12">
        <f>IF(ActiveDatabase=Standby,Secondary!Z103,Primary!Z103)</f>
        <v>0</v>
      </c>
      <c r="AA103" s="7">
        <f>IF(ActiveDatabase=Standby,Secondary!AA103,Primary!AA103)</f>
        <v>0</v>
      </c>
      <c r="AB103" s="12"/>
      <c r="AC103" s="6"/>
      <c r="AD103" s="6"/>
      <c r="AE103" s="7"/>
      <c r="AF103" s="7"/>
      <c r="AG103" s="7"/>
      <c r="AH103" s="7"/>
      <c r="AI103" s="7"/>
      <c r="AJ103" s="7"/>
      <c r="AK103" s="7"/>
      <c r="AL103" s="7"/>
      <c r="AM103" s="7"/>
      <c r="AN103" s="7"/>
      <c r="AO103" s="6"/>
      <c r="AP103" s="7"/>
      <c r="AQ103" s="7"/>
      <c r="AR103" s="6"/>
      <c r="AS103" s="7"/>
      <c r="AT103" s="7"/>
      <c r="AU103" s="7"/>
      <c r="AV103" s="7"/>
      <c r="AW103" s="7"/>
      <c r="AX103" s="7"/>
      <c r="AY103" s="7"/>
      <c r="AZ103" s="7"/>
      <c r="BA103" s="7"/>
      <c r="BB103" s="7"/>
      <c r="BC103" s="7"/>
      <c r="BD103" s="7"/>
      <c r="BE103" s="7"/>
      <c r="BF103" s="7"/>
      <c r="BG103" s="7"/>
    </row>
    <row r="104" customHeight="1" spans="1:59">
      <c r="A104" s="9" t="str">
        <f>IF(ActiveDatabase=Standby,Secondary!A104,Primary!A104)</f>
        <v>Arial 02</v>
      </c>
      <c r="B104" s="5" t="str">
        <f>IF(ActiveDatabase=Standby,Secondary!B104,Primary!B104)</f>
        <v>Arial 02</v>
      </c>
      <c r="C104" s="5" t="str">
        <f>IF(ActiveDatabase=Standby,Secondary!C104,Primary!C104)</f>
        <v>Arial 04</v>
      </c>
      <c r="D104" s="5" t="str">
        <f>IF(ActiveDatabase=Standby,Secondary!D104,Primary!D104)</f>
        <v>HDMS Lathan (PB)</v>
      </c>
      <c r="E104" s="6" t="str">
        <f>IF(ActiveDatabase=Standby,Secondary!E104,Primary!E104)</f>
        <v>Lathan</v>
      </c>
      <c r="F104" s="10">
        <f>IF(ActiveDatabase=Standby,Secondary!F104,Primary!F104)</f>
        <v>339.192706534</v>
      </c>
      <c r="G104" s="10">
        <f>IF(ActiveDatabase=Standby,Secondary!G104,Primary!G104)</f>
        <v>33.6857956619999</v>
      </c>
      <c r="H104" s="10">
        <f>IF(ActiveDatabase=Standby,Secondary!H104,Primary!H104)</f>
        <v>55.843185489</v>
      </c>
      <c r="I104" s="13">
        <f>IF(ActiveDatabase=Standby,Secondary!I104,Primary!I104)</f>
        <v>0</v>
      </c>
      <c r="J104" s="13">
        <f>IF(ActiveDatabase=Standby,Secondary!J104,Primary!J104)</f>
        <v>0</v>
      </c>
      <c r="K104" s="13">
        <f>IF(ActiveDatabase=Standby,Secondary!K104,Primary!K104)</f>
        <v>0</v>
      </c>
      <c r="L104" s="13">
        <f>IF(ActiveDatabase=Standby,Secondary!L104,Primary!L104)</f>
        <v>0</v>
      </c>
      <c r="M104" s="7" t="b">
        <f>IF(ActiveDatabase=Standby,Secondary!M104,Primary!M104)</f>
        <v>1</v>
      </c>
      <c r="N104" s="10">
        <f>IF(ActiveDatabase=Standby,Secondary!N104,Primary!N104)</f>
        <v>0</v>
      </c>
      <c r="O104" s="10">
        <f>IF(ActiveDatabase=Standby,Secondary!O104,Primary!O104)</f>
        <v>0</v>
      </c>
      <c r="P104" s="10">
        <f>IF(ActiveDatabase=Standby,Secondary!P104,Primary!P104)</f>
        <v>0</v>
      </c>
      <c r="Q104" s="6">
        <f>IF(ActiveDatabase=Standby,Secondary!Q104,Primary!Q104)</f>
        <v>0</v>
      </c>
      <c r="R104" s="18">
        <f>IF(ActiveDatabase=Standby,Secondary!R104,Primary!R104)</f>
        <v>0</v>
      </c>
      <c r="S104" s="19">
        <f>IF(ActiveDatabase=Standby,Secondary!S104,Primary!S104)</f>
        <v>0</v>
      </c>
      <c r="T104" s="10">
        <f>IF(ActiveDatabase=Standby,Secondary!T104,Primary!T104)</f>
        <v>0</v>
      </c>
      <c r="U104" s="10">
        <f>IF(ActiveDatabase=Standby,Secondary!U104,Primary!U104)</f>
        <v>0</v>
      </c>
      <c r="V104" s="10">
        <f>IF(ActiveDatabase=Standby,Secondary!V104,Primary!V104)</f>
        <v>0</v>
      </c>
      <c r="W104" s="6">
        <f>IF(ActiveDatabase=Standby,Secondary!W104,Primary!W104)</f>
        <v>0</v>
      </c>
      <c r="X104" s="6">
        <f>IF(ActiveDatabase=Standby,Secondary!X104,Primary!X104)</f>
        <v>0</v>
      </c>
      <c r="Y104" s="12">
        <f>IF(ActiveDatabase=Standby,Secondary!Y104,Primary!Y104)</f>
        <v>0</v>
      </c>
      <c r="Z104" s="12">
        <f>IF(ActiveDatabase=Standby,Secondary!Z104,Primary!Z104)</f>
        <v>0</v>
      </c>
      <c r="AA104" s="7">
        <f>IF(ActiveDatabase=Standby,Secondary!AA104,Primary!AA104)</f>
        <v>0</v>
      </c>
      <c r="AB104" s="12"/>
      <c r="AC104" s="6"/>
      <c r="AD104" s="6"/>
      <c r="AE104" s="7"/>
      <c r="AF104" s="7"/>
      <c r="AG104" s="7"/>
      <c r="AH104" s="7"/>
      <c r="AI104" s="7"/>
      <c r="AJ104" s="7"/>
      <c r="AK104" s="7"/>
      <c r="AL104" s="7"/>
      <c r="AM104" s="7"/>
      <c r="AN104" s="7"/>
      <c r="AO104" s="6"/>
      <c r="AP104" s="7"/>
      <c r="AQ104" s="7"/>
      <c r="AR104" s="6"/>
      <c r="AS104" s="7"/>
      <c r="AT104" s="7"/>
      <c r="AU104" s="7"/>
      <c r="AV104" s="7"/>
      <c r="AW104" s="7"/>
      <c r="AX104" s="7"/>
      <c r="AY104" s="7"/>
      <c r="AZ104" s="7"/>
      <c r="BA104" s="7"/>
      <c r="BB104" s="7"/>
      <c r="BC104" s="7"/>
      <c r="BD104" s="7"/>
      <c r="BE104" s="7"/>
      <c r="BF104" s="7"/>
      <c r="BG104" s="7"/>
    </row>
    <row r="105" customHeight="1" spans="1:59">
      <c r="A105" s="9" t="str">
        <f>IF(ActiveDatabase=Standby,Secondary!A105,Primary!A105)</f>
        <v>Arial</v>
      </c>
      <c r="B105" s="5" t="str">
        <f>IF(ActiveDatabase=Standby,Secondary!B105,Primary!B105)</f>
        <v>Arial 04</v>
      </c>
      <c r="C105" s="5">
        <f>IF(ActiveDatabase=Standby,Secondary!C105,Primary!C105)</f>
        <v>0</v>
      </c>
      <c r="D105" s="5" t="str">
        <f>IF(ActiveDatabase=Standby,Secondary!D105,Primary!D105)</f>
        <v>Wrecks</v>
      </c>
      <c r="E105" s="6">
        <f>IF(ActiveDatabase=Standby,Secondary!E105,Primary!E105)</f>
        <v>0</v>
      </c>
      <c r="F105" s="10">
        <f>IF(ActiveDatabase=Standby,Secondary!F105,Primary!F105)</f>
        <v>0</v>
      </c>
      <c r="G105" s="10">
        <f>IF(ActiveDatabase=Standby,Secondary!G105,Primary!G105)</f>
        <v>0</v>
      </c>
      <c r="H105" s="10">
        <f>IF(ActiveDatabase=Standby,Secondary!H105,Primary!H105)</f>
        <v>0</v>
      </c>
      <c r="I105" s="13">
        <f>IF(ActiveDatabase=Standby,Secondary!I105,Primary!I105)</f>
        <v>0</v>
      </c>
      <c r="J105" s="13">
        <f>IF(ActiveDatabase=Standby,Secondary!J105,Primary!J105)</f>
        <v>0</v>
      </c>
      <c r="K105" s="13">
        <f>IF(ActiveDatabase=Standby,Secondary!K105,Primary!K105)</f>
        <v>0</v>
      </c>
      <c r="L105" s="13">
        <f>IF(ActiveDatabase=Standby,Secondary!L105,Primary!L105)</f>
        <v>0</v>
      </c>
      <c r="M105" s="7">
        <f>IF(ActiveDatabase=Standby,Secondary!M105,Primary!M105)</f>
        <v>0</v>
      </c>
      <c r="N105" s="10">
        <f>IF(ActiveDatabase=Standby,Secondary!N105,Primary!N105)</f>
        <v>0</v>
      </c>
      <c r="O105" s="10">
        <f>IF(ActiveDatabase=Standby,Secondary!O105,Primary!O105)</f>
        <v>0</v>
      </c>
      <c r="P105" s="10">
        <f>IF(ActiveDatabase=Standby,Secondary!P105,Primary!P105)</f>
        <v>0</v>
      </c>
      <c r="Q105" s="6">
        <f>IF(ActiveDatabase=Standby,Secondary!Q105,Primary!Q105)</f>
        <v>0</v>
      </c>
      <c r="R105" s="18">
        <f>IF(ActiveDatabase=Standby,Secondary!R105,Primary!R105)</f>
        <v>0</v>
      </c>
      <c r="S105" s="19">
        <f>IF(ActiveDatabase=Standby,Secondary!S105,Primary!S105)</f>
        <v>0</v>
      </c>
      <c r="T105" s="10">
        <f>IF(ActiveDatabase=Standby,Secondary!T105,Primary!T105)</f>
        <v>0</v>
      </c>
      <c r="U105" s="10">
        <f>IF(ActiveDatabase=Standby,Secondary!U105,Primary!U105)</f>
        <v>0</v>
      </c>
      <c r="V105" s="10">
        <f>IF(ActiveDatabase=Standby,Secondary!V105,Primary!V105)</f>
        <v>0</v>
      </c>
      <c r="W105" s="6">
        <f>IF(ActiveDatabase=Standby,Secondary!W105,Primary!W105)</f>
        <v>0</v>
      </c>
      <c r="X105" s="6">
        <f>IF(ActiveDatabase=Standby,Secondary!X105,Primary!X105)</f>
        <v>0</v>
      </c>
      <c r="Y105" s="12">
        <f>IF(ActiveDatabase=Standby,Secondary!Y105,Primary!Y105)</f>
        <v>0</v>
      </c>
      <c r="Z105" s="12">
        <f>IF(ActiveDatabase=Standby,Secondary!Z105,Primary!Z105)</f>
        <v>0</v>
      </c>
      <c r="AA105" s="7">
        <f>IF(ActiveDatabase=Standby,Secondary!AA105,Primary!AA105)</f>
        <v>0</v>
      </c>
      <c r="AB105" s="12"/>
      <c r="AC105" s="6"/>
      <c r="AD105" s="6"/>
      <c r="AE105" s="7"/>
      <c r="AF105" s="7"/>
      <c r="AG105" s="7"/>
      <c r="AH105" s="7"/>
      <c r="AI105" s="7"/>
      <c r="AJ105" s="7"/>
      <c r="AK105" s="7"/>
      <c r="AL105" s="7"/>
      <c r="AM105" s="7"/>
      <c r="AN105" s="7"/>
      <c r="AO105" s="6"/>
      <c r="AP105" s="7"/>
      <c r="AQ105" s="7"/>
      <c r="AR105" s="6"/>
      <c r="AS105" s="7"/>
      <c r="AT105" s="7"/>
      <c r="AU105" s="7"/>
      <c r="AV105" s="7"/>
      <c r="AW105" s="7"/>
      <c r="AX105" s="7"/>
      <c r="AY105" s="7"/>
      <c r="AZ105" s="7"/>
      <c r="BA105" s="7"/>
      <c r="BB105" s="7"/>
      <c r="BC105" s="7"/>
      <c r="BD105" s="7"/>
      <c r="BE105" s="7"/>
      <c r="BF105" s="7"/>
      <c r="BG105" s="7"/>
    </row>
    <row r="106" customHeight="1" spans="1:59">
      <c r="A106" s="9" t="str">
        <f>IF(ActiveDatabase=Standby,Secondary!A106,Primary!A106)</f>
        <v>Arial 05</v>
      </c>
      <c r="B106" s="5" t="str">
        <f>IF(ActiveDatabase=Standby,Secondary!B106,Primary!B106)</f>
        <v>Arial 06</v>
      </c>
      <c r="C106" s="5" t="str">
        <f>IF(ActiveDatabase=Standby,Secondary!C106,Primary!C106)</f>
        <v>Arial 09</v>
      </c>
      <c r="D106" s="5" t="str">
        <f>IF(ActiveDatabase=Standby,Secondary!D106,Primary!D106)</f>
        <v>Caterpillar Wreck 16T</v>
      </c>
      <c r="E106" s="6" t="str">
        <f>IF(ActiveDatabase=Standby,Secondary!E106,Primary!E106)</f>
        <v>Caterpillar 16T</v>
      </c>
      <c r="F106" s="10">
        <f>IF(ActiveDatabase=Standby,Secondary!F106,Primary!F106)</f>
        <v>21.29</v>
      </c>
      <c r="G106" s="10">
        <f>IF(ActiveDatabase=Standby,Secondary!G106,Primary!G106)</f>
        <v>-234.274</v>
      </c>
      <c r="H106" s="10">
        <f>IF(ActiveDatabase=Standby,Secondary!H106,Primary!H106)</f>
        <v>252.404</v>
      </c>
      <c r="I106" s="13">
        <f>IF(ActiveDatabase=Standby,Secondary!I106,Primary!I106)</f>
        <v>0</v>
      </c>
      <c r="J106" s="13">
        <f>IF(ActiveDatabase=Standby,Secondary!J106,Primary!J106)</f>
        <v>0</v>
      </c>
      <c r="K106" s="13">
        <f>IF(ActiveDatabase=Standby,Secondary!K106,Primary!K106)</f>
        <v>0</v>
      </c>
      <c r="L106" s="13">
        <f>IF(ActiveDatabase=Standby,Secondary!L106,Primary!L106)</f>
        <v>0</v>
      </c>
      <c r="M106" s="7" t="b">
        <f>IF(ActiveDatabase=Standby,Secondary!M106,Primary!M106)</f>
        <v>0</v>
      </c>
      <c r="N106" s="10">
        <f>IF(ActiveDatabase=Standby,Secondary!N106,Primary!N106)</f>
        <v>0</v>
      </c>
      <c r="O106" s="10">
        <f>IF(ActiveDatabase=Standby,Secondary!O106,Primary!O106)</f>
        <v>0</v>
      </c>
      <c r="P106" s="10">
        <f>IF(ActiveDatabase=Standby,Secondary!P106,Primary!P106)</f>
        <v>0</v>
      </c>
      <c r="Q106" s="6">
        <f>IF(ActiveDatabase=Standby,Secondary!Q106,Primary!Q106)</f>
        <v>0</v>
      </c>
      <c r="R106" s="18">
        <f>IF(ActiveDatabase=Standby,Secondary!R106,Primary!R106)</f>
        <v>0</v>
      </c>
      <c r="S106" s="19">
        <f>IF(ActiveDatabase=Standby,Secondary!S106,Primary!S106)</f>
        <v>0</v>
      </c>
      <c r="T106" s="10">
        <f>IF(ActiveDatabase=Standby,Secondary!T106,Primary!T106)</f>
        <v>0</v>
      </c>
      <c r="U106" s="10">
        <f>IF(ActiveDatabase=Standby,Secondary!U106,Primary!U106)</f>
        <v>0</v>
      </c>
      <c r="V106" s="10">
        <f>IF(ActiveDatabase=Standby,Secondary!V106,Primary!V106)</f>
        <v>0</v>
      </c>
      <c r="W106" s="6">
        <f>IF(ActiveDatabase=Standby,Secondary!W106,Primary!W106)</f>
        <v>0</v>
      </c>
      <c r="X106" s="6">
        <f>IF(ActiveDatabase=Standby,Secondary!X106,Primary!X106)</f>
        <v>0</v>
      </c>
      <c r="Y106" s="12">
        <f>IF(ActiveDatabase=Standby,Secondary!Y106,Primary!Y106)</f>
        <v>0</v>
      </c>
      <c r="Z106" s="12">
        <f>IF(ActiveDatabase=Standby,Secondary!Z106,Primary!Z106)</f>
        <v>0</v>
      </c>
      <c r="AA106" s="7">
        <f>IF(ActiveDatabase=Standby,Secondary!AA106,Primary!AA106)</f>
        <v>0</v>
      </c>
      <c r="AB106" s="12"/>
      <c r="AC106" s="6"/>
      <c r="AD106" s="6"/>
      <c r="AE106" s="7"/>
      <c r="AF106" s="7"/>
      <c r="AG106" s="7"/>
      <c r="AH106" s="7"/>
      <c r="AI106" s="7"/>
      <c r="AJ106" s="7"/>
      <c r="AK106" s="7"/>
      <c r="AL106" s="7"/>
      <c r="AM106" s="7"/>
      <c r="AN106" s="7"/>
      <c r="AO106" s="6"/>
      <c r="AP106" s="7"/>
      <c r="AQ106" s="7"/>
      <c r="AR106" s="6"/>
      <c r="AS106" s="7"/>
      <c r="AT106" s="7"/>
      <c r="AU106" s="7"/>
      <c r="AV106" s="7"/>
      <c r="AW106" s="7"/>
      <c r="AX106" s="7"/>
      <c r="AY106" s="7"/>
      <c r="AZ106" s="7"/>
      <c r="BA106" s="7"/>
      <c r="BB106" s="7"/>
      <c r="BC106" s="7"/>
      <c r="BD106" s="7"/>
      <c r="BE106" s="7"/>
      <c r="BF106" s="7"/>
      <c r="BG106" s="7"/>
    </row>
    <row r="107" customHeight="1" spans="1:59">
      <c r="A107" s="9" t="str">
        <f>IF(ActiveDatabase=Standby,Secondary!A107,Primary!A107)</f>
        <v>Arial 04</v>
      </c>
      <c r="B107" s="5" t="str">
        <f>IF(ActiveDatabase=Standby,Secondary!B107,Primary!B107)</f>
        <v>Arial 05</v>
      </c>
      <c r="C107" s="5" t="str">
        <f>IF(ActiveDatabase=Standby,Secondary!C107,Primary!C107)</f>
        <v>Arial 11</v>
      </c>
      <c r="D107" s="5" t="str">
        <f>IF(ActiveDatabase=Standby,Secondary!D107,Primary!D107)</f>
        <v>Caterpillar Wreck 05V</v>
      </c>
      <c r="E107" s="6" t="str">
        <f>IF(ActiveDatabase=Standby,Secondary!E107,Primary!E107)</f>
        <v>Caterpillar 05V</v>
      </c>
      <c r="F107" s="10">
        <f>IF(ActiveDatabase=Standby,Secondary!F107,Primary!F107)</f>
        <v>-140.054254599998</v>
      </c>
      <c r="G107" s="10">
        <f>IF(ActiveDatabase=Standby,Secondary!G107,Primary!G107)</f>
        <v>-74.603768075</v>
      </c>
      <c r="H107" s="10">
        <f>IF(ActiveDatabase=Standby,Secondary!H107,Primary!H107)</f>
        <v>306.556197569</v>
      </c>
      <c r="I107" s="13">
        <f>IF(ActiveDatabase=Standby,Secondary!I107,Primary!I107)</f>
        <v>0</v>
      </c>
      <c r="J107" s="13">
        <f>IF(ActiveDatabase=Standby,Secondary!J107,Primary!J107)</f>
        <v>0</v>
      </c>
      <c r="K107" s="13">
        <f>IF(ActiveDatabase=Standby,Secondary!K107,Primary!K107)</f>
        <v>0</v>
      </c>
      <c r="L107" s="13">
        <f>IF(ActiveDatabase=Standby,Secondary!L107,Primary!L107)</f>
        <v>0</v>
      </c>
      <c r="M107" s="7" t="b">
        <f>IF(ActiveDatabase=Standby,Secondary!M107,Primary!M107)</f>
        <v>0</v>
      </c>
      <c r="N107" s="10">
        <f>IF(ActiveDatabase=Standby,Secondary!N107,Primary!N107)</f>
        <v>0</v>
      </c>
      <c r="O107" s="10">
        <f>IF(ActiveDatabase=Standby,Secondary!O107,Primary!O107)</f>
        <v>0</v>
      </c>
      <c r="P107" s="10">
        <f>IF(ActiveDatabase=Standby,Secondary!P107,Primary!P107)</f>
        <v>0</v>
      </c>
      <c r="Q107" s="6">
        <f>IF(ActiveDatabase=Standby,Secondary!Q107,Primary!Q107)</f>
        <v>0</v>
      </c>
      <c r="R107" s="18">
        <f>IF(ActiveDatabase=Standby,Secondary!R107,Primary!R107)</f>
        <v>0</v>
      </c>
      <c r="S107" s="19">
        <f>IF(ActiveDatabase=Standby,Secondary!S107,Primary!S107)</f>
        <v>0</v>
      </c>
      <c r="T107" s="10">
        <f>IF(ActiveDatabase=Standby,Secondary!T107,Primary!T107)</f>
        <v>0</v>
      </c>
      <c r="U107" s="10">
        <f>IF(ActiveDatabase=Standby,Secondary!U107,Primary!U107)</f>
        <v>0</v>
      </c>
      <c r="V107" s="10">
        <f>IF(ActiveDatabase=Standby,Secondary!V107,Primary!V107)</f>
        <v>0</v>
      </c>
      <c r="W107" s="6">
        <f>IF(ActiveDatabase=Standby,Secondary!W107,Primary!W107)</f>
        <v>0</v>
      </c>
      <c r="X107" s="6">
        <f>IF(ActiveDatabase=Standby,Secondary!X107,Primary!X107)</f>
        <v>0</v>
      </c>
      <c r="Y107" s="12">
        <f>IF(ActiveDatabase=Standby,Secondary!Y107,Primary!Y107)</f>
        <v>0</v>
      </c>
      <c r="Z107" s="12">
        <f>IF(ActiveDatabase=Standby,Secondary!Z107,Primary!Z107)</f>
        <v>0</v>
      </c>
      <c r="AA107" s="7">
        <f>IF(ActiveDatabase=Standby,Secondary!AA107,Primary!AA107)</f>
        <v>0</v>
      </c>
      <c r="AB107" s="12"/>
      <c r="AC107" s="6"/>
      <c r="AD107" s="6"/>
      <c r="AE107" s="7"/>
      <c r="AF107" s="7"/>
      <c r="AG107" s="7"/>
      <c r="AH107" s="7"/>
      <c r="AI107" s="7"/>
      <c r="AJ107" s="7"/>
      <c r="AK107" s="7"/>
      <c r="AL107" s="7"/>
      <c r="AM107" s="7"/>
      <c r="AN107" s="7"/>
      <c r="AO107" s="6"/>
      <c r="AP107" s="7"/>
      <c r="AQ107" s="7"/>
      <c r="AR107" s="6"/>
      <c r="AS107" s="7"/>
      <c r="AT107" s="7"/>
      <c r="AU107" s="7"/>
      <c r="AV107" s="7"/>
      <c r="AW107" s="7"/>
      <c r="AX107" s="7"/>
      <c r="AY107" s="7"/>
      <c r="AZ107" s="7"/>
      <c r="BA107" s="7"/>
      <c r="BB107" s="7"/>
      <c r="BC107" s="7"/>
      <c r="BD107" s="7"/>
      <c r="BE107" s="7"/>
      <c r="BF107" s="7"/>
      <c r="BG107" s="7"/>
    </row>
    <row r="108" customHeight="1" spans="1:59">
      <c r="A108" s="9" t="str">
        <f>IF(ActiveDatabase=Standby,Secondary!A108,Primary!A108)</f>
        <v>Arial 06</v>
      </c>
      <c r="B108" s="5" t="str">
        <f>IF(ActiveDatabase=Standby,Secondary!B108,Primary!B108)</f>
        <v>Arial 07</v>
      </c>
      <c r="C108" s="5" t="str">
        <f>IF(ActiveDatabase=Standby,Secondary!C108,Primary!C108)</f>
        <v>Arial 06</v>
      </c>
      <c r="D108" s="5" t="str">
        <f>IF(ActiveDatabase=Standby,Secondary!D108,Primary!D108)</f>
        <v>Cutlass Wreck</v>
      </c>
      <c r="E108" s="6" t="str">
        <f>IF(ActiveDatabase=Standby,Secondary!E108,Primary!E108)</f>
        <v>Cutlass</v>
      </c>
      <c r="F108" s="10">
        <f>IF(ActiveDatabase=Standby,Secondary!F108,Primary!F108)</f>
        <v>216.539735167</v>
      </c>
      <c r="G108" s="10">
        <f>IF(ActiveDatabase=Standby,Secondary!G108,Primary!G108)</f>
        <v>-124.124250453999</v>
      </c>
      <c r="H108" s="10">
        <f>IF(ActiveDatabase=Standby,Secondary!H108,Primary!H108)</f>
        <v>238.388594621</v>
      </c>
      <c r="I108" s="13">
        <f>IF(ActiveDatabase=Standby,Secondary!I108,Primary!I108)</f>
        <v>0</v>
      </c>
      <c r="J108" s="13">
        <f>IF(ActiveDatabase=Standby,Secondary!J108,Primary!J108)</f>
        <v>0</v>
      </c>
      <c r="K108" s="13">
        <f>IF(ActiveDatabase=Standby,Secondary!K108,Primary!K108)</f>
        <v>0</v>
      </c>
      <c r="L108" s="13">
        <f>IF(ActiveDatabase=Standby,Secondary!L108,Primary!L108)</f>
        <v>0</v>
      </c>
      <c r="M108" s="7" t="b">
        <f>IF(ActiveDatabase=Standby,Secondary!M108,Primary!M108)</f>
        <v>0</v>
      </c>
      <c r="N108" s="10">
        <f>IF(ActiveDatabase=Standby,Secondary!N108,Primary!N108)</f>
        <v>0</v>
      </c>
      <c r="O108" s="10">
        <f>IF(ActiveDatabase=Standby,Secondary!O108,Primary!O108)</f>
        <v>0</v>
      </c>
      <c r="P108" s="10">
        <f>IF(ActiveDatabase=Standby,Secondary!P108,Primary!P108)</f>
        <v>0</v>
      </c>
      <c r="Q108" s="6">
        <f>IF(ActiveDatabase=Standby,Secondary!Q108,Primary!Q108)</f>
        <v>0</v>
      </c>
      <c r="R108" s="18">
        <f>IF(ActiveDatabase=Standby,Secondary!R108,Primary!R108)</f>
        <v>0</v>
      </c>
      <c r="S108" s="19">
        <f>IF(ActiveDatabase=Standby,Secondary!S108,Primary!S108)</f>
        <v>0</v>
      </c>
      <c r="T108" s="10">
        <f>IF(ActiveDatabase=Standby,Secondary!T108,Primary!T108)</f>
        <v>0</v>
      </c>
      <c r="U108" s="10">
        <f>IF(ActiveDatabase=Standby,Secondary!U108,Primary!U108)</f>
        <v>0</v>
      </c>
      <c r="V108" s="10">
        <f>IF(ActiveDatabase=Standby,Secondary!V108,Primary!V108)</f>
        <v>0</v>
      </c>
      <c r="W108" s="6">
        <f>IF(ActiveDatabase=Standby,Secondary!W108,Primary!W108)</f>
        <v>0</v>
      </c>
      <c r="X108" s="6">
        <f>IF(ActiveDatabase=Standby,Secondary!X108,Primary!X108)</f>
        <v>0</v>
      </c>
      <c r="Y108" s="12">
        <f>IF(ActiveDatabase=Standby,Secondary!Y108,Primary!Y108)</f>
        <v>0</v>
      </c>
      <c r="Z108" s="12">
        <f>IF(ActiveDatabase=Standby,Secondary!Z108,Primary!Z108)</f>
        <v>0</v>
      </c>
      <c r="AA108" s="9">
        <f>IF(ActiveDatabase=Standby,Secondary!AA108,Primary!AA108)</f>
        <v>0</v>
      </c>
      <c r="AB108" s="12"/>
      <c r="AC108" s="6"/>
      <c r="AD108" s="6"/>
      <c r="AE108" s="7"/>
      <c r="AF108" s="7"/>
      <c r="AG108" s="7"/>
      <c r="AH108" s="7"/>
      <c r="AI108" s="7"/>
      <c r="AJ108" s="7"/>
      <c r="AK108" s="7"/>
      <c r="AL108" s="7"/>
      <c r="AM108" s="7"/>
      <c r="AN108" s="7"/>
      <c r="AO108" s="6"/>
      <c r="AP108" s="7"/>
      <c r="AQ108" s="7"/>
      <c r="AR108" s="6"/>
      <c r="AS108" s="7"/>
      <c r="AT108" s="7"/>
      <c r="AU108" s="7"/>
      <c r="AV108" s="7"/>
      <c r="AW108" s="7"/>
      <c r="AX108" s="7"/>
      <c r="AY108" s="7"/>
      <c r="AZ108" s="7"/>
      <c r="BA108" s="7"/>
      <c r="BB108" s="7"/>
      <c r="BC108" s="7"/>
      <c r="BD108" s="7"/>
      <c r="BE108" s="7"/>
      <c r="BF108" s="7"/>
      <c r="BG108" s="7"/>
    </row>
    <row r="109" customHeight="1" spans="1:59">
      <c r="A109" s="9" t="str">
        <f>IF(ActiveDatabase=Standby,Secondary!A109,Primary!A109)</f>
        <v>Arial 07</v>
      </c>
      <c r="B109" s="5" t="str">
        <f>IF(ActiveDatabase=Standby,Secondary!B109,Primary!B109)</f>
        <v>Arial 08</v>
      </c>
      <c r="C109" s="5" t="str">
        <f>IF(ActiveDatabase=Standby,Secondary!C109,Primary!C109)</f>
        <v>Arial 01</v>
      </c>
      <c r="D109" s="5" t="str">
        <f>IF(ActiveDatabase=Standby,Secondary!D109,Primary!D109)</f>
        <v>Freelancer Wreck</v>
      </c>
      <c r="E109" s="6" t="str">
        <f>IF(ActiveDatabase=Standby,Secondary!E109,Primary!E109)</f>
        <v>Freelancer</v>
      </c>
      <c r="F109" s="10">
        <f>IF(ActiveDatabase=Standby,Secondary!F109,Primary!F109)</f>
        <v>-210.193300263</v>
      </c>
      <c r="G109" s="10">
        <f>IF(ActiveDatabase=Standby,Secondary!G109,Primary!G109)</f>
        <v>258.977597924</v>
      </c>
      <c r="H109" s="10">
        <f>IF(ActiveDatabase=Standby,Secondary!H109,Primary!H109)</f>
        <v>-89.4431420669999</v>
      </c>
      <c r="I109" s="13">
        <f>IF(ActiveDatabase=Standby,Secondary!I109,Primary!I109)</f>
        <v>0</v>
      </c>
      <c r="J109" s="13">
        <f>IF(ActiveDatabase=Standby,Secondary!J109,Primary!J109)</f>
        <v>0</v>
      </c>
      <c r="K109" s="13">
        <f>IF(ActiveDatabase=Standby,Secondary!K109,Primary!K109)</f>
        <v>0</v>
      </c>
      <c r="L109" s="13">
        <f>IF(ActiveDatabase=Standby,Secondary!L109,Primary!L109)</f>
        <v>0</v>
      </c>
      <c r="M109" s="7" t="b">
        <f>IF(ActiveDatabase=Standby,Secondary!M109,Primary!M109)</f>
        <v>0</v>
      </c>
      <c r="N109" s="10">
        <f>IF(ActiveDatabase=Standby,Secondary!N109,Primary!N109)</f>
        <v>0</v>
      </c>
      <c r="O109" s="10">
        <f>IF(ActiveDatabase=Standby,Secondary!O109,Primary!O109)</f>
        <v>0</v>
      </c>
      <c r="P109" s="10">
        <f>IF(ActiveDatabase=Standby,Secondary!P109,Primary!P109)</f>
        <v>0</v>
      </c>
      <c r="Q109" s="6">
        <f>IF(ActiveDatabase=Standby,Secondary!Q109,Primary!Q109)</f>
        <v>0</v>
      </c>
      <c r="R109" s="18">
        <f>IF(ActiveDatabase=Standby,Secondary!R109,Primary!R109)</f>
        <v>0</v>
      </c>
      <c r="S109" s="19">
        <f>IF(ActiveDatabase=Standby,Secondary!S109,Primary!S109)</f>
        <v>0</v>
      </c>
      <c r="T109" s="10">
        <f>IF(ActiveDatabase=Standby,Secondary!T109,Primary!T109)</f>
        <v>0</v>
      </c>
      <c r="U109" s="10">
        <f>IF(ActiveDatabase=Standby,Secondary!U109,Primary!U109)</f>
        <v>0</v>
      </c>
      <c r="V109" s="10">
        <f>IF(ActiveDatabase=Standby,Secondary!V109,Primary!V109)</f>
        <v>0</v>
      </c>
      <c r="W109" s="6">
        <f>IF(ActiveDatabase=Standby,Secondary!W109,Primary!W109)</f>
        <v>0</v>
      </c>
      <c r="X109" s="6">
        <f>IF(ActiveDatabase=Standby,Secondary!X109,Primary!X109)</f>
        <v>0</v>
      </c>
      <c r="Y109" s="12">
        <f>IF(ActiveDatabase=Standby,Secondary!Y109,Primary!Y109)</f>
        <v>0</v>
      </c>
      <c r="Z109" s="12">
        <f>IF(ActiveDatabase=Standby,Secondary!Z109,Primary!Z109)</f>
        <v>0</v>
      </c>
      <c r="AA109" s="9">
        <f>IF(ActiveDatabase=Standby,Secondary!AA109,Primary!AA109)</f>
        <v>0</v>
      </c>
      <c r="AB109" s="12"/>
      <c r="AC109" s="6"/>
      <c r="AD109" s="6"/>
      <c r="AE109" s="7"/>
      <c r="AF109" s="7"/>
      <c r="AG109" s="7"/>
      <c r="AH109" s="7"/>
      <c r="AI109" s="7"/>
      <c r="AJ109" s="7"/>
      <c r="AK109" s="7"/>
      <c r="AL109" s="7"/>
      <c r="AM109" s="7"/>
      <c r="AN109" s="7"/>
      <c r="AO109" s="6"/>
      <c r="AP109" s="7"/>
      <c r="AQ109" s="7"/>
      <c r="AR109" s="6"/>
      <c r="AS109" s="7"/>
      <c r="AT109" s="7"/>
      <c r="AU109" s="7"/>
      <c r="AV109" s="7"/>
      <c r="AW109" s="7"/>
      <c r="AX109" s="7"/>
      <c r="AY109" s="7"/>
      <c r="AZ109" s="7"/>
      <c r="BA109" s="7"/>
      <c r="BB109" s="7"/>
      <c r="BC109" s="7"/>
      <c r="BD109" s="7"/>
      <c r="BE109" s="7"/>
      <c r="BF109" s="7"/>
      <c r="BG109" s="7"/>
    </row>
    <row r="110" customHeight="1" spans="1:59">
      <c r="A110" s="9" t="str">
        <f>IF(ActiveDatabase=Standby,Secondary!A110,Primary!A110)</f>
        <v>Arial 08</v>
      </c>
      <c r="B110" s="5" t="str">
        <f>IF(ActiveDatabase=Standby,Secondary!B110,Primary!B110)</f>
        <v>Arial 09</v>
      </c>
      <c r="C110" s="5" t="str">
        <f>IF(ActiveDatabase=Standby,Secondary!C110,Primary!C110)</f>
        <v>Arial 07</v>
      </c>
      <c r="D110" s="5" t="str">
        <f>IF(ActiveDatabase=Standby,Secondary!D110,Primary!D110)</f>
        <v>Starfarer Wreck</v>
      </c>
      <c r="E110" s="6" t="str">
        <f>IF(ActiveDatabase=Standby,Secondary!E110,Primary!E110)</f>
        <v>Starfarer</v>
      </c>
      <c r="F110" s="10">
        <f>IF(ActiveDatabase=Standby,Secondary!F110,Primary!F110)</f>
        <v>223.890612681</v>
      </c>
      <c r="G110" s="10">
        <f>IF(ActiveDatabase=Standby,Secondary!G110,Primary!G110)</f>
        <v>-230.405034652</v>
      </c>
      <c r="H110" s="10">
        <f>IF(ActiveDatabase=Standby,Secondary!H110,Primary!H110)</f>
        <v>126.732908121</v>
      </c>
      <c r="I110" s="13">
        <f>IF(ActiveDatabase=Standby,Secondary!I110,Primary!I110)</f>
        <v>0</v>
      </c>
      <c r="J110" s="13">
        <f>IF(ActiveDatabase=Standby,Secondary!J110,Primary!J110)</f>
        <v>0</v>
      </c>
      <c r="K110" s="13">
        <f>IF(ActiveDatabase=Standby,Secondary!K110,Primary!K110)</f>
        <v>0</v>
      </c>
      <c r="L110" s="13">
        <f>IF(ActiveDatabase=Standby,Secondary!L110,Primary!L110)</f>
        <v>0</v>
      </c>
      <c r="M110" s="7" t="b">
        <f>IF(ActiveDatabase=Standby,Secondary!M110,Primary!M110)</f>
        <v>0</v>
      </c>
      <c r="N110" s="10">
        <f>IF(ActiveDatabase=Standby,Secondary!N110,Primary!N110)</f>
        <v>0</v>
      </c>
      <c r="O110" s="10">
        <f>IF(ActiveDatabase=Standby,Secondary!O110,Primary!O110)</f>
        <v>0</v>
      </c>
      <c r="P110" s="10">
        <f>IF(ActiveDatabase=Standby,Secondary!P110,Primary!P110)</f>
        <v>0</v>
      </c>
      <c r="Q110" s="6">
        <f>IF(ActiveDatabase=Standby,Secondary!Q110,Primary!Q110)</f>
        <v>0</v>
      </c>
      <c r="R110" s="18">
        <f>IF(ActiveDatabase=Standby,Secondary!R110,Primary!R110)</f>
        <v>0</v>
      </c>
      <c r="S110" s="19">
        <f>IF(ActiveDatabase=Standby,Secondary!S110,Primary!S110)</f>
        <v>0</v>
      </c>
      <c r="T110" s="10">
        <f>IF(ActiveDatabase=Standby,Secondary!T110,Primary!T110)</f>
        <v>0</v>
      </c>
      <c r="U110" s="10">
        <f>IF(ActiveDatabase=Standby,Secondary!U110,Primary!U110)</f>
        <v>0</v>
      </c>
      <c r="V110" s="10">
        <f>IF(ActiveDatabase=Standby,Secondary!V110,Primary!V110)</f>
        <v>0</v>
      </c>
      <c r="W110" s="6">
        <f>IF(ActiveDatabase=Standby,Secondary!W110,Primary!W110)</f>
        <v>0</v>
      </c>
      <c r="X110" s="6">
        <f>IF(ActiveDatabase=Standby,Secondary!X110,Primary!X110)</f>
        <v>0</v>
      </c>
      <c r="Y110" s="12">
        <f>IF(ActiveDatabase=Standby,Secondary!Y110,Primary!Y110)</f>
        <v>0</v>
      </c>
      <c r="Z110" s="12">
        <f>IF(ActiveDatabase=Standby,Secondary!Z110,Primary!Z110)</f>
        <v>0</v>
      </c>
      <c r="AA110" s="9">
        <f>IF(ActiveDatabase=Standby,Secondary!AA110,Primary!AA110)</f>
        <v>0</v>
      </c>
      <c r="AB110" s="12"/>
      <c r="AC110" s="6"/>
      <c r="AD110" s="6"/>
      <c r="AE110" s="7"/>
      <c r="AF110" s="7"/>
      <c r="AG110" s="7"/>
      <c r="AH110" s="7"/>
      <c r="AI110" s="7"/>
      <c r="AJ110" s="7"/>
      <c r="AK110" s="7"/>
      <c r="AL110" s="7"/>
      <c r="AM110" s="7"/>
      <c r="AN110" s="7"/>
      <c r="AO110" s="6"/>
      <c r="AP110" s="7"/>
      <c r="AQ110" s="7"/>
      <c r="AR110" s="6"/>
      <c r="AS110" s="7"/>
      <c r="AT110" s="7"/>
      <c r="AU110" s="7"/>
      <c r="AV110" s="7"/>
      <c r="AW110" s="7"/>
      <c r="AX110" s="7"/>
      <c r="AY110" s="7"/>
      <c r="AZ110" s="7"/>
      <c r="BA110" s="7"/>
      <c r="BB110" s="7"/>
      <c r="BC110" s="7"/>
      <c r="BD110" s="7"/>
      <c r="BE110" s="7"/>
      <c r="BF110" s="7"/>
      <c r="BG110" s="7"/>
    </row>
    <row r="111" customHeight="1" spans="1:59">
      <c r="A111" s="9" t="str">
        <f>IF(ActiveDatabase=Standby,Secondary!A111,Primary!A111)</f>
        <v>Arial</v>
      </c>
      <c r="B111" s="5" t="str">
        <f>IF(ActiveDatabase=Standby,Secondary!B111,Primary!B111)</f>
        <v>Arial 11</v>
      </c>
      <c r="C111" s="5">
        <f>IF(ActiveDatabase=Standby,Secondary!C111,Primary!C111)</f>
        <v>0</v>
      </c>
      <c r="D111" s="5" t="str">
        <f>IF(ActiveDatabase=Standby,Secondary!D111,Primary!D111)</f>
        <v>Comm Array</v>
      </c>
      <c r="E111" s="6">
        <f>IF(ActiveDatabase=Standby,Secondary!E111,Primary!E111)</f>
        <v>0</v>
      </c>
      <c r="F111" s="10">
        <f>IF(ActiveDatabase=Standby,Secondary!F111,Primary!F111)</f>
        <v>0</v>
      </c>
      <c r="G111" s="10">
        <f>IF(ActiveDatabase=Standby,Secondary!G111,Primary!G111)</f>
        <v>0</v>
      </c>
      <c r="H111" s="10">
        <f>IF(ActiveDatabase=Standby,Secondary!H111,Primary!H111)</f>
        <v>0</v>
      </c>
      <c r="I111" s="13">
        <f>IF(ActiveDatabase=Standby,Secondary!I111,Primary!I111)</f>
        <v>0</v>
      </c>
      <c r="J111" s="13">
        <f>IF(ActiveDatabase=Standby,Secondary!J111,Primary!J111)</f>
        <v>0</v>
      </c>
      <c r="K111" s="13">
        <f>IF(ActiveDatabase=Standby,Secondary!K111,Primary!K111)</f>
        <v>0</v>
      </c>
      <c r="L111" s="13">
        <f>IF(ActiveDatabase=Standby,Secondary!L111,Primary!L111)</f>
        <v>0</v>
      </c>
      <c r="M111" s="7">
        <f>IF(ActiveDatabase=Standby,Secondary!M111,Primary!M111)</f>
        <v>0</v>
      </c>
      <c r="N111" s="10">
        <f>IF(ActiveDatabase=Standby,Secondary!N111,Primary!N111)</f>
        <v>0</v>
      </c>
      <c r="O111" s="10">
        <f>IF(ActiveDatabase=Standby,Secondary!O111,Primary!O111)</f>
        <v>0</v>
      </c>
      <c r="P111" s="10">
        <f>IF(ActiveDatabase=Standby,Secondary!P111,Primary!P111)</f>
        <v>0</v>
      </c>
      <c r="Q111" s="6">
        <f>IF(ActiveDatabase=Standby,Secondary!Q111,Primary!Q111)</f>
        <v>0</v>
      </c>
      <c r="R111" s="18">
        <f>IF(ActiveDatabase=Standby,Secondary!R111,Primary!R111)</f>
        <v>0</v>
      </c>
      <c r="S111" s="19">
        <f>IF(ActiveDatabase=Standby,Secondary!S111,Primary!S111)</f>
        <v>0</v>
      </c>
      <c r="T111" s="10">
        <f>IF(ActiveDatabase=Standby,Secondary!T111,Primary!T111)</f>
        <v>0</v>
      </c>
      <c r="U111" s="10">
        <f>IF(ActiveDatabase=Standby,Secondary!U111,Primary!U111)</f>
        <v>0</v>
      </c>
      <c r="V111" s="10">
        <f>IF(ActiveDatabase=Standby,Secondary!V111,Primary!V111)</f>
        <v>0</v>
      </c>
      <c r="W111" s="6">
        <f>IF(ActiveDatabase=Standby,Secondary!W111,Primary!W111)</f>
        <v>0</v>
      </c>
      <c r="X111" s="6">
        <f>IF(ActiveDatabase=Standby,Secondary!X111,Primary!X111)</f>
        <v>0</v>
      </c>
      <c r="Y111" s="12">
        <f>IF(ActiveDatabase=Standby,Secondary!Y111,Primary!Y111)</f>
        <v>0</v>
      </c>
      <c r="Z111" s="12">
        <f>IF(ActiveDatabase=Standby,Secondary!Z111,Primary!Z111)</f>
        <v>0</v>
      </c>
      <c r="AA111" s="9">
        <f>IF(ActiveDatabase=Standby,Secondary!AA111,Primary!AA111)</f>
        <v>0</v>
      </c>
      <c r="AB111" s="12"/>
      <c r="AC111" s="6"/>
      <c r="AD111" s="6"/>
      <c r="AE111" s="7"/>
      <c r="AF111" s="7"/>
      <c r="AG111" s="7"/>
      <c r="AH111" s="7"/>
      <c r="AI111" s="7"/>
      <c r="AJ111" s="7"/>
      <c r="AK111" s="7"/>
      <c r="AL111" s="7"/>
      <c r="AM111" s="7"/>
      <c r="AN111" s="7"/>
      <c r="AO111" s="6"/>
      <c r="AP111" s="7"/>
      <c r="AQ111" s="7"/>
      <c r="AR111" s="6"/>
      <c r="AS111" s="7"/>
      <c r="AT111" s="7"/>
      <c r="AU111" s="7"/>
      <c r="AV111" s="7"/>
      <c r="AW111" s="7"/>
      <c r="AX111" s="7"/>
      <c r="AY111" s="7"/>
      <c r="AZ111" s="7"/>
      <c r="BA111" s="7"/>
      <c r="BB111" s="7"/>
      <c r="BC111" s="7"/>
      <c r="BD111" s="7"/>
      <c r="BE111" s="7"/>
      <c r="BF111" s="7"/>
      <c r="BG111" s="7"/>
    </row>
    <row r="112" customHeight="1" spans="1:59">
      <c r="A112" s="9" t="str">
        <f>IF(ActiveDatabase=Standby,Secondary!A112,Primary!A112)</f>
        <v>Arial 03</v>
      </c>
      <c r="B112" s="5" t="str">
        <f>IF(ActiveDatabase=Standby,Secondary!B112,Primary!B112)</f>
        <v>Arial 12</v>
      </c>
      <c r="C112" s="5" t="str">
        <f>IF(ActiveDatabase=Standby,Secondary!C112,Primary!C112)</f>
        <v>Arial 02</v>
      </c>
      <c r="D112" s="5" t="str">
        <f>IF(ActiveDatabase=Standby,Secondary!D112,Primary!D112)</f>
        <v>Comm Array ST1-13</v>
      </c>
      <c r="E112" s="6" t="str">
        <f>IF(ActiveDatabase=Standby,Secondary!E112,Primary!E112)</f>
        <v>ST1-13</v>
      </c>
      <c r="F112" s="10">
        <f>IF(ActiveDatabase=Standby,Secondary!F112,Primary!F112)</f>
        <v>-78.760189498901</v>
      </c>
      <c r="G112" s="10">
        <f>IF(ActiveDatabase=Standby,Secondary!G112,Primary!G112)</f>
        <v>505.627721415002</v>
      </c>
      <c r="H112" s="10">
        <f>IF(ActiveDatabase=Standby,Secondary!H112,Primary!H112)</f>
        <v>24</v>
      </c>
      <c r="I112" s="13">
        <f>IF(ActiveDatabase=Standby,Secondary!I112,Primary!I112)</f>
        <v>0</v>
      </c>
      <c r="J112" s="13">
        <f>IF(ActiveDatabase=Standby,Secondary!J112,Primary!J112)</f>
        <v>0</v>
      </c>
      <c r="K112" s="13">
        <f>IF(ActiveDatabase=Standby,Secondary!K112,Primary!K112)</f>
        <v>0</v>
      </c>
      <c r="L112" s="13">
        <f>IF(ActiveDatabase=Standby,Secondary!L112,Primary!L112)</f>
        <v>0</v>
      </c>
      <c r="M112" s="7" t="b">
        <f>IF(ActiveDatabase=Standby,Secondary!M112,Primary!M112)</f>
        <v>1</v>
      </c>
      <c r="N112" s="10">
        <f>IF(ActiveDatabase=Standby,Secondary!N112,Primary!N112)</f>
        <v>0</v>
      </c>
      <c r="O112" s="10">
        <f>IF(ActiveDatabase=Standby,Secondary!O112,Primary!O112)</f>
        <v>0</v>
      </c>
      <c r="P112" s="10">
        <f>IF(ActiveDatabase=Standby,Secondary!P112,Primary!P112)</f>
        <v>0</v>
      </c>
      <c r="Q112" s="6">
        <f>IF(ActiveDatabase=Standby,Secondary!Q112,Primary!Q112)</f>
        <v>0</v>
      </c>
      <c r="R112" s="18">
        <f>IF(ActiveDatabase=Standby,Secondary!R112,Primary!R112)</f>
        <v>0</v>
      </c>
      <c r="S112" s="19">
        <f>IF(ActiveDatabase=Standby,Secondary!S112,Primary!S112)</f>
        <v>0</v>
      </c>
      <c r="T112" s="10">
        <f>IF(ActiveDatabase=Standby,Secondary!T112,Primary!T112)</f>
        <v>0</v>
      </c>
      <c r="U112" s="10">
        <f>IF(ActiveDatabase=Standby,Secondary!U112,Primary!U112)</f>
        <v>0</v>
      </c>
      <c r="V112" s="10">
        <f>IF(ActiveDatabase=Standby,Secondary!V112,Primary!V112)</f>
        <v>0</v>
      </c>
      <c r="W112" s="6">
        <f>IF(ActiveDatabase=Standby,Secondary!W112,Primary!W112)</f>
        <v>0</v>
      </c>
      <c r="X112" s="6">
        <f>IF(ActiveDatabase=Standby,Secondary!X112,Primary!X112)</f>
        <v>0</v>
      </c>
      <c r="Y112" s="12">
        <f>IF(ActiveDatabase=Standby,Secondary!Y112,Primary!Y112)</f>
        <v>0</v>
      </c>
      <c r="Z112" s="12">
        <f>IF(ActiveDatabase=Standby,Secondary!Z112,Primary!Z112)</f>
        <v>0</v>
      </c>
      <c r="AA112" s="9">
        <f>IF(ActiveDatabase=Standby,Secondary!AA112,Primary!AA112)</f>
        <v>0</v>
      </c>
      <c r="AB112" s="12"/>
      <c r="AC112" s="6"/>
      <c r="AD112" s="6"/>
      <c r="AE112" s="7"/>
      <c r="AF112" s="7"/>
      <c r="AG112" s="7"/>
      <c r="AH112" s="7"/>
      <c r="AI112" s="7"/>
      <c r="AJ112" s="7"/>
      <c r="AK112" s="7"/>
      <c r="AL112" s="7"/>
      <c r="AM112" s="7"/>
      <c r="AN112" s="7"/>
      <c r="AO112" s="6"/>
      <c r="AP112" s="7"/>
      <c r="AQ112" s="7"/>
      <c r="AR112" s="6"/>
      <c r="AS112" s="7"/>
      <c r="AT112" s="7"/>
      <c r="AU112" s="7"/>
      <c r="AV112" s="7"/>
      <c r="AW112" s="7"/>
      <c r="AX112" s="7"/>
      <c r="AY112" s="7"/>
      <c r="AZ112" s="7"/>
      <c r="BA112" s="7"/>
      <c r="BB112" s="7"/>
      <c r="BC112" s="7"/>
      <c r="BD112" s="7"/>
      <c r="BE112" s="7"/>
      <c r="BF112" s="7"/>
      <c r="BG112" s="7"/>
    </row>
    <row r="113" customHeight="1" spans="1:59">
      <c r="A113" s="9">
        <f>IF(ActiveDatabase=Standby,Secondary!A113,Primary!A113)</f>
        <v>0</v>
      </c>
      <c r="B113" s="5">
        <f>IF(ActiveDatabase=Standby,Secondary!B113,Primary!B113)</f>
        <v>0</v>
      </c>
      <c r="C113" s="5">
        <f>IF(ActiveDatabase=Standby,Secondary!C113,Primary!C113)</f>
        <v>0</v>
      </c>
      <c r="D113" s="5">
        <f>IF(ActiveDatabase=Standby,Secondary!D113,Primary!D113)</f>
        <v>0</v>
      </c>
      <c r="E113" s="6">
        <f>IF(ActiveDatabase=Standby,Secondary!E113,Primary!E113)</f>
        <v>0</v>
      </c>
      <c r="F113" s="10">
        <f>IF(ActiveDatabase=Standby,Secondary!F113,Primary!F113)</f>
        <v>0</v>
      </c>
      <c r="G113" s="10">
        <f>IF(ActiveDatabase=Standby,Secondary!G113,Primary!G113)</f>
        <v>0</v>
      </c>
      <c r="H113" s="10">
        <f>IF(ActiveDatabase=Standby,Secondary!H113,Primary!H113)</f>
        <v>0</v>
      </c>
      <c r="I113" s="13">
        <f>IF(ActiveDatabase=Standby,Secondary!I113,Primary!I113)</f>
        <v>0</v>
      </c>
      <c r="J113" s="13">
        <f>IF(ActiveDatabase=Standby,Secondary!J113,Primary!J113)</f>
        <v>0</v>
      </c>
      <c r="K113" s="13">
        <f>IF(ActiveDatabase=Standby,Secondary!K113,Primary!K113)</f>
        <v>0</v>
      </c>
      <c r="L113" s="13">
        <f>IF(ActiveDatabase=Standby,Secondary!L113,Primary!L113)</f>
        <v>0</v>
      </c>
      <c r="M113" s="7">
        <f>IF(ActiveDatabase=Standby,Secondary!M113,Primary!M113)</f>
        <v>0</v>
      </c>
      <c r="N113" s="10">
        <f>IF(ActiveDatabase=Standby,Secondary!N113,Primary!N113)</f>
        <v>0</v>
      </c>
      <c r="O113" s="10">
        <f>IF(ActiveDatabase=Standby,Secondary!O113,Primary!O113)</f>
        <v>0</v>
      </c>
      <c r="P113" s="10">
        <f>IF(ActiveDatabase=Standby,Secondary!P113,Primary!P113)</f>
        <v>0</v>
      </c>
      <c r="Q113" s="6">
        <f>IF(ActiveDatabase=Standby,Secondary!Q113,Primary!Q113)</f>
        <v>0</v>
      </c>
      <c r="R113" s="18">
        <f>IF(ActiveDatabase=Standby,Secondary!R113,Primary!R113)</f>
        <v>0</v>
      </c>
      <c r="S113" s="19">
        <f>IF(ActiveDatabase=Standby,Secondary!S113,Primary!S113)</f>
        <v>0</v>
      </c>
      <c r="T113" s="10">
        <f>IF(ActiveDatabase=Standby,Secondary!T113,Primary!T113)</f>
        <v>0</v>
      </c>
      <c r="U113" s="10">
        <f>IF(ActiveDatabase=Standby,Secondary!U113,Primary!U113)</f>
        <v>0</v>
      </c>
      <c r="V113" s="10">
        <f>IF(ActiveDatabase=Standby,Secondary!V113,Primary!V113)</f>
        <v>0</v>
      </c>
      <c r="W113" s="6">
        <f>IF(ActiveDatabase=Standby,Secondary!W113,Primary!W113)</f>
        <v>0</v>
      </c>
      <c r="X113" s="6">
        <f>IF(ActiveDatabase=Standby,Secondary!X113,Primary!X113)</f>
        <v>0</v>
      </c>
      <c r="Y113" s="12">
        <f>IF(ActiveDatabase=Standby,Secondary!Y113,Primary!Y113)</f>
        <v>0</v>
      </c>
      <c r="Z113" s="12">
        <f>IF(ActiveDatabase=Standby,Secondary!Z113,Primary!Z113)</f>
        <v>0</v>
      </c>
      <c r="AA113" s="9">
        <f>IF(ActiveDatabase=Standby,Secondary!AA113,Primary!AA113)</f>
        <v>0</v>
      </c>
      <c r="AB113" s="12"/>
      <c r="AC113" s="6"/>
      <c r="AD113" s="6"/>
      <c r="AE113" s="7"/>
      <c r="AF113" s="7"/>
      <c r="AG113" s="7"/>
      <c r="AH113" s="7"/>
      <c r="AI113" s="7"/>
      <c r="AJ113" s="7"/>
      <c r="AK113" s="7"/>
      <c r="AL113" s="7"/>
      <c r="AM113" s="7"/>
      <c r="AN113" s="7"/>
      <c r="AO113" s="6"/>
      <c r="AP113" s="7"/>
      <c r="AQ113" s="7"/>
      <c r="AR113" s="6"/>
      <c r="AS113" s="7"/>
      <c r="AT113" s="7"/>
      <c r="AU113" s="7"/>
      <c r="AV113" s="7"/>
      <c r="AW113" s="7"/>
      <c r="AX113" s="7"/>
      <c r="AY113" s="7"/>
      <c r="AZ113" s="7"/>
      <c r="BA113" s="7"/>
      <c r="BB113" s="7"/>
      <c r="BC113" s="7"/>
      <c r="BD113" s="7"/>
      <c r="BE113" s="7"/>
      <c r="BF113" s="7"/>
      <c r="BG113" s="7"/>
    </row>
    <row r="114" customHeight="1" spans="1:59">
      <c r="A114" s="9" t="str">
        <f>IF(ActiveDatabase=Standby,Secondary!A114,Primary!A114)</f>
        <v>Calliope R01</v>
      </c>
      <c r="B114" s="5" t="str">
        <f>IF(ActiveDatabase=Standby,Secondary!B114,Primary!B114)</f>
        <v>Calliope 29</v>
      </c>
      <c r="C114" s="5">
        <f>IF(ActiveDatabase=Standby,Secondary!C114,Primary!C114)</f>
        <v>0</v>
      </c>
      <c r="D114" s="5" t="str">
        <f>IF(ActiveDatabase=Standby,Secondary!D114,Primary!D114)</f>
        <v>OM-1</v>
      </c>
      <c r="E114" s="6" t="str">
        <f>IF(ActiveDatabase=Standby,Secondary!E114,Primary!E114)</f>
        <v>OM1</v>
      </c>
      <c r="F114" s="10">
        <f>IF(ActiveDatabase=Standby,Secondary!F114,Primary!F114)</f>
        <v>0</v>
      </c>
      <c r="G114" s="10">
        <f>IF(ActiveDatabase=Standby,Secondary!G114,Primary!G114)</f>
        <v>0</v>
      </c>
      <c r="H114" s="10">
        <f>IF(ActiveDatabase=Standby,Secondary!H114,Primary!H114)</f>
        <v>352.214</v>
      </c>
      <c r="I114" s="13">
        <f>IF(ActiveDatabase=Standby,Secondary!I114,Primary!I114)</f>
        <v>0</v>
      </c>
      <c r="J114" s="13">
        <f>IF(ActiveDatabase=Standby,Secondary!J114,Primary!J114)</f>
        <v>0</v>
      </c>
      <c r="K114" s="13">
        <f>IF(ActiveDatabase=Standby,Secondary!K114,Primary!K114)</f>
        <v>0</v>
      </c>
      <c r="L114" s="13">
        <f>IF(ActiveDatabase=Standby,Secondary!L114,Primary!L114)</f>
        <v>0</v>
      </c>
      <c r="M114" s="7" t="b">
        <f>IF(ActiveDatabase=Standby,Secondary!M114,Primary!M114)</f>
        <v>1</v>
      </c>
      <c r="N114" s="10">
        <f>IF(ActiveDatabase=Standby,Secondary!N114,Primary!N114)</f>
        <v>0</v>
      </c>
      <c r="O114" s="10">
        <f>IF(ActiveDatabase=Standby,Secondary!O114,Primary!O114)</f>
        <v>0</v>
      </c>
      <c r="P114" s="10">
        <f>IF(ActiveDatabase=Standby,Secondary!P114,Primary!P114)</f>
        <v>0</v>
      </c>
      <c r="Q114" s="6">
        <f>IF(ActiveDatabase=Standby,Secondary!Q114,Primary!Q114)</f>
        <v>0</v>
      </c>
      <c r="R114" s="18">
        <f>IF(ActiveDatabase=Standby,Secondary!R114,Primary!R114)</f>
        <v>0</v>
      </c>
      <c r="S114" s="19">
        <f>IF(ActiveDatabase=Standby,Secondary!S114,Primary!S114)</f>
        <v>0</v>
      </c>
      <c r="T114" s="10">
        <f>IF(ActiveDatabase=Standby,Secondary!T114,Primary!T114)</f>
        <v>0</v>
      </c>
      <c r="U114" s="10">
        <f>IF(ActiveDatabase=Standby,Secondary!U114,Primary!U114)</f>
        <v>0</v>
      </c>
      <c r="V114" s="10">
        <f>IF(ActiveDatabase=Standby,Secondary!V114,Primary!V114)</f>
        <v>0</v>
      </c>
      <c r="W114" s="6">
        <f>IF(ActiveDatabase=Standby,Secondary!W114,Primary!W114)</f>
        <v>0</v>
      </c>
      <c r="X114" s="6">
        <f>IF(ActiveDatabase=Standby,Secondary!X114,Primary!X114)</f>
        <v>0</v>
      </c>
      <c r="Y114" s="12">
        <f>IF(ActiveDatabase=Standby,Secondary!Y114,Primary!Y114)</f>
        <v>0</v>
      </c>
      <c r="Z114" s="12">
        <f>IF(ActiveDatabase=Standby,Secondary!Z114,Primary!Z114)</f>
        <v>0</v>
      </c>
      <c r="AA114" s="9">
        <f>IF(ActiveDatabase=Standby,Secondary!AA114,Primary!AA114)</f>
        <v>0</v>
      </c>
      <c r="AB114" s="12"/>
      <c r="AC114" s="6"/>
      <c r="AD114" s="6"/>
      <c r="AE114" s="7"/>
      <c r="AF114" s="7"/>
      <c r="AG114" s="7"/>
      <c r="AH114" s="7"/>
      <c r="AI114" s="7"/>
      <c r="AJ114" s="7"/>
      <c r="AK114" s="7"/>
      <c r="AL114" s="7"/>
      <c r="AM114" s="7"/>
      <c r="AN114" s="7"/>
      <c r="AO114" s="6"/>
      <c r="AP114" s="7"/>
      <c r="AQ114" s="7"/>
      <c r="AR114" s="6"/>
      <c r="AS114" s="7"/>
      <c r="AT114" s="7"/>
      <c r="AU114" s="7"/>
      <c r="AV114" s="7"/>
      <c r="AW114" s="7"/>
      <c r="AX114" s="7"/>
      <c r="AY114" s="7"/>
      <c r="AZ114" s="7"/>
      <c r="BA114" s="7"/>
      <c r="BB114" s="7"/>
      <c r="BC114" s="7"/>
      <c r="BD114" s="7"/>
      <c r="BE114" s="7"/>
      <c r="BF114" s="7"/>
      <c r="BG114" s="7"/>
    </row>
    <row r="115" customHeight="1" spans="1:59">
      <c r="A115" s="9" t="str">
        <f>IF(ActiveDatabase=Standby,Secondary!A115,Primary!A115)</f>
        <v>Calliope R02</v>
      </c>
      <c r="B115" s="5" t="str">
        <f>IF(ActiveDatabase=Standby,Secondary!B115,Primary!B115)</f>
        <v>Calliope 30</v>
      </c>
      <c r="C115" s="5">
        <f>IF(ActiveDatabase=Standby,Secondary!C115,Primary!C115)</f>
        <v>0</v>
      </c>
      <c r="D115" s="5" t="str">
        <f>IF(ActiveDatabase=Standby,Secondary!D115,Primary!D115)</f>
        <v>OM-2</v>
      </c>
      <c r="E115" s="6" t="str">
        <f>IF(ActiveDatabase=Standby,Secondary!E115,Primary!E115)</f>
        <v>OM2</v>
      </c>
      <c r="F115" s="10">
        <f>IF(ActiveDatabase=Standby,Secondary!F115,Primary!F115)</f>
        <v>0</v>
      </c>
      <c r="G115" s="10">
        <f>IF(ActiveDatabase=Standby,Secondary!G115,Primary!G115)</f>
        <v>0</v>
      </c>
      <c r="H115" s="10">
        <f>IF(ActiveDatabase=Standby,Secondary!H115,Primary!H115)</f>
        <v>-352.214</v>
      </c>
      <c r="I115" s="13">
        <f>IF(ActiveDatabase=Standby,Secondary!I115,Primary!I115)</f>
        <v>0</v>
      </c>
      <c r="J115" s="13">
        <f>IF(ActiveDatabase=Standby,Secondary!J115,Primary!J115)</f>
        <v>0</v>
      </c>
      <c r="K115" s="13">
        <f>IF(ActiveDatabase=Standby,Secondary!K115,Primary!K115)</f>
        <v>0</v>
      </c>
      <c r="L115" s="13">
        <f>IF(ActiveDatabase=Standby,Secondary!L115,Primary!L115)</f>
        <v>0</v>
      </c>
      <c r="M115" s="7" t="b">
        <f>IF(ActiveDatabase=Standby,Secondary!M115,Primary!M115)</f>
        <v>1</v>
      </c>
      <c r="N115" s="10">
        <f>IF(ActiveDatabase=Standby,Secondary!N115,Primary!N115)</f>
        <v>0</v>
      </c>
      <c r="O115" s="10">
        <f>IF(ActiveDatabase=Standby,Secondary!O115,Primary!O115)</f>
        <v>0</v>
      </c>
      <c r="P115" s="10">
        <f>IF(ActiveDatabase=Standby,Secondary!P115,Primary!P115)</f>
        <v>0</v>
      </c>
      <c r="Q115" s="6">
        <f>IF(ActiveDatabase=Standby,Secondary!Q115,Primary!Q115)</f>
        <v>0</v>
      </c>
      <c r="R115" s="18">
        <f>IF(ActiveDatabase=Standby,Secondary!R115,Primary!R115)</f>
        <v>0</v>
      </c>
      <c r="S115" s="19">
        <f>IF(ActiveDatabase=Standby,Secondary!S115,Primary!S115)</f>
        <v>0</v>
      </c>
      <c r="T115" s="10">
        <f>IF(ActiveDatabase=Standby,Secondary!T115,Primary!T115)</f>
        <v>0</v>
      </c>
      <c r="U115" s="10">
        <f>IF(ActiveDatabase=Standby,Secondary!U115,Primary!U115)</f>
        <v>0</v>
      </c>
      <c r="V115" s="10">
        <f>IF(ActiveDatabase=Standby,Secondary!V115,Primary!V115)</f>
        <v>0</v>
      </c>
      <c r="W115" s="6">
        <f>IF(ActiveDatabase=Standby,Secondary!W115,Primary!W115)</f>
        <v>0</v>
      </c>
      <c r="X115" s="6">
        <f>IF(ActiveDatabase=Standby,Secondary!X115,Primary!X115)</f>
        <v>0</v>
      </c>
      <c r="Y115" s="12">
        <f>IF(ActiveDatabase=Standby,Secondary!Y115,Primary!Y115)</f>
        <v>0</v>
      </c>
      <c r="Z115" s="12">
        <f>IF(ActiveDatabase=Standby,Secondary!Z115,Primary!Z115)</f>
        <v>0</v>
      </c>
      <c r="AA115" s="9">
        <f>IF(ActiveDatabase=Standby,Secondary!AA115,Primary!AA115)</f>
        <v>0</v>
      </c>
      <c r="AB115" s="12"/>
      <c r="AC115" s="6"/>
      <c r="AD115" s="6"/>
      <c r="AE115" s="7"/>
      <c r="AF115" s="7"/>
      <c r="AG115" s="7"/>
      <c r="AH115" s="7"/>
      <c r="AI115" s="7"/>
      <c r="AJ115" s="7"/>
      <c r="AK115" s="7"/>
      <c r="AL115" s="7"/>
      <c r="AM115" s="7"/>
      <c r="AN115" s="7"/>
      <c r="AO115" s="6"/>
      <c r="AP115" s="7"/>
      <c r="AQ115" s="7"/>
      <c r="AR115" s="6"/>
      <c r="AS115" s="7"/>
      <c r="AT115" s="7"/>
      <c r="AU115" s="7"/>
      <c r="AV115" s="7"/>
      <c r="AW115" s="7"/>
      <c r="AX115" s="7"/>
      <c r="AY115" s="7"/>
      <c r="AZ115" s="7"/>
      <c r="BA115" s="7"/>
      <c r="BB115" s="7"/>
      <c r="BC115" s="7"/>
      <c r="BD115" s="7"/>
      <c r="BE115" s="7"/>
      <c r="BF115" s="7"/>
      <c r="BG115" s="7"/>
    </row>
    <row r="116" customHeight="1" spans="1:59">
      <c r="A116" s="9" t="str">
        <f>IF(ActiveDatabase=Standby,Secondary!A116,Primary!A116)</f>
        <v>Calliope R03</v>
      </c>
      <c r="B116" s="5" t="str">
        <f>IF(ActiveDatabase=Standby,Secondary!B116,Primary!B116)</f>
        <v>Calliope 31</v>
      </c>
      <c r="C116" s="5" t="str">
        <f>IF(ActiveDatabase=Standby,Secondary!C116,Primary!C116)</f>
        <v>Calliope 02</v>
      </c>
      <c r="D116" s="5" t="str">
        <f>IF(ActiveDatabase=Standby,Secondary!D116,Primary!D116)</f>
        <v>OM-3</v>
      </c>
      <c r="E116" s="6" t="str">
        <f>IF(ActiveDatabase=Standby,Secondary!E116,Primary!E116)</f>
        <v>OM3</v>
      </c>
      <c r="F116" s="10">
        <f>IF(ActiveDatabase=Standby,Secondary!F116,Primary!F116)</f>
        <v>0</v>
      </c>
      <c r="G116" s="10">
        <f>IF(ActiveDatabase=Standby,Secondary!G116,Primary!G116)</f>
        <v>352.214</v>
      </c>
      <c r="H116" s="10">
        <f>IF(ActiveDatabase=Standby,Secondary!H116,Primary!H116)</f>
        <v>0</v>
      </c>
      <c r="I116" s="13">
        <f>IF(ActiveDatabase=Standby,Secondary!I116,Primary!I116)</f>
        <v>0</v>
      </c>
      <c r="J116" s="13">
        <f>IF(ActiveDatabase=Standby,Secondary!J116,Primary!J116)</f>
        <v>0</v>
      </c>
      <c r="K116" s="13">
        <f>IF(ActiveDatabase=Standby,Secondary!K116,Primary!K116)</f>
        <v>0</v>
      </c>
      <c r="L116" s="13">
        <f>IF(ActiveDatabase=Standby,Secondary!L116,Primary!L116)</f>
        <v>0</v>
      </c>
      <c r="M116" s="7" t="b">
        <f>IF(ActiveDatabase=Standby,Secondary!M116,Primary!M116)</f>
        <v>1</v>
      </c>
      <c r="N116" s="10">
        <f>IF(ActiveDatabase=Standby,Secondary!N116,Primary!N116)</f>
        <v>0</v>
      </c>
      <c r="O116" s="10">
        <f>IF(ActiveDatabase=Standby,Secondary!O116,Primary!O116)</f>
        <v>0</v>
      </c>
      <c r="P116" s="10">
        <f>IF(ActiveDatabase=Standby,Secondary!P116,Primary!P116)</f>
        <v>0</v>
      </c>
      <c r="Q116" s="6">
        <f>IF(ActiveDatabase=Standby,Secondary!Q116,Primary!Q116)</f>
        <v>0</v>
      </c>
      <c r="R116" s="18">
        <f>IF(ActiveDatabase=Standby,Secondary!R116,Primary!R116)</f>
        <v>0</v>
      </c>
      <c r="S116" s="19">
        <f>IF(ActiveDatabase=Standby,Secondary!S116,Primary!S116)</f>
        <v>0</v>
      </c>
      <c r="T116" s="10">
        <f>IF(ActiveDatabase=Standby,Secondary!T116,Primary!T116)</f>
        <v>0</v>
      </c>
      <c r="U116" s="10">
        <f>IF(ActiveDatabase=Standby,Secondary!U116,Primary!U116)</f>
        <v>0</v>
      </c>
      <c r="V116" s="10">
        <f>IF(ActiveDatabase=Standby,Secondary!V116,Primary!V116)</f>
        <v>0</v>
      </c>
      <c r="W116" s="6">
        <f>IF(ActiveDatabase=Standby,Secondary!W116,Primary!W116)</f>
        <v>0</v>
      </c>
      <c r="X116" s="6">
        <f>IF(ActiveDatabase=Standby,Secondary!X116,Primary!X116)</f>
        <v>0</v>
      </c>
      <c r="Y116" s="12">
        <f>IF(ActiveDatabase=Standby,Secondary!Y116,Primary!Y116)</f>
        <v>0</v>
      </c>
      <c r="Z116" s="12">
        <f>IF(ActiveDatabase=Standby,Secondary!Z116,Primary!Z116)</f>
        <v>0</v>
      </c>
      <c r="AA116" s="9">
        <f>IF(ActiveDatabase=Standby,Secondary!AA116,Primary!AA116)</f>
        <v>0</v>
      </c>
      <c r="AB116" s="12"/>
      <c r="AC116" s="6"/>
      <c r="AD116" s="6"/>
      <c r="AE116" s="7"/>
      <c r="AF116" s="7"/>
      <c r="AG116" s="7"/>
      <c r="AH116" s="7"/>
      <c r="AI116" s="7"/>
      <c r="AJ116" s="7"/>
      <c r="AK116" s="7"/>
      <c r="AL116" s="7"/>
      <c r="AM116" s="7"/>
      <c r="AN116" s="7"/>
      <c r="AO116" s="6"/>
      <c r="AP116" s="7"/>
      <c r="AQ116" s="7"/>
      <c r="AR116" s="6"/>
      <c r="AS116" s="7"/>
      <c r="AT116" s="7"/>
      <c r="AU116" s="7"/>
      <c r="AV116" s="7"/>
      <c r="AW116" s="7"/>
      <c r="AX116" s="7"/>
      <c r="AY116" s="7"/>
      <c r="AZ116" s="7"/>
      <c r="BA116" s="7"/>
      <c r="BB116" s="7"/>
      <c r="BC116" s="7"/>
      <c r="BD116" s="7"/>
      <c r="BE116" s="7"/>
      <c r="BF116" s="7"/>
      <c r="BG116" s="7"/>
    </row>
    <row r="117" customHeight="1" spans="1:59">
      <c r="A117" s="9" t="str">
        <f>IF(ActiveDatabase=Standby,Secondary!A117,Primary!A117)</f>
        <v>Calliope R04</v>
      </c>
      <c r="B117" s="5" t="str">
        <f>IF(ActiveDatabase=Standby,Secondary!B117,Primary!B117)</f>
        <v>Calliope 32</v>
      </c>
      <c r="C117" s="5" t="str">
        <f>IF(ActiveDatabase=Standby,Secondary!C117,Primary!C117)</f>
        <v>Calliope 19</v>
      </c>
      <c r="D117" s="5" t="str">
        <f>IF(ActiveDatabase=Standby,Secondary!D117,Primary!D117)</f>
        <v>OM-4</v>
      </c>
      <c r="E117" s="6" t="str">
        <f>IF(ActiveDatabase=Standby,Secondary!E117,Primary!E117)</f>
        <v>OM4</v>
      </c>
      <c r="F117" s="10">
        <f>IF(ActiveDatabase=Standby,Secondary!F117,Primary!F117)</f>
        <v>0</v>
      </c>
      <c r="G117" s="10">
        <f>IF(ActiveDatabase=Standby,Secondary!G117,Primary!G117)</f>
        <v>-352.214</v>
      </c>
      <c r="H117" s="10">
        <f>IF(ActiveDatabase=Standby,Secondary!H117,Primary!H117)</f>
        <v>0</v>
      </c>
      <c r="I117" s="13">
        <f>IF(ActiveDatabase=Standby,Secondary!I117,Primary!I117)</f>
        <v>0</v>
      </c>
      <c r="J117" s="13">
        <f>IF(ActiveDatabase=Standby,Secondary!J117,Primary!J117)</f>
        <v>0</v>
      </c>
      <c r="K117" s="13">
        <f>IF(ActiveDatabase=Standby,Secondary!K117,Primary!K117)</f>
        <v>0</v>
      </c>
      <c r="L117" s="13">
        <f>IF(ActiveDatabase=Standby,Secondary!L117,Primary!L117)</f>
        <v>0</v>
      </c>
      <c r="M117" s="7" t="b">
        <f>IF(ActiveDatabase=Standby,Secondary!M117,Primary!M117)</f>
        <v>1</v>
      </c>
      <c r="N117" s="10">
        <f>IF(ActiveDatabase=Standby,Secondary!N117,Primary!N117)</f>
        <v>0</v>
      </c>
      <c r="O117" s="10">
        <f>IF(ActiveDatabase=Standby,Secondary!O117,Primary!O117)</f>
        <v>0</v>
      </c>
      <c r="P117" s="10">
        <f>IF(ActiveDatabase=Standby,Secondary!P117,Primary!P117)</f>
        <v>0</v>
      </c>
      <c r="Q117" s="6">
        <f>IF(ActiveDatabase=Standby,Secondary!Q117,Primary!Q117)</f>
        <v>0</v>
      </c>
      <c r="R117" s="18">
        <f>IF(ActiveDatabase=Standby,Secondary!R117,Primary!R117)</f>
        <v>0</v>
      </c>
      <c r="S117" s="19">
        <f>IF(ActiveDatabase=Standby,Secondary!S117,Primary!S117)</f>
        <v>0</v>
      </c>
      <c r="T117" s="10">
        <f>IF(ActiveDatabase=Standby,Secondary!T117,Primary!T117)</f>
        <v>0</v>
      </c>
      <c r="U117" s="10">
        <f>IF(ActiveDatabase=Standby,Secondary!U117,Primary!U117)</f>
        <v>0</v>
      </c>
      <c r="V117" s="10">
        <f>IF(ActiveDatabase=Standby,Secondary!V117,Primary!V117)</f>
        <v>0</v>
      </c>
      <c r="W117" s="6">
        <f>IF(ActiveDatabase=Standby,Secondary!W117,Primary!W117)</f>
        <v>0</v>
      </c>
      <c r="X117" s="6">
        <f>IF(ActiveDatabase=Standby,Secondary!X117,Primary!X117)</f>
        <v>0</v>
      </c>
      <c r="Y117" s="12">
        <f>IF(ActiveDatabase=Standby,Secondary!Y117,Primary!Y117)</f>
        <v>0</v>
      </c>
      <c r="Z117" s="12">
        <f>IF(ActiveDatabase=Standby,Secondary!Z117,Primary!Z117)</f>
        <v>0</v>
      </c>
      <c r="AA117" s="6">
        <f>IF(ActiveDatabase=Standby,Secondary!AA117,Primary!AA117)</f>
        <v>0</v>
      </c>
      <c r="AB117" s="12"/>
      <c r="AC117" s="6"/>
      <c r="AD117" s="6"/>
      <c r="AE117" s="7"/>
      <c r="AF117" s="7"/>
      <c r="AG117" s="7"/>
      <c r="AH117" s="7"/>
      <c r="AI117" s="7"/>
      <c r="AJ117" s="7"/>
      <c r="AK117" s="7"/>
      <c r="AL117" s="7"/>
      <c r="AM117" s="7"/>
      <c r="AN117" s="7"/>
      <c r="AO117" s="6"/>
      <c r="AP117" s="7"/>
      <c r="AQ117" s="7"/>
      <c r="AR117" s="6"/>
      <c r="AS117" s="6"/>
      <c r="AT117" s="6"/>
      <c r="AU117" s="6"/>
      <c r="AV117" s="6"/>
      <c r="AW117" s="6"/>
      <c r="AX117" s="6"/>
      <c r="AY117" s="6"/>
      <c r="AZ117" s="6"/>
      <c r="BA117" s="6"/>
      <c r="BB117" s="6"/>
      <c r="BC117" s="6"/>
      <c r="BD117" s="6"/>
      <c r="BE117" s="6"/>
      <c r="BF117" s="6"/>
      <c r="BG117" s="6"/>
    </row>
    <row r="118" customHeight="1" spans="1:59">
      <c r="A118" s="9" t="str">
        <f>IF(ActiveDatabase=Standby,Secondary!A118,Primary!A118)</f>
        <v>Calliope R05</v>
      </c>
      <c r="B118" s="5" t="str">
        <f>IF(ActiveDatabase=Standby,Secondary!B118,Primary!B118)</f>
        <v>Calliope 33</v>
      </c>
      <c r="C118" s="5" t="str">
        <f>IF(ActiveDatabase=Standby,Secondary!C118,Primary!C118)</f>
        <v>Calliope 08</v>
      </c>
      <c r="D118" s="5" t="str">
        <f>IF(ActiveDatabase=Standby,Secondary!D118,Primary!D118)</f>
        <v>OM-5</v>
      </c>
      <c r="E118" s="6" t="str">
        <f>IF(ActiveDatabase=Standby,Secondary!E118,Primary!E118)</f>
        <v>OM5</v>
      </c>
      <c r="F118" s="10">
        <f>IF(ActiveDatabase=Standby,Secondary!F118,Primary!F118)</f>
        <v>352.214</v>
      </c>
      <c r="G118" s="10">
        <f>IF(ActiveDatabase=Standby,Secondary!G118,Primary!G118)</f>
        <v>0</v>
      </c>
      <c r="H118" s="10">
        <f>IF(ActiveDatabase=Standby,Secondary!H118,Primary!H118)</f>
        <v>0</v>
      </c>
      <c r="I118" s="13">
        <f>IF(ActiveDatabase=Standby,Secondary!I118,Primary!I118)</f>
        <v>0</v>
      </c>
      <c r="J118" s="13">
        <f>IF(ActiveDatabase=Standby,Secondary!J118,Primary!J118)</f>
        <v>0</v>
      </c>
      <c r="K118" s="13">
        <f>IF(ActiveDatabase=Standby,Secondary!K118,Primary!K118)</f>
        <v>0</v>
      </c>
      <c r="L118" s="13">
        <f>IF(ActiveDatabase=Standby,Secondary!L118,Primary!L118)</f>
        <v>0</v>
      </c>
      <c r="M118" s="7" t="b">
        <f>IF(ActiveDatabase=Standby,Secondary!M118,Primary!M118)</f>
        <v>1</v>
      </c>
      <c r="N118" s="10">
        <f>IF(ActiveDatabase=Standby,Secondary!N118,Primary!N118)</f>
        <v>0</v>
      </c>
      <c r="O118" s="10">
        <f>IF(ActiveDatabase=Standby,Secondary!O118,Primary!O118)</f>
        <v>0</v>
      </c>
      <c r="P118" s="10">
        <f>IF(ActiveDatabase=Standby,Secondary!P118,Primary!P118)</f>
        <v>0</v>
      </c>
      <c r="Q118" s="6">
        <f>IF(ActiveDatabase=Standby,Secondary!Q118,Primary!Q118)</f>
        <v>0</v>
      </c>
      <c r="R118" s="18">
        <f>IF(ActiveDatabase=Standby,Secondary!R118,Primary!R118)</f>
        <v>0</v>
      </c>
      <c r="S118" s="19">
        <f>IF(ActiveDatabase=Standby,Secondary!S118,Primary!S118)</f>
        <v>0</v>
      </c>
      <c r="T118" s="10">
        <f>IF(ActiveDatabase=Standby,Secondary!T118,Primary!T118)</f>
        <v>0</v>
      </c>
      <c r="U118" s="10">
        <f>IF(ActiveDatabase=Standby,Secondary!U118,Primary!U118)</f>
        <v>0</v>
      </c>
      <c r="V118" s="10">
        <f>IF(ActiveDatabase=Standby,Secondary!V118,Primary!V118)</f>
        <v>0</v>
      </c>
      <c r="W118" s="6">
        <f>IF(ActiveDatabase=Standby,Secondary!W118,Primary!W118)</f>
        <v>0</v>
      </c>
      <c r="X118" s="6">
        <f>IF(ActiveDatabase=Standby,Secondary!X118,Primary!X118)</f>
        <v>0</v>
      </c>
      <c r="Y118" s="12">
        <f>IF(ActiveDatabase=Standby,Secondary!Y118,Primary!Y118)</f>
        <v>0</v>
      </c>
      <c r="Z118" s="12">
        <f>IF(ActiveDatabase=Standby,Secondary!Z118,Primary!Z118)</f>
        <v>0</v>
      </c>
      <c r="AA118" s="7">
        <f>IF(ActiveDatabase=Standby,Secondary!AA118,Primary!AA118)</f>
        <v>0</v>
      </c>
      <c r="AB118" s="12"/>
      <c r="AC118" s="6"/>
      <c r="AD118" s="6"/>
      <c r="AE118" s="7"/>
      <c r="AF118" s="7"/>
      <c r="AG118" s="7"/>
      <c r="AH118" s="7"/>
      <c r="AI118" s="7"/>
      <c r="AJ118" s="7"/>
      <c r="AK118" s="7"/>
      <c r="AL118" s="7"/>
      <c r="AM118" s="7"/>
      <c r="AN118" s="7"/>
      <c r="AO118" s="6"/>
      <c r="AP118" s="7"/>
      <c r="AQ118" s="7"/>
      <c r="AR118" s="6"/>
      <c r="AS118" s="7"/>
      <c r="AT118" s="7"/>
      <c r="AU118" s="7"/>
      <c r="AV118" s="7"/>
      <c r="AW118" s="7"/>
      <c r="AX118" s="7"/>
      <c r="AY118" s="7"/>
      <c r="AZ118" s="7"/>
      <c r="BA118" s="7"/>
      <c r="BB118" s="7"/>
      <c r="BC118" s="7"/>
      <c r="BD118" s="7"/>
      <c r="BE118" s="7"/>
      <c r="BF118" s="7"/>
      <c r="BG118" s="7"/>
    </row>
    <row r="119" customHeight="1" spans="1:59">
      <c r="A119" s="9" t="str">
        <f>IF(ActiveDatabase=Standby,Secondary!A119,Primary!A119)</f>
        <v>Calliope R06</v>
      </c>
      <c r="B119" s="5" t="str">
        <f>IF(ActiveDatabase=Standby,Secondary!B119,Primary!B119)</f>
        <v>Calliope 34</v>
      </c>
      <c r="C119" s="5" t="str">
        <f>IF(ActiveDatabase=Standby,Secondary!C119,Primary!C119)</f>
        <v>Calliope 22</v>
      </c>
      <c r="D119" s="5" t="str">
        <f>IF(ActiveDatabase=Standby,Secondary!D119,Primary!D119)</f>
        <v>OM-6</v>
      </c>
      <c r="E119" s="6" t="str">
        <f>IF(ActiveDatabase=Standby,Secondary!E119,Primary!E119)</f>
        <v>OM6</v>
      </c>
      <c r="F119" s="10">
        <f>IF(ActiveDatabase=Standby,Secondary!F119,Primary!F119)</f>
        <v>-352.214</v>
      </c>
      <c r="G119" s="10">
        <f>IF(ActiveDatabase=Standby,Secondary!G119,Primary!G119)</f>
        <v>0</v>
      </c>
      <c r="H119" s="10">
        <f>IF(ActiveDatabase=Standby,Secondary!H119,Primary!H119)</f>
        <v>0</v>
      </c>
      <c r="I119" s="13">
        <f>IF(ActiveDatabase=Standby,Secondary!I119,Primary!I119)</f>
        <v>0</v>
      </c>
      <c r="J119" s="13">
        <f>IF(ActiveDatabase=Standby,Secondary!J119,Primary!J119)</f>
        <v>0</v>
      </c>
      <c r="K119" s="13">
        <f>IF(ActiveDatabase=Standby,Secondary!K119,Primary!K119)</f>
        <v>0</v>
      </c>
      <c r="L119" s="13">
        <f>IF(ActiveDatabase=Standby,Secondary!L119,Primary!L119)</f>
        <v>0</v>
      </c>
      <c r="M119" s="7" t="b">
        <f>IF(ActiveDatabase=Standby,Secondary!M119,Primary!M119)</f>
        <v>1</v>
      </c>
      <c r="N119" s="10">
        <f>IF(ActiveDatabase=Standby,Secondary!N119,Primary!N119)</f>
        <v>0</v>
      </c>
      <c r="O119" s="10">
        <f>IF(ActiveDatabase=Standby,Secondary!O119,Primary!O119)</f>
        <v>0</v>
      </c>
      <c r="P119" s="10">
        <f>IF(ActiveDatabase=Standby,Secondary!P119,Primary!P119)</f>
        <v>0</v>
      </c>
      <c r="Q119" s="6">
        <f>IF(ActiveDatabase=Standby,Secondary!Q119,Primary!Q119)</f>
        <v>0</v>
      </c>
      <c r="R119" s="18">
        <f>IF(ActiveDatabase=Standby,Secondary!R119,Primary!R119)</f>
        <v>0</v>
      </c>
      <c r="S119" s="19">
        <f>IF(ActiveDatabase=Standby,Secondary!S119,Primary!S119)</f>
        <v>0</v>
      </c>
      <c r="T119" s="10">
        <f>IF(ActiveDatabase=Standby,Secondary!T119,Primary!T119)</f>
        <v>0</v>
      </c>
      <c r="U119" s="10">
        <f>IF(ActiveDatabase=Standby,Secondary!U119,Primary!U119)</f>
        <v>0</v>
      </c>
      <c r="V119" s="10">
        <f>IF(ActiveDatabase=Standby,Secondary!V119,Primary!V119)</f>
        <v>0</v>
      </c>
      <c r="W119" s="6">
        <f>IF(ActiveDatabase=Standby,Secondary!W119,Primary!W119)</f>
        <v>0</v>
      </c>
      <c r="X119" s="6">
        <f>IF(ActiveDatabase=Standby,Secondary!X119,Primary!X119)</f>
        <v>0</v>
      </c>
      <c r="Y119" s="12">
        <f>IF(ActiveDatabase=Standby,Secondary!Y119,Primary!Y119)</f>
        <v>0</v>
      </c>
      <c r="Z119" s="12">
        <f>IF(ActiveDatabase=Standby,Secondary!Z119,Primary!Z119)</f>
        <v>0</v>
      </c>
      <c r="AA119" s="7">
        <f>IF(ActiveDatabase=Standby,Secondary!AA119,Primary!AA119)</f>
        <v>0</v>
      </c>
      <c r="AB119" s="12"/>
      <c r="AC119" s="6"/>
      <c r="AD119" s="6"/>
      <c r="AE119" s="7"/>
      <c r="AF119" s="7"/>
      <c r="AG119" s="7"/>
      <c r="AH119" s="7"/>
      <c r="AI119" s="7"/>
      <c r="AJ119" s="7"/>
      <c r="AK119" s="7"/>
      <c r="AL119" s="7"/>
      <c r="AM119" s="7"/>
      <c r="AN119" s="7"/>
      <c r="AO119" s="6"/>
      <c r="AP119" s="7"/>
      <c r="AQ119" s="7"/>
      <c r="AR119" s="6"/>
      <c r="AS119" s="7"/>
      <c r="AT119" s="7"/>
      <c r="AU119" s="7"/>
      <c r="AV119" s="7"/>
      <c r="AW119" s="7"/>
      <c r="AX119" s="7"/>
      <c r="AY119" s="7"/>
      <c r="AZ119" s="7"/>
      <c r="BA119" s="7"/>
      <c r="BB119" s="7"/>
      <c r="BC119" s="7"/>
      <c r="BD119" s="7"/>
      <c r="BE119" s="7"/>
      <c r="BF119" s="7"/>
      <c r="BG119" s="7"/>
    </row>
    <row r="120" customHeight="1" spans="1:59">
      <c r="A120" s="9" t="str">
        <f>IF(ActiveDatabase=Standby,Secondary!A120,Primary!A120)</f>
        <v>Calliope</v>
      </c>
      <c r="B120" s="5" t="str">
        <f>IF(ActiveDatabase=Standby,Secondary!B120,Primary!B120)</f>
        <v>Calliope 00</v>
      </c>
      <c r="C120" s="5">
        <f>IF(ActiveDatabase=Standby,Secondary!C120,Primary!C120)</f>
        <v>0</v>
      </c>
      <c r="D120" s="5" t="str">
        <f>IF(ActiveDatabase=Standby,Secondary!D120,Primary!D120)</f>
        <v>Trading Terminals</v>
      </c>
      <c r="E120" s="6">
        <f>IF(ActiveDatabase=Standby,Secondary!E120,Primary!E120)</f>
        <v>0</v>
      </c>
      <c r="F120" s="10">
        <f>IF(ActiveDatabase=Standby,Secondary!F120,Primary!F120)</f>
        <v>0</v>
      </c>
      <c r="G120" s="10">
        <f>IF(ActiveDatabase=Standby,Secondary!G120,Primary!G120)</f>
        <v>0</v>
      </c>
      <c r="H120" s="10">
        <f>IF(ActiveDatabase=Standby,Secondary!H120,Primary!H120)</f>
        <v>0</v>
      </c>
      <c r="I120" s="13">
        <f>IF(ActiveDatabase=Standby,Secondary!I120,Primary!I120)</f>
        <v>0</v>
      </c>
      <c r="J120" s="13">
        <f>IF(ActiveDatabase=Standby,Secondary!J120,Primary!J120)</f>
        <v>0</v>
      </c>
      <c r="K120" s="13">
        <f>IF(ActiveDatabase=Standby,Secondary!K120,Primary!K120)</f>
        <v>0</v>
      </c>
      <c r="L120" s="13">
        <f>IF(ActiveDatabase=Standby,Secondary!L120,Primary!L120)</f>
        <v>0</v>
      </c>
      <c r="M120" s="7">
        <f>IF(ActiveDatabase=Standby,Secondary!M120,Primary!M120)</f>
        <v>0</v>
      </c>
      <c r="N120" s="10">
        <f>IF(ActiveDatabase=Standby,Secondary!N120,Primary!N120)</f>
        <v>0</v>
      </c>
      <c r="O120" s="10">
        <f>IF(ActiveDatabase=Standby,Secondary!O120,Primary!O120)</f>
        <v>0</v>
      </c>
      <c r="P120" s="10">
        <f>IF(ActiveDatabase=Standby,Secondary!P120,Primary!P120)</f>
        <v>0</v>
      </c>
      <c r="Q120" s="6">
        <f>IF(ActiveDatabase=Standby,Secondary!Q120,Primary!Q120)</f>
        <v>0</v>
      </c>
      <c r="R120" s="18">
        <f>IF(ActiveDatabase=Standby,Secondary!R120,Primary!R120)</f>
        <v>0</v>
      </c>
      <c r="S120" s="19">
        <f>IF(ActiveDatabase=Standby,Secondary!S120,Primary!S120)</f>
        <v>0</v>
      </c>
      <c r="T120" s="10">
        <f>IF(ActiveDatabase=Standby,Secondary!T120,Primary!T120)</f>
        <v>0</v>
      </c>
      <c r="U120" s="10">
        <f>IF(ActiveDatabase=Standby,Secondary!U120,Primary!U120)</f>
        <v>0</v>
      </c>
      <c r="V120" s="10">
        <f>IF(ActiveDatabase=Standby,Secondary!V120,Primary!V120)</f>
        <v>0</v>
      </c>
      <c r="W120" s="6">
        <f>IF(ActiveDatabase=Standby,Secondary!W120,Primary!W120)</f>
        <v>0</v>
      </c>
      <c r="X120" s="6">
        <f>IF(ActiveDatabase=Standby,Secondary!X120,Primary!X120)</f>
        <v>0</v>
      </c>
      <c r="Y120" s="12">
        <f>IF(ActiveDatabase=Standby,Secondary!Y120,Primary!Y120)</f>
        <v>0</v>
      </c>
      <c r="Z120" s="12">
        <f>IF(ActiveDatabase=Standby,Secondary!Z120,Primary!Z120)</f>
        <v>0</v>
      </c>
      <c r="AA120" s="7">
        <f>IF(ActiveDatabase=Standby,Secondary!AA120,Primary!AA120)</f>
        <v>0</v>
      </c>
      <c r="AB120" s="12"/>
      <c r="AC120" s="6"/>
      <c r="AD120" s="6"/>
      <c r="AE120" s="7"/>
      <c r="AF120" s="7"/>
      <c r="AG120" s="7"/>
      <c r="AH120" s="7"/>
      <c r="AI120" s="7"/>
      <c r="AJ120" s="7"/>
      <c r="AK120" s="7"/>
      <c r="AL120" s="7"/>
      <c r="AM120" s="7"/>
      <c r="AN120" s="7"/>
      <c r="AO120" s="6"/>
      <c r="AP120" s="7"/>
      <c r="AQ120" s="7"/>
      <c r="AR120" s="6"/>
      <c r="AS120" s="7"/>
      <c r="AT120" s="7"/>
      <c r="AU120" s="7"/>
      <c r="AV120" s="7"/>
      <c r="AW120" s="7"/>
      <c r="AX120" s="7"/>
      <c r="AY120" s="7"/>
      <c r="AZ120" s="7"/>
      <c r="BA120" s="7"/>
      <c r="BB120" s="7"/>
      <c r="BC120" s="7"/>
      <c r="BD120" s="7"/>
      <c r="BE120" s="7"/>
      <c r="BF120" s="7"/>
      <c r="BG120" s="7"/>
    </row>
    <row r="121" customHeight="1" spans="1:59">
      <c r="A121" s="9" t="str">
        <f>IF(ActiveDatabase=Standby,Secondary!A121,Primary!A121)</f>
        <v>Calliope 01</v>
      </c>
      <c r="B121" s="5" t="str">
        <f>IF(ActiveDatabase=Standby,Secondary!B121,Primary!B121)</f>
        <v>Calliope 01</v>
      </c>
      <c r="C121" s="5" t="str">
        <f>IF(ActiveDatabase=Standby,Secondary!C121,Primary!C121)</f>
        <v>Calliope 20</v>
      </c>
      <c r="D121" s="5" t="str">
        <f>IF(ActiveDatabase=Standby,Secondary!D121,Primary!D121)</f>
        <v>Rayari Anvik Research Outpost</v>
      </c>
      <c r="E121" s="6" t="str">
        <f>IF(ActiveDatabase=Standby,Secondary!E121,Primary!E121)</f>
        <v>Anvik</v>
      </c>
      <c r="F121" s="10">
        <f>IF(ActiveDatabase=Standby,Secondary!F121,Primary!F121)</f>
        <v>-184.63233374</v>
      </c>
      <c r="G121" s="10">
        <f>IF(ActiveDatabase=Standby,Secondary!G121,Primary!G121)</f>
        <v>-127.794332011</v>
      </c>
      <c r="H121" s="10">
        <f>IF(ActiveDatabase=Standby,Secondary!H121,Primary!H121)</f>
        <v>84.7238775759999</v>
      </c>
      <c r="I121" s="13">
        <f>IF(ActiveDatabase=Standby,Secondary!I121,Primary!I121)</f>
        <v>0</v>
      </c>
      <c r="J121" s="13">
        <f>IF(ActiveDatabase=Standby,Secondary!J121,Primary!J121)</f>
        <v>0</v>
      </c>
      <c r="K121" s="13">
        <f>IF(ActiveDatabase=Standby,Secondary!K121,Primary!K121)</f>
        <v>0</v>
      </c>
      <c r="L121" s="13">
        <f>IF(ActiveDatabase=Standby,Secondary!L121,Primary!L121)</f>
        <v>0</v>
      </c>
      <c r="M121" s="7" t="b">
        <f>IF(ActiveDatabase=Standby,Secondary!M121,Primary!M121)</f>
        <v>1</v>
      </c>
      <c r="N121" s="10">
        <f>IF(ActiveDatabase=Standby,Secondary!N121,Primary!N121)</f>
        <v>0</v>
      </c>
      <c r="O121" s="10">
        <f>IF(ActiveDatabase=Standby,Secondary!O121,Primary!O121)</f>
        <v>0</v>
      </c>
      <c r="P121" s="10">
        <f>IF(ActiveDatabase=Standby,Secondary!P121,Primary!P121)</f>
        <v>0</v>
      </c>
      <c r="Q121" s="6">
        <f>IF(ActiveDatabase=Standby,Secondary!Q121,Primary!Q121)</f>
        <v>0</v>
      </c>
      <c r="R121" s="18">
        <f>IF(ActiveDatabase=Standby,Secondary!R121,Primary!R121)</f>
        <v>0</v>
      </c>
      <c r="S121" s="19">
        <f>IF(ActiveDatabase=Standby,Secondary!S121,Primary!S121)</f>
        <v>0</v>
      </c>
      <c r="T121" s="10">
        <f>IF(ActiveDatabase=Standby,Secondary!T121,Primary!T121)</f>
        <v>0</v>
      </c>
      <c r="U121" s="10">
        <f>IF(ActiveDatabase=Standby,Secondary!U121,Primary!U121)</f>
        <v>0</v>
      </c>
      <c r="V121" s="10">
        <f>IF(ActiveDatabase=Standby,Secondary!V121,Primary!V121)</f>
        <v>0</v>
      </c>
      <c r="W121" s="6">
        <f>IF(ActiveDatabase=Standby,Secondary!W121,Primary!W121)</f>
        <v>0</v>
      </c>
      <c r="X121" s="6">
        <f>IF(ActiveDatabase=Standby,Secondary!X121,Primary!X121)</f>
        <v>0</v>
      </c>
      <c r="Y121" s="12">
        <f>IF(ActiveDatabase=Standby,Secondary!Y121,Primary!Y121)</f>
        <v>0</v>
      </c>
      <c r="Z121" s="12">
        <f>IF(ActiveDatabase=Standby,Secondary!Z121,Primary!Z121)</f>
        <v>0</v>
      </c>
      <c r="AA121" s="7">
        <f>IF(ActiveDatabase=Standby,Secondary!AA121,Primary!AA121)</f>
        <v>0</v>
      </c>
      <c r="AB121" s="12"/>
      <c r="AC121" s="6"/>
      <c r="AD121" s="6"/>
      <c r="AE121" s="7"/>
      <c r="AF121" s="7"/>
      <c r="AG121" s="7"/>
      <c r="AH121" s="7"/>
      <c r="AI121" s="7"/>
      <c r="AJ121" s="7"/>
      <c r="AK121" s="7"/>
      <c r="AL121" s="7"/>
      <c r="AM121" s="7"/>
      <c r="AN121" s="7"/>
      <c r="AO121" s="6"/>
      <c r="AP121" s="7"/>
      <c r="AQ121" s="7"/>
      <c r="AR121" s="6"/>
      <c r="AS121" s="7"/>
      <c r="AT121" s="7"/>
      <c r="AU121" s="7"/>
      <c r="AV121" s="7"/>
      <c r="AW121" s="7"/>
      <c r="AX121" s="7"/>
      <c r="AY121" s="7"/>
      <c r="AZ121" s="7"/>
      <c r="BA121" s="7"/>
      <c r="BB121" s="7"/>
      <c r="BC121" s="7"/>
      <c r="BD121" s="7"/>
      <c r="BE121" s="7"/>
      <c r="BF121" s="7"/>
      <c r="BG121" s="7"/>
    </row>
    <row r="122" customHeight="1" spans="1:59">
      <c r="A122" s="9" t="str">
        <f>IF(ActiveDatabase=Standby,Secondary!A122,Primary!A122)</f>
        <v>Calliope 02</v>
      </c>
      <c r="B122" s="5" t="str">
        <f>IF(ActiveDatabase=Standby,Secondary!B122,Primary!B122)</f>
        <v>Calliope 02</v>
      </c>
      <c r="C122" s="5" t="str">
        <f>IF(ActiveDatabase=Standby,Secondary!C122,Primary!C122)</f>
        <v>Calliope 07</v>
      </c>
      <c r="D122" s="5" t="str">
        <f>IF(ActiveDatabase=Standby,Secondary!D122,Primary!D122)</f>
        <v>Rayari Kaltag Research Outpost</v>
      </c>
      <c r="E122" s="6" t="str">
        <f>IF(ActiveDatabase=Standby,Secondary!E122,Primary!E122)</f>
        <v>Kaltag</v>
      </c>
      <c r="F122" s="10">
        <f>IF(ActiveDatabase=Standby,Secondary!F122,Primary!F122)</f>
        <v>205.267012524999</v>
      </c>
      <c r="G122" s="10">
        <f>IF(ActiveDatabase=Standby,Secondary!G122,Primary!G122)</f>
        <v>6.260750882</v>
      </c>
      <c r="H122" s="10">
        <f>IF(ActiveDatabase=Standby,Secondary!H122,Primary!H122)</f>
        <v>-124.485412182999</v>
      </c>
      <c r="I122" s="13">
        <f>IF(ActiveDatabase=Standby,Secondary!I122,Primary!I122)</f>
        <v>0</v>
      </c>
      <c r="J122" s="13">
        <f>IF(ActiveDatabase=Standby,Secondary!J122,Primary!J122)</f>
        <v>0</v>
      </c>
      <c r="K122" s="13">
        <f>IF(ActiveDatabase=Standby,Secondary!K122,Primary!K122)</f>
        <v>0</v>
      </c>
      <c r="L122" s="13">
        <f>IF(ActiveDatabase=Standby,Secondary!L122,Primary!L122)</f>
        <v>0</v>
      </c>
      <c r="M122" s="7" t="b">
        <f>IF(ActiveDatabase=Standby,Secondary!M122,Primary!M122)</f>
        <v>1</v>
      </c>
      <c r="N122" s="10">
        <f>IF(ActiveDatabase=Standby,Secondary!N122,Primary!N122)</f>
        <v>0</v>
      </c>
      <c r="O122" s="10">
        <f>IF(ActiveDatabase=Standby,Secondary!O122,Primary!O122)</f>
        <v>0</v>
      </c>
      <c r="P122" s="10">
        <f>IF(ActiveDatabase=Standby,Secondary!P122,Primary!P122)</f>
        <v>0</v>
      </c>
      <c r="Q122" s="6">
        <f>IF(ActiveDatabase=Standby,Secondary!Q122,Primary!Q122)</f>
        <v>0</v>
      </c>
      <c r="R122" s="18">
        <f>IF(ActiveDatabase=Standby,Secondary!R122,Primary!R122)</f>
        <v>0</v>
      </c>
      <c r="S122" s="19">
        <f>IF(ActiveDatabase=Standby,Secondary!S122,Primary!S122)</f>
        <v>0</v>
      </c>
      <c r="T122" s="10">
        <f>IF(ActiveDatabase=Standby,Secondary!T122,Primary!T122)</f>
        <v>0</v>
      </c>
      <c r="U122" s="10">
        <f>IF(ActiveDatabase=Standby,Secondary!U122,Primary!U122)</f>
        <v>0</v>
      </c>
      <c r="V122" s="10">
        <f>IF(ActiveDatabase=Standby,Secondary!V122,Primary!V122)</f>
        <v>0</v>
      </c>
      <c r="W122" s="6">
        <f>IF(ActiveDatabase=Standby,Secondary!W122,Primary!W122)</f>
        <v>0</v>
      </c>
      <c r="X122" s="6">
        <f>IF(ActiveDatabase=Standby,Secondary!X122,Primary!X122)</f>
        <v>0</v>
      </c>
      <c r="Y122" s="12">
        <f>IF(ActiveDatabase=Standby,Secondary!Y122,Primary!Y122)</f>
        <v>0</v>
      </c>
      <c r="Z122" s="12">
        <f>IF(ActiveDatabase=Standby,Secondary!Z122,Primary!Z122)</f>
        <v>0</v>
      </c>
      <c r="AA122" s="7">
        <f>IF(ActiveDatabase=Standby,Secondary!AA122,Primary!AA122)</f>
        <v>0</v>
      </c>
      <c r="AB122" s="12"/>
      <c r="AC122" s="6"/>
      <c r="AD122" s="6"/>
      <c r="AE122" s="7"/>
      <c r="AF122" s="7"/>
      <c r="AG122" s="7"/>
      <c r="AH122" s="7"/>
      <c r="AI122" s="7"/>
      <c r="AJ122" s="7"/>
      <c r="AK122" s="7"/>
      <c r="AL122" s="7"/>
      <c r="AM122" s="7"/>
      <c r="AN122" s="7"/>
      <c r="AO122" s="6"/>
      <c r="AP122" s="7"/>
      <c r="AQ122" s="7"/>
      <c r="AR122" s="6"/>
      <c r="AS122" s="7"/>
      <c r="AT122" s="7"/>
      <c r="AU122" s="7"/>
      <c r="AV122" s="7"/>
      <c r="AW122" s="7"/>
      <c r="AX122" s="7"/>
      <c r="AY122" s="7"/>
      <c r="AZ122" s="7"/>
      <c r="BA122" s="7"/>
      <c r="BB122" s="7"/>
      <c r="BC122" s="7"/>
      <c r="BD122" s="7"/>
      <c r="BE122" s="7"/>
      <c r="BF122" s="7"/>
      <c r="BG122" s="7"/>
    </row>
    <row r="123" customHeight="1" spans="1:59">
      <c r="A123" s="9" t="str">
        <f>IF(ActiveDatabase=Standby,Secondary!A123,Primary!A123)</f>
        <v>Calliope 03</v>
      </c>
      <c r="B123" s="5" t="str">
        <f>IF(ActiveDatabase=Standby,Secondary!B123,Primary!B123)</f>
        <v>Calliope 03</v>
      </c>
      <c r="C123" s="5" t="str">
        <f>IF(ActiveDatabase=Standby,Secondary!C123,Primary!C123)</f>
        <v>Calliope 03</v>
      </c>
      <c r="D123" s="5" t="str">
        <f>IF(ActiveDatabase=Standby,Secondary!D123,Primary!D123)</f>
        <v>Shubin Mining Facility SMCa-6 (PB)</v>
      </c>
      <c r="E123" s="6" t="str">
        <f>IF(ActiveDatabase=Standby,Secondary!E123,Primary!E123)</f>
        <v>SMCa6</v>
      </c>
      <c r="F123" s="10">
        <f>IF(ActiveDatabase=Standby,Secondary!F123,Primary!F123)</f>
        <v>50.066359611</v>
      </c>
      <c r="G123" s="10">
        <f>IF(ActiveDatabase=Standby,Secondary!G123,Primary!G123)</f>
        <v>233.437251098</v>
      </c>
      <c r="H123" s="10">
        <f>IF(ActiveDatabase=Standby,Secondary!H123,Primary!H123)</f>
        <v>24.935519649</v>
      </c>
      <c r="I123" s="13">
        <f>IF(ActiveDatabase=Standby,Secondary!I123,Primary!I123)</f>
        <v>0</v>
      </c>
      <c r="J123" s="13">
        <f>IF(ActiveDatabase=Standby,Secondary!J123,Primary!J123)</f>
        <v>0</v>
      </c>
      <c r="K123" s="13">
        <f>IF(ActiveDatabase=Standby,Secondary!K123,Primary!K123)</f>
        <v>0</v>
      </c>
      <c r="L123" s="13">
        <f>IF(ActiveDatabase=Standby,Secondary!L123,Primary!L123)</f>
        <v>0</v>
      </c>
      <c r="M123" s="7" t="b">
        <f>IF(ActiveDatabase=Standby,Secondary!M123,Primary!M123)</f>
        <v>1</v>
      </c>
      <c r="N123" s="10">
        <f>IF(ActiveDatabase=Standby,Secondary!N123,Primary!N123)</f>
        <v>0</v>
      </c>
      <c r="O123" s="10">
        <f>IF(ActiveDatabase=Standby,Secondary!O123,Primary!O123)</f>
        <v>0</v>
      </c>
      <c r="P123" s="10">
        <f>IF(ActiveDatabase=Standby,Secondary!P123,Primary!P123)</f>
        <v>0</v>
      </c>
      <c r="Q123" s="6">
        <f>IF(ActiveDatabase=Standby,Secondary!Q123,Primary!Q123)</f>
        <v>0</v>
      </c>
      <c r="R123" s="18">
        <f>IF(ActiveDatabase=Standby,Secondary!R123,Primary!R123)</f>
        <v>0</v>
      </c>
      <c r="S123" s="19">
        <f>IF(ActiveDatabase=Standby,Secondary!S123,Primary!S123)</f>
        <v>0</v>
      </c>
      <c r="T123" s="10">
        <f>IF(ActiveDatabase=Standby,Secondary!T123,Primary!T123)</f>
        <v>0</v>
      </c>
      <c r="U123" s="10">
        <f>IF(ActiveDatabase=Standby,Secondary!U123,Primary!U123)</f>
        <v>0</v>
      </c>
      <c r="V123" s="10">
        <f>IF(ActiveDatabase=Standby,Secondary!V123,Primary!V123)</f>
        <v>0</v>
      </c>
      <c r="W123" s="6">
        <f>IF(ActiveDatabase=Standby,Secondary!W123,Primary!W123)</f>
        <v>0</v>
      </c>
      <c r="X123" s="6">
        <f>IF(ActiveDatabase=Standby,Secondary!X123,Primary!X123)</f>
        <v>0</v>
      </c>
      <c r="Y123" s="12">
        <f>IF(ActiveDatabase=Standby,Secondary!Y123,Primary!Y123)</f>
        <v>0</v>
      </c>
      <c r="Z123" s="12">
        <f>IF(ActiveDatabase=Standby,Secondary!Z123,Primary!Z123)</f>
        <v>0</v>
      </c>
      <c r="AA123" s="7">
        <f>IF(ActiveDatabase=Standby,Secondary!AA123,Primary!AA123)</f>
        <v>0</v>
      </c>
      <c r="AB123" s="12"/>
      <c r="AC123" s="6"/>
      <c r="AD123" s="6"/>
      <c r="AE123" s="7"/>
      <c r="AF123" s="7"/>
      <c r="AG123" s="7"/>
      <c r="AH123" s="7"/>
      <c r="AI123" s="7"/>
      <c r="AJ123" s="7"/>
      <c r="AK123" s="7"/>
      <c r="AL123" s="7"/>
      <c r="AM123" s="7"/>
      <c r="AN123" s="7"/>
      <c r="AO123" s="6"/>
      <c r="AP123" s="7"/>
      <c r="AQ123" s="7"/>
      <c r="AR123" s="6"/>
      <c r="AS123" s="7"/>
      <c r="AT123" s="7"/>
      <c r="AU123" s="7"/>
      <c r="AV123" s="7"/>
      <c r="AW123" s="7"/>
      <c r="AX123" s="7"/>
      <c r="AY123" s="7"/>
      <c r="AZ123" s="7"/>
      <c r="BA123" s="7"/>
      <c r="BB123" s="7"/>
      <c r="BC123" s="7"/>
      <c r="BD123" s="7"/>
      <c r="BE123" s="7"/>
      <c r="BF123" s="7"/>
      <c r="BG123" s="7"/>
    </row>
    <row r="124" customHeight="1" spans="1:59">
      <c r="A124" s="9" t="str">
        <f>IF(ActiveDatabase=Standby,Secondary!A124,Primary!A124)</f>
        <v>Calliope 04</v>
      </c>
      <c r="B124" s="5" t="str">
        <f>IF(ActiveDatabase=Standby,Secondary!B124,Primary!B124)</f>
        <v>Calliope 04</v>
      </c>
      <c r="C124" s="5" t="str">
        <f>IF(ActiveDatabase=Standby,Secondary!C124,Primary!C124)</f>
        <v>Calliope 06</v>
      </c>
      <c r="D124" s="5" t="str">
        <f>IF(ActiveDatabase=Standby,Secondary!D124,Primary!D124)</f>
        <v>Shubin Mining Facility SMCa-8 (PB)</v>
      </c>
      <c r="E124" s="6" t="str">
        <f>IF(ActiveDatabase=Standby,Secondary!E124,Primary!E124)</f>
        <v>SMCa8</v>
      </c>
      <c r="F124" s="10">
        <f>IF(ActiveDatabase=Standby,Secondary!F124,Primary!F124)</f>
        <v>160.165810537999</v>
      </c>
      <c r="G124" s="10">
        <f>IF(ActiveDatabase=Standby,Secondary!G124,Primary!G124)</f>
        <v>168.986607305</v>
      </c>
      <c r="H124" s="10">
        <f>IF(ActiveDatabase=Standby,Secondary!H124,Primary!H124)</f>
        <v>-58.4003274099999</v>
      </c>
      <c r="I124" s="13">
        <f>IF(ActiveDatabase=Standby,Secondary!I124,Primary!I124)</f>
        <v>0</v>
      </c>
      <c r="J124" s="13">
        <f>IF(ActiveDatabase=Standby,Secondary!J124,Primary!J124)</f>
        <v>0</v>
      </c>
      <c r="K124" s="13">
        <f>IF(ActiveDatabase=Standby,Secondary!K124,Primary!K124)</f>
        <v>0</v>
      </c>
      <c r="L124" s="13">
        <f>IF(ActiveDatabase=Standby,Secondary!L124,Primary!L124)</f>
        <v>0</v>
      </c>
      <c r="M124" s="7" t="b">
        <f>IF(ActiveDatabase=Standby,Secondary!M124,Primary!M124)</f>
        <v>1</v>
      </c>
      <c r="N124" s="10">
        <f>IF(ActiveDatabase=Standby,Secondary!N124,Primary!N124)</f>
        <v>0</v>
      </c>
      <c r="O124" s="10">
        <f>IF(ActiveDatabase=Standby,Secondary!O124,Primary!O124)</f>
        <v>0</v>
      </c>
      <c r="P124" s="10">
        <f>IF(ActiveDatabase=Standby,Secondary!P124,Primary!P124)</f>
        <v>0</v>
      </c>
      <c r="Q124" s="6">
        <f>IF(ActiveDatabase=Standby,Secondary!Q124,Primary!Q124)</f>
        <v>0</v>
      </c>
      <c r="R124" s="18">
        <f>IF(ActiveDatabase=Standby,Secondary!R124,Primary!R124)</f>
        <v>0</v>
      </c>
      <c r="S124" s="19">
        <f>IF(ActiveDatabase=Standby,Secondary!S124,Primary!S124)</f>
        <v>0</v>
      </c>
      <c r="T124" s="10">
        <f>IF(ActiveDatabase=Standby,Secondary!T124,Primary!T124)</f>
        <v>0</v>
      </c>
      <c r="U124" s="10">
        <f>IF(ActiveDatabase=Standby,Secondary!U124,Primary!U124)</f>
        <v>0</v>
      </c>
      <c r="V124" s="10">
        <f>IF(ActiveDatabase=Standby,Secondary!V124,Primary!V124)</f>
        <v>0</v>
      </c>
      <c r="W124" s="6">
        <f>IF(ActiveDatabase=Standby,Secondary!W124,Primary!W124)</f>
        <v>0</v>
      </c>
      <c r="X124" s="6">
        <f>IF(ActiveDatabase=Standby,Secondary!X124,Primary!X124)</f>
        <v>0</v>
      </c>
      <c r="Y124" s="12">
        <f>IF(ActiveDatabase=Standby,Secondary!Y124,Primary!Y124)</f>
        <v>0</v>
      </c>
      <c r="Z124" s="12">
        <f>IF(ActiveDatabase=Standby,Secondary!Z124,Primary!Z124)</f>
        <v>0</v>
      </c>
      <c r="AA124" s="7">
        <f>IF(ActiveDatabase=Standby,Secondary!AA124,Primary!AA124)</f>
        <v>0</v>
      </c>
      <c r="AB124" s="12"/>
      <c r="AC124" s="6"/>
      <c r="AD124" s="6"/>
      <c r="AE124" s="7"/>
      <c r="AF124" s="7"/>
      <c r="AG124" s="7"/>
      <c r="AH124" s="7"/>
      <c r="AI124" s="7"/>
      <c r="AJ124" s="7"/>
      <c r="AK124" s="7"/>
      <c r="AL124" s="7"/>
      <c r="AM124" s="7"/>
      <c r="AN124" s="7"/>
      <c r="AO124" s="6"/>
      <c r="AP124" s="7"/>
      <c r="AQ124" s="7"/>
      <c r="AR124" s="6"/>
      <c r="AS124" s="7"/>
      <c r="AT124" s="7"/>
      <c r="AU124" s="7"/>
      <c r="AV124" s="7"/>
      <c r="AW124" s="7"/>
      <c r="AX124" s="7"/>
      <c r="AY124" s="7"/>
      <c r="AZ124" s="7"/>
      <c r="BA124" s="7"/>
      <c r="BB124" s="7"/>
      <c r="BC124" s="7"/>
      <c r="BD124" s="7"/>
      <c r="BE124" s="7"/>
      <c r="BF124" s="7"/>
      <c r="BG124" s="7"/>
    </row>
    <row r="125" customHeight="1" spans="1:59">
      <c r="A125" s="9" t="str">
        <f>IF(ActiveDatabase=Standby,Secondary!A125,Primary!A125)</f>
        <v>Calliope</v>
      </c>
      <c r="B125" s="5" t="str">
        <f>IF(ActiveDatabase=Standby,Secondary!B125,Primary!B125)</f>
        <v>Calliope 06</v>
      </c>
      <c r="C125" s="5">
        <f>IF(ActiveDatabase=Standby,Secondary!C125,Primary!C125)</f>
        <v>0</v>
      </c>
      <c r="D125" s="5" t="str">
        <f>IF(ActiveDatabase=Standby,Secondary!D125,Primary!D125)</f>
        <v>Underground Bunker Facilities</v>
      </c>
      <c r="E125" s="6">
        <f>IF(ActiveDatabase=Standby,Secondary!E125,Primary!E125)</f>
        <v>0</v>
      </c>
      <c r="F125" s="10">
        <f>IF(ActiveDatabase=Standby,Secondary!F125,Primary!F125)</f>
        <v>0</v>
      </c>
      <c r="G125" s="10">
        <f>IF(ActiveDatabase=Standby,Secondary!G125,Primary!G125)</f>
        <v>0</v>
      </c>
      <c r="H125" s="10">
        <f>IF(ActiveDatabase=Standby,Secondary!H125,Primary!H125)</f>
        <v>0</v>
      </c>
      <c r="I125" s="13">
        <f>IF(ActiveDatabase=Standby,Secondary!I125,Primary!I125)</f>
        <v>0</v>
      </c>
      <c r="J125" s="13">
        <f>IF(ActiveDatabase=Standby,Secondary!J125,Primary!J125)</f>
        <v>0</v>
      </c>
      <c r="K125" s="13">
        <f>IF(ActiveDatabase=Standby,Secondary!K125,Primary!K125)</f>
        <v>0</v>
      </c>
      <c r="L125" s="13">
        <f>IF(ActiveDatabase=Standby,Secondary!L125,Primary!L125)</f>
        <v>0</v>
      </c>
      <c r="M125" s="7">
        <f>IF(ActiveDatabase=Standby,Secondary!M125,Primary!M125)</f>
        <v>0</v>
      </c>
      <c r="N125" s="10">
        <f>IF(ActiveDatabase=Standby,Secondary!N125,Primary!N125)</f>
        <v>0</v>
      </c>
      <c r="O125" s="10">
        <f>IF(ActiveDatabase=Standby,Secondary!O125,Primary!O125)</f>
        <v>0</v>
      </c>
      <c r="P125" s="10">
        <f>IF(ActiveDatabase=Standby,Secondary!P125,Primary!P125)</f>
        <v>0</v>
      </c>
      <c r="Q125" s="6">
        <f>IF(ActiveDatabase=Standby,Secondary!Q125,Primary!Q125)</f>
        <v>0</v>
      </c>
      <c r="R125" s="18">
        <f>IF(ActiveDatabase=Standby,Secondary!R125,Primary!R125)</f>
        <v>0</v>
      </c>
      <c r="S125" s="19">
        <f>IF(ActiveDatabase=Standby,Secondary!S125,Primary!S125)</f>
        <v>0</v>
      </c>
      <c r="T125" s="10">
        <f>IF(ActiveDatabase=Standby,Secondary!T125,Primary!T125)</f>
        <v>0</v>
      </c>
      <c r="U125" s="10">
        <f>IF(ActiveDatabase=Standby,Secondary!U125,Primary!U125)</f>
        <v>0</v>
      </c>
      <c r="V125" s="10">
        <f>IF(ActiveDatabase=Standby,Secondary!V125,Primary!V125)</f>
        <v>0</v>
      </c>
      <c r="W125" s="6">
        <f>IF(ActiveDatabase=Standby,Secondary!W125,Primary!W125)</f>
        <v>0</v>
      </c>
      <c r="X125" s="6">
        <f>IF(ActiveDatabase=Standby,Secondary!X125,Primary!X125)</f>
        <v>0</v>
      </c>
      <c r="Y125" s="12">
        <f>IF(ActiveDatabase=Standby,Secondary!Y125,Primary!Y125)</f>
        <v>0</v>
      </c>
      <c r="Z125" s="12">
        <f>IF(ActiveDatabase=Standby,Secondary!Z125,Primary!Z125)</f>
        <v>0</v>
      </c>
      <c r="AA125" s="7">
        <f>IF(ActiveDatabase=Standby,Secondary!AA125,Primary!AA125)</f>
        <v>0</v>
      </c>
      <c r="AB125" s="12"/>
      <c r="AC125" s="6"/>
      <c r="AD125" s="6"/>
      <c r="AE125" s="7"/>
      <c r="AF125" s="7"/>
      <c r="AG125" s="7"/>
      <c r="AH125" s="7"/>
      <c r="AI125" s="7"/>
      <c r="AJ125" s="7"/>
      <c r="AK125" s="7"/>
      <c r="AL125" s="7"/>
      <c r="AM125" s="7"/>
      <c r="AN125" s="7"/>
      <c r="AO125" s="6"/>
      <c r="AP125" s="7"/>
      <c r="AQ125" s="7"/>
      <c r="AR125" s="6"/>
      <c r="AS125" s="7"/>
      <c r="AT125" s="7"/>
      <c r="AU125" s="7"/>
      <c r="AV125" s="7"/>
      <c r="AW125" s="7"/>
      <c r="AX125" s="7"/>
      <c r="AY125" s="7"/>
      <c r="AZ125" s="7"/>
      <c r="BA125" s="7"/>
      <c r="BB125" s="7"/>
      <c r="BC125" s="7"/>
      <c r="BD125" s="7"/>
      <c r="BE125" s="7"/>
      <c r="BF125" s="7"/>
      <c r="BG125" s="7"/>
    </row>
    <row r="126" customHeight="1" spans="1:59">
      <c r="A126" s="9" t="str">
        <f>IF(ActiveDatabase=Standby,Secondary!A126,Primary!A126)</f>
        <v>Calliope</v>
      </c>
      <c r="B126" s="5" t="str">
        <f>IF(ActiveDatabase=Standby,Secondary!B126,Primary!B126)</f>
        <v>Calliope</v>
      </c>
      <c r="C126" s="5" t="str">
        <f>IF(ActiveDatabase=Standby,Secondary!C126,Primary!C126)</f>
        <v>Calliope</v>
      </c>
      <c r="D126" s="5" t="str">
        <f>IF(ActiveDatabase=Standby,Secondary!D126,Primary!D126)</f>
        <v>Shubin Processing Facility SPMC-1</v>
      </c>
      <c r="E126" s="6" t="str">
        <f>IF(ActiveDatabase=Standby,Secondary!E126,Primary!E126)</f>
        <v>SPMC1</v>
      </c>
      <c r="F126" s="10">
        <f>IF(ActiveDatabase=Standby,Secondary!F126,Primary!F126)</f>
        <v>231.078493220959</v>
      </c>
      <c r="G126" s="10">
        <f>IF(ActiveDatabase=Standby,Secondary!G126,Primary!G126)</f>
        <v>-34.373483366601</v>
      </c>
      <c r="H126" s="10">
        <f>IF(ActiveDatabase=Standby,Secondary!H126,Primary!H126)</f>
        <v>-55.892607735305</v>
      </c>
      <c r="I126" s="13">
        <f>IF(ActiveDatabase=Standby,Secondary!I126,Primary!I126)</f>
        <v>0</v>
      </c>
      <c r="J126" s="13">
        <f>IF(ActiveDatabase=Standby,Secondary!J126,Primary!J126)</f>
        <v>0</v>
      </c>
      <c r="K126" s="13">
        <f>IF(ActiveDatabase=Standby,Secondary!K126,Primary!K126)</f>
        <v>0</v>
      </c>
      <c r="L126" s="13">
        <f>IF(ActiveDatabase=Standby,Secondary!L126,Primary!L126)</f>
        <v>0</v>
      </c>
      <c r="M126" s="7" t="b">
        <f>IF(ActiveDatabase=Standby,Secondary!M126,Primary!M126)</f>
        <v>0</v>
      </c>
      <c r="N126" s="10">
        <f>IF(ActiveDatabase=Standby,Secondary!N126,Primary!N126)</f>
        <v>0</v>
      </c>
      <c r="O126" s="10">
        <f>IF(ActiveDatabase=Standby,Secondary!O126,Primary!O126)</f>
        <v>0</v>
      </c>
      <c r="P126" s="10">
        <f>IF(ActiveDatabase=Standby,Secondary!P126,Primary!P126)</f>
        <v>0</v>
      </c>
      <c r="Q126" s="6">
        <f>IF(ActiveDatabase=Standby,Secondary!Q126,Primary!Q126)</f>
        <v>0</v>
      </c>
      <c r="R126" s="18">
        <f>IF(ActiveDatabase=Standby,Secondary!R126,Primary!R126)</f>
        <v>0</v>
      </c>
      <c r="S126" s="19">
        <f>IF(ActiveDatabase=Standby,Secondary!S126,Primary!S126)</f>
        <v>0</v>
      </c>
      <c r="T126" s="10">
        <f>IF(ActiveDatabase=Standby,Secondary!T126,Primary!T126)</f>
        <v>0</v>
      </c>
      <c r="U126" s="10">
        <f>IF(ActiveDatabase=Standby,Secondary!U126,Primary!U126)</f>
        <v>0</v>
      </c>
      <c r="V126" s="10">
        <f>IF(ActiveDatabase=Standby,Secondary!V126,Primary!V126)</f>
        <v>0</v>
      </c>
      <c r="W126" s="6">
        <f>IF(ActiveDatabase=Standby,Secondary!W126,Primary!W126)</f>
        <v>0</v>
      </c>
      <c r="X126" s="6">
        <f>IF(ActiveDatabase=Standby,Secondary!X126,Primary!X126)</f>
        <v>0</v>
      </c>
      <c r="Y126" s="12">
        <f>IF(ActiveDatabase=Standby,Secondary!Y126,Primary!Y126)</f>
        <v>0</v>
      </c>
      <c r="Z126" s="12">
        <f>IF(ActiveDatabase=Standby,Secondary!Z126,Primary!Z126)</f>
        <v>0</v>
      </c>
      <c r="AA126" s="7">
        <f>IF(ActiveDatabase=Standby,Secondary!AA126,Primary!AA126)</f>
        <v>0</v>
      </c>
      <c r="AB126" s="12"/>
      <c r="AC126" s="6"/>
      <c r="AD126" s="6"/>
      <c r="AE126" s="7"/>
      <c r="AF126" s="7"/>
      <c r="AG126" s="7"/>
      <c r="AH126" s="7"/>
      <c r="AI126" s="7"/>
      <c r="AJ126" s="7"/>
      <c r="AK126" s="7"/>
      <c r="AL126" s="7"/>
      <c r="AM126" s="7"/>
      <c r="AN126" s="7"/>
      <c r="AO126" s="6"/>
      <c r="AP126" s="7"/>
      <c r="AQ126" s="7"/>
      <c r="AR126" s="6"/>
      <c r="AS126" s="7"/>
      <c r="AT126" s="7"/>
      <c r="AU126" s="7"/>
      <c r="AV126" s="7"/>
      <c r="AW126" s="7"/>
      <c r="AX126" s="7"/>
      <c r="AY126" s="7"/>
      <c r="AZ126" s="7"/>
      <c r="BA126" s="7"/>
      <c r="BB126" s="7"/>
      <c r="BC126" s="7"/>
      <c r="BD126" s="7"/>
      <c r="BE126" s="7"/>
      <c r="BF126" s="7"/>
      <c r="BG126" s="7"/>
    </row>
    <row r="127" customHeight="1" spans="1:59">
      <c r="A127" s="9" t="str">
        <f>IF(ActiveDatabase=Standby,Secondary!A127,Primary!A127)</f>
        <v>Calliope 05</v>
      </c>
      <c r="B127" s="5" t="str">
        <f>IF(ActiveDatabase=Standby,Secondary!B127,Primary!B127)</f>
        <v>Calliope 07</v>
      </c>
      <c r="C127" s="5" t="str">
        <f>IF(ActiveDatabase=Standby,Secondary!C127,Primary!C127)</f>
        <v>Calliope 11</v>
      </c>
      <c r="D127" s="5" t="str">
        <f>IF(ActiveDatabase=Standby,Secondary!D127,Primary!D127)</f>
        <v>Shubin Processing Facility SPMC-3</v>
      </c>
      <c r="E127" s="6" t="str">
        <f>IF(ActiveDatabase=Standby,Secondary!E127,Primary!E127)</f>
        <v>SPMC3</v>
      </c>
      <c r="F127" s="10">
        <f>IF(ActiveDatabase=Standby,Secondary!F127,Primary!F127)</f>
        <v>239.598205565</v>
      </c>
      <c r="G127" s="10">
        <f>IF(ActiveDatabase=Standby,Secondary!G127,Primary!G127)</f>
        <v>-11.4700475009999</v>
      </c>
      <c r="H127" s="10">
        <f>IF(ActiveDatabase=Standby,Secondary!H127,Primary!H127)</f>
        <v>8.829588243</v>
      </c>
      <c r="I127" s="13">
        <f>IF(ActiveDatabase=Standby,Secondary!I127,Primary!I127)</f>
        <v>0</v>
      </c>
      <c r="J127" s="13">
        <f>IF(ActiveDatabase=Standby,Secondary!J127,Primary!J127)</f>
        <v>0</v>
      </c>
      <c r="K127" s="13">
        <f>IF(ActiveDatabase=Standby,Secondary!K127,Primary!K127)</f>
        <v>0</v>
      </c>
      <c r="L127" s="13">
        <f>IF(ActiveDatabase=Standby,Secondary!L127,Primary!L127)</f>
        <v>0</v>
      </c>
      <c r="M127" s="7" t="b">
        <f>IF(ActiveDatabase=Standby,Secondary!M127,Primary!M127)</f>
        <v>1</v>
      </c>
      <c r="N127" s="10">
        <f>IF(ActiveDatabase=Standby,Secondary!N127,Primary!N127)</f>
        <v>0</v>
      </c>
      <c r="O127" s="10">
        <f>IF(ActiveDatabase=Standby,Secondary!O127,Primary!O127)</f>
        <v>0</v>
      </c>
      <c r="P127" s="10">
        <f>IF(ActiveDatabase=Standby,Secondary!P127,Primary!P127)</f>
        <v>0</v>
      </c>
      <c r="Q127" s="6">
        <f>IF(ActiveDatabase=Standby,Secondary!Q127,Primary!Q127)</f>
        <v>0</v>
      </c>
      <c r="R127" s="18">
        <f>IF(ActiveDatabase=Standby,Secondary!R127,Primary!R127)</f>
        <v>0</v>
      </c>
      <c r="S127" s="19">
        <f>IF(ActiveDatabase=Standby,Secondary!S127,Primary!S127)</f>
        <v>0</v>
      </c>
      <c r="T127" s="10">
        <f>IF(ActiveDatabase=Standby,Secondary!T127,Primary!T127)</f>
        <v>0</v>
      </c>
      <c r="U127" s="10">
        <f>IF(ActiveDatabase=Standby,Secondary!U127,Primary!U127)</f>
        <v>0</v>
      </c>
      <c r="V127" s="10">
        <f>IF(ActiveDatabase=Standby,Secondary!V127,Primary!V127)</f>
        <v>0</v>
      </c>
      <c r="W127" s="6">
        <f>IF(ActiveDatabase=Standby,Secondary!W127,Primary!W127)</f>
        <v>0</v>
      </c>
      <c r="X127" s="6">
        <f>IF(ActiveDatabase=Standby,Secondary!X127,Primary!X127)</f>
        <v>0</v>
      </c>
      <c r="Y127" s="12">
        <f>IF(ActiveDatabase=Standby,Secondary!Y127,Primary!Y127)</f>
        <v>0</v>
      </c>
      <c r="Z127" s="12">
        <f>IF(ActiveDatabase=Standby,Secondary!Z127,Primary!Z127)</f>
        <v>0</v>
      </c>
      <c r="AA127" s="7">
        <f>IF(ActiveDatabase=Standby,Secondary!AA127,Primary!AA127)</f>
        <v>0</v>
      </c>
      <c r="AB127" s="12"/>
      <c r="AC127" s="6"/>
      <c r="AD127" s="6"/>
      <c r="AE127" s="7"/>
      <c r="AF127" s="7"/>
      <c r="AG127" s="7"/>
      <c r="AH127" s="7"/>
      <c r="AI127" s="7"/>
      <c r="AJ127" s="7"/>
      <c r="AK127" s="7"/>
      <c r="AL127" s="7"/>
      <c r="AM127" s="7"/>
      <c r="AN127" s="7"/>
      <c r="AO127" s="6"/>
      <c r="AP127" s="7"/>
      <c r="AQ127" s="7"/>
      <c r="AR127" s="6"/>
      <c r="AS127" s="7"/>
      <c r="AT127" s="7"/>
      <c r="AU127" s="7"/>
      <c r="AV127" s="7"/>
      <c r="AW127" s="7"/>
      <c r="AX127" s="7"/>
      <c r="AY127" s="7"/>
      <c r="AZ127" s="7"/>
      <c r="BA127" s="7"/>
      <c r="BB127" s="7"/>
      <c r="BC127" s="7"/>
      <c r="BD127" s="7"/>
      <c r="BE127" s="7"/>
      <c r="BF127" s="7"/>
      <c r="BG127" s="7"/>
    </row>
    <row r="128" customHeight="1" spans="1:59">
      <c r="A128" s="9" t="str">
        <f>IF(ActiveDatabase=Standby,Secondary!A128,Primary!A128)</f>
        <v>Calliope 06</v>
      </c>
      <c r="B128" s="5" t="str">
        <f>IF(ActiveDatabase=Standby,Secondary!B128,Primary!B128)</f>
        <v>Calliope 08</v>
      </c>
      <c r="C128" s="5" t="str">
        <f>IF(ActiveDatabase=Standby,Secondary!C128,Primary!C128)</f>
        <v>Calliope 01</v>
      </c>
      <c r="D128" s="5" t="str">
        <f>IF(ActiveDatabase=Standby,Secondary!D128,Primary!D128)</f>
        <v>Shubin Processing Facility SPMC-5</v>
      </c>
      <c r="E128" s="6" t="str">
        <f>IF(ActiveDatabase=Standby,Secondary!E128,Primary!E128)</f>
        <v>SPMC5</v>
      </c>
      <c r="F128" s="10">
        <f>IF(ActiveDatabase=Standby,Secondary!F128,Primary!F128)</f>
        <v>-230.045632036</v>
      </c>
      <c r="G128" s="10">
        <f>IF(ActiveDatabase=Standby,Secondary!G128,Primary!G128)</f>
        <v>66.60371803</v>
      </c>
      <c r="H128" s="10">
        <f>IF(ActiveDatabase=Standby,Secondary!H128,Primary!H128)</f>
        <v>19.440895829</v>
      </c>
      <c r="I128" s="13">
        <f>IF(ActiveDatabase=Standby,Secondary!I128,Primary!I128)</f>
        <v>0</v>
      </c>
      <c r="J128" s="13">
        <f>IF(ActiveDatabase=Standby,Secondary!J128,Primary!J128)</f>
        <v>0</v>
      </c>
      <c r="K128" s="13">
        <f>IF(ActiveDatabase=Standby,Secondary!K128,Primary!K128)</f>
        <v>0</v>
      </c>
      <c r="L128" s="13">
        <f>IF(ActiveDatabase=Standby,Secondary!L128,Primary!L128)</f>
        <v>0</v>
      </c>
      <c r="M128" s="7" t="b">
        <f>IF(ActiveDatabase=Standby,Secondary!M128,Primary!M128)</f>
        <v>1</v>
      </c>
      <c r="N128" s="10">
        <f>IF(ActiveDatabase=Standby,Secondary!N128,Primary!N128)</f>
        <v>0</v>
      </c>
      <c r="O128" s="10">
        <f>IF(ActiveDatabase=Standby,Secondary!O128,Primary!O128)</f>
        <v>0</v>
      </c>
      <c r="P128" s="10">
        <f>IF(ActiveDatabase=Standby,Secondary!P128,Primary!P128)</f>
        <v>0</v>
      </c>
      <c r="Q128" s="6">
        <f>IF(ActiveDatabase=Standby,Secondary!Q128,Primary!Q128)</f>
        <v>0</v>
      </c>
      <c r="R128" s="18">
        <f>IF(ActiveDatabase=Standby,Secondary!R128,Primary!R128)</f>
        <v>0</v>
      </c>
      <c r="S128" s="19">
        <f>IF(ActiveDatabase=Standby,Secondary!S128,Primary!S128)</f>
        <v>0</v>
      </c>
      <c r="T128" s="10">
        <f>IF(ActiveDatabase=Standby,Secondary!T128,Primary!T128)</f>
        <v>0</v>
      </c>
      <c r="U128" s="10">
        <f>IF(ActiveDatabase=Standby,Secondary!U128,Primary!U128)</f>
        <v>0</v>
      </c>
      <c r="V128" s="10">
        <f>IF(ActiveDatabase=Standby,Secondary!V128,Primary!V128)</f>
        <v>0</v>
      </c>
      <c r="W128" s="6">
        <f>IF(ActiveDatabase=Standby,Secondary!W128,Primary!W128)</f>
        <v>0</v>
      </c>
      <c r="X128" s="6">
        <f>IF(ActiveDatabase=Standby,Secondary!X128,Primary!X128)</f>
        <v>0</v>
      </c>
      <c r="Y128" s="12">
        <f>IF(ActiveDatabase=Standby,Secondary!Y128,Primary!Y128)</f>
        <v>0</v>
      </c>
      <c r="Z128" s="12">
        <f>IF(ActiveDatabase=Standby,Secondary!Z128,Primary!Z128)</f>
        <v>0</v>
      </c>
      <c r="AA128" s="7">
        <f>IF(ActiveDatabase=Standby,Secondary!AA128,Primary!AA128)</f>
        <v>0</v>
      </c>
      <c r="AB128" s="12"/>
      <c r="AC128" s="6"/>
      <c r="AD128" s="6"/>
      <c r="AE128" s="7"/>
      <c r="AF128" s="7"/>
      <c r="AG128" s="7"/>
      <c r="AH128" s="7"/>
      <c r="AI128" s="7"/>
      <c r="AJ128" s="7"/>
      <c r="AK128" s="7"/>
      <c r="AL128" s="7"/>
      <c r="AM128" s="7"/>
      <c r="AN128" s="7"/>
      <c r="AO128" s="6"/>
      <c r="AP128" s="7"/>
      <c r="AQ128" s="7"/>
      <c r="AR128" s="6"/>
      <c r="AS128" s="7"/>
      <c r="AT128" s="7"/>
      <c r="AU128" s="7"/>
      <c r="AV128" s="7"/>
      <c r="AW128" s="7"/>
      <c r="AX128" s="7"/>
      <c r="AY128" s="7"/>
      <c r="AZ128" s="7"/>
      <c r="BA128" s="7"/>
      <c r="BB128" s="7"/>
      <c r="BC128" s="7"/>
      <c r="BD128" s="7"/>
      <c r="BE128" s="7"/>
      <c r="BF128" s="7"/>
      <c r="BG128" s="7"/>
    </row>
    <row r="129" customHeight="1" spans="1:59">
      <c r="A129" s="9" t="str">
        <f>IF(ActiveDatabase=Standby,Secondary!A129,Primary!A129)</f>
        <v>Calliope 07</v>
      </c>
      <c r="B129" s="5" t="str">
        <f>IF(ActiveDatabase=Standby,Secondary!B129,Primary!B129)</f>
        <v>Calliope 09</v>
      </c>
      <c r="C129" s="5" t="str">
        <f>IF(ActiveDatabase=Standby,Secondary!C129,Primary!C129)</f>
        <v>Calliope 21</v>
      </c>
      <c r="D129" s="5" t="str">
        <f>IF(ActiveDatabase=Standby,Secondary!D129,Primary!D129)</f>
        <v>Shubin Processing Facility SPMC-10</v>
      </c>
      <c r="E129" s="6" t="str">
        <f>IF(ActiveDatabase=Standby,Secondary!E129,Primary!E129)</f>
        <v>SPMC10</v>
      </c>
      <c r="F129" s="10">
        <f>IF(ActiveDatabase=Standby,Secondary!F129,Primary!F129)</f>
        <v>-222.947307221</v>
      </c>
      <c r="G129" s="10">
        <f>IF(ActiveDatabase=Standby,Secondary!G129,Primary!G129)</f>
        <v>-74.1550350809999</v>
      </c>
      <c r="H129" s="10">
        <f>IF(ActiveDatabase=Standby,Secondary!H129,Primary!H129)</f>
        <v>-48.946056788</v>
      </c>
      <c r="I129" s="13">
        <f>IF(ActiveDatabase=Standby,Secondary!I129,Primary!I129)</f>
        <v>0</v>
      </c>
      <c r="J129" s="13">
        <f>IF(ActiveDatabase=Standby,Secondary!J129,Primary!J129)</f>
        <v>0</v>
      </c>
      <c r="K129" s="13">
        <f>IF(ActiveDatabase=Standby,Secondary!K129,Primary!K129)</f>
        <v>0</v>
      </c>
      <c r="L129" s="13">
        <f>IF(ActiveDatabase=Standby,Secondary!L129,Primary!L129)</f>
        <v>0</v>
      </c>
      <c r="M129" s="7" t="b">
        <f>IF(ActiveDatabase=Standby,Secondary!M129,Primary!M129)</f>
        <v>1</v>
      </c>
      <c r="N129" s="10">
        <f>IF(ActiveDatabase=Standby,Secondary!N129,Primary!N129)</f>
        <v>0</v>
      </c>
      <c r="O129" s="10">
        <f>IF(ActiveDatabase=Standby,Secondary!O129,Primary!O129)</f>
        <v>0</v>
      </c>
      <c r="P129" s="10">
        <f>IF(ActiveDatabase=Standby,Secondary!P129,Primary!P129)</f>
        <v>0</v>
      </c>
      <c r="Q129" s="6">
        <f>IF(ActiveDatabase=Standby,Secondary!Q129,Primary!Q129)</f>
        <v>0</v>
      </c>
      <c r="R129" s="18">
        <f>IF(ActiveDatabase=Standby,Secondary!R129,Primary!R129)</f>
        <v>0</v>
      </c>
      <c r="S129" s="19">
        <f>IF(ActiveDatabase=Standby,Secondary!S129,Primary!S129)</f>
        <v>0</v>
      </c>
      <c r="T129" s="10">
        <f>IF(ActiveDatabase=Standby,Secondary!T129,Primary!T129)</f>
        <v>0</v>
      </c>
      <c r="U129" s="10">
        <f>IF(ActiveDatabase=Standby,Secondary!U129,Primary!U129)</f>
        <v>0</v>
      </c>
      <c r="V129" s="10">
        <f>IF(ActiveDatabase=Standby,Secondary!V129,Primary!V129)</f>
        <v>0</v>
      </c>
      <c r="W129" s="6">
        <f>IF(ActiveDatabase=Standby,Secondary!W129,Primary!W129)</f>
        <v>0</v>
      </c>
      <c r="X129" s="6">
        <f>IF(ActiveDatabase=Standby,Secondary!X129,Primary!X129)</f>
        <v>0</v>
      </c>
      <c r="Y129" s="12">
        <f>IF(ActiveDatabase=Standby,Secondary!Y129,Primary!Y129)</f>
        <v>0</v>
      </c>
      <c r="Z129" s="12">
        <f>IF(ActiveDatabase=Standby,Secondary!Z129,Primary!Z129)</f>
        <v>0</v>
      </c>
      <c r="AA129" s="7">
        <f>IF(ActiveDatabase=Standby,Secondary!AA129,Primary!AA129)</f>
        <v>0</v>
      </c>
      <c r="AB129" s="12"/>
      <c r="AC129" s="6"/>
      <c r="AD129" s="6"/>
      <c r="AE129" s="7"/>
      <c r="AF129" s="7"/>
      <c r="AG129" s="7"/>
      <c r="AH129" s="7"/>
      <c r="AI129" s="7"/>
      <c r="AJ129" s="7"/>
      <c r="AK129" s="7"/>
      <c r="AL129" s="7"/>
      <c r="AM129" s="7"/>
      <c r="AN129" s="7"/>
      <c r="AO129" s="6"/>
      <c r="AP129" s="7"/>
      <c r="AQ129" s="7"/>
      <c r="AR129" s="6"/>
      <c r="AS129" s="7"/>
      <c r="AT129" s="7"/>
      <c r="AU129" s="7"/>
      <c r="AV129" s="7"/>
      <c r="AW129" s="7"/>
      <c r="AX129" s="7"/>
      <c r="AY129" s="7"/>
      <c r="AZ129" s="7"/>
      <c r="BA129" s="7"/>
      <c r="BB129" s="7"/>
      <c r="BC129" s="7"/>
      <c r="BD129" s="7"/>
      <c r="BE129" s="7"/>
      <c r="BF129" s="7"/>
      <c r="BG129" s="7"/>
    </row>
    <row r="130" customHeight="1" spans="1:59">
      <c r="A130" s="9" t="str">
        <f>IF(ActiveDatabase=Standby,Secondary!A130,Primary!A130)</f>
        <v>Calliope 08</v>
      </c>
      <c r="B130" s="5" t="str">
        <f>IF(ActiveDatabase=Standby,Secondary!B130,Primary!B130)</f>
        <v>Calliope 10</v>
      </c>
      <c r="C130" s="5" t="str">
        <f>IF(ActiveDatabase=Standby,Secondary!C130,Primary!C130)</f>
        <v>Calliope 18</v>
      </c>
      <c r="D130" s="5" t="str">
        <f>IF(ActiveDatabase=Standby,Secondary!D130,Primary!D130)</f>
        <v>Shubin Processing Facility SPMC-11</v>
      </c>
      <c r="E130" s="6" t="str">
        <f>IF(ActiveDatabase=Standby,Secondary!E130,Primary!E130)</f>
        <v>SPMC11</v>
      </c>
      <c r="F130" s="10">
        <f>IF(ActiveDatabase=Standby,Secondary!F130,Primary!F130)</f>
        <v>72.651900267</v>
      </c>
      <c r="G130" s="10">
        <f>IF(ActiveDatabase=Standby,Secondary!G130,Primary!G130)</f>
        <v>-187.770018499</v>
      </c>
      <c r="H130" s="10">
        <f>IF(ActiveDatabase=Standby,Secondary!H130,Primary!H130)</f>
        <v>131.024502718</v>
      </c>
      <c r="I130" s="13">
        <f>IF(ActiveDatabase=Standby,Secondary!I130,Primary!I130)</f>
        <v>0</v>
      </c>
      <c r="J130" s="13">
        <f>IF(ActiveDatabase=Standby,Secondary!J130,Primary!J130)</f>
        <v>0</v>
      </c>
      <c r="K130" s="13">
        <f>IF(ActiveDatabase=Standby,Secondary!K130,Primary!K130)</f>
        <v>0</v>
      </c>
      <c r="L130" s="13">
        <f>IF(ActiveDatabase=Standby,Secondary!L130,Primary!L130)</f>
        <v>0</v>
      </c>
      <c r="M130" s="7" t="b">
        <f>IF(ActiveDatabase=Standby,Secondary!M130,Primary!M130)</f>
        <v>1</v>
      </c>
      <c r="N130" s="10">
        <f>IF(ActiveDatabase=Standby,Secondary!N130,Primary!N130)</f>
        <v>0</v>
      </c>
      <c r="O130" s="10">
        <f>IF(ActiveDatabase=Standby,Secondary!O130,Primary!O130)</f>
        <v>0</v>
      </c>
      <c r="P130" s="10">
        <f>IF(ActiveDatabase=Standby,Secondary!P130,Primary!P130)</f>
        <v>0</v>
      </c>
      <c r="Q130" s="6">
        <f>IF(ActiveDatabase=Standby,Secondary!Q130,Primary!Q130)</f>
        <v>0</v>
      </c>
      <c r="R130" s="18">
        <f>IF(ActiveDatabase=Standby,Secondary!R130,Primary!R130)</f>
        <v>0</v>
      </c>
      <c r="S130" s="19">
        <f>IF(ActiveDatabase=Standby,Secondary!S130,Primary!S130)</f>
        <v>0</v>
      </c>
      <c r="T130" s="10">
        <f>IF(ActiveDatabase=Standby,Secondary!T130,Primary!T130)</f>
        <v>0</v>
      </c>
      <c r="U130" s="10">
        <f>IF(ActiveDatabase=Standby,Secondary!U130,Primary!U130)</f>
        <v>0</v>
      </c>
      <c r="V130" s="10">
        <f>IF(ActiveDatabase=Standby,Secondary!V130,Primary!V130)</f>
        <v>0</v>
      </c>
      <c r="W130" s="6">
        <f>IF(ActiveDatabase=Standby,Secondary!W130,Primary!W130)</f>
        <v>0</v>
      </c>
      <c r="X130" s="6">
        <f>IF(ActiveDatabase=Standby,Secondary!X130,Primary!X130)</f>
        <v>0</v>
      </c>
      <c r="Y130" s="12">
        <f>IF(ActiveDatabase=Standby,Secondary!Y130,Primary!Y130)</f>
        <v>0</v>
      </c>
      <c r="Z130" s="12">
        <f>IF(ActiveDatabase=Standby,Secondary!Z130,Primary!Z130)</f>
        <v>0</v>
      </c>
      <c r="AA130" s="7">
        <f>IF(ActiveDatabase=Standby,Secondary!AA130,Primary!AA130)</f>
        <v>0</v>
      </c>
      <c r="AB130" s="12"/>
      <c r="AC130" s="6"/>
      <c r="AD130" s="6"/>
      <c r="AE130" s="7"/>
      <c r="AF130" s="7"/>
      <c r="AG130" s="7"/>
      <c r="AH130" s="7"/>
      <c r="AI130" s="7"/>
      <c r="AJ130" s="7"/>
      <c r="AK130" s="7"/>
      <c r="AL130" s="7"/>
      <c r="AM130" s="7"/>
      <c r="AN130" s="7"/>
      <c r="AO130" s="6"/>
      <c r="AP130" s="7"/>
      <c r="AQ130" s="7"/>
      <c r="AR130" s="6"/>
      <c r="AS130" s="7"/>
      <c r="AT130" s="7"/>
      <c r="AU130" s="7"/>
      <c r="AV130" s="7"/>
      <c r="AW130" s="7"/>
      <c r="AX130" s="7"/>
      <c r="AY130" s="7"/>
      <c r="AZ130" s="7"/>
      <c r="BA130" s="7"/>
      <c r="BB130" s="7"/>
      <c r="BC130" s="7"/>
      <c r="BD130" s="7"/>
      <c r="BE130" s="7"/>
      <c r="BF130" s="7"/>
      <c r="BG130" s="7"/>
    </row>
    <row r="131" customHeight="1" spans="1:59">
      <c r="A131" s="9" t="str">
        <f>IF(ActiveDatabase=Standby,Secondary!A131,Primary!A131)</f>
        <v>Calliope 09</v>
      </c>
      <c r="B131" s="5" t="str">
        <f>IF(ActiveDatabase=Standby,Secondary!B131,Primary!B131)</f>
        <v>Calliope 11</v>
      </c>
      <c r="C131" s="5" t="str">
        <f>IF(ActiveDatabase=Standby,Secondary!C131,Primary!C131)</f>
        <v>Calliope 12</v>
      </c>
      <c r="D131" s="5" t="str">
        <f>IF(ActiveDatabase=Standby,Secondary!D131,Primary!D131)</f>
        <v>Shubin Processing Facility SPMC-14</v>
      </c>
      <c r="E131" s="6" t="str">
        <f>IF(ActiveDatabase=Standby,Secondary!E131,Primary!E131)</f>
        <v>SPMC14</v>
      </c>
      <c r="F131" s="10">
        <f>IF(ActiveDatabase=Standby,Secondary!F131,Primary!F131)</f>
        <v>228.647183370999</v>
      </c>
      <c r="G131" s="10">
        <f>IF(ActiveDatabase=Standby,Secondary!G131,Primary!G131)</f>
        <v>-21.167935533</v>
      </c>
      <c r="H131" s="10">
        <f>IF(ActiveDatabase=Standby,Secondary!H131,Primary!H131)</f>
        <v>71.031798834</v>
      </c>
      <c r="I131" s="13">
        <f>IF(ActiveDatabase=Standby,Secondary!I131,Primary!I131)</f>
        <v>0</v>
      </c>
      <c r="J131" s="13">
        <f>IF(ActiveDatabase=Standby,Secondary!J131,Primary!J131)</f>
        <v>0</v>
      </c>
      <c r="K131" s="13">
        <f>IF(ActiveDatabase=Standby,Secondary!K131,Primary!K131)</f>
        <v>0</v>
      </c>
      <c r="L131" s="13">
        <f>IF(ActiveDatabase=Standby,Secondary!L131,Primary!L131)</f>
        <v>0</v>
      </c>
      <c r="M131" s="7" t="b">
        <f>IF(ActiveDatabase=Standby,Secondary!M131,Primary!M131)</f>
        <v>1</v>
      </c>
      <c r="N131" s="10">
        <f>IF(ActiveDatabase=Standby,Secondary!N131,Primary!N131)</f>
        <v>0</v>
      </c>
      <c r="O131" s="10">
        <f>IF(ActiveDatabase=Standby,Secondary!O131,Primary!O131)</f>
        <v>0</v>
      </c>
      <c r="P131" s="10">
        <f>IF(ActiveDatabase=Standby,Secondary!P131,Primary!P131)</f>
        <v>0</v>
      </c>
      <c r="Q131" s="6">
        <f>IF(ActiveDatabase=Standby,Secondary!Q131,Primary!Q131)</f>
        <v>0</v>
      </c>
      <c r="R131" s="18">
        <f>IF(ActiveDatabase=Standby,Secondary!R131,Primary!R131)</f>
        <v>0</v>
      </c>
      <c r="S131" s="19">
        <f>IF(ActiveDatabase=Standby,Secondary!S131,Primary!S131)</f>
        <v>0</v>
      </c>
      <c r="T131" s="10">
        <f>IF(ActiveDatabase=Standby,Secondary!T131,Primary!T131)</f>
        <v>0</v>
      </c>
      <c r="U131" s="10">
        <f>IF(ActiveDatabase=Standby,Secondary!U131,Primary!U131)</f>
        <v>0</v>
      </c>
      <c r="V131" s="10">
        <f>IF(ActiveDatabase=Standby,Secondary!V131,Primary!V131)</f>
        <v>0</v>
      </c>
      <c r="W131" s="6">
        <f>IF(ActiveDatabase=Standby,Secondary!W131,Primary!W131)</f>
        <v>0</v>
      </c>
      <c r="X131" s="6">
        <f>IF(ActiveDatabase=Standby,Secondary!X131,Primary!X131)</f>
        <v>0</v>
      </c>
      <c r="Y131" s="12">
        <f>IF(ActiveDatabase=Standby,Secondary!Y131,Primary!Y131)</f>
        <v>0</v>
      </c>
      <c r="Z131" s="12">
        <f>IF(ActiveDatabase=Standby,Secondary!Z131,Primary!Z131)</f>
        <v>0</v>
      </c>
      <c r="AA131" s="7">
        <f>IF(ActiveDatabase=Standby,Secondary!AA131,Primary!AA131)</f>
        <v>0</v>
      </c>
      <c r="AB131" s="12"/>
      <c r="AC131" s="6"/>
      <c r="AD131" s="6"/>
      <c r="AE131" s="7"/>
      <c r="AF131" s="7"/>
      <c r="AG131" s="7"/>
      <c r="AH131" s="7"/>
      <c r="AI131" s="7"/>
      <c r="AJ131" s="7"/>
      <c r="AK131" s="7"/>
      <c r="AL131" s="7"/>
      <c r="AM131" s="7"/>
      <c r="AN131" s="7"/>
      <c r="AO131" s="6"/>
      <c r="AP131" s="7"/>
      <c r="AQ131" s="7"/>
      <c r="AR131" s="6"/>
      <c r="AS131" s="7"/>
      <c r="AT131" s="7"/>
      <c r="AU131" s="7"/>
      <c r="AV131" s="7"/>
      <c r="AW131" s="7"/>
      <c r="AX131" s="7"/>
      <c r="AY131" s="7"/>
      <c r="AZ131" s="7"/>
      <c r="BA131" s="7"/>
      <c r="BB131" s="7"/>
      <c r="BC131" s="7"/>
      <c r="BD131" s="7"/>
      <c r="BE131" s="7"/>
      <c r="BF131" s="7"/>
      <c r="BG131" s="7"/>
    </row>
    <row r="132" customHeight="1" spans="1:59">
      <c r="A132" s="9" t="str">
        <f>IF(ActiveDatabase=Standby,Secondary!A132,Primary!A132)</f>
        <v>Calliope</v>
      </c>
      <c r="B132" s="5" t="str">
        <f>IF(ActiveDatabase=Standby,Secondary!B132,Primary!B132)</f>
        <v>Calliope 13</v>
      </c>
      <c r="C132" s="5">
        <f>IF(ActiveDatabase=Standby,Secondary!C132,Primary!C132)</f>
        <v>0</v>
      </c>
      <c r="D132" s="5" t="str">
        <f>IF(ActiveDatabase=Standby,Secondary!D132,Primary!D132)</f>
        <v>Caves</v>
      </c>
      <c r="E132" s="6">
        <f>IF(ActiveDatabase=Standby,Secondary!E132,Primary!E132)</f>
        <v>0</v>
      </c>
      <c r="F132" s="10">
        <f>IF(ActiveDatabase=Standby,Secondary!F132,Primary!F132)</f>
        <v>0</v>
      </c>
      <c r="G132" s="10">
        <f>IF(ActiveDatabase=Standby,Secondary!G132,Primary!G132)</f>
        <v>0</v>
      </c>
      <c r="H132" s="10">
        <f>IF(ActiveDatabase=Standby,Secondary!H132,Primary!H132)</f>
        <v>0</v>
      </c>
      <c r="I132" s="13">
        <f>IF(ActiveDatabase=Standby,Secondary!I132,Primary!I132)</f>
        <v>0</v>
      </c>
      <c r="J132" s="13">
        <f>IF(ActiveDatabase=Standby,Secondary!J132,Primary!J132)</f>
        <v>0</v>
      </c>
      <c r="K132" s="13">
        <f>IF(ActiveDatabase=Standby,Secondary!K132,Primary!K132)</f>
        <v>0</v>
      </c>
      <c r="L132" s="13">
        <f>IF(ActiveDatabase=Standby,Secondary!L132,Primary!L132)</f>
        <v>0</v>
      </c>
      <c r="M132" s="7">
        <f>IF(ActiveDatabase=Standby,Secondary!M132,Primary!M132)</f>
        <v>0</v>
      </c>
      <c r="N132" s="10">
        <f>IF(ActiveDatabase=Standby,Secondary!N132,Primary!N132)</f>
        <v>0</v>
      </c>
      <c r="O132" s="10">
        <f>IF(ActiveDatabase=Standby,Secondary!O132,Primary!O132)</f>
        <v>0</v>
      </c>
      <c r="P132" s="10">
        <f>IF(ActiveDatabase=Standby,Secondary!P132,Primary!P132)</f>
        <v>0</v>
      </c>
      <c r="Q132" s="6">
        <f>IF(ActiveDatabase=Standby,Secondary!Q132,Primary!Q132)</f>
        <v>0</v>
      </c>
      <c r="R132" s="18">
        <f>IF(ActiveDatabase=Standby,Secondary!R132,Primary!R132)</f>
        <v>0</v>
      </c>
      <c r="S132" s="19">
        <f>IF(ActiveDatabase=Standby,Secondary!S132,Primary!S132)</f>
        <v>0</v>
      </c>
      <c r="T132" s="10">
        <f>IF(ActiveDatabase=Standby,Secondary!T132,Primary!T132)</f>
        <v>0</v>
      </c>
      <c r="U132" s="10">
        <f>IF(ActiveDatabase=Standby,Secondary!U132,Primary!U132)</f>
        <v>0</v>
      </c>
      <c r="V132" s="10">
        <f>IF(ActiveDatabase=Standby,Secondary!V132,Primary!V132)</f>
        <v>0</v>
      </c>
      <c r="W132" s="6">
        <f>IF(ActiveDatabase=Standby,Secondary!W132,Primary!W132)</f>
        <v>0</v>
      </c>
      <c r="X132" s="6">
        <f>IF(ActiveDatabase=Standby,Secondary!X132,Primary!X132)</f>
        <v>0</v>
      </c>
      <c r="Y132" s="12">
        <f>IF(ActiveDatabase=Standby,Secondary!Y132,Primary!Y132)</f>
        <v>0</v>
      </c>
      <c r="Z132" s="12">
        <f>IF(ActiveDatabase=Standby,Secondary!Z132,Primary!Z132)</f>
        <v>0</v>
      </c>
      <c r="AA132" s="7">
        <f>IF(ActiveDatabase=Standby,Secondary!AA132,Primary!AA132)</f>
        <v>0</v>
      </c>
      <c r="AB132" s="12"/>
      <c r="AC132" s="6"/>
      <c r="AD132" s="6"/>
      <c r="AE132" s="7"/>
      <c r="AF132" s="7"/>
      <c r="AG132" s="7"/>
      <c r="AH132" s="7"/>
      <c r="AI132" s="7"/>
      <c r="AJ132" s="7"/>
      <c r="AK132" s="7"/>
      <c r="AL132" s="7"/>
      <c r="AM132" s="7"/>
      <c r="AN132" s="7"/>
      <c r="AO132" s="6"/>
      <c r="AP132" s="7"/>
      <c r="AQ132" s="7"/>
      <c r="AR132" s="6"/>
      <c r="AS132" s="7"/>
      <c r="AT132" s="7"/>
      <c r="AU132" s="7"/>
      <c r="AV132" s="7"/>
      <c r="AW132" s="7"/>
      <c r="AX132" s="7"/>
      <c r="AY132" s="7"/>
      <c r="AZ132" s="7"/>
      <c r="BA132" s="7"/>
      <c r="BB132" s="7"/>
      <c r="BC132" s="7"/>
      <c r="BD132" s="7"/>
      <c r="BE132" s="7"/>
      <c r="BF132" s="7"/>
      <c r="BG132" s="7"/>
    </row>
    <row r="133" customHeight="1" spans="1:59">
      <c r="A133" s="9" t="str">
        <f>IF(ActiveDatabase=Standby,Secondary!A133,Primary!A133)</f>
        <v>Calliope 12</v>
      </c>
      <c r="B133" s="5" t="str">
        <f>IF(ActiveDatabase=Standby,Secondary!B133,Primary!B133)</f>
        <v>Calliope 15</v>
      </c>
      <c r="C133" s="5" t="str">
        <f>IF(ActiveDatabase=Standby,Secondary!C133,Primary!C133)</f>
        <v>Calliope 16</v>
      </c>
      <c r="D133" s="5" t="str">
        <f>IF(ActiveDatabase=Standby,Secondary!D133,Primary!D133)</f>
        <v>Rock Cave 26P</v>
      </c>
      <c r="E133" s="6" t="str">
        <f>IF(ActiveDatabase=Standby,Secondary!E133,Primary!E133)</f>
        <v>RCave 26P</v>
      </c>
      <c r="F133" s="10">
        <f>IF(ActiveDatabase=Standby,Secondary!F133,Primary!F133)</f>
        <v>207.343295357</v>
      </c>
      <c r="G133" s="10">
        <f>IF(ActiveDatabase=Standby,Secondary!G133,Primary!G133)</f>
        <v>-107.084616404</v>
      </c>
      <c r="H133" s="10">
        <f>IF(ActiveDatabase=Standby,Secondary!H133,Primary!H133)</f>
        <v>55.951304278</v>
      </c>
      <c r="I133" s="13">
        <f>IF(ActiveDatabase=Standby,Secondary!I133,Primary!I133)</f>
        <v>0</v>
      </c>
      <c r="J133" s="13">
        <f>IF(ActiveDatabase=Standby,Secondary!J133,Primary!J133)</f>
        <v>0</v>
      </c>
      <c r="K133" s="13">
        <f>IF(ActiveDatabase=Standby,Secondary!K133,Primary!K133)</f>
        <v>0</v>
      </c>
      <c r="L133" s="13">
        <f>IF(ActiveDatabase=Standby,Secondary!L133,Primary!L133)</f>
        <v>0</v>
      </c>
      <c r="M133" s="7" t="b">
        <f>IF(ActiveDatabase=Standby,Secondary!M133,Primary!M133)</f>
        <v>0</v>
      </c>
      <c r="N133" s="10">
        <f>IF(ActiveDatabase=Standby,Secondary!N133,Primary!N133)</f>
        <v>0</v>
      </c>
      <c r="O133" s="10">
        <f>IF(ActiveDatabase=Standby,Secondary!O133,Primary!O133)</f>
        <v>0</v>
      </c>
      <c r="P133" s="10">
        <f>IF(ActiveDatabase=Standby,Secondary!P133,Primary!P133)</f>
        <v>0</v>
      </c>
      <c r="Q133" s="6">
        <f>IF(ActiveDatabase=Standby,Secondary!Q133,Primary!Q133)</f>
        <v>0</v>
      </c>
      <c r="R133" s="18">
        <f>IF(ActiveDatabase=Standby,Secondary!R133,Primary!R133)</f>
        <v>0</v>
      </c>
      <c r="S133" s="19">
        <f>IF(ActiveDatabase=Standby,Secondary!S133,Primary!S133)</f>
        <v>0</v>
      </c>
      <c r="T133" s="10">
        <f>IF(ActiveDatabase=Standby,Secondary!T133,Primary!T133)</f>
        <v>0</v>
      </c>
      <c r="U133" s="10">
        <f>IF(ActiveDatabase=Standby,Secondary!U133,Primary!U133)</f>
        <v>0</v>
      </c>
      <c r="V133" s="10">
        <f>IF(ActiveDatabase=Standby,Secondary!V133,Primary!V133)</f>
        <v>0</v>
      </c>
      <c r="W133" s="6">
        <f>IF(ActiveDatabase=Standby,Secondary!W133,Primary!W133)</f>
        <v>0</v>
      </c>
      <c r="X133" s="6">
        <f>IF(ActiveDatabase=Standby,Secondary!X133,Primary!X133)</f>
        <v>0</v>
      </c>
      <c r="Y133" s="12">
        <f>IF(ActiveDatabase=Standby,Secondary!Y133,Primary!Y133)</f>
        <v>0</v>
      </c>
      <c r="Z133" s="12">
        <f>IF(ActiveDatabase=Standby,Secondary!Z133,Primary!Z133)</f>
        <v>0</v>
      </c>
      <c r="AA133" s="7">
        <f>IF(ActiveDatabase=Standby,Secondary!AA133,Primary!AA133)</f>
        <v>0</v>
      </c>
      <c r="AB133" s="12"/>
      <c r="AC133" s="6"/>
      <c r="AD133" s="6"/>
      <c r="AE133" s="7"/>
      <c r="AF133" s="7"/>
      <c r="AG133" s="7"/>
      <c r="AH133" s="7"/>
      <c r="AI133" s="7"/>
      <c r="AJ133" s="7"/>
      <c r="AK133" s="7"/>
      <c r="AL133" s="7"/>
      <c r="AM133" s="7"/>
      <c r="AN133" s="7"/>
      <c r="AO133" s="6"/>
      <c r="AP133" s="7"/>
      <c r="AQ133" s="7"/>
      <c r="AR133" s="6"/>
      <c r="AS133" s="7"/>
      <c r="AT133" s="7"/>
      <c r="AU133" s="7"/>
      <c r="AV133" s="7"/>
      <c r="AW133" s="7"/>
      <c r="AX133" s="7"/>
      <c r="AY133" s="7"/>
      <c r="AZ133" s="7"/>
      <c r="BA133" s="7"/>
      <c r="BB133" s="7"/>
      <c r="BC133" s="7"/>
      <c r="BD133" s="7"/>
      <c r="BE133" s="7"/>
      <c r="BF133" s="7"/>
      <c r="BG133" s="7"/>
    </row>
    <row r="134" customHeight="1" spans="1:59">
      <c r="A134" s="9" t="str">
        <f>IF(ActiveDatabase=Standby,Secondary!A134,Primary!A134)</f>
        <v>Calliope 11</v>
      </c>
      <c r="B134" s="5" t="str">
        <f>IF(ActiveDatabase=Standby,Secondary!B134,Primary!B134)</f>
        <v>Calliope 14</v>
      </c>
      <c r="C134" s="5" t="str">
        <f>IF(ActiveDatabase=Standby,Secondary!C134,Primary!C134)</f>
        <v>Calliope 15</v>
      </c>
      <c r="D134" s="5" t="str">
        <f>IF(ActiveDatabase=Standby,Secondary!D134,Primary!D134)</f>
        <v>Rock Cave 25R</v>
      </c>
      <c r="E134" s="6" t="str">
        <f>IF(ActiveDatabase=Standby,Secondary!E134,Primary!E134)</f>
        <v>RCave 25R</v>
      </c>
      <c r="F134" s="10">
        <f>IF(ActiveDatabase=Standby,Secondary!F134,Primary!F134)</f>
        <v>213.196319319</v>
      </c>
      <c r="G134" s="10">
        <f>IF(ActiveDatabase=Standby,Secondary!G134,Primary!G134)</f>
        <v>-40.555954422</v>
      </c>
      <c r="H134" s="10">
        <f>IF(ActiveDatabase=Standby,Secondary!H134,Primary!H134)</f>
        <v>102.893182979</v>
      </c>
      <c r="I134" s="13">
        <f>IF(ActiveDatabase=Standby,Secondary!I134,Primary!I134)</f>
        <v>0</v>
      </c>
      <c r="J134" s="13">
        <f>IF(ActiveDatabase=Standby,Secondary!J134,Primary!J134)</f>
        <v>0</v>
      </c>
      <c r="K134" s="13">
        <f>IF(ActiveDatabase=Standby,Secondary!K134,Primary!K134)</f>
        <v>0</v>
      </c>
      <c r="L134" s="13">
        <f>IF(ActiveDatabase=Standby,Secondary!L134,Primary!L134)</f>
        <v>0</v>
      </c>
      <c r="M134" s="7" t="b">
        <f>IF(ActiveDatabase=Standby,Secondary!M134,Primary!M134)</f>
        <v>0</v>
      </c>
      <c r="N134" s="10">
        <f>IF(ActiveDatabase=Standby,Secondary!N134,Primary!N134)</f>
        <v>0</v>
      </c>
      <c r="O134" s="10">
        <f>IF(ActiveDatabase=Standby,Secondary!O134,Primary!O134)</f>
        <v>0</v>
      </c>
      <c r="P134" s="10">
        <f>IF(ActiveDatabase=Standby,Secondary!P134,Primary!P134)</f>
        <v>0</v>
      </c>
      <c r="Q134" s="6">
        <f>IF(ActiveDatabase=Standby,Secondary!Q134,Primary!Q134)</f>
        <v>0</v>
      </c>
      <c r="R134" s="18">
        <f>IF(ActiveDatabase=Standby,Secondary!R134,Primary!R134)</f>
        <v>0</v>
      </c>
      <c r="S134" s="19">
        <f>IF(ActiveDatabase=Standby,Secondary!S134,Primary!S134)</f>
        <v>0</v>
      </c>
      <c r="T134" s="10">
        <f>IF(ActiveDatabase=Standby,Secondary!T134,Primary!T134)</f>
        <v>0</v>
      </c>
      <c r="U134" s="10">
        <f>IF(ActiveDatabase=Standby,Secondary!U134,Primary!U134)</f>
        <v>0</v>
      </c>
      <c r="V134" s="10">
        <f>IF(ActiveDatabase=Standby,Secondary!V134,Primary!V134)</f>
        <v>0</v>
      </c>
      <c r="W134" s="6">
        <f>IF(ActiveDatabase=Standby,Secondary!W134,Primary!W134)</f>
        <v>0</v>
      </c>
      <c r="X134" s="6">
        <f>IF(ActiveDatabase=Standby,Secondary!X134,Primary!X134)</f>
        <v>0</v>
      </c>
      <c r="Y134" s="12">
        <f>IF(ActiveDatabase=Standby,Secondary!Y134,Primary!Y134)</f>
        <v>0</v>
      </c>
      <c r="Z134" s="12">
        <f>IF(ActiveDatabase=Standby,Secondary!Z134,Primary!Z134)</f>
        <v>0</v>
      </c>
      <c r="AA134" s="7">
        <f>IF(ActiveDatabase=Standby,Secondary!AA134,Primary!AA134)</f>
        <v>0</v>
      </c>
      <c r="AB134" s="12"/>
      <c r="AC134" s="6"/>
      <c r="AD134" s="6"/>
      <c r="AE134" s="7"/>
      <c r="AF134" s="7"/>
      <c r="AG134" s="7"/>
      <c r="AH134" s="7"/>
      <c r="AI134" s="7"/>
      <c r="AJ134" s="7"/>
      <c r="AK134" s="7"/>
      <c r="AL134" s="7"/>
      <c r="AM134" s="7"/>
      <c r="AN134" s="7"/>
      <c r="AO134" s="6"/>
      <c r="AP134" s="7"/>
      <c r="AQ134" s="7"/>
      <c r="AR134" s="6"/>
      <c r="AS134" s="7"/>
      <c r="AT134" s="7"/>
      <c r="AU134" s="7"/>
      <c r="AV134" s="7"/>
      <c r="AW134" s="7"/>
      <c r="AX134" s="7"/>
      <c r="AY134" s="7"/>
      <c r="AZ134" s="7"/>
      <c r="BA134" s="7"/>
      <c r="BB134" s="7"/>
      <c r="BC134" s="7"/>
      <c r="BD134" s="7"/>
      <c r="BE134" s="7"/>
      <c r="BF134" s="7"/>
      <c r="BG134" s="7"/>
    </row>
    <row r="135" customHeight="1" spans="1:59">
      <c r="A135" s="9" t="str">
        <f>IF(ActiveDatabase=Standby,Secondary!A135,Primary!A135)</f>
        <v>Calliope 13</v>
      </c>
      <c r="B135" s="5" t="str">
        <f>IF(ActiveDatabase=Standby,Secondary!B135,Primary!B135)</f>
        <v>Calliope 16</v>
      </c>
      <c r="C135" s="5" t="str">
        <f>IF(ActiveDatabase=Standby,Secondary!C135,Primary!C135)</f>
        <v>Calliope 09</v>
      </c>
      <c r="D135" s="5" t="str">
        <f>IF(ActiveDatabase=Standby,Secondary!D135,Primary!D135)</f>
        <v>Rock Cave 30T</v>
      </c>
      <c r="E135" s="6" t="str">
        <f>IF(ActiveDatabase=Standby,Secondary!E135,Primary!E135)</f>
        <v>RCave 30T</v>
      </c>
      <c r="F135" s="10">
        <f>IF(ActiveDatabase=Standby,Secondary!F135,Primary!F135)</f>
        <v>181.300399053</v>
      </c>
      <c r="G135" s="10">
        <f>IF(ActiveDatabase=Standby,Secondary!G135,Primary!G135)</f>
        <v>-3.049119508</v>
      </c>
      <c r="H135" s="10">
        <f>IF(ActiveDatabase=Standby,Secondary!H135,Primary!H135)</f>
        <v>157.240353132999</v>
      </c>
      <c r="I135" s="13">
        <f>IF(ActiveDatabase=Standby,Secondary!I135,Primary!I135)</f>
        <v>0</v>
      </c>
      <c r="J135" s="13">
        <f>IF(ActiveDatabase=Standby,Secondary!J135,Primary!J135)</f>
        <v>0</v>
      </c>
      <c r="K135" s="13">
        <f>IF(ActiveDatabase=Standby,Secondary!K135,Primary!K135)</f>
        <v>0</v>
      </c>
      <c r="L135" s="13">
        <f>IF(ActiveDatabase=Standby,Secondary!L135,Primary!L135)</f>
        <v>0</v>
      </c>
      <c r="M135" s="7" t="b">
        <f>IF(ActiveDatabase=Standby,Secondary!M135,Primary!M135)</f>
        <v>0</v>
      </c>
      <c r="N135" s="10">
        <f>IF(ActiveDatabase=Standby,Secondary!N135,Primary!N135)</f>
        <v>0</v>
      </c>
      <c r="O135" s="10">
        <f>IF(ActiveDatabase=Standby,Secondary!O135,Primary!O135)</f>
        <v>0</v>
      </c>
      <c r="P135" s="10">
        <f>IF(ActiveDatabase=Standby,Secondary!P135,Primary!P135)</f>
        <v>0</v>
      </c>
      <c r="Q135" s="6">
        <f>IF(ActiveDatabase=Standby,Secondary!Q135,Primary!Q135)</f>
        <v>0</v>
      </c>
      <c r="R135" s="18">
        <f>IF(ActiveDatabase=Standby,Secondary!R135,Primary!R135)</f>
        <v>0</v>
      </c>
      <c r="S135" s="19">
        <f>IF(ActiveDatabase=Standby,Secondary!S135,Primary!S135)</f>
        <v>0</v>
      </c>
      <c r="T135" s="10">
        <f>IF(ActiveDatabase=Standby,Secondary!T135,Primary!T135)</f>
        <v>0</v>
      </c>
      <c r="U135" s="10">
        <f>IF(ActiveDatabase=Standby,Secondary!U135,Primary!U135)</f>
        <v>0</v>
      </c>
      <c r="V135" s="10">
        <f>IF(ActiveDatabase=Standby,Secondary!V135,Primary!V135)</f>
        <v>0</v>
      </c>
      <c r="W135" s="6">
        <f>IF(ActiveDatabase=Standby,Secondary!W135,Primary!W135)</f>
        <v>0</v>
      </c>
      <c r="X135" s="6">
        <f>IF(ActiveDatabase=Standby,Secondary!X135,Primary!X135)</f>
        <v>0</v>
      </c>
      <c r="Y135" s="12">
        <f>IF(ActiveDatabase=Standby,Secondary!Y135,Primary!Y135)</f>
        <v>0</v>
      </c>
      <c r="Z135" s="12">
        <f>IF(ActiveDatabase=Standby,Secondary!Z135,Primary!Z135)</f>
        <v>0</v>
      </c>
      <c r="AA135" s="7">
        <f>IF(ActiveDatabase=Standby,Secondary!AA135,Primary!AA135)</f>
        <v>0</v>
      </c>
      <c r="AB135" s="12"/>
      <c r="AC135" s="6"/>
      <c r="AD135" s="6"/>
      <c r="AE135" s="7"/>
      <c r="AF135" s="7"/>
      <c r="AG135" s="7"/>
      <c r="AH135" s="7"/>
      <c r="AI135" s="7"/>
      <c r="AJ135" s="7"/>
      <c r="AK135" s="7"/>
      <c r="AL135" s="7"/>
      <c r="AM135" s="7"/>
      <c r="AN135" s="7"/>
      <c r="AO135" s="6"/>
      <c r="AP135" s="7"/>
      <c r="AQ135" s="7"/>
      <c r="AR135" s="6"/>
      <c r="AS135" s="7"/>
      <c r="AT135" s="7"/>
      <c r="AU135" s="7"/>
      <c r="AV135" s="7"/>
      <c r="AW135" s="7"/>
      <c r="AX135" s="7"/>
      <c r="AY135" s="7"/>
      <c r="AZ135" s="7"/>
      <c r="BA135" s="7"/>
      <c r="BB135" s="7"/>
      <c r="BC135" s="7"/>
      <c r="BD135" s="7"/>
      <c r="BE135" s="7"/>
      <c r="BF135" s="7"/>
      <c r="BG135" s="7"/>
    </row>
    <row r="136" customHeight="1" spans="1:59">
      <c r="A136" s="9" t="str">
        <f>IF(ActiveDatabase=Standby,Secondary!A136,Primary!A136)</f>
        <v>Calliope</v>
      </c>
      <c r="B136" s="5" t="str">
        <f>IF(ActiveDatabase=Standby,Secondary!B136,Primary!B136)</f>
        <v>Calliope 18</v>
      </c>
      <c r="C136" s="5">
        <f>IF(ActiveDatabase=Standby,Secondary!C136,Primary!C136)</f>
        <v>0</v>
      </c>
      <c r="D136" s="5" t="str">
        <f>IF(ActiveDatabase=Standby,Secondary!D136,Primary!D136)</f>
        <v>Wrecks</v>
      </c>
      <c r="E136" s="6">
        <f>IF(ActiveDatabase=Standby,Secondary!E136,Primary!E136)</f>
        <v>0</v>
      </c>
      <c r="F136" s="10">
        <f>IF(ActiveDatabase=Standby,Secondary!F136,Primary!F136)</f>
        <v>0</v>
      </c>
      <c r="G136" s="10">
        <f>IF(ActiveDatabase=Standby,Secondary!G136,Primary!G136)</f>
        <v>0</v>
      </c>
      <c r="H136" s="10">
        <f>IF(ActiveDatabase=Standby,Secondary!H136,Primary!H136)</f>
        <v>0</v>
      </c>
      <c r="I136" s="13">
        <f>IF(ActiveDatabase=Standby,Secondary!I136,Primary!I136)</f>
        <v>0</v>
      </c>
      <c r="J136" s="13">
        <f>IF(ActiveDatabase=Standby,Secondary!J136,Primary!J136)</f>
        <v>0</v>
      </c>
      <c r="K136" s="13">
        <f>IF(ActiveDatabase=Standby,Secondary!K136,Primary!K136)</f>
        <v>0</v>
      </c>
      <c r="L136" s="13">
        <f>IF(ActiveDatabase=Standby,Secondary!L136,Primary!L136)</f>
        <v>0</v>
      </c>
      <c r="M136" s="7">
        <f>IF(ActiveDatabase=Standby,Secondary!M136,Primary!M136)</f>
        <v>0</v>
      </c>
      <c r="N136" s="10">
        <f>IF(ActiveDatabase=Standby,Secondary!N136,Primary!N136)</f>
        <v>0</v>
      </c>
      <c r="O136" s="10">
        <f>IF(ActiveDatabase=Standby,Secondary!O136,Primary!O136)</f>
        <v>0</v>
      </c>
      <c r="P136" s="10">
        <f>IF(ActiveDatabase=Standby,Secondary!P136,Primary!P136)</f>
        <v>0</v>
      </c>
      <c r="Q136" s="6">
        <f>IF(ActiveDatabase=Standby,Secondary!Q136,Primary!Q136)</f>
        <v>0</v>
      </c>
      <c r="R136" s="18">
        <f>IF(ActiveDatabase=Standby,Secondary!R136,Primary!R136)</f>
        <v>0</v>
      </c>
      <c r="S136" s="19">
        <f>IF(ActiveDatabase=Standby,Secondary!S136,Primary!S136)</f>
        <v>0</v>
      </c>
      <c r="T136" s="10">
        <f>IF(ActiveDatabase=Standby,Secondary!T136,Primary!T136)</f>
        <v>0</v>
      </c>
      <c r="U136" s="10">
        <f>IF(ActiveDatabase=Standby,Secondary!U136,Primary!U136)</f>
        <v>0</v>
      </c>
      <c r="V136" s="10">
        <f>IF(ActiveDatabase=Standby,Secondary!V136,Primary!V136)</f>
        <v>0</v>
      </c>
      <c r="W136" s="6">
        <f>IF(ActiveDatabase=Standby,Secondary!W136,Primary!W136)</f>
        <v>0</v>
      </c>
      <c r="X136" s="6">
        <f>IF(ActiveDatabase=Standby,Secondary!X136,Primary!X136)</f>
        <v>0</v>
      </c>
      <c r="Y136" s="12">
        <f>IF(ActiveDatabase=Standby,Secondary!Y136,Primary!Y136)</f>
        <v>0</v>
      </c>
      <c r="Z136" s="12">
        <f>IF(ActiveDatabase=Standby,Secondary!Z136,Primary!Z136)</f>
        <v>0</v>
      </c>
      <c r="AA136" s="7">
        <f>IF(ActiveDatabase=Standby,Secondary!AA136,Primary!AA136)</f>
        <v>0</v>
      </c>
      <c r="AB136" s="12"/>
      <c r="AC136" s="6"/>
      <c r="AD136" s="6"/>
      <c r="AE136" s="7"/>
      <c r="AF136" s="7"/>
      <c r="AG136" s="7"/>
      <c r="AH136" s="7"/>
      <c r="AI136" s="7"/>
      <c r="AJ136" s="7"/>
      <c r="AK136" s="7"/>
      <c r="AL136" s="7"/>
      <c r="AM136" s="7"/>
      <c r="AN136" s="7"/>
      <c r="AO136" s="6"/>
      <c r="AP136" s="7"/>
      <c r="AQ136" s="7"/>
      <c r="AR136" s="6"/>
      <c r="AS136" s="7"/>
      <c r="AT136" s="7"/>
      <c r="AU136" s="7"/>
      <c r="AV136" s="7"/>
      <c r="AW136" s="7"/>
      <c r="AX136" s="7"/>
      <c r="AY136" s="7"/>
      <c r="AZ136" s="7"/>
      <c r="BA136" s="7"/>
      <c r="BB136" s="7"/>
      <c r="BC136" s="7"/>
      <c r="BD136" s="7"/>
      <c r="BE136" s="7"/>
      <c r="BF136" s="7"/>
      <c r="BG136" s="7"/>
    </row>
    <row r="137" customHeight="1" spans="1:59">
      <c r="A137" s="9" t="str">
        <f>IF(ActiveDatabase=Standby,Secondary!A137,Primary!A137)</f>
        <v>Calliope 14</v>
      </c>
      <c r="B137" s="5" t="str">
        <f>IF(ActiveDatabase=Standby,Secondary!B137,Primary!B137)</f>
        <v>Calliope 19</v>
      </c>
      <c r="C137" s="5" t="str">
        <f>IF(ActiveDatabase=Standby,Secondary!C137,Primary!C137)</f>
        <v>Calliope 17</v>
      </c>
      <c r="D137" s="5" t="str">
        <f>IF(ActiveDatabase=Standby,Secondary!D137,Primary!D137)</f>
        <v>Caterpillar Wreck 25P</v>
      </c>
      <c r="E137" s="6" t="str">
        <f>IF(ActiveDatabase=Standby,Secondary!E137,Primary!E137)</f>
        <v>Caterpillar 25P</v>
      </c>
      <c r="F137" s="10">
        <f>IF(ActiveDatabase=Standby,Secondary!F137,Primary!F137)</f>
        <v>199.393000555</v>
      </c>
      <c r="G137" s="10">
        <f>IF(ActiveDatabase=Standby,Secondary!G137,Primary!G137)</f>
        <v>-126.187863186</v>
      </c>
      <c r="H137" s="10">
        <f>IF(ActiveDatabase=Standby,Secondary!H137,Primary!H137)</f>
        <v>45.984564892</v>
      </c>
      <c r="I137" s="13">
        <f>IF(ActiveDatabase=Standby,Secondary!I137,Primary!I137)</f>
        <v>0</v>
      </c>
      <c r="J137" s="13">
        <f>IF(ActiveDatabase=Standby,Secondary!J137,Primary!J137)</f>
        <v>0</v>
      </c>
      <c r="K137" s="13">
        <f>IF(ActiveDatabase=Standby,Secondary!K137,Primary!K137)</f>
        <v>0</v>
      </c>
      <c r="L137" s="13">
        <f>IF(ActiveDatabase=Standby,Secondary!L137,Primary!L137)</f>
        <v>0</v>
      </c>
      <c r="M137" s="7" t="b">
        <f>IF(ActiveDatabase=Standby,Secondary!M137,Primary!M137)</f>
        <v>0</v>
      </c>
      <c r="N137" s="10">
        <f>IF(ActiveDatabase=Standby,Secondary!N137,Primary!N137)</f>
        <v>0</v>
      </c>
      <c r="O137" s="10">
        <f>IF(ActiveDatabase=Standby,Secondary!O137,Primary!O137)</f>
        <v>0</v>
      </c>
      <c r="P137" s="10">
        <f>IF(ActiveDatabase=Standby,Secondary!P137,Primary!P137)</f>
        <v>0</v>
      </c>
      <c r="Q137" s="6">
        <f>IF(ActiveDatabase=Standby,Secondary!Q137,Primary!Q137)</f>
        <v>0</v>
      </c>
      <c r="R137" s="18">
        <f>IF(ActiveDatabase=Standby,Secondary!R137,Primary!R137)</f>
        <v>0</v>
      </c>
      <c r="S137" s="19">
        <f>IF(ActiveDatabase=Standby,Secondary!S137,Primary!S137)</f>
        <v>0</v>
      </c>
      <c r="T137" s="10">
        <f>IF(ActiveDatabase=Standby,Secondary!T137,Primary!T137)</f>
        <v>0</v>
      </c>
      <c r="U137" s="10">
        <f>IF(ActiveDatabase=Standby,Secondary!U137,Primary!U137)</f>
        <v>0</v>
      </c>
      <c r="V137" s="10">
        <f>IF(ActiveDatabase=Standby,Secondary!V137,Primary!V137)</f>
        <v>0</v>
      </c>
      <c r="W137" s="6">
        <f>IF(ActiveDatabase=Standby,Secondary!W137,Primary!W137)</f>
        <v>0</v>
      </c>
      <c r="X137" s="6">
        <f>IF(ActiveDatabase=Standby,Secondary!X137,Primary!X137)</f>
        <v>0</v>
      </c>
      <c r="Y137" s="12">
        <f>IF(ActiveDatabase=Standby,Secondary!Y137,Primary!Y137)</f>
        <v>0</v>
      </c>
      <c r="Z137" s="12">
        <f>IF(ActiveDatabase=Standby,Secondary!Z137,Primary!Z137)</f>
        <v>0</v>
      </c>
      <c r="AA137" s="7">
        <f>IF(ActiveDatabase=Standby,Secondary!AA137,Primary!AA137)</f>
        <v>0</v>
      </c>
      <c r="AB137" s="12"/>
      <c r="AC137" s="6"/>
      <c r="AD137" s="6"/>
      <c r="AE137" s="7"/>
      <c r="AF137" s="7"/>
      <c r="AG137" s="7"/>
      <c r="AH137" s="7"/>
      <c r="AI137" s="7"/>
      <c r="AJ137" s="7"/>
      <c r="AK137" s="7"/>
      <c r="AL137" s="7"/>
      <c r="AM137" s="7"/>
      <c r="AN137" s="7"/>
      <c r="AO137" s="6"/>
      <c r="AP137" s="7"/>
      <c r="AQ137" s="7"/>
      <c r="AR137" s="6"/>
      <c r="AS137" s="7"/>
      <c r="AT137" s="7"/>
      <c r="AU137" s="7"/>
      <c r="AV137" s="7"/>
      <c r="AW137" s="7"/>
      <c r="AX137" s="7"/>
      <c r="AY137" s="7"/>
      <c r="AZ137" s="7"/>
      <c r="BA137" s="7"/>
      <c r="BB137" s="7"/>
      <c r="BC137" s="7"/>
      <c r="BD137" s="7"/>
      <c r="BE137" s="7"/>
      <c r="BF137" s="7"/>
      <c r="BG137" s="7"/>
    </row>
    <row r="138" customHeight="1" spans="1:59">
      <c r="A138" s="9" t="str">
        <f>IF(ActiveDatabase=Standby,Secondary!A138,Primary!A138)</f>
        <v>Calliope 15</v>
      </c>
      <c r="B138" s="5" t="str">
        <f>IF(ActiveDatabase=Standby,Secondary!B138,Primary!B138)</f>
        <v>Calliope 20</v>
      </c>
      <c r="C138" s="5" t="str">
        <f>IF(ActiveDatabase=Standby,Secondary!C138,Primary!C138)</f>
        <v>Calliope 14</v>
      </c>
      <c r="D138" s="5" t="str">
        <f>IF(ActiveDatabase=Standby,Secondary!D138,Primary!D138)</f>
        <v>Caterpillar Wreck 29P</v>
      </c>
      <c r="E138" s="6" t="str">
        <f>IF(ActiveDatabase=Standby,Secondary!E138,Primary!E138)</f>
        <v>Caterpillar 29P</v>
      </c>
      <c r="F138" s="10">
        <f>IF(ActiveDatabase=Standby,Secondary!F138,Primary!F138)</f>
        <v>232.098918105999</v>
      </c>
      <c r="G138" s="10">
        <f>IF(ActiveDatabase=Standby,Secondary!G138,Primary!G138)</f>
        <v>-41.3358274539999</v>
      </c>
      <c r="H138" s="10">
        <f>IF(ActiveDatabase=Standby,Secondary!H138,Primary!H138)</f>
        <v>45.8925226919998</v>
      </c>
      <c r="I138" s="13">
        <f>IF(ActiveDatabase=Standby,Secondary!I138,Primary!I138)</f>
        <v>0</v>
      </c>
      <c r="J138" s="13">
        <f>IF(ActiveDatabase=Standby,Secondary!J138,Primary!J138)</f>
        <v>0</v>
      </c>
      <c r="K138" s="13">
        <f>IF(ActiveDatabase=Standby,Secondary!K138,Primary!K138)</f>
        <v>0</v>
      </c>
      <c r="L138" s="13">
        <f>IF(ActiveDatabase=Standby,Secondary!L138,Primary!L138)</f>
        <v>0</v>
      </c>
      <c r="M138" s="7" t="b">
        <f>IF(ActiveDatabase=Standby,Secondary!M138,Primary!M138)</f>
        <v>0</v>
      </c>
      <c r="N138" s="10">
        <f>IF(ActiveDatabase=Standby,Secondary!N138,Primary!N138)</f>
        <v>0</v>
      </c>
      <c r="O138" s="10">
        <f>IF(ActiveDatabase=Standby,Secondary!O138,Primary!O138)</f>
        <v>0</v>
      </c>
      <c r="P138" s="10">
        <f>IF(ActiveDatabase=Standby,Secondary!P138,Primary!P138)</f>
        <v>0</v>
      </c>
      <c r="Q138" s="6">
        <f>IF(ActiveDatabase=Standby,Secondary!Q138,Primary!Q138)</f>
        <v>0</v>
      </c>
      <c r="R138" s="18">
        <f>IF(ActiveDatabase=Standby,Secondary!R138,Primary!R138)</f>
        <v>0</v>
      </c>
      <c r="S138" s="19">
        <f>IF(ActiveDatabase=Standby,Secondary!S138,Primary!S138)</f>
        <v>0</v>
      </c>
      <c r="T138" s="10">
        <f>IF(ActiveDatabase=Standby,Secondary!T138,Primary!T138)</f>
        <v>0</v>
      </c>
      <c r="U138" s="10">
        <f>IF(ActiveDatabase=Standby,Secondary!U138,Primary!U138)</f>
        <v>0</v>
      </c>
      <c r="V138" s="10">
        <f>IF(ActiveDatabase=Standby,Secondary!V138,Primary!V138)</f>
        <v>0</v>
      </c>
      <c r="W138" s="6">
        <f>IF(ActiveDatabase=Standby,Secondary!W138,Primary!W138)</f>
        <v>0</v>
      </c>
      <c r="X138" s="6">
        <f>IF(ActiveDatabase=Standby,Secondary!X138,Primary!X138)</f>
        <v>0</v>
      </c>
      <c r="Y138" s="12">
        <f>IF(ActiveDatabase=Standby,Secondary!Y138,Primary!Y138)</f>
        <v>0</v>
      </c>
      <c r="Z138" s="12">
        <f>IF(ActiveDatabase=Standby,Secondary!Z138,Primary!Z138)</f>
        <v>0</v>
      </c>
      <c r="AA138" s="7">
        <f>IF(ActiveDatabase=Standby,Secondary!AA138,Primary!AA138)</f>
        <v>0</v>
      </c>
      <c r="AB138" s="12"/>
      <c r="AC138" s="6"/>
      <c r="AD138" s="6"/>
      <c r="AE138" s="7"/>
      <c r="AF138" s="7"/>
      <c r="AG138" s="7"/>
      <c r="AH138" s="7"/>
      <c r="AI138" s="7"/>
      <c r="AJ138" s="7"/>
      <c r="AK138" s="7"/>
      <c r="AL138" s="7"/>
      <c r="AM138" s="7"/>
      <c r="AN138" s="7"/>
      <c r="AO138" s="6"/>
      <c r="AP138" s="7"/>
      <c r="AQ138" s="7"/>
      <c r="AR138" s="6"/>
      <c r="AS138" s="7"/>
      <c r="AT138" s="7"/>
      <c r="AU138" s="7"/>
      <c r="AV138" s="7"/>
      <c r="AW138" s="7"/>
      <c r="AX138" s="7"/>
      <c r="AY138" s="7"/>
      <c r="AZ138" s="7"/>
      <c r="BA138" s="7"/>
      <c r="BB138" s="7"/>
      <c r="BC138" s="7"/>
      <c r="BD138" s="7"/>
      <c r="BE138" s="7"/>
      <c r="BF138" s="7"/>
      <c r="BG138" s="7"/>
    </row>
    <row r="139" customHeight="1" spans="1:59">
      <c r="A139" s="9" t="str">
        <f>IF(ActiveDatabase=Standby,Secondary!A139,Primary!A139)</f>
        <v>Calliope 16</v>
      </c>
      <c r="B139" s="5" t="str">
        <f>IF(ActiveDatabase=Standby,Secondary!B139,Primary!B139)</f>
        <v>Calliope 21</v>
      </c>
      <c r="C139" s="5" t="str">
        <f>IF(ActiveDatabase=Standby,Secondary!C139,Primary!C139)</f>
        <v>Calliope 10</v>
      </c>
      <c r="D139" s="5" t="str">
        <f>IF(ActiveDatabase=Standby,Secondary!D139,Primary!D139)</f>
        <v>Caterpillar Wreck 30R</v>
      </c>
      <c r="E139" s="6" t="str">
        <f>IF(ActiveDatabase=Standby,Secondary!E139,Primary!E139)</f>
        <v>Caterpillar 30R</v>
      </c>
      <c r="F139" s="10">
        <f>IF(ActiveDatabase=Standby,Secondary!F139,Primary!F139)</f>
        <v>218.632326066</v>
      </c>
      <c r="G139" s="10">
        <f>IF(ActiveDatabase=Standby,Secondary!G139,Primary!G139)</f>
        <v>-7.016100032</v>
      </c>
      <c r="H139" s="10">
        <f>IF(ActiveDatabase=Standby,Secondary!H139,Primary!H139)</f>
        <v>99.0777021919998</v>
      </c>
      <c r="I139" s="13">
        <f>IF(ActiveDatabase=Standby,Secondary!I139,Primary!I139)</f>
        <v>0</v>
      </c>
      <c r="J139" s="13">
        <f>IF(ActiveDatabase=Standby,Secondary!J139,Primary!J139)</f>
        <v>0</v>
      </c>
      <c r="K139" s="13">
        <f>IF(ActiveDatabase=Standby,Secondary!K139,Primary!K139)</f>
        <v>0</v>
      </c>
      <c r="L139" s="13">
        <f>IF(ActiveDatabase=Standby,Secondary!L139,Primary!L139)</f>
        <v>0</v>
      </c>
      <c r="M139" s="7" t="b">
        <f>IF(ActiveDatabase=Standby,Secondary!M139,Primary!M139)</f>
        <v>0</v>
      </c>
      <c r="N139" s="10">
        <f>IF(ActiveDatabase=Standby,Secondary!N139,Primary!N139)</f>
        <v>0</v>
      </c>
      <c r="O139" s="10">
        <f>IF(ActiveDatabase=Standby,Secondary!O139,Primary!O139)</f>
        <v>0</v>
      </c>
      <c r="P139" s="10">
        <f>IF(ActiveDatabase=Standby,Secondary!P139,Primary!P139)</f>
        <v>0</v>
      </c>
      <c r="Q139" s="6">
        <f>IF(ActiveDatabase=Standby,Secondary!Q139,Primary!Q139)</f>
        <v>0</v>
      </c>
      <c r="R139" s="18">
        <f>IF(ActiveDatabase=Standby,Secondary!R139,Primary!R139)</f>
        <v>0</v>
      </c>
      <c r="S139" s="19">
        <f>IF(ActiveDatabase=Standby,Secondary!S139,Primary!S139)</f>
        <v>0</v>
      </c>
      <c r="T139" s="10">
        <f>IF(ActiveDatabase=Standby,Secondary!T139,Primary!T139)</f>
        <v>0</v>
      </c>
      <c r="U139" s="10">
        <f>IF(ActiveDatabase=Standby,Secondary!U139,Primary!U139)</f>
        <v>0</v>
      </c>
      <c r="V139" s="10">
        <f>IF(ActiveDatabase=Standby,Secondary!V139,Primary!V139)</f>
        <v>0</v>
      </c>
      <c r="W139" s="6">
        <f>IF(ActiveDatabase=Standby,Secondary!W139,Primary!W139)</f>
        <v>0</v>
      </c>
      <c r="X139" s="6">
        <f>IF(ActiveDatabase=Standby,Secondary!X139,Primary!X139)</f>
        <v>0</v>
      </c>
      <c r="Y139" s="12">
        <f>IF(ActiveDatabase=Standby,Secondary!Y139,Primary!Y139)</f>
        <v>0</v>
      </c>
      <c r="Z139" s="12">
        <f>IF(ActiveDatabase=Standby,Secondary!Z139,Primary!Z139)</f>
        <v>0</v>
      </c>
      <c r="AA139" s="7">
        <f>IF(ActiveDatabase=Standby,Secondary!AA139,Primary!AA139)</f>
        <v>0</v>
      </c>
      <c r="AB139" s="12"/>
      <c r="AC139" s="6"/>
      <c r="AD139" s="6"/>
      <c r="AE139" s="7"/>
      <c r="AF139" s="7"/>
      <c r="AG139" s="7"/>
      <c r="AH139" s="7"/>
      <c r="AI139" s="7"/>
      <c r="AJ139" s="7"/>
      <c r="AK139" s="7"/>
      <c r="AL139" s="7"/>
      <c r="AM139" s="7"/>
      <c r="AN139" s="7"/>
      <c r="AO139" s="6"/>
      <c r="AP139" s="7"/>
      <c r="AQ139" s="7"/>
      <c r="AR139" s="6"/>
      <c r="AS139" s="7"/>
      <c r="AT139" s="7"/>
      <c r="AU139" s="7"/>
      <c r="AV139" s="7"/>
      <c r="AW139" s="7"/>
      <c r="AX139" s="7"/>
      <c r="AY139" s="7"/>
      <c r="AZ139" s="7"/>
      <c r="BA139" s="7"/>
      <c r="BB139" s="7"/>
      <c r="BC139" s="7"/>
      <c r="BD139" s="7"/>
      <c r="BE139" s="7"/>
      <c r="BF139" s="7"/>
      <c r="BG139" s="7"/>
    </row>
    <row r="140" customHeight="1" spans="1:59">
      <c r="A140" s="9" t="str">
        <f>IF(ActiveDatabase=Standby,Secondary!A140,Primary!A140)</f>
        <v>Calliope 17</v>
      </c>
      <c r="B140" s="5" t="str">
        <f>IF(ActiveDatabase=Standby,Secondary!B140,Primary!B140)</f>
        <v>Calliope 22</v>
      </c>
      <c r="C140" s="5" t="str">
        <f>IF(ActiveDatabase=Standby,Secondary!C140,Primary!C140)</f>
        <v>Calliope 16</v>
      </c>
      <c r="D140" s="5" t="str">
        <f>IF(ActiveDatabase=Standby,Secondary!D140,Primary!D140)</f>
        <v>Cutlass Wreck</v>
      </c>
      <c r="E140" s="6" t="str">
        <f>IF(ActiveDatabase=Standby,Secondary!E140,Primary!E140)</f>
        <v>Cutlass</v>
      </c>
      <c r="F140" s="10">
        <f>IF(ActiveDatabase=Standby,Secondary!F140,Primary!F140)</f>
        <v>234.804704319</v>
      </c>
      <c r="G140" s="10">
        <f>IF(ActiveDatabase=Standby,Secondary!G140,Primary!G140)</f>
        <v>-46.6994728939998</v>
      </c>
      <c r="H140" s="10">
        <f>IF(ActiveDatabase=Standby,Secondary!H140,Primary!H140)</f>
        <v>16.919066492</v>
      </c>
      <c r="I140" s="13">
        <f>IF(ActiveDatabase=Standby,Secondary!I140,Primary!I140)</f>
        <v>0</v>
      </c>
      <c r="J140" s="13">
        <f>IF(ActiveDatabase=Standby,Secondary!J140,Primary!J140)</f>
        <v>0</v>
      </c>
      <c r="K140" s="13">
        <f>IF(ActiveDatabase=Standby,Secondary!K140,Primary!K140)</f>
        <v>0</v>
      </c>
      <c r="L140" s="13">
        <f>IF(ActiveDatabase=Standby,Secondary!L140,Primary!L140)</f>
        <v>0</v>
      </c>
      <c r="M140" s="7" t="b">
        <f>IF(ActiveDatabase=Standby,Secondary!M140,Primary!M140)</f>
        <v>0</v>
      </c>
      <c r="N140" s="10">
        <f>IF(ActiveDatabase=Standby,Secondary!N140,Primary!N140)</f>
        <v>0</v>
      </c>
      <c r="O140" s="10">
        <f>IF(ActiveDatabase=Standby,Secondary!O140,Primary!O140)</f>
        <v>0</v>
      </c>
      <c r="P140" s="10">
        <f>IF(ActiveDatabase=Standby,Secondary!P140,Primary!P140)</f>
        <v>0</v>
      </c>
      <c r="Q140" s="6">
        <f>IF(ActiveDatabase=Standby,Secondary!Q140,Primary!Q140)</f>
        <v>0</v>
      </c>
      <c r="R140" s="18">
        <f>IF(ActiveDatabase=Standby,Secondary!R140,Primary!R140)</f>
        <v>0</v>
      </c>
      <c r="S140" s="19">
        <f>IF(ActiveDatabase=Standby,Secondary!S140,Primary!S140)</f>
        <v>0</v>
      </c>
      <c r="T140" s="10">
        <f>IF(ActiveDatabase=Standby,Secondary!T140,Primary!T140)</f>
        <v>0</v>
      </c>
      <c r="U140" s="10">
        <f>IF(ActiveDatabase=Standby,Secondary!U140,Primary!U140)</f>
        <v>0</v>
      </c>
      <c r="V140" s="10">
        <f>IF(ActiveDatabase=Standby,Secondary!V140,Primary!V140)</f>
        <v>0</v>
      </c>
      <c r="W140" s="6">
        <f>IF(ActiveDatabase=Standby,Secondary!W140,Primary!W140)</f>
        <v>0</v>
      </c>
      <c r="X140" s="6">
        <f>IF(ActiveDatabase=Standby,Secondary!X140,Primary!X140)</f>
        <v>0</v>
      </c>
      <c r="Y140" s="12">
        <f>IF(ActiveDatabase=Standby,Secondary!Y140,Primary!Y140)</f>
        <v>0</v>
      </c>
      <c r="Z140" s="12">
        <f>IF(ActiveDatabase=Standby,Secondary!Z140,Primary!Z140)</f>
        <v>0</v>
      </c>
      <c r="AA140" s="7">
        <f>IF(ActiveDatabase=Standby,Secondary!AA140,Primary!AA140)</f>
        <v>0</v>
      </c>
      <c r="AB140" s="12"/>
      <c r="AC140" s="6"/>
      <c r="AD140" s="6"/>
      <c r="AE140" s="7"/>
      <c r="AF140" s="7"/>
      <c r="AG140" s="7"/>
      <c r="AH140" s="7"/>
      <c r="AI140" s="7"/>
      <c r="AJ140" s="7"/>
      <c r="AK140" s="7"/>
      <c r="AL140" s="7"/>
      <c r="AM140" s="7"/>
      <c r="AN140" s="7"/>
      <c r="AO140" s="6"/>
      <c r="AP140" s="7"/>
      <c r="AQ140" s="7"/>
      <c r="AR140" s="6"/>
      <c r="AS140" s="7"/>
      <c r="AT140" s="7"/>
      <c r="AU140" s="7"/>
      <c r="AV140" s="7"/>
      <c r="AW140" s="7"/>
      <c r="AX140" s="7"/>
      <c r="AY140" s="7"/>
      <c r="AZ140" s="7"/>
      <c r="BA140" s="7"/>
      <c r="BB140" s="7"/>
      <c r="BC140" s="7"/>
      <c r="BD140" s="7"/>
      <c r="BE140" s="7"/>
      <c r="BF140" s="7"/>
      <c r="BG140" s="7"/>
    </row>
    <row r="141" customHeight="1" spans="1:59">
      <c r="A141" s="9" t="str">
        <f>IF(ActiveDatabase=Standby,Secondary!A141,Primary!A141)</f>
        <v>Calliope 18</v>
      </c>
      <c r="B141" s="5" t="str">
        <f>IF(ActiveDatabase=Standby,Secondary!B141,Primary!B141)</f>
        <v>Calliope 23</v>
      </c>
      <c r="C141" s="5" t="str">
        <f>IF(ActiveDatabase=Standby,Secondary!C141,Primary!C141)</f>
        <v>Calliope 13</v>
      </c>
      <c r="D141" s="5" t="str">
        <f>IF(ActiveDatabase=Standby,Secondary!D141,Primary!D141)</f>
        <v>Starfarer Wreck 29Q</v>
      </c>
      <c r="E141" s="6" t="str">
        <f>IF(ActiveDatabase=Standby,Secondary!E141,Primary!E141)</f>
        <v>Starfarer 29Q</v>
      </c>
      <c r="F141" s="10">
        <f>IF(ActiveDatabase=Standby,Secondary!F141,Primary!F141)</f>
        <v>225.967081596</v>
      </c>
      <c r="G141" s="10">
        <f>IF(ActiveDatabase=Standby,Secondary!G141,Primary!G141)</f>
        <v>-35.1940396029999</v>
      </c>
      <c r="H141" s="10">
        <f>IF(ActiveDatabase=Standby,Secondary!H141,Primary!H141)</f>
        <v>73.7382120699999</v>
      </c>
      <c r="I141" s="13">
        <f>IF(ActiveDatabase=Standby,Secondary!I141,Primary!I141)</f>
        <v>0</v>
      </c>
      <c r="J141" s="13">
        <f>IF(ActiveDatabase=Standby,Secondary!J141,Primary!J141)</f>
        <v>0</v>
      </c>
      <c r="K141" s="13">
        <f>IF(ActiveDatabase=Standby,Secondary!K141,Primary!K141)</f>
        <v>0</v>
      </c>
      <c r="L141" s="13">
        <f>IF(ActiveDatabase=Standby,Secondary!L141,Primary!L141)</f>
        <v>0</v>
      </c>
      <c r="M141" s="7" t="b">
        <f>IF(ActiveDatabase=Standby,Secondary!M141,Primary!M141)</f>
        <v>0</v>
      </c>
      <c r="N141" s="10">
        <f>IF(ActiveDatabase=Standby,Secondary!N141,Primary!N141)</f>
        <v>0</v>
      </c>
      <c r="O141" s="10">
        <f>IF(ActiveDatabase=Standby,Secondary!O141,Primary!O141)</f>
        <v>0</v>
      </c>
      <c r="P141" s="10">
        <f>IF(ActiveDatabase=Standby,Secondary!P141,Primary!P141)</f>
        <v>0</v>
      </c>
      <c r="Q141" s="6">
        <f>IF(ActiveDatabase=Standby,Secondary!Q141,Primary!Q141)</f>
        <v>0</v>
      </c>
      <c r="R141" s="18">
        <f>IF(ActiveDatabase=Standby,Secondary!R141,Primary!R141)</f>
        <v>0</v>
      </c>
      <c r="S141" s="19">
        <f>IF(ActiveDatabase=Standby,Secondary!S141,Primary!S141)</f>
        <v>0</v>
      </c>
      <c r="T141" s="10">
        <f>IF(ActiveDatabase=Standby,Secondary!T141,Primary!T141)</f>
        <v>0</v>
      </c>
      <c r="U141" s="10">
        <f>IF(ActiveDatabase=Standby,Secondary!U141,Primary!U141)</f>
        <v>0</v>
      </c>
      <c r="V141" s="10">
        <f>IF(ActiveDatabase=Standby,Secondary!V141,Primary!V141)</f>
        <v>0</v>
      </c>
      <c r="W141" s="6">
        <f>IF(ActiveDatabase=Standby,Secondary!W141,Primary!W141)</f>
        <v>0</v>
      </c>
      <c r="X141" s="6">
        <f>IF(ActiveDatabase=Standby,Secondary!X141,Primary!X141)</f>
        <v>0</v>
      </c>
      <c r="Y141" s="12">
        <f>IF(ActiveDatabase=Standby,Secondary!Y141,Primary!Y141)</f>
        <v>0</v>
      </c>
      <c r="Z141" s="12">
        <f>IF(ActiveDatabase=Standby,Secondary!Z141,Primary!Z141)</f>
        <v>0</v>
      </c>
      <c r="AA141" s="7">
        <f>IF(ActiveDatabase=Standby,Secondary!AA141,Primary!AA141)</f>
        <v>0</v>
      </c>
      <c r="AB141" s="12"/>
      <c r="AC141" s="6"/>
      <c r="AD141" s="6"/>
      <c r="AE141" s="7"/>
      <c r="AF141" s="7"/>
      <c r="AG141" s="7"/>
      <c r="AH141" s="7"/>
      <c r="AI141" s="7"/>
      <c r="AJ141" s="7"/>
      <c r="AK141" s="7"/>
      <c r="AL141" s="7"/>
      <c r="AM141" s="7"/>
      <c r="AN141" s="7"/>
      <c r="AO141" s="6"/>
      <c r="AP141" s="7"/>
      <c r="AQ141" s="7"/>
      <c r="AR141" s="6"/>
      <c r="AS141" s="7"/>
      <c r="AT141" s="7"/>
      <c r="AU141" s="7"/>
      <c r="AV141" s="7"/>
      <c r="AW141" s="7"/>
      <c r="AX141" s="7"/>
      <c r="AY141" s="7"/>
      <c r="AZ141" s="7"/>
      <c r="BA141" s="7"/>
      <c r="BB141" s="7"/>
      <c r="BC141" s="7"/>
      <c r="BD141" s="7"/>
      <c r="BE141" s="7"/>
      <c r="BF141" s="7"/>
      <c r="BG141" s="7"/>
    </row>
    <row r="142" customHeight="1" spans="1:59">
      <c r="A142" s="9" t="str">
        <f>IF(ActiveDatabase=Standby,Secondary!A142,Primary!A142)</f>
        <v>Calliope 19</v>
      </c>
      <c r="B142" s="5" t="str">
        <f>IF(ActiveDatabase=Standby,Secondary!B142,Primary!B142)</f>
        <v>Calliope 24</v>
      </c>
      <c r="C142" s="5" t="str">
        <f>IF(ActiveDatabase=Standby,Secondary!C142,Primary!C142)</f>
        <v>Calliope 05</v>
      </c>
      <c r="D142" s="5" t="str">
        <f>IF(ActiveDatabase=Standby,Secondary!D142,Primary!D142)</f>
        <v>Starfarer Wreck 39M</v>
      </c>
      <c r="E142" s="6" t="str">
        <f>IF(ActiveDatabase=Standby,Secondary!E142,Primary!E142)</f>
        <v>Starfarer 39M</v>
      </c>
      <c r="F142" s="10">
        <f>IF(ActiveDatabase=Standby,Secondary!F142,Primary!F142)</f>
        <v>152.524877042</v>
      </c>
      <c r="G142" s="10">
        <f>IF(ActiveDatabase=Standby,Secondary!G142,Primary!G142)</f>
        <v>184.795799349</v>
      </c>
      <c r="H142" s="10">
        <f>IF(ActiveDatabase=Standby,Secondary!H142,Primary!H142)</f>
        <v>-14.615864454</v>
      </c>
      <c r="I142" s="13">
        <f>IF(ActiveDatabase=Standby,Secondary!I142,Primary!I142)</f>
        <v>0</v>
      </c>
      <c r="J142" s="13">
        <f>IF(ActiveDatabase=Standby,Secondary!J142,Primary!J142)</f>
        <v>0</v>
      </c>
      <c r="K142" s="13">
        <f>IF(ActiveDatabase=Standby,Secondary!K142,Primary!K142)</f>
        <v>0</v>
      </c>
      <c r="L142" s="13">
        <f>IF(ActiveDatabase=Standby,Secondary!L142,Primary!L142)</f>
        <v>0</v>
      </c>
      <c r="M142" s="7" t="b">
        <f>IF(ActiveDatabase=Standby,Secondary!M142,Primary!M142)</f>
        <v>0</v>
      </c>
      <c r="N142" s="10">
        <f>IF(ActiveDatabase=Standby,Secondary!N142,Primary!N142)</f>
        <v>0</v>
      </c>
      <c r="O142" s="10">
        <f>IF(ActiveDatabase=Standby,Secondary!O142,Primary!O142)</f>
        <v>0</v>
      </c>
      <c r="P142" s="10">
        <f>IF(ActiveDatabase=Standby,Secondary!P142,Primary!P142)</f>
        <v>0</v>
      </c>
      <c r="Q142" s="6">
        <f>IF(ActiveDatabase=Standby,Secondary!Q142,Primary!Q142)</f>
        <v>0</v>
      </c>
      <c r="R142" s="18">
        <f>IF(ActiveDatabase=Standby,Secondary!R142,Primary!R142)</f>
        <v>0</v>
      </c>
      <c r="S142" s="19">
        <f>IF(ActiveDatabase=Standby,Secondary!S142,Primary!S142)</f>
        <v>0</v>
      </c>
      <c r="T142" s="10">
        <f>IF(ActiveDatabase=Standby,Secondary!T142,Primary!T142)</f>
        <v>0</v>
      </c>
      <c r="U142" s="10">
        <f>IF(ActiveDatabase=Standby,Secondary!U142,Primary!U142)</f>
        <v>0</v>
      </c>
      <c r="V142" s="10">
        <f>IF(ActiveDatabase=Standby,Secondary!V142,Primary!V142)</f>
        <v>0</v>
      </c>
      <c r="W142" s="6">
        <f>IF(ActiveDatabase=Standby,Secondary!W142,Primary!W142)</f>
        <v>0</v>
      </c>
      <c r="X142" s="6">
        <f>IF(ActiveDatabase=Standby,Secondary!X142,Primary!X142)</f>
        <v>0</v>
      </c>
      <c r="Y142" s="12">
        <f>IF(ActiveDatabase=Standby,Secondary!Y142,Primary!Y142)</f>
        <v>0</v>
      </c>
      <c r="Z142" s="12">
        <f>IF(ActiveDatabase=Standby,Secondary!Z142,Primary!Z142)</f>
        <v>0</v>
      </c>
      <c r="AA142" s="7">
        <f>IF(ActiveDatabase=Standby,Secondary!AA142,Primary!AA142)</f>
        <v>0</v>
      </c>
      <c r="AB142" s="12"/>
      <c r="AC142" s="6"/>
      <c r="AD142" s="6"/>
      <c r="AE142" s="7"/>
      <c r="AF142" s="7"/>
      <c r="AG142" s="7"/>
      <c r="AH142" s="7"/>
      <c r="AI142" s="7"/>
      <c r="AJ142" s="7"/>
      <c r="AK142" s="7"/>
      <c r="AL142" s="7"/>
      <c r="AM142" s="7"/>
      <c r="AN142" s="7"/>
      <c r="AO142" s="6"/>
      <c r="AP142" s="7"/>
      <c r="AQ142" s="7"/>
      <c r="AR142" s="6"/>
      <c r="AS142" s="7"/>
      <c r="AT142" s="7"/>
      <c r="AU142" s="7"/>
      <c r="AV142" s="7"/>
      <c r="AW142" s="7"/>
      <c r="AX142" s="7"/>
      <c r="AY142" s="7"/>
      <c r="AZ142" s="7"/>
      <c r="BA142" s="7"/>
      <c r="BB142" s="7"/>
      <c r="BC142" s="7"/>
      <c r="BD142" s="7"/>
      <c r="BE142" s="7"/>
      <c r="BF142" s="7"/>
      <c r="BG142" s="7"/>
    </row>
    <row r="143" customHeight="1" spans="1:59">
      <c r="A143" s="9" t="str">
        <f>IF(ActiveDatabase=Standby,Secondary!A143,Primary!A143)</f>
        <v>Calliope</v>
      </c>
      <c r="B143" s="5" t="str">
        <f>IF(ActiveDatabase=Standby,Secondary!B143,Primary!B143)</f>
        <v>Calliope 26</v>
      </c>
      <c r="C143" s="5">
        <f>IF(ActiveDatabase=Standby,Secondary!C143,Primary!C143)</f>
        <v>0</v>
      </c>
      <c r="D143" s="5" t="str">
        <f>IF(ActiveDatabase=Standby,Secondary!D143,Primary!D143)</f>
        <v>Comm Array</v>
      </c>
      <c r="E143" s="6">
        <f>IF(ActiveDatabase=Standby,Secondary!E143,Primary!E143)</f>
        <v>0</v>
      </c>
      <c r="F143" s="10">
        <f>IF(ActiveDatabase=Standby,Secondary!F143,Primary!F143)</f>
        <v>0</v>
      </c>
      <c r="G143" s="10">
        <f>IF(ActiveDatabase=Standby,Secondary!G143,Primary!G143)</f>
        <v>0</v>
      </c>
      <c r="H143" s="10">
        <f>IF(ActiveDatabase=Standby,Secondary!H143,Primary!H143)</f>
        <v>0</v>
      </c>
      <c r="I143" s="13">
        <f>IF(ActiveDatabase=Standby,Secondary!I143,Primary!I143)</f>
        <v>0</v>
      </c>
      <c r="J143" s="13">
        <f>IF(ActiveDatabase=Standby,Secondary!J143,Primary!J143)</f>
        <v>0</v>
      </c>
      <c r="K143" s="13">
        <f>IF(ActiveDatabase=Standby,Secondary!K143,Primary!K143)</f>
        <v>0</v>
      </c>
      <c r="L143" s="13">
        <f>IF(ActiveDatabase=Standby,Secondary!L143,Primary!L143)</f>
        <v>0</v>
      </c>
      <c r="M143" s="7">
        <f>IF(ActiveDatabase=Standby,Secondary!M143,Primary!M143)</f>
        <v>0</v>
      </c>
      <c r="N143" s="10">
        <f>IF(ActiveDatabase=Standby,Secondary!N143,Primary!N143)</f>
        <v>0</v>
      </c>
      <c r="O143" s="10">
        <f>IF(ActiveDatabase=Standby,Secondary!O143,Primary!O143)</f>
        <v>0</v>
      </c>
      <c r="P143" s="10">
        <f>IF(ActiveDatabase=Standby,Secondary!P143,Primary!P143)</f>
        <v>0</v>
      </c>
      <c r="Q143" s="6">
        <f>IF(ActiveDatabase=Standby,Secondary!Q143,Primary!Q143)</f>
        <v>0</v>
      </c>
      <c r="R143" s="18">
        <f>IF(ActiveDatabase=Standby,Secondary!R143,Primary!R143)</f>
        <v>0</v>
      </c>
      <c r="S143" s="19">
        <f>IF(ActiveDatabase=Standby,Secondary!S143,Primary!S143)</f>
        <v>0</v>
      </c>
      <c r="T143" s="10">
        <f>IF(ActiveDatabase=Standby,Secondary!T143,Primary!T143)</f>
        <v>0</v>
      </c>
      <c r="U143" s="10">
        <f>IF(ActiveDatabase=Standby,Secondary!U143,Primary!U143)</f>
        <v>0</v>
      </c>
      <c r="V143" s="10">
        <f>IF(ActiveDatabase=Standby,Secondary!V143,Primary!V143)</f>
        <v>0</v>
      </c>
      <c r="W143" s="6">
        <f>IF(ActiveDatabase=Standby,Secondary!W143,Primary!W143)</f>
        <v>0</v>
      </c>
      <c r="X143" s="6">
        <f>IF(ActiveDatabase=Standby,Secondary!X143,Primary!X143)</f>
        <v>0</v>
      </c>
      <c r="Y143" s="12">
        <f>IF(ActiveDatabase=Standby,Secondary!Y143,Primary!Y143)</f>
        <v>0</v>
      </c>
      <c r="Z143" s="12">
        <f>IF(ActiveDatabase=Standby,Secondary!Z143,Primary!Z143)</f>
        <v>0</v>
      </c>
      <c r="AA143" s="7">
        <f>IF(ActiveDatabase=Standby,Secondary!AA143,Primary!AA143)</f>
        <v>0</v>
      </c>
      <c r="AB143" s="12"/>
      <c r="AC143" s="6"/>
      <c r="AD143" s="6"/>
      <c r="AE143" s="7"/>
      <c r="AF143" s="7"/>
      <c r="AG143" s="7"/>
      <c r="AH143" s="7"/>
      <c r="AI143" s="7"/>
      <c r="AJ143" s="7"/>
      <c r="AK143" s="7"/>
      <c r="AL143" s="7"/>
      <c r="AM143" s="7"/>
      <c r="AN143" s="7"/>
      <c r="AO143" s="6"/>
      <c r="AP143" s="7"/>
      <c r="AQ143" s="7"/>
      <c r="AR143" s="6"/>
      <c r="AS143" s="7"/>
      <c r="AT143" s="7"/>
      <c r="AU143" s="7"/>
      <c r="AV143" s="7"/>
      <c r="AW143" s="7"/>
      <c r="AX143" s="7"/>
      <c r="AY143" s="7"/>
      <c r="AZ143" s="7"/>
      <c r="BA143" s="7"/>
      <c r="BB143" s="7"/>
      <c r="BC143" s="7"/>
      <c r="BD143" s="7"/>
      <c r="BE143" s="7"/>
      <c r="BF143" s="7"/>
      <c r="BG143" s="7"/>
    </row>
    <row r="144" customHeight="1" spans="1:59">
      <c r="A144" s="9" t="str">
        <f>IF(ActiveDatabase=Standby,Secondary!A144,Primary!A144)</f>
        <v>Calliope 10</v>
      </c>
      <c r="B144" s="5" t="str">
        <f>IF(ActiveDatabase=Standby,Secondary!B144,Primary!B144)</f>
        <v>Calliope 27</v>
      </c>
      <c r="C144" s="5" t="str">
        <f>IF(ActiveDatabase=Standby,Secondary!C144,Primary!C144)</f>
        <v>Calliope 04</v>
      </c>
      <c r="D144" s="5" t="str">
        <f>IF(ActiveDatabase=Standby,Secondary!D144,Primary!D144)</f>
        <v>Comm Array ST4-31</v>
      </c>
      <c r="E144" s="6" t="str">
        <f>IF(ActiveDatabase=Standby,Secondary!E144,Primary!E144)</f>
        <v>ST4-31</v>
      </c>
      <c r="F144" s="10">
        <f>IF(ActiveDatabase=Standby,Secondary!F144,Primary!F144)</f>
        <v>258.505721000671</v>
      </c>
      <c r="G144" s="10">
        <f>IF(ActiveDatabase=Standby,Secondary!G144,Primary!G144)</f>
        <v>474.193314002991</v>
      </c>
      <c r="H144" s="10">
        <f>IF(ActiveDatabase=Standby,Secondary!H144,Primary!H144)</f>
        <v>24</v>
      </c>
      <c r="I144" s="13">
        <f>IF(ActiveDatabase=Standby,Secondary!I144,Primary!I144)</f>
        <v>0</v>
      </c>
      <c r="J144" s="13">
        <f>IF(ActiveDatabase=Standby,Secondary!J144,Primary!J144)</f>
        <v>0</v>
      </c>
      <c r="K144" s="13">
        <f>IF(ActiveDatabase=Standby,Secondary!K144,Primary!K144)</f>
        <v>0</v>
      </c>
      <c r="L144" s="13">
        <f>IF(ActiveDatabase=Standby,Secondary!L144,Primary!L144)</f>
        <v>0</v>
      </c>
      <c r="M144" s="7" t="b">
        <f>IF(ActiveDatabase=Standby,Secondary!M144,Primary!M144)</f>
        <v>1</v>
      </c>
      <c r="N144" s="10">
        <f>IF(ActiveDatabase=Standby,Secondary!N144,Primary!N144)</f>
        <v>0</v>
      </c>
      <c r="O144" s="10">
        <f>IF(ActiveDatabase=Standby,Secondary!O144,Primary!O144)</f>
        <v>0</v>
      </c>
      <c r="P144" s="10">
        <f>IF(ActiveDatabase=Standby,Secondary!P144,Primary!P144)</f>
        <v>0</v>
      </c>
      <c r="Q144" s="6">
        <f>IF(ActiveDatabase=Standby,Secondary!Q144,Primary!Q144)</f>
        <v>0</v>
      </c>
      <c r="R144" s="18">
        <f>IF(ActiveDatabase=Standby,Secondary!R144,Primary!R144)</f>
        <v>0</v>
      </c>
      <c r="S144" s="19">
        <f>IF(ActiveDatabase=Standby,Secondary!S144,Primary!S144)</f>
        <v>0</v>
      </c>
      <c r="T144" s="10">
        <f>IF(ActiveDatabase=Standby,Secondary!T144,Primary!T144)</f>
        <v>0</v>
      </c>
      <c r="U144" s="10">
        <f>IF(ActiveDatabase=Standby,Secondary!U144,Primary!U144)</f>
        <v>0</v>
      </c>
      <c r="V144" s="10">
        <f>IF(ActiveDatabase=Standby,Secondary!V144,Primary!V144)</f>
        <v>0</v>
      </c>
      <c r="W144" s="6">
        <f>IF(ActiveDatabase=Standby,Secondary!W144,Primary!W144)</f>
        <v>0</v>
      </c>
      <c r="X144" s="6">
        <f>IF(ActiveDatabase=Standby,Secondary!X144,Primary!X144)</f>
        <v>0</v>
      </c>
      <c r="Y144" s="12">
        <f>IF(ActiveDatabase=Standby,Secondary!Y144,Primary!Y144)</f>
        <v>0</v>
      </c>
      <c r="Z144" s="12">
        <f>IF(ActiveDatabase=Standby,Secondary!Z144,Primary!Z144)</f>
        <v>0</v>
      </c>
      <c r="AA144" s="7">
        <f>IF(ActiveDatabase=Standby,Secondary!AA144,Primary!AA144)</f>
        <v>0</v>
      </c>
      <c r="AB144" s="12"/>
      <c r="AC144" s="6"/>
      <c r="AD144" s="6"/>
      <c r="AE144" s="7"/>
      <c r="AF144" s="7"/>
      <c r="AG144" s="7"/>
      <c r="AH144" s="7"/>
      <c r="AI144" s="7"/>
      <c r="AJ144" s="7"/>
      <c r="AK144" s="7"/>
      <c r="AL144" s="7"/>
      <c r="AM144" s="7"/>
      <c r="AN144" s="7"/>
      <c r="AO144" s="6"/>
      <c r="AP144" s="7"/>
      <c r="AQ144" s="7"/>
      <c r="AR144" s="6"/>
      <c r="AS144" s="7"/>
      <c r="AT144" s="7"/>
      <c r="AU144" s="7"/>
      <c r="AV144" s="7"/>
      <c r="AW144" s="7"/>
      <c r="AX144" s="7"/>
      <c r="AY144" s="7"/>
      <c r="AZ144" s="7"/>
      <c r="BA144" s="7"/>
      <c r="BB144" s="7"/>
      <c r="BC144" s="7"/>
      <c r="BD144" s="7"/>
      <c r="BE144" s="7"/>
      <c r="BF144" s="7"/>
      <c r="BG144" s="7"/>
    </row>
    <row r="145" customHeight="1" spans="1:59">
      <c r="A145" s="9">
        <f>IF(ActiveDatabase=Standby,Secondary!A145,Primary!A145)</f>
        <v>0</v>
      </c>
      <c r="B145" s="5">
        <f>IF(ActiveDatabase=Standby,Secondary!B145,Primary!B145)</f>
        <v>0</v>
      </c>
      <c r="C145" s="5">
        <f>IF(ActiveDatabase=Standby,Secondary!C145,Primary!C145)</f>
        <v>0</v>
      </c>
      <c r="D145" s="5">
        <f>IF(ActiveDatabase=Standby,Secondary!D145,Primary!D145)</f>
        <v>0</v>
      </c>
      <c r="E145" s="6">
        <f>IF(ActiveDatabase=Standby,Secondary!E145,Primary!E145)</f>
        <v>0</v>
      </c>
      <c r="F145" s="10">
        <f>IF(ActiveDatabase=Standby,Secondary!F145,Primary!F145)</f>
        <v>0</v>
      </c>
      <c r="G145" s="10">
        <f>IF(ActiveDatabase=Standby,Secondary!G145,Primary!G145)</f>
        <v>0</v>
      </c>
      <c r="H145" s="10">
        <f>IF(ActiveDatabase=Standby,Secondary!H145,Primary!H145)</f>
        <v>0</v>
      </c>
      <c r="I145" s="13">
        <f>IF(ActiveDatabase=Standby,Secondary!I145,Primary!I145)</f>
        <v>0</v>
      </c>
      <c r="J145" s="13">
        <f>IF(ActiveDatabase=Standby,Secondary!J145,Primary!J145)</f>
        <v>0</v>
      </c>
      <c r="K145" s="13">
        <f>IF(ActiveDatabase=Standby,Secondary!K145,Primary!K145)</f>
        <v>0</v>
      </c>
      <c r="L145" s="13">
        <f>IF(ActiveDatabase=Standby,Secondary!L145,Primary!L145)</f>
        <v>0</v>
      </c>
      <c r="M145" s="7">
        <f>IF(ActiveDatabase=Standby,Secondary!M145,Primary!M145)</f>
        <v>0</v>
      </c>
      <c r="N145" s="10">
        <f>IF(ActiveDatabase=Standby,Secondary!N145,Primary!N145)</f>
        <v>0</v>
      </c>
      <c r="O145" s="10">
        <f>IF(ActiveDatabase=Standby,Secondary!O145,Primary!O145)</f>
        <v>0</v>
      </c>
      <c r="P145" s="10">
        <f>IF(ActiveDatabase=Standby,Secondary!P145,Primary!P145)</f>
        <v>0</v>
      </c>
      <c r="Q145" s="6">
        <f>IF(ActiveDatabase=Standby,Secondary!Q145,Primary!Q145)</f>
        <v>0</v>
      </c>
      <c r="R145" s="18">
        <f>IF(ActiveDatabase=Standby,Secondary!R145,Primary!R145)</f>
        <v>0</v>
      </c>
      <c r="S145" s="19">
        <f>IF(ActiveDatabase=Standby,Secondary!S145,Primary!S145)</f>
        <v>0</v>
      </c>
      <c r="T145" s="10">
        <f>IF(ActiveDatabase=Standby,Secondary!T145,Primary!T145)</f>
        <v>0</v>
      </c>
      <c r="U145" s="10">
        <f>IF(ActiveDatabase=Standby,Secondary!U145,Primary!U145)</f>
        <v>0</v>
      </c>
      <c r="V145" s="10">
        <f>IF(ActiveDatabase=Standby,Secondary!V145,Primary!V145)</f>
        <v>0</v>
      </c>
      <c r="W145" s="6">
        <f>IF(ActiveDatabase=Standby,Secondary!W145,Primary!W145)</f>
        <v>0</v>
      </c>
      <c r="X145" s="6">
        <f>IF(ActiveDatabase=Standby,Secondary!X145,Primary!X145)</f>
        <v>0</v>
      </c>
      <c r="Y145" s="12">
        <f>IF(ActiveDatabase=Standby,Secondary!Y145,Primary!Y145)</f>
        <v>0</v>
      </c>
      <c r="Z145" s="12">
        <f>IF(ActiveDatabase=Standby,Secondary!Z145,Primary!Z145)</f>
        <v>0</v>
      </c>
      <c r="AA145" s="7">
        <f>IF(ActiveDatabase=Standby,Secondary!AA145,Primary!AA145)</f>
        <v>0</v>
      </c>
      <c r="AB145" s="12"/>
      <c r="AC145" s="6"/>
      <c r="AD145" s="6"/>
      <c r="AE145" s="7"/>
      <c r="AF145" s="7"/>
      <c r="AG145" s="7"/>
      <c r="AH145" s="7"/>
      <c r="AI145" s="7"/>
      <c r="AJ145" s="7"/>
      <c r="AK145" s="7"/>
      <c r="AL145" s="7"/>
      <c r="AM145" s="7"/>
      <c r="AN145" s="7"/>
      <c r="AO145" s="6"/>
      <c r="AP145" s="7"/>
      <c r="AQ145" s="7"/>
      <c r="AR145" s="6"/>
      <c r="AS145" s="7"/>
      <c r="AT145" s="7"/>
      <c r="AU145" s="7"/>
      <c r="AV145" s="7"/>
      <c r="AW145" s="7"/>
      <c r="AX145" s="7"/>
      <c r="AY145" s="7"/>
      <c r="AZ145" s="7"/>
      <c r="BA145" s="7"/>
      <c r="BB145" s="7"/>
      <c r="BC145" s="7"/>
      <c r="BD145" s="7"/>
      <c r="BE145" s="7"/>
      <c r="BF145" s="7"/>
      <c r="BG145" s="7"/>
    </row>
    <row r="146" customHeight="1" spans="1:59">
      <c r="A146" s="9" t="str">
        <f>IF(ActiveDatabase=Standby,Secondary!A146,Primary!A146)</f>
        <v>Cellin R01</v>
      </c>
      <c r="B146" s="5" t="str">
        <f>IF(ActiveDatabase=Standby,Secondary!B146,Primary!B146)</f>
        <v>Cellin 34</v>
      </c>
      <c r="C146" s="5">
        <f>IF(ActiveDatabase=Standby,Secondary!C146,Primary!C146)</f>
        <v>0</v>
      </c>
      <c r="D146" s="5" t="str">
        <f>IF(ActiveDatabase=Standby,Secondary!D146,Primary!D146)</f>
        <v>OM-1</v>
      </c>
      <c r="E146" s="6" t="str">
        <f>IF(ActiveDatabase=Standby,Secondary!E146,Primary!E146)</f>
        <v>OM1</v>
      </c>
      <c r="F146" s="10">
        <f>IF(ActiveDatabase=Standby,Secondary!F146,Primary!F146)</f>
        <v>0</v>
      </c>
      <c r="G146" s="10">
        <f>IF(ActiveDatabase=Standby,Secondary!G146,Primary!G146)</f>
        <v>0</v>
      </c>
      <c r="H146" s="10">
        <f>IF(ActiveDatabase=Standby,Secondary!H146,Primary!H146)</f>
        <v>380.53</v>
      </c>
      <c r="I146" s="13">
        <f>IF(ActiveDatabase=Standby,Secondary!I146,Primary!I146)</f>
        <v>0</v>
      </c>
      <c r="J146" s="13">
        <f>IF(ActiveDatabase=Standby,Secondary!J146,Primary!J146)</f>
        <v>0</v>
      </c>
      <c r="K146" s="13">
        <f>IF(ActiveDatabase=Standby,Secondary!K146,Primary!K146)</f>
        <v>0</v>
      </c>
      <c r="L146" s="13">
        <f>IF(ActiveDatabase=Standby,Secondary!L146,Primary!L146)</f>
        <v>0</v>
      </c>
      <c r="M146" s="7" t="b">
        <f>IF(ActiveDatabase=Standby,Secondary!M146,Primary!M146)</f>
        <v>1</v>
      </c>
      <c r="N146" s="10">
        <f>IF(ActiveDatabase=Standby,Secondary!N146,Primary!N146)</f>
        <v>0</v>
      </c>
      <c r="O146" s="10">
        <f>IF(ActiveDatabase=Standby,Secondary!O146,Primary!O146)</f>
        <v>0</v>
      </c>
      <c r="P146" s="10">
        <f>IF(ActiveDatabase=Standby,Secondary!P146,Primary!P146)</f>
        <v>0</v>
      </c>
      <c r="Q146" s="6">
        <f>IF(ActiveDatabase=Standby,Secondary!Q146,Primary!Q146)</f>
        <v>0</v>
      </c>
      <c r="R146" s="18">
        <f>IF(ActiveDatabase=Standby,Secondary!R146,Primary!R146)</f>
        <v>0</v>
      </c>
      <c r="S146" s="19">
        <f>IF(ActiveDatabase=Standby,Secondary!S146,Primary!S146)</f>
        <v>0</v>
      </c>
      <c r="T146" s="10">
        <f>IF(ActiveDatabase=Standby,Secondary!T146,Primary!T146)</f>
        <v>0</v>
      </c>
      <c r="U146" s="10">
        <f>IF(ActiveDatabase=Standby,Secondary!U146,Primary!U146)</f>
        <v>0</v>
      </c>
      <c r="V146" s="10">
        <f>IF(ActiveDatabase=Standby,Secondary!V146,Primary!V146)</f>
        <v>0</v>
      </c>
      <c r="W146" s="6">
        <f>IF(ActiveDatabase=Standby,Secondary!W146,Primary!W146)</f>
        <v>0</v>
      </c>
      <c r="X146" s="6">
        <f>IF(ActiveDatabase=Standby,Secondary!X146,Primary!X146)</f>
        <v>0</v>
      </c>
      <c r="Y146" s="12">
        <f>IF(ActiveDatabase=Standby,Secondary!Y146,Primary!Y146)</f>
        <v>0</v>
      </c>
      <c r="Z146" s="12">
        <f>IF(ActiveDatabase=Standby,Secondary!Z146,Primary!Z146)</f>
        <v>0</v>
      </c>
      <c r="AA146" s="7">
        <f>IF(ActiveDatabase=Standby,Secondary!AA146,Primary!AA146)</f>
        <v>0</v>
      </c>
      <c r="AB146" s="12"/>
      <c r="AC146" s="6"/>
      <c r="AD146" s="6"/>
      <c r="AE146" s="7"/>
      <c r="AF146" s="7"/>
      <c r="AG146" s="7"/>
      <c r="AH146" s="7"/>
      <c r="AI146" s="7"/>
      <c r="AJ146" s="7"/>
      <c r="AK146" s="7"/>
      <c r="AL146" s="7"/>
      <c r="AM146" s="7"/>
      <c r="AN146" s="7"/>
      <c r="AO146" s="6"/>
      <c r="AP146" s="7"/>
      <c r="AQ146" s="7"/>
      <c r="AR146" s="6"/>
      <c r="AS146" s="7"/>
      <c r="AT146" s="7"/>
      <c r="AU146" s="7"/>
      <c r="AV146" s="7"/>
      <c r="AW146" s="7"/>
      <c r="AX146" s="7"/>
      <c r="AY146" s="7"/>
      <c r="AZ146" s="7"/>
      <c r="BA146" s="7"/>
      <c r="BB146" s="7"/>
      <c r="BC146" s="7"/>
      <c r="BD146" s="7"/>
      <c r="BE146" s="7"/>
      <c r="BF146" s="7"/>
      <c r="BG146" s="7"/>
    </row>
    <row r="147" customHeight="1" spans="1:59">
      <c r="A147" s="9" t="str">
        <f>IF(ActiveDatabase=Standby,Secondary!A147,Primary!A147)</f>
        <v>Cellin R02</v>
      </c>
      <c r="B147" s="5" t="str">
        <f>IF(ActiveDatabase=Standby,Secondary!B147,Primary!B147)</f>
        <v>Cellin 35</v>
      </c>
      <c r="C147" s="5">
        <f>IF(ActiveDatabase=Standby,Secondary!C147,Primary!C147)</f>
        <v>0</v>
      </c>
      <c r="D147" s="5" t="str">
        <f>IF(ActiveDatabase=Standby,Secondary!D147,Primary!D147)</f>
        <v>OM-2</v>
      </c>
      <c r="E147" s="6" t="str">
        <f>IF(ActiveDatabase=Standby,Secondary!E147,Primary!E147)</f>
        <v>OM2</v>
      </c>
      <c r="F147" s="10">
        <f>IF(ActiveDatabase=Standby,Secondary!F147,Primary!F147)</f>
        <v>0</v>
      </c>
      <c r="G147" s="10">
        <f>IF(ActiveDatabase=Standby,Secondary!G147,Primary!G147)</f>
        <v>0</v>
      </c>
      <c r="H147" s="10">
        <f>IF(ActiveDatabase=Standby,Secondary!H147,Primary!H147)</f>
        <v>-380.53</v>
      </c>
      <c r="I147" s="13">
        <f>IF(ActiveDatabase=Standby,Secondary!I147,Primary!I147)</f>
        <v>0</v>
      </c>
      <c r="J147" s="13">
        <f>IF(ActiveDatabase=Standby,Secondary!J147,Primary!J147)</f>
        <v>0</v>
      </c>
      <c r="K147" s="13">
        <f>IF(ActiveDatabase=Standby,Secondary!K147,Primary!K147)</f>
        <v>0</v>
      </c>
      <c r="L147" s="13">
        <f>IF(ActiveDatabase=Standby,Secondary!L147,Primary!L147)</f>
        <v>0</v>
      </c>
      <c r="M147" s="7" t="b">
        <f>IF(ActiveDatabase=Standby,Secondary!M147,Primary!M147)</f>
        <v>1</v>
      </c>
      <c r="N147" s="10">
        <f>IF(ActiveDatabase=Standby,Secondary!N147,Primary!N147)</f>
        <v>0</v>
      </c>
      <c r="O147" s="10">
        <f>IF(ActiveDatabase=Standby,Secondary!O147,Primary!O147)</f>
        <v>0</v>
      </c>
      <c r="P147" s="10">
        <f>IF(ActiveDatabase=Standby,Secondary!P147,Primary!P147)</f>
        <v>0</v>
      </c>
      <c r="Q147" s="6">
        <f>IF(ActiveDatabase=Standby,Secondary!Q147,Primary!Q147)</f>
        <v>0</v>
      </c>
      <c r="R147" s="18">
        <f>IF(ActiveDatabase=Standby,Secondary!R147,Primary!R147)</f>
        <v>0</v>
      </c>
      <c r="S147" s="19">
        <f>IF(ActiveDatabase=Standby,Secondary!S147,Primary!S147)</f>
        <v>0</v>
      </c>
      <c r="T147" s="10">
        <f>IF(ActiveDatabase=Standby,Secondary!T147,Primary!T147)</f>
        <v>0</v>
      </c>
      <c r="U147" s="10">
        <f>IF(ActiveDatabase=Standby,Secondary!U147,Primary!U147)</f>
        <v>0</v>
      </c>
      <c r="V147" s="10">
        <f>IF(ActiveDatabase=Standby,Secondary!V147,Primary!V147)</f>
        <v>0</v>
      </c>
      <c r="W147" s="6">
        <f>IF(ActiveDatabase=Standby,Secondary!W147,Primary!W147)</f>
        <v>0</v>
      </c>
      <c r="X147" s="6">
        <f>IF(ActiveDatabase=Standby,Secondary!X147,Primary!X147)</f>
        <v>0</v>
      </c>
      <c r="Y147" s="12">
        <f>IF(ActiveDatabase=Standby,Secondary!Y147,Primary!Y147)</f>
        <v>0</v>
      </c>
      <c r="Z147" s="12">
        <f>IF(ActiveDatabase=Standby,Secondary!Z147,Primary!Z147)</f>
        <v>0</v>
      </c>
      <c r="AA147" s="7">
        <f>IF(ActiveDatabase=Standby,Secondary!AA147,Primary!AA147)</f>
        <v>0</v>
      </c>
      <c r="AB147" s="12"/>
      <c r="AC147" s="6"/>
      <c r="AD147" s="6"/>
      <c r="AE147" s="7"/>
      <c r="AF147" s="7"/>
      <c r="AG147" s="7"/>
      <c r="AH147" s="7"/>
      <c r="AI147" s="7"/>
      <c r="AJ147" s="7"/>
      <c r="AK147" s="7"/>
      <c r="AL147" s="7"/>
      <c r="AM147" s="7"/>
      <c r="AN147" s="7"/>
      <c r="AO147" s="6"/>
      <c r="AP147" s="7"/>
      <c r="AQ147" s="7"/>
      <c r="AR147" s="6"/>
      <c r="AS147" s="7"/>
      <c r="AT147" s="7"/>
      <c r="AU147" s="7"/>
      <c r="AV147" s="7"/>
      <c r="AW147" s="7"/>
      <c r="AX147" s="7"/>
      <c r="AY147" s="7"/>
      <c r="AZ147" s="7"/>
      <c r="BA147" s="7"/>
      <c r="BB147" s="7"/>
      <c r="BC147" s="7"/>
      <c r="BD147" s="7"/>
      <c r="BE147" s="7"/>
      <c r="BF147" s="7"/>
      <c r="BG147" s="7"/>
    </row>
    <row r="148" customHeight="1" spans="1:59">
      <c r="A148" s="9" t="str">
        <f>IF(ActiveDatabase=Standby,Secondary!A148,Primary!A148)</f>
        <v>Cellin R03</v>
      </c>
      <c r="B148" s="5" t="str">
        <f>IF(ActiveDatabase=Standby,Secondary!B148,Primary!B148)</f>
        <v>Cellin 36</v>
      </c>
      <c r="C148" s="5" t="str">
        <f>IF(ActiveDatabase=Standby,Secondary!C148,Primary!C148)</f>
        <v>Cellin 07</v>
      </c>
      <c r="D148" s="5" t="str">
        <f>IF(ActiveDatabase=Standby,Secondary!D148,Primary!D148)</f>
        <v>OM-3</v>
      </c>
      <c r="E148" s="6" t="str">
        <f>IF(ActiveDatabase=Standby,Secondary!E148,Primary!E148)</f>
        <v>OM3</v>
      </c>
      <c r="F148" s="10">
        <f>IF(ActiveDatabase=Standby,Secondary!F148,Primary!F148)</f>
        <v>0</v>
      </c>
      <c r="G148" s="10">
        <f>IF(ActiveDatabase=Standby,Secondary!G148,Primary!G148)</f>
        <v>380.53</v>
      </c>
      <c r="H148" s="10">
        <f>IF(ActiveDatabase=Standby,Secondary!H148,Primary!H148)</f>
        <v>0</v>
      </c>
      <c r="I148" s="13">
        <f>IF(ActiveDatabase=Standby,Secondary!I148,Primary!I148)</f>
        <v>0</v>
      </c>
      <c r="J148" s="13">
        <f>IF(ActiveDatabase=Standby,Secondary!J148,Primary!J148)</f>
        <v>0</v>
      </c>
      <c r="K148" s="13">
        <f>IF(ActiveDatabase=Standby,Secondary!K148,Primary!K148)</f>
        <v>0</v>
      </c>
      <c r="L148" s="13">
        <f>IF(ActiveDatabase=Standby,Secondary!L148,Primary!L148)</f>
        <v>0</v>
      </c>
      <c r="M148" s="7" t="b">
        <f>IF(ActiveDatabase=Standby,Secondary!M148,Primary!M148)</f>
        <v>1</v>
      </c>
      <c r="N148" s="10">
        <f>IF(ActiveDatabase=Standby,Secondary!N148,Primary!N148)</f>
        <v>0</v>
      </c>
      <c r="O148" s="10">
        <f>IF(ActiveDatabase=Standby,Secondary!O148,Primary!O148)</f>
        <v>0</v>
      </c>
      <c r="P148" s="10">
        <f>IF(ActiveDatabase=Standby,Secondary!P148,Primary!P148)</f>
        <v>0</v>
      </c>
      <c r="Q148" s="6">
        <f>IF(ActiveDatabase=Standby,Secondary!Q148,Primary!Q148)</f>
        <v>0</v>
      </c>
      <c r="R148" s="18">
        <f>IF(ActiveDatabase=Standby,Secondary!R148,Primary!R148)</f>
        <v>0</v>
      </c>
      <c r="S148" s="19">
        <f>IF(ActiveDatabase=Standby,Secondary!S148,Primary!S148)</f>
        <v>0</v>
      </c>
      <c r="T148" s="10">
        <f>IF(ActiveDatabase=Standby,Secondary!T148,Primary!T148)</f>
        <v>0</v>
      </c>
      <c r="U148" s="10">
        <f>IF(ActiveDatabase=Standby,Secondary!U148,Primary!U148)</f>
        <v>0</v>
      </c>
      <c r="V148" s="10">
        <f>IF(ActiveDatabase=Standby,Secondary!V148,Primary!V148)</f>
        <v>0</v>
      </c>
      <c r="W148" s="6">
        <f>IF(ActiveDatabase=Standby,Secondary!W148,Primary!W148)</f>
        <v>0</v>
      </c>
      <c r="X148" s="6">
        <f>IF(ActiveDatabase=Standby,Secondary!X148,Primary!X148)</f>
        <v>0</v>
      </c>
      <c r="Y148" s="12">
        <f>IF(ActiveDatabase=Standby,Secondary!Y148,Primary!Y148)</f>
        <v>0</v>
      </c>
      <c r="Z148" s="12">
        <f>IF(ActiveDatabase=Standby,Secondary!Z148,Primary!Z148)</f>
        <v>0</v>
      </c>
      <c r="AA148" s="7">
        <f>IF(ActiveDatabase=Standby,Secondary!AA148,Primary!AA148)</f>
        <v>0</v>
      </c>
      <c r="AB148" s="12"/>
      <c r="AC148" s="6"/>
      <c r="AD148" s="6"/>
      <c r="AE148" s="7"/>
      <c r="AF148" s="7"/>
      <c r="AG148" s="7"/>
      <c r="AH148" s="7"/>
      <c r="AI148" s="7"/>
      <c r="AJ148" s="7"/>
      <c r="AK148" s="7"/>
      <c r="AL148" s="7"/>
      <c r="AM148" s="7"/>
      <c r="AN148" s="7"/>
      <c r="AO148" s="6"/>
      <c r="AP148" s="7"/>
      <c r="AQ148" s="7"/>
      <c r="AR148" s="6"/>
      <c r="AS148" s="7"/>
      <c r="AT148" s="7"/>
      <c r="AU148" s="7"/>
      <c r="AV148" s="7"/>
      <c r="AW148" s="7"/>
      <c r="AX148" s="7"/>
      <c r="AY148" s="7"/>
      <c r="AZ148" s="7"/>
      <c r="BA148" s="7"/>
      <c r="BB148" s="7"/>
      <c r="BC148" s="7"/>
      <c r="BD148" s="7"/>
      <c r="BE148" s="7"/>
      <c r="BF148" s="7"/>
      <c r="BG148" s="7"/>
    </row>
    <row r="149" customHeight="1" spans="1:59">
      <c r="A149" s="9" t="str">
        <f>IF(ActiveDatabase=Standby,Secondary!A149,Primary!A149)</f>
        <v>Cellin R04</v>
      </c>
      <c r="B149" s="5" t="str">
        <f>IF(ActiveDatabase=Standby,Secondary!B149,Primary!B149)</f>
        <v>Cellin 37</v>
      </c>
      <c r="C149" s="5" t="str">
        <f>IF(ActiveDatabase=Standby,Secondary!C149,Primary!C149)</f>
        <v>Cellin 23</v>
      </c>
      <c r="D149" s="5" t="str">
        <f>IF(ActiveDatabase=Standby,Secondary!D149,Primary!D149)</f>
        <v>OM-4</v>
      </c>
      <c r="E149" s="6" t="str">
        <f>IF(ActiveDatabase=Standby,Secondary!E149,Primary!E149)</f>
        <v>OM4</v>
      </c>
      <c r="F149" s="10">
        <f>IF(ActiveDatabase=Standby,Secondary!F149,Primary!F149)</f>
        <v>0</v>
      </c>
      <c r="G149" s="10">
        <f>IF(ActiveDatabase=Standby,Secondary!G149,Primary!G149)</f>
        <v>-380.53</v>
      </c>
      <c r="H149" s="10">
        <f>IF(ActiveDatabase=Standby,Secondary!H149,Primary!H149)</f>
        <v>0</v>
      </c>
      <c r="I149" s="13">
        <f>IF(ActiveDatabase=Standby,Secondary!I149,Primary!I149)</f>
        <v>0</v>
      </c>
      <c r="J149" s="13">
        <f>IF(ActiveDatabase=Standby,Secondary!J149,Primary!J149)</f>
        <v>0</v>
      </c>
      <c r="K149" s="13">
        <f>IF(ActiveDatabase=Standby,Secondary!K149,Primary!K149)</f>
        <v>0</v>
      </c>
      <c r="L149" s="13">
        <f>IF(ActiveDatabase=Standby,Secondary!L149,Primary!L149)</f>
        <v>0</v>
      </c>
      <c r="M149" s="7" t="b">
        <f>IF(ActiveDatabase=Standby,Secondary!M149,Primary!M149)</f>
        <v>1</v>
      </c>
      <c r="N149" s="10">
        <f>IF(ActiveDatabase=Standby,Secondary!N149,Primary!N149)</f>
        <v>0</v>
      </c>
      <c r="O149" s="10">
        <f>IF(ActiveDatabase=Standby,Secondary!O149,Primary!O149)</f>
        <v>0</v>
      </c>
      <c r="P149" s="10">
        <f>IF(ActiveDatabase=Standby,Secondary!P149,Primary!P149)</f>
        <v>0</v>
      </c>
      <c r="Q149" s="6">
        <f>IF(ActiveDatabase=Standby,Secondary!Q149,Primary!Q149)</f>
        <v>0</v>
      </c>
      <c r="R149" s="18">
        <f>IF(ActiveDatabase=Standby,Secondary!R149,Primary!R149)</f>
        <v>0</v>
      </c>
      <c r="S149" s="19">
        <f>IF(ActiveDatabase=Standby,Secondary!S149,Primary!S149)</f>
        <v>0</v>
      </c>
      <c r="T149" s="10">
        <f>IF(ActiveDatabase=Standby,Secondary!T149,Primary!T149)</f>
        <v>0</v>
      </c>
      <c r="U149" s="10">
        <f>IF(ActiveDatabase=Standby,Secondary!U149,Primary!U149)</f>
        <v>0</v>
      </c>
      <c r="V149" s="10">
        <f>IF(ActiveDatabase=Standby,Secondary!V149,Primary!V149)</f>
        <v>0</v>
      </c>
      <c r="W149" s="6">
        <f>IF(ActiveDatabase=Standby,Secondary!W149,Primary!W149)</f>
        <v>0</v>
      </c>
      <c r="X149" s="6">
        <f>IF(ActiveDatabase=Standby,Secondary!X149,Primary!X149)</f>
        <v>0</v>
      </c>
      <c r="Y149" s="12">
        <f>IF(ActiveDatabase=Standby,Secondary!Y149,Primary!Y149)</f>
        <v>0</v>
      </c>
      <c r="Z149" s="12">
        <f>IF(ActiveDatabase=Standby,Secondary!Z149,Primary!Z149)</f>
        <v>0</v>
      </c>
      <c r="AA149" s="7">
        <f>IF(ActiveDatabase=Standby,Secondary!AA149,Primary!AA149)</f>
        <v>0</v>
      </c>
      <c r="AB149" s="12"/>
      <c r="AC149" s="6"/>
      <c r="AD149" s="6"/>
      <c r="AE149" s="7"/>
      <c r="AF149" s="7"/>
      <c r="AG149" s="7"/>
      <c r="AH149" s="7"/>
      <c r="AI149" s="7"/>
      <c r="AJ149" s="7"/>
      <c r="AK149" s="7"/>
      <c r="AL149" s="7"/>
      <c r="AM149" s="7"/>
      <c r="AN149" s="7"/>
      <c r="AO149" s="6"/>
      <c r="AP149" s="7"/>
      <c r="AQ149" s="7"/>
      <c r="AR149" s="6"/>
      <c r="AS149" s="7"/>
      <c r="AT149" s="7"/>
      <c r="AU149" s="7"/>
      <c r="AV149" s="7"/>
      <c r="AW149" s="7"/>
      <c r="AX149" s="7"/>
      <c r="AY149" s="7"/>
      <c r="AZ149" s="7"/>
      <c r="BA149" s="7"/>
      <c r="BB149" s="7"/>
      <c r="BC149" s="7"/>
      <c r="BD149" s="7"/>
      <c r="BE149" s="7"/>
      <c r="BF149" s="7"/>
      <c r="BG149" s="7"/>
    </row>
    <row r="150" customHeight="1" spans="1:59">
      <c r="A150" s="9" t="str">
        <f>IF(ActiveDatabase=Standby,Secondary!A150,Primary!A150)</f>
        <v>Cellin R05</v>
      </c>
      <c r="B150" s="5" t="str">
        <f>IF(ActiveDatabase=Standby,Secondary!B150,Primary!B150)</f>
        <v>Cellin 38</v>
      </c>
      <c r="C150" s="5" t="str">
        <f>IF(ActiveDatabase=Standby,Secondary!C150,Primary!C150)</f>
        <v>Cellin 17</v>
      </c>
      <c r="D150" s="5" t="str">
        <f>IF(ActiveDatabase=Standby,Secondary!D150,Primary!D150)</f>
        <v>OM-5</v>
      </c>
      <c r="E150" s="6" t="str">
        <f>IF(ActiveDatabase=Standby,Secondary!E150,Primary!E150)</f>
        <v>OM5</v>
      </c>
      <c r="F150" s="10">
        <f>IF(ActiveDatabase=Standby,Secondary!F150,Primary!F150)</f>
        <v>380.53</v>
      </c>
      <c r="G150" s="10">
        <f>IF(ActiveDatabase=Standby,Secondary!G150,Primary!G150)</f>
        <v>0</v>
      </c>
      <c r="H150" s="10">
        <f>IF(ActiveDatabase=Standby,Secondary!H150,Primary!H150)</f>
        <v>0</v>
      </c>
      <c r="I150" s="13">
        <f>IF(ActiveDatabase=Standby,Secondary!I150,Primary!I150)</f>
        <v>0</v>
      </c>
      <c r="J150" s="13">
        <f>IF(ActiveDatabase=Standby,Secondary!J150,Primary!J150)</f>
        <v>0</v>
      </c>
      <c r="K150" s="13">
        <f>IF(ActiveDatabase=Standby,Secondary!K150,Primary!K150)</f>
        <v>0</v>
      </c>
      <c r="L150" s="13">
        <f>IF(ActiveDatabase=Standby,Secondary!L150,Primary!L150)</f>
        <v>0</v>
      </c>
      <c r="M150" s="7" t="b">
        <f>IF(ActiveDatabase=Standby,Secondary!M150,Primary!M150)</f>
        <v>1</v>
      </c>
      <c r="N150" s="10">
        <f>IF(ActiveDatabase=Standby,Secondary!N150,Primary!N150)</f>
        <v>0</v>
      </c>
      <c r="O150" s="10">
        <f>IF(ActiveDatabase=Standby,Secondary!O150,Primary!O150)</f>
        <v>0</v>
      </c>
      <c r="P150" s="10">
        <f>IF(ActiveDatabase=Standby,Secondary!P150,Primary!P150)</f>
        <v>0</v>
      </c>
      <c r="Q150" s="6">
        <f>IF(ActiveDatabase=Standby,Secondary!Q150,Primary!Q150)</f>
        <v>0</v>
      </c>
      <c r="R150" s="18">
        <f>IF(ActiveDatabase=Standby,Secondary!R150,Primary!R150)</f>
        <v>0</v>
      </c>
      <c r="S150" s="19">
        <f>IF(ActiveDatabase=Standby,Secondary!S150,Primary!S150)</f>
        <v>0</v>
      </c>
      <c r="T150" s="10">
        <f>IF(ActiveDatabase=Standby,Secondary!T150,Primary!T150)</f>
        <v>0</v>
      </c>
      <c r="U150" s="10">
        <f>IF(ActiveDatabase=Standby,Secondary!U150,Primary!U150)</f>
        <v>0</v>
      </c>
      <c r="V150" s="10">
        <f>IF(ActiveDatabase=Standby,Secondary!V150,Primary!V150)</f>
        <v>0</v>
      </c>
      <c r="W150" s="6">
        <f>IF(ActiveDatabase=Standby,Secondary!W150,Primary!W150)</f>
        <v>0</v>
      </c>
      <c r="X150" s="6">
        <f>IF(ActiveDatabase=Standby,Secondary!X150,Primary!X150)</f>
        <v>0</v>
      </c>
      <c r="Y150" s="12">
        <f>IF(ActiveDatabase=Standby,Secondary!Y150,Primary!Y150)</f>
        <v>0</v>
      </c>
      <c r="Z150" s="12">
        <f>IF(ActiveDatabase=Standby,Secondary!Z150,Primary!Z150)</f>
        <v>0</v>
      </c>
      <c r="AA150" s="7">
        <f>IF(ActiveDatabase=Standby,Secondary!AA150,Primary!AA150)</f>
        <v>0</v>
      </c>
      <c r="AB150" s="12"/>
      <c r="AC150" s="6"/>
      <c r="AD150" s="6"/>
      <c r="AE150" s="7"/>
      <c r="AF150" s="7"/>
      <c r="AG150" s="7"/>
      <c r="AH150" s="7"/>
      <c r="AI150" s="7"/>
      <c r="AJ150" s="7"/>
      <c r="AK150" s="7"/>
      <c r="AL150" s="7"/>
      <c r="AM150" s="7"/>
      <c r="AN150" s="7"/>
      <c r="AO150" s="6"/>
      <c r="AP150" s="7"/>
      <c r="AQ150" s="7"/>
      <c r="AR150" s="6"/>
      <c r="AS150" s="7"/>
      <c r="AT150" s="7"/>
      <c r="AU150" s="7"/>
      <c r="AV150" s="7"/>
      <c r="AW150" s="7"/>
      <c r="AX150" s="7"/>
      <c r="AY150" s="7"/>
      <c r="AZ150" s="7"/>
      <c r="BA150" s="7"/>
      <c r="BB150" s="7"/>
      <c r="BC150" s="7"/>
      <c r="BD150" s="7"/>
      <c r="BE150" s="7"/>
      <c r="BF150" s="7"/>
      <c r="BG150" s="7"/>
    </row>
    <row r="151" customHeight="1" spans="1:59">
      <c r="A151" s="9" t="str">
        <f>IF(ActiveDatabase=Standby,Secondary!A151,Primary!A151)</f>
        <v>Cellin R06</v>
      </c>
      <c r="B151" s="5" t="str">
        <f>IF(ActiveDatabase=Standby,Secondary!B151,Primary!B151)</f>
        <v>Cellin 39</v>
      </c>
      <c r="C151" s="5" t="str">
        <f>IF(ActiveDatabase=Standby,Secondary!C151,Primary!C151)</f>
        <v>Cellin 26</v>
      </c>
      <c r="D151" s="5" t="str">
        <f>IF(ActiveDatabase=Standby,Secondary!D151,Primary!D151)</f>
        <v>OM-6</v>
      </c>
      <c r="E151" s="6" t="str">
        <f>IF(ActiveDatabase=Standby,Secondary!E151,Primary!E151)</f>
        <v>OM6</v>
      </c>
      <c r="F151" s="10">
        <f>IF(ActiveDatabase=Standby,Secondary!F151,Primary!F151)</f>
        <v>-380.53</v>
      </c>
      <c r="G151" s="10">
        <f>IF(ActiveDatabase=Standby,Secondary!G151,Primary!G151)</f>
        <v>0</v>
      </c>
      <c r="H151" s="10">
        <f>IF(ActiveDatabase=Standby,Secondary!H151,Primary!H151)</f>
        <v>0</v>
      </c>
      <c r="I151" s="13">
        <f>IF(ActiveDatabase=Standby,Secondary!I151,Primary!I151)</f>
        <v>0</v>
      </c>
      <c r="J151" s="13">
        <f>IF(ActiveDatabase=Standby,Secondary!J151,Primary!J151)</f>
        <v>0</v>
      </c>
      <c r="K151" s="13">
        <f>IF(ActiveDatabase=Standby,Secondary!K151,Primary!K151)</f>
        <v>0</v>
      </c>
      <c r="L151" s="13">
        <f>IF(ActiveDatabase=Standby,Secondary!L151,Primary!L151)</f>
        <v>0</v>
      </c>
      <c r="M151" s="7" t="b">
        <f>IF(ActiveDatabase=Standby,Secondary!M151,Primary!M151)</f>
        <v>1</v>
      </c>
      <c r="N151" s="10">
        <f>IF(ActiveDatabase=Standby,Secondary!N151,Primary!N151)</f>
        <v>0</v>
      </c>
      <c r="O151" s="10">
        <f>IF(ActiveDatabase=Standby,Secondary!O151,Primary!O151)</f>
        <v>0</v>
      </c>
      <c r="P151" s="10">
        <f>IF(ActiveDatabase=Standby,Secondary!P151,Primary!P151)</f>
        <v>0</v>
      </c>
      <c r="Q151" s="6">
        <f>IF(ActiveDatabase=Standby,Secondary!Q151,Primary!Q151)</f>
        <v>0</v>
      </c>
      <c r="R151" s="18">
        <f>IF(ActiveDatabase=Standby,Secondary!R151,Primary!R151)</f>
        <v>0</v>
      </c>
      <c r="S151" s="19">
        <f>IF(ActiveDatabase=Standby,Secondary!S151,Primary!S151)</f>
        <v>0</v>
      </c>
      <c r="T151" s="10">
        <f>IF(ActiveDatabase=Standby,Secondary!T151,Primary!T151)</f>
        <v>0</v>
      </c>
      <c r="U151" s="10">
        <f>IF(ActiveDatabase=Standby,Secondary!U151,Primary!U151)</f>
        <v>0</v>
      </c>
      <c r="V151" s="10">
        <f>IF(ActiveDatabase=Standby,Secondary!V151,Primary!V151)</f>
        <v>0</v>
      </c>
      <c r="W151" s="6">
        <f>IF(ActiveDatabase=Standby,Secondary!W151,Primary!W151)</f>
        <v>0</v>
      </c>
      <c r="X151" s="6">
        <f>IF(ActiveDatabase=Standby,Secondary!X151,Primary!X151)</f>
        <v>0</v>
      </c>
      <c r="Y151" s="12">
        <f>IF(ActiveDatabase=Standby,Secondary!Y151,Primary!Y151)</f>
        <v>0</v>
      </c>
      <c r="Z151" s="12">
        <f>IF(ActiveDatabase=Standby,Secondary!Z151,Primary!Z151)</f>
        <v>0</v>
      </c>
      <c r="AA151" s="7">
        <f>IF(ActiveDatabase=Standby,Secondary!AA151,Primary!AA151)</f>
        <v>0</v>
      </c>
      <c r="AB151" s="12"/>
      <c r="AC151" s="6"/>
      <c r="AD151" s="6"/>
      <c r="AE151" s="7"/>
      <c r="AF151" s="7"/>
      <c r="AG151" s="7"/>
      <c r="AH151" s="7"/>
      <c r="AI151" s="7"/>
      <c r="AJ151" s="7"/>
      <c r="AK151" s="7"/>
      <c r="AL151" s="7"/>
      <c r="AM151" s="7"/>
      <c r="AN151" s="7"/>
      <c r="AO151" s="6"/>
      <c r="AP151" s="7"/>
      <c r="AQ151" s="7"/>
      <c r="AR151" s="6"/>
      <c r="AS151" s="7"/>
      <c r="AT151" s="7"/>
      <c r="AU151" s="7"/>
      <c r="AV151" s="7"/>
      <c r="AW151" s="7"/>
      <c r="AX151" s="7"/>
      <c r="AY151" s="7"/>
      <c r="AZ151" s="7"/>
      <c r="BA151" s="7"/>
      <c r="BB151" s="7"/>
      <c r="BC151" s="7"/>
      <c r="BD151" s="7"/>
      <c r="BE151" s="7"/>
      <c r="BF151" s="7"/>
      <c r="BG151" s="7"/>
    </row>
    <row r="152" customHeight="1" spans="1:59">
      <c r="A152" s="9" t="str">
        <f>IF(ActiveDatabase=Standby,Secondary!A152,Primary!A152)</f>
        <v>Cellin</v>
      </c>
      <c r="B152" s="5" t="str">
        <f>IF(ActiveDatabase=Standby,Secondary!B152,Primary!B152)</f>
        <v>Cellin 00</v>
      </c>
      <c r="C152" s="5">
        <f>IF(ActiveDatabase=Standby,Secondary!C152,Primary!C152)</f>
        <v>0</v>
      </c>
      <c r="D152" s="5" t="str">
        <f>IF(ActiveDatabase=Standby,Secondary!D152,Primary!D152)</f>
        <v>Trading Terminals</v>
      </c>
      <c r="E152" s="6">
        <f>IF(ActiveDatabase=Standby,Secondary!E152,Primary!E152)</f>
        <v>0</v>
      </c>
      <c r="F152" s="10">
        <f>IF(ActiveDatabase=Standby,Secondary!F152,Primary!F152)</f>
        <v>0</v>
      </c>
      <c r="G152" s="10">
        <f>IF(ActiveDatabase=Standby,Secondary!G152,Primary!G152)</f>
        <v>0</v>
      </c>
      <c r="H152" s="10">
        <f>IF(ActiveDatabase=Standby,Secondary!H152,Primary!H152)</f>
        <v>0</v>
      </c>
      <c r="I152" s="13">
        <f>IF(ActiveDatabase=Standby,Secondary!I152,Primary!I152)</f>
        <v>0</v>
      </c>
      <c r="J152" s="13">
        <f>IF(ActiveDatabase=Standby,Secondary!J152,Primary!J152)</f>
        <v>0</v>
      </c>
      <c r="K152" s="13">
        <f>IF(ActiveDatabase=Standby,Secondary!K152,Primary!K152)</f>
        <v>0</v>
      </c>
      <c r="L152" s="13">
        <f>IF(ActiveDatabase=Standby,Secondary!L152,Primary!L152)</f>
        <v>0</v>
      </c>
      <c r="M152" s="7">
        <f>IF(ActiveDatabase=Standby,Secondary!M152,Primary!M152)</f>
        <v>0</v>
      </c>
      <c r="N152" s="10">
        <f>IF(ActiveDatabase=Standby,Secondary!N152,Primary!N152)</f>
        <v>0</v>
      </c>
      <c r="O152" s="10">
        <f>IF(ActiveDatabase=Standby,Secondary!O152,Primary!O152)</f>
        <v>0</v>
      </c>
      <c r="P152" s="10">
        <f>IF(ActiveDatabase=Standby,Secondary!P152,Primary!P152)</f>
        <v>0</v>
      </c>
      <c r="Q152" s="6">
        <f>IF(ActiveDatabase=Standby,Secondary!Q152,Primary!Q152)</f>
        <v>0</v>
      </c>
      <c r="R152" s="18">
        <f>IF(ActiveDatabase=Standby,Secondary!R152,Primary!R152)</f>
        <v>0</v>
      </c>
      <c r="S152" s="19">
        <f>IF(ActiveDatabase=Standby,Secondary!S152,Primary!S152)</f>
        <v>0</v>
      </c>
      <c r="T152" s="10">
        <f>IF(ActiveDatabase=Standby,Secondary!T152,Primary!T152)</f>
        <v>0</v>
      </c>
      <c r="U152" s="10">
        <f>IF(ActiveDatabase=Standby,Secondary!U152,Primary!U152)</f>
        <v>0</v>
      </c>
      <c r="V152" s="10">
        <f>IF(ActiveDatabase=Standby,Secondary!V152,Primary!V152)</f>
        <v>0</v>
      </c>
      <c r="W152" s="6">
        <f>IF(ActiveDatabase=Standby,Secondary!W152,Primary!W152)</f>
        <v>0</v>
      </c>
      <c r="X152" s="6">
        <f>IF(ActiveDatabase=Standby,Secondary!X152,Primary!X152)</f>
        <v>0</v>
      </c>
      <c r="Y152" s="12">
        <f>IF(ActiveDatabase=Standby,Secondary!Y152,Primary!Y152)</f>
        <v>0</v>
      </c>
      <c r="Z152" s="12">
        <f>IF(ActiveDatabase=Standby,Secondary!Z152,Primary!Z152)</f>
        <v>0</v>
      </c>
      <c r="AA152" s="7">
        <f>IF(ActiveDatabase=Standby,Secondary!AA152,Primary!AA152)</f>
        <v>0</v>
      </c>
      <c r="AB152" s="12"/>
      <c r="AC152" s="6"/>
      <c r="AD152" s="6"/>
      <c r="AE152" s="7"/>
      <c r="AF152" s="7"/>
      <c r="AG152" s="7"/>
      <c r="AH152" s="7"/>
      <c r="AI152" s="7"/>
      <c r="AJ152" s="7"/>
      <c r="AK152" s="7"/>
      <c r="AL152" s="7"/>
      <c r="AM152" s="7"/>
      <c r="AN152" s="7"/>
      <c r="AO152" s="6"/>
      <c r="AP152" s="7"/>
      <c r="AQ152" s="7"/>
      <c r="AR152" s="6"/>
      <c r="AS152" s="7"/>
      <c r="AT152" s="7"/>
      <c r="AU152" s="7"/>
      <c r="AV152" s="7"/>
      <c r="AW152" s="7"/>
      <c r="AX152" s="7"/>
      <c r="AY152" s="7"/>
      <c r="AZ152" s="7"/>
      <c r="BA152" s="7"/>
      <c r="BB152" s="7"/>
      <c r="BC152" s="7"/>
      <c r="BD152" s="7"/>
      <c r="BE152" s="7"/>
      <c r="BF152" s="7"/>
      <c r="BG152" s="7"/>
    </row>
    <row r="153" customHeight="1" spans="1:59">
      <c r="A153" s="9" t="str">
        <f>IF(ActiveDatabase=Standby,Secondary!A153,Primary!A153)</f>
        <v>Cellin 01</v>
      </c>
      <c r="B153" s="5" t="str">
        <f>IF(ActiveDatabase=Standby,Secondary!B153,Primary!B153)</f>
        <v>Cellin 01</v>
      </c>
      <c r="C153" s="5" t="str">
        <f>IF(ActiveDatabase=Standby,Secondary!C153,Primary!C153)</f>
        <v>Cellin 06</v>
      </c>
      <c r="D153" s="5" t="str">
        <f>IF(ActiveDatabase=Standby,Secondary!D153,Primary!D153)</f>
        <v>Gallete Family Farms</v>
      </c>
      <c r="E153" s="6" t="str">
        <f>IF(ActiveDatabase=Standby,Secondary!E153,Primary!E153)</f>
        <v>Gallete</v>
      </c>
      <c r="F153" s="10">
        <f>IF(ActiveDatabase=Standby,Secondary!F153,Primary!F153)</f>
        <v>-89.471079746</v>
      </c>
      <c r="G153" s="10">
        <f>IF(ActiveDatabase=Standby,Secondary!G153,Primary!G153)</f>
        <v>106.716830059</v>
      </c>
      <c r="H153" s="10">
        <f>IF(ActiveDatabase=Standby,Secondary!H153,Primary!H153)</f>
        <v>220.041097737</v>
      </c>
      <c r="I153" s="13">
        <f>IF(ActiveDatabase=Standby,Secondary!I153,Primary!I153)</f>
        <v>0</v>
      </c>
      <c r="J153" s="13">
        <f>IF(ActiveDatabase=Standby,Secondary!J153,Primary!J153)</f>
        <v>0</v>
      </c>
      <c r="K153" s="13">
        <f>IF(ActiveDatabase=Standby,Secondary!K153,Primary!K153)</f>
        <v>0</v>
      </c>
      <c r="L153" s="13">
        <f>IF(ActiveDatabase=Standby,Secondary!L153,Primary!L153)</f>
        <v>0</v>
      </c>
      <c r="M153" s="7" t="b">
        <f>IF(ActiveDatabase=Standby,Secondary!M153,Primary!M153)</f>
        <v>1</v>
      </c>
      <c r="N153" s="10">
        <f>IF(ActiveDatabase=Standby,Secondary!N153,Primary!N153)</f>
        <v>0</v>
      </c>
      <c r="O153" s="10">
        <f>IF(ActiveDatabase=Standby,Secondary!O153,Primary!O153)</f>
        <v>0</v>
      </c>
      <c r="P153" s="10">
        <f>IF(ActiveDatabase=Standby,Secondary!P153,Primary!P153)</f>
        <v>0</v>
      </c>
      <c r="Q153" s="6">
        <f>IF(ActiveDatabase=Standby,Secondary!Q153,Primary!Q153)</f>
        <v>0</v>
      </c>
      <c r="R153" s="18">
        <f>IF(ActiveDatabase=Standby,Secondary!R153,Primary!R153)</f>
        <v>0</v>
      </c>
      <c r="S153" s="19">
        <f>IF(ActiveDatabase=Standby,Secondary!S153,Primary!S153)</f>
        <v>0</v>
      </c>
      <c r="T153" s="10">
        <f>IF(ActiveDatabase=Standby,Secondary!T153,Primary!T153)</f>
        <v>0</v>
      </c>
      <c r="U153" s="10">
        <f>IF(ActiveDatabase=Standby,Secondary!U153,Primary!U153)</f>
        <v>0</v>
      </c>
      <c r="V153" s="10">
        <f>IF(ActiveDatabase=Standby,Secondary!V153,Primary!V153)</f>
        <v>0</v>
      </c>
      <c r="W153" s="6">
        <f>IF(ActiveDatabase=Standby,Secondary!W153,Primary!W153)</f>
        <v>0</v>
      </c>
      <c r="X153" s="6">
        <f>IF(ActiveDatabase=Standby,Secondary!X153,Primary!X153)</f>
        <v>0</v>
      </c>
      <c r="Y153" s="12">
        <f>IF(ActiveDatabase=Standby,Secondary!Y153,Primary!Y153)</f>
        <v>0</v>
      </c>
      <c r="Z153" s="12">
        <f>IF(ActiveDatabase=Standby,Secondary!Z153,Primary!Z153)</f>
        <v>0</v>
      </c>
      <c r="AA153" s="7">
        <f>IF(ActiveDatabase=Standby,Secondary!AA153,Primary!AA153)</f>
        <v>0</v>
      </c>
      <c r="AB153" s="12"/>
      <c r="AC153" s="6"/>
      <c r="AD153" s="6"/>
      <c r="AE153" s="7"/>
      <c r="AF153" s="7"/>
      <c r="AG153" s="7"/>
      <c r="AH153" s="7"/>
      <c r="AI153" s="7"/>
      <c r="AJ153" s="7"/>
      <c r="AK153" s="7"/>
      <c r="AL153" s="7"/>
      <c r="AM153" s="7"/>
      <c r="AN153" s="7"/>
      <c r="AO153" s="6"/>
      <c r="AP153" s="7"/>
      <c r="AQ153" s="7"/>
      <c r="AR153" s="6"/>
      <c r="AS153" s="7"/>
      <c r="AT153" s="7"/>
      <c r="AU153" s="7"/>
      <c r="AV153" s="7"/>
      <c r="AW153" s="7"/>
      <c r="AX153" s="7"/>
      <c r="AY153" s="7"/>
      <c r="AZ153" s="7"/>
      <c r="BA153" s="7"/>
      <c r="BB153" s="7"/>
      <c r="BC153" s="7"/>
      <c r="BD153" s="7"/>
      <c r="BE153" s="7"/>
      <c r="BF153" s="7"/>
      <c r="BG153" s="7"/>
    </row>
    <row r="154" customHeight="1" spans="1:59">
      <c r="A154" s="9" t="str">
        <f>IF(ActiveDatabase=Standby,Secondary!A154,Primary!A154)</f>
        <v>Cellin 02</v>
      </c>
      <c r="B154" s="5" t="str">
        <f>IF(ActiveDatabase=Standby,Secondary!B154,Primary!B154)</f>
        <v>Cellin 02</v>
      </c>
      <c r="C154" s="5" t="str">
        <f>IF(ActiveDatabase=Standby,Secondary!C154,Primary!C154)</f>
        <v>Cellin 09</v>
      </c>
      <c r="D154" s="5" t="str">
        <f>IF(ActiveDatabase=Standby,Secondary!D154,Primary!D154)</f>
        <v>Hickes Research Outpost (PB)</v>
      </c>
      <c r="E154" s="6" t="str">
        <f>IF(ActiveDatabase=Standby,Secondary!E154,Primary!E154)</f>
        <v>Hickes</v>
      </c>
      <c r="F154" s="10">
        <f>IF(ActiveDatabase=Standby,Secondary!F154,Primary!F154)</f>
        <v>3.27005712499999</v>
      </c>
      <c r="G154" s="10">
        <f>IF(ActiveDatabase=Standby,Secondary!G154,Primary!G154)</f>
        <v>13.090707017</v>
      </c>
      <c r="H154" s="10">
        <f>IF(ActiveDatabase=Standby,Secondary!H154,Primary!H154)</f>
        <v>-260.315952851</v>
      </c>
      <c r="I154" s="13">
        <f>IF(ActiveDatabase=Standby,Secondary!I154,Primary!I154)</f>
        <v>0</v>
      </c>
      <c r="J154" s="13">
        <f>IF(ActiveDatabase=Standby,Secondary!J154,Primary!J154)</f>
        <v>0</v>
      </c>
      <c r="K154" s="13">
        <f>IF(ActiveDatabase=Standby,Secondary!K154,Primary!K154)</f>
        <v>0</v>
      </c>
      <c r="L154" s="13">
        <f>IF(ActiveDatabase=Standby,Secondary!L154,Primary!L154)</f>
        <v>0</v>
      </c>
      <c r="M154" s="7" t="b">
        <f>IF(ActiveDatabase=Standby,Secondary!M154,Primary!M154)</f>
        <v>1</v>
      </c>
      <c r="N154" s="10">
        <f>IF(ActiveDatabase=Standby,Secondary!N154,Primary!N154)</f>
        <v>0</v>
      </c>
      <c r="O154" s="10">
        <f>IF(ActiveDatabase=Standby,Secondary!O154,Primary!O154)</f>
        <v>0</v>
      </c>
      <c r="P154" s="10">
        <f>IF(ActiveDatabase=Standby,Secondary!P154,Primary!P154)</f>
        <v>0</v>
      </c>
      <c r="Q154" s="6">
        <f>IF(ActiveDatabase=Standby,Secondary!Q154,Primary!Q154)</f>
        <v>0</v>
      </c>
      <c r="R154" s="18">
        <f>IF(ActiveDatabase=Standby,Secondary!R154,Primary!R154)</f>
        <v>0</v>
      </c>
      <c r="S154" s="19">
        <f>IF(ActiveDatabase=Standby,Secondary!S154,Primary!S154)</f>
        <v>0</v>
      </c>
      <c r="T154" s="10">
        <f>IF(ActiveDatabase=Standby,Secondary!T154,Primary!T154)</f>
        <v>0</v>
      </c>
      <c r="U154" s="10">
        <f>IF(ActiveDatabase=Standby,Secondary!U154,Primary!U154)</f>
        <v>0</v>
      </c>
      <c r="V154" s="10">
        <f>IF(ActiveDatabase=Standby,Secondary!V154,Primary!V154)</f>
        <v>0</v>
      </c>
      <c r="W154" s="6">
        <f>IF(ActiveDatabase=Standby,Secondary!W154,Primary!W154)</f>
        <v>0</v>
      </c>
      <c r="X154" s="6">
        <f>IF(ActiveDatabase=Standby,Secondary!X154,Primary!X154)</f>
        <v>0</v>
      </c>
      <c r="Y154" s="12">
        <f>IF(ActiveDatabase=Standby,Secondary!Y154,Primary!Y154)</f>
        <v>0</v>
      </c>
      <c r="Z154" s="12">
        <f>IF(ActiveDatabase=Standby,Secondary!Z154,Primary!Z154)</f>
        <v>0</v>
      </c>
      <c r="AA154" s="7">
        <f>IF(ActiveDatabase=Standby,Secondary!AA154,Primary!AA154)</f>
        <v>0</v>
      </c>
      <c r="AB154" s="12"/>
      <c r="AC154" s="6"/>
      <c r="AD154" s="6"/>
      <c r="AE154" s="7"/>
      <c r="AF154" s="7"/>
      <c r="AG154" s="7"/>
      <c r="AH154" s="7"/>
      <c r="AI154" s="7"/>
      <c r="AJ154" s="7"/>
      <c r="AK154" s="7"/>
      <c r="AL154" s="7"/>
      <c r="AM154" s="7"/>
      <c r="AN154" s="7"/>
      <c r="AO154" s="6"/>
      <c r="AP154" s="7"/>
      <c r="AQ154" s="7"/>
      <c r="AR154" s="6"/>
      <c r="AS154" s="7"/>
      <c r="AT154" s="7"/>
      <c r="AU154" s="7"/>
      <c r="AV154" s="7"/>
      <c r="AW154" s="7"/>
      <c r="AX154" s="7"/>
      <c r="AY154" s="7"/>
      <c r="AZ154" s="7"/>
      <c r="BA154" s="7"/>
      <c r="BB154" s="7"/>
      <c r="BC154" s="7"/>
      <c r="BD154" s="7"/>
      <c r="BE154" s="7"/>
      <c r="BF154" s="7"/>
      <c r="BG154" s="7"/>
    </row>
    <row r="155" customHeight="1" spans="1:59">
      <c r="A155" s="9" t="str">
        <f>IF(ActiveDatabase=Standby,Secondary!A155,Primary!A155)</f>
        <v>Cellin 03</v>
      </c>
      <c r="B155" s="5" t="str">
        <f>IF(ActiveDatabase=Standby,Secondary!B155,Primary!B155)</f>
        <v>Cellin 03</v>
      </c>
      <c r="C155" s="5" t="str">
        <f>IF(ActiveDatabase=Standby,Secondary!C155,Primary!C155)</f>
        <v>Cellin 15</v>
      </c>
      <c r="D155" s="5" t="str">
        <f>IF(ActiveDatabase=Standby,Secondary!D155,Primary!D155)</f>
        <v>Terra Mills HydroFarm (PB)</v>
      </c>
      <c r="E155" s="6" t="str">
        <f>IF(ActiveDatabase=Standby,Secondary!E155,Primary!E155)</f>
        <v>TerraMills</v>
      </c>
      <c r="F155" s="10">
        <f>IF(ActiveDatabase=Standby,Secondary!F155,Primary!F155)</f>
        <v>100.136911598</v>
      </c>
      <c r="G155" s="10">
        <f>IF(ActiveDatabase=Standby,Secondary!G155,Primary!G155)</f>
        <v>27.7006790059999</v>
      </c>
      <c r="H155" s="10">
        <f>IF(ActiveDatabase=Standby,Secondary!H155,Primary!H155)</f>
        <v>239.024369118</v>
      </c>
      <c r="I155" s="13">
        <f>IF(ActiveDatabase=Standby,Secondary!I155,Primary!I155)</f>
        <v>0</v>
      </c>
      <c r="J155" s="13">
        <f>IF(ActiveDatabase=Standby,Secondary!J155,Primary!J155)</f>
        <v>0</v>
      </c>
      <c r="K155" s="13">
        <f>IF(ActiveDatabase=Standby,Secondary!K155,Primary!K155)</f>
        <v>0</v>
      </c>
      <c r="L155" s="13">
        <f>IF(ActiveDatabase=Standby,Secondary!L155,Primary!L155)</f>
        <v>0</v>
      </c>
      <c r="M155" s="7" t="b">
        <f>IF(ActiveDatabase=Standby,Secondary!M155,Primary!M155)</f>
        <v>1</v>
      </c>
      <c r="N155" s="10">
        <f>IF(ActiveDatabase=Standby,Secondary!N155,Primary!N155)</f>
        <v>0</v>
      </c>
      <c r="O155" s="10">
        <f>IF(ActiveDatabase=Standby,Secondary!O155,Primary!O155)</f>
        <v>0</v>
      </c>
      <c r="P155" s="10">
        <f>IF(ActiveDatabase=Standby,Secondary!P155,Primary!P155)</f>
        <v>0</v>
      </c>
      <c r="Q155" s="6">
        <f>IF(ActiveDatabase=Standby,Secondary!Q155,Primary!Q155)</f>
        <v>0</v>
      </c>
      <c r="R155" s="18">
        <f>IF(ActiveDatabase=Standby,Secondary!R155,Primary!R155)</f>
        <v>0</v>
      </c>
      <c r="S155" s="19">
        <f>IF(ActiveDatabase=Standby,Secondary!S155,Primary!S155)</f>
        <v>0</v>
      </c>
      <c r="T155" s="10">
        <f>IF(ActiveDatabase=Standby,Secondary!T155,Primary!T155)</f>
        <v>0</v>
      </c>
      <c r="U155" s="10">
        <f>IF(ActiveDatabase=Standby,Secondary!U155,Primary!U155)</f>
        <v>0</v>
      </c>
      <c r="V155" s="10">
        <f>IF(ActiveDatabase=Standby,Secondary!V155,Primary!V155)</f>
        <v>0</v>
      </c>
      <c r="W155" s="6">
        <f>IF(ActiveDatabase=Standby,Secondary!W155,Primary!W155)</f>
        <v>0</v>
      </c>
      <c r="X155" s="6">
        <f>IF(ActiveDatabase=Standby,Secondary!X155,Primary!X155)</f>
        <v>0</v>
      </c>
      <c r="Y155" s="12">
        <f>IF(ActiveDatabase=Standby,Secondary!Y155,Primary!Y155)</f>
        <v>0</v>
      </c>
      <c r="Z155" s="12">
        <f>IF(ActiveDatabase=Standby,Secondary!Z155,Primary!Z155)</f>
        <v>0</v>
      </c>
      <c r="AA155" s="7">
        <f>IF(ActiveDatabase=Standby,Secondary!AA155,Primary!AA155)</f>
        <v>0</v>
      </c>
      <c r="AB155" s="12"/>
      <c r="AC155" s="6"/>
      <c r="AD155" s="6"/>
      <c r="AE155" s="7"/>
      <c r="AF155" s="7"/>
      <c r="AG155" s="7"/>
      <c r="AH155" s="7"/>
      <c r="AI155" s="7"/>
      <c r="AJ155" s="7"/>
      <c r="AK155" s="7"/>
      <c r="AL155" s="7"/>
      <c r="AM155" s="7"/>
      <c r="AN155" s="7"/>
      <c r="AO155" s="6"/>
      <c r="AP155" s="7"/>
      <c r="AQ155" s="7"/>
      <c r="AR155" s="6"/>
      <c r="AS155" s="7"/>
      <c r="AT155" s="7"/>
      <c r="AU155" s="7"/>
      <c r="AV155" s="7"/>
      <c r="AW155" s="7"/>
      <c r="AX155" s="7"/>
      <c r="AY155" s="7"/>
      <c r="AZ155" s="7"/>
      <c r="BA155" s="7"/>
      <c r="BB155" s="7"/>
      <c r="BC155" s="7"/>
      <c r="BD155" s="7"/>
      <c r="BE155" s="7"/>
      <c r="BF155" s="7"/>
      <c r="BG155" s="7"/>
    </row>
    <row r="156" customHeight="1" spans="1:59">
      <c r="A156" s="9" t="str">
        <f>IF(ActiveDatabase=Standby,Secondary!A156,Primary!A156)</f>
        <v>Cellin 04</v>
      </c>
      <c r="B156" s="5" t="str">
        <f>IF(ActiveDatabase=Standby,Secondary!B156,Primary!B156)</f>
        <v>Cellin 04</v>
      </c>
      <c r="C156" s="5" t="str">
        <f>IF(ActiveDatabase=Standby,Secondary!C156,Primary!C156)</f>
        <v>Cellin 01</v>
      </c>
      <c r="D156" s="5" t="str">
        <f>IF(ActiveDatabase=Standby,Secondary!D156,Primary!D156)</f>
        <v>Tram &amp; Myers Mining</v>
      </c>
      <c r="E156" s="6" t="str">
        <f>IF(ActiveDatabase=Standby,Secondary!E156,Primary!E156)</f>
        <v>TramMyers</v>
      </c>
      <c r="F156" s="10">
        <f>IF(ActiveDatabase=Standby,Secondary!F156,Primary!F156)</f>
        <v>-241.16404418</v>
      </c>
      <c r="G156" s="10">
        <f>IF(ActiveDatabase=Standby,Secondary!G156,Primary!G156)</f>
        <v>2.39636862599999</v>
      </c>
      <c r="H156" s="10">
        <f>IF(ActiveDatabase=Standby,Secondary!H156,Primary!H156)</f>
        <v>-98.7002332719998</v>
      </c>
      <c r="I156" s="13">
        <f>IF(ActiveDatabase=Standby,Secondary!I156,Primary!I156)</f>
        <v>0</v>
      </c>
      <c r="J156" s="13">
        <f>IF(ActiveDatabase=Standby,Secondary!J156,Primary!J156)</f>
        <v>0</v>
      </c>
      <c r="K156" s="13">
        <f>IF(ActiveDatabase=Standby,Secondary!K156,Primary!K156)</f>
        <v>0</v>
      </c>
      <c r="L156" s="13">
        <f>IF(ActiveDatabase=Standby,Secondary!L156,Primary!L156)</f>
        <v>0</v>
      </c>
      <c r="M156" s="7" t="b">
        <f>IF(ActiveDatabase=Standby,Secondary!M156,Primary!M156)</f>
        <v>1</v>
      </c>
      <c r="N156" s="10">
        <f>IF(ActiveDatabase=Standby,Secondary!N156,Primary!N156)</f>
        <v>0</v>
      </c>
      <c r="O156" s="10">
        <f>IF(ActiveDatabase=Standby,Secondary!O156,Primary!O156)</f>
        <v>0</v>
      </c>
      <c r="P156" s="10">
        <f>IF(ActiveDatabase=Standby,Secondary!P156,Primary!P156)</f>
        <v>0</v>
      </c>
      <c r="Q156" s="6">
        <f>IF(ActiveDatabase=Standby,Secondary!Q156,Primary!Q156)</f>
        <v>0</v>
      </c>
      <c r="R156" s="18">
        <f>IF(ActiveDatabase=Standby,Secondary!R156,Primary!R156)</f>
        <v>0</v>
      </c>
      <c r="S156" s="19">
        <f>IF(ActiveDatabase=Standby,Secondary!S156,Primary!S156)</f>
        <v>0</v>
      </c>
      <c r="T156" s="10">
        <f>IF(ActiveDatabase=Standby,Secondary!T156,Primary!T156)</f>
        <v>0</v>
      </c>
      <c r="U156" s="10">
        <f>IF(ActiveDatabase=Standby,Secondary!U156,Primary!U156)</f>
        <v>0</v>
      </c>
      <c r="V156" s="10">
        <f>IF(ActiveDatabase=Standby,Secondary!V156,Primary!V156)</f>
        <v>0</v>
      </c>
      <c r="W156" s="6">
        <f>IF(ActiveDatabase=Standby,Secondary!W156,Primary!W156)</f>
        <v>0</v>
      </c>
      <c r="X156" s="6">
        <f>IF(ActiveDatabase=Standby,Secondary!X156,Primary!X156)</f>
        <v>0</v>
      </c>
      <c r="Y156" s="12">
        <f>IF(ActiveDatabase=Standby,Secondary!Y156,Primary!Y156)</f>
        <v>0</v>
      </c>
      <c r="Z156" s="12">
        <f>IF(ActiveDatabase=Standby,Secondary!Z156,Primary!Z156)</f>
        <v>0</v>
      </c>
      <c r="AA156" s="7">
        <f>IF(ActiveDatabase=Standby,Secondary!AA156,Primary!AA156)</f>
        <v>0</v>
      </c>
      <c r="AB156" s="12"/>
      <c r="AC156" s="6"/>
      <c r="AD156" s="6"/>
      <c r="AE156" s="7"/>
      <c r="AF156" s="7"/>
      <c r="AG156" s="7"/>
      <c r="AH156" s="7"/>
      <c r="AI156" s="7"/>
      <c r="AJ156" s="7"/>
      <c r="AK156" s="7"/>
      <c r="AL156" s="7"/>
      <c r="AM156" s="7"/>
      <c r="AN156" s="7"/>
      <c r="AO156" s="6"/>
      <c r="AP156" s="7"/>
      <c r="AQ156" s="7"/>
      <c r="AR156" s="6"/>
      <c r="AS156" s="7"/>
      <c r="AT156" s="7"/>
      <c r="AU156" s="7"/>
      <c r="AV156" s="7"/>
      <c r="AW156" s="7"/>
      <c r="AX156" s="7"/>
      <c r="AY156" s="7"/>
      <c r="AZ156" s="7"/>
      <c r="BA156" s="7"/>
      <c r="BB156" s="7"/>
      <c r="BC156" s="7"/>
      <c r="BD156" s="7"/>
      <c r="BE156" s="7"/>
      <c r="BF156" s="7"/>
      <c r="BG156" s="7"/>
    </row>
    <row r="157" customHeight="1" spans="1:59">
      <c r="A157" s="9" t="str">
        <f>IF(ActiveDatabase=Standby,Secondary!A157,Primary!A157)</f>
        <v>Cellin 05</v>
      </c>
      <c r="B157" s="5" t="str">
        <f>IF(ActiveDatabase=Standby,Secondary!B157,Primary!B157)</f>
        <v>Cellin 05</v>
      </c>
      <c r="C157" s="5" t="str">
        <f>IF(ActiveDatabase=Standby,Secondary!C157,Primary!C157)</f>
        <v>Cellin 19</v>
      </c>
      <c r="D157" s="5" t="str">
        <f>IF(ActiveDatabase=Standby,Secondary!D157,Primary!D157)</f>
        <v>Cellin Stash House (Private Property)</v>
      </c>
      <c r="E157" s="6" t="str">
        <f>IF(ActiveDatabase=Standby,Secondary!E157,Primary!E157)</f>
        <v>Stash</v>
      </c>
      <c r="F157" s="10">
        <f>IF(ActiveDatabase=Standby,Secondary!F157,Primary!F157)</f>
        <v>97.7489381589998</v>
      </c>
      <c r="G157" s="10">
        <f>IF(ActiveDatabase=Standby,Secondary!G157,Primary!G157)</f>
        <v>-173.763985546999</v>
      </c>
      <c r="H157" s="10">
        <f>IF(ActiveDatabase=Standby,Secondary!H157,Primary!H157)</f>
        <v>167.078469877</v>
      </c>
      <c r="I157" s="13">
        <f>IF(ActiveDatabase=Standby,Secondary!I157,Primary!I157)</f>
        <v>0</v>
      </c>
      <c r="J157" s="13">
        <f>IF(ActiveDatabase=Standby,Secondary!J157,Primary!J157)</f>
        <v>0</v>
      </c>
      <c r="K157" s="13">
        <f>IF(ActiveDatabase=Standby,Secondary!K157,Primary!K157)</f>
        <v>0</v>
      </c>
      <c r="L157" s="13">
        <f>IF(ActiveDatabase=Standby,Secondary!L157,Primary!L157)</f>
        <v>0</v>
      </c>
      <c r="M157" s="7" t="b">
        <f>IF(ActiveDatabase=Standby,Secondary!M157,Primary!M157)</f>
        <v>1</v>
      </c>
      <c r="N157" s="10">
        <f>IF(ActiveDatabase=Standby,Secondary!N157,Primary!N157)</f>
        <v>0</v>
      </c>
      <c r="O157" s="10">
        <f>IF(ActiveDatabase=Standby,Secondary!O157,Primary!O157)</f>
        <v>0</v>
      </c>
      <c r="P157" s="10">
        <f>IF(ActiveDatabase=Standby,Secondary!P157,Primary!P157)</f>
        <v>0</v>
      </c>
      <c r="Q157" s="6">
        <f>IF(ActiveDatabase=Standby,Secondary!Q157,Primary!Q157)</f>
        <v>0</v>
      </c>
      <c r="R157" s="18">
        <f>IF(ActiveDatabase=Standby,Secondary!R157,Primary!R157)</f>
        <v>0</v>
      </c>
      <c r="S157" s="19">
        <f>IF(ActiveDatabase=Standby,Secondary!S157,Primary!S157)</f>
        <v>0</v>
      </c>
      <c r="T157" s="10">
        <f>IF(ActiveDatabase=Standby,Secondary!T157,Primary!T157)</f>
        <v>0</v>
      </c>
      <c r="U157" s="10">
        <f>IF(ActiveDatabase=Standby,Secondary!U157,Primary!U157)</f>
        <v>0</v>
      </c>
      <c r="V157" s="10">
        <f>IF(ActiveDatabase=Standby,Secondary!V157,Primary!V157)</f>
        <v>0</v>
      </c>
      <c r="W157" s="6">
        <f>IF(ActiveDatabase=Standby,Secondary!W157,Primary!W157)</f>
        <v>0</v>
      </c>
      <c r="X157" s="6">
        <f>IF(ActiveDatabase=Standby,Secondary!X157,Primary!X157)</f>
        <v>0</v>
      </c>
      <c r="Y157" s="12">
        <f>IF(ActiveDatabase=Standby,Secondary!Y157,Primary!Y157)</f>
        <v>0</v>
      </c>
      <c r="Z157" s="12">
        <f>IF(ActiveDatabase=Standby,Secondary!Z157,Primary!Z157)</f>
        <v>0</v>
      </c>
      <c r="AA157" s="7">
        <f>IF(ActiveDatabase=Standby,Secondary!AA157,Primary!AA157)</f>
        <v>0</v>
      </c>
      <c r="AB157" s="12"/>
      <c r="AC157" s="6"/>
      <c r="AD157" s="6"/>
      <c r="AE157" s="7"/>
      <c r="AF157" s="7"/>
      <c r="AG157" s="7"/>
      <c r="AH157" s="7"/>
      <c r="AI157" s="7"/>
      <c r="AJ157" s="7"/>
      <c r="AK157" s="7"/>
      <c r="AL157" s="7"/>
      <c r="AM157" s="7"/>
      <c r="AN157" s="7"/>
      <c r="AO157" s="6"/>
      <c r="AP157" s="7"/>
      <c r="AQ157" s="7"/>
      <c r="AR157" s="6"/>
      <c r="AS157" s="7"/>
      <c r="AT157" s="7"/>
      <c r="AU157" s="7"/>
      <c r="AV157" s="7"/>
      <c r="AW157" s="7"/>
      <c r="AX157" s="7"/>
      <c r="AY157" s="7"/>
      <c r="AZ157" s="7"/>
      <c r="BA157" s="7"/>
      <c r="BB157" s="7"/>
      <c r="BC157" s="7"/>
      <c r="BD157" s="7"/>
      <c r="BE157" s="7"/>
      <c r="BF157" s="7"/>
      <c r="BG157" s="7"/>
    </row>
    <row r="158" customHeight="1" spans="1:59">
      <c r="A158" s="9" t="str">
        <f>IF(ActiveDatabase=Standby,Secondary!A158,Primary!A158)</f>
        <v>Cellin</v>
      </c>
      <c r="B158" s="5" t="str">
        <f>IF(ActiveDatabase=Standby,Secondary!B158,Primary!B158)</f>
        <v>Cellin 07</v>
      </c>
      <c r="C158" s="5">
        <f>IF(ActiveDatabase=Standby,Secondary!C158,Primary!C158)</f>
        <v>0</v>
      </c>
      <c r="D158" s="5" t="str">
        <f>IF(ActiveDatabase=Standby,Secondary!D158,Primary!D158)</f>
        <v>Underground Bunker Facilities</v>
      </c>
      <c r="E158" s="6">
        <f>IF(ActiveDatabase=Standby,Secondary!E158,Primary!E158)</f>
        <v>0</v>
      </c>
      <c r="F158" s="10">
        <f>IF(ActiveDatabase=Standby,Secondary!F158,Primary!F158)</f>
        <v>0</v>
      </c>
      <c r="G158" s="10">
        <f>IF(ActiveDatabase=Standby,Secondary!G158,Primary!G158)</f>
        <v>0</v>
      </c>
      <c r="H158" s="10">
        <f>IF(ActiveDatabase=Standby,Secondary!H158,Primary!H158)</f>
        <v>0</v>
      </c>
      <c r="I158" s="13">
        <f>IF(ActiveDatabase=Standby,Secondary!I158,Primary!I158)</f>
        <v>0</v>
      </c>
      <c r="J158" s="13">
        <f>IF(ActiveDatabase=Standby,Secondary!J158,Primary!J158)</f>
        <v>0</v>
      </c>
      <c r="K158" s="13">
        <f>IF(ActiveDatabase=Standby,Secondary!K158,Primary!K158)</f>
        <v>0</v>
      </c>
      <c r="L158" s="13">
        <f>IF(ActiveDatabase=Standby,Secondary!L158,Primary!L158)</f>
        <v>0</v>
      </c>
      <c r="M158" s="7">
        <f>IF(ActiveDatabase=Standby,Secondary!M158,Primary!M158)</f>
        <v>0</v>
      </c>
      <c r="N158" s="10">
        <f>IF(ActiveDatabase=Standby,Secondary!N158,Primary!N158)</f>
        <v>0</v>
      </c>
      <c r="O158" s="10">
        <f>IF(ActiveDatabase=Standby,Secondary!O158,Primary!O158)</f>
        <v>0</v>
      </c>
      <c r="P158" s="10">
        <f>IF(ActiveDatabase=Standby,Secondary!P158,Primary!P158)</f>
        <v>0</v>
      </c>
      <c r="Q158" s="6">
        <f>IF(ActiveDatabase=Standby,Secondary!Q158,Primary!Q158)</f>
        <v>0</v>
      </c>
      <c r="R158" s="18">
        <f>IF(ActiveDatabase=Standby,Secondary!R158,Primary!R158)</f>
        <v>0</v>
      </c>
      <c r="S158" s="19">
        <f>IF(ActiveDatabase=Standby,Secondary!S158,Primary!S158)</f>
        <v>0</v>
      </c>
      <c r="T158" s="10">
        <f>IF(ActiveDatabase=Standby,Secondary!T158,Primary!T158)</f>
        <v>0</v>
      </c>
      <c r="U158" s="10">
        <f>IF(ActiveDatabase=Standby,Secondary!U158,Primary!U158)</f>
        <v>0</v>
      </c>
      <c r="V158" s="10">
        <f>IF(ActiveDatabase=Standby,Secondary!V158,Primary!V158)</f>
        <v>0</v>
      </c>
      <c r="W158" s="6">
        <f>IF(ActiveDatabase=Standby,Secondary!W158,Primary!W158)</f>
        <v>0</v>
      </c>
      <c r="X158" s="6">
        <f>IF(ActiveDatabase=Standby,Secondary!X158,Primary!X158)</f>
        <v>0</v>
      </c>
      <c r="Y158" s="12">
        <f>IF(ActiveDatabase=Standby,Secondary!Y158,Primary!Y158)</f>
        <v>0</v>
      </c>
      <c r="Z158" s="12">
        <f>IF(ActiveDatabase=Standby,Secondary!Z158,Primary!Z158)</f>
        <v>0</v>
      </c>
      <c r="AA158" s="7">
        <f>IF(ActiveDatabase=Standby,Secondary!AA158,Primary!AA158)</f>
        <v>0</v>
      </c>
      <c r="AB158" s="12"/>
      <c r="AC158" s="6"/>
      <c r="AD158" s="6"/>
      <c r="AE158" s="7"/>
      <c r="AF158" s="7"/>
      <c r="AG158" s="7"/>
      <c r="AH158" s="7"/>
      <c r="AI158" s="7"/>
      <c r="AJ158" s="7"/>
      <c r="AK158" s="7"/>
      <c r="AL158" s="7"/>
      <c r="AM158" s="7"/>
      <c r="AN158" s="7"/>
      <c r="AO158" s="6"/>
      <c r="AP158" s="7"/>
      <c r="AQ158" s="7"/>
      <c r="AR158" s="6"/>
      <c r="AS158" s="7"/>
      <c r="AT158" s="7"/>
      <c r="AU158" s="7"/>
      <c r="AV158" s="7"/>
      <c r="AW158" s="7"/>
      <c r="AX158" s="7"/>
      <c r="AY158" s="7"/>
      <c r="AZ158" s="7"/>
      <c r="BA158" s="7"/>
      <c r="BB158" s="7"/>
      <c r="BC158" s="7"/>
      <c r="BD158" s="7"/>
      <c r="BE158" s="7"/>
      <c r="BF158" s="7"/>
      <c r="BG158" s="7"/>
    </row>
    <row r="159" customHeight="1" spans="1:59">
      <c r="A159" s="9" t="str">
        <f>IF(ActiveDatabase=Standby,Secondary!A159,Primary!A159)</f>
        <v>Cellin 06</v>
      </c>
      <c r="B159" s="5" t="str">
        <f>IF(ActiveDatabase=Standby,Secondary!B159,Primary!B159)</f>
        <v>Cellin 08</v>
      </c>
      <c r="C159" s="5" t="str">
        <f>IF(ActiveDatabase=Standby,Secondary!C159,Primary!C159)</f>
        <v>Cellin 13</v>
      </c>
      <c r="D159" s="5" t="str">
        <f>IF(ActiveDatabase=Standby,Secondary!D159,Primary!D159)</f>
        <v>NT-999-XV</v>
      </c>
      <c r="E159" s="6" t="str">
        <f>IF(ActiveDatabase=Standby,Secondary!E159,Primary!E159)</f>
        <v>NT999XV</v>
      </c>
      <c r="F159" s="10">
        <f>IF(ActiveDatabase=Standby,Secondary!F159,Primary!F159)</f>
        <v>146.84857443</v>
      </c>
      <c r="G159" s="10">
        <f>IF(ActiveDatabase=Standby,Secondary!G159,Primary!G159)</f>
        <v>135.264197531</v>
      </c>
      <c r="H159" s="10">
        <f>IF(ActiveDatabase=Standby,Secondary!H159,Primary!H159)</f>
        <v>167.452103602999</v>
      </c>
      <c r="I159" s="13">
        <f>IF(ActiveDatabase=Standby,Secondary!I159,Primary!I159)</f>
        <v>0</v>
      </c>
      <c r="J159" s="13">
        <f>IF(ActiveDatabase=Standby,Secondary!J159,Primary!J159)</f>
        <v>0</v>
      </c>
      <c r="K159" s="13">
        <f>IF(ActiveDatabase=Standby,Secondary!K159,Primary!K159)</f>
        <v>0</v>
      </c>
      <c r="L159" s="13">
        <f>IF(ActiveDatabase=Standby,Secondary!L159,Primary!L159)</f>
        <v>0</v>
      </c>
      <c r="M159" s="7" t="b">
        <f>IF(ActiveDatabase=Standby,Secondary!M159,Primary!M159)</f>
        <v>1</v>
      </c>
      <c r="N159" s="10">
        <f>IF(ActiveDatabase=Standby,Secondary!N159,Primary!N159)</f>
        <v>0</v>
      </c>
      <c r="O159" s="10">
        <f>IF(ActiveDatabase=Standby,Secondary!O159,Primary!O159)</f>
        <v>0</v>
      </c>
      <c r="P159" s="10">
        <f>IF(ActiveDatabase=Standby,Secondary!P159,Primary!P159)</f>
        <v>0</v>
      </c>
      <c r="Q159" s="6">
        <f>IF(ActiveDatabase=Standby,Secondary!Q159,Primary!Q159)</f>
        <v>0</v>
      </c>
      <c r="R159" s="18">
        <f>IF(ActiveDatabase=Standby,Secondary!R159,Primary!R159)</f>
        <v>0</v>
      </c>
      <c r="S159" s="19">
        <f>IF(ActiveDatabase=Standby,Secondary!S159,Primary!S159)</f>
        <v>0</v>
      </c>
      <c r="T159" s="10">
        <f>IF(ActiveDatabase=Standby,Secondary!T159,Primary!T159)</f>
        <v>0</v>
      </c>
      <c r="U159" s="10">
        <f>IF(ActiveDatabase=Standby,Secondary!U159,Primary!U159)</f>
        <v>0</v>
      </c>
      <c r="V159" s="10">
        <f>IF(ActiveDatabase=Standby,Secondary!V159,Primary!V159)</f>
        <v>0</v>
      </c>
      <c r="W159" s="6">
        <f>IF(ActiveDatabase=Standby,Secondary!W159,Primary!W159)</f>
        <v>0</v>
      </c>
      <c r="X159" s="6">
        <f>IF(ActiveDatabase=Standby,Secondary!X159,Primary!X159)</f>
        <v>0</v>
      </c>
      <c r="Y159" s="12">
        <f>IF(ActiveDatabase=Standby,Secondary!Y159,Primary!Y159)</f>
        <v>0</v>
      </c>
      <c r="Z159" s="12">
        <f>IF(ActiveDatabase=Standby,Secondary!Z159,Primary!Z159)</f>
        <v>0</v>
      </c>
      <c r="AA159" s="7">
        <f>IF(ActiveDatabase=Standby,Secondary!AA159,Primary!AA159)</f>
        <v>0</v>
      </c>
      <c r="AB159" s="12"/>
      <c r="AC159" s="6"/>
      <c r="AD159" s="6"/>
      <c r="AE159" s="7"/>
      <c r="AF159" s="7"/>
      <c r="AG159" s="7"/>
      <c r="AH159" s="7"/>
      <c r="AI159" s="7"/>
      <c r="AJ159" s="7"/>
      <c r="AK159" s="7"/>
      <c r="AL159" s="7"/>
      <c r="AM159" s="7"/>
      <c r="AN159" s="7"/>
      <c r="AO159" s="6"/>
      <c r="AP159" s="7"/>
      <c r="AQ159" s="7"/>
      <c r="AR159" s="6"/>
      <c r="AS159" s="7"/>
      <c r="AT159" s="7"/>
      <c r="AU159" s="7"/>
      <c r="AV159" s="7"/>
      <c r="AW159" s="7"/>
      <c r="AX159" s="7"/>
      <c r="AY159" s="7"/>
      <c r="AZ159" s="7"/>
      <c r="BA159" s="7"/>
      <c r="BB159" s="7"/>
      <c r="BC159" s="7"/>
      <c r="BD159" s="7"/>
      <c r="BE159" s="7"/>
      <c r="BF159" s="7"/>
      <c r="BG159" s="7"/>
    </row>
    <row r="160" customHeight="1" spans="1:59">
      <c r="A160" s="9" t="str">
        <f>IF(ActiveDatabase=Standby,Secondary!A160,Primary!A160)</f>
        <v>Cellin 07</v>
      </c>
      <c r="B160" s="5" t="str">
        <f>IF(ActiveDatabase=Standby,Secondary!B160,Primary!B160)</f>
        <v>Cellin 09</v>
      </c>
      <c r="C160" s="5" t="str">
        <f>IF(ActiveDatabase=Standby,Secondary!C160,Primary!C160)</f>
        <v>Cellin 16</v>
      </c>
      <c r="D160" s="5" t="str">
        <f>IF(ActiveDatabase=Standby,Secondary!D160,Primary!D160)</f>
        <v>Security Post Criska</v>
      </c>
      <c r="E160" s="6" t="str">
        <f>IF(ActiveDatabase=Standby,Secondary!E160,Primary!E160)</f>
        <v>Criska</v>
      </c>
      <c r="F160" s="10">
        <f>IF(ActiveDatabase=Standby,Secondary!F160,Primary!F160)</f>
        <v>252.518284892</v>
      </c>
      <c r="G160" s="10">
        <f>IF(ActiveDatabase=Standby,Secondary!G160,Primary!G160)</f>
        <v>62.91717199</v>
      </c>
      <c r="H160" s="10">
        <f>IF(ActiveDatabase=Standby,Secondary!H160,Primary!H160)</f>
        <v>13.987825758</v>
      </c>
      <c r="I160" s="13">
        <f>IF(ActiveDatabase=Standby,Secondary!I160,Primary!I160)</f>
        <v>0</v>
      </c>
      <c r="J160" s="13">
        <f>IF(ActiveDatabase=Standby,Secondary!J160,Primary!J160)</f>
        <v>0</v>
      </c>
      <c r="K160" s="13">
        <f>IF(ActiveDatabase=Standby,Secondary!K160,Primary!K160)</f>
        <v>0</v>
      </c>
      <c r="L160" s="13">
        <f>IF(ActiveDatabase=Standby,Secondary!L160,Primary!L160)</f>
        <v>0</v>
      </c>
      <c r="M160" s="7" t="b">
        <f>IF(ActiveDatabase=Standby,Secondary!M160,Primary!M160)</f>
        <v>1</v>
      </c>
      <c r="N160" s="10">
        <f>IF(ActiveDatabase=Standby,Secondary!N160,Primary!N160)</f>
        <v>0</v>
      </c>
      <c r="O160" s="10">
        <f>IF(ActiveDatabase=Standby,Secondary!O160,Primary!O160)</f>
        <v>0</v>
      </c>
      <c r="P160" s="10">
        <f>IF(ActiveDatabase=Standby,Secondary!P160,Primary!P160)</f>
        <v>0</v>
      </c>
      <c r="Q160" s="6">
        <f>IF(ActiveDatabase=Standby,Secondary!Q160,Primary!Q160)</f>
        <v>0</v>
      </c>
      <c r="R160" s="18">
        <f>IF(ActiveDatabase=Standby,Secondary!R160,Primary!R160)</f>
        <v>0</v>
      </c>
      <c r="S160" s="19">
        <f>IF(ActiveDatabase=Standby,Secondary!S160,Primary!S160)</f>
        <v>0</v>
      </c>
      <c r="T160" s="10">
        <f>IF(ActiveDatabase=Standby,Secondary!T160,Primary!T160)</f>
        <v>0</v>
      </c>
      <c r="U160" s="10">
        <f>IF(ActiveDatabase=Standby,Secondary!U160,Primary!U160)</f>
        <v>0</v>
      </c>
      <c r="V160" s="10">
        <f>IF(ActiveDatabase=Standby,Secondary!V160,Primary!V160)</f>
        <v>0</v>
      </c>
      <c r="W160" s="6">
        <f>IF(ActiveDatabase=Standby,Secondary!W160,Primary!W160)</f>
        <v>0</v>
      </c>
      <c r="X160" s="6">
        <f>IF(ActiveDatabase=Standby,Secondary!X160,Primary!X160)</f>
        <v>0</v>
      </c>
      <c r="Y160" s="12">
        <f>IF(ActiveDatabase=Standby,Secondary!Y160,Primary!Y160)</f>
        <v>0</v>
      </c>
      <c r="Z160" s="12">
        <f>IF(ActiveDatabase=Standby,Secondary!Z160,Primary!Z160)</f>
        <v>0</v>
      </c>
      <c r="AA160" s="7">
        <f>IF(ActiveDatabase=Standby,Secondary!AA160,Primary!AA160)</f>
        <v>0</v>
      </c>
      <c r="AB160" s="12"/>
      <c r="AC160" s="6"/>
      <c r="AD160" s="6"/>
      <c r="AE160" s="7"/>
      <c r="AF160" s="7"/>
      <c r="AG160" s="7"/>
      <c r="AH160" s="7"/>
      <c r="AI160" s="7"/>
      <c r="AJ160" s="7"/>
      <c r="AK160" s="7"/>
      <c r="AL160" s="7"/>
      <c r="AM160" s="7"/>
      <c r="AN160" s="7"/>
      <c r="AO160" s="6"/>
      <c r="AP160" s="7"/>
      <c r="AQ160" s="7"/>
      <c r="AR160" s="6"/>
      <c r="AS160" s="7"/>
      <c r="AT160" s="7"/>
      <c r="AU160" s="7"/>
      <c r="AV160" s="7"/>
      <c r="AW160" s="7"/>
      <c r="AX160" s="7"/>
      <c r="AY160" s="7"/>
      <c r="AZ160" s="7"/>
      <c r="BA160" s="7"/>
      <c r="BB160" s="7"/>
      <c r="BC160" s="7"/>
      <c r="BD160" s="7"/>
      <c r="BE160" s="7"/>
      <c r="BF160" s="7"/>
      <c r="BG160" s="7"/>
    </row>
    <row r="161" customHeight="1" spans="1:59">
      <c r="A161" s="9" t="str">
        <f>IF(ActiveDatabase=Standby,Secondary!A161,Primary!A161)</f>
        <v>Cellin 08</v>
      </c>
      <c r="B161" s="5" t="str">
        <f>IF(ActiveDatabase=Standby,Secondary!B161,Primary!B161)</f>
        <v>Cellin 10</v>
      </c>
      <c r="C161" s="5" t="str">
        <f>IF(ActiveDatabase=Standby,Secondary!C161,Primary!C161)</f>
        <v>Cellin 14</v>
      </c>
      <c r="D161" s="5" t="str">
        <f>IF(ActiveDatabase=Standby,Secondary!D161,Primary!D161)</f>
        <v>Security Post Dipur</v>
      </c>
      <c r="E161" s="6" t="str">
        <f>IF(ActiveDatabase=Standby,Secondary!E161,Primary!E161)</f>
        <v>Dipur</v>
      </c>
      <c r="F161" s="10">
        <f>IF(ActiveDatabase=Standby,Secondary!F161,Primary!F161)</f>
        <v>197.594290647999</v>
      </c>
      <c r="G161" s="10">
        <f>IF(ActiveDatabase=Standby,Secondary!G161,Primary!G161)</f>
        <v>57.562007416</v>
      </c>
      <c r="H161" s="10">
        <f>IF(ActiveDatabase=Standby,Secondary!H161,Primary!H161)</f>
        <v>-160.055417576999</v>
      </c>
      <c r="I161" s="13">
        <f>IF(ActiveDatabase=Standby,Secondary!I161,Primary!I161)</f>
        <v>0</v>
      </c>
      <c r="J161" s="13">
        <f>IF(ActiveDatabase=Standby,Secondary!J161,Primary!J161)</f>
        <v>0</v>
      </c>
      <c r="K161" s="13">
        <f>IF(ActiveDatabase=Standby,Secondary!K161,Primary!K161)</f>
        <v>0</v>
      </c>
      <c r="L161" s="13">
        <f>IF(ActiveDatabase=Standby,Secondary!L161,Primary!L161)</f>
        <v>0</v>
      </c>
      <c r="M161" s="7" t="b">
        <f>IF(ActiveDatabase=Standby,Secondary!M161,Primary!M161)</f>
        <v>1</v>
      </c>
      <c r="N161" s="10">
        <f>IF(ActiveDatabase=Standby,Secondary!N161,Primary!N161)</f>
        <v>0</v>
      </c>
      <c r="O161" s="10">
        <f>IF(ActiveDatabase=Standby,Secondary!O161,Primary!O161)</f>
        <v>0</v>
      </c>
      <c r="P161" s="10">
        <f>IF(ActiveDatabase=Standby,Secondary!P161,Primary!P161)</f>
        <v>0</v>
      </c>
      <c r="Q161" s="6">
        <f>IF(ActiveDatabase=Standby,Secondary!Q161,Primary!Q161)</f>
        <v>0</v>
      </c>
      <c r="R161" s="18">
        <f>IF(ActiveDatabase=Standby,Secondary!R161,Primary!R161)</f>
        <v>0</v>
      </c>
      <c r="S161" s="19">
        <f>IF(ActiveDatabase=Standby,Secondary!S161,Primary!S161)</f>
        <v>0</v>
      </c>
      <c r="T161" s="10">
        <f>IF(ActiveDatabase=Standby,Secondary!T161,Primary!T161)</f>
        <v>0</v>
      </c>
      <c r="U161" s="10">
        <f>IF(ActiveDatabase=Standby,Secondary!U161,Primary!U161)</f>
        <v>0</v>
      </c>
      <c r="V161" s="10">
        <f>IF(ActiveDatabase=Standby,Secondary!V161,Primary!V161)</f>
        <v>0</v>
      </c>
      <c r="W161" s="6">
        <f>IF(ActiveDatabase=Standby,Secondary!W161,Primary!W161)</f>
        <v>0</v>
      </c>
      <c r="X161" s="6">
        <f>IF(ActiveDatabase=Standby,Secondary!X161,Primary!X161)</f>
        <v>0</v>
      </c>
      <c r="Y161" s="12">
        <f>IF(ActiveDatabase=Standby,Secondary!Y161,Primary!Y161)</f>
        <v>0</v>
      </c>
      <c r="Z161" s="12">
        <f>IF(ActiveDatabase=Standby,Secondary!Z161,Primary!Z161)</f>
        <v>0</v>
      </c>
      <c r="AA161" s="7">
        <f>IF(ActiveDatabase=Standby,Secondary!AA161,Primary!AA161)</f>
        <v>0</v>
      </c>
      <c r="AB161" s="12"/>
      <c r="AC161" s="6"/>
      <c r="AD161" s="6"/>
      <c r="AE161" s="7"/>
      <c r="AF161" s="7"/>
      <c r="AG161" s="7"/>
      <c r="AH161" s="7"/>
      <c r="AI161" s="7"/>
      <c r="AJ161" s="7"/>
      <c r="AK161" s="7"/>
      <c r="AL161" s="7"/>
      <c r="AM161" s="7"/>
      <c r="AN161" s="7"/>
      <c r="AO161" s="6"/>
      <c r="AP161" s="7"/>
      <c r="AQ161" s="7"/>
      <c r="AR161" s="6"/>
      <c r="AS161" s="7"/>
      <c r="AT161" s="7"/>
      <c r="AU161" s="7"/>
      <c r="AV161" s="7"/>
      <c r="AW161" s="7"/>
      <c r="AX161" s="7"/>
      <c r="AY161" s="7"/>
      <c r="AZ161" s="7"/>
      <c r="BA161" s="7"/>
      <c r="BB161" s="7"/>
      <c r="BC161" s="7"/>
      <c r="BD161" s="7"/>
      <c r="BE161" s="7"/>
      <c r="BF161" s="7"/>
      <c r="BG161" s="7"/>
    </row>
    <row r="162" customHeight="1" spans="1:59">
      <c r="A162" s="9" t="str">
        <f>IF(ActiveDatabase=Standby,Secondary!A162,Primary!A162)</f>
        <v>Cellin 09</v>
      </c>
      <c r="B162" s="5" t="str">
        <f>IF(ActiveDatabase=Standby,Secondary!B162,Primary!B162)</f>
        <v>Cellin 11</v>
      </c>
      <c r="C162" s="5" t="str">
        <f>IF(ActiveDatabase=Standby,Secondary!C162,Primary!C162)</f>
        <v>Cellin 24</v>
      </c>
      <c r="D162" s="5" t="str">
        <f>IF(ActiveDatabase=Standby,Secondary!D162,Primary!D162)</f>
        <v>Security Post Lespin</v>
      </c>
      <c r="E162" s="6" t="str">
        <f>IF(ActiveDatabase=Standby,Secondary!E162,Primary!E162)</f>
        <v>Lespin</v>
      </c>
      <c r="F162" s="10">
        <f>IF(ActiveDatabase=Standby,Secondary!F162,Primary!F162)</f>
        <v>-214.292676368999</v>
      </c>
      <c r="G162" s="10">
        <f>IF(ActiveDatabase=Standby,Secondary!G162,Primary!G162)</f>
        <v>-149.183812567999</v>
      </c>
      <c r="H162" s="10">
        <f>IF(ActiveDatabase=Standby,Secondary!H162,Primary!H162)</f>
        <v>4.122577671</v>
      </c>
      <c r="I162" s="13">
        <f>IF(ActiveDatabase=Standby,Secondary!I162,Primary!I162)</f>
        <v>0</v>
      </c>
      <c r="J162" s="13">
        <f>IF(ActiveDatabase=Standby,Secondary!J162,Primary!J162)</f>
        <v>0</v>
      </c>
      <c r="K162" s="13">
        <f>IF(ActiveDatabase=Standby,Secondary!K162,Primary!K162)</f>
        <v>0</v>
      </c>
      <c r="L162" s="13">
        <f>IF(ActiveDatabase=Standby,Secondary!L162,Primary!L162)</f>
        <v>0</v>
      </c>
      <c r="M162" s="7" t="b">
        <f>IF(ActiveDatabase=Standby,Secondary!M162,Primary!M162)</f>
        <v>1</v>
      </c>
      <c r="N162" s="10">
        <f>IF(ActiveDatabase=Standby,Secondary!N162,Primary!N162)</f>
        <v>0</v>
      </c>
      <c r="O162" s="10">
        <f>IF(ActiveDatabase=Standby,Secondary!O162,Primary!O162)</f>
        <v>0</v>
      </c>
      <c r="P162" s="10">
        <f>IF(ActiveDatabase=Standby,Secondary!P162,Primary!P162)</f>
        <v>0</v>
      </c>
      <c r="Q162" s="6">
        <f>IF(ActiveDatabase=Standby,Secondary!Q162,Primary!Q162)</f>
        <v>0</v>
      </c>
      <c r="R162" s="18">
        <f>IF(ActiveDatabase=Standby,Secondary!R162,Primary!R162)</f>
        <v>0</v>
      </c>
      <c r="S162" s="19">
        <f>IF(ActiveDatabase=Standby,Secondary!S162,Primary!S162)</f>
        <v>0</v>
      </c>
      <c r="T162" s="10">
        <f>IF(ActiveDatabase=Standby,Secondary!T162,Primary!T162)</f>
        <v>0</v>
      </c>
      <c r="U162" s="10">
        <f>IF(ActiveDatabase=Standby,Secondary!U162,Primary!U162)</f>
        <v>0</v>
      </c>
      <c r="V162" s="10">
        <f>IF(ActiveDatabase=Standby,Secondary!V162,Primary!V162)</f>
        <v>0</v>
      </c>
      <c r="W162" s="6">
        <f>IF(ActiveDatabase=Standby,Secondary!W162,Primary!W162)</f>
        <v>0</v>
      </c>
      <c r="X162" s="6">
        <f>IF(ActiveDatabase=Standby,Secondary!X162,Primary!X162)</f>
        <v>0</v>
      </c>
      <c r="Y162" s="12">
        <f>IF(ActiveDatabase=Standby,Secondary!Y162,Primary!Y162)</f>
        <v>0</v>
      </c>
      <c r="Z162" s="12">
        <f>IF(ActiveDatabase=Standby,Secondary!Z162,Primary!Z162)</f>
        <v>0</v>
      </c>
      <c r="AA162" s="7">
        <f>IF(ActiveDatabase=Standby,Secondary!AA162,Primary!AA162)</f>
        <v>0</v>
      </c>
      <c r="AB162" s="12"/>
      <c r="AC162" s="6"/>
      <c r="AD162" s="6"/>
      <c r="AE162" s="7"/>
      <c r="AF162" s="7"/>
      <c r="AG162" s="7"/>
      <c r="AH162" s="7"/>
      <c r="AI162" s="7"/>
      <c r="AJ162" s="7"/>
      <c r="AK162" s="7"/>
      <c r="AL162" s="7"/>
      <c r="AM162" s="7"/>
      <c r="AN162" s="7"/>
      <c r="AO162" s="6"/>
      <c r="AP162" s="7"/>
      <c r="AQ162" s="7"/>
      <c r="AR162" s="6"/>
      <c r="AS162" s="7"/>
      <c r="AT162" s="7"/>
      <c r="AU162" s="7"/>
      <c r="AV162" s="7"/>
      <c r="AW162" s="7"/>
      <c r="AX162" s="7"/>
      <c r="AY162" s="7"/>
      <c r="AZ162" s="7"/>
      <c r="BA162" s="7"/>
      <c r="BB162" s="7"/>
      <c r="BC162" s="7"/>
      <c r="BD162" s="7"/>
      <c r="BE162" s="7"/>
      <c r="BF162" s="7"/>
      <c r="BG162" s="7"/>
    </row>
    <row r="163" customHeight="1" spans="1:59">
      <c r="A163" s="9" t="str">
        <f>IF(ActiveDatabase=Standby,Secondary!A163,Primary!A163)</f>
        <v>Cellin</v>
      </c>
      <c r="B163" s="5" t="str">
        <f>IF(ActiveDatabase=Standby,Secondary!B163,Primary!B163)</f>
        <v>Cellin 13</v>
      </c>
      <c r="C163" s="5">
        <f>IF(ActiveDatabase=Standby,Secondary!C163,Primary!C163)</f>
        <v>0</v>
      </c>
      <c r="D163" s="5" t="str">
        <f>IF(ActiveDatabase=Standby,Secondary!D163,Primary!D163)</f>
        <v>Other Facilities</v>
      </c>
      <c r="E163" s="6">
        <f>IF(ActiveDatabase=Standby,Secondary!E163,Primary!E163)</f>
        <v>0</v>
      </c>
      <c r="F163" s="10">
        <f>IF(ActiveDatabase=Standby,Secondary!F163,Primary!F163)</f>
        <v>0</v>
      </c>
      <c r="G163" s="10">
        <f>IF(ActiveDatabase=Standby,Secondary!G163,Primary!G163)</f>
        <v>0</v>
      </c>
      <c r="H163" s="10">
        <f>IF(ActiveDatabase=Standby,Secondary!H163,Primary!H163)</f>
        <v>0</v>
      </c>
      <c r="I163" s="13">
        <f>IF(ActiveDatabase=Standby,Secondary!I163,Primary!I163)</f>
        <v>0</v>
      </c>
      <c r="J163" s="13">
        <f>IF(ActiveDatabase=Standby,Secondary!J163,Primary!J163)</f>
        <v>0</v>
      </c>
      <c r="K163" s="13">
        <f>IF(ActiveDatabase=Standby,Secondary!K163,Primary!K163)</f>
        <v>0</v>
      </c>
      <c r="L163" s="13">
        <f>IF(ActiveDatabase=Standby,Secondary!L163,Primary!L163)</f>
        <v>0</v>
      </c>
      <c r="M163" s="7">
        <f>IF(ActiveDatabase=Standby,Secondary!M163,Primary!M163)</f>
        <v>0</v>
      </c>
      <c r="N163" s="10">
        <f>IF(ActiveDatabase=Standby,Secondary!N163,Primary!N163)</f>
        <v>0</v>
      </c>
      <c r="O163" s="10">
        <f>IF(ActiveDatabase=Standby,Secondary!O163,Primary!O163)</f>
        <v>0</v>
      </c>
      <c r="P163" s="10">
        <f>IF(ActiveDatabase=Standby,Secondary!P163,Primary!P163)</f>
        <v>0</v>
      </c>
      <c r="Q163" s="6">
        <f>IF(ActiveDatabase=Standby,Secondary!Q163,Primary!Q163)</f>
        <v>0</v>
      </c>
      <c r="R163" s="18">
        <f>IF(ActiveDatabase=Standby,Secondary!R163,Primary!R163)</f>
        <v>0</v>
      </c>
      <c r="S163" s="19">
        <f>IF(ActiveDatabase=Standby,Secondary!S163,Primary!S163)</f>
        <v>0</v>
      </c>
      <c r="T163" s="10">
        <f>IF(ActiveDatabase=Standby,Secondary!T163,Primary!T163)</f>
        <v>0</v>
      </c>
      <c r="U163" s="10">
        <f>IF(ActiveDatabase=Standby,Secondary!U163,Primary!U163)</f>
        <v>0</v>
      </c>
      <c r="V163" s="10">
        <f>IF(ActiveDatabase=Standby,Secondary!V163,Primary!V163)</f>
        <v>0</v>
      </c>
      <c r="W163" s="6">
        <f>IF(ActiveDatabase=Standby,Secondary!W163,Primary!W163)</f>
        <v>0</v>
      </c>
      <c r="X163" s="6">
        <f>IF(ActiveDatabase=Standby,Secondary!X163,Primary!X163)</f>
        <v>0</v>
      </c>
      <c r="Y163" s="12">
        <f>IF(ActiveDatabase=Standby,Secondary!Y163,Primary!Y163)</f>
        <v>0</v>
      </c>
      <c r="Z163" s="12">
        <f>IF(ActiveDatabase=Standby,Secondary!Z163,Primary!Z163)</f>
        <v>0</v>
      </c>
      <c r="AA163" s="7">
        <f>IF(ActiveDatabase=Standby,Secondary!AA163,Primary!AA163)</f>
        <v>0</v>
      </c>
      <c r="AB163" s="12"/>
      <c r="AC163" s="6"/>
      <c r="AD163" s="6"/>
      <c r="AE163" s="7"/>
      <c r="AF163" s="7"/>
      <c r="AG163" s="7"/>
      <c r="AH163" s="7"/>
      <c r="AI163" s="7"/>
      <c r="AJ163" s="7"/>
      <c r="AK163" s="7"/>
      <c r="AL163" s="7"/>
      <c r="AM163" s="7"/>
      <c r="AN163" s="7"/>
      <c r="AO163" s="6"/>
      <c r="AP163" s="7"/>
      <c r="AQ163" s="7"/>
      <c r="AR163" s="6"/>
      <c r="AS163" s="7"/>
      <c r="AT163" s="7"/>
      <c r="AU163" s="7"/>
      <c r="AV163" s="7"/>
      <c r="AW163" s="7"/>
      <c r="AX163" s="7"/>
      <c r="AY163" s="7"/>
      <c r="AZ163" s="7"/>
      <c r="BA163" s="7"/>
      <c r="BB163" s="7"/>
      <c r="BC163" s="7"/>
      <c r="BD163" s="7"/>
      <c r="BE163" s="7"/>
      <c r="BF163" s="7"/>
      <c r="BG163" s="7"/>
    </row>
    <row r="164" customHeight="1" spans="1:59">
      <c r="A164" s="9" t="str">
        <f>IF(ActiveDatabase=Standby,Secondary!A164,Primary!A164)</f>
        <v>Cellin 10</v>
      </c>
      <c r="B164" s="5" t="str">
        <f>IF(ActiveDatabase=Standby,Secondary!B164,Primary!B164)</f>
        <v>Cellin 14</v>
      </c>
      <c r="C164" s="5" t="str">
        <f>IF(ActiveDatabase=Standby,Secondary!C164,Primary!C164)</f>
        <v>Cellin 21</v>
      </c>
      <c r="D164" s="5" t="str">
        <f>IF(ActiveDatabase=Standby,Secondary!D164,Primary!D164)</f>
        <v>Security Post Kareah</v>
      </c>
      <c r="E164" s="6" t="str">
        <f>IF(ActiveDatabase=Standby,Secondary!E164,Primary!E164)</f>
        <v>Kareah</v>
      </c>
      <c r="F164" s="10">
        <f>IF(ActiveDatabase=Standby,Secondary!F164,Primary!F164)</f>
        <v>11.620356800079</v>
      </c>
      <c r="G164" s="10">
        <f>IF(ActiveDatabase=Standby,Secondary!G164,Primary!G164)</f>
        <v>-419.839422159672</v>
      </c>
      <c r="H164" s="10">
        <f>IF(ActiveDatabase=Standby,Secondary!H164,Primary!H164)</f>
        <v>200</v>
      </c>
      <c r="I164" s="13">
        <f>IF(ActiveDatabase=Standby,Secondary!I164,Primary!I164)</f>
        <v>0</v>
      </c>
      <c r="J164" s="13">
        <f>IF(ActiveDatabase=Standby,Secondary!J164,Primary!J164)</f>
        <v>0</v>
      </c>
      <c r="K164" s="13">
        <f>IF(ActiveDatabase=Standby,Secondary!K164,Primary!K164)</f>
        <v>0</v>
      </c>
      <c r="L164" s="13">
        <f>IF(ActiveDatabase=Standby,Secondary!L164,Primary!L164)</f>
        <v>0</v>
      </c>
      <c r="M164" s="7" t="b">
        <f>IF(ActiveDatabase=Standby,Secondary!M164,Primary!M164)</f>
        <v>1</v>
      </c>
      <c r="N164" s="10">
        <f>IF(ActiveDatabase=Standby,Secondary!N164,Primary!N164)</f>
        <v>0</v>
      </c>
      <c r="O164" s="10">
        <f>IF(ActiveDatabase=Standby,Secondary!O164,Primary!O164)</f>
        <v>0</v>
      </c>
      <c r="P164" s="10">
        <f>IF(ActiveDatabase=Standby,Secondary!P164,Primary!P164)</f>
        <v>0</v>
      </c>
      <c r="Q164" s="6">
        <f>IF(ActiveDatabase=Standby,Secondary!Q164,Primary!Q164)</f>
        <v>0</v>
      </c>
      <c r="R164" s="18">
        <f>IF(ActiveDatabase=Standby,Secondary!R164,Primary!R164)</f>
        <v>0</v>
      </c>
      <c r="S164" s="19">
        <f>IF(ActiveDatabase=Standby,Secondary!S164,Primary!S164)</f>
        <v>0</v>
      </c>
      <c r="T164" s="10">
        <f>IF(ActiveDatabase=Standby,Secondary!T164,Primary!T164)</f>
        <v>0</v>
      </c>
      <c r="U164" s="10">
        <f>IF(ActiveDatabase=Standby,Secondary!U164,Primary!U164)</f>
        <v>0</v>
      </c>
      <c r="V164" s="10">
        <f>IF(ActiveDatabase=Standby,Secondary!V164,Primary!V164)</f>
        <v>0</v>
      </c>
      <c r="W164" s="6">
        <f>IF(ActiveDatabase=Standby,Secondary!W164,Primary!W164)</f>
        <v>0</v>
      </c>
      <c r="X164" s="6">
        <f>IF(ActiveDatabase=Standby,Secondary!X164,Primary!X164)</f>
        <v>0</v>
      </c>
      <c r="Y164" s="12">
        <f>IF(ActiveDatabase=Standby,Secondary!Y164,Primary!Y164)</f>
        <v>0</v>
      </c>
      <c r="Z164" s="12">
        <f>IF(ActiveDatabase=Standby,Secondary!Z164,Primary!Z164)</f>
        <v>0</v>
      </c>
      <c r="AA164" s="7">
        <f>IF(ActiveDatabase=Standby,Secondary!AA164,Primary!AA164)</f>
        <v>0</v>
      </c>
      <c r="AB164" s="12"/>
      <c r="AC164" s="6"/>
      <c r="AD164" s="6"/>
      <c r="AE164" s="7"/>
      <c r="AF164" s="7"/>
      <c r="AG164" s="7"/>
      <c r="AH164" s="7"/>
      <c r="AI164" s="7"/>
      <c r="AJ164" s="7"/>
      <c r="AK164" s="7"/>
      <c r="AL164" s="7"/>
      <c r="AM164" s="7"/>
      <c r="AN164" s="7"/>
      <c r="AO164" s="6"/>
      <c r="AP164" s="7"/>
      <c r="AQ164" s="7"/>
      <c r="AR164" s="6"/>
      <c r="AS164" s="7"/>
      <c r="AT164" s="7"/>
      <c r="AU164" s="7"/>
      <c r="AV164" s="7"/>
      <c r="AW164" s="7"/>
      <c r="AX164" s="7"/>
      <c r="AY164" s="7"/>
      <c r="AZ164" s="7"/>
      <c r="BA164" s="7"/>
      <c r="BB164" s="7"/>
      <c r="BC164" s="7"/>
      <c r="BD164" s="7"/>
      <c r="BE164" s="7"/>
      <c r="BF164" s="7"/>
      <c r="BG164" s="7"/>
    </row>
    <row r="165" customHeight="1" spans="1:59">
      <c r="A165" s="9" t="str">
        <f>IF(ActiveDatabase=Standby,Secondary!A165,Primary!A165)</f>
        <v>Cellin 16</v>
      </c>
      <c r="B165" s="5" t="str">
        <f>IF(ActiveDatabase=Standby,Secondary!B165,Primary!B165)</f>
        <v>Cellin 15</v>
      </c>
      <c r="C165" s="5" t="str">
        <f>IF(ActiveDatabase=Standby,Secondary!C165,Primary!C165)</f>
        <v>Cellin 11</v>
      </c>
      <c r="D165" s="5" t="str">
        <f>IF(ActiveDatabase=Standby,Secondary!D165,Primary!D165)</f>
        <v>Abandoned Outpost</v>
      </c>
      <c r="E165" s="6" t="str">
        <f>IF(ActiveDatabase=Standby,Secondary!E165,Primary!E165)</f>
        <v>Abandoned</v>
      </c>
      <c r="F165" s="10">
        <f>IF(ActiveDatabase=Standby,Secondary!F165,Primary!F165)</f>
        <v>130.061649871999</v>
      </c>
      <c r="G165" s="10">
        <f>IF(ActiveDatabase=Standby,Secondary!G165,Primary!G165)</f>
        <v>184.915423914</v>
      </c>
      <c r="H165" s="10">
        <f>IF(ActiveDatabase=Standby,Secondary!H165,Primary!H165)</f>
        <v>130.356376438</v>
      </c>
      <c r="I165" s="13">
        <f>IF(ActiveDatabase=Standby,Secondary!I165,Primary!I165)</f>
        <v>0</v>
      </c>
      <c r="J165" s="13">
        <f>IF(ActiveDatabase=Standby,Secondary!J165,Primary!J165)</f>
        <v>0</v>
      </c>
      <c r="K165" s="13">
        <f>IF(ActiveDatabase=Standby,Secondary!K165,Primary!K165)</f>
        <v>0</v>
      </c>
      <c r="L165" s="13">
        <f>IF(ActiveDatabase=Standby,Secondary!L165,Primary!L165)</f>
        <v>0</v>
      </c>
      <c r="M165" s="7" t="b">
        <f>IF(ActiveDatabase=Standby,Secondary!M165,Primary!M165)</f>
        <v>0</v>
      </c>
      <c r="N165" s="10">
        <f>IF(ActiveDatabase=Standby,Secondary!N165,Primary!N165)</f>
        <v>0</v>
      </c>
      <c r="O165" s="10">
        <f>IF(ActiveDatabase=Standby,Secondary!O165,Primary!O165)</f>
        <v>0</v>
      </c>
      <c r="P165" s="10">
        <f>IF(ActiveDatabase=Standby,Secondary!P165,Primary!P165)</f>
        <v>0</v>
      </c>
      <c r="Q165" s="6">
        <f>IF(ActiveDatabase=Standby,Secondary!Q165,Primary!Q165)</f>
        <v>0</v>
      </c>
      <c r="R165" s="18">
        <f>IF(ActiveDatabase=Standby,Secondary!R165,Primary!R165)</f>
        <v>0</v>
      </c>
      <c r="S165" s="19">
        <f>IF(ActiveDatabase=Standby,Secondary!S165,Primary!S165)</f>
        <v>0</v>
      </c>
      <c r="T165" s="10">
        <f>IF(ActiveDatabase=Standby,Secondary!T165,Primary!T165)</f>
        <v>0</v>
      </c>
      <c r="U165" s="10">
        <f>IF(ActiveDatabase=Standby,Secondary!U165,Primary!U165)</f>
        <v>0</v>
      </c>
      <c r="V165" s="10">
        <f>IF(ActiveDatabase=Standby,Secondary!V165,Primary!V165)</f>
        <v>0</v>
      </c>
      <c r="W165" s="6">
        <f>IF(ActiveDatabase=Standby,Secondary!W165,Primary!W165)</f>
        <v>0</v>
      </c>
      <c r="X165" s="6">
        <f>IF(ActiveDatabase=Standby,Secondary!X165,Primary!X165)</f>
        <v>0</v>
      </c>
      <c r="Y165" s="12">
        <f>IF(ActiveDatabase=Standby,Secondary!Y165,Primary!Y165)</f>
        <v>0</v>
      </c>
      <c r="Z165" s="12">
        <f>IF(ActiveDatabase=Standby,Secondary!Z165,Primary!Z165)</f>
        <v>0</v>
      </c>
      <c r="AA165" s="7">
        <f>IF(ActiveDatabase=Standby,Secondary!AA165,Primary!AA165)</f>
        <v>0</v>
      </c>
      <c r="AB165" s="12"/>
      <c r="AC165" s="6"/>
      <c r="AD165" s="6"/>
      <c r="AE165" s="7"/>
      <c r="AF165" s="7"/>
      <c r="AG165" s="7"/>
      <c r="AH165" s="7"/>
      <c r="AI165" s="7"/>
      <c r="AJ165" s="7"/>
      <c r="AK165" s="7"/>
      <c r="AL165" s="7"/>
      <c r="AM165" s="7"/>
      <c r="AN165" s="7"/>
      <c r="AO165" s="6"/>
      <c r="AP165" s="7"/>
      <c r="AQ165" s="7"/>
      <c r="AR165" s="6"/>
      <c r="AS165" s="7"/>
      <c r="AT165" s="7"/>
      <c r="AU165" s="7"/>
      <c r="AV165" s="7"/>
      <c r="AW165" s="7"/>
      <c r="AX165" s="7"/>
      <c r="AY165" s="7"/>
      <c r="AZ165" s="7"/>
      <c r="BA165" s="7"/>
      <c r="BB165" s="7"/>
      <c r="BC165" s="7"/>
      <c r="BD165" s="7"/>
      <c r="BE165" s="7"/>
      <c r="BF165" s="7"/>
      <c r="BG165" s="7"/>
    </row>
    <row r="166" customHeight="1" spans="1:59">
      <c r="A166" s="9" t="str">
        <f>IF(ActiveDatabase=Standby,Secondary!A166,Primary!A166)</f>
        <v>Cellin</v>
      </c>
      <c r="B166" s="5" t="str">
        <f>IF(ActiveDatabase=Standby,Secondary!B166,Primary!B166)</f>
        <v>Cellin 17</v>
      </c>
      <c r="C166" s="5">
        <f>IF(ActiveDatabase=Standby,Secondary!C166,Primary!C166)</f>
        <v>0</v>
      </c>
      <c r="D166" s="5" t="str">
        <f>IF(ActiveDatabase=Standby,Secondary!D166,Primary!D166)</f>
        <v>Emergency Shelters</v>
      </c>
      <c r="E166" s="6">
        <f>IF(ActiveDatabase=Standby,Secondary!E166,Primary!E166)</f>
        <v>0</v>
      </c>
      <c r="F166" s="10">
        <f>IF(ActiveDatabase=Standby,Secondary!F166,Primary!F166)</f>
        <v>0</v>
      </c>
      <c r="G166" s="10">
        <f>IF(ActiveDatabase=Standby,Secondary!G166,Primary!G166)</f>
        <v>0</v>
      </c>
      <c r="H166" s="10">
        <f>IF(ActiveDatabase=Standby,Secondary!H166,Primary!H166)</f>
        <v>0</v>
      </c>
      <c r="I166" s="13">
        <f>IF(ActiveDatabase=Standby,Secondary!I166,Primary!I166)</f>
        <v>0</v>
      </c>
      <c r="J166" s="13">
        <f>IF(ActiveDatabase=Standby,Secondary!J166,Primary!J166)</f>
        <v>0</v>
      </c>
      <c r="K166" s="13">
        <f>IF(ActiveDatabase=Standby,Secondary!K166,Primary!K166)</f>
        <v>0</v>
      </c>
      <c r="L166" s="13">
        <f>IF(ActiveDatabase=Standby,Secondary!L166,Primary!L166)</f>
        <v>0</v>
      </c>
      <c r="M166" s="7">
        <f>IF(ActiveDatabase=Standby,Secondary!M166,Primary!M166)</f>
        <v>0</v>
      </c>
      <c r="N166" s="10">
        <f>IF(ActiveDatabase=Standby,Secondary!N166,Primary!N166)</f>
        <v>0</v>
      </c>
      <c r="O166" s="10">
        <f>IF(ActiveDatabase=Standby,Secondary!O166,Primary!O166)</f>
        <v>0</v>
      </c>
      <c r="P166" s="10">
        <f>IF(ActiveDatabase=Standby,Secondary!P166,Primary!P166)</f>
        <v>0</v>
      </c>
      <c r="Q166" s="6">
        <f>IF(ActiveDatabase=Standby,Secondary!Q166,Primary!Q166)</f>
        <v>0</v>
      </c>
      <c r="R166" s="18">
        <f>IF(ActiveDatabase=Standby,Secondary!R166,Primary!R166)</f>
        <v>0</v>
      </c>
      <c r="S166" s="19">
        <f>IF(ActiveDatabase=Standby,Secondary!S166,Primary!S166)</f>
        <v>0</v>
      </c>
      <c r="T166" s="10">
        <f>IF(ActiveDatabase=Standby,Secondary!T166,Primary!T166)</f>
        <v>0</v>
      </c>
      <c r="U166" s="10">
        <f>IF(ActiveDatabase=Standby,Secondary!U166,Primary!U166)</f>
        <v>0</v>
      </c>
      <c r="V166" s="10">
        <f>IF(ActiveDatabase=Standby,Secondary!V166,Primary!V166)</f>
        <v>0</v>
      </c>
      <c r="W166" s="6">
        <f>IF(ActiveDatabase=Standby,Secondary!W166,Primary!W166)</f>
        <v>0</v>
      </c>
      <c r="X166" s="6">
        <f>IF(ActiveDatabase=Standby,Secondary!X166,Primary!X166)</f>
        <v>0</v>
      </c>
      <c r="Y166" s="12">
        <f>IF(ActiveDatabase=Standby,Secondary!Y166,Primary!Y166)</f>
        <v>0</v>
      </c>
      <c r="Z166" s="12">
        <f>IF(ActiveDatabase=Standby,Secondary!Z166,Primary!Z166)</f>
        <v>0</v>
      </c>
      <c r="AA166" s="7">
        <f>IF(ActiveDatabase=Standby,Secondary!AA166,Primary!AA166)</f>
        <v>0</v>
      </c>
      <c r="AB166" s="12"/>
      <c r="AC166" s="6"/>
      <c r="AD166" s="6"/>
      <c r="AE166" s="7"/>
      <c r="AF166" s="7"/>
      <c r="AG166" s="7"/>
      <c r="AH166" s="7"/>
      <c r="AI166" s="7"/>
      <c r="AJ166" s="7"/>
      <c r="AK166" s="7"/>
      <c r="AL166" s="7"/>
      <c r="AM166" s="7"/>
      <c r="AN166" s="7"/>
      <c r="AO166" s="6"/>
      <c r="AP166" s="7"/>
      <c r="AQ166" s="7"/>
      <c r="AR166" s="6"/>
      <c r="AS166" s="7"/>
      <c r="AT166" s="7"/>
      <c r="AU166" s="7"/>
      <c r="AV166" s="7"/>
      <c r="AW166" s="7"/>
      <c r="AX166" s="7"/>
      <c r="AY166" s="7"/>
      <c r="AZ166" s="7"/>
      <c r="BA166" s="7"/>
      <c r="BB166" s="7"/>
      <c r="BC166" s="7"/>
      <c r="BD166" s="7"/>
      <c r="BE166" s="7"/>
      <c r="BF166" s="7"/>
      <c r="BG166" s="7"/>
    </row>
    <row r="167" customHeight="1" spans="1:59">
      <c r="A167" s="9" t="str">
        <f>IF(ActiveDatabase=Standby,Secondary!A167,Primary!A167)</f>
        <v>Cellin 11</v>
      </c>
      <c r="B167" s="5" t="str">
        <f>IF(ActiveDatabase=Standby,Secondary!B167,Primary!B167)</f>
        <v>Cellin 18</v>
      </c>
      <c r="C167" s="5" t="str">
        <f>IF(ActiveDatabase=Standby,Secondary!C167,Primary!C167)</f>
        <v>Cellin 22</v>
      </c>
      <c r="D167" s="5" t="str">
        <f>IF(ActiveDatabase=Standby,Secondary!D167,Primary!D167)</f>
        <v>Ashburn Channel Aid Shelter</v>
      </c>
      <c r="E167" s="6" t="str">
        <f>IF(ActiveDatabase=Standby,Secondary!E167,Primary!E167)</f>
        <v>Ashburn</v>
      </c>
      <c r="F167" s="10">
        <f>IF(ActiveDatabase=Standby,Secondary!F167,Primary!F167)</f>
        <v>3.02383073199998</v>
      </c>
      <c r="G167" s="10">
        <f>IF(ActiveDatabase=Standby,Secondary!G167,Primary!G167)</f>
        <v>-257.942071407999</v>
      </c>
      <c r="H167" s="10">
        <f>IF(ActiveDatabase=Standby,Secondary!H167,Primary!H167)</f>
        <v>-37.129182627</v>
      </c>
      <c r="I167" s="13">
        <f>IF(ActiveDatabase=Standby,Secondary!I167,Primary!I167)</f>
        <v>0</v>
      </c>
      <c r="J167" s="13">
        <f>IF(ActiveDatabase=Standby,Secondary!J167,Primary!J167)</f>
        <v>0</v>
      </c>
      <c r="K167" s="13">
        <f>IF(ActiveDatabase=Standby,Secondary!K167,Primary!K167)</f>
        <v>0</v>
      </c>
      <c r="L167" s="13">
        <f>IF(ActiveDatabase=Standby,Secondary!L167,Primary!L167)</f>
        <v>0</v>
      </c>
      <c r="M167" s="7" t="b">
        <f>IF(ActiveDatabase=Standby,Secondary!M167,Primary!M167)</f>
        <v>1</v>
      </c>
      <c r="N167" s="10">
        <f>IF(ActiveDatabase=Standby,Secondary!N167,Primary!N167)</f>
        <v>0</v>
      </c>
      <c r="O167" s="10">
        <f>IF(ActiveDatabase=Standby,Secondary!O167,Primary!O167)</f>
        <v>0</v>
      </c>
      <c r="P167" s="10">
        <f>IF(ActiveDatabase=Standby,Secondary!P167,Primary!P167)</f>
        <v>0</v>
      </c>
      <c r="Q167" s="6">
        <f>IF(ActiveDatabase=Standby,Secondary!Q167,Primary!Q167)</f>
        <v>0</v>
      </c>
      <c r="R167" s="18">
        <f>IF(ActiveDatabase=Standby,Secondary!R167,Primary!R167)</f>
        <v>0</v>
      </c>
      <c r="S167" s="19">
        <f>IF(ActiveDatabase=Standby,Secondary!S167,Primary!S167)</f>
        <v>0</v>
      </c>
      <c r="T167" s="10">
        <f>IF(ActiveDatabase=Standby,Secondary!T167,Primary!T167)</f>
        <v>0</v>
      </c>
      <c r="U167" s="10">
        <f>IF(ActiveDatabase=Standby,Secondary!U167,Primary!U167)</f>
        <v>0</v>
      </c>
      <c r="V167" s="10">
        <f>IF(ActiveDatabase=Standby,Secondary!V167,Primary!V167)</f>
        <v>0</v>
      </c>
      <c r="W167" s="6">
        <f>IF(ActiveDatabase=Standby,Secondary!W167,Primary!W167)</f>
        <v>0</v>
      </c>
      <c r="X167" s="6">
        <f>IF(ActiveDatabase=Standby,Secondary!X167,Primary!X167)</f>
        <v>0</v>
      </c>
      <c r="Y167" s="12">
        <f>IF(ActiveDatabase=Standby,Secondary!Y167,Primary!Y167)</f>
        <v>0</v>
      </c>
      <c r="Z167" s="12">
        <f>IF(ActiveDatabase=Standby,Secondary!Z167,Primary!Z167)</f>
        <v>0</v>
      </c>
      <c r="AA167" s="7">
        <f>IF(ActiveDatabase=Standby,Secondary!AA167,Primary!AA167)</f>
        <v>0</v>
      </c>
      <c r="AB167" s="12"/>
      <c r="AC167" s="6"/>
      <c r="AD167" s="6"/>
      <c r="AE167" s="7"/>
      <c r="AF167" s="7"/>
      <c r="AG167" s="7"/>
      <c r="AH167" s="7"/>
      <c r="AI167" s="7"/>
      <c r="AJ167" s="7"/>
      <c r="AK167" s="7"/>
      <c r="AL167" s="7"/>
      <c r="AM167" s="7"/>
      <c r="AN167" s="7"/>
      <c r="AO167" s="6"/>
      <c r="AP167" s="7"/>
      <c r="AQ167" s="7"/>
      <c r="AR167" s="6"/>
      <c r="AS167" s="7"/>
      <c r="AT167" s="7"/>
      <c r="AU167" s="7"/>
      <c r="AV167" s="7"/>
      <c r="AW167" s="7"/>
      <c r="AX167" s="7"/>
      <c r="AY167" s="7"/>
      <c r="AZ167" s="7"/>
      <c r="BA167" s="7"/>
      <c r="BB167" s="7"/>
      <c r="BC167" s="7"/>
      <c r="BD167" s="7"/>
      <c r="BE167" s="7"/>
      <c r="BF167" s="7"/>
      <c r="BG167" s="7"/>
    </row>
    <row r="168" customHeight="1" spans="1:59">
      <c r="A168" s="9" t="str">
        <f>IF(ActiveDatabase=Standby,Secondary!A168,Primary!A168)</f>
        <v>Cellin 12</v>
      </c>
      <c r="B168" s="5" t="str">
        <f>IF(ActiveDatabase=Standby,Secondary!B168,Primary!B168)</f>
        <v>Cellin 19</v>
      </c>
      <c r="C168" s="5" t="str">
        <f>IF(ActiveDatabase=Standby,Secondary!C168,Primary!C168)</f>
        <v>Cellin 05</v>
      </c>
      <c r="D168" s="5" t="str">
        <f>IF(ActiveDatabase=Standby,Secondary!D168,Primary!D168)</f>
        <v>Flanagan's Ravine Aid Shelter</v>
      </c>
      <c r="E168" s="6" t="str">
        <f>IF(ActiveDatabase=Standby,Secondary!E168,Primary!E168)</f>
        <v>Flanagan</v>
      </c>
      <c r="F168" s="10">
        <f>IF(ActiveDatabase=Standby,Secondary!F168,Primary!F168)</f>
        <v>-194.282409239</v>
      </c>
      <c r="G168" s="10">
        <f>IF(ActiveDatabase=Standby,Secondary!G168,Primary!G168)</f>
        <v>151.722017958999</v>
      </c>
      <c r="H168" s="10">
        <f>IF(ActiveDatabase=Standby,Secondary!H168,Primary!H168)</f>
        <v>84.996712245</v>
      </c>
      <c r="I168" s="13">
        <f>IF(ActiveDatabase=Standby,Secondary!I168,Primary!I168)</f>
        <v>0</v>
      </c>
      <c r="J168" s="13">
        <f>IF(ActiveDatabase=Standby,Secondary!J168,Primary!J168)</f>
        <v>0</v>
      </c>
      <c r="K168" s="13">
        <f>IF(ActiveDatabase=Standby,Secondary!K168,Primary!K168)</f>
        <v>0</v>
      </c>
      <c r="L168" s="13">
        <f>IF(ActiveDatabase=Standby,Secondary!L168,Primary!L168)</f>
        <v>0</v>
      </c>
      <c r="M168" s="7" t="b">
        <f>IF(ActiveDatabase=Standby,Secondary!M168,Primary!M168)</f>
        <v>1</v>
      </c>
      <c r="N168" s="10">
        <f>IF(ActiveDatabase=Standby,Secondary!N168,Primary!N168)</f>
        <v>0</v>
      </c>
      <c r="O168" s="10">
        <f>IF(ActiveDatabase=Standby,Secondary!O168,Primary!O168)</f>
        <v>0</v>
      </c>
      <c r="P168" s="10">
        <f>IF(ActiveDatabase=Standby,Secondary!P168,Primary!P168)</f>
        <v>0</v>
      </c>
      <c r="Q168" s="6">
        <f>IF(ActiveDatabase=Standby,Secondary!Q168,Primary!Q168)</f>
        <v>0</v>
      </c>
      <c r="R168" s="18">
        <f>IF(ActiveDatabase=Standby,Secondary!R168,Primary!R168)</f>
        <v>0</v>
      </c>
      <c r="S168" s="19">
        <f>IF(ActiveDatabase=Standby,Secondary!S168,Primary!S168)</f>
        <v>0</v>
      </c>
      <c r="T168" s="10">
        <f>IF(ActiveDatabase=Standby,Secondary!T168,Primary!T168)</f>
        <v>0</v>
      </c>
      <c r="U168" s="10">
        <f>IF(ActiveDatabase=Standby,Secondary!U168,Primary!U168)</f>
        <v>0</v>
      </c>
      <c r="V168" s="10">
        <f>IF(ActiveDatabase=Standby,Secondary!V168,Primary!V168)</f>
        <v>0</v>
      </c>
      <c r="W168" s="6">
        <f>IF(ActiveDatabase=Standby,Secondary!W168,Primary!W168)</f>
        <v>0</v>
      </c>
      <c r="X168" s="6">
        <f>IF(ActiveDatabase=Standby,Secondary!X168,Primary!X168)</f>
        <v>0</v>
      </c>
      <c r="Y168" s="12">
        <f>IF(ActiveDatabase=Standby,Secondary!Y168,Primary!Y168)</f>
        <v>0</v>
      </c>
      <c r="Z168" s="12">
        <f>IF(ActiveDatabase=Standby,Secondary!Z168,Primary!Z168)</f>
        <v>0</v>
      </c>
      <c r="AA168" s="7">
        <f>IF(ActiveDatabase=Standby,Secondary!AA168,Primary!AA168)</f>
        <v>0</v>
      </c>
      <c r="AB168" s="12"/>
      <c r="AC168" s="6"/>
      <c r="AD168" s="6"/>
      <c r="AE168" s="7"/>
      <c r="AF168" s="7"/>
      <c r="AG168" s="7"/>
      <c r="AH168" s="7"/>
      <c r="AI168" s="7"/>
      <c r="AJ168" s="7"/>
      <c r="AK168" s="7"/>
      <c r="AL168" s="7"/>
      <c r="AM168" s="7"/>
      <c r="AN168" s="7"/>
      <c r="AO168" s="6"/>
      <c r="AP168" s="7"/>
      <c r="AQ168" s="7"/>
      <c r="AR168" s="6"/>
      <c r="AS168" s="7"/>
      <c r="AT168" s="7"/>
      <c r="AU168" s="7"/>
      <c r="AV168" s="7"/>
      <c r="AW168" s="7"/>
      <c r="AX168" s="7"/>
      <c r="AY168" s="7"/>
      <c r="AZ168" s="7"/>
      <c r="BA168" s="7"/>
      <c r="BB168" s="7"/>
      <c r="BC168" s="7"/>
      <c r="BD168" s="7"/>
      <c r="BE168" s="7"/>
      <c r="BF168" s="7"/>
      <c r="BG168" s="7"/>
    </row>
    <row r="169" customHeight="1" spans="1:59">
      <c r="A169" s="9" t="str">
        <f>IF(ActiveDatabase=Standby,Secondary!A169,Primary!A169)</f>
        <v>Cellin 13</v>
      </c>
      <c r="B169" s="5" t="str">
        <f>IF(ActiveDatabase=Standby,Secondary!B169,Primary!B169)</f>
        <v>Cellin 20</v>
      </c>
      <c r="C169" s="5" t="str">
        <f>IF(ActiveDatabase=Standby,Secondary!C169,Primary!C169)</f>
        <v>Cellin 25</v>
      </c>
      <c r="D169" s="5" t="str">
        <f>IF(ActiveDatabase=Standby,Secondary!D169,Primary!D169)</f>
        <v>Julep Ravine Aid Shelter</v>
      </c>
      <c r="E169" s="6" t="str">
        <f>IF(ActiveDatabase=Standby,Secondary!E169,Primary!E169)</f>
        <v>Julep</v>
      </c>
      <c r="F169" s="10">
        <f>IF(ActiveDatabase=Standby,Secondary!F169,Primary!F169)</f>
        <v>-111.527725091999</v>
      </c>
      <c r="G169" s="10">
        <f>IF(ActiveDatabase=Standby,Secondary!G169,Primary!G169)</f>
        <v>-56.296659414</v>
      </c>
      <c r="H169" s="10">
        <f>IF(ActiveDatabase=Standby,Secondary!H169,Primary!H169)</f>
        <v>-228.949606357</v>
      </c>
      <c r="I169" s="13">
        <f>IF(ActiveDatabase=Standby,Secondary!I169,Primary!I169)</f>
        <v>0</v>
      </c>
      <c r="J169" s="13">
        <f>IF(ActiveDatabase=Standby,Secondary!J169,Primary!J169)</f>
        <v>0</v>
      </c>
      <c r="K169" s="13">
        <f>IF(ActiveDatabase=Standby,Secondary!K169,Primary!K169)</f>
        <v>0</v>
      </c>
      <c r="L169" s="13">
        <f>IF(ActiveDatabase=Standby,Secondary!L169,Primary!L169)</f>
        <v>0</v>
      </c>
      <c r="M169" s="7" t="b">
        <f>IF(ActiveDatabase=Standby,Secondary!M169,Primary!M169)</f>
        <v>1</v>
      </c>
      <c r="N169" s="10">
        <f>IF(ActiveDatabase=Standby,Secondary!N169,Primary!N169)</f>
        <v>0</v>
      </c>
      <c r="O169" s="10">
        <f>IF(ActiveDatabase=Standby,Secondary!O169,Primary!O169)</f>
        <v>0</v>
      </c>
      <c r="P169" s="10">
        <f>IF(ActiveDatabase=Standby,Secondary!P169,Primary!P169)</f>
        <v>0</v>
      </c>
      <c r="Q169" s="6">
        <f>IF(ActiveDatabase=Standby,Secondary!Q169,Primary!Q169)</f>
        <v>0</v>
      </c>
      <c r="R169" s="18">
        <f>IF(ActiveDatabase=Standby,Secondary!R169,Primary!R169)</f>
        <v>0</v>
      </c>
      <c r="S169" s="19">
        <f>IF(ActiveDatabase=Standby,Secondary!S169,Primary!S169)</f>
        <v>0</v>
      </c>
      <c r="T169" s="10">
        <f>IF(ActiveDatabase=Standby,Secondary!T169,Primary!T169)</f>
        <v>0</v>
      </c>
      <c r="U169" s="10">
        <f>IF(ActiveDatabase=Standby,Secondary!U169,Primary!U169)</f>
        <v>0</v>
      </c>
      <c r="V169" s="10">
        <f>IF(ActiveDatabase=Standby,Secondary!V169,Primary!V169)</f>
        <v>0</v>
      </c>
      <c r="W169" s="6">
        <f>IF(ActiveDatabase=Standby,Secondary!W169,Primary!W169)</f>
        <v>0</v>
      </c>
      <c r="X169" s="6">
        <f>IF(ActiveDatabase=Standby,Secondary!X169,Primary!X169)</f>
        <v>0</v>
      </c>
      <c r="Y169" s="12">
        <f>IF(ActiveDatabase=Standby,Secondary!Y169,Primary!Y169)</f>
        <v>0</v>
      </c>
      <c r="Z169" s="12">
        <f>IF(ActiveDatabase=Standby,Secondary!Z169,Primary!Z169)</f>
        <v>0</v>
      </c>
      <c r="AA169" s="7">
        <f>IF(ActiveDatabase=Standby,Secondary!AA169,Primary!AA169)</f>
        <v>0</v>
      </c>
      <c r="AB169" s="12"/>
      <c r="AC169" s="6"/>
      <c r="AD169" s="6"/>
      <c r="AE169" s="7"/>
      <c r="AF169" s="7"/>
      <c r="AG169" s="7"/>
      <c r="AH169" s="7"/>
      <c r="AI169" s="7"/>
      <c r="AJ169" s="7"/>
      <c r="AK169" s="7"/>
      <c r="AL169" s="7"/>
      <c r="AM169" s="7"/>
      <c r="AN169" s="7"/>
      <c r="AO169" s="6"/>
      <c r="AP169" s="7"/>
      <c r="AQ169" s="7"/>
      <c r="AR169" s="6"/>
      <c r="AS169" s="7"/>
      <c r="AT169" s="7"/>
      <c r="AU169" s="7"/>
      <c r="AV169" s="7"/>
      <c r="AW169" s="7"/>
      <c r="AX169" s="7"/>
      <c r="AY169" s="7"/>
      <c r="AZ169" s="7"/>
      <c r="BA169" s="7"/>
      <c r="BB169" s="7"/>
      <c r="BC169" s="7"/>
      <c r="BD169" s="7"/>
      <c r="BE169" s="7"/>
      <c r="BF169" s="7"/>
      <c r="BG169" s="7"/>
    </row>
    <row r="170" customHeight="1" spans="1:59">
      <c r="A170" s="9" t="str">
        <f>IF(ActiveDatabase=Standby,Secondary!A170,Primary!A170)</f>
        <v>Cellin 14</v>
      </c>
      <c r="B170" s="5" t="str">
        <f>IF(ActiveDatabase=Standby,Secondary!B170,Primary!B170)</f>
        <v>Cellin 21</v>
      </c>
      <c r="C170" s="5" t="str">
        <f>IF(ActiveDatabase=Standby,Secondary!C170,Primary!C170)</f>
        <v>Cellin 02</v>
      </c>
      <c r="D170" s="5" t="str">
        <f>IF(ActiveDatabase=Standby,Secondary!D170,Primary!D170)</f>
        <v>Mogote Aid Shelter</v>
      </c>
      <c r="E170" s="6" t="str">
        <f>IF(ActiveDatabase=Standby,Secondary!E170,Primary!E170)</f>
        <v>Mogate</v>
      </c>
      <c r="F170" s="10">
        <f>IF(ActiveDatabase=Standby,Secondary!F170,Primary!F170)</f>
        <v>-198.66438993</v>
      </c>
      <c r="G170" s="10">
        <f>IF(ActiveDatabase=Standby,Secondary!G170,Primary!G170)</f>
        <v>50.789738103</v>
      </c>
      <c r="H170" s="10">
        <f>IF(ActiveDatabase=Standby,Secondary!H170,Primary!H170)</f>
        <v>160.874780686999</v>
      </c>
      <c r="I170" s="13">
        <f>IF(ActiveDatabase=Standby,Secondary!I170,Primary!I170)</f>
        <v>0</v>
      </c>
      <c r="J170" s="13">
        <f>IF(ActiveDatabase=Standby,Secondary!J170,Primary!J170)</f>
        <v>0</v>
      </c>
      <c r="K170" s="13">
        <f>IF(ActiveDatabase=Standby,Secondary!K170,Primary!K170)</f>
        <v>0</v>
      </c>
      <c r="L170" s="13">
        <f>IF(ActiveDatabase=Standby,Secondary!L170,Primary!L170)</f>
        <v>0</v>
      </c>
      <c r="M170" s="7" t="b">
        <f>IF(ActiveDatabase=Standby,Secondary!M170,Primary!M170)</f>
        <v>1</v>
      </c>
      <c r="N170" s="10">
        <f>IF(ActiveDatabase=Standby,Secondary!N170,Primary!N170)</f>
        <v>0</v>
      </c>
      <c r="O170" s="10">
        <f>IF(ActiveDatabase=Standby,Secondary!O170,Primary!O170)</f>
        <v>0</v>
      </c>
      <c r="P170" s="10">
        <f>IF(ActiveDatabase=Standby,Secondary!P170,Primary!P170)</f>
        <v>0</v>
      </c>
      <c r="Q170" s="6">
        <f>IF(ActiveDatabase=Standby,Secondary!Q170,Primary!Q170)</f>
        <v>0</v>
      </c>
      <c r="R170" s="18">
        <f>IF(ActiveDatabase=Standby,Secondary!R170,Primary!R170)</f>
        <v>0</v>
      </c>
      <c r="S170" s="19">
        <f>IF(ActiveDatabase=Standby,Secondary!S170,Primary!S170)</f>
        <v>0</v>
      </c>
      <c r="T170" s="10">
        <f>IF(ActiveDatabase=Standby,Secondary!T170,Primary!T170)</f>
        <v>0</v>
      </c>
      <c r="U170" s="10">
        <f>IF(ActiveDatabase=Standby,Secondary!U170,Primary!U170)</f>
        <v>0</v>
      </c>
      <c r="V170" s="10">
        <f>IF(ActiveDatabase=Standby,Secondary!V170,Primary!V170)</f>
        <v>0</v>
      </c>
      <c r="W170" s="6">
        <f>IF(ActiveDatabase=Standby,Secondary!W170,Primary!W170)</f>
        <v>0</v>
      </c>
      <c r="X170" s="6">
        <f>IF(ActiveDatabase=Standby,Secondary!X170,Primary!X170)</f>
        <v>0</v>
      </c>
      <c r="Y170" s="12">
        <f>IF(ActiveDatabase=Standby,Secondary!Y170,Primary!Y170)</f>
        <v>0</v>
      </c>
      <c r="Z170" s="12">
        <f>IF(ActiveDatabase=Standby,Secondary!Z170,Primary!Z170)</f>
        <v>0</v>
      </c>
      <c r="AA170" s="7">
        <f>IF(ActiveDatabase=Standby,Secondary!AA170,Primary!AA170)</f>
        <v>0</v>
      </c>
      <c r="AB170" s="12"/>
      <c r="AC170" s="6"/>
      <c r="AD170" s="6"/>
      <c r="AE170" s="7"/>
      <c r="AF170" s="7"/>
      <c r="AG170" s="7"/>
      <c r="AH170" s="7"/>
      <c r="AI170" s="7"/>
      <c r="AJ170" s="7"/>
      <c r="AK170" s="7"/>
      <c r="AL170" s="7"/>
      <c r="AM170" s="7"/>
      <c r="AN170" s="7"/>
      <c r="AO170" s="6"/>
      <c r="AP170" s="7"/>
      <c r="AQ170" s="7"/>
      <c r="AR170" s="6"/>
      <c r="AS170" s="7"/>
      <c r="AT170" s="7"/>
      <c r="AU170" s="7"/>
      <c r="AV170" s="7"/>
      <c r="AW170" s="7"/>
      <c r="AX170" s="7"/>
      <c r="AY170" s="7"/>
      <c r="AZ170" s="7"/>
      <c r="BA170" s="7"/>
      <c r="BB170" s="7"/>
      <c r="BC170" s="7"/>
      <c r="BD170" s="7"/>
      <c r="BE170" s="7"/>
      <c r="BF170" s="7"/>
      <c r="BG170" s="7"/>
    </row>
    <row r="171" customHeight="1" spans="1:59">
      <c r="A171" s="9" t="str">
        <f>IF(ActiveDatabase=Standby,Secondary!A171,Primary!A171)</f>
        <v>Cellin</v>
      </c>
      <c r="B171" s="5" t="str">
        <f>IF(ActiveDatabase=Standby,Secondary!B171,Primary!B171)</f>
        <v>Cellin 23</v>
      </c>
      <c r="C171" s="5">
        <f>IF(ActiveDatabase=Standby,Secondary!C171,Primary!C171)</f>
        <v>0</v>
      </c>
      <c r="D171" s="5" t="str">
        <f>IF(ActiveDatabase=Standby,Secondary!D171,Primary!D171)</f>
        <v>Wrecks</v>
      </c>
      <c r="E171" s="6">
        <f>IF(ActiveDatabase=Standby,Secondary!E171,Primary!E171)</f>
        <v>0</v>
      </c>
      <c r="F171" s="10">
        <f>IF(ActiveDatabase=Standby,Secondary!F171,Primary!F171)</f>
        <v>0</v>
      </c>
      <c r="G171" s="10">
        <f>IF(ActiveDatabase=Standby,Secondary!G171,Primary!G171)</f>
        <v>0</v>
      </c>
      <c r="H171" s="10">
        <f>IF(ActiveDatabase=Standby,Secondary!H171,Primary!H171)</f>
        <v>0</v>
      </c>
      <c r="I171" s="13">
        <f>IF(ActiveDatabase=Standby,Secondary!I171,Primary!I171)</f>
        <v>0</v>
      </c>
      <c r="J171" s="13">
        <f>IF(ActiveDatabase=Standby,Secondary!J171,Primary!J171)</f>
        <v>0</v>
      </c>
      <c r="K171" s="13">
        <f>IF(ActiveDatabase=Standby,Secondary!K171,Primary!K171)</f>
        <v>0</v>
      </c>
      <c r="L171" s="13">
        <f>IF(ActiveDatabase=Standby,Secondary!L171,Primary!L171)</f>
        <v>0</v>
      </c>
      <c r="M171" s="7">
        <f>IF(ActiveDatabase=Standby,Secondary!M171,Primary!M171)</f>
        <v>0</v>
      </c>
      <c r="N171" s="10">
        <f>IF(ActiveDatabase=Standby,Secondary!N171,Primary!N171)</f>
        <v>0</v>
      </c>
      <c r="O171" s="10">
        <f>IF(ActiveDatabase=Standby,Secondary!O171,Primary!O171)</f>
        <v>0</v>
      </c>
      <c r="P171" s="10">
        <f>IF(ActiveDatabase=Standby,Secondary!P171,Primary!P171)</f>
        <v>0</v>
      </c>
      <c r="Q171" s="6">
        <f>IF(ActiveDatabase=Standby,Secondary!Q171,Primary!Q171)</f>
        <v>0</v>
      </c>
      <c r="R171" s="18">
        <f>IF(ActiveDatabase=Standby,Secondary!R171,Primary!R171)</f>
        <v>0</v>
      </c>
      <c r="S171" s="19">
        <f>IF(ActiveDatabase=Standby,Secondary!S171,Primary!S171)</f>
        <v>0</v>
      </c>
      <c r="T171" s="10">
        <f>IF(ActiveDatabase=Standby,Secondary!T171,Primary!T171)</f>
        <v>0</v>
      </c>
      <c r="U171" s="10">
        <f>IF(ActiveDatabase=Standby,Secondary!U171,Primary!U171)</f>
        <v>0</v>
      </c>
      <c r="V171" s="10">
        <f>IF(ActiveDatabase=Standby,Secondary!V171,Primary!V171)</f>
        <v>0</v>
      </c>
      <c r="W171" s="6">
        <f>IF(ActiveDatabase=Standby,Secondary!W171,Primary!W171)</f>
        <v>0</v>
      </c>
      <c r="X171" s="6">
        <f>IF(ActiveDatabase=Standby,Secondary!X171,Primary!X171)</f>
        <v>0</v>
      </c>
      <c r="Y171" s="12">
        <f>IF(ActiveDatabase=Standby,Secondary!Y171,Primary!Y171)</f>
        <v>0</v>
      </c>
      <c r="Z171" s="12">
        <f>IF(ActiveDatabase=Standby,Secondary!Z171,Primary!Z171)</f>
        <v>0</v>
      </c>
      <c r="AA171" s="7">
        <f>IF(ActiveDatabase=Standby,Secondary!AA171,Primary!AA171)</f>
        <v>0</v>
      </c>
      <c r="AB171" s="12"/>
      <c r="AC171" s="6"/>
      <c r="AD171" s="6"/>
      <c r="AE171" s="7"/>
      <c r="AF171" s="7"/>
      <c r="AG171" s="7"/>
      <c r="AH171" s="7"/>
      <c r="AI171" s="7"/>
      <c r="AJ171" s="7"/>
      <c r="AK171" s="7"/>
      <c r="AL171" s="7"/>
      <c r="AM171" s="7"/>
      <c r="AN171" s="7"/>
      <c r="AO171" s="6"/>
      <c r="AP171" s="7"/>
      <c r="AQ171" s="7"/>
      <c r="AR171" s="6"/>
      <c r="AS171" s="7"/>
      <c r="AT171" s="7"/>
      <c r="AU171" s="7"/>
      <c r="AV171" s="7"/>
      <c r="AW171" s="7"/>
      <c r="AX171" s="7"/>
      <c r="AY171" s="7"/>
      <c r="AZ171" s="7"/>
      <c r="BA171" s="7"/>
      <c r="BB171" s="7"/>
      <c r="BC171" s="7"/>
      <c r="BD171" s="7"/>
      <c r="BE171" s="7"/>
      <c r="BF171" s="7"/>
      <c r="BG171" s="7"/>
    </row>
    <row r="172" customHeight="1" spans="1:59">
      <c r="A172" s="9" t="str">
        <f>IF(ActiveDatabase=Standby,Secondary!A172,Primary!A172)</f>
        <v>Cellin 18</v>
      </c>
      <c r="B172" s="5" t="str">
        <f>IF(ActiveDatabase=Standby,Secondary!B172,Primary!B172)</f>
        <v>Cellin 25</v>
      </c>
      <c r="C172" s="5" t="str">
        <f>IF(ActiveDatabase=Standby,Secondary!C172,Primary!C172)</f>
        <v>Cellin 18</v>
      </c>
      <c r="D172" s="5" t="str">
        <f>IF(ActiveDatabase=Standby,Secondary!D172,Primary!D172)</f>
        <v>Caterpillar Wreck 21T</v>
      </c>
      <c r="E172" s="6" t="str">
        <f>IF(ActiveDatabase=Standby,Secondary!E172,Primary!E172)</f>
        <v>Caterpillar 21T</v>
      </c>
      <c r="F172" s="10">
        <f>IF(ActiveDatabase=Standby,Secondary!F172,Primary!F172)</f>
        <v>112.178110205</v>
      </c>
      <c r="G172" s="10">
        <f>IF(ActiveDatabase=Standby,Secondary!G172,Primary!G172)</f>
        <v>-163.729527342999</v>
      </c>
      <c r="H172" s="10">
        <f>IF(ActiveDatabase=Standby,Secondary!H172,Primary!H172)</f>
        <v>169.625281977</v>
      </c>
      <c r="I172" s="13">
        <f>IF(ActiveDatabase=Standby,Secondary!I172,Primary!I172)</f>
        <v>0</v>
      </c>
      <c r="J172" s="13">
        <f>IF(ActiveDatabase=Standby,Secondary!J172,Primary!J172)</f>
        <v>0</v>
      </c>
      <c r="K172" s="13">
        <f>IF(ActiveDatabase=Standby,Secondary!K172,Primary!K172)</f>
        <v>0</v>
      </c>
      <c r="L172" s="13">
        <f>IF(ActiveDatabase=Standby,Secondary!L172,Primary!L172)</f>
        <v>0</v>
      </c>
      <c r="M172" s="7">
        <f>IF(ActiveDatabase=Standby,Secondary!M172,Primary!M172)</f>
        <v>0</v>
      </c>
      <c r="N172" s="10">
        <f>IF(ActiveDatabase=Standby,Secondary!N172,Primary!N172)</f>
        <v>0</v>
      </c>
      <c r="O172" s="10">
        <f>IF(ActiveDatabase=Standby,Secondary!O172,Primary!O172)</f>
        <v>0</v>
      </c>
      <c r="P172" s="10">
        <f>IF(ActiveDatabase=Standby,Secondary!P172,Primary!P172)</f>
        <v>0</v>
      </c>
      <c r="Q172" s="6">
        <f>IF(ActiveDatabase=Standby,Secondary!Q172,Primary!Q172)</f>
        <v>0</v>
      </c>
      <c r="R172" s="18">
        <f>IF(ActiveDatabase=Standby,Secondary!R172,Primary!R172)</f>
        <v>0</v>
      </c>
      <c r="S172" s="19">
        <f>IF(ActiveDatabase=Standby,Secondary!S172,Primary!S172)</f>
        <v>0</v>
      </c>
      <c r="T172" s="10">
        <f>IF(ActiveDatabase=Standby,Secondary!T172,Primary!T172)</f>
        <v>0</v>
      </c>
      <c r="U172" s="10">
        <f>IF(ActiveDatabase=Standby,Secondary!U172,Primary!U172)</f>
        <v>0</v>
      </c>
      <c r="V172" s="10">
        <f>IF(ActiveDatabase=Standby,Secondary!V172,Primary!V172)</f>
        <v>0</v>
      </c>
      <c r="W172" s="6">
        <f>IF(ActiveDatabase=Standby,Secondary!W172,Primary!W172)</f>
        <v>0</v>
      </c>
      <c r="X172" s="6">
        <f>IF(ActiveDatabase=Standby,Secondary!X172,Primary!X172)</f>
        <v>0</v>
      </c>
      <c r="Y172" s="12">
        <f>IF(ActiveDatabase=Standby,Secondary!Y172,Primary!Y172)</f>
        <v>0</v>
      </c>
      <c r="Z172" s="12">
        <f>IF(ActiveDatabase=Standby,Secondary!Z172,Primary!Z172)</f>
        <v>0</v>
      </c>
      <c r="AA172" s="7">
        <f>IF(ActiveDatabase=Standby,Secondary!AA172,Primary!AA172)</f>
        <v>0</v>
      </c>
      <c r="AB172" s="12"/>
      <c r="AC172" s="6"/>
      <c r="AD172" s="6"/>
      <c r="AE172" s="7"/>
      <c r="AF172" s="7"/>
      <c r="AG172" s="7"/>
      <c r="AH172" s="7"/>
      <c r="AI172" s="7"/>
      <c r="AJ172" s="7"/>
      <c r="AK172" s="7"/>
      <c r="AL172" s="7"/>
      <c r="AM172" s="7"/>
      <c r="AN172" s="7"/>
      <c r="AO172" s="6"/>
      <c r="AP172" s="7"/>
      <c r="AQ172" s="7"/>
      <c r="AR172" s="6"/>
      <c r="AS172" s="7"/>
      <c r="AT172" s="7"/>
      <c r="AU172" s="7"/>
      <c r="AV172" s="7"/>
      <c r="AW172" s="7"/>
      <c r="AX172" s="7"/>
      <c r="AY172" s="7"/>
      <c r="AZ172" s="7"/>
      <c r="BA172" s="7"/>
      <c r="BB172" s="7"/>
      <c r="BC172" s="7"/>
      <c r="BD172" s="7"/>
      <c r="BE172" s="7"/>
      <c r="BF172" s="7"/>
      <c r="BG172" s="7"/>
    </row>
    <row r="173" customHeight="1" spans="1:59">
      <c r="A173" s="9" t="str">
        <f>IF(ActiveDatabase=Standby,Secondary!A173,Primary!A173)</f>
        <v>Cellin 17</v>
      </c>
      <c r="B173" s="5" t="str">
        <f>IF(ActiveDatabase=Standby,Secondary!B173,Primary!B173)</f>
        <v>Cellin 24</v>
      </c>
      <c r="C173" s="5" t="str">
        <f>IF(ActiveDatabase=Standby,Secondary!C173,Primary!C173)</f>
        <v>Cellin 20</v>
      </c>
      <c r="D173" s="5" t="str">
        <f>IF(ActiveDatabase=Standby,Secondary!D173,Primary!D173)</f>
        <v>Caterpillar Wreck 18U</v>
      </c>
      <c r="E173" s="6" t="str">
        <f>IF(ActiveDatabase=Standby,Secondary!E173,Primary!E173)</f>
        <v>Caterpillar 18U</v>
      </c>
      <c r="F173" s="10">
        <f>IF(ActiveDatabase=Standby,Secondary!F173,Primary!F173)</f>
        <v>36.77563612</v>
      </c>
      <c r="G173" s="10">
        <f>IF(ActiveDatabase=Standby,Secondary!G173,Primary!G173)</f>
        <v>-152.500653764999</v>
      </c>
      <c r="H173" s="10">
        <f>IF(ActiveDatabase=Standby,Secondary!H173,Primary!H173)</f>
        <v>208.898621596999</v>
      </c>
      <c r="I173" s="13">
        <f>IF(ActiveDatabase=Standby,Secondary!I173,Primary!I173)</f>
        <v>0</v>
      </c>
      <c r="J173" s="13">
        <f>IF(ActiveDatabase=Standby,Secondary!J173,Primary!J173)</f>
        <v>0</v>
      </c>
      <c r="K173" s="13">
        <f>IF(ActiveDatabase=Standby,Secondary!K173,Primary!K173)</f>
        <v>0</v>
      </c>
      <c r="L173" s="13">
        <f>IF(ActiveDatabase=Standby,Secondary!L173,Primary!L173)</f>
        <v>0</v>
      </c>
      <c r="M173" s="7" t="b">
        <f>IF(ActiveDatabase=Standby,Secondary!M173,Primary!M173)</f>
        <v>0</v>
      </c>
      <c r="N173" s="10">
        <f>IF(ActiveDatabase=Standby,Secondary!N173,Primary!N173)</f>
        <v>0</v>
      </c>
      <c r="O173" s="10">
        <f>IF(ActiveDatabase=Standby,Secondary!O173,Primary!O173)</f>
        <v>0</v>
      </c>
      <c r="P173" s="10">
        <f>IF(ActiveDatabase=Standby,Secondary!P173,Primary!P173)</f>
        <v>0</v>
      </c>
      <c r="Q173" s="6">
        <f>IF(ActiveDatabase=Standby,Secondary!Q173,Primary!Q173)</f>
        <v>0</v>
      </c>
      <c r="R173" s="18">
        <f>IF(ActiveDatabase=Standby,Secondary!R173,Primary!R173)</f>
        <v>0</v>
      </c>
      <c r="S173" s="19">
        <f>IF(ActiveDatabase=Standby,Secondary!S173,Primary!S173)</f>
        <v>0</v>
      </c>
      <c r="T173" s="10">
        <f>IF(ActiveDatabase=Standby,Secondary!T173,Primary!T173)</f>
        <v>0</v>
      </c>
      <c r="U173" s="10">
        <f>IF(ActiveDatabase=Standby,Secondary!U173,Primary!U173)</f>
        <v>0</v>
      </c>
      <c r="V173" s="10">
        <f>IF(ActiveDatabase=Standby,Secondary!V173,Primary!V173)</f>
        <v>0</v>
      </c>
      <c r="W173" s="6">
        <f>IF(ActiveDatabase=Standby,Secondary!W173,Primary!W173)</f>
        <v>0</v>
      </c>
      <c r="X173" s="6">
        <f>IF(ActiveDatabase=Standby,Secondary!X173,Primary!X173)</f>
        <v>0</v>
      </c>
      <c r="Y173" s="12">
        <f>IF(ActiveDatabase=Standby,Secondary!Y173,Primary!Y173)</f>
        <v>0</v>
      </c>
      <c r="Z173" s="12">
        <f>IF(ActiveDatabase=Standby,Secondary!Z173,Primary!Z173)</f>
        <v>0</v>
      </c>
      <c r="AA173" s="7">
        <f>IF(ActiveDatabase=Standby,Secondary!AA173,Primary!AA173)</f>
        <v>0</v>
      </c>
      <c r="AB173" s="12"/>
      <c r="AC173" s="6"/>
      <c r="AD173" s="6"/>
      <c r="AE173" s="7"/>
      <c r="AF173" s="7"/>
      <c r="AG173" s="7"/>
      <c r="AH173" s="7"/>
      <c r="AI173" s="7"/>
      <c r="AJ173" s="7"/>
      <c r="AK173" s="7"/>
      <c r="AL173" s="7"/>
      <c r="AM173" s="7"/>
      <c r="AN173" s="7"/>
      <c r="AO173" s="6"/>
      <c r="AP173" s="7"/>
      <c r="AQ173" s="7"/>
      <c r="AR173" s="6"/>
      <c r="AS173" s="7"/>
      <c r="AT173" s="7"/>
      <c r="AU173" s="7"/>
      <c r="AV173" s="7"/>
      <c r="AW173" s="7"/>
      <c r="AX173" s="7"/>
      <c r="AY173" s="7"/>
      <c r="AZ173" s="7"/>
      <c r="BA173" s="7"/>
      <c r="BB173" s="7"/>
      <c r="BC173" s="7"/>
      <c r="BD173" s="7"/>
      <c r="BE173" s="7"/>
      <c r="BF173" s="7"/>
      <c r="BG173" s="7"/>
    </row>
    <row r="174" customHeight="1" spans="1:59">
      <c r="A174" s="9" t="str">
        <f>IF(ActiveDatabase=Standby,Secondary!A174,Primary!A174)</f>
        <v>Cellin 19</v>
      </c>
      <c r="B174" s="5" t="str">
        <f>IF(ActiveDatabase=Standby,Secondary!B174,Primary!B174)</f>
        <v>Cellin 26</v>
      </c>
      <c r="C174" s="5" t="str">
        <f>IF(ActiveDatabase=Standby,Secondary!C174,Primary!C174)</f>
        <v>Cellin 03</v>
      </c>
      <c r="D174" s="5" t="str">
        <f>IF(ActiveDatabase=Standby,Secondary!D174,Primary!D174)</f>
        <v>Constellation Wreck</v>
      </c>
      <c r="E174" s="6" t="str">
        <f>IF(ActiveDatabase=Standby,Secondary!E174,Primary!E174)</f>
        <v>Constellation</v>
      </c>
      <c r="F174" s="10">
        <f>IF(ActiveDatabase=Standby,Secondary!F174,Primary!F174)</f>
        <v>-243.602356926</v>
      </c>
      <c r="G174" s="10">
        <f>IF(ActiveDatabase=Standby,Secondary!G174,Primary!G174)</f>
        <v>85.478663203</v>
      </c>
      <c r="H174" s="10">
        <f>IF(ActiveDatabase=Standby,Secondary!H174,Primary!H174)</f>
        <v>38.768882423</v>
      </c>
      <c r="I174" s="13">
        <f>IF(ActiveDatabase=Standby,Secondary!I174,Primary!I174)</f>
        <v>0</v>
      </c>
      <c r="J174" s="13">
        <f>IF(ActiveDatabase=Standby,Secondary!J174,Primary!J174)</f>
        <v>0</v>
      </c>
      <c r="K174" s="13">
        <f>IF(ActiveDatabase=Standby,Secondary!K174,Primary!K174)</f>
        <v>0</v>
      </c>
      <c r="L174" s="13">
        <f>IF(ActiveDatabase=Standby,Secondary!L174,Primary!L174)</f>
        <v>0</v>
      </c>
      <c r="M174" s="7" t="b">
        <f>IF(ActiveDatabase=Standby,Secondary!M174,Primary!M174)</f>
        <v>0</v>
      </c>
      <c r="N174" s="10">
        <f>IF(ActiveDatabase=Standby,Secondary!N174,Primary!N174)</f>
        <v>0</v>
      </c>
      <c r="O174" s="10">
        <f>IF(ActiveDatabase=Standby,Secondary!O174,Primary!O174)</f>
        <v>0</v>
      </c>
      <c r="P174" s="10">
        <f>IF(ActiveDatabase=Standby,Secondary!P174,Primary!P174)</f>
        <v>0</v>
      </c>
      <c r="Q174" s="6">
        <f>IF(ActiveDatabase=Standby,Secondary!Q174,Primary!Q174)</f>
        <v>0</v>
      </c>
      <c r="R174" s="18">
        <f>IF(ActiveDatabase=Standby,Secondary!R174,Primary!R174)</f>
        <v>0</v>
      </c>
      <c r="S174" s="19">
        <f>IF(ActiveDatabase=Standby,Secondary!S174,Primary!S174)</f>
        <v>0</v>
      </c>
      <c r="T174" s="10">
        <f>IF(ActiveDatabase=Standby,Secondary!T174,Primary!T174)</f>
        <v>0</v>
      </c>
      <c r="U174" s="10">
        <f>IF(ActiveDatabase=Standby,Secondary!U174,Primary!U174)</f>
        <v>0</v>
      </c>
      <c r="V174" s="10">
        <f>IF(ActiveDatabase=Standby,Secondary!V174,Primary!V174)</f>
        <v>0</v>
      </c>
      <c r="W174" s="6">
        <f>IF(ActiveDatabase=Standby,Secondary!W174,Primary!W174)</f>
        <v>0</v>
      </c>
      <c r="X174" s="6">
        <f>IF(ActiveDatabase=Standby,Secondary!X174,Primary!X174)</f>
        <v>0</v>
      </c>
      <c r="Y174" s="12">
        <f>IF(ActiveDatabase=Standby,Secondary!Y174,Primary!Y174)</f>
        <v>0</v>
      </c>
      <c r="Z174" s="12">
        <f>IF(ActiveDatabase=Standby,Secondary!Z174,Primary!Z174)</f>
        <v>0</v>
      </c>
      <c r="AA174" s="7">
        <f>IF(ActiveDatabase=Standby,Secondary!AA174,Primary!AA174)</f>
        <v>0</v>
      </c>
      <c r="AB174" s="12"/>
      <c r="AC174" s="6"/>
      <c r="AD174" s="6"/>
      <c r="AE174" s="7"/>
      <c r="AF174" s="7"/>
      <c r="AG174" s="7"/>
      <c r="AH174" s="7"/>
      <c r="AI174" s="7"/>
      <c r="AJ174" s="7"/>
      <c r="AK174" s="7"/>
      <c r="AL174" s="7"/>
      <c r="AM174" s="7"/>
      <c r="AN174" s="7"/>
      <c r="AO174" s="6"/>
      <c r="AP174" s="7"/>
      <c r="AQ174" s="7"/>
      <c r="AR174" s="6"/>
      <c r="AS174" s="7"/>
      <c r="AT174" s="7"/>
      <c r="AU174" s="7"/>
      <c r="AV174" s="7"/>
      <c r="AW174" s="7"/>
      <c r="AX174" s="7"/>
      <c r="AY174" s="7"/>
      <c r="AZ174" s="7"/>
      <c r="BA174" s="7"/>
      <c r="BB174" s="7"/>
      <c r="BC174" s="7"/>
      <c r="BD174" s="7"/>
      <c r="BE174" s="7"/>
      <c r="BF174" s="7"/>
      <c r="BG174" s="7"/>
    </row>
    <row r="175" customHeight="1" spans="1:59">
      <c r="A175" s="9" t="str">
        <f>IF(ActiveDatabase=Standby,Secondary!A175,Primary!A175)</f>
        <v>Cellin 20</v>
      </c>
      <c r="B175" s="5" t="str">
        <f>IF(ActiveDatabase=Standby,Secondary!B175,Primary!B175)</f>
        <v>Cellin 27</v>
      </c>
      <c r="C175" s="5" t="str">
        <f>IF(ActiveDatabase=Standby,Secondary!C175,Primary!C175)</f>
        <v>Cellin 04</v>
      </c>
      <c r="D175" s="5" t="str">
        <f>IF(ActiveDatabase=Standby,Secondary!D175,Primary!D175)</f>
        <v>Cutlass Wreck</v>
      </c>
      <c r="E175" s="6" t="str">
        <f>IF(ActiveDatabase=Standby,Secondary!E175,Primary!E175)</f>
        <v>Cutlass</v>
      </c>
      <c r="F175" s="10">
        <f>IF(ActiveDatabase=Standby,Secondary!F175,Primary!F175)</f>
        <v>-231.141707511999</v>
      </c>
      <c r="G175" s="10">
        <f>IF(ActiveDatabase=Standby,Secondary!G175,Primary!G175)</f>
        <v>109.974970837999</v>
      </c>
      <c r="H175" s="10">
        <f>IF(ActiveDatabase=Standby,Secondary!H175,Primary!H175)</f>
        <v>50.933375967</v>
      </c>
      <c r="I175" s="13">
        <f>IF(ActiveDatabase=Standby,Secondary!I175,Primary!I175)</f>
        <v>0</v>
      </c>
      <c r="J175" s="13">
        <f>IF(ActiveDatabase=Standby,Secondary!J175,Primary!J175)</f>
        <v>0</v>
      </c>
      <c r="K175" s="13">
        <f>IF(ActiveDatabase=Standby,Secondary!K175,Primary!K175)</f>
        <v>0</v>
      </c>
      <c r="L175" s="13">
        <f>IF(ActiveDatabase=Standby,Secondary!L175,Primary!L175)</f>
        <v>0</v>
      </c>
      <c r="M175" s="7" t="b">
        <f>IF(ActiveDatabase=Standby,Secondary!M175,Primary!M175)</f>
        <v>0</v>
      </c>
      <c r="N175" s="10">
        <f>IF(ActiveDatabase=Standby,Secondary!N175,Primary!N175)</f>
        <v>0</v>
      </c>
      <c r="O175" s="10">
        <f>IF(ActiveDatabase=Standby,Secondary!O175,Primary!O175)</f>
        <v>0</v>
      </c>
      <c r="P175" s="10">
        <f>IF(ActiveDatabase=Standby,Secondary!P175,Primary!P175)</f>
        <v>0</v>
      </c>
      <c r="Q175" s="6">
        <f>IF(ActiveDatabase=Standby,Secondary!Q175,Primary!Q175)</f>
        <v>0</v>
      </c>
      <c r="R175" s="18">
        <f>IF(ActiveDatabase=Standby,Secondary!R175,Primary!R175)</f>
        <v>0</v>
      </c>
      <c r="S175" s="19">
        <f>IF(ActiveDatabase=Standby,Secondary!S175,Primary!S175)</f>
        <v>0</v>
      </c>
      <c r="T175" s="10">
        <f>IF(ActiveDatabase=Standby,Secondary!T175,Primary!T175)</f>
        <v>0</v>
      </c>
      <c r="U175" s="10">
        <f>IF(ActiveDatabase=Standby,Secondary!U175,Primary!U175)</f>
        <v>0</v>
      </c>
      <c r="V175" s="10">
        <f>IF(ActiveDatabase=Standby,Secondary!V175,Primary!V175)</f>
        <v>0</v>
      </c>
      <c r="W175" s="6">
        <f>IF(ActiveDatabase=Standby,Secondary!W175,Primary!W175)</f>
        <v>0</v>
      </c>
      <c r="X175" s="6">
        <f>IF(ActiveDatabase=Standby,Secondary!X175,Primary!X175)</f>
        <v>0</v>
      </c>
      <c r="Y175" s="12">
        <f>IF(ActiveDatabase=Standby,Secondary!Y175,Primary!Y175)</f>
        <v>0</v>
      </c>
      <c r="Z175" s="12">
        <f>IF(ActiveDatabase=Standby,Secondary!Z175,Primary!Z175)</f>
        <v>0</v>
      </c>
      <c r="AA175" s="7">
        <f>IF(ActiveDatabase=Standby,Secondary!AA175,Primary!AA175)</f>
        <v>0</v>
      </c>
      <c r="AB175" s="12"/>
      <c r="AC175" s="6"/>
      <c r="AD175" s="6"/>
      <c r="AE175" s="7"/>
      <c r="AF175" s="7"/>
      <c r="AG175" s="7"/>
      <c r="AH175" s="7"/>
      <c r="AI175" s="7"/>
      <c r="AJ175" s="7"/>
      <c r="AK175" s="7"/>
      <c r="AL175" s="7"/>
      <c r="AM175" s="7"/>
      <c r="AN175" s="7"/>
      <c r="AO175" s="6"/>
      <c r="AP175" s="7"/>
      <c r="AQ175" s="7"/>
      <c r="AR175" s="6"/>
      <c r="AS175" s="7"/>
      <c r="AT175" s="7"/>
      <c r="AU175" s="7"/>
      <c r="AV175" s="7"/>
      <c r="AW175" s="7"/>
      <c r="AX175" s="7"/>
      <c r="AY175" s="7"/>
      <c r="AZ175" s="7"/>
      <c r="BA175" s="7"/>
      <c r="BB175" s="7"/>
      <c r="BC175" s="7"/>
      <c r="BD175" s="7"/>
      <c r="BE175" s="7"/>
      <c r="BF175" s="7"/>
      <c r="BG175" s="7"/>
    </row>
    <row r="176" customHeight="1" spans="1:59">
      <c r="A176" s="9" t="str">
        <f>IF(ActiveDatabase=Standby,Secondary!A176,Primary!A176)</f>
        <v>Cellin 21</v>
      </c>
      <c r="B176" s="5" t="str">
        <f>IF(ActiveDatabase=Standby,Secondary!B176,Primary!B176)</f>
        <v>Cellin 28</v>
      </c>
      <c r="C176" s="5" t="str">
        <f>IF(ActiveDatabase=Standby,Secondary!C176,Primary!C176)</f>
        <v>Cellin 12</v>
      </c>
      <c r="D176" s="5" t="str">
        <f>IF(ActiveDatabase=Standby,Secondary!D176,Primary!D176)</f>
        <v>Freelancer Wreck</v>
      </c>
      <c r="E176" s="6" t="str">
        <f>IF(ActiveDatabase=Standby,Secondary!E176,Primary!E176)</f>
        <v>Freelancer</v>
      </c>
      <c r="F176" s="10">
        <f>IF(ActiveDatabase=Standby,Secondary!F176,Primary!F176)</f>
        <v>125.55260103</v>
      </c>
      <c r="G176" s="10">
        <f>IF(ActiveDatabase=Standby,Secondary!G176,Primary!G176)</f>
        <v>138.116999413999</v>
      </c>
      <c r="H176" s="10">
        <f>IF(ActiveDatabase=Standby,Secondary!H176,Primary!H176)</f>
        <v>-182.239186726999</v>
      </c>
      <c r="I176" s="13">
        <f>IF(ActiveDatabase=Standby,Secondary!I176,Primary!I176)</f>
        <v>0</v>
      </c>
      <c r="J176" s="13">
        <f>IF(ActiveDatabase=Standby,Secondary!J176,Primary!J176)</f>
        <v>0</v>
      </c>
      <c r="K176" s="13">
        <f>IF(ActiveDatabase=Standby,Secondary!K176,Primary!K176)</f>
        <v>0</v>
      </c>
      <c r="L176" s="13">
        <f>IF(ActiveDatabase=Standby,Secondary!L176,Primary!L176)</f>
        <v>0</v>
      </c>
      <c r="M176" s="7" t="b">
        <f>IF(ActiveDatabase=Standby,Secondary!M176,Primary!M176)</f>
        <v>0</v>
      </c>
      <c r="N176" s="10">
        <f>IF(ActiveDatabase=Standby,Secondary!N176,Primary!N176)</f>
        <v>0</v>
      </c>
      <c r="O176" s="10">
        <f>IF(ActiveDatabase=Standby,Secondary!O176,Primary!O176)</f>
        <v>0</v>
      </c>
      <c r="P176" s="10">
        <f>IF(ActiveDatabase=Standby,Secondary!P176,Primary!P176)</f>
        <v>0</v>
      </c>
      <c r="Q176" s="6">
        <f>IF(ActiveDatabase=Standby,Secondary!Q176,Primary!Q176)</f>
        <v>0</v>
      </c>
      <c r="R176" s="18">
        <f>IF(ActiveDatabase=Standby,Secondary!R176,Primary!R176)</f>
        <v>0</v>
      </c>
      <c r="S176" s="19">
        <f>IF(ActiveDatabase=Standby,Secondary!S176,Primary!S176)</f>
        <v>0</v>
      </c>
      <c r="T176" s="10">
        <f>IF(ActiveDatabase=Standby,Secondary!T176,Primary!T176)</f>
        <v>0</v>
      </c>
      <c r="U176" s="10">
        <f>IF(ActiveDatabase=Standby,Secondary!U176,Primary!U176)</f>
        <v>0</v>
      </c>
      <c r="V176" s="10">
        <f>IF(ActiveDatabase=Standby,Secondary!V176,Primary!V176)</f>
        <v>0</v>
      </c>
      <c r="W176" s="6">
        <f>IF(ActiveDatabase=Standby,Secondary!W176,Primary!W176)</f>
        <v>0</v>
      </c>
      <c r="X176" s="6">
        <f>IF(ActiveDatabase=Standby,Secondary!X176,Primary!X176)</f>
        <v>0</v>
      </c>
      <c r="Y176" s="12">
        <f>IF(ActiveDatabase=Standby,Secondary!Y176,Primary!Y176)</f>
        <v>0</v>
      </c>
      <c r="Z176" s="12">
        <f>IF(ActiveDatabase=Standby,Secondary!Z176,Primary!Z176)</f>
        <v>0</v>
      </c>
      <c r="AA176" s="7">
        <f>IF(ActiveDatabase=Standby,Secondary!AA176,Primary!AA176)</f>
        <v>0</v>
      </c>
      <c r="AB176" s="12"/>
      <c r="AC176" s="6"/>
      <c r="AD176" s="6"/>
      <c r="AE176" s="7"/>
      <c r="AF176" s="7"/>
      <c r="AG176" s="7"/>
      <c r="AH176" s="7"/>
      <c r="AI176" s="7"/>
      <c r="AJ176" s="7"/>
      <c r="AK176" s="7"/>
      <c r="AL176" s="7"/>
      <c r="AM176" s="7"/>
      <c r="AN176" s="7"/>
      <c r="AO176" s="6"/>
      <c r="AP176" s="7"/>
      <c r="AQ176" s="7"/>
      <c r="AR176" s="6"/>
      <c r="AS176" s="7"/>
      <c r="AT176" s="7"/>
      <c r="AU176" s="7"/>
      <c r="AV176" s="7"/>
      <c r="AW176" s="7"/>
      <c r="AX176" s="7"/>
      <c r="AY176" s="7"/>
      <c r="AZ176" s="7"/>
      <c r="BA176" s="7"/>
      <c r="BB176" s="7"/>
      <c r="BC176" s="7"/>
      <c r="BD176" s="7"/>
      <c r="BE176" s="7"/>
      <c r="BF176" s="7"/>
      <c r="BG176" s="7"/>
    </row>
    <row r="177" customHeight="1" spans="1:59">
      <c r="A177" s="9" t="str">
        <f>IF(ActiveDatabase=Standby,Secondary!A177,Primary!A177)</f>
        <v>Cellin 22</v>
      </c>
      <c r="B177" s="5" t="str">
        <f>IF(ActiveDatabase=Standby,Secondary!B177,Primary!B177)</f>
        <v>Cellin 29</v>
      </c>
      <c r="C177" s="5" t="str">
        <f>IF(ActiveDatabase=Standby,Secondary!C177,Primary!C177)</f>
        <v>Cellin 08</v>
      </c>
      <c r="D177" s="5" t="str">
        <f>IF(ActiveDatabase=Standby,Secondary!D177,Primary!D177)</f>
        <v>Starfarer Wreck</v>
      </c>
      <c r="E177" s="6" t="str">
        <f>IF(ActiveDatabase=Standby,Secondary!E177,Primary!E177)</f>
        <v>Starfarer</v>
      </c>
      <c r="F177" s="10">
        <f>IF(ActiveDatabase=Standby,Secondary!F177,Primary!F177)</f>
        <v>38.687554401</v>
      </c>
      <c r="G177" s="10">
        <f>IF(ActiveDatabase=Standby,Secondary!G177,Primary!G177)</f>
        <v>166.47818745</v>
      </c>
      <c r="H177" s="10">
        <f>IF(ActiveDatabase=Standby,Secondary!H177,Primary!H177)</f>
        <v>196.316955867</v>
      </c>
      <c r="I177" s="13">
        <f>IF(ActiveDatabase=Standby,Secondary!I177,Primary!I177)</f>
        <v>0</v>
      </c>
      <c r="J177" s="13">
        <f>IF(ActiveDatabase=Standby,Secondary!J177,Primary!J177)</f>
        <v>0</v>
      </c>
      <c r="K177" s="13">
        <f>IF(ActiveDatabase=Standby,Secondary!K177,Primary!K177)</f>
        <v>0</v>
      </c>
      <c r="L177" s="13">
        <f>IF(ActiveDatabase=Standby,Secondary!L177,Primary!L177)</f>
        <v>0</v>
      </c>
      <c r="M177" s="7" t="b">
        <f>IF(ActiveDatabase=Standby,Secondary!M177,Primary!M177)</f>
        <v>0</v>
      </c>
      <c r="N177" s="10">
        <f>IF(ActiveDatabase=Standby,Secondary!N177,Primary!N177)</f>
        <v>0</v>
      </c>
      <c r="O177" s="10">
        <f>IF(ActiveDatabase=Standby,Secondary!O177,Primary!O177)</f>
        <v>0</v>
      </c>
      <c r="P177" s="10">
        <f>IF(ActiveDatabase=Standby,Secondary!P177,Primary!P177)</f>
        <v>0</v>
      </c>
      <c r="Q177" s="6">
        <f>IF(ActiveDatabase=Standby,Secondary!Q177,Primary!Q177)</f>
        <v>0</v>
      </c>
      <c r="R177" s="18">
        <f>IF(ActiveDatabase=Standby,Secondary!R177,Primary!R177)</f>
        <v>0</v>
      </c>
      <c r="S177" s="19">
        <f>IF(ActiveDatabase=Standby,Secondary!S177,Primary!S177)</f>
        <v>0</v>
      </c>
      <c r="T177" s="10">
        <f>IF(ActiveDatabase=Standby,Secondary!T177,Primary!T177)</f>
        <v>0</v>
      </c>
      <c r="U177" s="10">
        <f>IF(ActiveDatabase=Standby,Secondary!U177,Primary!U177)</f>
        <v>0</v>
      </c>
      <c r="V177" s="10">
        <f>IF(ActiveDatabase=Standby,Secondary!V177,Primary!V177)</f>
        <v>0</v>
      </c>
      <c r="W177" s="6">
        <f>IF(ActiveDatabase=Standby,Secondary!W177,Primary!W177)</f>
        <v>0</v>
      </c>
      <c r="X177" s="6">
        <f>IF(ActiveDatabase=Standby,Secondary!X177,Primary!X177)</f>
        <v>0</v>
      </c>
      <c r="Y177" s="12">
        <f>IF(ActiveDatabase=Standby,Secondary!Y177,Primary!Y177)</f>
        <v>0</v>
      </c>
      <c r="Z177" s="12">
        <f>IF(ActiveDatabase=Standby,Secondary!Z177,Primary!Z177)</f>
        <v>0</v>
      </c>
      <c r="AA177" s="7">
        <f>IF(ActiveDatabase=Standby,Secondary!AA177,Primary!AA177)</f>
        <v>0</v>
      </c>
      <c r="AB177" s="12"/>
      <c r="AC177" s="6"/>
      <c r="AD177" s="6"/>
      <c r="AE177" s="7"/>
      <c r="AF177" s="7"/>
      <c r="AG177" s="7"/>
      <c r="AH177" s="7"/>
      <c r="AI177" s="7"/>
      <c r="AJ177" s="7"/>
      <c r="AK177" s="7"/>
      <c r="AL177" s="7"/>
      <c r="AM177" s="7"/>
      <c r="AN177" s="7"/>
      <c r="AO177" s="6"/>
      <c r="AP177" s="7"/>
      <c r="AQ177" s="7"/>
      <c r="AR177" s="6"/>
      <c r="AS177" s="7"/>
      <c r="AT177" s="7"/>
      <c r="AU177" s="7"/>
      <c r="AV177" s="7"/>
      <c r="AW177" s="7"/>
      <c r="AX177" s="7"/>
      <c r="AY177" s="7"/>
      <c r="AZ177" s="7"/>
      <c r="BA177" s="7"/>
      <c r="BB177" s="7"/>
      <c r="BC177" s="7"/>
      <c r="BD177" s="7"/>
      <c r="BE177" s="7"/>
      <c r="BF177" s="7"/>
      <c r="BG177" s="7"/>
    </row>
    <row r="178" customHeight="1" spans="1:59">
      <c r="A178" s="9" t="str">
        <f>IF(ActiveDatabase=Standby,Secondary!A178,Primary!A178)</f>
        <v>Cellin</v>
      </c>
      <c r="B178" s="5" t="str">
        <f>IF(ActiveDatabase=Standby,Secondary!B178,Primary!B178)</f>
        <v>Cellin 31</v>
      </c>
      <c r="C178" s="5">
        <f>IF(ActiveDatabase=Standby,Secondary!C178,Primary!C178)</f>
        <v>0</v>
      </c>
      <c r="D178" s="5" t="str">
        <f>IF(ActiveDatabase=Standby,Secondary!D178,Primary!D178)</f>
        <v>Comm Array</v>
      </c>
      <c r="E178" s="6">
        <f>IF(ActiveDatabase=Standby,Secondary!E178,Primary!E178)</f>
        <v>0</v>
      </c>
      <c r="F178" s="10">
        <f>IF(ActiveDatabase=Standby,Secondary!F178,Primary!F178)</f>
        <v>0</v>
      </c>
      <c r="G178" s="10">
        <f>IF(ActiveDatabase=Standby,Secondary!G178,Primary!G178)</f>
        <v>0</v>
      </c>
      <c r="H178" s="10">
        <f>IF(ActiveDatabase=Standby,Secondary!H178,Primary!H178)</f>
        <v>0</v>
      </c>
      <c r="I178" s="13">
        <f>IF(ActiveDatabase=Standby,Secondary!I178,Primary!I178)</f>
        <v>0</v>
      </c>
      <c r="J178" s="13">
        <f>IF(ActiveDatabase=Standby,Secondary!J178,Primary!J178)</f>
        <v>0</v>
      </c>
      <c r="K178" s="13">
        <f>IF(ActiveDatabase=Standby,Secondary!K178,Primary!K178)</f>
        <v>0</v>
      </c>
      <c r="L178" s="13">
        <f>IF(ActiveDatabase=Standby,Secondary!L178,Primary!L178)</f>
        <v>0</v>
      </c>
      <c r="M178" s="7">
        <f>IF(ActiveDatabase=Standby,Secondary!M178,Primary!M178)</f>
        <v>0</v>
      </c>
      <c r="N178" s="10">
        <f>IF(ActiveDatabase=Standby,Secondary!N178,Primary!N178)</f>
        <v>0</v>
      </c>
      <c r="O178" s="10">
        <f>IF(ActiveDatabase=Standby,Secondary!O178,Primary!O178)</f>
        <v>0</v>
      </c>
      <c r="P178" s="10">
        <f>IF(ActiveDatabase=Standby,Secondary!P178,Primary!P178)</f>
        <v>0</v>
      </c>
      <c r="Q178" s="6">
        <f>IF(ActiveDatabase=Standby,Secondary!Q178,Primary!Q178)</f>
        <v>0</v>
      </c>
      <c r="R178" s="18">
        <f>IF(ActiveDatabase=Standby,Secondary!R178,Primary!R178)</f>
        <v>0</v>
      </c>
      <c r="S178" s="19">
        <f>IF(ActiveDatabase=Standby,Secondary!S178,Primary!S178)</f>
        <v>0</v>
      </c>
      <c r="T178" s="10">
        <f>IF(ActiveDatabase=Standby,Secondary!T178,Primary!T178)</f>
        <v>0</v>
      </c>
      <c r="U178" s="10">
        <f>IF(ActiveDatabase=Standby,Secondary!U178,Primary!U178)</f>
        <v>0</v>
      </c>
      <c r="V178" s="10">
        <f>IF(ActiveDatabase=Standby,Secondary!V178,Primary!V178)</f>
        <v>0</v>
      </c>
      <c r="W178" s="6">
        <f>IF(ActiveDatabase=Standby,Secondary!W178,Primary!W178)</f>
        <v>0</v>
      </c>
      <c r="X178" s="6">
        <f>IF(ActiveDatabase=Standby,Secondary!X178,Primary!X178)</f>
        <v>0</v>
      </c>
      <c r="Y178" s="12">
        <f>IF(ActiveDatabase=Standby,Secondary!Y178,Primary!Y178)</f>
        <v>0</v>
      </c>
      <c r="Z178" s="12">
        <f>IF(ActiveDatabase=Standby,Secondary!Z178,Primary!Z178)</f>
        <v>0</v>
      </c>
      <c r="AA178" s="7">
        <f>IF(ActiveDatabase=Standby,Secondary!AA178,Primary!AA178)</f>
        <v>0</v>
      </c>
      <c r="AB178" s="12"/>
      <c r="AC178" s="6"/>
      <c r="AD178" s="6"/>
      <c r="AE178" s="7"/>
      <c r="AF178" s="7"/>
      <c r="AG178" s="7"/>
      <c r="AH178" s="7"/>
      <c r="AI178" s="7"/>
      <c r="AJ178" s="7"/>
      <c r="AK178" s="7"/>
      <c r="AL178" s="7"/>
      <c r="AM178" s="7"/>
      <c r="AN178" s="7"/>
      <c r="AO178" s="6"/>
      <c r="AP178" s="7"/>
      <c r="AQ178" s="7"/>
      <c r="AR178" s="6"/>
      <c r="AS178" s="7"/>
      <c r="AT178" s="7"/>
      <c r="AU178" s="7"/>
      <c r="AV178" s="7"/>
      <c r="AW178" s="7"/>
      <c r="AX178" s="7"/>
      <c r="AY178" s="7"/>
      <c r="AZ178" s="7"/>
      <c r="BA178" s="7"/>
      <c r="BB178" s="7"/>
      <c r="BC178" s="7"/>
      <c r="BD178" s="7"/>
      <c r="BE178" s="7"/>
      <c r="BF178" s="7"/>
      <c r="BG178" s="7"/>
    </row>
    <row r="179" customHeight="1" spans="1:59">
      <c r="A179" s="9" t="str">
        <f>IF(ActiveDatabase=Standby,Secondary!A179,Primary!A179)</f>
        <v>Cellin 15</v>
      </c>
      <c r="B179" s="5" t="str">
        <f>IF(ActiveDatabase=Standby,Secondary!B179,Primary!B179)</f>
        <v>Cellin 32</v>
      </c>
      <c r="C179" s="5" t="str">
        <f>IF(ActiveDatabase=Standby,Secondary!C179,Primary!C179)</f>
        <v>Cellin 10</v>
      </c>
      <c r="D179" s="5" t="str">
        <f>IF(ActiveDatabase=Standby,Secondary!D179,Primary!D179)</f>
        <v>Comm Array ST2-28</v>
      </c>
      <c r="E179" s="6" t="str">
        <f>IF(ActiveDatabase=Standby,Secondary!E179,Primary!E179)</f>
        <v>ST2-28</v>
      </c>
      <c r="F179" s="10">
        <f>IF(ActiveDatabase=Standby,Secondary!F179,Primary!F179)</f>
        <v>242.243958999634</v>
      </c>
      <c r="G179" s="10">
        <f>IF(ActiveDatabase=Standby,Secondary!G179,Primary!G179)</f>
        <v>347.192687280178</v>
      </c>
      <c r="H179" s="10">
        <f>IF(ActiveDatabase=Standby,Secondary!H179,Primary!H179)</f>
        <v>24</v>
      </c>
      <c r="I179" s="13">
        <f>IF(ActiveDatabase=Standby,Secondary!I179,Primary!I179)</f>
        <v>0</v>
      </c>
      <c r="J179" s="13">
        <f>IF(ActiveDatabase=Standby,Secondary!J179,Primary!J179)</f>
        <v>0</v>
      </c>
      <c r="K179" s="13">
        <f>IF(ActiveDatabase=Standby,Secondary!K179,Primary!K179)</f>
        <v>0</v>
      </c>
      <c r="L179" s="13">
        <f>IF(ActiveDatabase=Standby,Secondary!L179,Primary!L179)</f>
        <v>0</v>
      </c>
      <c r="M179" s="7" t="b">
        <f>IF(ActiveDatabase=Standby,Secondary!M179,Primary!M179)</f>
        <v>1</v>
      </c>
      <c r="N179" s="10">
        <f>IF(ActiveDatabase=Standby,Secondary!N179,Primary!N179)</f>
        <v>0</v>
      </c>
      <c r="O179" s="10">
        <f>IF(ActiveDatabase=Standby,Secondary!O179,Primary!O179)</f>
        <v>0</v>
      </c>
      <c r="P179" s="10">
        <f>IF(ActiveDatabase=Standby,Secondary!P179,Primary!P179)</f>
        <v>0</v>
      </c>
      <c r="Q179" s="6">
        <f>IF(ActiveDatabase=Standby,Secondary!Q179,Primary!Q179)</f>
        <v>0</v>
      </c>
      <c r="R179" s="18">
        <f>IF(ActiveDatabase=Standby,Secondary!R179,Primary!R179)</f>
        <v>0</v>
      </c>
      <c r="S179" s="19">
        <f>IF(ActiveDatabase=Standby,Secondary!S179,Primary!S179)</f>
        <v>0</v>
      </c>
      <c r="T179" s="10">
        <f>IF(ActiveDatabase=Standby,Secondary!T179,Primary!T179)</f>
        <v>0</v>
      </c>
      <c r="U179" s="10">
        <f>IF(ActiveDatabase=Standby,Secondary!U179,Primary!U179)</f>
        <v>0</v>
      </c>
      <c r="V179" s="10">
        <f>IF(ActiveDatabase=Standby,Secondary!V179,Primary!V179)</f>
        <v>0</v>
      </c>
      <c r="W179" s="6">
        <f>IF(ActiveDatabase=Standby,Secondary!W179,Primary!W179)</f>
        <v>0</v>
      </c>
      <c r="X179" s="6">
        <f>IF(ActiveDatabase=Standby,Secondary!X179,Primary!X179)</f>
        <v>0</v>
      </c>
      <c r="Y179" s="12">
        <f>IF(ActiveDatabase=Standby,Secondary!Y179,Primary!Y179)</f>
        <v>0</v>
      </c>
      <c r="Z179" s="12">
        <f>IF(ActiveDatabase=Standby,Secondary!Z179,Primary!Z179)</f>
        <v>0</v>
      </c>
      <c r="AA179" s="7">
        <f>IF(ActiveDatabase=Standby,Secondary!AA179,Primary!AA179)</f>
        <v>0</v>
      </c>
      <c r="AB179" s="12"/>
      <c r="AC179" s="6"/>
      <c r="AD179" s="6"/>
      <c r="AE179" s="7"/>
      <c r="AF179" s="7"/>
      <c r="AG179" s="7"/>
      <c r="AH179" s="7"/>
      <c r="AI179" s="7"/>
      <c r="AJ179" s="7"/>
      <c r="AK179" s="7"/>
      <c r="AL179" s="7"/>
      <c r="AM179" s="7"/>
      <c r="AN179" s="7"/>
      <c r="AO179" s="6"/>
      <c r="AP179" s="7"/>
      <c r="AQ179" s="7"/>
      <c r="AR179" s="6"/>
      <c r="AS179" s="7"/>
      <c r="AT179" s="7"/>
      <c r="AU179" s="7"/>
      <c r="AV179" s="7"/>
      <c r="AW179" s="7"/>
      <c r="AX179" s="7"/>
      <c r="AY179" s="7"/>
      <c r="AZ179" s="7"/>
      <c r="BA179" s="7"/>
      <c r="BB179" s="7"/>
      <c r="BC179" s="7"/>
      <c r="BD179" s="7"/>
      <c r="BE179" s="7"/>
      <c r="BF179" s="7"/>
      <c r="BG179" s="7"/>
    </row>
    <row r="180" customHeight="1" spans="1:59">
      <c r="A180" s="9">
        <f>IF(ActiveDatabase=Standby,Secondary!A180,Primary!A180)</f>
        <v>0</v>
      </c>
      <c r="B180" s="5">
        <f>IF(ActiveDatabase=Standby,Secondary!B180,Primary!B180)</f>
        <v>0</v>
      </c>
      <c r="C180" s="5">
        <f>IF(ActiveDatabase=Standby,Secondary!C180,Primary!C180)</f>
        <v>0</v>
      </c>
      <c r="D180" s="5">
        <f>IF(ActiveDatabase=Standby,Secondary!D180,Primary!D180)</f>
        <v>0</v>
      </c>
      <c r="E180" s="6">
        <f>IF(ActiveDatabase=Standby,Secondary!E180,Primary!E180)</f>
        <v>0</v>
      </c>
      <c r="F180" s="10">
        <f>IF(ActiveDatabase=Standby,Secondary!F180,Primary!F180)</f>
        <v>0</v>
      </c>
      <c r="G180" s="10">
        <f>IF(ActiveDatabase=Standby,Secondary!G180,Primary!G180)</f>
        <v>0</v>
      </c>
      <c r="H180" s="10">
        <f>IF(ActiveDatabase=Standby,Secondary!H180,Primary!H180)</f>
        <v>0</v>
      </c>
      <c r="I180" s="13">
        <f>IF(ActiveDatabase=Standby,Secondary!I180,Primary!I180)</f>
        <v>0</v>
      </c>
      <c r="J180" s="13">
        <f>IF(ActiveDatabase=Standby,Secondary!J180,Primary!J180)</f>
        <v>0</v>
      </c>
      <c r="K180" s="13">
        <f>IF(ActiveDatabase=Standby,Secondary!K180,Primary!K180)</f>
        <v>0</v>
      </c>
      <c r="L180" s="13">
        <f>IF(ActiveDatabase=Standby,Secondary!L180,Primary!L180)</f>
        <v>0</v>
      </c>
      <c r="M180" s="7">
        <f>IF(ActiveDatabase=Standby,Secondary!M180,Primary!M180)</f>
        <v>0</v>
      </c>
      <c r="N180" s="10">
        <f>IF(ActiveDatabase=Standby,Secondary!N180,Primary!N180)</f>
        <v>0</v>
      </c>
      <c r="O180" s="10">
        <f>IF(ActiveDatabase=Standby,Secondary!O180,Primary!O180)</f>
        <v>0</v>
      </c>
      <c r="P180" s="10">
        <f>IF(ActiveDatabase=Standby,Secondary!P180,Primary!P180)</f>
        <v>0</v>
      </c>
      <c r="Q180" s="6">
        <f>IF(ActiveDatabase=Standby,Secondary!Q180,Primary!Q180)</f>
        <v>0</v>
      </c>
      <c r="R180" s="18">
        <f>IF(ActiveDatabase=Standby,Secondary!R180,Primary!R180)</f>
        <v>0</v>
      </c>
      <c r="S180" s="19">
        <f>IF(ActiveDatabase=Standby,Secondary!S180,Primary!S180)</f>
        <v>0</v>
      </c>
      <c r="T180" s="10">
        <f>IF(ActiveDatabase=Standby,Secondary!T180,Primary!T180)</f>
        <v>0</v>
      </c>
      <c r="U180" s="10">
        <f>IF(ActiveDatabase=Standby,Secondary!U180,Primary!U180)</f>
        <v>0</v>
      </c>
      <c r="V180" s="10">
        <f>IF(ActiveDatabase=Standby,Secondary!V180,Primary!V180)</f>
        <v>0</v>
      </c>
      <c r="W180" s="6">
        <f>IF(ActiveDatabase=Standby,Secondary!W180,Primary!W180)</f>
        <v>0</v>
      </c>
      <c r="X180" s="6">
        <f>IF(ActiveDatabase=Standby,Secondary!X180,Primary!X180)</f>
        <v>0</v>
      </c>
      <c r="Y180" s="12">
        <f>IF(ActiveDatabase=Standby,Secondary!Y180,Primary!Y180)</f>
        <v>0</v>
      </c>
      <c r="Z180" s="12">
        <f>IF(ActiveDatabase=Standby,Secondary!Z180,Primary!Z180)</f>
        <v>0</v>
      </c>
      <c r="AA180" s="7">
        <f>IF(ActiveDatabase=Standby,Secondary!AA180,Primary!AA180)</f>
        <v>0</v>
      </c>
      <c r="AB180" s="12"/>
      <c r="AC180" s="6"/>
      <c r="AD180" s="6"/>
      <c r="AE180" s="7"/>
      <c r="AF180" s="7"/>
      <c r="AG180" s="7"/>
      <c r="AH180" s="7"/>
      <c r="AI180" s="7"/>
      <c r="AJ180" s="7"/>
      <c r="AK180" s="7"/>
      <c r="AL180" s="7"/>
      <c r="AM180" s="7"/>
      <c r="AN180" s="7"/>
      <c r="AO180" s="6"/>
      <c r="AP180" s="7"/>
      <c r="AQ180" s="7"/>
      <c r="AR180" s="6"/>
      <c r="AS180" s="7"/>
      <c r="AT180" s="7"/>
      <c r="AU180" s="7"/>
      <c r="AV180" s="7"/>
      <c r="AW180" s="7"/>
      <c r="AX180" s="7"/>
      <c r="AY180" s="7"/>
      <c r="AZ180" s="7"/>
      <c r="BA180" s="7"/>
      <c r="BB180" s="7"/>
      <c r="BC180" s="7"/>
      <c r="BD180" s="7"/>
      <c r="BE180" s="7"/>
      <c r="BF180" s="7"/>
      <c r="BG180" s="7"/>
    </row>
    <row r="181" customHeight="1" spans="1:59">
      <c r="A181" s="9" t="str">
        <f>IF(ActiveDatabase=Standby,Secondary!A181,Primary!A181)</f>
        <v>Clio R01</v>
      </c>
      <c r="B181" s="5" t="str">
        <f>IF(ActiveDatabase=Standby,Secondary!B181,Primary!B181)</f>
        <v>Clio 28</v>
      </c>
      <c r="C181" s="5">
        <f>IF(ActiveDatabase=Standby,Secondary!C181,Primary!C181)</f>
        <v>0</v>
      </c>
      <c r="D181" s="5" t="str">
        <f>IF(ActiveDatabase=Standby,Secondary!D181,Primary!D181)</f>
        <v>OM-1</v>
      </c>
      <c r="E181" s="6" t="str">
        <f>IF(ActiveDatabase=Standby,Secondary!E181,Primary!E181)</f>
        <v>OM1</v>
      </c>
      <c r="F181" s="10">
        <f>IF(ActiveDatabase=Standby,Secondary!F181,Primary!F181)</f>
        <v>0</v>
      </c>
      <c r="G181" s="10">
        <f>IF(ActiveDatabase=Standby,Secondary!G181,Primary!G181)</f>
        <v>0</v>
      </c>
      <c r="H181" s="10">
        <f>IF(ActiveDatabase=Standby,Secondary!H181,Primary!H181)</f>
        <v>489.867</v>
      </c>
      <c r="I181" s="13">
        <f>IF(ActiveDatabase=Standby,Secondary!I181,Primary!I181)</f>
        <v>0</v>
      </c>
      <c r="J181" s="13">
        <f>IF(ActiveDatabase=Standby,Secondary!J181,Primary!J181)</f>
        <v>0</v>
      </c>
      <c r="K181" s="13">
        <f>IF(ActiveDatabase=Standby,Secondary!K181,Primary!K181)</f>
        <v>0</v>
      </c>
      <c r="L181" s="13">
        <f>IF(ActiveDatabase=Standby,Secondary!L181,Primary!L181)</f>
        <v>0</v>
      </c>
      <c r="M181" s="7" t="b">
        <f>IF(ActiveDatabase=Standby,Secondary!M181,Primary!M181)</f>
        <v>1</v>
      </c>
      <c r="N181" s="10">
        <f>IF(ActiveDatabase=Standby,Secondary!N181,Primary!N181)</f>
        <v>0</v>
      </c>
      <c r="O181" s="10">
        <f>IF(ActiveDatabase=Standby,Secondary!O181,Primary!O181)</f>
        <v>0</v>
      </c>
      <c r="P181" s="10">
        <f>IF(ActiveDatabase=Standby,Secondary!P181,Primary!P181)</f>
        <v>0</v>
      </c>
      <c r="Q181" s="6">
        <f>IF(ActiveDatabase=Standby,Secondary!Q181,Primary!Q181)</f>
        <v>0</v>
      </c>
      <c r="R181" s="18">
        <f>IF(ActiveDatabase=Standby,Secondary!R181,Primary!R181)</f>
        <v>0</v>
      </c>
      <c r="S181" s="19">
        <f>IF(ActiveDatabase=Standby,Secondary!S181,Primary!S181)</f>
        <v>0</v>
      </c>
      <c r="T181" s="10">
        <f>IF(ActiveDatabase=Standby,Secondary!T181,Primary!T181)</f>
        <v>0</v>
      </c>
      <c r="U181" s="10">
        <f>IF(ActiveDatabase=Standby,Secondary!U181,Primary!U181)</f>
        <v>0</v>
      </c>
      <c r="V181" s="10">
        <f>IF(ActiveDatabase=Standby,Secondary!V181,Primary!V181)</f>
        <v>0</v>
      </c>
      <c r="W181" s="6">
        <f>IF(ActiveDatabase=Standby,Secondary!W181,Primary!W181)</f>
        <v>0</v>
      </c>
      <c r="X181" s="6">
        <f>IF(ActiveDatabase=Standby,Secondary!X181,Primary!X181)</f>
        <v>0</v>
      </c>
      <c r="Y181" s="12">
        <f>IF(ActiveDatabase=Standby,Secondary!Y181,Primary!Y181)</f>
        <v>0</v>
      </c>
      <c r="Z181" s="12">
        <f>IF(ActiveDatabase=Standby,Secondary!Z181,Primary!Z181)</f>
        <v>0</v>
      </c>
      <c r="AA181" s="7">
        <f>IF(ActiveDatabase=Standby,Secondary!AA181,Primary!AA181)</f>
        <v>0</v>
      </c>
      <c r="AB181" s="12"/>
      <c r="AC181" s="6"/>
      <c r="AD181" s="6"/>
      <c r="AE181" s="7"/>
      <c r="AF181" s="7"/>
      <c r="AG181" s="7"/>
      <c r="AH181" s="7"/>
      <c r="AI181" s="7"/>
      <c r="AJ181" s="7"/>
      <c r="AK181" s="7"/>
      <c r="AL181" s="7"/>
      <c r="AM181" s="7"/>
      <c r="AN181" s="7"/>
      <c r="AO181" s="6"/>
      <c r="AP181" s="7"/>
      <c r="AQ181" s="7"/>
      <c r="AR181" s="6"/>
      <c r="AS181" s="7"/>
      <c r="AT181" s="7"/>
      <c r="AU181" s="7"/>
      <c r="AV181" s="7"/>
      <c r="AW181" s="7"/>
      <c r="AX181" s="7"/>
      <c r="AY181" s="7"/>
      <c r="AZ181" s="7"/>
      <c r="BA181" s="7"/>
      <c r="BB181" s="7"/>
      <c r="BC181" s="7"/>
      <c r="BD181" s="7"/>
      <c r="BE181" s="7"/>
      <c r="BF181" s="7"/>
      <c r="BG181" s="7"/>
    </row>
    <row r="182" customHeight="1" spans="1:59">
      <c r="A182" s="9" t="str">
        <f>IF(ActiveDatabase=Standby,Secondary!A182,Primary!A182)</f>
        <v>Clio R02</v>
      </c>
      <c r="B182" s="5" t="str">
        <f>IF(ActiveDatabase=Standby,Secondary!B182,Primary!B182)</f>
        <v>Clio 29</v>
      </c>
      <c r="C182" s="5">
        <f>IF(ActiveDatabase=Standby,Secondary!C182,Primary!C182)</f>
        <v>0</v>
      </c>
      <c r="D182" s="5" t="str">
        <f>IF(ActiveDatabase=Standby,Secondary!D182,Primary!D182)</f>
        <v>OM-2</v>
      </c>
      <c r="E182" s="6" t="str">
        <f>IF(ActiveDatabase=Standby,Secondary!E182,Primary!E182)</f>
        <v>OM2</v>
      </c>
      <c r="F182" s="10">
        <f>IF(ActiveDatabase=Standby,Secondary!F182,Primary!F182)</f>
        <v>0</v>
      </c>
      <c r="G182" s="10">
        <f>IF(ActiveDatabase=Standby,Secondary!G182,Primary!G182)</f>
        <v>0</v>
      </c>
      <c r="H182" s="10">
        <f>IF(ActiveDatabase=Standby,Secondary!H182,Primary!H182)</f>
        <v>-489.867</v>
      </c>
      <c r="I182" s="13">
        <f>IF(ActiveDatabase=Standby,Secondary!I182,Primary!I182)</f>
        <v>0</v>
      </c>
      <c r="J182" s="13">
        <f>IF(ActiveDatabase=Standby,Secondary!J182,Primary!J182)</f>
        <v>0</v>
      </c>
      <c r="K182" s="13">
        <f>IF(ActiveDatabase=Standby,Secondary!K182,Primary!K182)</f>
        <v>0</v>
      </c>
      <c r="L182" s="13">
        <f>IF(ActiveDatabase=Standby,Secondary!L182,Primary!L182)</f>
        <v>0</v>
      </c>
      <c r="M182" s="7" t="b">
        <f>IF(ActiveDatabase=Standby,Secondary!M182,Primary!M182)</f>
        <v>1</v>
      </c>
      <c r="N182" s="10">
        <f>IF(ActiveDatabase=Standby,Secondary!N182,Primary!N182)</f>
        <v>0</v>
      </c>
      <c r="O182" s="10">
        <f>IF(ActiveDatabase=Standby,Secondary!O182,Primary!O182)</f>
        <v>0</v>
      </c>
      <c r="P182" s="10">
        <f>IF(ActiveDatabase=Standby,Secondary!P182,Primary!P182)</f>
        <v>0</v>
      </c>
      <c r="Q182" s="6">
        <f>IF(ActiveDatabase=Standby,Secondary!Q182,Primary!Q182)</f>
        <v>0</v>
      </c>
      <c r="R182" s="18">
        <f>IF(ActiveDatabase=Standby,Secondary!R182,Primary!R182)</f>
        <v>0</v>
      </c>
      <c r="S182" s="19">
        <f>IF(ActiveDatabase=Standby,Secondary!S182,Primary!S182)</f>
        <v>0</v>
      </c>
      <c r="T182" s="10">
        <f>IF(ActiveDatabase=Standby,Secondary!T182,Primary!T182)</f>
        <v>0</v>
      </c>
      <c r="U182" s="10">
        <f>IF(ActiveDatabase=Standby,Secondary!U182,Primary!U182)</f>
        <v>0</v>
      </c>
      <c r="V182" s="10">
        <f>IF(ActiveDatabase=Standby,Secondary!V182,Primary!V182)</f>
        <v>0</v>
      </c>
      <c r="W182" s="6">
        <f>IF(ActiveDatabase=Standby,Secondary!W182,Primary!W182)</f>
        <v>0</v>
      </c>
      <c r="X182" s="6">
        <f>IF(ActiveDatabase=Standby,Secondary!X182,Primary!X182)</f>
        <v>0</v>
      </c>
      <c r="Y182" s="12">
        <f>IF(ActiveDatabase=Standby,Secondary!Y182,Primary!Y182)</f>
        <v>0</v>
      </c>
      <c r="Z182" s="12">
        <f>IF(ActiveDatabase=Standby,Secondary!Z182,Primary!Z182)</f>
        <v>0</v>
      </c>
      <c r="AA182" s="7">
        <f>IF(ActiveDatabase=Standby,Secondary!AA182,Primary!AA182)</f>
        <v>0</v>
      </c>
      <c r="AB182" s="12"/>
      <c r="AC182" s="6"/>
      <c r="AD182" s="6"/>
      <c r="AE182" s="7"/>
      <c r="AF182" s="7"/>
      <c r="AG182" s="7"/>
      <c r="AH182" s="7"/>
      <c r="AI182" s="7"/>
      <c r="AJ182" s="7"/>
      <c r="AK182" s="7"/>
      <c r="AL182" s="7"/>
      <c r="AM182" s="7"/>
      <c r="AN182" s="7"/>
      <c r="AO182" s="6"/>
      <c r="AP182" s="7"/>
      <c r="AQ182" s="7"/>
      <c r="AR182" s="6"/>
      <c r="AS182" s="7"/>
      <c r="AT182" s="7"/>
      <c r="AU182" s="7"/>
      <c r="AV182" s="7"/>
      <c r="AW182" s="7"/>
      <c r="AX182" s="7"/>
      <c r="AY182" s="7"/>
      <c r="AZ182" s="7"/>
      <c r="BA182" s="7"/>
      <c r="BB182" s="7"/>
      <c r="BC182" s="7"/>
      <c r="BD182" s="7"/>
      <c r="BE182" s="7"/>
      <c r="BF182" s="7"/>
      <c r="BG182" s="7"/>
    </row>
    <row r="183" customHeight="1" spans="1:59">
      <c r="A183" s="9" t="str">
        <f>IF(ActiveDatabase=Standby,Secondary!A183,Primary!A183)</f>
        <v>Clio R03</v>
      </c>
      <c r="B183" s="5" t="str">
        <f>IF(ActiveDatabase=Standby,Secondary!B183,Primary!B183)</f>
        <v>Clio 30</v>
      </c>
      <c r="C183" s="5" t="str">
        <f>IF(ActiveDatabase=Standby,Secondary!C183,Primary!C183)</f>
        <v>Clio 09</v>
      </c>
      <c r="D183" s="5" t="str">
        <f>IF(ActiveDatabase=Standby,Secondary!D183,Primary!D183)</f>
        <v>OM-3</v>
      </c>
      <c r="E183" s="6" t="str">
        <f>IF(ActiveDatabase=Standby,Secondary!E183,Primary!E183)</f>
        <v>OM3</v>
      </c>
      <c r="F183" s="10">
        <f>IF(ActiveDatabase=Standby,Secondary!F183,Primary!F183)</f>
        <v>0</v>
      </c>
      <c r="G183" s="10">
        <f>IF(ActiveDatabase=Standby,Secondary!G183,Primary!G183)</f>
        <v>489.867</v>
      </c>
      <c r="H183" s="10">
        <f>IF(ActiveDatabase=Standby,Secondary!H183,Primary!H183)</f>
        <v>0</v>
      </c>
      <c r="I183" s="13">
        <f>IF(ActiveDatabase=Standby,Secondary!I183,Primary!I183)</f>
        <v>0</v>
      </c>
      <c r="J183" s="13">
        <f>IF(ActiveDatabase=Standby,Secondary!J183,Primary!J183)</f>
        <v>0</v>
      </c>
      <c r="K183" s="13">
        <f>IF(ActiveDatabase=Standby,Secondary!K183,Primary!K183)</f>
        <v>0</v>
      </c>
      <c r="L183" s="13">
        <f>IF(ActiveDatabase=Standby,Secondary!L183,Primary!L183)</f>
        <v>0</v>
      </c>
      <c r="M183" s="7" t="b">
        <f>IF(ActiveDatabase=Standby,Secondary!M183,Primary!M183)</f>
        <v>1</v>
      </c>
      <c r="N183" s="10">
        <f>IF(ActiveDatabase=Standby,Secondary!N183,Primary!N183)</f>
        <v>0</v>
      </c>
      <c r="O183" s="10">
        <f>IF(ActiveDatabase=Standby,Secondary!O183,Primary!O183)</f>
        <v>0</v>
      </c>
      <c r="P183" s="10">
        <f>IF(ActiveDatabase=Standby,Secondary!P183,Primary!P183)</f>
        <v>0</v>
      </c>
      <c r="Q183" s="6">
        <f>IF(ActiveDatabase=Standby,Secondary!Q183,Primary!Q183)</f>
        <v>0</v>
      </c>
      <c r="R183" s="18">
        <f>IF(ActiveDatabase=Standby,Secondary!R183,Primary!R183)</f>
        <v>0</v>
      </c>
      <c r="S183" s="19">
        <f>IF(ActiveDatabase=Standby,Secondary!S183,Primary!S183)</f>
        <v>0</v>
      </c>
      <c r="T183" s="10">
        <f>IF(ActiveDatabase=Standby,Secondary!T183,Primary!T183)</f>
        <v>0</v>
      </c>
      <c r="U183" s="10">
        <f>IF(ActiveDatabase=Standby,Secondary!U183,Primary!U183)</f>
        <v>0</v>
      </c>
      <c r="V183" s="10">
        <f>IF(ActiveDatabase=Standby,Secondary!V183,Primary!V183)</f>
        <v>0</v>
      </c>
      <c r="W183" s="6">
        <f>IF(ActiveDatabase=Standby,Secondary!W183,Primary!W183)</f>
        <v>0</v>
      </c>
      <c r="X183" s="6">
        <f>IF(ActiveDatabase=Standby,Secondary!X183,Primary!X183)</f>
        <v>0</v>
      </c>
      <c r="Y183" s="12">
        <f>IF(ActiveDatabase=Standby,Secondary!Y183,Primary!Y183)</f>
        <v>0</v>
      </c>
      <c r="Z183" s="12">
        <f>IF(ActiveDatabase=Standby,Secondary!Z183,Primary!Z183)</f>
        <v>0</v>
      </c>
      <c r="AA183" s="7">
        <f>IF(ActiveDatabase=Standby,Secondary!AA183,Primary!AA183)</f>
        <v>0</v>
      </c>
      <c r="AB183" s="12"/>
      <c r="AC183" s="6"/>
      <c r="AD183" s="6"/>
      <c r="AE183" s="7"/>
      <c r="AF183" s="7"/>
      <c r="AG183" s="7"/>
      <c r="AH183" s="7"/>
      <c r="AI183" s="7"/>
      <c r="AJ183" s="7"/>
      <c r="AK183" s="7"/>
      <c r="AL183" s="7"/>
      <c r="AM183" s="7"/>
      <c r="AN183" s="7"/>
      <c r="AO183" s="6"/>
      <c r="AP183" s="7"/>
      <c r="AQ183" s="7"/>
      <c r="AR183" s="6"/>
      <c r="AS183" s="7"/>
      <c r="AT183" s="7"/>
      <c r="AU183" s="7"/>
      <c r="AV183" s="7"/>
      <c r="AW183" s="7"/>
      <c r="AX183" s="7"/>
      <c r="AY183" s="7"/>
      <c r="AZ183" s="7"/>
      <c r="BA183" s="7"/>
      <c r="BB183" s="7"/>
      <c r="BC183" s="7"/>
      <c r="BD183" s="7"/>
      <c r="BE183" s="7"/>
      <c r="BF183" s="7"/>
      <c r="BG183" s="7"/>
    </row>
    <row r="184" customHeight="1" spans="1:59">
      <c r="A184" s="9" t="str">
        <f>IF(ActiveDatabase=Standby,Secondary!A184,Primary!A184)</f>
        <v>Clio R04</v>
      </c>
      <c r="B184" s="5" t="str">
        <f>IF(ActiveDatabase=Standby,Secondary!B184,Primary!B184)</f>
        <v>Clio 31</v>
      </c>
      <c r="C184" s="5" t="str">
        <f>IF(ActiveDatabase=Standby,Secondary!C184,Primary!C184)</f>
        <v>Clio 17</v>
      </c>
      <c r="D184" s="5" t="str">
        <f>IF(ActiveDatabase=Standby,Secondary!D184,Primary!D184)</f>
        <v>OM-4</v>
      </c>
      <c r="E184" s="6" t="str">
        <f>IF(ActiveDatabase=Standby,Secondary!E184,Primary!E184)</f>
        <v>OM4</v>
      </c>
      <c r="F184" s="10">
        <f>IF(ActiveDatabase=Standby,Secondary!F184,Primary!F184)</f>
        <v>0</v>
      </c>
      <c r="G184" s="10">
        <f>IF(ActiveDatabase=Standby,Secondary!G184,Primary!G184)</f>
        <v>-489.867</v>
      </c>
      <c r="H184" s="10">
        <f>IF(ActiveDatabase=Standby,Secondary!H184,Primary!H184)</f>
        <v>0</v>
      </c>
      <c r="I184" s="13">
        <f>IF(ActiveDatabase=Standby,Secondary!I184,Primary!I184)</f>
        <v>0</v>
      </c>
      <c r="J184" s="13">
        <f>IF(ActiveDatabase=Standby,Secondary!J184,Primary!J184)</f>
        <v>0</v>
      </c>
      <c r="K184" s="13">
        <f>IF(ActiveDatabase=Standby,Secondary!K184,Primary!K184)</f>
        <v>0</v>
      </c>
      <c r="L184" s="13">
        <f>IF(ActiveDatabase=Standby,Secondary!L184,Primary!L184)</f>
        <v>0</v>
      </c>
      <c r="M184" s="7" t="b">
        <f>IF(ActiveDatabase=Standby,Secondary!M184,Primary!M184)</f>
        <v>1</v>
      </c>
      <c r="N184" s="10">
        <f>IF(ActiveDatabase=Standby,Secondary!N184,Primary!N184)</f>
        <v>0</v>
      </c>
      <c r="O184" s="10">
        <f>IF(ActiveDatabase=Standby,Secondary!O184,Primary!O184)</f>
        <v>0</v>
      </c>
      <c r="P184" s="10">
        <f>IF(ActiveDatabase=Standby,Secondary!P184,Primary!P184)</f>
        <v>0</v>
      </c>
      <c r="Q184" s="6">
        <f>IF(ActiveDatabase=Standby,Secondary!Q184,Primary!Q184)</f>
        <v>0</v>
      </c>
      <c r="R184" s="18">
        <f>IF(ActiveDatabase=Standby,Secondary!R184,Primary!R184)</f>
        <v>0</v>
      </c>
      <c r="S184" s="19">
        <f>IF(ActiveDatabase=Standby,Secondary!S184,Primary!S184)</f>
        <v>0</v>
      </c>
      <c r="T184" s="10">
        <f>IF(ActiveDatabase=Standby,Secondary!T184,Primary!T184)</f>
        <v>0</v>
      </c>
      <c r="U184" s="10">
        <f>IF(ActiveDatabase=Standby,Secondary!U184,Primary!U184)</f>
        <v>0</v>
      </c>
      <c r="V184" s="10">
        <f>IF(ActiveDatabase=Standby,Secondary!V184,Primary!V184)</f>
        <v>0</v>
      </c>
      <c r="W184" s="6">
        <f>IF(ActiveDatabase=Standby,Secondary!W184,Primary!W184)</f>
        <v>0</v>
      </c>
      <c r="X184" s="6">
        <f>IF(ActiveDatabase=Standby,Secondary!X184,Primary!X184)</f>
        <v>0</v>
      </c>
      <c r="Y184" s="12">
        <f>IF(ActiveDatabase=Standby,Secondary!Y184,Primary!Y184)</f>
        <v>0</v>
      </c>
      <c r="Z184" s="12">
        <f>IF(ActiveDatabase=Standby,Secondary!Z184,Primary!Z184)</f>
        <v>0</v>
      </c>
      <c r="AA184" s="7">
        <f>IF(ActiveDatabase=Standby,Secondary!AA184,Primary!AA184)</f>
        <v>0</v>
      </c>
      <c r="AB184" s="12"/>
      <c r="AC184" s="6"/>
      <c r="AD184" s="6"/>
      <c r="AE184" s="7"/>
      <c r="AF184" s="7"/>
      <c r="AG184" s="7"/>
      <c r="AH184" s="7"/>
      <c r="AI184" s="7"/>
      <c r="AJ184" s="7"/>
      <c r="AK184" s="7"/>
      <c r="AL184" s="7"/>
      <c r="AM184" s="7"/>
      <c r="AN184" s="7"/>
      <c r="AO184" s="6"/>
      <c r="AP184" s="7"/>
      <c r="AQ184" s="7"/>
      <c r="AR184" s="6"/>
      <c r="AS184" s="7"/>
      <c r="AT184" s="7"/>
      <c r="AU184" s="7"/>
      <c r="AV184" s="7"/>
      <c r="AW184" s="7"/>
      <c r="AX184" s="7"/>
      <c r="AY184" s="7"/>
      <c r="AZ184" s="7"/>
      <c r="BA184" s="7"/>
      <c r="BB184" s="7"/>
      <c r="BC184" s="7"/>
      <c r="BD184" s="7"/>
      <c r="BE184" s="7"/>
      <c r="BF184" s="7"/>
      <c r="BG184" s="7"/>
    </row>
    <row r="185" customHeight="1" spans="1:59">
      <c r="A185" s="9" t="str">
        <f>IF(ActiveDatabase=Standby,Secondary!A185,Primary!A185)</f>
        <v>Clio R05</v>
      </c>
      <c r="B185" s="5" t="str">
        <f>IF(ActiveDatabase=Standby,Secondary!B185,Primary!B185)</f>
        <v>Clio 32</v>
      </c>
      <c r="C185" s="5" t="str">
        <f>IF(ActiveDatabase=Standby,Secondary!C185,Primary!C185)</f>
        <v>Clio 16</v>
      </c>
      <c r="D185" s="5" t="str">
        <f>IF(ActiveDatabase=Standby,Secondary!D185,Primary!D185)</f>
        <v>OM-5</v>
      </c>
      <c r="E185" s="6" t="str">
        <f>IF(ActiveDatabase=Standby,Secondary!E185,Primary!E185)</f>
        <v>OM5</v>
      </c>
      <c r="F185" s="10">
        <f>IF(ActiveDatabase=Standby,Secondary!F185,Primary!F185)</f>
        <v>489.867</v>
      </c>
      <c r="G185" s="10">
        <f>IF(ActiveDatabase=Standby,Secondary!G185,Primary!G185)</f>
        <v>0</v>
      </c>
      <c r="H185" s="10">
        <f>IF(ActiveDatabase=Standby,Secondary!H185,Primary!H185)</f>
        <v>0</v>
      </c>
      <c r="I185" s="13">
        <f>IF(ActiveDatabase=Standby,Secondary!I185,Primary!I185)</f>
        <v>0</v>
      </c>
      <c r="J185" s="13">
        <f>IF(ActiveDatabase=Standby,Secondary!J185,Primary!J185)</f>
        <v>0</v>
      </c>
      <c r="K185" s="13">
        <f>IF(ActiveDatabase=Standby,Secondary!K185,Primary!K185)</f>
        <v>0</v>
      </c>
      <c r="L185" s="13">
        <f>IF(ActiveDatabase=Standby,Secondary!L185,Primary!L185)</f>
        <v>0</v>
      </c>
      <c r="M185" s="7" t="b">
        <f>IF(ActiveDatabase=Standby,Secondary!M185,Primary!M185)</f>
        <v>1</v>
      </c>
      <c r="N185" s="10">
        <f>IF(ActiveDatabase=Standby,Secondary!N185,Primary!N185)</f>
        <v>0</v>
      </c>
      <c r="O185" s="10">
        <f>IF(ActiveDatabase=Standby,Secondary!O185,Primary!O185)</f>
        <v>0</v>
      </c>
      <c r="P185" s="10">
        <f>IF(ActiveDatabase=Standby,Secondary!P185,Primary!P185)</f>
        <v>0</v>
      </c>
      <c r="Q185" s="6">
        <f>IF(ActiveDatabase=Standby,Secondary!Q185,Primary!Q185)</f>
        <v>0</v>
      </c>
      <c r="R185" s="18">
        <f>IF(ActiveDatabase=Standby,Secondary!R185,Primary!R185)</f>
        <v>0</v>
      </c>
      <c r="S185" s="19">
        <f>IF(ActiveDatabase=Standby,Secondary!S185,Primary!S185)</f>
        <v>0</v>
      </c>
      <c r="T185" s="10">
        <f>IF(ActiveDatabase=Standby,Secondary!T185,Primary!T185)</f>
        <v>0</v>
      </c>
      <c r="U185" s="10">
        <f>IF(ActiveDatabase=Standby,Secondary!U185,Primary!U185)</f>
        <v>0</v>
      </c>
      <c r="V185" s="10">
        <f>IF(ActiveDatabase=Standby,Secondary!V185,Primary!V185)</f>
        <v>0</v>
      </c>
      <c r="W185" s="6">
        <f>IF(ActiveDatabase=Standby,Secondary!W185,Primary!W185)</f>
        <v>0</v>
      </c>
      <c r="X185" s="6">
        <f>IF(ActiveDatabase=Standby,Secondary!X185,Primary!X185)</f>
        <v>0</v>
      </c>
      <c r="Y185" s="12">
        <f>IF(ActiveDatabase=Standby,Secondary!Y185,Primary!Y185)</f>
        <v>0</v>
      </c>
      <c r="Z185" s="12">
        <f>IF(ActiveDatabase=Standby,Secondary!Z185,Primary!Z185)</f>
        <v>0</v>
      </c>
      <c r="AA185" s="7">
        <f>IF(ActiveDatabase=Standby,Secondary!AA185,Primary!AA185)</f>
        <v>0</v>
      </c>
      <c r="AB185" s="12"/>
      <c r="AC185" s="6"/>
      <c r="AD185" s="6"/>
      <c r="AE185" s="7"/>
      <c r="AF185" s="7"/>
      <c r="AG185" s="7"/>
      <c r="AH185" s="7"/>
      <c r="AI185" s="7"/>
      <c r="AJ185" s="7"/>
      <c r="AK185" s="7"/>
      <c r="AL185" s="7"/>
      <c r="AM185" s="7"/>
      <c r="AN185" s="7"/>
      <c r="AO185" s="6"/>
      <c r="AP185" s="7"/>
      <c r="AQ185" s="7"/>
      <c r="AR185" s="6"/>
      <c r="AS185" s="7"/>
      <c r="AT185" s="7"/>
      <c r="AU185" s="7"/>
      <c r="AV185" s="7"/>
      <c r="AW185" s="7"/>
      <c r="AX185" s="7"/>
      <c r="AY185" s="7"/>
      <c r="AZ185" s="7"/>
      <c r="BA185" s="7"/>
      <c r="BB185" s="7"/>
      <c r="BC185" s="7"/>
      <c r="BD185" s="7"/>
      <c r="BE185" s="7"/>
      <c r="BF185" s="7"/>
      <c r="BG185" s="7"/>
    </row>
    <row r="186" customHeight="1" spans="1:59">
      <c r="A186" s="9" t="str">
        <f>IF(ActiveDatabase=Standby,Secondary!A186,Primary!A186)</f>
        <v>Clio R06</v>
      </c>
      <c r="B186" s="5" t="str">
        <f>IF(ActiveDatabase=Standby,Secondary!B186,Primary!B186)</f>
        <v>Clio 33</v>
      </c>
      <c r="C186" s="5" t="str">
        <f>IF(ActiveDatabase=Standby,Secondary!C186,Primary!C186)</f>
        <v>Clio 20</v>
      </c>
      <c r="D186" s="5" t="str">
        <f>IF(ActiveDatabase=Standby,Secondary!D186,Primary!D186)</f>
        <v>OM-6</v>
      </c>
      <c r="E186" s="6" t="str">
        <f>IF(ActiveDatabase=Standby,Secondary!E186,Primary!E186)</f>
        <v>OM6</v>
      </c>
      <c r="F186" s="10">
        <f>IF(ActiveDatabase=Standby,Secondary!F186,Primary!F186)</f>
        <v>-489.867</v>
      </c>
      <c r="G186" s="10">
        <f>IF(ActiveDatabase=Standby,Secondary!G186,Primary!G186)</f>
        <v>0</v>
      </c>
      <c r="H186" s="10">
        <f>IF(ActiveDatabase=Standby,Secondary!H186,Primary!H186)</f>
        <v>0</v>
      </c>
      <c r="I186" s="13">
        <f>IF(ActiveDatabase=Standby,Secondary!I186,Primary!I186)</f>
        <v>0</v>
      </c>
      <c r="J186" s="13">
        <f>IF(ActiveDatabase=Standby,Secondary!J186,Primary!J186)</f>
        <v>0</v>
      </c>
      <c r="K186" s="13">
        <f>IF(ActiveDatabase=Standby,Secondary!K186,Primary!K186)</f>
        <v>0</v>
      </c>
      <c r="L186" s="13">
        <f>IF(ActiveDatabase=Standby,Secondary!L186,Primary!L186)</f>
        <v>0</v>
      </c>
      <c r="M186" s="7" t="b">
        <f>IF(ActiveDatabase=Standby,Secondary!M186,Primary!M186)</f>
        <v>1</v>
      </c>
      <c r="N186" s="10">
        <f>IF(ActiveDatabase=Standby,Secondary!N186,Primary!N186)</f>
        <v>0</v>
      </c>
      <c r="O186" s="10">
        <f>IF(ActiveDatabase=Standby,Secondary!O186,Primary!O186)</f>
        <v>0</v>
      </c>
      <c r="P186" s="10">
        <f>IF(ActiveDatabase=Standby,Secondary!P186,Primary!P186)</f>
        <v>0</v>
      </c>
      <c r="Q186" s="6">
        <f>IF(ActiveDatabase=Standby,Secondary!Q186,Primary!Q186)</f>
        <v>0</v>
      </c>
      <c r="R186" s="18">
        <f>IF(ActiveDatabase=Standby,Secondary!R186,Primary!R186)</f>
        <v>0</v>
      </c>
      <c r="S186" s="19">
        <f>IF(ActiveDatabase=Standby,Secondary!S186,Primary!S186)</f>
        <v>0</v>
      </c>
      <c r="T186" s="10">
        <f>IF(ActiveDatabase=Standby,Secondary!T186,Primary!T186)</f>
        <v>0</v>
      </c>
      <c r="U186" s="10">
        <f>IF(ActiveDatabase=Standby,Secondary!U186,Primary!U186)</f>
        <v>0</v>
      </c>
      <c r="V186" s="10">
        <f>IF(ActiveDatabase=Standby,Secondary!V186,Primary!V186)</f>
        <v>0</v>
      </c>
      <c r="W186" s="6">
        <f>IF(ActiveDatabase=Standby,Secondary!W186,Primary!W186)</f>
        <v>0</v>
      </c>
      <c r="X186" s="6">
        <f>IF(ActiveDatabase=Standby,Secondary!X186,Primary!X186)</f>
        <v>0</v>
      </c>
      <c r="Y186" s="12">
        <f>IF(ActiveDatabase=Standby,Secondary!Y186,Primary!Y186)</f>
        <v>0</v>
      </c>
      <c r="Z186" s="12">
        <f>IF(ActiveDatabase=Standby,Secondary!Z186,Primary!Z186)</f>
        <v>0</v>
      </c>
      <c r="AA186" s="7">
        <f>IF(ActiveDatabase=Standby,Secondary!AA186,Primary!AA186)</f>
        <v>0</v>
      </c>
      <c r="AB186" s="12"/>
      <c r="AC186" s="6"/>
      <c r="AD186" s="6"/>
      <c r="AE186" s="7"/>
      <c r="AF186" s="7"/>
      <c r="AG186" s="7"/>
      <c r="AH186" s="7"/>
      <c r="AI186" s="7"/>
      <c r="AJ186" s="7"/>
      <c r="AK186" s="7"/>
      <c r="AL186" s="7"/>
      <c r="AM186" s="7"/>
      <c r="AN186" s="7"/>
      <c r="AO186" s="6"/>
      <c r="AP186" s="7"/>
      <c r="AQ186" s="7"/>
      <c r="AR186" s="6"/>
      <c r="AS186" s="7"/>
      <c r="AT186" s="7"/>
      <c r="AU186" s="7"/>
      <c r="AV186" s="7"/>
      <c r="AW186" s="7"/>
      <c r="AX186" s="7"/>
      <c r="AY186" s="7"/>
      <c r="AZ186" s="7"/>
      <c r="BA186" s="7"/>
      <c r="BB186" s="7"/>
      <c r="BC186" s="7"/>
      <c r="BD186" s="7"/>
      <c r="BE186" s="7"/>
      <c r="BF186" s="7"/>
      <c r="BG186" s="7"/>
    </row>
    <row r="187" customHeight="1" spans="1:59">
      <c r="A187" s="9" t="str">
        <f>IF(ActiveDatabase=Standby,Secondary!A187,Primary!A187)</f>
        <v>Clio</v>
      </c>
      <c r="B187" s="5" t="str">
        <f>IF(ActiveDatabase=Standby,Secondary!B187,Primary!B187)</f>
        <v>Clio 00</v>
      </c>
      <c r="C187" s="5">
        <f>IF(ActiveDatabase=Standby,Secondary!C187,Primary!C187)</f>
        <v>0</v>
      </c>
      <c r="D187" s="5" t="str">
        <f>IF(ActiveDatabase=Standby,Secondary!D187,Primary!D187)</f>
        <v>Trading Terminals</v>
      </c>
      <c r="E187" s="6">
        <f>IF(ActiveDatabase=Standby,Secondary!E187,Primary!E187)</f>
        <v>0</v>
      </c>
      <c r="F187" s="10">
        <f>IF(ActiveDatabase=Standby,Secondary!F187,Primary!F187)</f>
        <v>0</v>
      </c>
      <c r="G187" s="10">
        <f>IF(ActiveDatabase=Standby,Secondary!G187,Primary!G187)</f>
        <v>0</v>
      </c>
      <c r="H187" s="10">
        <f>IF(ActiveDatabase=Standby,Secondary!H187,Primary!H187)</f>
        <v>0</v>
      </c>
      <c r="I187" s="13">
        <f>IF(ActiveDatabase=Standby,Secondary!I187,Primary!I187)</f>
        <v>0</v>
      </c>
      <c r="J187" s="13">
        <f>IF(ActiveDatabase=Standby,Secondary!J187,Primary!J187)</f>
        <v>0</v>
      </c>
      <c r="K187" s="13">
        <f>IF(ActiveDatabase=Standby,Secondary!K187,Primary!K187)</f>
        <v>0</v>
      </c>
      <c r="L187" s="13">
        <f>IF(ActiveDatabase=Standby,Secondary!L187,Primary!L187)</f>
        <v>0</v>
      </c>
      <c r="M187" s="7">
        <f>IF(ActiveDatabase=Standby,Secondary!M187,Primary!M187)</f>
        <v>0</v>
      </c>
      <c r="N187" s="10">
        <f>IF(ActiveDatabase=Standby,Secondary!N187,Primary!N187)</f>
        <v>0</v>
      </c>
      <c r="O187" s="10">
        <f>IF(ActiveDatabase=Standby,Secondary!O187,Primary!O187)</f>
        <v>0</v>
      </c>
      <c r="P187" s="10">
        <f>IF(ActiveDatabase=Standby,Secondary!P187,Primary!P187)</f>
        <v>0</v>
      </c>
      <c r="Q187" s="6">
        <f>IF(ActiveDatabase=Standby,Secondary!Q187,Primary!Q187)</f>
        <v>0</v>
      </c>
      <c r="R187" s="18">
        <f>IF(ActiveDatabase=Standby,Secondary!R187,Primary!R187)</f>
        <v>0</v>
      </c>
      <c r="S187" s="19">
        <f>IF(ActiveDatabase=Standby,Secondary!S187,Primary!S187)</f>
        <v>0</v>
      </c>
      <c r="T187" s="10">
        <f>IF(ActiveDatabase=Standby,Secondary!T187,Primary!T187)</f>
        <v>0</v>
      </c>
      <c r="U187" s="10">
        <f>IF(ActiveDatabase=Standby,Secondary!U187,Primary!U187)</f>
        <v>0</v>
      </c>
      <c r="V187" s="10">
        <f>IF(ActiveDatabase=Standby,Secondary!V187,Primary!V187)</f>
        <v>0</v>
      </c>
      <c r="W187" s="6">
        <f>IF(ActiveDatabase=Standby,Secondary!W187,Primary!W187)</f>
        <v>0</v>
      </c>
      <c r="X187" s="6">
        <f>IF(ActiveDatabase=Standby,Secondary!X187,Primary!X187)</f>
        <v>0</v>
      </c>
      <c r="Y187" s="12">
        <f>IF(ActiveDatabase=Standby,Secondary!Y187,Primary!Y187)</f>
        <v>0</v>
      </c>
      <c r="Z187" s="12">
        <f>IF(ActiveDatabase=Standby,Secondary!Z187,Primary!Z187)</f>
        <v>0</v>
      </c>
      <c r="AA187" s="7">
        <f>IF(ActiveDatabase=Standby,Secondary!AA187,Primary!AA187)</f>
        <v>0</v>
      </c>
      <c r="AB187" s="12"/>
      <c r="AC187" s="6"/>
      <c r="AD187" s="6"/>
      <c r="AE187" s="7"/>
      <c r="AF187" s="7"/>
      <c r="AG187" s="7"/>
      <c r="AH187" s="7"/>
      <c r="AI187" s="7"/>
      <c r="AJ187" s="7"/>
      <c r="AK187" s="7"/>
      <c r="AL187" s="7"/>
      <c r="AM187" s="7"/>
      <c r="AN187" s="7"/>
      <c r="AO187" s="6"/>
      <c r="AP187" s="7"/>
      <c r="AQ187" s="7"/>
      <c r="AR187" s="6"/>
      <c r="AS187" s="7"/>
      <c r="AT187" s="7"/>
      <c r="AU187" s="7"/>
      <c r="AV187" s="7"/>
      <c r="AW187" s="7"/>
      <c r="AX187" s="7"/>
      <c r="AY187" s="7"/>
      <c r="AZ187" s="7"/>
      <c r="BA187" s="7"/>
      <c r="BB187" s="7"/>
      <c r="BC187" s="7"/>
      <c r="BD187" s="7"/>
      <c r="BE187" s="7"/>
      <c r="BF187" s="7"/>
      <c r="BG187" s="7"/>
    </row>
    <row r="188" customHeight="1" spans="1:59">
      <c r="A188" s="9" t="str">
        <f>IF(ActiveDatabase=Standby,Secondary!A188,Primary!A188)</f>
        <v>Clio 01</v>
      </c>
      <c r="B188" s="5" t="str">
        <f>IF(ActiveDatabase=Standby,Secondary!B188,Primary!B188)</f>
        <v>Clio 01</v>
      </c>
      <c r="C188" s="5" t="str">
        <f>IF(ActiveDatabase=Standby,Secondary!C188,Primary!C188)</f>
        <v>Clio 03</v>
      </c>
      <c r="D188" s="5" t="str">
        <f>IF(ActiveDatabase=Standby,Secondary!D188,Primary!D188)</f>
        <v>Rayari Cantwell Research Outpost (PB)</v>
      </c>
      <c r="E188" s="6" t="str">
        <f>IF(ActiveDatabase=Standby,Secondary!E188,Primary!E188)</f>
        <v>Cantwell</v>
      </c>
      <c r="F188" s="10">
        <f>IF(ActiveDatabase=Standby,Secondary!F188,Primary!F188)</f>
        <v>-217.174844287999</v>
      </c>
      <c r="G188" s="10">
        <f>IF(ActiveDatabase=Standby,Secondary!G188,Primary!G188)</f>
        <v>215.278422408</v>
      </c>
      <c r="H188" s="10">
        <f>IF(ActiveDatabase=Standby,Secondary!H188,Primary!H188)</f>
        <v>142.842297228999</v>
      </c>
      <c r="I188" s="13">
        <f>IF(ActiveDatabase=Standby,Secondary!I188,Primary!I188)</f>
        <v>0</v>
      </c>
      <c r="J188" s="13">
        <f>IF(ActiveDatabase=Standby,Secondary!J188,Primary!J188)</f>
        <v>0</v>
      </c>
      <c r="K188" s="13">
        <f>IF(ActiveDatabase=Standby,Secondary!K188,Primary!K188)</f>
        <v>0</v>
      </c>
      <c r="L188" s="13">
        <f>IF(ActiveDatabase=Standby,Secondary!L188,Primary!L188)</f>
        <v>0</v>
      </c>
      <c r="M188" s="7" t="b">
        <f>IF(ActiveDatabase=Standby,Secondary!M188,Primary!M188)</f>
        <v>1</v>
      </c>
      <c r="N188" s="10">
        <f>IF(ActiveDatabase=Standby,Secondary!N188,Primary!N188)</f>
        <v>0</v>
      </c>
      <c r="O188" s="10">
        <f>IF(ActiveDatabase=Standby,Secondary!O188,Primary!O188)</f>
        <v>0</v>
      </c>
      <c r="P188" s="10">
        <f>IF(ActiveDatabase=Standby,Secondary!P188,Primary!P188)</f>
        <v>0</v>
      </c>
      <c r="Q188" s="6">
        <f>IF(ActiveDatabase=Standby,Secondary!Q188,Primary!Q188)</f>
        <v>0</v>
      </c>
      <c r="R188" s="18">
        <f>IF(ActiveDatabase=Standby,Secondary!R188,Primary!R188)</f>
        <v>0</v>
      </c>
      <c r="S188" s="19">
        <f>IF(ActiveDatabase=Standby,Secondary!S188,Primary!S188)</f>
        <v>0</v>
      </c>
      <c r="T188" s="10">
        <f>IF(ActiveDatabase=Standby,Secondary!T188,Primary!T188)</f>
        <v>0</v>
      </c>
      <c r="U188" s="10">
        <f>IF(ActiveDatabase=Standby,Secondary!U188,Primary!U188)</f>
        <v>0</v>
      </c>
      <c r="V188" s="10">
        <f>IF(ActiveDatabase=Standby,Secondary!V188,Primary!V188)</f>
        <v>0</v>
      </c>
      <c r="W188" s="6">
        <f>IF(ActiveDatabase=Standby,Secondary!W188,Primary!W188)</f>
        <v>0</v>
      </c>
      <c r="X188" s="6">
        <f>IF(ActiveDatabase=Standby,Secondary!X188,Primary!X188)</f>
        <v>0</v>
      </c>
      <c r="Y188" s="12">
        <f>IF(ActiveDatabase=Standby,Secondary!Y188,Primary!Y188)</f>
        <v>0</v>
      </c>
      <c r="Z188" s="12">
        <f>IF(ActiveDatabase=Standby,Secondary!Z188,Primary!Z188)</f>
        <v>0</v>
      </c>
      <c r="AA188" s="7">
        <f>IF(ActiveDatabase=Standby,Secondary!AA188,Primary!AA188)</f>
        <v>0</v>
      </c>
      <c r="AB188" s="12"/>
      <c r="AC188" s="6"/>
      <c r="AD188" s="6"/>
      <c r="AE188" s="7"/>
      <c r="AF188" s="7"/>
      <c r="AG188" s="7"/>
      <c r="AH188" s="7"/>
      <c r="AI188" s="7"/>
      <c r="AJ188" s="7"/>
      <c r="AK188" s="7"/>
      <c r="AL188" s="7"/>
      <c r="AM188" s="7"/>
      <c r="AN188" s="7"/>
      <c r="AO188" s="6"/>
      <c r="AP188" s="7"/>
      <c r="AQ188" s="7"/>
      <c r="AR188" s="6"/>
      <c r="AS188" s="7"/>
      <c r="AT188" s="7"/>
      <c r="AU188" s="7"/>
      <c r="AV188" s="7"/>
      <c r="AW188" s="7"/>
      <c r="AX188" s="7"/>
      <c r="AY188" s="7"/>
      <c r="AZ188" s="7"/>
      <c r="BA188" s="7"/>
      <c r="BB188" s="7"/>
      <c r="BC188" s="7"/>
      <c r="BD188" s="7"/>
      <c r="BE188" s="7"/>
      <c r="BF188" s="7"/>
      <c r="BG188" s="7"/>
    </row>
    <row r="189" customHeight="1" spans="1:59">
      <c r="A189" s="9" t="str">
        <f>IF(ActiveDatabase=Standby,Secondary!A189,Primary!A189)</f>
        <v>Clio 02</v>
      </c>
      <c r="B189" s="5" t="str">
        <f>IF(ActiveDatabase=Standby,Secondary!B189,Primary!B189)</f>
        <v>Clio 02</v>
      </c>
      <c r="C189" s="5" t="str">
        <f>IF(ActiveDatabase=Standby,Secondary!C189,Primary!C189)</f>
        <v>Clio 18</v>
      </c>
      <c r="D189" s="5" t="str">
        <f>IF(ActiveDatabase=Standby,Secondary!D189,Primary!D189)</f>
        <v>Rayari McGrath Research Outpost (PB)</v>
      </c>
      <c r="E189" s="6" t="str">
        <f>IF(ActiveDatabase=Standby,Secondary!E189,Primary!E189)</f>
        <v>McGrath</v>
      </c>
      <c r="F189" s="10">
        <f>IF(ActiveDatabase=Standby,Secondary!F189,Primary!F189)</f>
        <v>-325.904156921999</v>
      </c>
      <c r="G189" s="10">
        <f>IF(ActiveDatabase=Standby,Secondary!G189,Primary!G189)</f>
        <v>-85.7133595519999</v>
      </c>
      <c r="H189" s="10">
        <f>IF(ActiveDatabase=Standby,Secondary!H189,Primary!H189)</f>
        <v>-18.785980507</v>
      </c>
      <c r="I189" s="13">
        <f>IF(ActiveDatabase=Standby,Secondary!I189,Primary!I189)</f>
        <v>0</v>
      </c>
      <c r="J189" s="13">
        <f>IF(ActiveDatabase=Standby,Secondary!J189,Primary!J189)</f>
        <v>0</v>
      </c>
      <c r="K189" s="13">
        <f>IF(ActiveDatabase=Standby,Secondary!K189,Primary!K189)</f>
        <v>0</v>
      </c>
      <c r="L189" s="13">
        <f>IF(ActiveDatabase=Standby,Secondary!L189,Primary!L189)</f>
        <v>0</v>
      </c>
      <c r="M189" s="7" t="b">
        <f>IF(ActiveDatabase=Standby,Secondary!M189,Primary!M189)</f>
        <v>1</v>
      </c>
      <c r="N189" s="10">
        <f>IF(ActiveDatabase=Standby,Secondary!N189,Primary!N189)</f>
        <v>0</v>
      </c>
      <c r="O189" s="10">
        <f>IF(ActiveDatabase=Standby,Secondary!O189,Primary!O189)</f>
        <v>0</v>
      </c>
      <c r="P189" s="10">
        <f>IF(ActiveDatabase=Standby,Secondary!P189,Primary!P189)</f>
        <v>0</v>
      </c>
      <c r="Q189" s="6">
        <f>IF(ActiveDatabase=Standby,Secondary!Q189,Primary!Q189)</f>
        <v>0</v>
      </c>
      <c r="R189" s="18">
        <f>IF(ActiveDatabase=Standby,Secondary!R189,Primary!R189)</f>
        <v>0</v>
      </c>
      <c r="S189" s="19">
        <f>IF(ActiveDatabase=Standby,Secondary!S189,Primary!S189)</f>
        <v>0</v>
      </c>
      <c r="T189" s="10">
        <f>IF(ActiveDatabase=Standby,Secondary!T189,Primary!T189)</f>
        <v>0</v>
      </c>
      <c r="U189" s="10">
        <f>IF(ActiveDatabase=Standby,Secondary!U189,Primary!U189)</f>
        <v>0</v>
      </c>
      <c r="V189" s="10">
        <f>IF(ActiveDatabase=Standby,Secondary!V189,Primary!V189)</f>
        <v>0</v>
      </c>
      <c r="W189" s="6">
        <f>IF(ActiveDatabase=Standby,Secondary!W189,Primary!W189)</f>
        <v>0</v>
      </c>
      <c r="X189" s="6">
        <f>IF(ActiveDatabase=Standby,Secondary!X189,Primary!X189)</f>
        <v>0</v>
      </c>
      <c r="Y189" s="12">
        <f>IF(ActiveDatabase=Standby,Secondary!Y189,Primary!Y189)</f>
        <v>0</v>
      </c>
      <c r="Z189" s="12">
        <f>IF(ActiveDatabase=Standby,Secondary!Z189,Primary!Z189)</f>
        <v>0</v>
      </c>
      <c r="AA189" s="7">
        <f>IF(ActiveDatabase=Standby,Secondary!AA189,Primary!AA189)</f>
        <v>0</v>
      </c>
      <c r="AB189" s="12"/>
      <c r="AC189" s="6"/>
      <c r="AD189" s="6"/>
      <c r="AE189" s="7"/>
      <c r="AF189" s="7"/>
      <c r="AG189" s="7"/>
      <c r="AH189" s="7"/>
      <c r="AI189" s="7"/>
      <c r="AJ189" s="7"/>
      <c r="AK189" s="7"/>
      <c r="AL189" s="7"/>
      <c r="AM189" s="7"/>
      <c r="AN189" s="7"/>
      <c r="AO189" s="6"/>
      <c r="AP189" s="7"/>
      <c r="AQ189" s="7"/>
      <c r="AR189" s="6"/>
      <c r="AS189" s="7"/>
      <c r="AT189" s="7"/>
      <c r="AU189" s="7"/>
      <c r="AV189" s="7"/>
      <c r="AW189" s="7"/>
      <c r="AX189" s="7"/>
      <c r="AY189" s="7"/>
      <c r="AZ189" s="7"/>
      <c r="BA189" s="7"/>
      <c r="BB189" s="7"/>
      <c r="BC189" s="7"/>
      <c r="BD189" s="7"/>
      <c r="BE189" s="7"/>
      <c r="BF189" s="7"/>
      <c r="BG189" s="7"/>
    </row>
    <row r="190" customHeight="1" spans="1:59">
      <c r="A190" s="9" t="str">
        <f>IF(ActiveDatabase=Standby,Secondary!A190,Primary!A190)</f>
        <v>Clio</v>
      </c>
      <c r="B190" s="5" t="str">
        <f>IF(ActiveDatabase=Standby,Secondary!B190,Primary!B190)</f>
        <v>Clio 04</v>
      </c>
      <c r="C190" s="5">
        <f>IF(ActiveDatabase=Standby,Secondary!C190,Primary!C190)</f>
        <v>0</v>
      </c>
      <c r="D190" s="5" t="str">
        <f>IF(ActiveDatabase=Standby,Secondary!D190,Primary!D190)</f>
        <v>Racetracks</v>
      </c>
      <c r="E190" s="6">
        <f>IF(ActiveDatabase=Standby,Secondary!E190,Primary!E190)</f>
        <v>0</v>
      </c>
      <c r="F190" s="10">
        <f>IF(ActiveDatabase=Standby,Secondary!F190,Primary!F190)</f>
        <v>0</v>
      </c>
      <c r="G190" s="10">
        <f>IF(ActiveDatabase=Standby,Secondary!G190,Primary!G190)</f>
        <v>0</v>
      </c>
      <c r="H190" s="10">
        <f>IF(ActiveDatabase=Standby,Secondary!H190,Primary!H190)</f>
        <v>0</v>
      </c>
      <c r="I190" s="13">
        <f>IF(ActiveDatabase=Standby,Secondary!I190,Primary!I190)</f>
        <v>0</v>
      </c>
      <c r="J190" s="13">
        <f>IF(ActiveDatabase=Standby,Secondary!J190,Primary!J190)</f>
        <v>0</v>
      </c>
      <c r="K190" s="13">
        <f>IF(ActiveDatabase=Standby,Secondary!K190,Primary!K190)</f>
        <v>0</v>
      </c>
      <c r="L190" s="13">
        <f>IF(ActiveDatabase=Standby,Secondary!L190,Primary!L190)</f>
        <v>0</v>
      </c>
      <c r="M190" s="7">
        <f>IF(ActiveDatabase=Standby,Secondary!M190,Primary!M190)</f>
        <v>0</v>
      </c>
      <c r="N190" s="10">
        <f>IF(ActiveDatabase=Standby,Secondary!N190,Primary!N190)</f>
        <v>0</v>
      </c>
      <c r="O190" s="10">
        <f>IF(ActiveDatabase=Standby,Secondary!O190,Primary!O190)</f>
        <v>0</v>
      </c>
      <c r="P190" s="10">
        <f>IF(ActiveDatabase=Standby,Secondary!P190,Primary!P190)</f>
        <v>0</v>
      </c>
      <c r="Q190" s="6">
        <f>IF(ActiveDatabase=Standby,Secondary!Q190,Primary!Q190)</f>
        <v>0</v>
      </c>
      <c r="R190" s="18">
        <f>IF(ActiveDatabase=Standby,Secondary!R190,Primary!R190)</f>
        <v>0</v>
      </c>
      <c r="S190" s="19">
        <f>IF(ActiveDatabase=Standby,Secondary!S190,Primary!S190)</f>
        <v>0</v>
      </c>
      <c r="T190" s="10">
        <f>IF(ActiveDatabase=Standby,Secondary!T190,Primary!T190)</f>
        <v>0</v>
      </c>
      <c r="U190" s="10">
        <f>IF(ActiveDatabase=Standby,Secondary!U190,Primary!U190)</f>
        <v>0</v>
      </c>
      <c r="V190" s="10">
        <f>IF(ActiveDatabase=Standby,Secondary!V190,Primary!V190)</f>
        <v>0</v>
      </c>
      <c r="W190" s="6">
        <f>IF(ActiveDatabase=Standby,Secondary!W190,Primary!W190)</f>
        <v>0</v>
      </c>
      <c r="X190" s="6">
        <f>IF(ActiveDatabase=Standby,Secondary!X190,Primary!X190)</f>
        <v>0</v>
      </c>
      <c r="Y190" s="12">
        <f>IF(ActiveDatabase=Standby,Secondary!Y190,Primary!Y190)</f>
        <v>0</v>
      </c>
      <c r="Z190" s="12">
        <f>IF(ActiveDatabase=Standby,Secondary!Z190,Primary!Z190)</f>
        <v>0</v>
      </c>
      <c r="AA190" s="7">
        <f>IF(ActiveDatabase=Standby,Secondary!AA190,Primary!AA190)</f>
        <v>0</v>
      </c>
      <c r="AB190" s="12"/>
      <c r="AC190" s="6"/>
      <c r="AD190" s="6"/>
      <c r="AE190" s="7"/>
      <c r="AF190" s="7"/>
      <c r="AG190" s="7"/>
      <c r="AH190" s="7"/>
      <c r="AI190" s="7"/>
      <c r="AJ190" s="7"/>
      <c r="AK190" s="7"/>
      <c r="AL190" s="7"/>
      <c r="AM190" s="7"/>
      <c r="AN190" s="7"/>
      <c r="AO190" s="6"/>
      <c r="AP190" s="7"/>
      <c r="AQ190" s="7"/>
      <c r="AR190" s="6"/>
      <c r="AS190" s="7"/>
      <c r="AT190" s="7"/>
      <c r="AU190" s="7"/>
      <c r="AV190" s="7"/>
      <c r="AW190" s="7"/>
      <c r="AX190" s="7"/>
      <c r="AY190" s="7"/>
      <c r="AZ190" s="7"/>
      <c r="BA190" s="7"/>
      <c r="BB190" s="7"/>
      <c r="BC190" s="7"/>
      <c r="BD190" s="7"/>
      <c r="BE190" s="7"/>
      <c r="BF190" s="7"/>
      <c r="BG190" s="7"/>
    </row>
    <row r="191" customHeight="1" spans="1:59">
      <c r="A191" s="9" t="str">
        <f>IF(ActiveDatabase=Standby,Secondary!A191,Primary!A191)</f>
        <v>Clio 04</v>
      </c>
      <c r="B191" s="5" t="str">
        <f>IF(ActiveDatabase=Standby,Secondary!B191,Primary!B191)</f>
        <v>Clio 05</v>
      </c>
      <c r="C191" s="5" t="str">
        <f>IF(ActiveDatabase=Standby,Secondary!C191,Primary!C191)</f>
        <v>Clio 19</v>
      </c>
      <c r="D191" s="5" t="str">
        <f>IF(ActiveDatabase=Standby,Secondary!D191,Primary!D191)</f>
        <v>Snake Pit</v>
      </c>
      <c r="E191" s="6" t="str">
        <f>IF(ActiveDatabase=Standby,Secondary!E191,Primary!E191)</f>
        <v>Snake Pit</v>
      </c>
      <c r="F191" s="10">
        <f>IF(ActiveDatabase=Standby,Secondary!F191,Primary!F191)</f>
        <v>-327.835</v>
      </c>
      <c r="G191" s="10">
        <f>IF(ActiveDatabase=Standby,Secondary!G191,Primary!G191)</f>
        <v>-78.8871999999999</v>
      </c>
      <c r="H191" s="10">
        <f>IF(ActiveDatabase=Standby,Secondary!H191,Primary!H191)</f>
        <v>-13.657</v>
      </c>
      <c r="I191" s="13">
        <f>IF(ActiveDatabase=Standby,Secondary!I191,Primary!I191)</f>
        <v>0</v>
      </c>
      <c r="J191" s="13">
        <f>IF(ActiveDatabase=Standby,Secondary!J191,Primary!J191)</f>
        <v>0</v>
      </c>
      <c r="K191" s="13">
        <f>IF(ActiveDatabase=Standby,Secondary!K191,Primary!K191)</f>
        <v>0</v>
      </c>
      <c r="L191" s="13">
        <f>IF(ActiveDatabase=Standby,Secondary!L191,Primary!L191)</f>
        <v>0</v>
      </c>
      <c r="M191" s="7" t="b">
        <f>IF(ActiveDatabase=Standby,Secondary!M191,Primary!M191)</f>
        <v>0</v>
      </c>
      <c r="N191" s="10">
        <f>IF(ActiveDatabase=Standby,Secondary!N191,Primary!N191)</f>
        <v>0</v>
      </c>
      <c r="O191" s="10">
        <f>IF(ActiveDatabase=Standby,Secondary!O191,Primary!O191)</f>
        <v>0</v>
      </c>
      <c r="P191" s="10">
        <f>IF(ActiveDatabase=Standby,Secondary!P191,Primary!P191)</f>
        <v>0</v>
      </c>
      <c r="Q191" s="6">
        <f>IF(ActiveDatabase=Standby,Secondary!Q191,Primary!Q191)</f>
        <v>0</v>
      </c>
      <c r="R191" s="18">
        <f>IF(ActiveDatabase=Standby,Secondary!R191,Primary!R191)</f>
        <v>0</v>
      </c>
      <c r="S191" s="19">
        <f>IF(ActiveDatabase=Standby,Secondary!S191,Primary!S191)</f>
        <v>0</v>
      </c>
      <c r="T191" s="10">
        <f>IF(ActiveDatabase=Standby,Secondary!T191,Primary!T191)</f>
        <v>0</v>
      </c>
      <c r="U191" s="10">
        <f>IF(ActiveDatabase=Standby,Secondary!U191,Primary!U191)</f>
        <v>0</v>
      </c>
      <c r="V191" s="10">
        <f>IF(ActiveDatabase=Standby,Secondary!V191,Primary!V191)</f>
        <v>0</v>
      </c>
      <c r="W191" s="6">
        <f>IF(ActiveDatabase=Standby,Secondary!W191,Primary!W191)</f>
        <v>0</v>
      </c>
      <c r="X191" s="6">
        <f>IF(ActiveDatabase=Standby,Secondary!X191,Primary!X191)</f>
        <v>0</v>
      </c>
      <c r="Y191" s="12">
        <f>IF(ActiveDatabase=Standby,Secondary!Y191,Primary!Y191)</f>
        <v>0</v>
      </c>
      <c r="Z191" s="12">
        <f>IF(ActiveDatabase=Standby,Secondary!Z191,Primary!Z191)</f>
        <v>0</v>
      </c>
      <c r="AA191" s="7">
        <f>IF(ActiveDatabase=Standby,Secondary!AA191,Primary!AA191)</f>
        <v>0</v>
      </c>
      <c r="AB191" s="12"/>
      <c r="AC191" s="6"/>
      <c r="AD191" s="6"/>
      <c r="AE191" s="7"/>
      <c r="AF191" s="7"/>
      <c r="AG191" s="7"/>
      <c r="AH191" s="7"/>
      <c r="AI191" s="7"/>
      <c r="AJ191" s="7"/>
      <c r="AK191" s="7"/>
      <c r="AL191" s="7"/>
      <c r="AM191" s="7"/>
      <c r="AN191" s="7"/>
      <c r="AO191" s="6"/>
      <c r="AP191" s="7"/>
      <c r="AQ191" s="7"/>
      <c r="AR191" s="6"/>
      <c r="AS191" s="7"/>
      <c r="AT191" s="7"/>
      <c r="AU191" s="7"/>
      <c r="AV191" s="7"/>
      <c r="AW191" s="7"/>
      <c r="AX191" s="7"/>
      <c r="AY191" s="7"/>
      <c r="AZ191" s="7"/>
      <c r="BA191" s="7"/>
      <c r="BB191" s="7"/>
      <c r="BC191" s="7"/>
      <c r="BD191" s="7"/>
      <c r="BE191" s="7"/>
      <c r="BF191" s="7"/>
      <c r="BG191" s="7"/>
    </row>
    <row r="192" customHeight="1" spans="1:59">
      <c r="A192" s="9" t="str">
        <f>IF(ActiveDatabase=Standby,Secondary!A192,Primary!A192)</f>
        <v>Clio</v>
      </c>
      <c r="B192" s="5" t="str">
        <f>IF(ActiveDatabase=Standby,Secondary!B192,Primary!B192)</f>
        <v>Clio 07</v>
      </c>
      <c r="C192" s="5">
        <f>IF(ActiveDatabase=Standby,Secondary!C192,Primary!C192)</f>
        <v>0</v>
      </c>
      <c r="D192" s="5" t="str">
        <f>IF(ActiveDatabase=Standby,Secondary!D192,Primary!D192)</f>
        <v>Settlements</v>
      </c>
      <c r="E192" s="6">
        <f>IF(ActiveDatabase=Standby,Secondary!E192,Primary!E192)</f>
        <v>0</v>
      </c>
      <c r="F192" s="10">
        <f>IF(ActiveDatabase=Standby,Secondary!F192,Primary!F192)</f>
        <v>0</v>
      </c>
      <c r="G192" s="10">
        <f>IF(ActiveDatabase=Standby,Secondary!G192,Primary!G192)</f>
        <v>0</v>
      </c>
      <c r="H192" s="10">
        <f>IF(ActiveDatabase=Standby,Secondary!H192,Primary!H192)</f>
        <v>0</v>
      </c>
      <c r="I192" s="13">
        <f>IF(ActiveDatabase=Standby,Secondary!I192,Primary!I192)</f>
        <v>0</v>
      </c>
      <c r="J192" s="13">
        <f>IF(ActiveDatabase=Standby,Secondary!J192,Primary!J192)</f>
        <v>0</v>
      </c>
      <c r="K192" s="13">
        <f>IF(ActiveDatabase=Standby,Secondary!K192,Primary!K192)</f>
        <v>0</v>
      </c>
      <c r="L192" s="13">
        <f>IF(ActiveDatabase=Standby,Secondary!L192,Primary!L192)</f>
        <v>0</v>
      </c>
      <c r="M192" s="7">
        <f>IF(ActiveDatabase=Standby,Secondary!M192,Primary!M192)</f>
        <v>0</v>
      </c>
      <c r="N192" s="10">
        <f>IF(ActiveDatabase=Standby,Secondary!N192,Primary!N192)</f>
        <v>0</v>
      </c>
      <c r="O192" s="10">
        <f>IF(ActiveDatabase=Standby,Secondary!O192,Primary!O192)</f>
        <v>0</v>
      </c>
      <c r="P192" s="10">
        <f>IF(ActiveDatabase=Standby,Secondary!P192,Primary!P192)</f>
        <v>0</v>
      </c>
      <c r="Q192" s="6">
        <f>IF(ActiveDatabase=Standby,Secondary!Q192,Primary!Q192)</f>
        <v>0</v>
      </c>
      <c r="R192" s="18">
        <f>IF(ActiveDatabase=Standby,Secondary!R192,Primary!R192)</f>
        <v>0</v>
      </c>
      <c r="S192" s="19">
        <f>IF(ActiveDatabase=Standby,Secondary!S192,Primary!S192)</f>
        <v>0</v>
      </c>
      <c r="T192" s="10">
        <f>IF(ActiveDatabase=Standby,Secondary!T192,Primary!T192)</f>
        <v>0</v>
      </c>
      <c r="U192" s="10">
        <f>IF(ActiveDatabase=Standby,Secondary!U192,Primary!U192)</f>
        <v>0</v>
      </c>
      <c r="V192" s="10">
        <f>IF(ActiveDatabase=Standby,Secondary!V192,Primary!V192)</f>
        <v>0</v>
      </c>
      <c r="W192" s="6">
        <f>IF(ActiveDatabase=Standby,Secondary!W192,Primary!W192)</f>
        <v>0</v>
      </c>
      <c r="X192" s="6">
        <f>IF(ActiveDatabase=Standby,Secondary!X192,Primary!X192)</f>
        <v>0</v>
      </c>
      <c r="Y192" s="12">
        <f>IF(ActiveDatabase=Standby,Secondary!Y192,Primary!Y192)</f>
        <v>0</v>
      </c>
      <c r="Z192" s="12">
        <f>IF(ActiveDatabase=Standby,Secondary!Z192,Primary!Z192)</f>
        <v>0</v>
      </c>
      <c r="AA192" s="7">
        <f>IF(ActiveDatabase=Standby,Secondary!AA192,Primary!AA192)</f>
        <v>0</v>
      </c>
      <c r="AB192" s="12"/>
      <c r="AC192" s="6"/>
      <c r="AD192" s="6"/>
      <c r="AE192" s="7"/>
      <c r="AF192" s="7"/>
      <c r="AG192" s="7"/>
      <c r="AH192" s="7"/>
      <c r="AI192" s="7"/>
      <c r="AJ192" s="7"/>
      <c r="AK192" s="7"/>
      <c r="AL192" s="7"/>
      <c r="AM192" s="7"/>
      <c r="AN192" s="7"/>
      <c r="AO192" s="6"/>
      <c r="AP192" s="7"/>
      <c r="AQ192" s="7"/>
      <c r="AR192" s="6"/>
      <c r="AS192" s="7"/>
      <c r="AT192" s="7"/>
      <c r="AU192" s="7"/>
      <c r="AV192" s="7"/>
      <c r="AW192" s="7"/>
      <c r="AX192" s="7"/>
      <c r="AY192" s="7"/>
      <c r="AZ192" s="7"/>
      <c r="BA192" s="7"/>
      <c r="BB192" s="7"/>
      <c r="BC192" s="7"/>
      <c r="BD192" s="7"/>
      <c r="BE192" s="7"/>
      <c r="BF192" s="7"/>
      <c r="BG192" s="7"/>
    </row>
    <row r="193" customHeight="1" spans="1:59">
      <c r="A193" s="9" t="str">
        <f>IF(ActiveDatabase=Standby,Secondary!A193,Primary!A193)</f>
        <v>Clio 05</v>
      </c>
      <c r="B193" s="5" t="str">
        <f>IF(ActiveDatabase=Standby,Secondary!B193,Primary!B193)</f>
        <v>Clio 08</v>
      </c>
      <c r="C193" s="5" t="str">
        <f>IF(ActiveDatabase=Standby,Secondary!C193,Primary!C193)</f>
        <v>Clio 04</v>
      </c>
      <c r="D193" s="5" t="str">
        <f>IF(ActiveDatabase=Standby,Secondary!D193,Primary!D193)</f>
        <v>Clio Settlement</v>
      </c>
      <c r="E193" s="6" t="str">
        <f>IF(ActiveDatabase=Standby,Secondary!E193,Primary!E193)</f>
        <v>Settlement 4b</v>
      </c>
      <c r="F193" s="10">
        <f>IF(ActiveDatabase=Standby,Secondary!F193,Primary!F193)</f>
        <v>-213.194362306</v>
      </c>
      <c r="G193" s="10">
        <f>IF(ActiveDatabase=Standby,Secondary!G193,Primary!G193)</f>
        <v>224.238109238</v>
      </c>
      <c r="H193" s="10">
        <f>IF(ActiveDatabase=Standby,Secondary!H193,Primary!H193)</f>
        <v>134.909854727</v>
      </c>
      <c r="I193" s="13">
        <f>IF(ActiveDatabase=Standby,Secondary!I193,Primary!I193)</f>
        <v>0</v>
      </c>
      <c r="J193" s="13">
        <f>IF(ActiveDatabase=Standby,Secondary!J193,Primary!J193)</f>
        <v>0</v>
      </c>
      <c r="K193" s="13">
        <f>IF(ActiveDatabase=Standby,Secondary!K193,Primary!K193)</f>
        <v>0</v>
      </c>
      <c r="L193" s="13">
        <f>IF(ActiveDatabase=Standby,Secondary!L193,Primary!L193)</f>
        <v>0</v>
      </c>
      <c r="M193" s="7" t="b">
        <f>IF(ActiveDatabase=Standby,Secondary!M193,Primary!M193)</f>
        <v>0</v>
      </c>
      <c r="N193" s="10">
        <f>IF(ActiveDatabase=Standby,Secondary!N193,Primary!N193)</f>
        <v>0</v>
      </c>
      <c r="O193" s="10">
        <f>IF(ActiveDatabase=Standby,Secondary!O193,Primary!O193)</f>
        <v>0</v>
      </c>
      <c r="P193" s="10">
        <f>IF(ActiveDatabase=Standby,Secondary!P193,Primary!P193)</f>
        <v>0</v>
      </c>
      <c r="Q193" s="6">
        <f>IF(ActiveDatabase=Standby,Secondary!Q193,Primary!Q193)</f>
        <v>0</v>
      </c>
      <c r="R193" s="18">
        <f>IF(ActiveDatabase=Standby,Secondary!R193,Primary!R193)</f>
        <v>0</v>
      </c>
      <c r="S193" s="19">
        <f>IF(ActiveDatabase=Standby,Secondary!S193,Primary!S193)</f>
        <v>0</v>
      </c>
      <c r="T193" s="10">
        <f>IF(ActiveDatabase=Standby,Secondary!T193,Primary!T193)</f>
        <v>0</v>
      </c>
      <c r="U193" s="10">
        <f>IF(ActiveDatabase=Standby,Secondary!U193,Primary!U193)</f>
        <v>0</v>
      </c>
      <c r="V193" s="10">
        <f>IF(ActiveDatabase=Standby,Secondary!V193,Primary!V193)</f>
        <v>0</v>
      </c>
      <c r="W193" s="6">
        <f>IF(ActiveDatabase=Standby,Secondary!W193,Primary!W193)</f>
        <v>0</v>
      </c>
      <c r="X193" s="6">
        <f>IF(ActiveDatabase=Standby,Secondary!X193,Primary!X193)</f>
        <v>0</v>
      </c>
      <c r="Y193" s="12">
        <f>IF(ActiveDatabase=Standby,Secondary!Y193,Primary!Y193)</f>
        <v>0</v>
      </c>
      <c r="Z193" s="12">
        <f>IF(ActiveDatabase=Standby,Secondary!Z193,Primary!Z193)</f>
        <v>0</v>
      </c>
      <c r="AA193" s="7">
        <f>IF(ActiveDatabase=Standby,Secondary!AA193,Primary!AA193)</f>
        <v>0</v>
      </c>
      <c r="AB193" s="12"/>
      <c r="AC193" s="6"/>
      <c r="AD193" s="6"/>
      <c r="AE193" s="7"/>
      <c r="AF193" s="7"/>
      <c r="AG193" s="7"/>
      <c r="AH193" s="7"/>
      <c r="AI193" s="7"/>
      <c r="AJ193" s="7"/>
      <c r="AK193" s="7"/>
      <c r="AL193" s="7"/>
      <c r="AM193" s="7"/>
      <c r="AN193" s="7"/>
      <c r="AO193" s="6"/>
      <c r="AP193" s="7"/>
      <c r="AQ193" s="7"/>
      <c r="AR193" s="6"/>
      <c r="AS193" s="7"/>
      <c r="AT193" s="7"/>
      <c r="AU193" s="7"/>
      <c r="AV193" s="7"/>
      <c r="AW193" s="7"/>
      <c r="AX193" s="7"/>
      <c r="AY193" s="7"/>
      <c r="AZ193" s="7"/>
      <c r="BA193" s="7"/>
      <c r="BB193" s="7"/>
      <c r="BC193" s="7"/>
      <c r="BD193" s="7"/>
      <c r="BE193" s="7"/>
      <c r="BF193" s="7"/>
      <c r="BG193" s="7"/>
    </row>
    <row r="194" customHeight="1" spans="1:59">
      <c r="A194" s="9" t="str">
        <f>IF(ActiveDatabase=Standby,Secondary!A194,Primary!A194)</f>
        <v>Clio</v>
      </c>
      <c r="B194" s="5" t="str">
        <f>IF(ActiveDatabase=Standby,Secondary!B194,Primary!B194)</f>
        <v>Clio 10</v>
      </c>
      <c r="C194" s="5">
        <f>IF(ActiveDatabase=Standby,Secondary!C194,Primary!C194)</f>
        <v>0</v>
      </c>
      <c r="D194" s="5" t="str">
        <f>IF(ActiveDatabase=Standby,Secondary!D194,Primary!D194)</f>
        <v>Caves</v>
      </c>
      <c r="E194" s="6">
        <f>IF(ActiveDatabase=Standby,Secondary!E194,Primary!E194)</f>
        <v>0</v>
      </c>
      <c r="F194" s="10">
        <f>IF(ActiveDatabase=Standby,Secondary!F194,Primary!F194)</f>
        <v>0</v>
      </c>
      <c r="G194" s="10">
        <f>IF(ActiveDatabase=Standby,Secondary!G194,Primary!G194)</f>
        <v>0</v>
      </c>
      <c r="H194" s="10">
        <f>IF(ActiveDatabase=Standby,Secondary!H194,Primary!H194)</f>
        <v>0</v>
      </c>
      <c r="I194" s="13">
        <f>IF(ActiveDatabase=Standby,Secondary!I194,Primary!I194)</f>
        <v>0</v>
      </c>
      <c r="J194" s="13">
        <f>IF(ActiveDatabase=Standby,Secondary!J194,Primary!J194)</f>
        <v>0</v>
      </c>
      <c r="K194" s="13">
        <f>IF(ActiveDatabase=Standby,Secondary!K194,Primary!K194)</f>
        <v>0</v>
      </c>
      <c r="L194" s="13">
        <f>IF(ActiveDatabase=Standby,Secondary!L194,Primary!L194)</f>
        <v>0</v>
      </c>
      <c r="M194" s="7">
        <f>IF(ActiveDatabase=Standby,Secondary!M194,Primary!M194)</f>
        <v>0</v>
      </c>
      <c r="N194" s="10">
        <f>IF(ActiveDatabase=Standby,Secondary!N194,Primary!N194)</f>
        <v>0</v>
      </c>
      <c r="O194" s="10">
        <f>IF(ActiveDatabase=Standby,Secondary!O194,Primary!O194)</f>
        <v>0</v>
      </c>
      <c r="P194" s="10">
        <f>IF(ActiveDatabase=Standby,Secondary!P194,Primary!P194)</f>
        <v>0</v>
      </c>
      <c r="Q194" s="6">
        <f>IF(ActiveDatabase=Standby,Secondary!Q194,Primary!Q194)</f>
        <v>0</v>
      </c>
      <c r="R194" s="18">
        <f>IF(ActiveDatabase=Standby,Secondary!R194,Primary!R194)</f>
        <v>0</v>
      </c>
      <c r="S194" s="19">
        <f>IF(ActiveDatabase=Standby,Secondary!S194,Primary!S194)</f>
        <v>0</v>
      </c>
      <c r="T194" s="10">
        <f>IF(ActiveDatabase=Standby,Secondary!T194,Primary!T194)</f>
        <v>0</v>
      </c>
      <c r="U194" s="10">
        <f>IF(ActiveDatabase=Standby,Secondary!U194,Primary!U194)</f>
        <v>0</v>
      </c>
      <c r="V194" s="10">
        <f>IF(ActiveDatabase=Standby,Secondary!V194,Primary!V194)</f>
        <v>0</v>
      </c>
      <c r="W194" s="6">
        <f>IF(ActiveDatabase=Standby,Secondary!W194,Primary!W194)</f>
        <v>0</v>
      </c>
      <c r="X194" s="6">
        <f>IF(ActiveDatabase=Standby,Secondary!X194,Primary!X194)</f>
        <v>0</v>
      </c>
      <c r="Y194" s="12">
        <f>IF(ActiveDatabase=Standby,Secondary!Y194,Primary!Y194)</f>
        <v>0</v>
      </c>
      <c r="Z194" s="12">
        <f>IF(ActiveDatabase=Standby,Secondary!Z194,Primary!Z194)</f>
        <v>0</v>
      </c>
      <c r="AA194" s="7">
        <f>IF(ActiveDatabase=Standby,Secondary!AA194,Primary!AA194)</f>
        <v>0</v>
      </c>
      <c r="AB194" s="12"/>
      <c r="AC194" s="6"/>
      <c r="AD194" s="6"/>
      <c r="AE194" s="7"/>
      <c r="AF194" s="7"/>
      <c r="AG194" s="7"/>
      <c r="AH194" s="7"/>
      <c r="AI194" s="7"/>
      <c r="AJ194" s="7"/>
      <c r="AK194" s="7"/>
      <c r="AL194" s="7"/>
      <c r="AM194" s="7"/>
      <c r="AN194" s="7"/>
      <c r="AO194" s="6"/>
      <c r="AP194" s="7"/>
      <c r="AQ194" s="7"/>
      <c r="AR194" s="6"/>
      <c r="AS194" s="7"/>
      <c r="AT194" s="7"/>
      <c r="AU194" s="7"/>
      <c r="AV194" s="7"/>
      <c r="AW194" s="7"/>
      <c r="AX194" s="7"/>
      <c r="AY194" s="7"/>
      <c r="AZ194" s="7"/>
      <c r="BA194" s="7"/>
      <c r="BB194" s="7"/>
      <c r="BC194" s="7"/>
      <c r="BD194" s="7"/>
      <c r="BE194" s="7"/>
      <c r="BF194" s="7"/>
      <c r="BG194" s="7"/>
    </row>
    <row r="195" customHeight="1" spans="1:59">
      <c r="A195" s="9" t="str">
        <f>IF(ActiveDatabase=Standby,Secondary!A195,Primary!A195)</f>
        <v>Clio 08</v>
      </c>
      <c r="B195" s="5" t="str">
        <f>IF(ActiveDatabase=Standby,Secondary!B195,Primary!B195)</f>
        <v>Clio 13</v>
      </c>
      <c r="C195" s="5" t="str">
        <f>IF(ActiveDatabase=Standby,Secondary!C195,Primary!C195)</f>
        <v>Clio 08</v>
      </c>
      <c r="D195" s="5" t="str">
        <f>IF(ActiveDatabase=Standby,Secondary!D195,Primary!D195)</f>
        <v>Rock Cave 46W-546</v>
      </c>
      <c r="E195" s="6" t="str">
        <f>IF(ActiveDatabase=Standby,Secondary!E195,Primary!E195)</f>
        <v>RCave 46W546</v>
      </c>
      <c r="F195" s="10">
        <f>IF(ActiveDatabase=Standby,Secondary!F195,Primary!F195)</f>
        <v>-6.58353413499999</v>
      </c>
      <c r="G195" s="10">
        <f>IF(ActiveDatabase=Standby,Secondary!G195,Primary!G195)</f>
        <v>137.809373117</v>
      </c>
      <c r="H195" s="10">
        <f>IF(ActiveDatabase=Standby,Secondary!H195,Primary!H195)</f>
        <v>308.281085888999</v>
      </c>
      <c r="I195" s="13">
        <f>IF(ActiveDatabase=Standby,Secondary!I195,Primary!I195)</f>
        <v>0</v>
      </c>
      <c r="J195" s="13">
        <f>IF(ActiveDatabase=Standby,Secondary!J195,Primary!J195)</f>
        <v>0</v>
      </c>
      <c r="K195" s="13">
        <f>IF(ActiveDatabase=Standby,Secondary!K195,Primary!K195)</f>
        <v>0</v>
      </c>
      <c r="L195" s="13">
        <f>IF(ActiveDatabase=Standby,Secondary!L195,Primary!L195)</f>
        <v>0</v>
      </c>
      <c r="M195" s="7" t="b">
        <f>IF(ActiveDatabase=Standby,Secondary!M195,Primary!M195)</f>
        <v>0</v>
      </c>
      <c r="N195" s="10">
        <f>IF(ActiveDatabase=Standby,Secondary!N195,Primary!N195)</f>
        <v>0</v>
      </c>
      <c r="O195" s="10">
        <f>IF(ActiveDatabase=Standby,Secondary!O195,Primary!O195)</f>
        <v>0</v>
      </c>
      <c r="P195" s="10">
        <f>IF(ActiveDatabase=Standby,Secondary!P195,Primary!P195)</f>
        <v>0</v>
      </c>
      <c r="Q195" s="6">
        <f>IF(ActiveDatabase=Standby,Secondary!Q195,Primary!Q195)</f>
        <v>0</v>
      </c>
      <c r="R195" s="18">
        <f>IF(ActiveDatabase=Standby,Secondary!R195,Primary!R195)</f>
        <v>0</v>
      </c>
      <c r="S195" s="19">
        <f>IF(ActiveDatabase=Standby,Secondary!S195,Primary!S195)</f>
        <v>0</v>
      </c>
      <c r="T195" s="10">
        <f>IF(ActiveDatabase=Standby,Secondary!T195,Primary!T195)</f>
        <v>0</v>
      </c>
      <c r="U195" s="10">
        <f>IF(ActiveDatabase=Standby,Secondary!U195,Primary!U195)</f>
        <v>0</v>
      </c>
      <c r="V195" s="10">
        <f>IF(ActiveDatabase=Standby,Secondary!V195,Primary!V195)</f>
        <v>0</v>
      </c>
      <c r="W195" s="6">
        <f>IF(ActiveDatabase=Standby,Secondary!W195,Primary!W195)</f>
        <v>0</v>
      </c>
      <c r="X195" s="6">
        <f>IF(ActiveDatabase=Standby,Secondary!X195,Primary!X195)</f>
        <v>0</v>
      </c>
      <c r="Y195" s="12">
        <f>IF(ActiveDatabase=Standby,Secondary!Y195,Primary!Y195)</f>
        <v>0</v>
      </c>
      <c r="Z195" s="12">
        <f>IF(ActiveDatabase=Standby,Secondary!Z195,Primary!Z195)</f>
        <v>0</v>
      </c>
      <c r="AA195" s="7">
        <f>IF(ActiveDatabase=Standby,Secondary!AA195,Primary!AA195)</f>
        <v>0</v>
      </c>
      <c r="AB195" s="12"/>
      <c r="AC195" s="6"/>
      <c r="AD195" s="6"/>
      <c r="AE195" s="7"/>
      <c r="AF195" s="7"/>
      <c r="AG195" s="7"/>
      <c r="AH195" s="7"/>
      <c r="AI195" s="7"/>
      <c r="AJ195" s="7"/>
      <c r="AK195" s="7"/>
      <c r="AL195" s="7"/>
      <c r="AM195" s="7"/>
      <c r="AN195" s="7"/>
      <c r="AO195" s="6"/>
      <c r="AP195" s="7"/>
      <c r="AQ195" s="7"/>
      <c r="AR195" s="6"/>
      <c r="AS195" s="7"/>
      <c r="AT195" s="7"/>
      <c r="AU195" s="7"/>
      <c r="AV195" s="7"/>
      <c r="AW195" s="7"/>
      <c r="AX195" s="7"/>
      <c r="AY195" s="7"/>
      <c r="AZ195" s="7"/>
      <c r="BA195" s="7"/>
      <c r="BB195" s="7"/>
      <c r="BC195" s="7"/>
      <c r="BD195" s="7"/>
      <c r="BE195" s="7"/>
      <c r="BF195" s="7"/>
      <c r="BG195" s="7"/>
    </row>
    <row r="196" customHeight="1" spans="1:59">
      <c r="A196" s="9" t="str">
        <f>IF(ActiveDatabase=Standby,Secondary!A196,Primary!A196)</f>
        <v>Clio 09</v>
      </c>
      <c r="B196" s="5" t="str">
        <f>IF(ActiveDatabase=Standby,Secondary!B196,Primary!B196)</f>
        <v>Clio 14</v>
      </c>
      <c r="C196" s="5" t="str">
        <f>IF(ActiveDatabase=Standby,Secondary!C196,Primary!C196)</f>
        <v>Clio 07</v>
      </c>
      <c r="D196" s="5" t="str">
        <f>IF(ActiveDatabase=Standby,Secondary!D196,Primary!D196)</f>
        <v>Rock Cave 46W-550</v>
      </c>
      <c r="E196" s="6" t="str">
        <f>IF(ActiveDatabase=Standby,Secondary!E196,Primary!E196)</f>
        <v>RCave 46W550</v>
      </c>
      <c r="F196" s="10">
        <f>IF(ActiveDatabase=Standby,Secondary!F196,Primary!F196)</f>
        <v>-11.324353981</v>
      </c>
      <c r="G196" s="10">
        <f>IF(ActiveDatabase=Standby,Secondary!G196,Primary!G196)</f>
        <v>131.045365911</v>
      </c>
      <c r="H196" s="10">
        <f>IF(ActiveDatabase=Standby,Secondary!H196,Primary!H196)</f>
        <v>311.055768554</v>
      </c>
      <c r="I196" s="13">
        <f>IF(ActiveDatabase=Standby,Secondary!I196,Primary!I196)</f>
        <v>0</v>
      </c>
      <c r="J196" s="13">
        <f>IF(ActiveDatabase=Standby,Secondary!J196,Primary!J196)</f>
        <v>0</v>
      </c>
      <c r="K196" s="13">
        <f>IF(ActiveDatabase=Standby,Secondary!K196,Primary!K196)</f>
        <v>0</v>
      </c>
      <c r="L196" s="13">
        <f>IF(ActiveDatabase=Standby,Secondary!L196,Primary!L196)</f>
        <v>0</v>
      </c>
      <c r="M196" s="7" t="b">
        <f>IF(ActiveDatabase=Standby,Secondary!M196,Primary!M196)</f>
        <v>0</v>
      </c>
      <c r="N196" s="10">
        <f>IF(ActiveDatabase=Standby,Secondary!N196,Primary!N196)</f>
        <v>0</v>
      </c>
      <c r="O196" s="10">
        <f>IF(ActiveDatabase=Standby,Secondary!O196,Primary!O196)</f>
        <v>0</v>
      </c>
      <c r="P196" s="10">
        <f>IF(ActiveDatabase=Standby,Secondary!P196,Primary!P196)</f>
        <v>0</v>
      </c>
      <c r="Q196" s="6">
        <f>IF(ActiveDatabase=Standby,Secondary!Q196,Primary!Q196)</f>
        <v>0</v>
      </c>
      <c r="R196" s="18">
        <f>IF(ActiveDatabase=Standby,Secondary!R196,Primary!R196)</f>
        <v>0</v>
      </c>
      <c r="S196" s="19">
        <f>IF(ActiveDatabase=Standby,Secondary!S196,Primary!S196)</f>
        <v>0</v>
      </c>
      <c r="T196" s="10">
        <f>IF(ActiveDatabase=Standby,Secondary!T196,Primary!T196)</f>
        <v>0</v>
      </c>
      <c r="U196" s="10">
        <f>IF(ActiveDatabase=Standby,Secondary!U196,Primary!U196)</f>
        <v>0</v>
      </c>
      <c r="V196" s="10">
        <f>IF(ActiveDatabase=Standby,Secondary!V196,Primary!V196)</f>
        <v>0</v>
      </c>
      <c r="W196" s="6">
        <f>IF(ActiveDatabase=Standby,Secondary!W196,Primary!W196)</f>
        <v>0</v>
      </c>
      <c r="X196" s="6">
        <f>IF(ActiveDatabase=Standby,Secondary!X196,Primary!X196)</f>
        <v>0</v>
      </c>
      <c r="Y196" s="12">
        <f>IF(ActiveDatabase=Standby,Secondary!Y196,Primary!Y196)</f>
        <v>0</v>
      </c>
      <c r="Z196" s="12">
        <f>IF(ActiveDatabase=Standby,Secondary!Z196,Primary!Z196)</f>
        <v>0</v>
      </c>
      <c r="AA196" s="7">
        <f>IF(ActiveDatabase=Standby,Secondary!AA196,Primary!AA196)</f>
        <v>0</v>
      </c>
      <c r="AB196" s="12"/>
      <c r="AC196" s="6"/>
      <c r="AD196" s="6"/>
      <c r="AE196" s="7"/>
      <c r="AF196" s="7"/>
      <c r="AG196" s="7"/>
      <c r="AH196" s="7"/>
      <c r="AI196" s="7"/>
      <c r="AJ196" s="7"/>
      <c r="AK196" s="7"/>
      <c r="AL196" s="7"/>
      <c r="AM196" s="7"/>
      <c r="AN196" s="7"/>
      <c r="AO196" s="6"/>
      <c r="AP196" s="7"/>
      <c r="AQ196" s="7"/>
      <c r="AR196" s="6"/>
      <c r="AS196" s="7"/>
      <c r="AT196" s="7"/>
      <c r="AU196" s="7"/>
      <c r="AV196" s="7"/>
      <c r="AW196" s="7"/>
      <c r="AX196" s="7"/>
      <c r="AY196" s="7"/>
      <c r="AZ196" s="7"/>
      <c r="BA196" s="7"/>
      <c r="BB196" s="7"/>
      <c r="BC196" s="7"/>
      <c r="BD196" s="7"/>
      <c r="BE196" s="7"/>
      <c r="BF196" s="7"/>
      <c r="BG196" s="7"/>
    </row>
    <row r="197" customHeight="1" spans="1:59">
      <c r="A197" s="9" t="str">
        <f>IF(ActiveDatabase=Standby,Secondary!A197,Primary!A197)</f>
        <v>Clio 06</v>
      </c>
      <c r="B197" s="5" t="str">
        <f>IF(ActiveDatabase=Standby,Secondary!B197,Primary!B197)</f>
        <v>Clio 11</v>
      </c>
      <c r="C197" s="5" t="str">
        <f>IF(ActiveDatabase=Standby,Secondary!C197,Primary!C197)</f>
        <v>Clio 12</v>
      </c>
      <c r="D197" s="5" t="str">
        <f>IF(ActiveDatabase=Standby,Secondary!D197,Primary!D197)</f>
        <v>Rock Cave 43W</v>
      </c>
      <c r="E197" s="6" t="str">
        <f>IF(ActiveDatabase=Standby,Secondary!E197,Primary!E197)</f>
        <v>RCave 43W</v>
      </c>
      <c r="F197" s="10">
        <f>IF(ActiveDatabase=Standby,Secondary!F197,Primary!F197)</f>
        <v>26.4030768629999</v>
      </c>
      <c r="G197" s="10">
        <f>IF(ActiveDatabase=Standby,Secondary!G197,Primary!G197)</f>
        <v>105.021741404999</v>
      </c>
      <c r="H197" s="10">
        <f>IF(ActiveDatabase=Standby,Secondary!H197,Primary!H197)</f>
        <v>319.751096617</v>
      </c>
      <c r="I197" s="13">
        <f>IF(ActiveDatabase=Standby,Secondary!I197,Primary!I197)</f>
        <v>0</v>
      </c>
      <c r="J197" s="13">
        <f>IF(ActiveDatabase=Standby,Secondary!J197,Primary!J197)</f>
        <v>0</v>
      </c>
      <c r="K197" s="13">
        <f>IF(ActiveDatabase=Standby,Secondary!K197,Primary!K197)</f>
        <v>0</v>
      </c>
      <c r="L197" s="13">
        <f>IF(ActiveDatabase=Standby,Secondary!L197,Primary!L197)</f>
        <v>0</v>
      </c>
      <c r="M197" s="7" t="b">
        <f>IF(ActiveDatabase=Standby,Secondary!M197,Primary!M197)</f>
        <v>0</v>
      </c>
      <c r="N197" s="10">
        <f>IF(ActiveDatabase=Standby,Secondary!N197,Primary!N197)</f>
        <v>0</v>
      </c>
      <c r="O197" s="10">
        <f>IF(ActiveDatabase=Standby,Secondary!O197,Primary!O197)</f>
        <v>0</v>
      </c>
      <c r="P197" s="10">
        <f>IF(ActiveDatabase=Standby,Secondary!P197,Primary!P197)</f>
        <v>0</v>
      </c>
      <c r="Q197" s="6">
        <f>IF(ActiveDatabase=Standby,Secondary!Q197,Primary!Q197)</f>
        <v>0</v>
      </c>
      <c r="R197" s="18">
        <f>IF(ActiveDatabase=Standby,Secondary!R197,Primary!R197)</f>
        <v>0</v>
      </c>
      <c r="S197" s="19">
        <f>IF(ActiveDatabase=Standby,Secondary!S197,Primary!S197)</f>
        <v>0</v>
      </c>
      <c r="T197" s="10">
        <f>IF(ActiveDatabase=Standby,Secondary!T197,Primary!T197)</f>
        <v>0</v>
      </c>
      <c r="U197" s="10">
        <f>IF(ActiveDatabase=Standby,Secondary!U197,Primary!U197)</f>
        <v>0</v>
      </c>
      <c r="V197" s="10">
        <f>IF(ActiveDatabase=Standby,Secondary!V197,Primary!V197)</f>
        <v>0</v>
      </c>
      <c r="W197" s="6">
        <f>IF(ActiveDatabase=Standby,Secondary!W197,Primary!W197)</f>
        <v>0</v>
      </c>
      <c r="X197" s="6">
        <f>IF(ActiveDatabase=Standby,Secondary!X197,Primary!X197)</f>
        <v>0</v>
      </c>
      <c r="Y197" s="12">
        <f>IF(ActiveDatabase=Standby,Secondary!Y197,Primary!Y197)</f>
        <v>0</v>
      </c>
      <c r="Z197" s="12">
        <f>IF(ActiveDatabase=Standby,Secondary!Z197,Primary!Z197)</f>
        <v>0</v>
      </c>
      <c r="AA197" s="7">
        <f>IF(ActiveDatabase=Standby,Secondary!AA197,Primary!AA197)</f>
        <v>0</v>
      </c>
      <c r="AB197" s="12"/>
      <c r="AC197" s="6"/>
      <c r="AD197" s="6"/>
      <c r="AE197" s="7"/>
      <c r="AF197" s="7"/>
      <c r="AG197" s="7"/>
      <c r="AH197" s="7"/>
      <c r="AI197" s="7"/>
      <c r="AJ197" s="7"/>
      <c r="AK197" s="7"/>
      <c r="AL197" s="7"/>
      <c r="AM197" s="7"/>
      <c r="AN197" s="7"/>
      <c r="AO197" s="6"/>
      <c r="AP197" s="7"/>
      <c r="AQ197" s="7"/>
      <c r="AR197" s="6"/>
      <c r="AS197" s="7"/>
      <c r="AT197" s="7"/>
      <c r="AU197" s="7"/>
      <c r="AV197" s="7"/>
      <c r="AW197" s="7"/>
      <c r="AX197" s="7"/>
      <c r="AY197" s="7"/>
      <c r="AZ197" s="7"/>
      <c r="BA197" s="7"/>
      <c r="BB197" s="7"/>
      <c r="BC197" s="7"/>
      <c r="BD197" s="7"/>
      <c r="BE197" s="7"/>
      <c r="BF197" s="7"/>
      <c r="BG197" s="7"/>
    </row>
    <row r="198" customHeight="1" spans="1:59">
      <c r="A198" s="9" t="str">
        <f>IF(ActiveDatabase=Standby,Secondary!A198,Primary!A198)</f>
        <v>Clio 07</v>
      </c>
      <c r="B198" s="5" t="str">
        <f>IF(ActiveDatabase=Standby,Secondary!B198,Primary!B198)</f>
        <v>Clio 12</v>
      </c>
      <c r="C198" s="5" t="str">
        <f>IF(ActiveDatabase=Standby,Secondary!C198,Primary!C198)</f>
        <v>Clio 11</v>
      </c>
      <c r="D198" s="5" t="str">
        <f>IF(ActiveDatabase=Standby,Secondary!D198,Primary!D198)</f>
        <v>Rock Cave 44X</v>
      </c>
      <c r="E198" s="6" t="str">
        <f>IF(ActiveDatabase=Standby,Secondary!E198,Primary!E198)</f>
        <v>RCave 44X</v>
      </c>
      <c r="F198" s="10">
        <f>IF(ActiveDatabase=Standby,Secondary!F198,Primary!F198)</f>
        <v>12.477181057</v>
      </c>
      <c r="G198" s="10">
        <f>IF(ActiveDatabase=Standby,Secondary!G198,Primary!G198)</f>
        <v>77.049362663</v>
      </c>
      <c r="H198" s="10">
        <f>IF(ActiveDatabase=Standby,Secondary!H198,Primary!H198)</f>
        <v>328.531213000999</v>
      </c>
      <c r="I198" s="13">
        <f>IF(ActiveDatabase=Standby,Secondary!I198,Primary!I198)</f>
        <v>0</v>
      </c>
      <c r="J198" s="13">
        <f>IF(ActiveDatabase=Standby,Secondary!J198,Primary!J198)</f>
        <v>0</v>
      </c>
      <c r="K198" s="13">
        <f>IF(ActiveDatabase=Standby,Secondary!K198,Primary!K198)</f>
        <v>0</v>
      </c>
      <c r="L198" s="13">
        <f>IF(ActiveDatabase=Standby,Secondary!L198,Primary!L198)</f>
        <v>0</v>
      </c>
      <c r="M198" s="7" t="b">
        <f>IF(ActiveDatabase=Standby,Secondary!M198,Primary!M198)</f>
        <v>0</v>
      </c>
      <c r="N198" s="10">
        <f>IF(ActiveDatabase=Standby,Secondary!N198,Primary!N198)</f>
        <v>0</v>
      </c>
      <c r="O198" s="10">
        <f>IF(ActiveDatabase=Standby,Secondary!O198,Primary!O198)</f>
        <v>0</v>
      </c>
      <c r="P198" s="10">
        <f>IF(ActiveDatabase=Standby,Secondary!P198,Primary!P198)</f>
        <v>0</v>
      </c>
      <c r="Q198" s="6">
        <f>IF(ActiveDatabase=Standby,Secondary!Q198,Primary!Q198)</f>
        <v>0</v>
      </c>
      <c r="R198" s="18">
        <f>IF(ActiveDatabase=Standby,Secondary!R198,Primary!R198)</f>
        <v>0</v>
      </c>
      <c r="S198" s="19">
        <f>IF(ActiveDatabase=Standby,Secondary!S198,Primary!S198)</f>
        <v>0</v>
      </c>
      <c r="T198" s="10">
        <f>IF(ActiveDatabase=Standby,Secondary!T198,Primary!T198)</f>
        <v>0</v>
      </c>
      <c r="U198" s="10">
        <f>IF(ActiveDatabase=Standby,Secondary!U198,Primary!U198)</f>
        <v>0</v>
      </c>
      <c r="V198" s="10">
        <f>IF(ActiveDatabase=Standby,Secondary!V198,Primary!V198)</f>
        <v>0</v>
      </c>
      <c r="W198" s="6">
        <f>IF(ActiveDatabase=Standby,Secondary!W198,Primary!W198)</f>
        <v>0</v>
      </c>
      <c r="X198" s="6">
        <f>IF(ActiveDatabase=Standby,Secondary!X198,Primary!X198)</f>
        <v>0</v>
      </c>
      <c r="Y198" s="12">
        <f>IF(ActiveDatabase=Standby,Secondary!Y198,Primary!Y198)</f>
        <v>0</v>
      </c>
      <c r="Z198" s="12">
        <f>IF(ActiveDatabase=Standby,Secondary!Z198,Primary!Z198)</f>
        <v>0</v>
      </c>
      <c r="AA198" s="7">
        <f>IF(ActiveDatabase=Standby,Secondary!AA198,Primary!AA198)</f>
        <v>0</v>
      </c>
      <c r="AB198" s="12"/>
      <c r="AC198" s="6"/>
      <c r="AD198" s="6"/>
      <c r="AE198" s="7"/>
      <c r="AF198" s="7"/>
      <c r="AG198" s="7"/>
      <c r="AH198" s="7"/>
      <c r="AI198" s="7"/>
      <c r="AJ198" s="7"/>
      <c r="AK198" s="7"/>
      <c r="AL198" s="7"/>
      <c r="AM198" s="7"/>
      <c r="AN198" s="7"/>
      <c r="AO198" s="6"/>
      <c r="AP198" s="7"/>
      <c r="AQ198" s="7"/>
      <c r="AR198" s="6"/>
      <c r="AS198" s="7"/>
      <c r="AT198" s="7"/>
      <c r="AU198" s="7"/>
      <c r="AV198" s="7"/>
      <c r="AW198" s="7"/>
      <c r="AX198" s="7"/>
      <c r="AY198" s="7"/>
      <c r="AZ198" s="7"/>
      <c r="BA198" s="7"/>
      <c r="BB198" s="7"/>
      <c r="BC198" s="7"/>
      <c r="BD198" s="7"/>
      <c r="BE198" s="7"/>
      <c r="BF198" s="7"/>
      <c r="BG198" s="7"/>
    </row>
    <row r="199" customHeight="1" spans="1:59">
      <c r="A199" s="9" t="str">
        <f>IF(ActiveDatabase=Standby,Secondary!A199,Primary!A199)</f>
        <v>Clio</v>
      </c>
      <c r="B199" s="5" t="str">
        <f>IF(ActiveDatabase=Standby,Secondary!B199,Primary!B199)</f>
        <v>Clio 16</v>
      </c>
      <c r="C199" s="5">
        <f>IF(ActiveDatabase=Standby,Secondary!C199,Primary!C199)</f>
        <v>0</v>
      </c>
      <c r="D199" s="5" t="str">
        <f>IF(ActiveDatabase=Standby,Secondary!D199,Primary!D199)</f>
        <v>Wrecks</v>
      </c>
      <c r="E199" s="6">
        <f>IF(ActiveDatabase=Standby,Secondary!E199,Primary!E199)</f>
        <v>0</v>
      </c>
      <c r="F199" s="10">
        <f>IF(ActiveDatabase=Standby,Secondary!F199,Primary!F199)</f>
        <v>0</v>
      </c>
      <c r="G199" s="10">
        <f>IF(ActiveDatabase=Standby,Secondary!G199,Primary!G199)</f>
        <v>0</v>
      </c>
      <c r="H199" s="10">
        <f>IF(ActiveDatabase=Standby,Secondary!H199,Primary!H199)</f>
        <v>0</v>
      </c>
      <c r="I199" s="13">
        <f>IF(ActiveDatabase=Standby,Secondary!I199,Primary!I199)</f>
        <v>0</v>
      </c>
      <c r="J199" s="13">
        <f>IF(ActiveDatabase=Standby,Secondary!J199,Primary!J199)</f>
        <v>0</v>
      </c>
      <c r="K199" s="13">
        <f>IF(ActiveDatabase=Standby,Secondary!K199,Primary!K199)</f>
        <v>0</v>
      </c>
      <c r="L199" s="13">
        <f>IF(ActiveDatabase=Standby,Secondary!L199,Primary!L199)</f>
        <v>0</v>
      </c>
      <c r="M199" s="7">
        <f>IF(ActiveDatabase=Standby,Secondary!M199,Primary!M199)</f>
        <v>0</v>
      </c>
      <c r="N199" s="10">
        <f>IF(ActiveDatabase=Standby,Secondary!N199,Primary!N199)</f>
        <v>0</v>
      </c>
      <c r="O199" s="10">
        <f>IF(ActiveDatabase=Standby,Secondary!O199,Primary!O199)</f>
        <v>0</v>
      </c>
      <c r="P199" s="10">
        <f>IF(ActiveDatabase=Standby,Secondary!P199,Primary!P199)</f>
        <v>0</v>
      </c>
      <c r="Q199" s="6">
        <f>IF(ActiveDatabase=Standby,Secondary!Q199,Primary!Q199)</f>
        <v>0</v>
      </c>
      <c r="R199" s="18">
        <f>IF(ActiveDatabase=Standby,Secondary!R199,Primary!R199)</f>
        <v>0</v>
      </c>
      <c r="S199" s="19">
        <f>IF(ActiveDatabase=Standby,Secondary!S199,Primary!S199)</f>
        <v>0</v>
      </c>
      <c r="T199" s="10">
        <f>IF(ActiveDatabase=Standby,Secondary!T199,Primary!T199)</f>
        <v>0</v>
      </c>
      <c r="U199" s="10">
        <f>IF(ActiveDatabase=Standby,Secondary!U199,Primary!U199)</f>
        <v>0</v>
      </c>
      <c r="V199" s="10">
        <f>IF(ActiveDatabase=Standby,Secondary!V199,Primary!V199)</f>
        <v>0</v>
      </c>
      <c r="W199" s="6">
        <f>IF(ActiveDatabase=Standby,Secondary!W199,Primary!W199)</f>
        <v>0</v>
      </c>
      <c r="X199" s="6">
        <f>IF(ActiveDatabase=Standby,Secondary!X199,Primary!X199)</f>
        <v>0</v>
      </c>
      <c r="Y199" s="12">
        <f>IF(ActiveDatabase=Standby,Secondary!Y199,Primary!Y199)</f>
        <v>0</v>
      </c>
      <c r="Z199" s="12">
        <f>IF(ActiveDatabase=Standby,Secondary!Z199,Primary!Z199)</f>
        <v>0</v>
      </c>
      <c r="AA199" s="7">
        <f>IF(ActiveDatabase=Standby,Secondary!AA199,Primary!AA199)</f>
        <v>0</v>
      </c>
      <c r="AB199" s="12"/>
      <c r="AC199" s="6"/>
      <c r="AD199" s="6"/>
      <c r="AE199" s="7"/>
      <c r="AF199" s="7"/>
      <c r="AG199" s="7"/>
      <c r="AH199" s="7"/>
      <c r="AI199" s="7"/>
      <c r="AJ199" s="7"/>
      <c r="AK199" s="7"/>
      <c r="AL199" s="7"/>
      <c r="AM199" s="7"/>
      <c r="AN199" s="7"/>
      <c r="AO199" s="6"/>
      <c r="AP199" s="7"/>
      <c r="AQ199" s="7"/>
      <c r="AR199" s="6"/>
      <c r="AS199" s="7"/>
      <c r="AT199" s="7"/>
      <c r="AU199" s="7"/>
      <c r="AV199" s="7"/>
      <c r="AW199" s="7"/>
      <c r="AX199" s="7"/>
      <c r="AY199" s="7"/>
      <c r="AZ199" s="7"/>
      <c r="BA199" s="7"/>
      <c r="BB199" s="7"/>
      <c r="BC199" s="7"/>
      <c r="BD199" s="7"/>
      <c r="BE199" s="7"/>
      <c r="BF199" s="7"/>
      <c r="BG199" s="7"/>
    </row>
    <row r="200" customHeight="1" spans="1:59">
      <c r="A200" s="9" t="str">
        <f>IF(ActiveDatabase=Standby,Secondary!A200,Primary!A200)</f>
        <v>Clio 11</v>
      </c>
      <c r="B200" s="5" t="str">
        <f>IF(ActiveDatabase=Standby,Secondary!B200,Primary!B200)</f>
        <v>Clio 18</v>
      </c>
      <c r="C200" s="5" t="str">
        <f>IF(ActiveDatabase=Standby,Secondary!C200,Primary!C200)</f>
        <v>Clio 02</v>
      </c>
      <c r="D200" s="5" t="str">
        <f>IF(ActiveDatabase=Standby,Secondary!D200,Primary!D200)</f>
        <v>Caterpillar Wreck 53Q</v>
      </c>
      <c r="E200" s="6" t="str">
        <f>IF(ActiveDatabase=Standby,Secondary!E200,Primary!E200)</f>
        <v>Caterpillar 53Q</v>
      </c>
      <c r="F200" s="10">
        <f>IF(ActiveDatabase=Standby,Secondary!F200,Primary!F200)</f>
        <v>-235.054101494</v>
      </c>
      <c r="G200" s="10">
        <f>IF(ActiveDatabase=Standby,Secondary!G200,Primary!G200)</f>
        <v>222.12720871</v>
      </c>
      <c r="H200" s="10">
        <f>IF(ActiveDatabase=Standby,Secondary!H200,Primary!H200)</f>
        <v>97.406744592</v>
      </c>
      <c r="I200" s="13">
        <f>IF(ActiveDatabase=Standby,Secondary!I200,Primary!I200)</f>
        <v>0</v>
      </c>
      <c r="J200" s="13">
        <f>IF(ActiveDatabase=Standby,Secondary!J200,Primary!J200)</f>
        <v>0</v>
      </c>
      <c r="K200" s="13">
        <f>IF(ActiveDatabase=Standby,Secondary!K200,Primary!K200)</f>
        <v>0</v>
      </c>
      <c r="L200" s="13">
        <f>IF(ActiveDatabase=Standby,Secondary!L200,Primary!L200)</f>
        <v>0</v>
      </c>
      <c r="M200" s="7" t="b">
        <f>IF(ActiveDatabase=Standby,Secondary!M200,Primary!M200)</f>
        <v>0</v>
      </c>
      <c r="N200" s="10">
        <f>IF(ActiveDatabase=Standby,Secondary!N200,Primary!N200)</f>
        <v>0</v>
      </c>
      <c r="O200" s="10">
        <f>IF(ActiveDatabase=Standby,Secondary!O200,Primary!O200)</f>
        <v>0</v>
      </c>
      <c r="P200" s="10">
        <f>IF(ActiveDatabase=Standby,Secondary!P200,Primary!P200)</f>
        <v>0</v>
      </c>
      <c r="Q200" s="6">
        <f>IF(ActiveDatabase=Standby,Secondary!Q200,Primary!Q200)</f>
        <v>0</v>
      </c>
      <c r="R200" s="18">
        <f>IF(ActiveDatabase=Standby,Secondary!R200,Primary!R200)</f>
        <v>0</v>
      </c>
      <c r="S200" s="19">
        <f>IF(ActiveDatabase=Standby,Secondary!S200,Primary!S200)</f>
        <v>0</v>
      </c>
      <c r="T200" s="10">
        <f>IF(ActiveDatabase=Standby,Secondary!T200,Primary!T200)</f>
        <v>0</v>
      </c>
      <c r="U200" s="10">
        <f>IF(ActiveDatabase=Standby,Secondary!U200,Primary!U200)</f>
        <v>0</v>
      </c>
      <c r="V200" s="10">
        <f>IF(ActiveDatabase=Standby,Secondary!V200,Primary!V200)</f>
        <v>0</v>
      </c>
      <c r="W200" s="6">
        <f>IF(ActiveDatabase=Standby,Secondary!W200,Primary!W200)</f>
        <v>0</v>
      </c>
      <c r="X200" s="6">
        <f>IF(ActiveDatabase=Standby,Secondary!X200,Primary!X200)</f>
        <v>0</v>
      </c>
      <c r="Y200" s="12">
        <f>IF(ActiveDatabase=Standby,Secondary!Y200,Primary!Y200)</f>
        <v>0</v>
      </c>
      <c r="Z200" s="12">
        <f>IF(ActiveDatabase=Standby,Secondary!Z200,Primary!Z200)</f>
        <v>0</v>
      </c>
      <c r="AA200" s="7">
        <f>IF(ActiveDatabase=Standby,Secondary!AA200,Primary!AA200)</f>
        <v>0</v>
      </c>
      <c r="AB200" s="12"/>
      <c r="AC200" s="6"/>
      <c r="AD200" s="6"/>
      <c r="AE200" s="7"/>
      <c r="AF200" s="7"/>
      <c r="AG200" s="7"/>
      <c r="AH200" s="7"/>
      <c r="AI200" s="7"/>
      <c r="AJ200" s="7"/>
      <c r="AK200" s="7"/>
      <c r="AL200" s="7"/>
      <c r="AM200" s="7"/>
      <c r="AN200" s="7"/>
      <c r="AO200" s="6"/>
      <c r="AP200" s="7"/>
      <c r="AQ200" s="7"/>
      <c r="AR200" s="6"/>
      <c r="AS200" s="7"/>
      <c r="AT200" s="7"/>
      <c r="AU200" s="7"/>
      <c r="AV200" s="7"/>
      <c r="AW200" s="7"/>
      <c r="AX200" s="7"/>
      <c r="AY200" s="7"/>
      <c r="AZ200" s="7"/>
      <c r="BA200" s="7"/>
      <c r="BB200" s="7"/>
      <c r="BC200" s="7"/>
      <c r="BD200" s="7"/>
      <c r="BE200" s="7"/>
      <c r="BF200" s="7"/>
      <c r="BG200" s="7"/>
    </row>
    <row r="201" customHeight="1" spans="1:59">
      <c r="A201" s="9" t="str">
        <f>IF(ActiveDatabase=Standby,Secondary!A201,Primary!A201)</f>
        <v>Clio 10</v>
      </c>
      <c r="B201" s="5" t="str">
        <f>IF(ActiveDatabase=Standby,Secondary!B201,Primary!B201)</f>
        <v>Clio 17</v>
      </c>
      <c r="C201" s="5" t="str">
        <f>IF(ActiveDatabase=Standby,Secondary!C201,Primary!C201)</f>
        <v>Clio 15</v>
      </c>
      <c r="D201" s="5" t="str">
        <f>IF(ActiveDatabase=Standby,Secondary!D201,Primary!D201)</f>
        <v>Caterpillar Wreck 36Q</v>
      </c>
      <c r="E201" s="6" t="str">
        <f>IF(ActiveDatabase=Standby,Secondary!E201,Primary!E201)</f>
        <v>Caterpillar 36Q</v>
      </c>
      <c r="F201" s="10">
        <f>IF(ActiveDatabase=Standby,Secondary!F201,Primary!F201)</f>
        <v>253.20056266</v>
      </c>
      <c r="G201" s="10">
        <f>IF(ActiveDatabase=Standby,Secondary!G201,Primary!G201)</f>
        <v>178.404406362</v>
      </c>
      <c r="H201" s="10">
        <f>IF(ActiveDatabase=Standby,Secondary!H201,Primary!H201)</f>
        <v>134.71351571</v>
      </c>
      <c r="I201" s="13">
        <f>IF(ActiveDatabase=Standby,Secondary!I201,Primary!I201)</f>
        <v>0</v>
      </c>
      <c r="J201" s="13">
        <f>IF(ActiveDatabase=Standby,Secondary!J201,Primary!J201)</f>
        <v>0</v>
      </c>
      <c r="K201" s="13">
        <f>IF(ActiveDatabase=Standby,Secondary!K201,Primary!K201)</f>
        <v>0</v>
      </c>
      <c r="L201" s="13">
        <f>IF(ActiveDatabase=Standby,Secondary!L201,Primary!L201)</f>
        <v>0</v>
      </c>
      <c r="M201" s="7" t="b">
        <f>IF(ActiveDatabase=Standby,Secondary!M201,Primary!M201)</f>
        <v>0</v>
      </c>
      <c r="N201" s="10">
        <f>IF(ActiveDatabase=Standby,Secondary!N201,Primary!N201)</f>
        <v>0</v>
      </c>
      <c r="O201" s="10">
        <f>IF(ActiveDatabase=Standby,Secondary!O201,Primary!O201)</f>
        <v>0</v>
      </c>
      <c r="P201" s="10">
        <f>IF(ActiveDatabase=Standby,Secondary!P201,Primary!P201)</f>
        <v>0</v>
      </c>
      <c r="Q201" s="6">
        <f>IF(ActiveDatabase=Standby,Secondary!Q201,Primary!Q201)</f>
        <v>0</v>
      </c>
      <c r="R201" s="18">
        <f>IF(ActiveDatabase=Standby,Secondary!R201,Primary!R201)</f>
        <v>0</v>
      </c>
      <c r="S201" s="19">
        <f>IF(ActiveDatabase=Standby,Secondary!S201,Primary!S201)</f>
        <v>0</v>
      </c>
      <c r="T201" s="10">
        <f>IF(ActiveDatabase=Standby,Secondary!T201,Primary!T201)</f>
        <v>0</v>
      </c>
      <c r="U201" s="10">
        <f>IF(ActiveDatabase=Standby,Secondary!U201,Primary!U201)</f>
        <v>0</v>
      </c>
      <c r="V201" s="10">
        <f>IF(ActiveDatabase=Standby,Secondary!V201,Primary!V201)</f>
        <v>0</v>
      </c>
      <c r="W201" s="6">
        <f>IF(ActiveDatabase=Standby,Secondary!W201,Primary!W201)</f>
        <v>0</v>
      </c>
      <c r="X201" s="6">
        <f>IF(ActiveDatabase=Standby,Secondary!X201,Primary!X201)</f>
        <v>0</v>
      </c>
      <c r="Y201" s="12">
        <f>IF(ActiveDatabase=Standby,Secondary!Y201,Primary!Y201)</f>
        <v>0</v>
      </c>
      <c r="Z201" s="12">
        <f>IF(ActiveDatabase=Standby,Secondary!Z201,Primary!Z201)</f>
        <v>0</v>
      </c>
      <c r="AA201" s="7">
        <f>IF(ActiveDatabase=Standby,Secondary!AA201,Primary!AA201)</f>
        <v>0</v>
      </c>
      <c r="AB201" s="12"/>
      <c r="AC201" s="6"/>
      <c r="AD201" s="6"/>
      <c r="AE201" s="7"/>
      <c r="AF201" s="7"/>
      <c r="AG201" s="7"/>
      <c r="AH201" s="7"/>
      <c r="AI201" s="7"/>
      <c r="AJ201" s="7"/>
      <c r="AK201" s="7"/>
      <c r="AL201" s="7"/>
      <c r="AM201" s="7"/>
      <c r="AN201" s="7"/>
      <c r="AO201" s="6"/>
      <c r="AP201" s="7"/>
      <c r="AQ201" s="7"/>
      <c r="AR201" s="6"/>
      <c r="AS201" s="7"/>
      <c r="AT201" s="7"/>
      <c r="AU201" s="7"/>
      <c r="AV201" s="7"/>
      <c r="AW201" s="7"/>
      <c r="AX201" s="7"/>
      <c r="AY201" s="7"/>
      <c r="AZ201" s="7"/>
      <c r="BA201" s="7"/>
      <c r="BB201" s="7"/>
      <c r="BC201" s="7"/>
      <c r="BD201" s="7"/>
      <c r="BE201" s="7"/>
      <c r="BF201" s="7"/>
      <c r="BG201" s="7"/>
    </row>
    <row r="202" customHeight="1" spans="1:59">
      <c r="A202" s="9" t="str">
        <f>IF(ActiveDatabase=Standby,Secondary!A202,Primary!A202)</f>
        <v>Clio 12</v>
      </c>
      <c r="B202" s="5" t="str">
        <f>IF(ActiveDatabase=Standby,Secondary!B202,Primary!B202)</f>
        <v>Clio 19</v>
      </c>
      <c r="C202" s="5" t="str">
        <f>IF(ActiveDatabase=Standby,Secondary!C202,Primary!C202)</f>
        <v>Clio 01</v>
      </c>
      <c r="D202" s="5" t="str">
        <f>IF(ActiveDatabase=Standby,Secondary!D202,Primary!D202)</f>
        <v>Caterpillar Wreck 55V</v>
      </c>
      <c r="E202" s="6" t="str">
        <f>IF(ActiveDatabase=Standby,Secondary!E202,Primary!E202)</f>
        <v>Caterpillar 55V</v>
      </c>
      <c r="F202" s="10">
        <f>IF(ActiveDatabase=Standby,Secondary!F202,Primary!F202)</f>
        <v>-142.973418852</v>
      </c>
      <c r="G202" s="10">
        <f>IF(ActiveDatabase=Standby,Secondary!G202,Primary!G202)</f>
        <v>98.2859822969998</v>
      </c>
      <c r="H202" s="10">
        <f>IF(ActiveDatabase=Standby,Secondary!H202,Primary!H202)</f>
        <v>289.667368875999</v>
      </c>
      <c r="I202" s="13">
        <f>IF(ActiveDatabase=Standby,Secondary!I202,Primary!I202)</f>
        <v>0</v>
      </c>
      <c r="J202" s="13">
        <f>IF(ActiveDatabase=Standby,Secondary!J202,Primary!J202)</f>
        <v>0</v>
      </c>
      <c r="K202" s="13">
        <f>IF(ActiveDatabase=Standby,Secondary!K202,Primary!K202)</f>
        <v>0</v>
      </c>
      <c r="L202" s="13">
        <f>IF(ActiveDatabase=Standby,Secondary!L202,Primary!L202)</f>
        <v>0</v>
      </c>
      <c r="M202" s="7" t="b">
        <f>IF(ActiveDatabase=Standby,Secondary!M202,Primary!M202)</f>
        <v>0</v>
      </c>
      <c r="N202" s="10">
        <f>IF(ActiveDatabase=Standby,Secondary!N202,Primary!N202)</f>
        <v>0</v>
      </c>
      <c r="O202" s="10">
        <f>IF(ActiveDatabase=Standby,Secondary!O202,Primary!O202)</f>
        <v>0</v>
      </c>
      <c r="P202" s="10">
        <f>IF(ActiveDatabase=Standby,Secondary!P202,Primary!P202)</f>
        <v>0</v>
      </c>
      <c r="Q202" s="6">
        <f>IF(ActiveDatabase=Standby,Secondary!Q202,Primary!Q202)</f>
        <v>0</v>
      </c>
      <c r="R202" s="18">
        <f>IF(ActiveDatabase=Standby,Secondary!R202,Primary!R202)</f>
        <v>0</v>
      </c>
      <c r="S202" s="19">
        <f>IF(ActiveDatabase=Standby,Secondary!S202,Primary!S202)</f>
        <v>0</v>
      </c>
      <c r="T202" s="10">
        <f>IF(ActiveDatabase=Standby,Secondary!T202,Primary!T202)</f>
        <v>0</v>
      </c>
      <c r="U202" s="10">
        <f>IF(ActiveDatabase=Standby,Secondary!U202,Primary!U202)</f>
        <v>0</v>
      </c>
      <c r="V202" s="10">
        <f>IF(ActiveDatabase=Standby,Secondary!V202,Primary!V202)</f>
        <v>0</v>
      </c>
      <c r="W202" s="6">
        <f>IF(ActiveDatabase=Standby,Secondary!W202,Primary!W202)</f>
        <v>0</v>
      </c>
      <c r="X202" s="6">
        <f>IF(ActiveDatabase=Standby,Secondary!X202,Primary!X202)</f>
        <v>0</v>
      </c>
      <c r="Y202" s="12">
        <f>IF(ActiveDatabase=Standby,Secondary!Y202,Primary!Y202)</f>
        <v>0</v>
      </c>
      <c r="Z202" s="12">
        <f>IF(ActiveDatabase=Standby,Secondary!Z202,Primary!Z202)</f>
        <v>0</v>
      </c>
      <c r="AA202" s="7">
        <f>IF(ActiveDatabase=Standby,Secondary!AA202,Primary!AA202)</f>
        <v>0</v>
      </c>
      <c r="AB202" s="12"/>
      <c r="AC202" s="6"/>
      <c r="AD202" s="6"/>
      <c r="AE202" s="7"/>
      <c r="AF202" s="7"/>
      <c r="AG202" s="7"/>
      <c r="AH202" s="7"/>
      <c r="AI202" s="7"/>
      <c r="AJ202" s="7"/>
      <c r="AK202" s="7"/>
      <c r="AL202" s="7"/>
      <c r="AM202" s="7"/>
      <c r="AN202" s="7"/>
      <c r="AO202" s="6"/>
      <c r="AP202" s="7"/>
      <c r="AQ202" s="7"/>
      <c r="AR202" s="6"/>
      <c r="AS202" s="7"/>
      <c r="AT202" s="7"/>
      <c r="AU202" s="7"/>
      <c r="AV202" s="7"/>
      <c r="AW202" s="7"/>
      <c r="AX202" s="7"/>
      <c r="AY202" s="7"/>
      <c r="AZ202" s="7"/>
      <c r="BA202" s="7"/>
      <c r="BB202" s="7"/>
      <c r="BC202" s="7"/>
      <c r="BD202" s="7"/>
      <c r="BE202" s="7"/>
      <c r="BF202" s="7"/>
      <c r="BG202" s="7"/>
    </row>
    <row r="203" customHeight="1" spans="1:59">
      <c r="A203" s="9" t="str">
        <f>IF(ActiveDatabase=Standby,Secondary!A203,Primary!A203)</f>
        <v>Clio 13</v>
      </c>
      <c r="B203" s="5" t="str">
        <f>IF(ActiveDatabase=Standby,Secondary!B203,Primary!B203)</f>
        <v>Clio 20</v>
      </c>
      <c r="C203" s="5" t="str">
        <f>IF(ActiveDatabase=Standby,Secondary!C203,Primary!C203)</f>
        <v>Clio 14</v>
      </c>
      <c r="D203" s="5" t="str">
        <f>IF(ActiveDatabase=Standby,Secondary!D203,Primary!D203)</f>
        <v>Constellation Wreck</v>
      </c>
      <c r="E203" s="6" t="str">
        <f>IF(ActiveDatabase=Standby,Secondary!E203,Primary!E203)</f>
        <v>Constellation</v>
      </c>
      <c r="F203" s="10">
        <f>IF(ActiveDatabase=Standby,Secondary!F203,Primary!F203)</f>
        <v>237.914797603999</v>
      </c>
      <c r="G203" s="10">
        <f>IF(ActiveDatabase=Standby,Secondary!G203,Primary!G203)</f>
        <v>197.091654172999</v>
      </c>
      <c r="H203" s="10">
        <f>IF(ActiveDatabase=Standby,Secondary!H203,Primary!H203)</f>
        <v>136.425946877999</v>
      </c>
      <c r="I203" s="13">
        <f>IF(ActiveDatabase=Standby,Secondary!I203,Primary!I203)</f>
        <v>0</v>
      </c>
      <c r="J203" s="13">
        <f>IF(ActiveDatabase=Standby,Secondary!J203,Primary!J203)</f>
        <v>0</v>
      </c>
      <c r="K203" s="13">
        <f>IF(ActiveDatabase=Standby,Secondary!K203,Primary!K203)</f>
        <v>0</v>
      </c>
      <c r="L203" s="13">
        <f>IF(ActiveDatabase=Standby,Secondary!L203,Primary!L203)</f>
        <v>0</v>
      </c>
      <c r="M203" s="7" t="b">
        <f>IF(ActiveDatabase=Standby,Secondary!M203,Primary!M203)</f>
        <v>0</v>
      </c>
      <c r="N203" s="10">
        <f>IF(ActiveDatabase=Standby,Secondary!N203,Primary!N203)</f>
        <v>0</v>
      </c>
      <c r="O203" s="10">
        <f>IF(ActiveDatabase=Standby,Secondary!O203,Primary!O203)</f>
        <v>0</v>
      </c>
      <c r="P203" s="10">
        <f>IF(ActiveDatabase=Standby,Secondary!P203,Primary!P203)</f>
        <v>0</v>
      </c>
      <c r="Q203" s="6">
        <f>IF(ActiveDatabase=Standby,Secondary!Q203,Primary!Q203)</f>
        <v>0</v>
      </c>
      <c r="R203" s="18">
        <f>IF(ActiveDatabase=Standby,Secondary!R203,Primary!R203)</f>
        <v>0</v>
      </c>
      <c r="S203" s="19">
        <f>IF(ActiveDatabase=Standby,Secondary!S203,Primary!S203)</f>
        <v>0</v>
      </c>
      <c r="T203" s="10">
        <f>IF(ActiveDatabase=Standby,Secondary!T203,Primary!T203)</f>
        <v>0</v>
      </c>
      <c r="U203" s="10">
        <f>IF(ActiveDatabase=Standby,Secondary!U203,Primary!U203)</f>
        <v>0</v>
      </c>
      <c r="V203" s="10">
        <f>IF(ActiveDatabase=Standby,Secondary!V203,Primary!V203)</f>
        <v>0</v>
      </c>
      <c r="W203" s="6">
        <f>IF(ActiveDatabase=Standby,Secondary!W203,Primary!W203)</f>
        <v>0</v>
      </c>
      <c r="X203" s="6">
        <f>IF(ActiveDatabase=Standby,Secondary!X203,Primary!X203)</f>
        <v>0</v>
      </c>
      <c r="Y203" s="12">
        <f>IF(ActiveDatabase=Standby,Secondary!Y203,Primary!Y203)</f>
        <v>0</v>
      </c>
      <c r="Z203" s="12">
        <f>IF(ActiveDatabase=Standby,Secondary!Z203,Primary!Z203)</f>
        <v>0</v>
      </c>
      <c r="AA203" s="7">
        <f>IF(ActiveDatabase=Standby,Secondary!AA203,Primary!AA203)</f>
        <v>0</v>
      </c>
      <c r="AB203" s="12"/>
      <c r="AC203" s="6"/>
      <c r="AD203" s="6"/>
      <c r="AE203" s="7"/>
      <c r="AF203" s="7"/>
      <c r="AG203" s="7"/>
      <c r="AH203" s="7"/>
      <c r="AI203" s="7"/>
      <c r="AJ203" s="7"/>
      <c r="AK203" s="7"/>
      <c r="AL203" s="7"/>
      <c r="AM203" s="7"/>
      <c r="AN203" s="7"/>
      <c r="AO203" s="6"/>
      <c r="AP203" s="7"/>
      <c r="AQ203" s="7"/>
      <c r="AR203" s="6"/>
      <c r="AS203" s="7"/>
      <c r="AT203" s="7"/>
      <c r="AU203" s="7"/>
      <c r="AV203" s="7"/>
      <c r="AW203" s="7"/>
      <c r="AX203" s="7"/>
      <c r="AY203" s="7"/>
      <c r="AZ203" s="7"/>
      <c r="BA203" s="7"/>
      <c r="BB203" s="7"/>
      <c r="BC203" s="7"/>
      <c r="BD203" s="7"/>
      <c r="BE203" s="7"/>
      <c r="BF203" s="7"/>
      <c r="BG203" s="7"/>
    </row>
    <row r="204" customHeight="1" spans="1:59">
      <c r="A204" s="9" t="str">
        <f>IF(ActiveDatabase=Standby,Secondary!A204,Primary!A204)</f>
        <v>Clio 16</v>
      </c>
      <c r="B204" s="5" t="str">
        <f>IF(ActiveDatabase=Standby,Secondary!B204,Primary!B204)</f>
        <v>Clio 23</v>
      </c>
      <c r="C204" s="5" t="str">
        <f>IF(ActiveDatabase=Standby,Secondary!C204,Primary!C204)</f>
        <v>Clio 05</v>
      </c>
      <c r="D204" s="5" t="str">
        <f>IF(ActiveDatabase=Standby,Secondary!D204,Primary!D204)</f>
        <v>Starfarer Wreck 50S</v>
      </c>
      <c r="E204" s="6" t="str">
        <f>IF(ActiveDatabase=Standby,Secondary!E204,Primary!E204)</f>
        <v>Starfarer 50S</v>
      </c>
      <c r="F204" s="10">
        <f>IF(ActiveDatabase=Standby,Secondary!F204,Primary!F204)</f>
        <v>-125.553805875</v>
      </c>
      <c r="G204" s="10">
        <f>IF(ActiveDatabase=Standby,Secondary!G204,Primary!G204)</f>
        <v>242.327564791999</v>
      </c>
      <c r="H204" s="10">
        <f>IF(ActiveDatabase=Standby,Secondary!H204,Primary!H204)</f>
        <v>198.087908123</v>
      </c>
      <c r="I204" s="13">
        <f>IF(ActiveDatabase=Standby,Secondary!I204,Primary!I204)</f>
        <v>0</v>
      </c>
      <c r="J204" s="13">
        <f>IF(ActiveDatabase=Standby,Secondary!J204,Primary!J204)</f>
        <v>0</v>
      </c>
      <c r="K204" s="13">
        <f>IF(ActiveDatabase=Standby,Secondary!K204,Primary!K204)</f>
        <v>0</v>
      </c>
      <c r="L204" s="13">
        <f>IF(ActiveDatabase=Standby,Secondary!L204,Primary!L204)</f>
        <v>0</v>
      </c>
      <c r="M204" s="7" t="b">
        <f>IF(ActiveDatabase=Standby,Secondary!M204,Primary!M204)</f>
        <v>0</v>
      </c>
      <c r="N204" s="10">
        <f>IF(ActiveDatabase=Standby,Secondary!N204,Primary!N204)</f>
        <v>0</v>
      </c>
      <c r="O204" s="10">
        <f>IF(ActiveDatabase=Standby,Secondary!O204,Primary!O204)</f>
        <v>0</v>
      </c>
      <c r="P204" s="10">
        <f>IF(ActiveDatabase=Standby,Secondary!P204,Primary!P204)</f>
        <v>0</v>
      </c>
      <c r="Q204" s="6">
        <f>IF(ActiveDatabase=Standby,Secondary!Q204,Primary!Q204)</f>
        <v>0</v>
      </c>
      <c r="R204" s="18">
        <f>IF(ActiveDatabase=Standby,Secondary!R204,Primary!R204)</f>
        <v>0</v>
      </c>
      <c r="S204" s="19">
        <f>IF(ActiveDatabase=Standby,Secondary!S204,Primary!S204)</f>
        <v>0</v>
      </c>
      <c r="T204" s="10">
        <f>IF(ActiveDatabase=Standby,Secondary!T204,Primary!T204)</f>
        <v>0</v>
      </c>
      <c r="U204" s="10">
        <f>IF(ActiveDatabase=Standby,Secondary!U204,Primary!U204)</f>
        <v>0</v>
      </c>
      <c r="V204" s="10">
        <f>IF(ActiveDatabase=Standby,Secondary!V204,Primary!V204)</f>
        <v>0</v>
      </c>
      <c r="W204" s="6">
        <f>IF(ActiveDatabase=Standby,Secondary!W204,Primary!W204)</f>
        <v>0</v>
      </c>
      <c r="X204" s="6">
        <f>IF(ActiveDatabase=Standby,Secondary!X204,Primary!X204)</f>
        <v>0</v>
      </c>
      <c r="Y204" s="12">
        <f>IF(ActiveDatabase=Standby,Secondary!Y204,Primary!Y204)</f>
        <v>0</v>
      </c>
      <c r="Z204" s="12">
        <f>IF(ActiveDatabase=Standby,Secondary!Z204,Primary!Z204)</f>
        <v>0</v>
      </c>
      <c r="AA204" s="7">
        <f>IF(ActiveDatabase=Standby,Secondary!AA204,Primary!AA204)</f>
        <v>0</v>
      </c>
      <c r="AB204" s="12"/>
      <c r="AC204" s="6"/>
      <c r="AD204" s="6"/>
      <c r="AE204" s="7"/>
      <c r="AF204" s="7"/>
      <c r="AG204" s="7"/>
      <c r="AH204" s="7"/>
      <c r="AI204" s="7"/>
      <c r="AJ204" s="7"/>
      <c r="AK204" s="7"/>
      <c r="AL204" s="7"/>
      <c r="AM204" s="7"/>
      <c r="AN204" s="7"/>
      <c r="AO204" s="6"/>
      <c r="AP204" s="7"/>
      <c r="AQ204" s="7"/>
      <c r="AR204" s="6"/>
      <c r="AS204" s="7"/>
      <c r="AT204" s="7"/>
      <c r="AU204" s="7"/>
      <c r="AV204" s="7"/>
      <c r="AW204" s="7"/>
      <c r="AX204" s="7"/>
      <c r="AY204" s="7"/>
      <c r="AZ204" s="7"/>
      <c r="BA204" s="7"/>
      <c r="BB204" s="7"/>
      <c r="BC204" s="7"/>
      <c r="BD204" s="7"/>
      <c r="BE204" s="7"/>
      <c r="BF204" s="7"/>
      <c r="BG204" s="7"/>
    </row>
    <row r="205" customHeight="1" spans="1:59">
      <c r="A205" s="9" t="str">
        <f>IF(ActiveDatabase=Standby,Secondary!A205,Primary!A205)</f>
        <v>Clio 14</v>
      </c>
      <c r="B205" s="5" t="str">
        <f>IF(ActiveDatabase=Standby,Secondary!B205,Primary!B205)</f>
        <v>Clio 21</v>
      </c>
      <c r="C205" s="5" t="str">
        <f>IF(ActiveDatabase=Standby,Secondary!C205,Primary!C205)</f>
        <v>Clio 13</v>
      </c>
      <c r="D205" s="5" t="str">
        <f>IF(ActiveDatabase=Standby,Secondary!D205,Primary!D205)</f>
        <v>Starfarer Wreck 42T</v>
      </c>
      <c r="E205" s="6" t="str">
        <f>IF(ActiveDatabase=Standby,Secondary!E205,Primary!E205)</f>
        <v>Starfarer 42T</v>
      </c>
      <c r="F205" s="10">
        <f>IF(ActiveDatabase=Standby,Secondary!F205,Primary!F205)</f>
        <v>76.745244493</v>
      </c>
      <c r="G205" s="10">
        <f>IF(ActiveDatabase=Standby,Secondary!G205,Primary!G205)</f>
        <v>235.732647705999</v>
      </c>
      <c r="H205" s="10">
        <f>IF(ActiveDatabase=Standby,Secondary!H205,Primary!H205)</f>
        <v>229.345741264999</v>
      </c>
      <c r="I205" s="13">
        <f>IF(ActiveDatabase=Standby,Secondary!I205,Primary!I205)</f>
        <v>0</v>
      </c>
      <c r="J205" s="13">
        <f>IF(ActiveDatabase=Standby,Secondary!J205,Primary!J205)</f>
        <v>0</v>
      </c>
      <c r="K205" s="13">
        <f>IF(ActiveDatabase=Standby,Secondary!K205,Primary!K205)</f>
        <v>0</v>
      </c>
      <c r="L205" s="13">
        <f>IF(ActiveDatabase=Standby,Secondary!L205,Primary!L205)</f>
        <v>0</v>
      </c>
      <c r="M205" s="7" t="b">
        <f>IF(ActiveDatabase=Standby,Secondary!M205,Primary!M205)</f>
        <v>0</v>
      </c>
      <c r="N205" s="10">
        <f>IF(ActiveDatabase=Standby,Secondary!N205,Primary!N205)</f>
        <v>0</v>
      </c>
      <c r="O205" s="10">
        <f>IF(ActiveDatabase=Standby,Secondary!O205,Primary!O205)</f>
        <v>0</v>
      </c>
      <c r="P205" s="10">
        <f>IF(ActiveDatabase=Standby,Secondary!P205,Primary!P205)</f>
        <v>0</v>
      </c>
      <c r="Q205" s="6">
        <f>IF(ActiveDatabase=Standby,Secondary!Q205,Primary!Q205)</f>
        <v>0</v>
      </c>
      <c r="R205" s="18">
        <f>IF(ActiveDatabase=Standby,Secondary!R205,Primary!R205)</f>
        <v>0</v>
      </c>
      <c r="S205" s="19">
        <f>IF(ActiveDatabase=Standby,Secondary!S205,Primary!S205)</f>
        <v>0</v>
      </c>
      <c r="T205" s="10">
        <f>IF(ActiveDatabase=Standby,Secondary!T205,Primary!T205)</f>
        <v>0</v>
      </c>
      <c r="U205" s="10">
        <f>IF(ActiveDatabase=Standby,Secondary!U205,Primary!U205)</f>
        <v>0</v>
      </c>
      <c r="V205" s="10">
        <f>IF(ActiveDatabase=Standby,Secondary!V205,Primary!V205)</f>
        <v>0</v>
      </c>
      <c r="W205" s="6">
        <f>IF(ActiveDatabase=Standby,Secondary!W205,Primary!W205)</f>
        <v>0</v>
      </c>
      <c r="X205" s="6">
        <f>IF(ActiveDatabase=Standby,Secondary!X205,Primary!X205)</f>
        <v>0</v>
      </c>
      <c r="Y205" s="12">
        <f>IF(ActiveDatabase=Standby,Secondary!Y205,Primary!Y205)</f>
        <v>0</v>
      </c>
      <c r="Z205" s="12">
        <f>IF(ActiveDatabase=Standby,Secondary!Z205,Primary!Z205)</f>
        <v>0</v>
      </c>
      <c r="AA205" s="7">
        <f>IF(ActiveDatabase=Standby,Secondary!AA205,Primary!AA205)</f>
        <v>0</v>
      </c>
      <c r="AB205" s="12"/>
      <c r="AC205" s="6"/>
      <c r="AD205" s="6"/>
      <c r="AE205" s="7"/>
      <c r="AF205" s="7"/>
      <c r="AG205" s="7"/>
      <c r="AH205" s="7"/>
      <c r="AI205" s="7"/>
      <c r="AJ205" s="7"/>
      <c r="AK205" s="7"/>
      <c r="AL205" s="7"/>
      <c r="AM205" s="7"/>
      <c r="AN205" s="7"/>
      <c r="AO205" s="6"/>
      <c r="AP205" s="7"/>
      <c r="AQ205" s="7"/>
      <c r="AR205" s="6"/>
      <c r="AS205" s="7"/>
      <c r="AT205" s="7"/>
      <c r="AU205" s="7"/>
      <c r="AV205" s="7"/>
      <c r="AW205" s="7"/>
      <c r="AX205" s="7"/>
      <c r="AY205" s="7"/>
      <c r="AZ205" s="7"/>
      <c r="BA205" s="7"/>
      <c r="BB205" s="7"/>
      <c r="BC205" s="7"/>
      <c r="BD205" s="7"/>
      <c r="BE205" s="7"/>
      <c r="BF205" s="7"/>
      <c r="BG205" s="7"/>
    </row>
    <row r="206" customHeight="1" spans="1:59">
      <c r="A206" s="9" t="str">
        <f>IF(ActiveDatabase=Standby,Secondary!A206,Primary!A206)</f>
        <v>Clio 15</v>
      </c>
      <c r="B206" s="5" t="str">
        <f>IF(ActiveDatabase=Standby,Secondary!B206,Primary!B206)</f>
        <v>Clio 22</v>
      </c>
      <c r="C206" s="5" t="str">
        <f>IF(ActiveDatabase=Standby,Secondary!C206,Primary!C206)</f>
        <v>Clio 10</v>
      </c>
      <c r="D206" s="5" t="str">
        <f>IF(ActiveDatabase=Standby,Secondary!D206,Primary!D206)</f>
        <v>Starfarer Wreck 45V</v>
      </c>
      <c r="E206" s="6" t="str">
        <f>IF(ActiveDatabase=Standby,Secondary!E206,Primary!E206)</f>
        <v>Starfarer 45V</v>
      </c>
      <c r="F206" s="10">
        <f>IF(ActiveDatabase=Standby,Secondary!F206,Primary!F206)</f>
        <v>6.51288168099999</v>
      </c>
      <c r="G206" s="10">
        <f>IF(ActiveDatabase=Standby,Secondary!G206,Primary!G206)</f>
        <v>175.082089572</v>
      </c>
      <c r="H206" s="10">
        <f>IF(ActiveDatabase=Standby,Secondary!H206,Primary!H206)</f>
        <v>288.414680617999</v>
      </c>
      <c r="I206" s="13">
        <f>IF(ActiveDatabase=Standby,Secondary!I206,Primary!I206)</f>
        <v>0</v>
      </c>
      <c r="J206" s="13">
        <f>IF(ActiveDatabase=Standby,Secondary!J206,Primary!J206)</f>
        <v>0</v>
      </c>
      <c r="K206" s="13">
        <f>IF(ActiveDatabase=Standby,Secondary!K206,Primary!K206)</f>
        <v>0</v>
      </c>
      <c r="L206" s="13">
        <f>IF(ActiveDatabase=Standby,Secondary!L206,Primary!L206)</f>
        <v>0</v>
      </c>
      <c r="M206" s="7" t="b">
        <f>IF(ActiveDatabase=Standby,Secondary!M206,Primary!M206)</f>
        <v>0</v>
      </c>
      <c r="N206" s="10">
        <f>IF(ActiveDatabase=Standby,Secondary!N206,Primary!N206)</f>
        <v>0</v>
      </c>
      <c r="O206" s="10">
        <f>IF(ActiveDatabase=Standby,Secondary!O206,Primary!O206)</f>
        <v>0</v>
      </c>
      <c r="P206" s="10">
        <f>IF(ActiveDatabase=Standby,Secondary!P206,Primary!P206)</f>
        <v>0</v>
      </c>
      <c r="Q206" s="6">
        <f>IF(ActiveDatabase=Standby,Secondary!Q206,Primary!Q206)</f>
        <v>0</v>
      </c>
      <c r="R206" s="18">
        <f>IF(ActiveDatabase=Standby,Secondary!R206,Primary!R206)</f>
        <v>0</v>
      </c>
      <c r="S206" s="19">
        <f>IF(ActiveDatabase=Standby,Secondary!S206,Primary!S206)</f>
        <v>0</v>
      </c>
      <c r="T206" s="10">
        <f>IF(ActiveDatabase=Standby,Secondary!T206,Primary!T206)</f>
        <v>0</v>
      </c>
      <c r="U206" s="10">
        <f>IF(ActiveDatabase=Standby,Secondary!U206,Primary!U206)</f>
        <v>0</v>
      </c>
      <c r="V206" s="10">
        <f>IF(ActiveDatabase=Standby,Secondary!V206,Primary!V206)</f>
        <v>0</v>
      </c>
      <c r="W206" s="6">
        <f>IF(ActiveDatabase=Standby,Secondary!W206,Primary!W206)</f>
        <v>0</v>
      </c>
      <c r="X206" s="6">
        <f>IF(ActiveDatabase=Standby,Secondary!X206,Primary!X206)</f>
        <v>0</v>
      </c>
      <c r="Y206" s="12">
        <f>IF(ActiveDatabase=Standby,Secondary!Y206,Primary!Y206)</f>
        <v>0</v>
      </c>
      <c r="Z206" s="12">
        <f>IF(ActiveDatabase=Standby,Secondary!Z206,Primary!Z206)</f>
        <v>0</v>
      </c>
      <c r="AA206" s="7">
        <f>IF(ActiveDatabase=Standby,Secondary!AA206,Primary!AA206)</f>
        <v>0</v>
      </c>
      <c r="AB206" s="12"/>
      <c r="AC206" s="6"/>
      <c r="AD206" s="6"/>
      <c r="AE206" s="7"/>
      <c r="AF206" s="7"/>
      <c r="AG206" s="7"/>
      <c r="AH206" s="7"/>
      <c r="AI206" s="7"/>
      <c r="AJ206" s="7"/>
      <c r="AK206" s="7"/>
      <c r="AL206" s="7"/>
      <c r="AM206" s="7"/>
      <c r="AN206" s="7"/>
      <c r="AO206" s="6"/>
      <c r="AP206" s="7"/>
      <c r="AQ206" s="7"/>
      <c r="AR206" s="6"/>
      <c r="AS206" s="7"/>
      <c r="AT206" s="7"/>
      <c r="AU206" s="7"/>
      <c r="AV206" s="7"/>
      <c r="AW206" s="7"/>
      <c r="AX206" s="7"/>
      <c r="AY206" s="7"/>
      <c r="AZ206" s="7"/>
      <c r="BA206" s="7"/>
      <c r="BB206" s="7"/>
      <c r="BC206" s="7"/>
      <c r="BD206" s="7"/>
      <c r="BE206" s="7"/>
      <c r="BF206" s="7"/>
      <c r="BG206" s="7"/>
    </row>
    <row r="207" customHeight="1" spans="1:59">
      <c r="A207" s="9" t="str">
        <f>IF(ActiveDatabase=Standby,Secondary!A207,Primary!A207)</f>
        <v>Clio</v>
      </c>
      <c r="B207" s="5" t="str">
        <f>IF(ActiveDatabase=Standby,Secondary!B207,Primary!B207)</f>
        <v>Clio 25</v>
      </c>
      <c r="C207" s="5">
        <f>IF(ActiveDatabase=Standby,Secondary!C207,Primary!C207)</f>
        <v>0</v>
      </c>
      <c r="D207" s="5" t="str">
        <f>IF(ActiveDatabase=Standby,Secondary!D207,Primary!D207)</f>
        <v>Comm Array</v>
      </c>
      <c r="E207" s="6">
        <f>IF(ActiveDatabase=Standby,Secondary!E207,Primary!E207)</f>
        <v>0</v>
      </c>
      <c r="F207" s="10">
        <f>IF(ActiveDatabase=Standby,Secondary!F207,Primary!F207)</f>
        <v>0</v>
      </c>
      <c r="G207" s="10">
        <f>IF(ActiveDatabase=Standby,Secondary!G207,Primary!G207)</f>
        <v>0</v>
      </c>
      <c r="H207" s="10">
        <f>IF(ActiveDatabase=Standby,Secondary!H207,Primary!H207)</f>
        <v>0</v>
      </c>
      <c r="I207" s="13">
        <f>IF(ActiveDatabase=Standby,Secondary!I207,Primary!I207)</f>
        <v>0</v>
      </c>
      <c r="J207" s="13">
        <f>IF(ActiveDatabase=Standby,Secondary!J207,Primary!J207)</f>
        <v>0</v>
      </c>
      <c r="K207" s="13">
        <f>IF(ActiveDatabase=Standby,Secondary!K207,Primary!K207)</f>
        <v>0</v>
      </c>
      <c r="L207" s="13">
        <f>IF(ActiveDatabase=Standby,Secondary!L207,Primary!L207)</f>
        <v>0</v>
      </c>
      <c r="M207" s="7">
        <f>IF(ActiveDatabase=Standby,Secondary!M207,Primary!M207)</f>
        <v>0</v>
      </c>
      <c r="N207" s="10">
        <f>IF(ActiveDatabase=Standby,Secondary!N207,Primary!N207)</f>
        <v>0</v>
      </c>
      <c r="O207" s="10">
        <f>IF(ActiveDatabase=Standby,Secondary!O207,Primary!O207)</f>
        <v>0</v>
      </c>
      <c r="P207" s="10">
        <f>IF(ActiveDatabase=Standby,Secondary!P207,Primary!P207)</f>
        <v>0</v>
      </c>
      <c r="Q207" s="6">
        <f>IF(ActiveDatabase=Standby,Secondary!Q207,Primary!Q207)</f>
        <v>0</v>
      </c>
      <c r="R207" s="18">
        <f>IF(ActiveDatabase=Standby,Secondary!R207,Primary!R207)</f>
        <v>0</v>
      </c>
      <c r="S207" s="19">
        <f>IF(ActiveDatabase=Standby,Secondary!S207,Primary!S207)</f>
        <v>0</v>
      </c>
      <c r="T207" s="10">
        <f>IF(ActiveDatabase=Standby,Secondary!T207,Primary!T207)</f>
        <v>0</v>
      </c>
      <c r="U207" s="10">
        <f>IF(ActiveDatabase=Standby,Secondary!U207,Primary!U207)</f>
        <v>0</v>
      </c>
      <c r="V207" s="10">
        <f>IF(ActiveDatabase=Standby,Secondary!V207,Primary!V207)</f>
        <v>0</v>
      </c>
      <c r="W207" s="6">
        <f>IF(ActiveDatabase=Standby,Secondary!W207,Primary!W207)</f>
        <v>0</v>
      </c>
      <c r="X207" s="6">
        <f>IF(ActiveDatabase=Standby,Secondary!X207,Primary!X207)</f>
        <v>0</v>
      </c>
      <c r="Y207" s="12">
        <f>IF(ActiveDatabase=Standby,Secondary!Y207,Primary!Y207)</f>
        <v>0</v>
      </c>
      <c r="Z207" s="12">
        <f>IF(ActiveDatabase=Standby,Secondary!Z207,Primary!Z207)</f>
        <v>0</v>
      </c>
      <c r="AA207" s="7">
        <f>IF(ActiveDatabase=Standby,Secondary!AA207,Primary!AA207)</f>
        <v>0</v>
      </c>
      <c r="AB207" s="12"/>
      <c r="AC207" s="6"/>
      <c r="AD207" s="6"/>
      <c r="AE207" s="7"/>
      <c r="AF207" s="7"/>
      <c r="AG207" s="7"/>
      <c r="AH207" s="7"/>
      <c r="AI207" s="7"/>
      <c r="AJ207" s="7"/>
      <c r="AK207" s="7"/>
      <c r="AL207" s="7"/>
      <c r="AM207" s="7"/>
      <c r="AN207" s="7"/>
      <c r="AO207" s="6"/>
      <c r="AP207" s="7"/>
      <c r="AQ207" s="7"/>
      <c r="AR207" s="6"/>
      <c r="AS207" s="7"/>
      <c r="AT207" s="7"/>
      <c r="AU207" s="7"/>
      <c r="AV207" s="7"/>
      <c r="AW207" s="7"/>
      <c r="AX207" s="7"/>
      <c r="AY207" s="7"/>
      <c r="AZ207" s="7"/>
      <c r="BA207" s="7"/>
      <c r="BB207" s="7"/>
      <c r="BC207" s="7"/>
      <c r="BD207" s="7"/>
      <c r="BE207" s="7"/>
      <c r="BF207" s="7"/>
      <c r="BG207" s="7"/>
    </row>
    <row r="208" customHeight="1" spans="1:59">
      <c r="A208" s="9" t="str">
        <f>IF(ActiveDatabase=Standby,Secondary!A208,Primary!A208)</f>
        <v>Clio 03</v>
      </c>
      <c r="B208" s="5" t="str">
        <f>IF(ActiveDatabase=Standby,Secondary!B208,Primary!B208)</f>
        <v>Clio 26</v>
      </c>
      <c r="C208" s="5" t="str">
        <f>IF(ActiveDatabase=Standby,Secondary!C208,Primary!C208)</f>
        <v>Clio 06</v>
      </c>
      <c r="D208" s="5" t="str">
        <f>IF(ActiveDatabase=Standby,Secondary!D208,Primary!D208)</f>
        <v>Comm Array ST4-59</v>
      </c>
      <c r="E208" s="6" t="str">
        <f>IF(ActiveDatabase=Standby,Secondary!E208,Primary!E208)</f>
        <v>ST4-59</v>
      </c>
      <c r="F208" s="10">
        <f>IF(ActiveDatabase=Standby,Secondary!F208,Primary!F208)</f>
        <v>-249.263407497406</v>
      </c>
      <c r="G208" s="10">
        <f>IF(ActiveDatabase=Standby,Secondary!G208,Primary!G208)</f>
        <v>510.162233093262</v>
      </c>
      <c r="H208" s="10">
        <f>IF(ActiveDatabase=Standby,Secondary!H208,Primary!H208)</f>
        <v>24</v>
      </c>
      <c r="I208" s="13">
        <f>IF(ActiveDatabase=Standby,Secondary!I208,Primary!I208)</f>
        <v>0</v>
      </c>
      <c r="J208" s="13">
        <f>IF(ActiveDatabase=Standby,Secondary!J208,Primary!J208)</f>
        <v>0</v>
      </c>
      <c r="K208" s="13">
        <f>IF(ActiveDatabase=Standby,Secondary!K208,Primary!K208)</f>
        <v>0</v>
      </c>
      <c r="L208" s="13">
        <f>IF(ActiveDatabase=Standby,Secondary!L208,Primary!L208)</f>
        <v>0</v>
      </c>
      <c r="M208" s="7" t="b">
        <f>IF(ActiveDatabase=Standby,Secondary!M208,Primary!M208)</f>
        <v>1</v>
      </c>
      <c r="N208" s="10">
        <f>IF(ActiveDatabase=Standby,Secondary!N208,Primary!N208)</f>
        <v>0</v>
      </c>
      <c r="O208" s="10">
        <f>IF(ActiveDatabase=Standby,Secondary!O208,Primary!O208)</f>
        <v>0</v>
      </c>
      <c r="P208" s="10">
        <f>IF(ActiveDatabase=Standby,Secondary!P208,Primary!P208)</f>
        <v>0</v>
      </c>
      <c r="Q208" s="6">
        <f>IF(ActiveDatabase=Standby,Secondary!Q208,Primary!Q208)</f>
        <v>0</v>
      </c>
      <c r="R208" s="18">
        <f>IF(ActiveDatabase=Standby,Secondary!R208,Primary!R208)</f>
        <v>0</v>
      </c>
      <c r="S208" s="19">
        <f>IF(ActiveDatabase=Standby,Secondary!S208,Primary!S208)</f>
        <v>0</v>
      </c>
      <c r="T208" s="10">
        <f>IF(ActiveDatabase=Standby,Secondary!T208,Primary!T208)</f>
        <v>0</v>
      </c>
      <c r="U208" s="10">
        <f>IF(ActiveDatabase=Standby,Secondary!U208,Primary!U208)</f>
        <v>0</v>
      </c>
      <c r="V208" s="10">
        <f>IF(ActiveDatabase=Standby,Secondary!V208,Primary!V208)</f>
        <v>0</v>
      </c>
      <c r="W208" s="6">
        <f>IF(ActiveDatabase=Standby,Secondary!W208,Primary!W208)</f>
        <v>0</v>
      </c>
      <c r="X208" s="6">
        <f>IF(ActiveDatabase=Standby,Secondary!X208,Primary!X208)</f>
        <v>0</v>
      </c>
      <c r="Y208" s="12">
        <f>IF(ActiveDatabase=Standby,Secondary!Y208,Primary!Y208)</f>
        <v>0</v>
      </c>
      <c r="Z208" s="12">
        <f>IF(ActiveDatabase=Standby,Secondary!Z208,Primary!Z208)</f>
        <v>0</v>
      </c>
      <c r="AA208" s="7">
        <f>IF(ActiveDatabase=Standby,Secondary!AA208,Primary!AA208)</f>
        <v>0</v>
      </c>
      <c r="AB208" s="12"/>
      <c r="AC208" s="6"/>
      <c r="AD208" s="6"/>
      <c r="AE208" s="7"/>
      <c r="AF208" s="7"/>
      <c r="AG208" s="7"/>
      <c r="AH208" s="7"/>
      <c r="AI208" s="7"/>
      <c r="AJ208" s="7"/>
      <c r="AK208" s="7"/>
      <c r="AL208" s="7"/>
      <c r="AM208" s="7"/>
      <c r="AN208" s="7"/>
      <c r="AO208" s="6"/>
      <c r="AP208" s="7"/>
      <c r="AQ208" s="7"/>
      <c r="AR208" s="6"/>
      <c r="AS208" s="7"/>
      <c r="AT208" s="7"/>
      <c r="AU208" s="7"/>
      <c r="AV208" s="7"/>
      <c r="AW208" s="7"/>
      <c r="AX208" s="7"/>
      <c r="AY208" s="7"/>
      <c r="AZ208" s="7"/>
      <c r="BA208" s="7"/>
      <c r="BB208" s="7"/>
      <c r="BC208" s="7"/>
      <c r="BD208" s="7"/>
      <c r="BE208" s="7"/>
      <c r="BF208" s="7"/>
      <c r="BG208" s="7"/>
    </row>
    <row r="209" customHeight="1" spans="1:59">
      <c r="A209" s="9">
        <f>IF(ActiveDatabase=Standby,Secondary!A209,Primary!A209)</f>
        <v>0</v>
      </c>
      <c r="B209" s="5">
        <f>IF(ActiveDatabase=Standby,Secondary!B209,Primary!B209)</f>
        <v>0</v>
      </c>
      <c r="C209" s="5">
        <f>IF(ActiveDatabase=Standby,Secondary!C209,Primary!C209)</f>
        <v>0</v>
      </c>
      <c r="D209" s="5">
        <f>IF(ActiveDatabase=Standby,Secondary!D209,Primary!D209)</f>
        <v>0</v>
      </c>
      <c r="E209" s="6">
        <f>IF(ActiveDatabase=Standby,Secondary!E209,Primary!E209)</f>
        <v>0</v>
      </c>
      <c r="F209" s="10">
        <f>IF(ActiveDatabase=Standby,Secondary!F209,Primary!F209)</f>
        <v>0</v>
      </c>
      <c r="G209" s="10">
        <f>IF(ActiveDatabase=Standby,Secondary!G209,Primary!G209)</f>
        <v>0</v>
      </c>
      <c r="H209" s="10">
        <f>IF(ActiveDatabase=Standby,Secondary!H209,Primary!H209)</f>
        <v>0</v>
      </c>
      <c r="I209" s="13">
        <f>IF(ActiveDatabase=Standby,Secondary!I209,Primary!I209)</f>
        <v>0</v>
      </c>
      <c r="J209" s="13">
        <f>IF(ActiveDatabase=Standby,Secondary!J209,Primary!J209)</f>
        <v>0</v>
      </c>
      <c r="K209" s="13">
        <f>IF(ActiveDatabase=Standby,Secondary!K209,Primary!K209)</f>
        <v>0</v>
      </c>
      <c r="L209" s="13">
        <f>IF(ActiveDatabase=Standby,Secondary!L209,Primary!L209)</f>
        <v>0</v>
      </c>
      <c r="M209" s="7">
        <f>IF(ActiveDatabase=Standby,Secondary!M209,Primary!M209)</f>
        <v>0</v>
      </c>
      <c r="N209" s="10">
        <f>IF(ActiveDatabase=Standby,Secondary!N209,Primary!N209)</f>
        <v>0</v>
      </c>
      <c r="O209" s="10">
        <f>IF(ActiveDatabase=Standby,Secondary!O209,Primary!O209)</f>
        <v>0</v>
      </c>
      <c r="P209" s="10">
        <f>IF(ActiveDatabase=Standby,Secondary!P209,Primary!P209)</f>
        <v>0</v>
      </c>
      <c r="Q209" s="6">
        <f>IF(ActiveDatabase=Standby,Secondary!Q209,Primary!Q209)</f>
        <v>0</v>
      </c>
      <c r="R209" s="18">
        <f>IF(ActiveDatabase=Standby,Secondary!R209,Primary!R209)</f>
        <v>0</v>
      </c>
      <c r="S209" s="19">
        <f>IF(ActiveDatabase=Standby,Secondary!S209,Primary!S209)</f>
        <v>0</v>
      </c>
      <c r="T209" s="10">
        <f>IF(ActiveDatabase=Standby,Secondary!T209,Primary!T209)</f>
        <v>0</v>
      </c>
      <c r="U209" s="10">
        <f>IF(ActiveDatabase=Standby,Secondary!U209,Primary!U209)</f>
        <v>0</v>
      </c>
      <c r="V209" s="10">
        <f>IF(ActiveDatabase=Standby,Secondary!V209,Primary!V209)</f>
        <v>0</v>
      </c>
      <c r="W209" s="6">
        <f>IF(ActiveDatabase=Standby,Secondary!W209,Primary!W209)</f>
        <v>0</v>
      </c>
      <c r="X209" s="6">
        <f>IF(ActiveDatabase=Standby,Secondary!X209,Primary!X209)</f>
        <v>0</v>
      </c>
      <c r="Y209" s="12">
        <f>IF(ActiveDatabase=Standby,Secondary!Y209,Primary!Y209)</f>
        <v>0</v>
      </c>
      <c r="Z209" s="12">
        <f>IF(ActiveDatabase=Standby,Secondary!Z209,Primary!Z209)</f>
        <v>0</v>
      </c>
      <c r="AA209" s="7">
        <f>IF(ActiveDatabase=Standby,Secondary!AA209,Primary!AA209)</f>
        <v>0</v>
      </c>
      <c r="AB209" s="12"/>
      <c r="AC209" s="6"/>
      <c r="AD209" s="6"/>
      <c r="AE209" s="7"/>
      <c r="AF209" s="7"/>
      <c r="AG209" s="7"/>
      <c r="AH209" s="7"/>
      <c r="AI209" s="7"/>
      <c r="AJ209" s="7"/>
      <c r="AK209" s="7"/>
      <c r="AL209" s="7"/>
      <c r="AM209" s="7"/>
      <c r="AN209" s="7"/>
      <c r="AO209" s="6"/>
      <c r="AP209" s="7"/>
      <c r="AQ209" s="7"/>
      <c r="AR209" s="6"/>
      <c r="AS209" s="7"/>
      <c r="AT209" s="7"/>
      <c r="AU209" s="7"/>
      <c r="AV209" s="7"/>
      <c r="AW209" s="7"/>
      <c r="AX209" s="7"/>
      <c r="AY209" s="7"/>
      <c r="AZ209" s="7"/>
      <c r="BA209" s="7"/>
      <c r="BB209" s="7"/>
      <c r="BC209" s="7"/>
      <c r="BD209" s="7"/>
      <c r="BE209" s="7"/>
      <c r="BF209" s="7"/>
      <c r="BG209" s="7"/>
    </row>
    <row r="210" customHeight="1" spans="1:59">
      <c r="A210" s="9" t="str">
        <f>IF(ActiveDatabase=Standby,Secondary!A210,Primary!A210)</f>
        <v>Crusader R01</v>
      </c>
      <c r="B210" s="5" t="str">
        <f>IF(ActiveDatabase=Standby,Secondary!B210,Primary!B210)</f>
        <v>Crusader 16</v>
      </c>
      <c r="C210" s="5">
        <f>IF(ActiveDatabase=Standby,Secondary!C210,Primary!C210)</f>
        <v>0</v>
      </c>
      <c r="D210" s="5" t="str">
        <f>IF(ActiveDatabase=Standby,Secondary!D210,Primary!D210)</f>
        <v>OM-1</v>
      </c>
      <c r="E210" s="6" t="str">
        <f>IF(ActiveDatabase=Standby,Secondary!E210,Primary!E210)</f>
        <v>OM1</v>
      </c>
      <c r="F210" s="10">
        <f>IF(ActiveDatabase=Standby,Secondary!F210,Primary!F210)</f>
        <v>0</v>
      </c>
      <c r="G210" s="10">
        <f>IF(ActiveDatabase=Standby,Secondary!G210,Primary!G210)</f>
        <v>0</v>
      </c>
      <c r="H210" s="10">
        <f>IF(ActiveDatabase=Standby,Secondary!H210,Primary!H210)</f>
        <v>10673.17</v>
      </c>
      <c r="I210" s="13">
        <f>IF(ActiveDatabase=Standby,Secondary!I210,Primary!I210)</f>
        <v>0</v>
      </c>
      <c r="J210" s="13">
        <f>IF(ActiveDatabase=Standby,Secondary!J210,Primary!J210)</f>
        <v>0</v>
      </c>
      <c r="K210" s="13">
        <f>IF(ActiveDatabase=Standby,Secondary!K210,Primary!K210)</f>
        <v>0</v>
      </c>
      <c r="L210" s="13">
        <f>IF(ActiveDatabase=Standby,Secondary!L210,Primary!L210)</f>
        <v>0</v>
      </c>
      <c r="M210" s="7" t="b">
        <f>IF(ActiveDatabase=Standby,Secondary!M210,Primary!M210)</f>
        <v>1</v>
      </c>
      <c r="N210" s="10">
        <f>IF(ActiveDatabase=Standby,Secondary!N210,Primary!N210)</f>
        <v>0</v>
      </c>
      <c r="O210" s="10">
        <f>IF(ActiveDatabase=Standby,Secondary!O210,Primary!O210)</f>
        <v>0</v>
      </c>
      <c r="P210" s="10">
        <f>IF(ActiveDatabase=Standby,Secondary!P210,Primary!P210)</f>
        <v>0</v>
      </c>
      <c r="Q210" s="6">
        <f>IF(ActiveDatabase=Standby,Secondary!Q210,Primary!Q210)</f>
        <v>0</v>
      </c>
      <c r="R210" s="18">
        <f>IF(ActiveDatabase=Standby,Secondary!R210,Primary!R210)</f>
        <v>0</v>
      </c>
      <c r="S210" s="19">
        <f>IF(ActiveDatabase=Standby,Secondary!S210,Primary!S210)</f>
        <v>0</v>
      </c>
      <c r="T210" s="10">
        <f>IF(ActiveDatabase=Standby,Secondary!T210,Primary!T210)</f>
        <v>0</v>
      </c>
      <c r="U210" s="10">
        <f>IF(ActiveDatabase=Standby,Secondary!U210,Primary!U210)</f>
        <v>0</v>
      </c>
      <c r="V210" s="10">
        <f>IF(ActiveDatabase=Standby,Secondary!V210,Primary!V210)</f>
        <v>0</v>
      </c>
      <c r="W210" s="6">
        <f>IF(ActiveDatabase=Standby,Secondary!W210,Primary!W210)</f>
        <v>0</v>
      </c>
      <c r="X210" s="6">
        <f>IF(ActiveDatabase=Standby,Secondary!X210,Primary!X210)</f>
        <v>0</v>
      </c>
      <c r="Y210" s="12">
        <f>IF(ActiveDatabase=Standby,Secondary!Y210,Primary!Y210)</f>
        <v>0</v>
      </c>
      <c r="Z210" s="12">
        <f>IF(ActiveDatabase=Standby,Secondary!Z210,Primary!Z210)</f>
        <v>0</v>
      </c>
      <c r="AA210" s="7">
        <f>IF(ActiveDatabase=Standby,Secondary!AA210,Primary!AA210)</f>
        <v>0</v>
      </c>
      <c r="AB210" s="12"/>
      <c r="AC210" s="6"/>
      <c r="AD210" s="6"/>
      <c r="AE210" s="7"/>
      <c r="AF210" s="7"/>
      <c r="AG210" s="7"/>
      <c r="AH210" s="7"/>
      <c r="AI210" s="7"/>
      <c r="AJ210" s="7"/>
      <c r="AK210" s="7"/>
      <c r="AL210" s="7"/>
      <c r="AM210" s="7"/>
      <c r="AN210" s="7"/>
      <c r="AO210" s="6"/>
      <c r="AP210" s="7"/>
      <c r="AQ210" s="7"/>
      <c r="AR210" s="6"/>
      <c r="AS210" s="7"/>
      <c r="AT210" s="7"/>
      <c r="AU210" s="7"/>
      <c r="AV210" s="7"/>
      <c r="AW210" s="7"/>
      <c r="AX210" s="7"/>
      <c r="AY210" s="7"/>
      <c r="AZ210" s="7"/>
      <c r="BA210" s="7"/>
      <c r="BB210" s="7"/>
      <c r="BC210" s="7"/>
      <c r="BD210" s="7"/>
      <c r="BE210" s="7"/>
      <c r="BF210" s="7"/>
      <c r="BG210" s="7"/>
    </row>
    <row r="211" customHeight="1" spans="1:59">
      <c r="A211" s="9" t="str">
        <f>IF(ActiveDatabase=Standby,Secondary!A211,Primary!A211)</f>
        <v>Crusader R02</v>
      </c>
      <c r="B211" s="5" t="str">
        <f>IF(ActiveDatabase=Standby,Secondary!B211,Primary!B211)</f>
        <v>Crusader 17</v>
      </c>
      <c r="C211" s="5">
        <f>IF(ActiveDatabase=Standby,Secondary!C211,Primary!C211)</f>
        <v>0</v>
      </c>
      <c r="D211" s="5" t="str">
        <f>IF(ActiveDatabase=Standby,Secondary!D211,Primary!D211)</f>
        <v>OM-2</v>
      </c>
      <c r="E211" s="6" t="str">
        <f>IF(ActiveDatabase=Standby,Secondary!E211,Primary!E211)</f>
        <v>OM2</v>
      </c>
      <c r="F211" s="10">
        <f>IF(ActiveDatabase=Standby,Secondary!F211,Primary!F211)</f>
        <v>0</v>
      </c>
      <c r="G211" s="10">
        <f>IF(ActiveDatabase=Standby,Secondary!G211,Primary!G211)</f>
        <v>0</v>
      </c>
      <c r="H211" s="10">
        <f>IF(ActiveDatabase=Standby,Secondary!H211,Primary!H211)</f>
        <v>-10673.17</v>
      </c>
      <c r="I211" s="13">
        <f>IF(ActiveDatabase=Standby,Secondary!I211,Primary!I211)</f>
        <v>0</v>
      </c>
      <c r="J211" s="13">
        <f>IF(ActiveDatabase=Standby,Secondary!J211,Primary!J211)</f>
        <v>0</v>
      </c>
      <c r="K211" s="13">
        <f>IF(ActiveDatabase=Standby,Secondary!K211,Primary!K211)</f>
        <v>0</v>
      </c>
      <c r="L211" s="13">
        <f>IF(ActiveDatabase=Standby,Secondary!L211,Primary!L211)</f>
        <v>0</v>
      </c>
      <c r="M211" s="7" t="b">
        <f>IF(ActiveDatabase=Standby,Secondary!M211,Primary!M211)</f>
        <v>1</v>
      </c>
      <c r="N211" s="10">
        <f>IF(ActiveDatabase=Standby,Secondary!N211,Primary!N211)</f>
        <v>0</v>
      </c>
      <c r="O211" s="10">
        <f>IF(ActiveDatabase=Standby,Secondary!O211,Primary!O211)</f>
        <v>0</v>
      </c>
      <c r="P211" s="10">
        <f>IF(ActiveDatabase=Standby,Secondary!P211,Primary!P211)</f>
        <v>0</v>
      </c>
      <c r="Q211" s="6">
        <f>IF(ActiveDatabase=Standby,Secondary!Q211,Primary!Q211)</f>
        <v>0</v>
      </c>
      <c r="R211" s="18">
        <f>IF(ActiveDatabase=Standby,Secondary!R211,Primary!R211)</f>
        <v>0</v>
      </c>
      <c r="S211" s="19">
        <f>IF(ActiveDatabase=Standby,Secondary!S211,Primary!S211)</f>
        <v>0</v>
      </c>
      <c r="T211" s="10">
        <f>IF(ActiveDatabase=Standby,Secondary!T211,Primary!T211)</f>
        <v>0</v>
      </c>
      <c r="U211" s="10">
        <f>IF(ActiveDatabase=Standby,Secondary!U211,Primary!U211)</f>
        <v>0</v>
      </c>
      <c r="V211" s="10">
        <f>IF(ActiveDatabase=Standby,Secondary!V211,Primary!V211)</f>
        <v>0</v>
      </c>
      <c r="W211" s="6">
        <f>IF(ActiveDatabase=Standby,Secondary!W211,Primary!W211)</f>
        <v>0</v>
      </c>
      <c r="X211" s="6">
        <f>IF(ActiveDatabase=Standby,Secondary!X211,Primary!X211)</f>
        <v>0</v>
      </c>
      <c r="Y211" s="12">
        <f>IF(ActiveDatabase=Standby,Secondary!Y211,Primary!Y211)</f>
        <v>0</v>
      </c>
      <c r="Z211" s="12">
        <f>IF(ActiveDatabase=Standby,Secondary!Z211,Primary!Z211)</f>
        <v>0</v>
      </c>
      <c r="AA211" s="7">
        <f>IF(ActiveDatabase=Standby,Secondary!AA211,Primary!AA211)</f>
        <v>0</v>
      </c>
      <c r="AB211" s="12"/>
      <c r="AC211" s="6"/>
      <c r="AD211" s="6"/>
      <c r="AE211" s="7"/>
      <c r="AF211" s="7"/>
      <c r="AG211" s="7"/>
      <c r="AH211" s="7"/>
      <c r="AI211" s="7"/>
      <c r="AJ211" s="7"/>
      <c r="AK211" s="7"/>
      <c r="AL211" s="7"/>
      <c r="AM211" s="7"/>
      <c r="AN211" s="7"/>
      <c r="AO211" s="6"/>
      <c r="AP211" s="7"/>
      <c r="AQ211" s="7"/>
      <c r="AR211" s="6"/>
      <c r="AS211" s="7"/>
      <c r="AT211" s="7"/>
      <c r="AU211" s="7"/>
      <c r="AV211" s="7"/>
      <c r="AW211" s="7"/>
      <c r="AX211" s="7"/>
      <c r="AY211" s="7"/>
      <c r="AZ211" s="7"/>
      <c r="BA211" s="7"/>
      <c r="BB211" s="7"/>
      <c r="BC211" s="7"/>
      <c r="BD211" s="7"/>
      <c r="BE211" s="7"/>
      <c r="BF211" s="7"/>
      <c r="BG211" s="7"/>
    </row>
    <row r="212" customHeight="1" spans="1:59">
      <c r="A212" s="9" t="str">
        <f>IF(ActiveDatabase=Standby,Secondary!A212,Primary!A212)</f>
        <v>Crusader R03</v>
      </c>
      <c r="B212" s="5" t="str">
        <f>IF(ActiveDatabase=Standby,Secondary!B212,Primary!B212)</f>
        <v>Crusader 18</v>
      </c>
      <c r="C212" s="5" t="str">
        <f>IF(ActiveDatabase=Standby,Secondary!C212,Primary!C212)</f>
        <v>Crusader 02</v>
      </c>
      <c r="D212" s="5" t="str">
        <f>IF(ActiveDatabase=Standby,Secondary!D212,Primary!D212)</f>
        <v>OM-3</v>
      </c>
      <c r="E212" s="6" t="str">
        <f>IF(ActiveDatabase=Standby,Secondary!E212,Primary!E212)</f>
        <v>OM3</v>
      </c>
      <c r="F212" s="10">
        <f>IF(ActiveDatabase=Standby,Secondary!F212,Primary!F212)</f>
        <v>0</v>
      </c>
      <c r="G212" s="10">
        <f>IF(ActiveDatabase=Standby,Secondary!G212,Primary!G212)</f>
        <v>10673.17</v>
      </c>
      <c r="H212" s="10">
        <f>IF(ActiveDatabase=Standby,Secondary!H212,Primary!H212)</f>
        <v>0</v>
      </c>
      <c r="I212" s="13">
        <f>IF(ActiveDatabase=Standby,Secondary!I212,Primary!I212)</f>
        <v>0</v>
      </c>
      <c r="J212" s="13">
        <f>IF(ActiveDatabase=Standby,Secondary!J212,Primary!J212)</f>
        <v>0</v>
      </c>
      <c r="K212" s="13">
        <f>IF(ActiveDatabase=Standby,Secondary!K212,Primary!K212)</f>
        <v>0</v>
      </c>
      <c r="L212" s="13">
        <f>IF(ActiveDatabase=Standby,Secondary!L212,Primary!L212)</f>
        <v>0</v>
      </c>
      <c r="M212" s="7" t="b">
        <f>IF(ActiveDatabase=Standby,Secondary!M212,Primary!M212)</f>
        <v>1</v>
      </c>
      <c r="N212" s="10">
        <f>IF(ActiveDatabase=Standby,Secondary!N212,Primary!N212)</f>
        <v>0</v>
      </c>
      <c r="O212" s="10">
        <f>IF(ActiveDatabase=Standby,Secondary!O212,Primary!O212)</f>
        <v>0</v>
      </c>
      <c r="P212" s="10">
        <f>IF(ActiveDatabase=Standby,Secondary!P212,Primary!P212)</f>
        <v>0</v>
      </c>
      <c r="Q212" s="6">
        <f>IF(ActiveDatabase=Standby,Secondary!Q212,Primary!Q212)</f>
        <v>0</v>
      </c>
      <c r="R212" s="18">
        <f>IF(ActiveDatabase=Standby,Secondary!R212,Primary!R212)</f>
        <v>0</v>
      </c>
      <c r="S212" s="19">
        <f>IF(ActiveDatabase=Standby,Secondary!S212,Primary!S212)</f>
        <v>0</v>
      </c>
      <c r="T212" s="10">
        <f>IF(ActiveDatabase=Standby,Secondary!T212,Primary!T212)</f>
        <v>0</v>
      </c>
      <c r="U212" s="10">
        <f>IF(ActiveDatabase=Standby,Secondary!U212,Primary!U212)</f>
        <v>0</v>
      </c>
      <c r="V212" s="10">
        <f>IF(ActiveDatabase=Standby,Secondary!V212,Primary!V212)</f>
        <v>0</v>
      </c>
      <c r="W212" s="6">
        <f>IF(ActiveDatabase=Standby,Secondary!W212,Primary!W212)</f>
        <v>0</v>
      </c>
      <c r="X212" s="6">
        <f>IF(ActiveDatabase=Standby,Secondary!X212,Primary!X212)</f>
        <v>0</v>
      </c>
      <c r="Y212" s="12">
        <f>IF(ActiveDatabase=Standby,Secondary!Y212,Primary!Y212)</f>
        <v>0</v>
      </c>
      <c r="Z212" s="12">
        <f>IF(ActiveDatabase=Standby,Secondary!Z212,Primary!Z212)</f>
        <v>0</v>
      </c>
      <c r="AA212" s="7">
        <f>IF(ActiveDatabase=Standby,Secondary!AA212,Primary!AA212)</f>
        <v>0</v>
      </c>
      <c r="AB212" s="12"/>
      <c r="AC212" s="6"/>
      <c r="AD212" s="6"/>
      <c r="AE212" s="7"/>
      <c r="AF212" s="7"/>
      <c r="AG212" s="7"/>
      <c r="AH212" s="7"/>
      <c r="AI212" s="7"/>
      <c r="AJ212" s="7"/>
      <c r="AK212" s="7"/>
      <c r="AL212" s="7"/>
      <c r="AM212" s="7"/>
      <c r="AN212" s="7"/>
      <c r="AO212" s="6"/>
      <c r="AP212" s="7"/>
      <c r="AQ212" s="7"/>
      <c r="AR212" s="6"/>
      <c r="AS212" s="7"/>
      <c r="AT212" s="7"/>
      <c r="AU212" s="7"/>
      <c r="AV212" s="7"/>
      <c r="AW212" s="7"/>
      <c r="AX212" s="7"/>
      <c r="AY212" s="7"/>
      <c r="AZ212" s="7"/>
      <c r="BA212" s="7"/>
      <c r="BB212" s="7"/>
      <c r="BC212" s="7"/>
      <c r="BD212" s="7"/>
      <c r="BE212" s="7"/>
      <c r="BF212" s="7"/>
      <c r="BG212" s="7"/>
    </row>
    <row r="213" customHeight="1" spans="1:59">
      <c r="A213" s="9" t="str">
        <f>IF(ActiveDatabase=Standby,Secondary!A213,Primary!A213)</f>
        <v>Crusader R04</v>
      </c>
      <c r="B213" s="5" t="str">
        <f>IF(ActiveDatabase=Standby,Secondary!B213,Primary!B213)</f>
        <v>Crusader 19</v>
      </c>
      <c r="C213" s="5" t="str">
        <f>IF(ActiveDatabase=Standby,Secondary!C213,Primary!C213)</f>
        <v>Crusader 10</v>
      </c>
      <c r="D213" s="5" t="str">
        <f>IF(ActiveDatabase=Standby,Secondary!D213,Primary!D213)</f>
        <v>OM-4</v>
      </c>
      <c r="E213" s="6" t="str">
        <f>IF(ActiveDatabase=Standby,Secondary!E213,Primary!E213)</f>
        <v>OM4</v>
      </c>
      <c r="F213" s="10">
        <f>IF(ActiveDatabase=Standby,Secondary!F213,Primary!F213)</f>
        <v>0</v>
      </c>
      <c r="G213" s="10">
        <f>IF(ActiveDatabase=Standby,Secondary!G213,Primary!G213)</f>
        <v>-10673.17</v>
      </c>
      <c r="H213" s="10">
        <f>IF(ActiveDatabase=Standby,Secondary!H213,Primary!H213)</f>
        <v>0</v>
      </c>
      <c r="I213" s="13">
        <f>IF(ActiveDatabase=Standby,Secondary!I213,Primary!I213)</f>
        <v>0</v>
      </c>
      <c r="J213" s="13">
        <f>IF(ActiveDatabase=Standby,Secondary!J213,Primary!J213)</f>
        <v>0</v>
      </c>
      <c r="K213" s="13">
        <f>IF(ActiveDatabase=Standby,Secondary!K213,Primary!K213)</f>
        <v>0</v>
      </c>
      <c r="L213" s="13">
        <f>IF(ActiveDatabase=Standby,Secondary!L213,Primary!L213)</f>
        <v>0</v>
      </c>
      <c r="M213" s="7" t="b">
        <f>IF(ActiveDatabase=Standby,Secondary!M213,Primary!M213)</f>
        <v>1</v>
      </c>
      <c r="N213" s="10">
        <f>IF(ActiveDatabase=Standby,Secondary!N213,Primary!N213)</f>
        <v>0</v>
      </c>
      <c r="O213" s="10">
        <f>IF(ActiveDatabase=Standby,Secondary!O213,Primary!O213)</f>
        <v>0</v>
      </c>
      <c r="P213" s="10">
        <f>IF(ActiveDatabase=Standby,Secondary!P213,Primary!P213)</f>
        <v>0</v>
      </c>
      <c r="Q213" s="6">
        <f>IF(ActiveDatabase=Standby,Secondary!Q213,Primary!Q213)</f>
        <v>0</v>
      </c>
      <c r="R213" s="18">
        <f>IF(ActiveDatabase=Standby,Secondary!R213,Primary!R213)</f>
        <v>0</v>
      </c>
      <c r="S213" s="19">
        <f>IF(ActiveDatabase=Standby,Secondary!S213,Primary!S213)</f>
        <v>0</v>
      </c>
      <c r="T213" s="10">
        <f>IF(ActiveDatabase=Standby,Secondary!T213,Primary!T213)</f>
        <v>0</v>
      </c>
      <c r="U213" s="10">
        <f>IF(ActiveDatabase=Standby,Secondary!U213,Primary!U213)</f>
        <v>0</v>
      </c>
      <c r="V213" s="10">
        <f>IF(ActiveDatabase=Standby,Secondary!V213,Primary!V213)</f>
        <v>0</v>
      </c>
      <c r="W213" s="6">
        <f>IF(ActiveDatabase=Standby,Secondary!W213,Primary!W213)</f>
        <v>0</v>
      </c>
      <c r="X213" s="6">
        <f>IF(ActiveDatabase=Standby,Secondary!X213,Primary!X213)</f>
        <v>0</v>
      </c>
      <c r="Y213" s="12">
        <f>IF(ActiveDatabase=Standby,Secondary!Y213,Primary!Y213)</f>
        <v>0</v>
      </c>
      <c r="Z213" s="12">
        <f>IF(ActiveDatabase=Standby,Secondary!Z213,Primary!Z213)</f>
        <v>0</v>
      </c>
      <c r="AA213" s="7">
        <f>IF(ActiveDatabase=Standby,Secondary!AA213,Primary!AA213)</f>
        <v>0</v>
      </c>
      <c r="AB213" s="12"/>
      <c r="AC213" s="6"/>
      <c r="AD213" s="6"/>
      <c r="AE213" s="7"/>
      <c r="AF213" s="7"/>
      <c r="AG213" s="7"/>
      <c r="AH213" s="7"/>
      <c r="AI213" s="7"/>
      <c r="AJ213" s="7"/>
      <c r="AK213" s="7"/>
      <c r="AL213" s="7"/>
      <c r="AM213" s="7"/>
      <c r="AN213" s="7"/>
      <c r="AO213" s="6"/>
      <c r="AP213" s="7"/>
      <c r="AQ213" s="7"/>
      <c r="AR213" s="6"/>
      <c r="AS213" s="7"/>
      <c r="AT213" s="7"/>
      <c r="AU213" s="7"/>
      <c r="AV213" s="7"/>
      <c r="AW213" s="7"/>
      <c r="AX213" s="7"/>
      <c r="AY213" s="7"/>
      <c r="AZ213" s="7"/>
      <c r="BA213" s="7"/>
      <c r="BB213" s="7"/>
      <c r="BC213" s="7"/>
      <c r="BD213" s="7"/>
      <c r="BE213" s="7"/>
      <c r="BF213" s="7"/>
      <c r="BG213" s="7"/>
    </row>
    <row r="214" customHeight="1" spans="1:59">
      <c r="A214" s="9" t="str">
        <f>IF(ActiveDatabase=Standby,Secondary!A214,Primary!A214)</f>
        <v>Crusader R05</v>
      </c>
      <c r="B214" s="5" t="str">
        <f>IF(ActiveDatabase=Standby,Secondary!B214,Primary!B214)</f>
        <v>Crusader 20</v>
      </c>
      <c r="C214" s="5" t="str">
        <f>IF(ActiveDatabase=Standby,Secondary!C214,Primary!C214)</f>
        <v>Crusader 04</v>
      </c>
      <c r="D214" s="5" t="str">
        <f>IF(ActiveDatabase=Standby,Secondary!D214,Primary!D214)</f>
        <v>OM-5</v>
      </c>
      <c r="E214" s="6" t="str">
        <f>IF(ActiveDatabase=Standby,Secondary!E214,Primary!E214)</f>
        <v>OM5</v>
      </c>
      <c r="F214" s="10">
        <f>IF(ActiveDatabase=Standby,Secondary!F214,Primary!F214)</f>
        <v>10673.17</v>
      </c>
      <c r="G214" s="10">
        <f>IF(ActiveDatabase=Standby,Secondary!G214,Primary!G214)</f>
        <v>0</v>
      </c>
      <c r="H214" s="10">
        <f>IF(ActiveDatabase=Standby,Secondary!H214,Primary!H214)</f>
        <v>0</v>
      </c>
      <c r="I214" s="13">
        <f>IF(ActiveDatabase=Standby,Secondary!I214,Primary!I214)</f>
        <v>0</v>
      </c>
      <c r="J214" s="13">
        <f>IF(ActiveDatabase=Standby,Secondary!J214,Primary!J214)</f>
        <v>0</v>
      </c>
      <c r="K214" s="13">
        <f>IF(ActiveDatabase=Standby,Secondary!K214,Primary!K214)</f>
        <v>0</v>
      </c>
      <c r="L214" s="13">
        <f>IF(ActiveDatabase=Standby,Secondary!L214,Primary!L214)</f>
        <v>0</v>
      </c>
      <c r="M214" s="7" t="b">
        <f>IF(ActiveDatabase=Standby,Secondary!M214,Primary!M214)</f>
        <v>1</v>
      </c>
      <c r="N214" s="10">
        <f>IF(ActiveDatabase=Standby,Secondary!N214,Primary!N214)</f>
        <v>0</v>
      </c>
      <c r="O214" s="10">
        <f>IF(ActiveDatabase=Standby,Secondary!O214,Primary!O214)</f>
        <v>0</v>
      </c>
      <c r="P214" s="10">
        <f>IF(ActiveDatabase=Standby,Secondary!P214,Primary!P214)</f>
        <v>0</v>
      </c>
      <c r="Q214" s="6">
        <f>IF(ActiveDatabase=Standby,Secondary!Q214,Primary!Q214)</f>
        <v>0</v>
      </c>
      <c r="R214" s="18">
        <f>IF(ActiveDatabase=Standby,Secondary!R214,Primary!R214)</f>
        <v>0</v>
      </c>
      <c r="S214" s="19">
        <f>IF(ActiveDatabase=Standby,Secondary!S214,Primary!S214)</f>
        <v>0</v>
      </c>
      <c r="T214" s="10">
        <f>IF(ActiveDatabase=Standby,Secondary!T214,Primary!T214)</f>
        <v>0</v>
      </c>
      <c r="U214" s="10">
        <f>IF(ActiveDatabase=Standby,Secondary!U214,Primary!U214)</f>
        <v>0</v>
      </c>
      <c r="V214" s="10">
        <f>IF(ActiveDatabase=Standby,Secondary!V214,Primary!V214)</f>
        <v>0</v>
      </c>
      <c r="W214" s="6">
        <f>IF(ActiveDatabase=Standby,Secondary!W214,Primary!W214)</f>
        <v>0</v>
      </c>
      <c r="X214" s="6">
        <f>IF(ActiveDatabase=Standby,Secondary!X214,Primary!X214)</f>
        <v>0</v>
      </c>
      <c r="Y214" s="12">
        <f>IF(ActiveDatabase=Standby,Secondary!Y214,Primary!Y214)</f>
        <v>0</v>
      </c>
      <c r="Z214" s="12">
        <f>IF(ActiveDatabase=Standby,Secondary!Z214,Primary!Z214)</f>
        <v>0</v>
      </c>
      <c r="AA214" s="7">
        <f>IF(ActiveDatabase=Standby,Secondary!AA214,Primary!AA214)</f>
        <v>0</v>
      </c>
      <c r="AB214" s="12"/>
      <c r="AC214" s="6"/>
      <c r="AD214" s="6"/>
      <c r="AE214" s="7"/>
      <c r="AF214" s="7"/>
      <c r="AG214" s="7"/>
      <c r="AH214" s="7"/>
      <c r="AI214" s="7"/>
      <c r="AJ214" s="7"/>
      <c r="AK214" s="7"/>
      <c r="AL214" s="7"/>
      <c r="AM214" s="7"/>
      <c r="AN214" s="7"/>
      <c r="AO214" s="6"/>
      <c r="AP214" s="7"/>
      <c r="AQ214" s="7"/>
      <c r="AR214" s="6"/>
      <c r="AS214" s="7"/>
      <c r="AT214" s="7"/>
      <c r="AU214" s="7"/>
      <c r="AV214" s="7"/>
      <c r="AW214" s="7"/>
      <c r="AX214" s="7"/>
      <c r="AY214" s="7"/>
      <c r="AZ214" s="7"/>
      <c r="BA214" s="7"/>
      <c r="BB214" s="7"/>
      <c r="BC214" s="7"/>
      <c r="BD214" s="7"/>
      <c r="BE214" s="7"/>
      <c r="BF214" s="7"/>
      <c r="BG214" s="7"/>
    </row>
    <row r="215" customHeight="1" spans="1:59">
      <c r="A215" s="9" t="str">
        <f>IF(ActiveDatabase=Standby,Secondary!A215,Primary!A215)</f>
        <v>Crusader R06</v>
      </c>
      <c r="B215" s="5" t="str">
        <f>IF(ActiveDatabase=Standby,Secondary!B215,Primary!B215)</f>
        <v>Crusader 21</v>
      </c>
      <c r="C215" s="5" t="str">
        <f>IF(ActiveDatabase=Standby,Secondary!C215,Primary!C215)</f>
        <v>Crusader 12</v>
      </c>
      <c r="D215" s="5" t="str">
        <f>IF(ActiveDatabase=Standby,Secondary!D215,Primary!D215)</f>
        <v>OM-6</v>
      </c>
      <c r="E215" s="6" t="str">
        <f>IF(ActiveDatabase=Standby,Secondary!E215,Primary!E215)</f>
        <v>OM6</v>
      </c>
      <c r="F215" s="10">
        <f>IF(ActiveDatabase=Standby,Secondary!F215,Primary!F215)</f>
        <v>-10673.17</v>
      </c>
      <c r="G215" s="10">
        <f>IF(ActiveDatabase=Standby,Secondary!G215,Primary!G215)</f>
        <v>0</v>
      </c>
      <c r="H215" s="10">
        <f>IF(ActiveDatabase=Standby,Secondary!H215,Primary!H215)</f>
        <v>0</v>
      </c>
      <c r="I215" s="13">
        <f>IF(ActiveDatabase=Standby,Secondary!I215,Primary!I215)</f>
        <v>0</v>
      </c>
      <c r="J215" s="13">
        <f>IF(ActiveDatabase=Standby,Secondary!J215,Primary!J215)</f>
        <v>0</v>
      </c>
      <c r="K215" s="13">
        <f>IF(ActiveDatabase=Standby,Secondary!K215,Primary!K215)</f>
        <v>0</v>
      </c>
      <c r="L215" s="13">
        <f>IF(ActiveDatabase=Standby,Secondary!L215,Primary!L215)</f>
        <v>0</v>
      </c>
      <c r="M215" s="7" t="b">
        <f>IF(ActiveDatabase=Standby,Secondary!M215,Primary!M215)</f>
        <v>1</v>
      </c>
      <c r="N215" s="10">
        <f>IF(ActiveDatabase=Standby,Secondary!N215,Primary!N215)</f>
        <v>0</v>
      </c>
      <c r="O215" s="10">
        <f>IF(ActiveDatabase=Standby,Secondary!O215,Primary!O215)</f>
        <v>0</v>
      </c>
      <c r="P215" s="10">
        <f>IF(ActiveDatabase=Standby,Secondary!P215,Primary!P215)</f>
        <v>0</v>
      </c>
      <c r="Q215" s="6">
        <f>IF(ActiveDatabase=Standby,Secondary!Q215,Primary!Q215)</f>
        <v>0</v>
      </c>
      <c r="R215" s="18">
        <f>IF(ActiveDatabase=Standby,Secondary!R215,Primary!R215)</f>
        <v>0</v>
      </c>
      <c r="S215" s="19">
        <f>IF(ActiveDatabase=Standby,Secondary!S215,Primary!S215)</f>
        <v>0</v>
      </c>
      <c r="T215" s="10">
        <f>IF(ActiveDatabase=Standby,Secondary!T215,Primary!T215)</f>
        <v>0</v>
      </c>
      <c r="U215" s="10">
        <f>IF(ActiveDatabase=Standby,Secondary!U215,Primary!U215)</f>
        <v>0</v>
      </c>
      <c r="V215" s="10">
        <f>IF(ActiveDatabase=Standby,Secondary!V215,Primary!V215)</f>
        <v>0</v>
      </c>
      <c r="W215" s="6">
        <f>IF(ActiveDatabase=Standby,Secondary!W215,Primary!W215)</f>
        <v>0</v>
      </c>
      <c r="X215" s="6">
        <f>IF(ActiveDatabase=Standby,Secondary!X215,Primary!X215)</f>
        <v>0</v>
      </c>
      <c r="Y215" s="12">
        <f>IF(ActiveDatabase=Standby,Secondary!Y215,Primary!Y215)</f>
        <v>0</v>
      </c>
      <c r="Z215" s="12">
        <f>IF(ActiveDatabase=Standby,Secondary!Z215,Primary!Z215)</f>
        <v>0</v>
      </c>
      <c r="AA215" s="7">
        <f>IF(ActiveDatabase=Standby,Secondary!AA215,Primary!AA215)</f>
        <v>0</v>
      </c>
      <c r="AB215" s="12"/>
      <c r="AC215" s="6"/>
      <c r="AD215" s="6"/>
      <c r="AE215" s="7"/>
      <c r="AF215" s="7"/>
      <c r="AG215" s="7"/>
      <c r="AH215" s="7"/>
      <c r="AI215" s="7"/>
      <c r="AJ215" s="7"/>
      <c r="AK215" s="7"/>
      <c r="AL215" s="7"/>
      <c r="AM215" s="7"/>
      <c r="AN215" s="7"/>
      <c r="AO215" s="6"/>
      <c r="AP215" s="7"/>
      <c r="AQ215" s="7"/>
      <c r="AR215" s="6"/>
      <c r="AS215" s="7"/>
      <c r="AT215" s="7"/>
      <c r="AU215" s="7"/>
      <c r="AV215" s="7"/>
      <c r="AW215" s="7"/>
      <c r="AX215" s="7"/>
      <c r="AY215" s="7"/>
      <c r="AZ215" s="7"/>
      <c r="BA215" s="7"/>
      <c r="BB215" s="7"/>
      <c r="BC215" s="7"/>
      <c r="BD215" s="7"/>
      <c r="BE215" s="7"/>
      <c r="BF215" s="7"/>
      <c r="BG215" s="7"/>
    </row>
    <row r="216" customHeight="1" spans="1:59">
      <c r="A216" s="9" t="str">
        <f>IF(ActiveDatabase=Standby,Secondary!A216,Primary!A216)</f>
        <v>Crusader</v>
      </c>
      <c r="B216" s="5" t="str">
        <f>IF(ActiveDatabase=Standby,Secondary!B216,Primary!B216)</f>
        <v>Crusader 00</v>
      </c>
      <c r="C216" s="5">
        <f>IF(ActiveDatabase=Standby,Secondary!C216,Primary!C216)</f>
        <v>0</v>
      </c>
      <c r="D216" s="5" t="str">
        <f>IF(ActiveDatabase=Standby,Secondary!D216,Primary!D216)</f>
        <v>Landing Zone</v>
      </c>
      <c r="E216" s="6">
        <f>IF(ActiveDatabase=Standby,Secondary!E216,Primary!E216)</f>
        <v>0</v>
      </c>
      <c r="F216" s="10">
        <f>IF(ActiveDatabase=Standby,Secondary!F216,Primary!F216)</f>
        <v>0</v>
      </c>
      <c r="G216" s="10">
        <f>IF(ActiveDatabase=Standby,Secondary!G216,Primary!G216)</f>
        <v>0</v>
      </c>
      <c r="H216" s="10">
        <f>IF(ActiveDatabase=Standby,Secondary!H216,Primary!H216)</f>
        <v>0</v>
      </c>
      <c r="I216" s="13">
        <f>IF(ActiveDatabase=Standby,Secondary!I216,Primary!I216)</f>
        <v>0</v>
      </c>
      <c r="J216" s="13">
        <f>IF(ActiveDatabase=Standby,Secondary!J216,Primary!J216)</f>
        <v>0</v>
      </c>
      <c r="K216" s="13">
        <f>IF(ActiveDatabase=Standby,Secondary!K216,Primary!K216)</f>
        <v>0</v>
      </c>
      <c r="L216" s="13">
        <f>IF(ActiveDatabase=Standby,Secondary!L216,Primary!L216)</f>
        <v>0</v>
      </c>
      <c r="M216" s="7">
        <f>IF(ActiveDatabase=Standby,Secondary!M216,Primary!M216)</f>
        <v>0</v>
      </c>
      <c r="N216" s="10">
        <f>IF(ActiveDatabase=Standby,Secondary!N216,Primary!N216)</f>
        <v>0</v>
      </c>
      <c r="O216" s="10">
        <f>IF(ActiveDatabase=Standby,Secondary!O216,Primary!O216)</f>
        <v>0</v>
      </c>
      <c r="P216" s="10">
        <f>IF(ActiveDatabase=Standby,Secondary!P216,Primary!P216)</f>
        <v>0</v>
      </c>
      <c r="Q216" s="6">
        <f>IF(ActiveDatabase=Standby,Secondary!Q216,Primary!Q216)</f>
        <v>0</v>
      </c>
      <c r="R216" s="18">
        <f>IF(ActiveDatabase=Standby,Secondary!R216,Primary!R216)</f>
        <v>0</v>
      </c>
      <c r="S216" s="19">
        <f>IF(ActiveDatabase=Standby,Secondary!S216,Primary!S216)</f>
        <v>0</v>
      </c>
      <c r="T216" s="10">
        <f>IF(ActiveDatabase=Standby,Secondary!T216,Primary!T216)</f>
        <v>0</v>
      </c>
      <c r="U216" s="10">
        <f>IF(ActiveDatabase=Standby,Secondary!U216,Primary!U216)</f>
        <v>0</v>
      </c>
      <c r="V216" s="10">
        <f>IF(ActiveDatabase=Standby,Secondary!V216,Primary!V216)</f>
        <v>0</v>
      </c>
      <c r="W216" s="6">
        <f>IF(ActiveDatabase=Standby,Secondary!W216,Primary!W216)</f>
        <v>0</v>
      </c>
      <c r="X216" s="6">
        <f>IF(ActiveDatabase=Standby,Secondary!X216,Primary!X216)</f>
        <v>0</v>
      </c>
      <c r="Y216" s="12">
        <f>IF(ActiveDatabase=Standby,Secondary!Y216,Primary!Y216)</f>
        <v>0</v>
      </c>
      <c r="Z216" s="12">
        <f>IF(ActiveDatabase=Standby,Secondary!Z216,Primary!Z216)</f>
        <v>0</v>
      </c>
      <c r="AA216" s="7">
        <f>IF(ActiveDatabase=Standby,Secondary!AA216,Primary!AA216)</f>
        <v>0</v>
      </c>
      <c r="AB216" s="12"/>
      <c r="AC216" s="6"/>
      <c r="AD216" s="6"/>
      <c r="AE216" s="7"/>
      <c r="AF216" s="7"/>
      <c r="AG216" s="7"/>
      <c r="AH216" s="7"/>
      <c r="AI216" s="7"/>
      <c r="AJ216" s="7"/>
      <c r="AK216" s="7"/>
      <c r="AL216" s="7"/>
      <c r="AM216" s="7"/>
      <c r="AN216" s="7"/>
      <c r="AO216" s="6"/>
      <c r="AP216" s="7"/>
      <c r="AQ216" s="7"/>
      <c r="AR216" s="6"/>
      <c r="AS216" s="7"/>
      <c r="AT216" s="7"/>
      <c r="AU216" s="7"/>
      <c r="AV216" s="7"/>
      <c r="AW216" s="7"/>
      <c r="AX216" s="7"/>
      <c r="AY216" s="7"/>
      <c r="AZ216" s="7"/>
      <c r="BA216" s="7"/>
      <c r="BB216" s="7"/>
      <c r="BC216" s="7"/>
      <c r="BD216" s="7"/>
      <c r="BE216" s="7"/>
      <c r="BF216" s="7"/>
      <c r="BG216" s="7"/>
    </row>
    <row r="217" customHeight="1" spans="1:59">
      <c r="A217" s="9" t="str">
        <f>IF(ActiveDatabase=Standby,Secondary!A217,Primary!A217)</f>
        <v>Crusader 01</v>
      </c>
      <c r="B217" s="5" t="str">
        <f>IF(ActiveDatabase=Standby,Secondary!B217,Primary!B217)</f>
        <v>Crusader 01</v>
      </c>
      <c r="C217" s="5" t="str">
        <f>IF(ActiveDatabase=Standby,Secondary!C217,Primary!C217)</f>
        <v>Crusader 05</v>
      </c>
      <c r="D217" s="5" t="str">
        <f>IF(ActiveDatabase=Standby,Secondary!D217,Primary!D217)</f>
        <v>Orison</v>
      </c>
      <c r="E217" s="6" t="str">
        <f>IF(ActiveDatabase=Standby,Secondary!E217,Primary!E217)</f>
        <v>Orison</v>
      </c>
      <c r="F217" s="10">
        <f>IF(ActiveDatabase=Standby,Secondary!F217,Primary!F217)</f>
        <v>5295.51694080599</v>
      </c>
      <c r="G217" s="10">
        <f>IF(ActiveDatabase=Standby,Secondary!G217,Primary!G217)</f>
        <v>-863.193533027</v>
      </c>
      <c r="H217" s="10">
        <f>IF(ActiveDatabase=Standby,Secondary!H217,Primary!H217)</f>
        <v>5282.237225567</v>
      </c>
      <c r="I217" s="13">
        <f>IF(ActiveDatabase=Standby,Secondary!I217,Primary!I217)</f>
        <v>0</v>
      </c>
      <c r="J217" s="13">
        <f>IF(ActiveDatabase=Standby,Secondary!J217,Primary!J217)</f>
        <v>0</v>
      </c>
      <c r="K217" s="13">
        <f>IF(ActiveDatabase=Standby,Secondary!K217,Primary!K217)</f>
        <v>0</v>
      </c>
      <c r="L217" s="13">
        <f>IF(ActiveDatabase=Standby,Secondary!L217,Primary!L217)</f>
        <v>0</v>
      </c>
      <c r="M217" s="7" t="b">
        <f>IF(ActiveDatabase=Standby,Secondary!M217,Primary!M217)</f>
        <v>1</v>
      </c>
      <c r="N217" s="10">
        <f>IF(ActiveDatabase=Standby,Secondary!N217,Primary!N217)</f>
        <v>0</v>
      </c>
      <c r="O217" s="10">
        <f>IF(ActiveDatabase=Standby,Secondary!O217,Primary!O217)</f>
        <v>0</v>
      </c>
      <c r="P217" s="10">
        <f>IF(ActiveDatabase=Standby,Secondary!P217,Primary!P217)</f>
        <v>0</v>
      </c>
      <c r="Q217" s="6">
        <f>IF(ActiveDatabase=Standby,Secondary!Q217,Primary!Q217)</f>
        <v>0</v>
      </c>
      <c r="R217" s="18">
        <f>IF(ActiveDatabase=Standby,Secondary!R217,Primary!R217)</f>
        <v>0</v>
      </c>
      <c r="S217" s="19">
        <f>IF(ActiveDatabase=Standby,Secondary!S217,Primary!S217)</f>
        <v>0</v>
      </c>
      <c r="T217" s="10">
        <f>IF(ActiveDatabase=Standby,Secondary!T217,Primary!T217)</f>
        <v>0</v>
      </c>
      <c r="U217" s="10">
        <f>IF(ActiveDatabase=Standby,Secondary!U217,Primary!U217)</f>
        <v>0</v>
      </c>
      <c r="V217" s="10">
        <f>IF(ActiveDatabase=Standby,Secondary!V217,Primary!V217)</f>
        <v>0</v>
      </c>
      <c r="W217" s="6">
        <f>IF(ActiveDatabase=Standby,Secondary!W217,Primary!W217)</f>
        <v>0</v>
      </c>
      <c r="X217" s="6">
        <f>IF(ActiveDatabase=Standby,Secondary!X217,Primary!X217)</f>
        <v>0</v>
      </c>
      <c r="Y217" s="12">
        <f>IF(ActiveDatabase=Standby,Secondary!Y217,Primary!Y217)</f>
        <v>0</v>
      </c>
      <c r="Z217" s="12">
        <f>IF(ActiveDatabase=Standby,Secondary!Z217,Primary!Z217)</f>
        <v>0</v>
      </c>
      <c r="AA217" s="7">
        <f>IF(ActiveDatabase=Standby,Secondary!AA217,Primary!AA217)</f>
        <v>0</v>
      </c>
      <c r="AB217" s="12"/>
      <c r="AC217" s="6"/>
      <c r="AD217" s="6"/>
      <c r="AE217" s="7"/>
      <c r="AF217" s="7"/>
      <c r="AG217" s="7"/>
      <c r="AH217" s="7"/>
      <c r="AI217" s="7"/>
      <c r="AJ217" s="7"/>
      <c r="AK217" s="7"/>
      <c r="AL217" s="7"/>
      <c r="AM217" s="7"/>
      <c r="AN217" s="7"/>
      <c r="AO217" s="6"/>
      <c r="AP217" s="7"/>
      <c r="AQ217" s="7"/>
      <c r="AR217" s="6"/>
      <c r="AS217" s="7"/>
      <c r="AT217" s="7"/>
      <c r="AU217" s="7"/>
      <c r="AV217" s="7"/>
      <c r="AW217" s="7"/>
      <c r="AX217" s="7"/>
      <c r="AY217" s="7"/>
      <c r="AZ217" s="7"/>
      <c r="BA217" s="7"/>
      <c r="BB217" s="7"/>
      <c r="BC217" s="7"/>
      <c r="BD217" s="7"/>
      <c r="BE217" s="7"/>
      <c r="BF217" s="7"/>
      <c r="BG217" s="7"/>
    </row>
    <row r="218" customHeight="1" spans="1:59">
      <c r="A218" s="9" t="str">
        <f>IF(ActiveDatabase=Standby,Secondary!A218,Primary!A218)</f>
        <v>Crusader 07</v>
      </c>
      <c r="B218" s="5" t="str">
        <f>IF(ActiveDatabase=Standby,Secondary!B218,Primary!B218)</f>
        <v>Crusader 02</v>
      </c>
      <c r="C218" s="5" t="str">
        <f>IF(ActiveDatabase=Standby,Secondary!C218,Primary!C218)</f>
        <v>Crusader 06</v>
      </c>
      <c r="D218" s="5" t="str">
        <f>IF(ActiveDatabase=Standby,Secondary!D218,Primary!D218)</f>
        <v>August Dunlow Spaceport</v>
      </c>
      <c r="E218" s="6" t="str">
        <f>IF(ActiveDatabase=Standby,Secondary!E218,Primary!E218)</f>
        <v>Dunlow</v>
      </c>
      <c r="F218" s="10">
        <f>IF(ActiveDatabase=Standby,Secondary!F218,Primary!F218)</f>
        <v>5295.53593213877</v>
      </c>
      <c r="G218" s="10">
        <f>IF(ActiveDatabase=Standby,Secondary!G218,Primary!G218)</f>
        <v>-871.476300384976</v>
      </c>
      <c r="H218" s="10">
        <f>IF(ActiveDatabase=Standby,Secondary!H218,Primary!H218)</f>
        <v>5281.92257913656</v>
      </c>
      <c r="I218" s="13">
        <f>IF(ActiveDatabase=Standby,Secondary!I218,Primary!I218)</f>
        <v>0</v>
      </c>
      <c r="J218" s="13">
        <f>IF(ActiveDatabase=Standby,Secondary!J218,Primary!J218)</f>
        <v>0</v>
      </c>
      <c r="K218" s="13">
        <f>IF(ActiveDatabase=Standby,Secondary!K218,Primary!K218)</f>
        <v>0</v>
      </c>
      <c r="L218" s="13">
        <f>IF(ActiveDatabase=Standby,Secondary!L218,Primary!L218)</f>
        <v>0</v>
      </c>
      <c r="M218" s="7" t="b">
        <f>IF(ActiveDatabase=Standby,Secondary!M218,Primary!M218)</f>
        <v>0</v>
      </c>
      <c r="N218" s="10">
        <f>IF(ActiveDatabase=Standby,Secondary!N218,Primary!N218)</f>
        <v>0</v>
      </c>
      <c r="O218" s="10">
        <f>IF(ActiveDatabase=Standby,Secondary!O218,Primary!O218)</f>
        <v>0</v>
      </c>
      <c r="P218" s="10">
        <f>IF(ActiveDatabase=Standby,Secondary!P218,Primary!P218)</f>
        <v>0</v>
      </c>
      <c r="Q218" s="6">
        <f>IF(ActiveDatabase=Standby,Secondary!Q218,Primary!Q218)</f>
        <v>0</v>
      </c>
      <c r="R218" s="18">
        <f>IF(ActiveDatabase=Standby,Secondary!R218,Primary!R218)</f>
        <v>0</v>
      </c>
      <c r="S218" s="19">
        <f>IF(ActiveDatabase=Standby,Secondary!S218,Primary!S218)</f>
        <v>0</v>
      </c>
      <c r="T218" s="10">
        <f>IF(ActiveDatabase=Standby,Secondary!T218,Primary!T218)</f>
        <v>0</v>
      </c>
      <c r="U218" s="10">
        <f>IF(ActiveDatabase=Standby,Secondary!U218,Primary!U218)</f>
        <v>0</v>
      </c>
      <c r="V218" s="10">
        <f>IF(ActiveDatabase=Standby,Secondary!V218,Primary!V218)</f>
        <v>0</v>
      </c>
      <c r="W218" s="6">
        <f>IF(ActiveDatabase=Standby,Secondary!W218,Primary!W218)</f>
        <v>0</v>
      </c>
      <c r="X218" s="6">
        <f>IF(ActiveDatabase=Standby,Secondary!X218,Primary!X218)</f>
        <v>0</v>
      </c>
      <c r="Y218" s="12">
        <f>IF(ActiveDatabase=Standby,Secondary!Y218,Primary!Y218)</f>
        <v>0</v>
      </c>
      <c r="Z218" s="12">
        <f>IF(ActiveDatabase=Standby,Secondary!Z218,Primary!Z218)</f>
        <v>0</v>
      </c>
      <c r="AA218" s="7">
        <f>IF(ActiveDatabase=Standby,Secondary!AA218,Primary!AA218)</f>
        <v>0</v>
      </c>
      <c r="AB218" s="12"/>
      <c r="AC218" s="6"/>
      <c r="AD218" s="6"/>
      <c r="AE218" s="7"/>
      <c r="AF218" s="7"/>
      <c r="AG218" s="7"/>
      <c r="AH218" s="7"/>
      <c r="AI218" s="7"/>
      <c r="AJ218" s="7"/>
      <c r="AK218" s="7"/>
      <c r="AL218" s="7"/>
      <c r="AM218" s="7"/>
      <c r="AN218" s="7"/>
      <c r="AO218" s="6"/>
      <c r="AP218" s="7"/>
      <c r="AQ218" s="7"/>
      <c r="AR218" s="6"/>
      <c r="AS218" s="7"/>
      <c r="AT218" s="7"/>
      <c r="AU218" s="7"/>
      <c r="AV218" s="7"/>
      <c r="AW218" s="7"/>
      <c r="AX218" s="7"/>
      <c r="AY218" s="7"/>
      <c r="AZ218" s="7"/>
      <c r="BA218" s="7"/>
      <c r="BB218" s="7"/>
      <c r="BC218" s="7"/>
      <c r="BD218" s="7"/>
      <c r="BE218" s="7"/>
      <c r="BF218" s="7"/>
      <c r="BG218" s="7"/>
    </row>
    <row r="219" customHeight="1" spans="1:59">
      <c r="A219" s="9" t="str">
        <f>IF(ActiveDatabase=Standby,Secondary!A219,Primary!A219)</f>
        <v>Crusader 02</v>
      </c>
      <c r="B219" s="5" t="str">
        <f>IF(ActiveDatabase=Standby,Secondary!B219,Primary!B219)</f>
        <v>Crusader 03</v>
      </c>
      <c r="C219" s="5" t="str">
        <f>IF(ActiveDatabase=Standby,Secondary!C219,Primary!C219)</f>
        <v>Crusader 08</v>
      </c>
      <c r="D219" s="5" t="str">
        <f>IF(ActiveDatabase=Standby,Secondary!D219,Primary!D219)</f>
        <v>Seraphim Station</v>
      </c>
      <c r="E219" s="6" t="str">
        <f>IF(ActiveDatabase=Standby,Secondary!E219,Primary!E219)</f>
        <v>Seraphim</v>
      </c>
      <c r="F219" s="10">
        <f>IF(ActiveDatabase=Standby,Secondary!F219,Primary!F219)</f>
        <v>5876.098201785</v>
      </c>
      <c r="G219" s="10">
        <f>IF(ActiveDatabase=Standby,Secondary!G219,Primary!G219)</f>
        <v>-1384.206723274</v>
      </c>
      <c r="H219" s="10">
        <f>IF(ActiveDatabase=Standby,Secondary!H219,Primary!H219)</f>
        <v>5565.88323190699</v>
      </c>
      <c r="I219" s="13">
        <f>IF(ActiveDatabase=Standby,Secondary!I219,Primary!I219)</f>
        <v>0</v>
      </c>
      <c r="J219" s="13">
        <f>IF(ActiveDatabase=Standby,Secondary!J219,Primary!J219)</f>
        <v>0</v>
      </c>
      <c r="K219" s="13">
        <f>IF(ActiveDatabase=Standby,Secondary!K219,Primary!K219)</f>
        <v>0</v>
      </c>
      <c r="L219" s="13">
        <f>IF(ActiveDatabase=Standby,Secondary!L219,Primary!L219)</f>
        <v>0</v>
      </c>
      <c r="M219" s="7" t="b">
        <f>IF(ActiveDatabase=Standby,Secondary!M219,Primary!M219)</f>
        <v>1</v>
      </c>
      <c r="N219" s="10">
        <f>IF(ActiveDatabase=Standby,Secondary!N219,Primary!N219)</f>
        <v>0</v>
      </c>
      <c r="O219" s="10">
        <f>IF(ActiveDatabase=Standby,Secondary!O219,Primary!O219)</f>
        <v>0</v>
      </c>
      <c r="P219" s="10">
        <f>IF(ActiveDatabase=Standby,Secondary!P219,Primary!P219)</f>
        <v>0</v>
      </c>
      <c r="Q219" s="6">
        <f>IF(ActiveDatabase=Standby,Secondary!Q219,Primary!Q219)</f>
        <v>0</v>
      </c>
      <c r="R219" s="18">
        <f>IF(ActiveDatabase=Standby,Secondary!R219,Primary!R219)</f>
        <v>0</v>
      </c>
      <c r="S219" s="19">
        <f>IF(ActiveDatabase=Standby,Secondary!S219,Primary!S219)</f>
        <v>0</v>
      </c>
      <c r="T219" s="10">
        <f>IF(ActiveDatabase=Standby,Secondary!T219,Primary!T219)</f>
        <v>0</v>
      </c>
      <c r="U219" s="10">
        <f>IF(ActiveDatabase=Standby,Secondary!U219,Primary!U219)</f>
        <v>0</v>
      </c>
      <c r="V219" s="10">
        <f>IF(ActiveDatabase=Standby,Secondary!V219,Primary!V219)</f>
        <v>0</v>
      </c>
      <c r="W219" s="6">
        <f>IF(ActiveDatabase=Standby,Secondary!W219,Primary!W219)</f>
        <v>0</v>
      </c>
      <c r="X219" s="6">
        <f>IF(ActiveDatabase=Standby,Secondary!X219,Primary!X219)</f>
        <v>0</v>
      </c>
      <c r="Y219" s="12">
        <f>IF(ActiveDatabase=Standby,Secondary!Y219,Primary!Y219)</f>
        <v>0</v>
      </c>
      <c r="Z219" s="12">
        <f>IF(ActiveDatabase=Standby,Secondary!Z219,Primary!Z219)</f>
        <v>0</v>
      </c>
      <c r="AA219" s="7">
        <f>IF(ActiveDatabase=Standby,Secondary!AA219,Primary!AA219)</f>
        <v>0</v>
      </c>
      <c r="AB219" s="12"/>
      <c r="AC219" s="6"/>
      <c r="AD219" s="6"/>
      <c r="AE219" s="7"/>
      <c r="AF219" s="7"/>
      <c r="AG219" s="7"/>
      <c r="AH219" s="7"/>
      <c r="AI219" s="7"/>
      <c r="AJ219" s="7"/>
      <c r="AK219" s="7"/>
      <c r="AL219" s="7"/>
      <c r="AM219" s="7"/>
      <c r="AN219" s="7"/>
      <c r="AO219" s="6"/>
      <c r="AP219" s="7"/>
      <c r="AQ219" s="7"/>
      <c r="AR219" s="6"/>
      <c r="AS219" s="7"/>
      <c r="AT219" s="7"/>
      <c r="AU219" s="7"/>
      <c r="AV219" s="7"/>
      <c r="AW219" s="7"/>
      <c r="AX219" s="7"/>
      <c r="AY219" s="7"/>
      <c r="AZ219" s="7"/>
      <c r="BA219" s="7"/>
      <c r="BB219" s="7"/>
      <c r="BC219" s="7"/>
      <c r="BD219" s="7"/>
      <c r="BE219" s="7"/>
      <c r="BF219" s="7"/>
      <c r="BG219" s="7"/>
    </row>
    <row r="220" customHeight="1" spans="1:59">
      <c r="A220" s="9" t="str">
        <f>IF(ActiveDatabase=Standby,Secondary!A220,Primary!A220)</f>
        <v>Crusader</v>
      </c>
      <c r="B220" s="5" t="str">
        <f>IF(ActiveDatabase=Standby,Secondary!B220,Primary!B220)</f>
        <v>Crusader 05</v>
      </c>
      <c r="C220" s="5">
        <f>IF(ActiveDatabase=Standby,Secondary!C220,Primary!C220)</f>
        <v>0</v>
      </c>
      <c r="D220" s="5" t="str">
        <f>IF(ActiveDatabase=Standby,Secondary!D220,Primary!D220)</f>
        <v>Platforms</v>
      </c>
      <c r="E220" s="6">
        <f>IF(ActiveDatabase=Standby,Secondary!E220,Primary!E220)</f>
        <v>0</v>
      </c>
      <c r="F220" s="10">
        <f>IF(ActiveDatabase=Standby,Secondary!F220,Primary!F220)</f>
        <v>0</v>
      </c>
      <c r="G220" s="10">
        <f>IF(ActiveDatabase=Standby,Secondary!G220,Primary!G220)</f>
        <v>0</v>
      </c>
      <c r="H220" s="10">
        <f>IF(ActiveDatabase=Standby,Secondary!H220,Primary!H220)</f>
        <v>0</v>
      </c>
      <c r="I220" s="13">
        <f>IF(ActiveDatabase=Standby,Secondary!I220,Primary!I220)</f>
        <v>0</v>
      </c>
      <c r="J220" s="13">
        <f>IF(ActiveDatabase=Standby,Secondary!J220,Primary!J220)</f>
        <v>0</v>
      </c>
      <c r="K220" s="13">
        <f>IF(ActiveDatabase=Standby,Secondary!K220,Primary!K220)</f>
        <v>0</v>
      </c>
      <c r="L220" s="13">
        <f>IF(ActiveDatabase=Standby,Secondary!L220,Primary!L220)</f>
        <v>0</v>
      </c>
      <c r="M220" s="7">
        <f>IF(ActiveDatabase=Standby,Secondary!M220,Primary!M220)</f>
        <v>0</v>
      </c>
      <c r="N220" s="10">
        <f>IF(ActiveDatabase=Standby,Secondary!N220,Primary!N220)</f>
        <v>0</v>
      </c>
      <c r="O220" s="10">
        <f>IF(ActiveDatabase=Standby,Secondary!O220,Primary!O220)</f>
        <v>0</v>
      </c>
      <c r="P220" s="10">
        <f>IF(ActiveDatabase=Standby,Secondary!P220,Primary!P220)</f>
        <v>0</v>
      </c>
      <c r="Q220" s="6">
        <f>IF(ActiveDatabase=Standby,Secondary!Q220,Primary!Q220)</f>
        <v>0</v>
      </c>
      <c r="R220" s="18">
        <f>IF(ActiveDatabase=Standby,Secondary!R220,Primary!R220)</f>
        <v>0</v>
      </c>
      <c r="S220" s="19">
        <f>IF(ActiveDatabase=Standby,Secondary!S220,Primary!S220)</f>
        <v>0</v>
      </c>
      <c r="T220" s="10">
        <f>IF(ActiveDatabase=Standby,Secondary!T220,Primary!T220)</f>
        <v>0</v>
      </c>
      <c r="U220" s="10">
        <f>IF(ActiveDatabase=Standby,Secondary!U220,Primary!U220)</f>
        <v>0</v>
      </c>
      <c r="V220" s="10">
        <f>IF(ActiveDatabase=Standby,Secondary!V220,Primary!V220)</f>
        <v>0</v>
      </c>
      <c r="W220" s="6">
        <f>IF(ActiveDatabase=Standby,Secondary!W220,Primary!W220)</f>
        <v>0</v>
      </c>
      <c r="X220" s="6">
        <f>IF(ActiveDatabase=Standby,Secondary!X220,Primary!X220)</f>
        <v>0</v>
      </c>
      <c r="Y220" s="12">
        <f>IF(ActiveDatabase=Standby,Secondary!Y220,Primary!Y220)</f>
        <v>0</v>
      </c>
      <c r="Z220" s="12">
        <f>IF(ActiveDatabase=Standby,Secondary!Z220,Primary!Z220)</f>
        <v>0</v>
      </c>
      <c r="AA220" s="7">
        <f>IF(ActiveDatabase=Standby,Secondary!AA220,Primary!AA220)</f>
        <v>0</v>
      </c>
      <c r="AB220" s="12"/>
      <c r="AC220" s="6"/>
      <c r="AD220" s="6"/>
      <c r="AE220" s="7"/>
      <c r="AF220" s="7"/>
      <c r="AG220" s="7"/>
      <c r="AH220" s="7"/>
      <c r="AI220" s="7"/>
      <c r="AJ220" s="7"/>
      <c r="AK220" s="7"/>
      <c r="AL220" s="7"/>
      <c r="AM220" s="7"/>
      <c r="AN220" s="7"/>
      <c r="AO220" s="6"/>
      <c r="AP220" s="7"/>
      <c r="AQ220" s="7"/>
      <c r="AR220" s="6"/>
      <c r="AS220" s="7"/>
      <c r="AT220" s="7"/>
      <c r="AU220" s="7"/>
      <c r="AV220" s="7"/>
      <c r="AW220" s="7"/>
      <c r="AX220" s="7"/>
      <c r="AY220" s="7"/>
      <c r="AZ220" s="7"/>
      <c r="BA220" s="7"/>
      <c r="BB220" s="7"/>
      <c r="BC220" s="7"/>
      <c r="BD220" s="7"/>
      <c r="BE220" s="7"/>
      <c r="BF220" s="7"/>
      <c r="BG220" s="7"/>
    </row>
    <row r="221" customHeight="1" spans="1:59">
      <c r="A221" s="9" t="str">
        <f>IF(ActiveDatabase=Standby,Secondary!A221,Primary!A221)</f>
        <v>Crusader 05</v>
      </c>
      <c r="B221" s="5" t="str">
        <f>IF(ActiveDatabase=Standby,Secondary!B221,Primary!B221)</f>
        <v>Crusader 08</v>
      </c>
      <c r="C221" s="5" t="str">
        <f>IF(ActiveDatabase=Standby,Secondary!C221,Primary!C221)</f>
        <v>Crusader 09</v>
      </c>
      <c r="D221" s="5" t="str">
        <f>IF(ActiveDatabase=Standby,Secondary!D221,Primary!D221)</f>
        <v>Prospect Point</v>
      </c>
      <c r="E221" s="6" t="str">
        <f>IF(ActiveDatabase=Standby,Secondary!E221,Primary!E221)</f>
        <v>Prospect</v>
      </c>
      <c r="F221" s="10">
        <f>IF(ActiveDatabase=Standby,Secondary!F221,Primary!F221)</f>
        <v>3254.27862449799</v>
      </c>
      <c r="G221" s="10">
        <f>IF(ActiveDatabase=Standby,Secondary!G221,Primary!G221)</f>
        <v>-1225.24843794899</v>
      </c>
      <c r="H221" s="10">
        <f>IF(ActiveDatabase=Standby,Secondary!H221,Primary!H221)</f>
        <v>6683.685935703</v>
      </c>
      <c r="I221" s="13">
        <f>IF(ActiveDatabase=Standby,Secondary!I221,Primary!I221)</f>
        <v>0</v>
      </c>
      <c r="J221" s="13">
        <f>IF(ActiveDatabase=Standby,Secondary!J221,Primary!J221)</f>
        <v>0</v>
      </c>
      <c r="K221" s="13">
        <f>IF(ActiveDatabase=Standby,Secondary!K221,Primary!K221)</f>
        <v>0</v>
      </c>
      <c r="L221" s="13">
        <f>IF(ActiveDatabase=Standby,Secondary!L221,Primary!L221)</f>
        <v>0</v>
      </c>
      <c r="M221" s="7" t="b">
        <f>IF(ActiveDatabase=Standby,Secondary!M221,Primary!M221)</f>
        <v>1</v>
      </c>
      <c r="N221" s="10">
        <f>IF(ActiveDatabase=Standby,Secondary!N221,Primary!N221)</f>
        <v>0</v>
      </c>
      <c r="O221" s="10">
        <f>IF(ActiveDatabase=Standby,Secondary!O221,Primary!O221)</f>
        <v>0</v>
      </c>
      <c r="P221" s="10">
        <f>IF(ActiveDatabase=Standby,Secondary!P221,Primary!P221)</f>
        <v>0</v>
      </c>
      <c r="Q221" s="6">
        <f>IF(ActiveDatabase=Standby,Secondary!Q221,Primary!Q221)</f>
        <v>0</v>
      </c>
      <c r="R221" s="18">
        <f>IF(ActiveDatabase=Standby,Secondary!R221,Primary!R221)</f>
        <v>0</v>
      </c>
      <c r="S221" s="19">
        <f>IF(ActiveDatabase=Standby,Secondary!S221,Primary!S221)</f>
        <v>0</v>
      </c>
      <c r="T221" s="10">
        <f>IF(ActiveDatabase=Standby,Secondary!T221,Primary!T221)</f>
        <v>0</v>
      </c>
      <c r="U221" s="10">
        <f>IF(ActiveDatabase=Standby,Secondary!U221,Primary!U221)</f>
        <v>0</v>
      </c>
      <c r="V221" s="10">
        <f>IF(ActiveDatabase=Standby,Secondary!V221,Primary!V221)</f>
        <v>0</v>
      </c>
      <c r="W221" s="6">
        <f>IF(ActiveDatabase=Standby,Secondary!W221,Primary!W221)</f>
        <v>0</v>
      </c>
      <c r="X221" s="6">
        <f>IF(ActiveDatabase=Standby,Secondary!X221,Primary!X221)</f>
        <v>0</v>
      </c>
      <c r="Y221" s="12">
        <f>IF(ActiveDatabase=Standby,Secondary!Y221,Primary!Y221)</f>
        <v>0</v>
      </c>
      <c r="Z221" s="12">
        <f>IF(ActiveDatabase=Standby,Secondary!Z221,Primary!Z221)</f>
        <v>0</v>
      </c>
      <c r="AA221" s="7">
        <f>IF(ActiveDatabase=Standby,Secondary!AA221,Primary!AA221)</f>
        <v>0</v>
      </c>
      <c r="AB221" s="12"/>
      <c r="AC221" s="6"/>
      <c r="AD221" s="6"/>
      <c r="AE221" s="7"/>
      <c r="AF221" s="7"/>
      <c r="AG221" s="7"/>
      <c r="AH221" s="7"/>
      <c r="AI221" s="7"/>
      <c r="AJ221" s="7"/>
      <c r="AK221" s="7"/>
      <c r="AL221" s="7"/>
      <c r="AM221" s="7"/>
      <c r="AN221" s="7"/>
      <c r="AO221" s="6"/>
      <c r="AP221" s="7"/>
      <c r="AQ221" s="7"/>
      <c r="AR221" s="6"/>
      <c r="AS221" s="7"/>
      <c r="AT221" s="7"/>
      <c r="AU221" s="7"/>
      <c r="AV221" s="7"/>
      <c r="AW221" s="7"/>
      <c r="AX221" s="7"/>
      <c r="AY221" s="7"/>
      <c r="AZ221" s="7"/>
      <c r="BA221" s="7"/>
      <c r="BB221" s="7"/>
      <c r="BC221" s="7"/>
      <c r="BD221" s="7"/>
      <c r="BE221" s="7"/>
      <c r="BF221" s="7"/>
      <c r="BG221" s="7"/>
    </row>
    <row r="222" customHeight="1" spans="1:59">
      <c r="A222" s="9" t="str">
        <f>IF(ActiveDatabase=Standby,Secondary!A222,Primary!A222)</f>
        <v>Crusader 03</v>
      </c>
      <c r="B222" s="5" t="str">
        <f>IF(ActiveDatabase=Standby,Secondary!B222,Primary!B222)</f>
        <v>Crusader 06</v>
      </c>
      <c r="C222" s="5" t="str">
        <f>IF(ActiveDatabase=Standby,Secondary!C222,Primary!C222)</f>
        <v>Crusader 11</v>
      </c>
      <c r="D222" s="5" t="str">
        <f>IF(ActiveDatabase=Standby,Secondary!D222,Primary!D222)</f>
        <v>Cloudrest Retreat</v>
      </c>
      <c r="E222" s="6" t="str">
        <f>IF(ActiveDatabase=Standby,Secondary!E222,Primary!E222)</f>
        <v>Cloudrest</v>
      </c>
      <c r="F222" s="10">
        <f>IF(ActiveDatabase=Standby,Secondary!F222,Primary!F222)</f>
        <v>-7396.17234155199</v>
      </c>
      <c r="G222" s="10">
        <f>IF(ActiveDatabase=Standby,Secondary!G222,Primary!G222)</f>
        <v>-1420.24600075198</v>
      </c>
      <c r="H222" s="10">
        <f>IF(ActiveDatabase=Standby,Secondary!H222,Primary!H222)</f>
        <v>29.006964957</v>
      </c>
      <c r="I222" s="13">
        <f>IF(ActiveDatabase=Standby,Secondary!I222,Primary!I222)</f>
        <v>0</v>
      </c>
      <c r="J222" s="13">
        <f>IF(ActiveDatabase=Standby,Secondary!J222,Primary!J222)</f>
        <v>0</v>
      </c>
      <c r="K222" s="13">
        <f>IF(ActiveDatabase=Standby,Secondary!K222,Primary!K222)</f>
        <v>0</v>
      </c>
      <c r="L222" s="13">
        <f>IF(ActiveDatabase=Standby,Secondary!L222,Primary!L222)</f>
        <v>0</v>
      </c>
      <c r="M222" s="7" t="b">
        <f>IF(ActiveDatabase=Standby,Secondary!M222,Primary!M222)</f>
        <v>1</v>
      </c>
      <c r="N222" s="10">
        <f>IF(ActiveDatabase=Standby,Secondary!N222,Primary!N222)</f>
        <v>0</v>
      </c>
      <c r="O222" s="10">
        <f>IF(ActiveDatabase=Standby,Secondary!O222,Primary!O222)</f>
        <v>0</v>
      </c>
      <c r="P222" s="10">
        <f>IF(ActiveDatabase=Standby,Secondary!P222,Primary!P222)</f>
        <v>0</v>
      </c>
      <c r="Q222" s="6">
        <f>IF(ActiveDatabase=Standby,Secondary!Q222,Primary!Q222)</f>
        <v>0</v>
      </c>
      <c r="R222" s="18">
        <f>IF(ActiveDatabase=Standby,Secondary!R222,Primary!R222)</f>
        <v>0</v>
      </c>
      <c r="S222" s="19">
        <f>IF(ActiveDatabase=Standby,Secondary!S222,Primary!S222)</f>
        <v>0</v>
      </c>
      <c r="T222" s="10">
        <f>IF(ActiveDatabase=Standby,Secondary!T222,Primary!T222)</f>
        <v>0</v>
      </c>
      <c r="U222" s="10">
        <f>IF(ActiveDatabase=Standby,Secondary!U222,Primary!U222)</f>
        <v>0</v>
      </c>
      <c r="V222" s="10">
        <f>IF(ActiveDatabase=Standby,Secondary!V222,Primary!V222)</f>
        <v>0</v>
      </c>
      <c r="W222" s="6">
        <f>IF(ActiveDatabase=Standby,Secondary!W222,Primary!W222)</f>
        <v>0</v>
      </c>
      <c r="X222" s="6">
        <f>IF(ActiveDatabase=Standby,Secondary!X222,Primary!X222)</f>
        <v>0</v>
      </c>
      <c r="Y222" s="12">
        <f>IF(ActiveDatabase=Standby,Secondary!Y222,Primary!Y222)</f>
        <v>0</v>
      </c>
      <c r="Z222" s="12">
        <f>IF(ActiveDatabase=Standby,Secondary!Z222,Primary!Z222)</f>
        <v>0</v>
      </c>
      <c r="AA222" s="7">
        <f>IF(ActiveDatabase=Standby,Secondary!AA222,Primary!AA222)</f>
        <v>0</v>
      </c>
      <c r="AB222" s="12"/>
      <c r="AC222" s="6"/>
      <c r="AD222" s="6"/>
      <c r="AE222" s="7"/>
      <c r="AF222" s="7"/>
      <c r="AG222" s="7"/>
      <c r="AH222" s="7"/>
      <c r="AI222" s="7"/>
      <c r="AJ222" s="7"/>
      <c r="AK222" s="7"/>
      <c r="AL222" s="7"/>
      <c r="AM222" s="7"/>
      <c r="AN222" s="7"/>
      <c r="AO222" s="6"/>
      <c r="AP222" s="7"/>
      <c r="AQ222" s="7"/>
      <c r="AR222" s="6"/>
      <c r="AS222" s="7"/>
      <c r="AT222" s="7"/>
      <c r="AU222" s="7"/>
      <c r="AV222" s="7"/>
      <c r="AW222" s="7"/>
      <c r="AX222" s="7"/>
      <c r="AY222" s="7"/>
      <c r="AZ222" s="7"/>
      <c r="BA222" s="7"/>
      <c r="BB222" s="7"/>
      <c r="BC222" s="7"/>
      <c r="BD222" s="7"/>
      <c r="BE222" s="7"/>
      <c r="BF222" s="7"/>
      <c r="BG222" s="7"/>
    </row>
    <row r="223" customHeight="1" spans="1:59">
      <c r="A223" s="9" t="str">
        <f>IF(ActiveDatabase=Standby,Secondary!A223,Primary!A223)</f>
        <v>Crusader 04</v>
      </c>
      <c r="B223" s="5" t="str">
        <f>IF(ActiveDatabase=Standby,Secondary!B223,Primary!B223)</f>
        <v>Crusader 07</v>
      </c>
      <c r="C223" s="5" t="str">
        <f>IF(ActiveDatabase=Standby,Secondary!C223,Primary!C223)</f>
        <v>Crusader 03</v>
      </c>
      <c r="D223" s="5" t="str">
        <f>IF(ActiveDatabase=Standby,Secondary!D223,Primary!D223)</f>
        <v>Empyrean Park</v>
      </c>
      <c r="E223" s="6" t="str">
        <f>IF(ActiveDatabase=Standby,Secondary!E223,Primary!E223)</f>
        <v>Empyrean</v>
      </c>
      <c r="F223" s="10">
        <f>IF(ActiveDatabase=Standby,Secondary!F223,Primary!F223)</f>
        <v>1090.10800084099</v>
      </c>
      <c r="G223" s="10">
        <f>IF(ActiveDatabase=Standby,Secondary!G223,Primary!G223)</f>
        <v>7304.36414807</v>
      </c>
      <c r="H223" s="10">
        <f>IF(ActiveDatabase=Standby,Secondary!H223,Primary!H223)</f>
        <v>1509.817678994</v>
      </c>
      <c r="I223" s="13">
        <f>IF(ActiveDatabase=Standby,Secondary!I223,Primary!I223)</f>
        <v>0</v>
      </c>
      <c r="J223" s="13">
        <f>IF(ActiveDatabase=Standby,Secondary!J223,Primary!J223)</f>
        <v>0</v>
      </c>
      <c r="K223" s="13">
        <f>IF(ActiveDatabase=Standby,Secondary!K223,Primary!K223)</f>
        <v>0</v>
      </c>
      <c r="L223" s="13">
        <f>IF(ActiveDatabase=Standby,Secondary!L223,Primary!L223)</f>
        <v>0</v>
      </c>
      <c r="M223" s="7" t="b">
        <f>IF(ActiveDatabase=Standby,Secondary!M223,Primary!M223)</f>
        <v>1</v>
      </c>
      <c r="N223" s="10">
        <f>IF(ActiveDatabase=Standby,Secondary!N223,Primary!N223)</f>
        <v>0</v>
      </c>
      <c r="O223" s="10">
        <f>IF(ActiveDatabase=Standby,Secondary!O223,Primary!O223)</f>
        <v>0</v>
      </c>
      <c r="P223" s="10">
        <f>IF(ActiveDatabase=Standby,Secondary!P223,Primary!P223)</f>
        <v>0</v>
      </c>
      <c r="Q223" s="6">
        <f>IF(ActiveDatabase=Standby,Secondary!Q223,Primary!Q223)</f>
        <v>0</v>
      </c>
      <c r="R223" s="18">
        <f>IF(ActiveDatabase=Standby,Secondary!R223,Primary!R223)</f>
        <v>0</v>
      </c>
      <c r="S223" s="19">
        <f>IF(ActiveDatabase=Standby,Secondary!S223,Primary!S223)</f>
        <v>0</v>
      </c>
      <c r="T223" s="10">
        <f>IF(ActiveDatabase=Standby,Secondary!T223,Primary!T223)</f>
        <v>0</v>
      </c>
      <c r="U223" s="10">
        <f>IF(ActiveDatabase=Standby,Secondary!U223,Primary!U223)</f>
        <v>0</v>
      </c>
      <c r="V223" s="10">
        <f>IF(ActiveDatabase=Standby,Secondary!V223,Primary!V223)</f>
        <v>0</v>
      </c>
      <c r="W223" s="6">
        <f>IF(ActiveDatabase=Standby,Secondary!W223,Primary!W223)</f>
        <v>0</v>
      </c>
      <c r="X223" s="6">
        <f>IF(ActiveDatabase=Standby,Secondary!X223,Primary!X223)</f>
        <v>0</v>
      </c>
      <c r="Y223" s="12">
        <f>IF(ActiveDatabase=Standby,Secondary!Y223,Primary!Y223)</f>
        <v>0</v>
      </c>
      <c r="Z223" s="12">
        <f>IF(ActiveDatabase=Standby,Secondary!Z223,Primary!Z223)</f>
        <v>0</v>
      </c>
      <c r="AA223" s="7">
        <f>IF(ActiveDatabase=Standby,Secondary!AA223,Primary!AA223)</f>
        <v>0</v>
      </c>
      <c r="AB223" s="12"/>
      <c r="AC223" s="6"/>
      <c r="AD223" s="6"/>
      <c r="AE223" s="7"/>
      <c r="AF223" s="7"/>
      <c r="AG223" s="7"/>
      <c r="AH223" s="7"/>
      <c r="AI223" s="7"/>
      <c r="AJ223" s="7"/>
      <c r="AK223" s="7"/>
      <c r="AL223" s="7"/>
      <c r="AM223" s="7"/>
      <c r="AN223" s="7"/>
      <c r="AO223" s="6"/>
      <c r="AP223" s="7"/>
      <c r="AQ223" s="7"/>
      <c r="AR223" s="6"/>
      <c r="AS223" s="7"/>
      <c r="AT223" s="7"/>
      <c r="AU223" s="7"/>
      <c r="AV223" s="7"/>
      <c r="AW223" s="7"/>
      <c r="AX223" s="7"/>
      <c r="AY223" s="7"/>
      <c r="AZ223" s="7"/>
      <c r="BA223" s="7"/>
      <c r="BB223" s="7"/>
      <c r="BC223" s="7"/>
      <c r="BD223" s="7"/>
      <c r="BE223" s="7"/>
      <c r="BF223" s="7"/>
      <c r="BG223" s="7"/>
    </row>
    <row r="224" customHeight="1" spans="1:59">
      <c r="A224" s="9" t="str">
        <f>IF(ActiveDatabase=Standby,Secondary!A224,Primary!A224)</f>
        <v>Crusader</v>
      </c>
      <c r="B224" s="5" t="str">
        <f>IF(ActiveDatabase=Standby,Secondary!B224,Primary!B224)</f>
        <v>Crusader 10</v>
      </c>
      <c r="C224" s="5">
        <f>IF(ActiveDatabase=Standby,Secondary!C224,Primary!C224)</f>
        <v>0</v>
      </c>
      <c r="D224" s="5" t="str">
        <f>IF(ActiveDatabase=Standby,Secondary!D224,Primary!D224)</f>
        <v>Racetracks</v>
      </c>
      <c r="E224" s="6">
        <f>IF(ActiveDatabase=Standby,Secondary!E224,Primary!E224)</f>
        <v>0</v>
      </c>
      <c r="F224" s="10">
        <f>IF(ActiveDatabase=Standby,Secondary!F224,Primary!F224)</f>
        <v>0</v>
      </c>
      <c r="G224" s="10">
        <f>IF(ActiveDatabase=Standby,Secondary!G224,Primary!G224)</f>
        <v>0</v>
      </c>
      <c r="H224" s="10">
        <f>IF(ActiveDatabase=Standby,Secondary!H224,Primary!H224)</f>
        <v>0</v>
      </c>
      <c r="I224" s="13">
        <f>IF(ActiveDatabase=Standby,Secondary!I224,Primary!I224)</f>
        <v>0</v>
      </c>
      <c r="J224" s="13">
        <f>IF(ActiveDatabase=Standby,Secondary!J224,Primary!J224)</f>
        <v>0</v>
      </c>
      <c r="K224" s="13">
        <f>IF(ActiveDatabase=Standby,Secondary!K224,Primary!K224)</f>
        <v>0</v>
      </c>
      <c r="L224" s="13">
        <f>IF(ActiveDatabase=Standby,Secondary!L224,Primary!L224)</f>
        <v>0</v>
      </c>
      <c r="M224" s="7">
        <f>IF(ActiveDatabase=Standby,Secondary!M224,Primary!M224)</f>
        <v>0</v>
      </c>
      <c r="N224" s="10">
        <f>IF(ActiveDatabase=Standby,Secondary!N224,Primary!N224)</f>
        <v>0</v>
      </c>
      <c r="O224" s="10">
        <f>IF(ActiveDatabase=Standby,Secondary!O224,Primary!O224)</f>
        <v>0</v>
      </c>
      <c r="P224" s="10">
        <f>IF(ActiveDatabase=Standby,Secondary!P224,Primary!P224)</f>
        <v>0</v>
      </c>
      <c r="Q224" s="6">
        <f>IF(ActiveDatabase=Standby,Secondary!Q224,Primary!Q224)</f>
        <v>0</v>
      </c>
      <c r="R224" s="18">
        <f>IF(ActiveDatabase=Standby,Secondary!R224,Primary!R224)</f>
        <v>0</v>
      </c>
      <c r="S224" s="19">
        <f>IF(ActiveDatabase=Standby,Secondary!S224,Primary!S224)</f>
        <v>0</v>
      </c>
      <c r="T224" s="10">
        <f>IF(ActiveDatabase=Standby,Secondary!T224,Primary!T224)</f>
        <v>0</v>
      </c>
      <c r="U224" s="10">
        <f>IF(ActiveDatabase=Standby,Secondary!U224,Primary!U224)</f>
        <v>0</v>
      </c>
      <c r="V224" s="10">
        <f>IF(ActiveDatabase=Standby,Secondary!V224,Primary!V224)</f>
        <v>0</v>
      </c>
      <c r="W224" s="6">
        <f>IF(ActiveDatabase=Standby,Secondary!W224,Primary!W224)</f>
        <v>0</v>
      </c>
      <c r="X224" s="6">
        <f>IF(ActiveDatabase=Standby,Secondary!X224,Primary!X224)</f>
        <v>0</v>
      </c>
      <c r="Y224" s="12">
        <f>IF(ActiveDatabase=Standby,Secondary!Y224,Primary!Y224)</f>
        <v>0</v>
      </c>
      <c r="Z224" s="12">
        <f>IF(ActiveDatabase=Standby,Secondary!Z224,Primary!Z224)</f>
        <v>0</v>
      </c>
      <c r="AA224" s="7">
        <f>IF(ActiveDatabase=Standby,Secondary!AA224,Primary!AA224)</f>
        <v>0</v>
      </c>
      <c r="AB224" s="12"/>
      <c r="AC224" s="6"/>
      <c r="AD224" s="6"/>
      <c r="AE224" s="7"/>
      <c r="AF224" s="7"/>
      <c r="AG224" s="7"/>
      <c r="AH224" s="7"/>
      <c r="AI224" s="7"/>
      <c r="AJ224" s="7"/>
      <c r="AK224" s="7"/>
      <c r="AL224" s="7"/>
      <c r="AM224" s="7"/>
      <c r="AN224" s="7"/>
      <c r="AO224" s="6"/>
      <c r="AP224" s="7"/>
      <c r="AQ224" s="7"/>
      <c r="AR224" s="6"/>
      <c r="AS224" s="7"/>
      <c r="AT224" s="7"/>
      <c r="AU224" s="7"/>
      <c r="AV224" s="7"/>
      <c r="AW224" s="7"/>
      <c r="AX224" s="7"/>
      <c r="AY224" s="7"/>
      <c r="AZ224" s="7"/>
      <c r="BA224" s="7"/>
      <c r="BB224" s="7"/>
      <c r="BC224" s="7"/>
      <c r="BD224" s="7"/>
      <c r="BE224" s="7"/>
      <c r="BF224" s="7"/>
      <c r="BG224" s="7"/>
    </row>
    <row r="225" customHeight="1" spans="1:59">
      <c r="A225" s="9" t="str">
        <f>IF(ActiveDatabase=Standby,Secondary!A225,Primary!A225)</f>
        <v>Crusader 08</v>
      </c>
      <c r="B225" s="5" t="str">
        <f>IF(ActiveDatabase=Standby,Secondary!B225,Primary!B225)</f>
        <v>Crusader 11</v>
      </c>
      <c r="C225" s="5" t="str">
        <f>IF(ActiveDatabase=Standby,Secondary!C225,Primary!C225)</f>
        <v>Crusader 07</v>
      </c>
      <c r="D225" s="5" t="str">
        <f>IF(ActiveDatabase=Standby,Secondary!D225,Primary!D225)</f>
        <v>Caplan Circuit</v>
      </c>
      <c r="E225" s="6" t="str">
        <f>IF(ActiveDatabase=Standby,Secondary!E225,Primary!E225)</f>
        <v>Caplan</v>
      </c>
      <c r="F225" s="10">
        <f>IF(ActiveDatabase=Standby,Secondary!F225,Primary!F225)</f>
        <v>5297.83153033498</v>
      </c>
      <c r="G225" s="10">
        <f>IF(ActiveDatabase=Standby,Secondary!G225,Primary!G225)</f>
        <v>-878.029351991</v>
      </c>
      <c r="H225" s="10">
        <f>IF(ActiveDatabase=Standby,Secondary!H225,Primary!H225)</f>
        <v>5275.458328362</v>
      </c>
      <c r="I225" s="13">
        <f>IF(ActiveDatabase=Standby,Secondary!I225,Primary!I225)</f>
        <v>0</v>
      </c>
      <c r="J225" s="13">
        <f>IF(ActiveDatabase=Standby,Secondary!J225,Primary!J225)</f>
        <v>0</v>
      </c>
      <c r="K225" s="13">
        <f>IF(ActiveDatabase=Standby,Secondary!K225,Primary!K225)</f>
        <v>0</v>
      </c>
      <c r="L225" s="13">
        <f>IF(ActiveDatabase=Standby,Secondary!L225,Primary!L225)</f>
        <v>0</v>
      </c>
      <c r="M225" s="7" t="b">
        <f>IF(ActiveDatabase=Standby,Secondary!M225,Primary!M225)</f>
        <v>0</v>
      </c>
      <c r="N225" s="10">
        <f>IF(ActiveDatabase=Standby,Secondary!N225,Primary!N225)</f>
        <v>0</v>
      </c>
      <c r="O225" s="10">
        <f>IF(ActiveDatabase=Standby,Secondary!O225,Primary!O225)</f>
        <v>0</v>
      </c>
      <c r="P225" s="10">
        <f>IF(ActiveDatabase=Standby,Secondary!P225,Primary!P225)</f>
        <v>0</v>
      </c>
      <c r="Q225" s="6">
        <f>IF(ActiveDatabase=Standby,Secondary!Q225,Primary!Q225)</f>
        <v>0</v>
      </c>
      <c r="R225" s="18">
        <f>IF(ActiveDatabase=Standby,Secondary!R225,Primary!R225)</f>
        <v>0</v>
      </c>
      <c r="S225" s="19">
        <f>IF(ActiveDatabase=Standby,Secondary!S225,Primary!S225)</f>
        <v>0</v>
      </c>
      <c r="T225" s="10">
        <f>IF(ActiveDatabase=Standby,Secondary!T225,Primary!T225)</f>
        <v>0</v>
      </c>
      <c r="U225" s="10">
        <f>IF(ActiveDatabase=Standby,Secondary!U225,Primary!U225)</f>
        <v>0</v>
      </c>
      <c r="V225" s="10">
        <f>IF(ActiveDatabase=Standby,Secondary!V225,Primary!V225)</f>
        <v>0</v>
      </c>
      <c r="W225" s="6">
        <f>IF(ActiveDatabase=Standby,Secondary!W225,Primary!W225)</f>
        <v>0</v>
      </c>
      <c r="X225" s="6">
        <f>IF(ActiveDatabase=Standby,Secondary!X225,Primary!X225)</f>
        <v>0</v>
      </c>
      <c r="Y225" s="12">
        <f>IF(ActiveDatabase=Standby,Secondary!Y225,Primary!Y225)</f>
        <v>0</v>
      </c>
      <c r="Z225" s="12">
        <f>IF(ActiveDatabase=Standby,Secondary!Z225,Primary!Z225)</f>
        <v>0</v>
      </c>
      <c r="AA225" s="7">
        <f>IF(ActiveDatabase=Standby,Secondary!AA225,Primary!AA225)</f>
        <v>0</v>
      </c>
      <c r="AB225" s="12"/>
      <c r="AC225" s="6"/>
      <c r="AD225" s="6"/>
      <c r="AE225" s="7"/>
      <c r="AF225" s="7"/>
      <c r="AG225" s="7"/>
      <c r="AH225" s="7"/>
      <c r="AI225" s="7"/>
      <c r="AJ225" s="7"/>
      <c r="AK225" s="7"/>
      <c r="AL225" s="7"/>
      <c r="AM225" s="7"/>
      <c r="AN225" s="7"/>
      <c r="AO225" s="6"/>
      <c r="AP225" s="7"/>
      <c r="AQ225" s="7"/>
      <c r="AR225" s="6"/>
      <c r="AS225" s="7"/>
      <c r="AT225" s="7"/>
      <c r="AU225" s="7"/>
      <c r="AV225" s="7"/>
      <c r="AW225" s="7"/>
      <c r="AX225" s="7"/>
      <c r="AY225" s="7"/>
      <c r="AZ225" s="7"/>
      <c r="BA225" s="7"/>
      <c r="BB225" s="7"/>
      <c r="BC225" s="7"/>
      <c r="BD225" s="7"/>
      <c r="BE225" s="7"/>
      <c r="BF225" s="7"/>
      <c r="BG225" s="7"/>
    </row>
    <row r="226" customHeight="1" spans="1:59">
      <c r="A226" s="9" t="str">
        <f>IF(ActiveDatabase=Standby,Secondary!A226,Primary!A226)</f>
        <v>Crusader</v>
      </c>
      <c r="B226" s="5" t="str">
        <f>IF(ActiveDatabase=Standby,Secondary!B226,Primary!B226)</f>
        <v>Crusader 13</v>
      </c>
      <c r="C226" s="5">
        <f>IF(ActiveDatabase=Standby,Secondary!C226,Primary!C226)</f>
        <v>0</v>
      </c>
      <c r="D226" s="5" t="str">
        <f>IF(ActiveDatabase=Standby,Secondary!D226,Primary!D226)</f>
        <v>Comm Array</v>
      </c>
      <c r="E226" s="6">
        <f>IF(ActiveDatabase=Standby,Secondary!E226,Primary!E226)</f>
        <v>0</v>
      </c>
      <c r="F226" s="10">
        <f>IF(ActiveDatabase=Standby,Secondary!F226,Primary!F226)</f>
        <v>0</v>
      </c>
      <c r="G226" s="10">
        <f>IF(ActiveDatabase=Standby,Secondary!G226,Primary!G226)</f>
        <v>0</v>
      </c>
      <c r="H226" s="10">
        <f>IF(ActiveDatabase=Standby,Secondary!H226,Primary!H226)</f>
        <v>0</v>
      </c>
      <c r="I226" s="13">
        <f>IF(ActiveDatabase=Standby,Secondary!I226,Primary!I226)</f>
        <v>0</v>
      </c>
      <c r="J226" s="13">
        <f>IF(ActiveDatabase=Standby,Secondary!J226,Primary!J226)</f>
        <v>0</v>
      </c>
      <c r="K226" s="13">
        <f>IF(ActiveDatabase=Standby,Secondary!K226,Primary!K226)</f>
        <v>0</v>
      </c>
      <c r="L226" s="13">
        <f>IF(ActiveDatabase=Standby,Secondary!L226,Primary!L226)</f>
        <v>0</v>
      </c>
      <c r="M226" s="7">
        <f>IF(ActiveDatabase=Standby,Secondary!M226,Primary!M226)</f>
        <v>0</v>
      </c>
      <c r="N226" s="10">
        <f>IF(ActiveDatabase=Standby,Secondary!N226,Primary!N226)</f>
        <v>0</v>
      </c>
      <c r="O226" s="10">
        <f>IF(ActiveDatabase=Standby,Secondary!O226,Primary!O226)</f>
        <v>0</v>
      </c>
      <c r="P226" s="10">
        <f>IF(ActiveDatabase=Standby,Secondary!P226,Primary!P226)</f>
        <v>0</v>
      </c>
      <c r="Q226" s="6">
        <f>IF(ActiveDatabase=Standby,Secondary!Q226,Primary!Q226)</f>
        <v>0</v>
      </c>
      <c r="R226" s="18">
        <f>IF(ActiveDatabase=Standby,Secondary!R226,Primary!R226)</f>
        <v>0</v>
      </c>
      <c r="S226" s="19">
        <f>IF(ActiveDatabase=Standby,Secondary!S226,Primary!S226)</f>
        <v>0</v>
      </c>
      <c r="T226" s="10">
        <f>IF(ActiveDatabase=Standby,Secondary!T226,Primary!T226)</f>
        <v>0</v>
      </c>
      <c r="U226" s="10">
        <f>IF(ActiveDatabase=Standby,Secondary!U226,Primary!U226)</f>
        <v>0</v>
      </c>
      <c r="V226" s="10">
        <f>IF(ActiveDatabase=Standby,Secondary!V226,Primary!V226)</f>
        <v>0</v>
      </c>
      <c r="W226" s="6">
        <f>IF(ActiveDatabase=Standby,Secondary!W226,Primary!W226)</f>
        <v>0</v>
      </c>
      <c r="X226" s="6">
        <f>IF(ActiveDatabase=Standby,Secondary!X226,Primary!X226)</f>
        <v>0</v>
      </c>
      <c r="Y226" s="12">
        <f>IF(ActiveDatabase=Standby,Secondary!Y226,Primary!Y226)</f>
        <v>0</v>
      </c>
      <c r="Z226" s="12">
        <f>IF(ActiveDatabase=Standby,Secondary!Z226,Primary!Z226)</f>
        <v>0</v>
      </c>
      <c r="AA226" s="7">
        <f>IF(ActiveDatabase=Standby,Secondary!AA226,Primary!AA226)</f>
        <v>0</v>
      </c>
      <c r="AB226" s="12"/>
      <c r="AC226" s="6"/>
      <c r="AD226" s="6"/>
      <c r="AE226" s="7"/>
      <c r="AF226" s="7"/>
      <c r="AG226" s="7"/>
      <c r="AH226" s="7"/>
      <c r="AI226" s="7"/>
      <c r="AJ226" s="7"/>
      <c r="AK226" s="7"/>
      <c r="AL226" s="7"/>
      <c r="AM226" s="7"/>
      <c r="AN226" s="7"/>
      <c r="AO226" s="6"/>
      <c r="AP226" s="7"/>
      <c r="AQ226" s="7"/>
      <c r="AR226" s="6"/>
      <c r="AS226" s="7"/>
      <c r="AT226" s="7"/>
      <c r="AU226" s="7"/>
      <c r="AV226" s="7"/>
      <c r="AW226" s="7"/>
      <c r="AX226" s="7"/>
      <c r="AY226" s="7"/>
      <c r="AZ226" s="7"/>
      <c r="BA226" s="7"/>
      <c r="BB226" s="7"/>
      <c r="BC226" s="7"/>
      <c r="BD226" s="7"/>
      <c r="BE226" s="7"/>
      <c r="BF226" s="7"/>
      <c r="BG226" s="7"/>
    </row>
    <row r="227" customHeight="1" spans="1:59">
      <c r="A227" s="9" t="str">
        <f>IF(ActiveDatabase=Standby,Secondary!A227,Primary!A227)</f>
        <v>Crusader 06</v>
      </c>
      <c r="B227" s="5" t="str">
        <f>IF(ActiveDatabase=Standby,Secondary!B227,Primary!B227)</f>
        <v>Crusader 14</v>
      </c>
      <c r="C227" s="5" t="str">
        <f>IF(ActiveDatabase=Standby,Secondary!C227,Primary!C227)</f>
        <v>Crusader 01</v>
      </c>
      <c r="D227" s="5" t="str">
        <f>IF(ActiveDatabase=Standby,Secondary!D227,Primary!D227)</f>
        <v>Comm Array ST2-55</v>
      </c>
      <c r="E227" s="6" t="str">
        <f>IF(ActiveDatabase=Standby,Secondary!E227,Primary!E227)</f>
        <v>ST2-55</v>
      </c>
      <c r="F227" s="10">
        <f>IF(ActiveDatabase=Standby,Secondary!F227,Primary!F227)</f>
        <v>-1387.91691970062</v>
      </c>
      <c r="G227" s="10">
        <f>IF(ActiveDatabase=Standby,Secondary!G227,Primary!G227)</f>
        <v>8802.20376522017</v>
      </c>
      <c r="H227" s="10">
        <f>IF(ActiveDatabase=Standby,Secondary!H227,Primary!H227)</f>
        <v>24</v>
      </c>
      <c r="I227" s="13">
        <f>IF(ActiveDatabase=Standby,Secondary!I227,Primary!I227)</f>
        <v>0</v>
      </c>
      <c r="J227" s="13">
        <f>IF(ActiveDatabase=Standby,Secondary!J227,Primary!J227)</f>
        <v>0</v>
      </c>
      <c r="K227" s="13">
        <f>IF(ActiveDatabase=Standby,Secondary!K227,Primary!K227)</f>
        <v>0</v>
      </c>
      <c r="L227" s="13">
        <f>IF(ActiveDatabase=Standby,Secondary!L227,Primary!L227)</f>
        <v>0</v>
      </c>
      <c r="M227" s="7" t="b">
        <f>IF(ActiveDatabase=Standby,Secondary!M227,Primary!M227)</f>
        <v>1</v>
      </c>
      <c r="N227" s="10">
        <f>IF(ActiveDatabase=Standby,Secondary!N227,Primary!N227)</f>
        <v>0</v>
      </c>
      <c r="O227" s="10">
        <f>IF(ActiveDatabase=Standby,Secondary!O227,Primary!O227)</f>
        <v>0</v>
      </c>
      <c r="P227" s="10">
        <f>IF(ActiveDatabase=Standby,Secondary!P227,Primary!P227)</f>
        <v>0</v>
      </c>
      <c r="Q227" s="6">
        <f>IF(ActiveDatabase=Standby,Secondary!Q227,Primary!Q227)</f>
        <v>0</v>
      </c>
      <c r="R227" s="18">
        <f>IF(ActiveDatabase=Standby,Secondary!R227,Primary!R227)</f>
        <v>0</v>
      </c>
      <c r="S227" s="19">
        <f>IF(ActiveDatabase=Standby,Secondary!S227,Primary!S227)</f>
        <v>0</v>
      </c>
      <c r="T227" s="10">
        <f>IF(ActiveDatabase=Standby,Secondary!T227,Primary!T227)</f>
        <v>0</v>
      </c>
      <c r="U227" s="10">
        <f>IF(ActiveDatabase=Standby,Secondary!U227,Primary!U227)</f>
        <v>0</v>
      </c>
      <c r="V227" s="10">
        <f>IF(ActiveDatabase=Standby,Secondary!V227,Primary!V227)</f>
        <v>0</v>
      </c>
      <c r="W227" s="6">
        <f>IF(ActiveDatabase=Standby,Secondary!W227,Primary!W227)</f>
        <v>0</v>
      </c>
      <c r="X227" s="6">
        <f>IF(ActiveDatabase=Standby,Secondary!X227,Primary!X227)</f>
        <v>0</v>
      </c>
      <c r="Y227" s="12">
        <f>IF(ActiveDatabase=Standby,Secondary!Y227,Primary!Y227)</f>
        <v>0</v>
      </c>
      <c r="Z227" s="12">
        <f>IF(ActiveDatabase=Standby,Secondary!Z227,Primary!Z227)</f>
        <v>0</v>
      </c>
      <c r="AA227" s="7">
        <f>IF(ActiveDatabase=Standby,Secondary!AA227,Primary!AA227)</f>
        <v>0</v>
      </c>
      <c r="AB227" s="12"/>
      <c r="AC227" s="6"/>
      <c r="AD227" s="6"/>
      <c r="AE227" s="7"/>
      <c r="AF227" s="7"/>
      <c r="AG227" s="7"/>
      <c r="AH227" s="7"/>
      <c r="AI227" s="7"/>
      <c r="AJ227" s="7"/>
      <c r="AK227" s="7"/>
      <c r="AL227" s="7"/>
      <c r="AM227" s="7"/>
      <c r="AN227" s="7"/>
      <c r="AO227" s="6"/>
      <c r="AP227" s="7"/>
      <c r="AQ227" s="7"/>
      <c r="AR227" s="6"/>
      <c r="AS227" s="7"/>
      <c r="AT227" s="7"/>
      <c r="AU227" s="7"/>
      <c r="AV227" s="7"/>
      <c r="AW227" s="7"/>
      <c r="AX227" s="7"/>
      <c r="AY227" s="7"/>
      <c r="AZ227" s="7"/>
      <c r="BA227" s="7"/>
      <c r="BB227" s="7"/>
      <c r="BC227" s="7"/>
      <c r="BD227" s="7"/>
      <c r="BE227" s="7"/>
      <c r="BF227" s="7"/>
      <c r="BG227" s="7"/>
    </row>
    <row r="228" customHeight="1" spans="1:59">
      <c r="A228" s="9">
        <f>IF(ActiveDatabase=Standby,Secondary!A228,Primary!A228)</f>
        <v>0</v>
      </c>
      <c r="B228" s="5">
        <f>IF(ActiveDatabase=Standby,Secondary!B228,Primary!B228)</f>
        <v>0</v>
      </c>
      <c r="C228" s="5">
        <f>IF(ActiveDatabase=Standby,Secondary!C228,Primary!C228)</f>
        <v>0</v>
      </c>
      <c r="D228" s="5">
        <f>IF(ActiveDatabase=Standby,Secondary!D228,Primary!D228)</f>
        <v>0</v>
      </c>
      <c r="E228" s="6">
        <f>IF(ActiveDatabase=Standby,Secondary!E228,Primary!E228)</f>
        <v>0</v>
      </c>
      <c r="F228" s="10">
        <f>IF(ActiveDatabase=Standby,Secondary!F228,Primary!F228)</f>
        <v>0</v>
      </c>
      <c r="G228" s="10">
        <f>IF(ActiveDatabase=Standby,Secondary!G228,Primary!G228)</f>
        <v>0</v>
      </c>
      <c r="H228" s="10">
        <f>IF(ActiveDatabase=Standby,Secondary!H228,Primary!H228)</f>
        <v>0</v>
      </c>
      <c r="I228" s="13">
        <f>IF(ActiveDatabase=Standby,Secondary!I228,Primary!I228)</f>
        <v>0</v>
      </c>
      <c r="J228" s="13">
        <f>IF(ActiveDatabase=Standby,Secondary!J228,Primary!J228)</f>
        <v>0</v>
      </c>
      <c r="K228" s="13">
        <f>IF(ActiveDatabase=Standby,Secondary!K228,Primary!K228)</f>
        <v>0</v>
      </c>
      <c r="L228" s="13">
        <f>IF(ActiveDatabase=Standby,Secondary!L228,Primary!L228)</f>
        <v>0</v>
      </c>
      <c r="M228" s="7">
        <f>IF(ActiveDatabase=Standby,Secondary!M228,Primary!M228)</f>
        <v>0</v>
      </c>
      <c r="N228" s="10">
        <f>IF(ActiveDatabase=Standby,Secondary!N228,Primary!N228)</f>
        <v>0</v>
      </c>
      <c r="O228" s="10">
        <f>IF(ActiveDatabase=Standby,Secondary!O228,Primary!O228)</f>
        <v>0</v>
      </c>
      <c r="P228" s="10">
        <f>IF(ActiveDatabase=Standby,Secondary!P228,Primary!P228)</f>
        <v>0</v>
      </c>
      <c r="Q228" s="6">
        <f>IF(ActiveDatabase=Standby,Secondary!Q228,Primary!Q228)</f>
        <v>0</v>
      </c>
      <c r="R228" s="18">
        <f>IF(ActiveDatabase=Standby,Secondary!R228,Primary!R228)</f>
        <v>0</v>
      </c>
      <c r="S228" s="19">
        <f>IF(ActiveDatabase=Standby,Secondary!S228,Primary!S228)</f>
        <v>0</v>
      </c>
      <c r="T228" s="10">
        <f>IF(ActiveDatabase=Standby,Secondary!T228,Primary!T228)</f>
        <v>0</v>
      </c>
      <c r="U228" s="10">
        <f>IF(ActiveDatabase=Standby,Secondary!U228,Primary!U228)</f>
        <v>0</v>
      </c>
      <c r="V228" s="10">
        <f>IF(ActiveDatabase=Standby,Secondary!V228,Primary!V228)</f>
        <v>0</v>
      </c>
      <c r="W228" s="6">
        <f>IF(ActiveDatabase=Standby,Secondary!W228,Primary!W228)</f>
        <v>0</v>
      </c>
      <c r="X228" s="6">
        <f>IF(ActiveDatabase=Standby,Secondary!X228,Primary!X228)</f>
        <v>0</v>
      </c>
      <c r="Y228" s="12">
        <f>IF(ActiveDatabase=Standby,Secondary!Y228,Primary!Y228)</f>
        <v>0</v>
      </c>
      <c r="Z228" s="12">
        <f>IF(ActiveDatabase=Standby,Secondary!Z228,Primary!Z228)</f>
        <v>0</v>
      </c>
      <c r="AA228" s="7">
        <f>IF(ActiveDatabase=Standby,Secondary!AA228,Primary!AA228)</f>
        <v>0</v>
      </c>
      <c r="AB228" s="12"/>
      <c r="AC228" s="6"/>
      <c r="AD228" s="6"/>
      <c r="AE228" s="7"/>
      <c r="AF228" s="7"/>
      <c r="AG228" s="7"/>
      <c r="AH228" s="7"/>
      <c r="AI228" s="7"/>
      <c r="AJ228" s="7"/>
      <c r="AK228" s="7"/>
      <c r="AL228" s="7"/>
      <c r="AM228" s="7"/>
      <c r="AN228" s="7"/>
      <c r="AO228" s="6"/>
      <c r="AP228" s="7"/>
      <c r="AQ228" s="7"/>
      <c r="AR228" s="6"/>
      <c r="AS228" s="7"/>
      <c r="AT228" s="7"/>
      <c r="AU228" s="7"/>
      <c r="AV228" s="7"/>
      <c r="AW228" s="7"/>
      <c r="AX228" s="7"/>
      <c r="AY228" s="7"/>
      <c r="AZ228" s="7"/>
      <c r="BA228" s="7"/>
      <c r="BB228" s="7"/>
      <c r="BC228" s="7"/>
      <c r="BD228" s="7"/>
      <c r="BE228" s="7"/>
      <c r="BF228" s="7"/>
      <c r="BG228" s="7"/>
    </row>
    <row r="229" customHeight="1" spans="1:59">
      <c r="A229" s="9" t="str">
        <f>IF(ActiveDatabase=Standby,Secondary!A229,Primary!A229)</f>
        <v>Daymar R01</v>
      </c>
      <c r="B229" s="5" t="str">
        <f>IF(ActiveDatabase=Standby,Secondary!B229,Primary!B229)</f>
        <v>Daymar 88</v>
      </c>
      <c r="C229" s="5">
        <f>IF(ActiveDatabase=Standby,Secondary!C229,Primary!C229)</f>
        <v>0</v>
      </c>
      <c r="D229" s="5" t="str">
        <f>IF(ActiveDatabase=Standby,Secondary!D229,Primary!D229)</f>
        <v>OM-1</v>
      </c>
      <c r="E229" s="6" t="str">
        <f>IF(ActiveDatabase=Standby,Secondary!E229,Primary!E229)</f>
        <v>OM1</v>
      </c>
      <c r="F229" s="10">
        <f>IF(ActiveDatabase=Standby,Secondary!F229,Primary!F229)</f>
        <v>0</v>
      </c>
      <c r="G229" s="10">
        <f>IF(ActiveDatabase=Standby,Secondary!G229,Primary!G229)</f>
        <v>0</v>
      </c>
      <c r="H229" s="10">
        <f>IF(ActiveDatabase=Standby,Secondary!H229,Primary!H229)</f>
        <v>430.028</v>
      </c>
      <c r="I229" s="13">
        <f>IF(ActiveDatabase=Standby,Secondary!I229,Primary!I229)</f>
        <v>0</v>
      </c>
      <c r="J229" s="13">
        <f>IF(ActiveDatabase=Standby,Secondary!J229,Primary!J229)</f>
        <v>0</v>
      </c>
      <c r="K229" s="13">
        <f>IF(ActiveDatabase=Standby,Secondary!K229,Primary!K229)</f>
        <v>0</v>
      </c>
      <c r="L229" s="13">
        <f>IF(ActiveDatabase=Standby,Secondary!L229,Primary!L229)</f>
        <v>0</v>
      </c>
      <c r="M229" s="7" t="b">
        <f>IF(ActiveDatabase=Standby,Secondary!M229,Primary!M229)</f>
        <v>1</v>
      </c>
      <c r="N229" s="10">
        <f>IF(ActiveDatabase=Standby,Secondary!N229,Primary!N229)</f>
        <v>0</v>
      </c>
      <c r="O229" s="10">
        <f>IF(ActiveDatabase=Standby,Secondary!O229,Primary!O229)</f>
        <v>0</v>
      </c>
      <c r="P229" s="10">
        <f>IF(ActiveDatabase=Standby,Secondary!P229,Primary!P229)</f>
        <v>0</v>
      </c>
      <c r="Q229" s="6">
        <f>IF(ActiveDatabase=Standby,Secondary!Q229,Primary!Q229)</f>
        <v>0</v>
      </c>
      <c r="R229" s="18">
        <f>IF(ActiveDatabase=Standby,Secondary!R229,Primary!R229)</f>
        <v>0</v>
      </c>
      <c r="S229" s="19">
        <f>IF(ActiveDatabase=Standby,Secondary!S229,Primary!S229)</f>
        <v>0</v>
      </c>
      <c r="T229" s="10">
        <f>IF(ActiveDatabase=Standby,Secondary!T229,Primary!T229)</f>
        <v>0</v>
      </c>
      <c r="U229" s="10">
        <f>IF(ActiveDatabase=Standby,Secondary!U229,Primary!U229)</f>
        <v>0</v>
      </c>
      <c r="V229" s="10">
        <f>IF(ActiveDatabase=Standby,Secondary!V229,Primary!V229)</f>
        <v>0</v>
      </c>
      <c r="W229" s="6">
        <f>IF(ActiveDatabase=Standby,Secondary!W229,Primary!W229)</f>
        <v>0</v>
      </c>
      <c r="X229" s="6">
        <f>IF(ActiveDatabase=Standby,Secondary!X229,Primary!X229)</f>
        <v>0</v>
      </c>
      <c r="Y229" s="12">
        <f>IF(ActiveDatabase=Standby,Secondary!Y229,Primary!Y229)</f>
        <v>0</v>
      </c>
      <c r="Z229" s="12">
        <f>IF(ActiveDatabase=Standby,Secondary!Z229,Primary!Z229)</f>
        <v>0</v>
      </c>
      <c r="AA229" s="7">
        <f>IF(ActiveDatabase=Standby,Secondary!AA229,Primary!AA229)</f>
        <v>0</v>
      </c>
      <c r="AB229" s="12"/>
      <c r="AC229" s="6"/>
      <c r="AD229" s="6"/>
      <c r="AE229" s="7"/>
      <c r="AF229" s="7"/>
      <c r="AG229" s="7"/>
      <c r="AH229" s="7"/>
      <c r="AI229" s="7"/>
      <c r="AJ229" s="7"/>
      <c r="AK229" s="7"/>
      <c r="AL229" s="7"/>
      <c r="AM229" s="7"/>
      <c r="AN229" s="7"/>
      <c r="AO229" s="6"/>
      <c r="AP229" s="7"/>
      <c r="AQ229" s="7"/>
      <c r="AR229" s="6"/>
      <c r="AS229" s="7"/>
      <c r="AT229" s="7"/>
      <c r="AU229" s="7"/>
      <c r="AV229" s="7"/>
      <c r="AW229" s="7"/>
      <c r="AX229" s="7"/>
      <c r="AY229" s="7"/>
      <c r="AZ229" s="7"/>
      <c r="BA229" s="7"/>
      <c r="BB229" s="7"/>
      <c r="BC229" s="7"/>
      <c r="BD229" s="7"/>
      <c r="BE229" s="7"/>
      <c r="BF229" s="7"/>
      <c r="BG229" s="7"/>
    </row>
    <row r="230" customHeight="1" spans="1:59">
      <c r="A230" s="9" t="str">
        <f>IF(ActiveDatabase=Standby,Secondary!A230,Primary!A230)</f>
        <v>Daymar R02</v>
      </c>
      <c r="B230" s="5" t="str">
        <f>IF(ActiveDatabase=Standby,Secondary!B230,Primary!B230)</f>
        <v>Daymar 89</v>
      </c>
      <c r="C230" s="5">
        <f>IF(ActiveDatabase=Standby,Secondary!C230,Primary!C230)</f>
        <v>0</v>
      </c>
      <c r="D230" s="5" t="str">
        <f>IF(ActiveDatabase=Standby,Secondary!D230,Primary!D230)</f>
        <v>OM-2</v>
      </c>
      <c r="E230" s="6" t="str">
        <f>IF(ActiveDatabase=Standby,Secondary!E230,Primary!E230)</f>
        <v>OM2</v>
      </c>
      <c r="F230" s="10">
        <f>IF(ActiveDatabase=Standby,Secondary!F230,Primary!F230)</f>
        <v>0</v>
      </c>
      <c r="G230" s="10">
        <f>IF(ActiveDatabase=Standby,Secondary!G230,Primary!G230)</f>
        <v>0</v>
      </c>
      <c r="H230" s="10">
        <f>IF(ActiveDatabase=Standby,Secondary!H230,Primary!H230)</f>
        <v>-430.028</v>
      </c>
      <c r="I230" s="13">
        <f>IF(ActiveDatabase=Standby,Secondary!I230,Primary!I230)</f>
        <v>0</v>
      </c>
      <c r="J230" s="13">
        <f>IF(ActiveDatabase=Standby,Secondary!J230,Primary!J230)</f>
        <v>0</v>
      </c>
      <c r="K230" s="13">
        <f>IF(ActiveDatabase=Standby,Secondary!K230,Primary!K230)</f>
        <v>0</v>
      </c>
      <c r="L230" s="13">
        <f>IF(ActiveDatabase=Standby,Secondary!L230,Primary!L230)</f>
        <v>0</v>
      </c>
      <c r="M230" s="7" t="b">
        <f>IF(ActiveDatabase=Standby,Secondary!M230,Primary!M230)</f>
        <v>1</v>
      </c>
      <c r="N230" s="10">
        <f>IF(ActiveDatabase=Standby,Secondary!N230,Primary!N230)</f>
        <v>0</v>
      </c>
      <c r="O230" s="10">
        <f>IF(ActiveDatabase=Standby,Secondary!O230,Primary!O230)</f>
        <v>0</v>
      </c>
      <c r="P230" s="10">
        <f>IF(ActiveDatabase=Standby,Secondary!P230,Primary!P230)</f>
        <v>0</v>
      </c>
      <c r="Q230" s="6">
        <f>IF(ActiveDatabase=Standby,Secondary!Q230,Primary!Q230)</f>
        <v>0</v>
      </c>
      <c r="R230" s="18">
        <f>IF(ActiveDatabase=Standby,Secondary!R230,Primary!R230)</f>
        <v>0</v>
      </c>
      <c r="S230" s="19">
        <f>IF(ActiveDatabase=Standby,Secondary!S230,Primary!S230)</f>
        <v>0</v>
      </c>
      <c r="T230" s="10">
        <f>IF(ActiveDatabase=Standby,Secondary!T230,Primary!T230)</f>
        <v>0</v>
      </c>
      <c r="U230" s="10">
        <f>IF(ActiveDatabase=Standby,Secondary!U230,Primary!U230)</f>
        <v>0</v>
      </c>
      <c r="V230" s="10">
        <f>IF(ActiveDatabase=Standby,Secondary!V230,Primary!V230)</f>
        <v>0</v>
      </c>
      <c r="W230" s="6">
        <f>IF(ActiveDatabase=Standby,Secondary!W230,Primary!W230)</f>
        <v>0</v>
      </c>
      <c r="X230" s="6">
        <f>IF(ActiveDatabase=Standby,Secondary!X230,Primary!X230)</f>
        <v>0</v>
      </c>
      <c r="Y230" s="12">
        <f>IF(ActiveDatabase=Standby,Secondary!Y230,Primary!Y230)</f>
        <v>0</v>
      </c>
      <c r="Z230" s="12">
        <f>IF(ActiveDatabase=Standby,Secondary!Z230,Primary!Z230)</f>
        <v>0</v>
      </c>
      <c r="AA230" s="7">
        <f>IF(ActiveDatabase=Standby,Secondary!AA230,Primary!AA230)</f>
        <v>0</v>
      </c>
      <c r="AB230" s="12"/>
      <c r="AC230" s="6"/>
      <c r="AD230" s="6"/>
      <c r="AE230" s="7"/>
      <c r="AF230" s="7"/>
      <c r="AG230" s="7"/>
      <c r="AH230" s="7"/>
      <c r="AI230" s="7"/>
      <c r="AJ230" s="7"/>
      <c r="AK230" s="7"/>
      <c r="AL230" s="7"/>
      <c r="AM230" s="7"/>
      <c r="AN230" s="7"/>
      <c r="AO230" s="6"/>
      <c r="AP230" s="7"/>
      <c r="AQ230" s="7"/>
      <c r="AR230" s="6"/>
      <c r="AS230" s="7"/>
      <c r="AT230" s="7"/>
      <c r="AU230" s="7"/>
      <c r="AV230" s="7"/>
      <c r="AW230" s="7"/>
      <c r="AX230" s="7"/>
      <c r="AY230" s="7"/>
      <c r="AZ230" s="7"/>
      <c r="BA230" s="7"/>
      <c r="BB230" s="7"/>
      <c r="BC230" s="7"/>
      <c r="BD230" s="7"/>
      <c r="BE230" s="7"/>
      <c r="BF230" s="7"/>
      <c r="BG230" s="7"/>
    </row>
    <row r="231" customHeight="1" spans="1:59">
      <c r="A231" s="9" t="str">
        <f>IF(ActiveDatabase=Standby,Secondary!A231,Primary!A231)</f>
        <v>Daymar R03</v>
      </c>
      <c r="B231" s="5" t="str">
        <f>IF(ActiveDatabase=Standby,Secondary!B231,Primary!B231)</f>
        <v>Daymar 90</v>
      </c>
      <c r="C231" s="5" t="str">
        <f>IF(ActiveDatabase=Standby,Secondary!C231,Primary!C231)</f>
        <v>Daymar 21</v>
      </c>
      <c r="D231" s="5" t="str">
        <f>IF(ActiveDatabase=Standby,Secondary!D231,Primary!D231)</f>
        <v>OM-3</v>
      </c>
      <c r="E231" s="6" t="str">
        <f>IF(ActiveDatabase=Standby,Secondary!E231,Primary!E231)</f>
        <v>OM3</v>
      </c>
      <c r="F231" s="10">
        <f>IF(ActiveDatabase=Standby,Secondary!F231,Primary!F231)</f>
        <v>0</v>
      </c>
      <c r="G231" s="10">
        <f>IF(ActiveDatabase=Standby,Secondary!G231,Primary!G231)</f>
        <v>430.028</v>
      </c>
      <c r="H231" s="10">
        <f>IF(ActiveDatabase=Standby,Secondary!H231,Primary!H231)</f>
        <v>0</v>
      </c>
      <c r="I231" s="13">
        <f>IF(ActiveDatabase=Standby,Secondary!I231,Primary!I231)</f>
        <v>0</v>
      </c>
      <c r="J231" s="13">
        <f>IF(ActiveDatabase=Standby,Secondary!J231,Primary!J231)</f>
        <v>0</v>
      </c>
      <c r="K231" s="13">
        <f>IF(ActiveDatabase=Standby,Secondary!K231,Primary!K231)</f>
        <v>0</v>
      </c>
      <c r="L231" s="13">
        <f>IF(ActiveDatabase=Standby,Secondary!L231,Primary!L231)</f>
        <v>0</v>
      </c>
      <c r="M231" s="7" t="b">
        <f>IF(ActiveDatabase=Standby,Secondary!M231,Primary!M231)</f>
        <v>1</v>
      </c>
      <c r="N231" s="10">
        <f>IF(ActiveDatabase=Standby,Secondary!N231,Primary!N231)</f>
        <v>0</v>
      </c>
      <c r="O231" s="10">
        <f>IF(ActiveDatabase=Standby,Secondary!O231,Primary!O231)</f>
        <v>0</v>
      </c>
      <c r="P231" s="10">
        <f>IF(ActiveDatabase=Standby,Secondary!P231,Primary!P231)</f>
        <v>0</v>
      </c>
      <c r="Q231" s="6">
        <f>IF(ActiveDatabase=Standby,Secondary!Q231,Primary!Q231)</f>
        <v>0</v>
      </c>
      <c r="R231" s="18">
        <f>IF(ActiveDatabase=Standby,Secondary!R231,Primary!R231)</f>
        <v>0</v>
      </c>
      <c r="S231" s="19">
        <f>IF(ActiveDatabase=Standby,Secondary!S231,Primary!S231)</f>
        <v>0</v>
      </c>
      <c r="T231" s="10">
        <f>IF(ActiveDatabase=Standby,Secondary!T231,Primary!T231)</f>
        <v>0</v>
      </c>
      <c r="U231" s="10">
        <f>IF(ActiveDatabase=Standby,Secondary!U231,Primary!U231)</f>
        <v>0</v>
      </c>
      <c r="V231" s="10">
        <f>IF(ActiveDatabase=Standby,Secondary!V231,Primary!V231)</f>
        <v>0</v>
      </c>
      <c r="W231" s="6">
        <f>IF(ActiveDatabase=Standby,Secondary!W231,Primary!W231)</f>
        <v>0</v>
      </c>
      <c r="X231" s="6">
        <f>IF(ActiveDatabase=Standby,Secondary!X231,Primary!X231)</f>
        <v>0</v>
      </c>
      <c r="Y231" s="12">
        <f>IF(ActiveDatabase=Standby,Secondary!Y231,Primary!Y231)</f>
        <v>0</v>
      </c>
      <c r="Z231" s="12">
        <f>IF(ActiveDatabase=Standby,Secondary!Z231,Primary!Z231)</f>
        <v>0</v>
      </c>
      <c r="AA231" s="7">
        <f>IF(ActiveDatabase=Standby,Secondary!AA231,Primary!AA231)</f>
        <v>0</v>
      </c>
      <c r="AB231" s="12"/>
      <c r="AC231" s="6"/>
      <c r="AD231" s="6"/>
      <c r="AE231" s="7"/>
      <c r="AF231" s="7"/>
      <c r="AG231" s="7"/>
      <c r="AH231" s="7"/>
      <c r="AI231" s="7"/>
      <c r="AJ231" s="7"/>
      <c r="AK231" s="7"/>
      <c r="AL231" s="7"/>
      <c r="AM231" s="7"/>
      <c r="AN231" s="7"/>
      <c r="AO231" s="6"/>
      <c r="AP231" s="7"/>
      <c r="AQ231" s="7"/>
      <c r="AR231" s="6"/>
      <c r="AS231" s="7"/>
      <c r="AT231" s="7"/>
      <c r="AU231" s="7"/>
      <c r="AV231" s="7"/>
      <c r="AW231" s="7"/>
      <c r="AX231" s="7"/>
      <c r="AY231" s="7"/>
      <c r="AZ231" s="7"/>
      <c r="BA231" s="7"/>
      <c r="BB231" s="7"/>
      <c r="BC231" s="7"/>
      <c r="BD231" s="7"/>
      <c r="BE231" s="7"/>
      <c r="BF231" s="7"/>
      <c r="BG231" s="7"/>
    </row>
    <row r="232" customHeight="1" spans="1:59">
      <c r="A232" s="9" t="str">
        <f>IF(ActiveDatabase=Standby,Secondary!A232,Primary!A232)</f>
        <v>Daymar R04</v>
      </c>
      <c r="B232" s="5" t="str">
        <f>IF(ActiveDatabase=Standby,Secondary!B232,Primary!B232)</f>
        <v>Daymar 91</v>
      </c>
      <c r="C232" s="5" t="str">
        <f>IF(ActiveDatabase=Standby,Secondary!C232,Primary!C232)</f>
        <v>Daymar 57</v>
      </c>
      <c r="D232" s="5" t="str">
        <f>IF(ActiveDatabase=Standby,Secondary!D232,Primary!D232)</f>
        <v>OM-4</v>
      </c>
      <c r="E232" s="6" t="str">
        <f>IF(ActiveDatabase=Standby,Secondary!E232,Primary!E232)</f>
        <v>OM4</v>
      </c>
      <c r="F232" s="10">
        <f>IF(ActiveDatabase=Standby,Secondary!F232,Primary!F232)</f>
        <v>0</v>
      </c>
      <c r="G232" s="10">
        <f>IF(ActiveDatabase=Standby,Secondary!G232,Primary!G232)</f>
        <v>-430.028</v>
      </c>
      <c r="H232" s="10">
        <f>IF(ActiveDatabase=Standby,Secondary!H232,Primary!H232)</f>
        <v>0</v>
      </c>
      <c r="I232" s="13">
        <f>IF(ActiveDatabase=Standby,Secondary!I232,Primary!I232)</f>
        <v>0</v>
      </c>
      <c r="J232" s="13">
        <f>IF(ActiveDatabase=Standby,Secondary!J232,Primary!J232)</f>
        <v>0</v>
      </c>
      <c r="K232" s="13">
        <f>IF(ActiveDatabase=Standby,Secondary!K232,Primary!K232)</f>
        <v>0</v>
      </c>
      <c r="L232" s="13">
        <f>IF(ActiveDatabase=Standby,Secondary!L232,Primary!L232)</f>
        <v>0</v>
      </c>
      <c r="M232" s="7" t="b">
        <f>IF(ActiveDatabase=Standby,Secondary!M232,Primary!M232)</f>
        <v>1</v>
      </c>
      <c r="N232" s="10">
        <f>IF(ActiveDatabase=Standby,Secondary!N232,Primary!N232)</f>
        <v>0</v>
      </c>
      <c r="O232" s="10">
        <f>IF(ActiveDatabase=Standby,Secondary!O232,Primary!O232)</f>
        <v>0</v>
      </c>
      <c r="P232" s="10">
        <f>IF(ActiveDatabase=Standby,Secondary!P232,Primary!P232)</f>
        <v>0</v>
      </c>
      <c r="Q232" s="6">
        <f>IF(ActiveDatabase=Standby,Secondary!Q232,Primary!Q232)</f>
        <v>0</v>
      </c>
      <c r="R232" s="18">
        <f>IF(ActiveDatabase=Standby,Secondary!R232,Primary!R232)</f>
        <v>0</v>
      </c>
      <c r="S232" s="19">
        <f>IF(ActiveDatabase=Standby,Secondary!S232,Primary!S232)</f>
        <v>0</v>
      </c>
      <c r="T232" s="10">
        <f>IF(ActiveDatabase=Standby,Secondary!T232,Primary!T232)</f>
        <v>0</v>
      </c>
      <c r="U232" s="10">
        <f>IF(ActiveDatabase=Standby,Secondary!U232,Primary!U232)</f>
        <v>0</v>
      </c>
      <c r="V232" s="10">
        <f>IF(ActiveDatabase=Standby,Secondary!V232,Primary!V232)</f>
        <v>0</v>
      </c>
      <c r="W232" s="6">
        <f>IF(ActiveDatabase=Standby,Secondary!W232,Primary!W232)</f>
        <v>0</v>
      </c>
      <c r="X232" s="6">
        <f>IF(ActiveDatabase=Standby,Secondary!X232,Primary!X232)</f>
        <v>0</v>
      </c>
      <c r="Y232" s="12">
        <f>IF(ActiveDatabase=Standby,Secondary!Y232,Primary!Y232)</f>
        <v>0</v>
      </c>
      <c r="Z232" s="12">
        <f>IF(ActiveDatabase=Standby,Secondary!Z232,Primary!Z232)</f>
        <v>0</v>
      </c>
      <c r="AA232" s="7">
        <f>IF(ActiveDatabase=Standby,Secondary!AA232,Primary!AA232)</f>
        <v>0</v>
      </c>
      <c r="AB232" s="12"/>
      <c r="AC232" s="6"/>
      <c r="AD232" s="6"/>
      <c r="AE232" s="7"/>
      <c r="AF232" s="7"/>
      <c r="AG232" s="7"/>
      <c r="AH232" s="7"/>
      <c r="AI232" s="7"/>
      <c r="AJ232" s="7"/>
      <c r="AK232" s="7"/>
      <c r="AL232" s="7"/>
      <c r="AM232" s="7"/>
      <c r="AN232" s="7"/>
      <c r="AO232" s="6"/>
      <c r="AP232" s="7"/>
      <c r="AQ232" s="7"/>
      <c r="AR232" s="6"/>
      <c r="AS232" s="7"/>
      <c r="AT232" s="7"/>
      <c r="AU232" s="7"/>
      <c r="AV232" s="7"/>
      <c r="AW232" s="7"/>
      <c r="AX232" s="7"/>
      <c r="AY232" s="7"/>
      <c r="AZ232" s="7"/>
      <c r="BA232" s="7"/>
      <c r="BB232" s="7"/>
      <c r="BC232" s="7"/>
      <c r="BD232" s="7"/>
      <c r="BE232" s="7"/>
      <c r="BF232" s="7"/>
      <c r="BG232" s="7"/>
    </row>
    <row r="233" customHeight="1" spans="1:59">
      <c r="A233" s="9" t="str">
        <f>IF(ActiveDatabase=Standby,Secondary!A233,Primary!A233)</f>
        <v>Daymar R05</v>
      </c>
      <c r="B233" s="5" t="str">
        <f>IF(ActiveDatabase=Standby,Secondary!B233,Primary!B233)</f>
        <v>Daymar 92</v>
      </c>
      <c r="C233" s="5" t="str">
        <f>IF(ActiveDatabase=Standby,Secondary!C233,Primary!C233)</f>
        <v>Daymar 38</v>
      </c>
      <c r="D233" s="5" t="str">
        <f>IF(ActiveDatabase=Standby,Secondary!D233,Primary!D233)</f>
        <v>OM-5</v>
      </c>
      <c r="E233" s="6" t="str">
        <f>IF(ActiveDatabase=Standby,Secondary!E233,Primary!E233)</f>
        <v>OM5</v>
      </c>
      <c r="F233" s="10">
        <f>IF(ActiveDatabase=Standby,Secondary!F233,Primary!F233)</f>
        <v>430.028</v>
      </c>
      <c r="G233" s="10">
        <f>IF(ActiveDatabase=Standby,Secondary!G233,Primary!G233)</f>
        <v>0</v>
      </c>
      <c r="H233" s="10">
        <f>IF(ActiveDatabase=Standby,Secondary!H233,Primary!H233)</f>
        <v>0</v>
      </c>
      <c r="I233" s="13">
        <f>IF(ActiveDatabase=Standby,Secondary!I233,Primary!I233)</f>
        <v>0</v>
      </c>
      <c r="J233" s="13">
        <f>IF(ActiveDatabase=Standby,Secondary!J233,Primary!J233)</f>
        <v>0</v>
      </c>
      <c r="K233" s="13">
        <f>IF(ActiveDatabase=Standby,Secondary!K233,Primary!K233)</f>
        <v>0</v>
      </c>
      <c r="L233" s="13">
        <f>IF(ActiveDatabase=Standby,Secondary!L233,Primary!L233)</f>
        <v>0</v>
      </c>
      <c r="M233" s="7" t="b">
        <f>IF(ActiveDatabase=Standby,Secondary!M233,Primary!M233)</f>
        <v>1</v>
      </c>
      <c r="N233" s="10">
        <f>IF(ActiveDatabase=Standby,Secondary!N233,Primary!N233)</f>
        <v>0</v>
      </c>
      <c r="O233" s="10">
        <f>IF(ActiveDatabase=Standby,Secondary!O233,Primary!O233)</f>
        <v>0</v>
      </c>
      <c r="P233" s="10">
        <f>IF(ActiveDatabase=Standby,Secondary!P233,Primary!P233)</f>
        <v>0</v>
      </c>
      <c r="Q233" s="6">
        <f>IF(ActiveDatabase=Standby,Secondary!Q233,Primary!Q233)</f>
        <v>0</v>
      </c>
      <c r="R233" s="18">
        <f>IF(ActiveDatabase=Standby,Secondary!R233,Primary!R233)</f>
        <v>0</v>
      </c>
      <c r="S233" s="19">
        <f>IF(ActiveDatabase=Standby,Secondary!S233,Primary!S233)</f>
        <v>0</v>
      </c>
      <c r="T233" s="10">
        <f>IF(ActiveDatabase=Standby,Secondary!T233,Primary!T233)</f>
        <v>0</v>
      </c>
      <c r="U233" s="10">
        <f>IF(ActiveDatabase=Standby,Secondary!U233,Primary!U233)</f>
        <v>0</v>
      </c>
      <c r="V233" s="10">
        <f>IF(ActiveDatabase=Standby,Secondary!V233,Primary!V233)</f>
        <v>0</v>
      </c>
      <c r="W233" s="6">
        <f>IF(ActiveDatabase=Standby,Secondary!W233,Primary!W233)</f>
        <v>0</v>
      </c>
      <c r="X233" s="6">
        <f>IF(ActiveDatabase=Standby,Secondary!X233,Primary!X233)</f>
        <v>0</v>
      </c>
      <c r="Y233" s="12">
        <f>IF(ActiveDatabase=Standby,Secondary!Y233,Primary!Y233)</f>
        <v>0</v>
      </c>
      <c r="Z233" s="12">
        <f>IF(ActiveDatabase=Standby,Secondary!Z233,Primary!Z233)</f>
        <v>0</v>
      </c>
      <c r="AA233" s="7">
        <f>IF(ActiveDatabase=Standby,Secondary!AA233,Primary!AA233)</f>
        <v>0</v>
      </c>
      <c r="AB233" s="12"/>
      <c r="AC233" s="6"/>
      <c r="AD233" s="6"/>
      <c r="AE233" s="7"/>
      <c r="AF233" s="7"/>
      <c r="AG233" s="7"/>
      <c r="AH233" s="7"/>
      <c r="AI233" s="7"/>
      <c r="AJ233" s="7"/>
      <c r="AK233" s="7"/>
      <c r="AL233" s="7"/>
      <c r="AM233" s="7"/>
      <c r="AN233" s="7"/>
      <c r="AO233" s="6"/>
      <c r="AP233" s="7"/>
      <c r="AQ233" s="7"/>
      <c r="AR233" s="6"/>
      <c r="AS233" s="7"/>
      <c r="AT233" s="7"/>
      <c r="AU233" s="7"/>
      <c r="AV233" s="7"/>
      <c r="AW233" s="7"/>
      <c r="AX233" s="7"/>
      <c r="AY233" s="7"/>
      <c r="AZ233" s="7"/>
      <c r="BA233" s="7"/>
      <c r="BB233" s="7"/>
      <c r="BC233" s="7"/>
      <c r="BD233" s="7"/>
      <c r="BE233" s="7"/>
      <c r="BF233" s="7"/>
      <c r="BG233" s="7"/>
    </row>
    <row r="234" customHeight="1" spans="1:59">
      <c r="A234" s="9" t="str">
        <f>IF(ActiveDatabase=Standby,Secondary!A234,Primary!A234)</f>
        <v>Daymar R06</v>
      </c>
      <c r="B234" s="5" t="str">
        <f>IF(ActiveDatabase=Standby,Secondary!B234,Primary!B234)</f>
        <v>Daymar 93</v>
      </c>
      <c r="C234" s="5" t="str">
        <f>IF(ActiveDatabase=Standby,Secondary!C234,Primary!C234)</f>
        <v>Daymar 74</v>
      </c>
      <c r="D234" s="5" t="str">
        <f>IF(ActiveDatabase=Standby,Secondary!D234,Primary!D234)</f>
        <v>OM-6</v>
      </c>
      <c r="E234" s="6" t="str">
        <f>IF(ActiveDatabase=Standby,Secondary!E234,Primary!E234)</f>
        <v>OM6</v>
      </c>
      <c r="F234" s="10">
        <f>IF(ActiveDatabase=Standby,Secondary!F234,Primary!F234)</f>
        <v>-430.028</v>
      </c>
      <c r="G234" s="10">
        <f>IF(ActiveDatabase=Standby,Secondary!G234,Primary!G234)</f>
        <v>0</v>
      </c>
      <c r="H234" s="10">
        <f>IF(ActiveDatabase=Standby,Secondary!H234,Primary!H234)</f>
        <v>0</v>
      </c>
      <c r="I234" s="13">
        <f>IF(ActiveDatabase=Standby,Secondary!I234,Primary!I234)</f>
        <v>0</v>
      </c>
      <c r="J234" s="13">
        <f>IF(ActiveDatabase=Standby,Secondary!J234,Primary!J234)</f>
        <v>0</v>
      </c>
      <c r="K234" s="13">
        <f>IF(ActiveDatabase=Standby,Secondary!K234,Primary!K234)</f>
        <v>0</v>
      </c>
      <c r="L234" s="13">
        <f>IF(ActiveDatabase=Standby,Secondary!L234,Primary!L234)</f>
        <v>0</v>
      </c>
      <c r="M234" s="7" t="b">
        <f>IF(ActiveDatabase=Standby,Secondary!M234,Primary!M234)</f>
        <v>1</v>
      </c>
      <c r="N234" s="10">
        <f>IF(ActiveDatabase=Standby,Secondary!N234,Primary!N234)</f>
        <v>0</v>
      </c>
      <c r="O234" s="10">
        <f>IF(ActiveDatabase=Standby,Secondary!O234,Primary!O234)</f>
        <v>0</v>
      </c>
      <c r="P234" s="10">
        <f>IF(ActiveDatabase=Standby,Secondary!P234,Primary!P234)</f>
        <v>0</v>
      </c>
      <c r="Q234" s="6">
        <f>IF(ActiveDatabase=Standby,Secondary!Q234,Primary!Q234)</f>
        <v>0</v>
      </c>
      <c r="R234" s="18">
        <f>IF(ActiveDatabase=Standby,Secondary!R234,Primary!R234)</f>
        <v>0</v>
      </c>
      <c r="S234" s="19">
        <f>IF(ActiveDatabase=Standby,Secondary!S234,Primary!S234)</f>
        <v>0</v>
      </c>
      <c r="T234" s="10">
        <f>IF(ActiveDatabase=Standby,Secondary!T234,Primary!T234)</f>
        <v>0</v>
      </c>
      <c r="U234" s="10">
        <f>IF(ActiveDatabase=Standby,Secondary!U234,Primary!U234)</f>
        <v>0</v>
      </c>
      <c r="V234" s="10">
        <f>IF(ActiveDatabase=Standby,Secondary!V234,Primary!V234)</f>
        <v>0</v>
      </c>
      <c r="W234" s="6">
        <f>IF(ActiveDatabase=Standby,Secondary!W234,Primary!W234)</f>
        <v>0</v>
      </c>
      <c r="X234" s="6">
        <f>IF(ActiveDatabase=Standby,Secondary!X234,Primary!X234)</f>
        <v>0</v>
      </c>
      <c r="Y234" s="12">
        <f>IF(ActiveDatabase=Standby,Secondary!Y234,Primary!Y234)</f>
        <v>0</v>
      </c>
      <c r="Z234" s="12">
        <f>IF(ActiveDatabase=Standby,Secondary!Z234,Primary!Z234)</f>
        <v>0</v>
      </c>
      <c r="AA234" s="6">
        <f>IF(ActiveDatabase=Standby,Secondary!AA234,Primary!AA234)</f>
        <v>0</v>
      </c>
      <c r="AB234" s="12"/>
      <c r="AC234" s="6"/>
      <c r="AD234" s="6"/>
      <c r="AE234" s="7"/>
      <c r="AF234" s="7"/>
      <c r="AG234" s="7"/>
      <c r="AH234" s="7"/>
      <c r="AI234" s="7"/>
      <c r="AJ234" s="7"/>
      <c r="AK234" s="7"/>
      <c r="AL234" s="7"/>
      <c r="AM234" s="7"/>
      <c r="AN234" s="7"/>
      <c r="AO234" s="6"/>
      <c r="AP234" s="7"/>
      <c r="AQ234" s="7"/>
      <c r="AR234" s="6"/>
      <c r="AS234" s="6"/>
      <c r="AT234" s="6"/>
      <c r="AU234" s="6"/>
      <c r="AV234" s="6"/>
      <c r="AW234" s="6"/>
      <c r="AX234" s="6"/>
      <c r="AY234" s="6"/>
      <c r="AZ234" s="6"/>
      <c r="BA234" s="6"/>
      <c r="BB234" s="6"/>
      <c r="BC234" s="6"/>
      <c r="BD234" s="6"/>
      <c r="BE234" s="6"/>
      <c r="BF234" s="6"/>
      <c r="BG234" s="6"/>
    </row>
    <row r="235" customHeight="1" spans="1:59">
      <c r="A235" s="9" t="str">
        <f>IF(ActiveDatabase=Standby,Secondary!A235,Primary!A235)</f>
        <v>Daymar</v>
      </c>
      <c r="B235" s="5" t="str">
        <f>IF(ActiveDatabase=Standby,Secondary!B235,Primary!B235)</f>
        <v>Daymar 00</v>
      </c>
      <c r="C235" s="5">
        <f>IF(ActiveDatabase=Standby,Secondary!C235,Primary!C235)</f>
        <v>0</v>
      </c>
      <c r="D235" s="5" t="str">
        <f>IF(ActiveDatabase=Standby,Secondary!D235,Primary!D235)</f>
        <v>Trading Terminals</v>
      </c>
      <c r="E235" s="6">
        <f>IF(ActiveDatabase=Standby,Secondary!E235,Primary!E235)</f>
        <v>0</v>
      </c>
      <c r="F235" s="10">
        <f>IF(ActiveDatabase=Standby,Secondary!F235,Primary!F235)</f>
        <v>0</v>
      </c>
      <c r="G235" s="10">
        <f>IF(ActiveDatabase=Standby,Secondary!G235,Primary!G235)</f>
        <v>0</v>
      </c>
      <c r="H235" s="10">
        <f>IF(ActiveDatabase=Standby,Secondary!H235,Primary!H235)</f>
        <v>0</v>
      </c>
      <c r="I235" s="13">
        <f>IF(ActiveDatabase=Standby,Secondary!I235,Primary!I235)</f>
        <v>0</v>
      </c>
      <c r="J235" s="13">
        <f>IF(ActiveDatabase=Standby,Secondary!J235,Primary!J235)</f>
        <v>0</v>
      </c>
      <c r="K235" s="13">
        <f>IF(ActiveDatabase=Standby,Secondary!K235,Primary!K235)</f>
        <v>0</v>
      </c>
      <c r="L235" s="13">
        <f>IF(ActiveDatabase=Standby,Secondary!L235,Primary!L235)</f>
        <v>0</v>
      </c>
      <c r="M235" s="7">
        <f>IF(ActiveDatabase=Standby,Secondary!M235,Primary!M235)</f>
        <v>0</v>
      </c>
      <c r="N235" s="10">
        <f>IF(ActiveDatabase=Standby,Secondary!N235,Primary!N235)</f>
        <v>0</v>
      </c>
      <c r="O235" s="10">
        <f>IF(ActiveDatabase=Standby,Secondary!O235,Primary!O235)</f>
        <v>0</v>
      </c>
      <c r="P235" s="10">
        <f>IF(ActiveDatabase=Standby,Secondary!P235,Primary!P235)</f>
        <v>0</v>
      </c>
      <c r="Q235" s="6">
        <f>IF(ActiveDatabase=Standby,Secondary!Q235,Primary!Q235)</f>
        <v>0</v>
      </c>
      <c r="R235" s="18">
        <f>IF(ActiveDatabase=Standby,Secondary!R235,Primary!R235)</f>
        <v>0</v>
      </c>
      <c r="S235" s="19">
        <f>IF(ActiveDatabase=Standby,Secondary!S235,Primary!S235)</f>
        <v>0</v>
      </c>
      <c r="T235" s="10">
        <f>IF(ActiveDatabase=Standby,Secondary!T235,Primary!T235)</f>
        <v>0</v>
      </c>
      <c r="U235" s="10">
        <f>IF(ActiveDatabase=Standby,Secondary!U235,Primary!U235)</f>
        <v>0</v>
      </c>
      <c r="V235" s="10">
        <f>IF(ActiveDatabase=Standby,Secondary!V235,Primary!V235)</f>
        <v>0</v>
      </c>
      <c r="W235" s="6">
        <f>IF(ActiveDatabase=Standby,Secondary!W235,Primary!W235)</f>
        <v>0</v>
      </c>
      <c r="X235" s="6">
        <f>IF(ActiveDatabase=Standby,Secondary!X235,Primary!X235)</f>
        <v>0</v>
      </c>
      <c r="Y235" s="12">
        <f>IF(ActiveDatabase=Standby,Secondary!Y235,Primary!Y235)</f>
        <v>0</v>
      </c>
      <c r="Z235" s="12">
        <f>IF(ActiveDatabase=Standby,Secondary!Z235,Primary!Z235)</f>
        <v>0</v>
      </c>
      <c r="AA235" s="6">
        <f>IF(ActiveDatabase=Standby,Secondary!AA235,Primary!AA235)</f>
        <v>0</v>
      </c>
      <c r="AB235" s="12"/>
      <c r="AC235" s="6"/>
      <c r="AD235" s="6"/>
      <c r="AE235" s="7"/>
      <c r="AF235" s="7"/>
      <c r="AG235" s="7"/>
      <c r="AH235" s="7"/>
      <c r="AI235" s="7"/>
      <c r="AJ235" s="7"/>
      <c r="AK235" s="7"/>
      <c r="AL235" s="7"/>
      <c r="AM235" s="7"/>
      <c r="AN235" s="7"/>
      <c r="AO235" s="6"/>
      <c r="AP235" s="7"/>
      <c r="AQ235" s="7"/>
      <c r="AR235" s="6"/>
      <c r="AS235" s="6"/>
      <c r="AT235" s="6"/>
      <c r="AU235" s="6"/>
      <c r="AV235" s="6"/>
      <c r="AW235" s="6"/>
      <c r="AX235" s="6"/>
      <c r="AY235" s="6"/>
      <c r="AZ235" s="6"/>
      <c r="BA235" s="6"/>
      <c r="BB235" s="6"/>
      <c r="BC235" s="6"/>
      <c r="BD235" s="6"/>
      <c r="BE235" s="6"/>
      <c r="BF235" s="6"/>
      <c r="BG235" s="6"/>
    </row>
    <row r="236" customHeight="1" spans="1:59">
      <c r="A236" s="9" t="str">
        <f>IF(ActiveDatabase=Standby,Secondary!A236,Primary!A236)</f>
        <v>Daymar 01</v>
      </c>
      <c r="B236" s="5" t="str">
        <f>IF(ActiveDatabase=Standby,Secondary!B236,Primary!B236)</f>
        <v>Daymar 01</v>
      </c>
      <c r="C236" s="5" t="str">
        <f>IF(ActiveDatabase=Standby,Secondary!C236,Primary!C236)</f>
        <v>Daymar 17</v>
      </c>
      <c r="D236" s="5" t="str">
        <f>IF(ActiveDatabase=Standby,Secondary!D236,Primary!D236)</f>
        <v>ArcCorp Mining Area 141 (PB)</v>
      </c>
      <c r="E236" s="6" t="str">
        <f>IF(ActiveDatabase=Standby,Secondary!E236,Primary!E236)</f>
        <v>ArcCorp 141</v>
      </c>
      <c r="F236" s="10">
        <f>IF(ActiveDatabase=Standby,Secondary!F236,Primary!F236)</f>
        <v>-18.1669995110158</v>
      </c>
      <c r="G236" s="10">
        <f>IF(ActiveDatabase=Standby,Secondary!G236,Primary!G236)</f>
        <v>180.36216702036</v>
      </c>
      <c r="H236" s="10">
        <f>IF(ActiveDatabase=Standby,Secondary!H236,Primary!H236)</f>
        <v>-232.759931235018</v>
      </c>
      <c r="I236" s="13">
        <f>IF(ActiveDatabase=Standby,Secondary!I236,Primary!I236)</f>
        <v>0</v>
      </c>
      <c r="J236" s="13">
        <f>IF(ActiveDatabase=Standby,Secondary!J236,Primary!J236)</f>
        <v>0</v>
      </c>
      <c r="K236" s="13">
        <f>IF(ActiveDatabase=Standby,Secondary!K236,Primary!K236)</f>
        <v>0</v>
      </c>
      <c r="L236" s="13">
        <f>IF(ActiveDatabase=Standby,Secondary!L236,Primary!L236)</f>
        <v>0</v>
      </c>
      <c r="M236" s="7" t="b">
        <f>IF(ActiveDatabase=Standby,Secondary!M236,Primary!M236)</f>
        <v>1</v>
      </c>
      <c r="N236" s="10">
        <f>IF(ActiveDatabase=Standby,Secondary!N236,Primary!N236)</f>
        <v>0</v>
      </c>
      <c r="O236" s="10">
        <f>IF(ActiveDatabase=Standby,Secondary!O236,Primary!O236)</f>
        <v>0</v>
      </c>
      <c r="P236" s="10">
        <f>IF(ActiveDatabase=Standby,Secondary!P236,Primary!P236)</f>
        <v>0</v>
      </c>
      <c r="Q236" s="6">
        <f>IF(ActiveDatabase=Standby,Secondary!Q236,Primary!Q236)</f>
        <v>0</v>
      </c>
      <c r="R236" s="18">
        <f>IF(ActiveDatabase=Standby,Secondary!R236,Primary!R236)</f>
        <v>0</v>
      </c>
      <c r="S236" s="19">
        <f>IF(ActiveDatabase=Standby,Secondary!S236,Primary!S236)</f>
        <v>0</v>
      </c>
      <c r="T236" s="10">
        <f>IF(ActiveDatabase=Standby,Secondary!T236,Primary!T236)</f>
        <v>0</v>
      </c>
      <c r="U236" s="10">
        <f>IF(ActiveDatabase=Standby,Secondary!U236,Primary!U236)</f>
        <v>0</v>
      </c>
      <c r="V236" s="10">
        <f>IF(ActiveDatabase=Standby,Secondary!V236,Primary!V236)</f>
        <v>0</v>
      </c>
      <c r="W236" s="6">
        <f>IF(ActiveDatabase=Standby,Secondary!W236,Primary!W236)</f>
        <v>0</v>
      </c>
      <c r="X236" s="6">
        <f>IF(ActiveDatabase=Standby,Secondary!X236,Primary!X236)</f>
        <v>0</v>
      </c>
      <c r="Y236" s="12">
        <f>IF(ActiveDatabase=Standby,Secondary!Y236,Primary!Y236)</f>
        <v>0</v>
      </c>
      <c r="Z236" s="12">
        <f>IF(ActiveDatabase=Standby,Secondary!Z236,Primary!Z236)</f>
        <v>0</v>
      </c>
      <c r="AA236" s="6">
        <f>IF(ActiveDatabase=Standby,Secondary!AA236,Primary!AA236)</f>
        <v>0</v>
      </c>
      <c r="AB236" s="12"/>
      <c r="AC236" s="6"/>
      <c r="AD236" s="6"/>
      <c r="AE236" s="7"/>
      <c r="AF236" s="7"/>
      <c r="AG236" s="7"/>
      <c r="AH236" s="7"/>
      <c r="AI236" s="7"/>
      <c r="AJ236" s="7"/>
      <c r="AK236" s="7"/>
      <c r="AL236" s="7"/>
      <c r="AM236" s="7"/>
      <c r="AN236" s="7"/>
      <c r="AO236" s="6"/>
      <c r="AP236" s="7"/>
      <c r="AQ236" s="7"/>
      <c r="AR236" s="6"/>
      <c r="AS236" s="6"/>
      <c r="AT236" s="6"/>
      <c r="AU236" s="6"/>
      <c r="AV236" s="6"/>
      <c r="AW236" s="6"/>
      <c r="AX236" s="6"/>
      <c r="AY236" s="6"/>
      <c r="AZ236" s="6"/>
      <c r="BA236" s="6"/>
      <c r="BB236" s="6"/>
      <c r="BC236" s="6"/>
      <c r="BD236" s="6"/>
      <c r="BE236" s="6"/>
      <c r="BF236" s="6"/>
      <c r="BG236" s="6"/>
    </row>
    <row r="237" customHeight="1" spans="1:59">
      <c r="A237" s="9" t="str">
        <f>IF(ActiveDatabase=Standby,Secondary!A237,Primary!A237)</f>
        <v>Daymar 02</v>
      </c>
      <c r="B237" s="5" t="str">
        <f>IF(ActiveDatabase=Standby,Secondary!B237,Primary!B237)</f>
        <v>Daymar 02</v>
      </c>
      <c r="C237" s="5" t="str">
        <f>IF(ActiveDatabase=Standby,Secondary!C237,Primary!C237)</f>
        <v>Daymar 50</v>
      </c>
      <c r="D237" s="5" t="str">
        <f>IF(ActiveDatabase=Standby,Secondary!D237,Primary!D237)</f>
        <v>Bountiful Harvest Hydroponics</v>
      </c>
      <c r="E237" s="6" t="str">
        <f>IF(ActiveDatabase=Standby,Secondary!E237,Primary!E237)</f>
        <v>Bountiful</v>
      </c>
      <c r="F237" s="10">
        <f>IF(ActiveDatabase=Standby,Secondary!F237,Primary!F237)</f>
        <v>57.552271237</v>
      </c>
      <c r="G237" s="10">
        <f>IF(ActiveDatabase=Standby,Secondary!G237,Primary!G237)</f>
        <v>-92.266994923</v>
      </c>
      <c r="H237" s="10">
        <f>IF(ActiveDatabase=Standby,Secondary!H237,Primary!H237)</f>
        <v>-274.246351880999</v>
      </c>
      <c r="I237" s="13">
        <f>IF(ActiveDatabase=Standby,Secondary!I237,Primary!I237)</f>
        <v>0</v>
      </c>
      <c r="J237" s="13">
        <f>IF(ActiveDatabase=Standby,Secondary!J237,Primary!J237)</f>
        <v>0</v>
      </c>
      <c r="K237" s="13">
        <f>IF(ActiveDatabase=Standby,Secondary!K237,Primary!K237)</f>
        <v>0</v>
      </c>
      <c r="L237" s="13">
        <f>IF(ActiveDatabase=Standby,Secondary!L237,Primary!L237)</f>
        <v>0</v>
      </c>
      <c r="M237" s="7" t="b">
        <f>IF(ActiveDatabase=Standby,Secondary!M237,Primary!M237)</f>
        <v>1</v>
      </c>
      <c r="N237" s="10">
        <f>IF(ActiveDatabase=Standby,Secondary!N237,Primary!N237)</f>
        <v>0</v>
      </c>
      <c r="O237" s="10">
        <f>IF(ActiveDatabase=Standby,Secondary!O237,Primary!O237)</f>
        <v>0</v>
      </c>
      <c r="P237" s="10">
        <f>IF(ActiveDatabase=Standby,Secondary!P237,Primary!P237)</f>
        <v>0</v>
      </c>
      <c r="Q237" s="6">
        <f>IF(ActiveDatabase=Standby,Secondary!Q237,Primary!Q237)</f>
        <v>0</v>
      </c>
      <c r="R237" s="18">
        <f>IF(ActiveDatabase=Standby,Secondary!R237,Primary!R237)</f>
        <v>0</v>
      </c>
      <c r="S237" s="19">
        <f>IF(ActiveDatabase=Standby,Secondary!S237,Primary!S237)</f>
        <v>0</v>
      </c>
      <c r="T237" s="10">
        <f>IF(ActiveDatabase=Standby,Secondary!T237,Primary!T237)</f>
        <v>0</v>
      </c>
      <c r="U237" s="10">
        <f>IF(ActiveDatabase=Standby,Secondary!U237,Primary!U237)</f>
        <v>0</v>
      </c>
      <c r="V237" s="10">
        <f>IF(ActiveDatabase=Standby,Secondary!V237,Primary!V237)</f>
        <v>0</v>
      </c>
      <c r="W237" s="6">
        <f>IF(ActiveDatabase=Standby,Secondary!W237,Primary!W237)</f>
        <v>0</v>
      </c>
      <c r="X237" s="6">
        <f>IF(ActiveDatabase=Standby,Secondary!X237,Primary!X237)</f>
        <v>0</v>
      </c>
      <c r="Y237" s="12">
        <f>IF(ActiveDatabase=Standby,Secondary!Y237,Primary!Y237)</f>
        <v>0</v>
      </c>
      <c r="Z237" s="12">
        <f>IF(ActiveDatabase=Standby,Secondary!Z237,Primary!Z237)</f>
        <v>0</v>
      </c>
      <c r="AA237" s="6">
        <f>IF(ActiveDatabase=Standby,Secondary!AA237,Primary!AA237)</f>
        <v>0</v>
      </c>
      <c r="AB237" s="12"/>
      <c r="AC237" s="6"/>
      <c r="AD237" s="6"/>
      <c r="AE237" s="7"/>
      <c r="AF237" s="7"/>
      <c r="AG237" s="7"/>
      <c r="AH237" s="7"/>
      <c r="AI237" s="7"/>
      <c r="AJ237" s="7"/>
      <c r="AK237" s="7"/>
      <c r="AL237" s="7"/>
      <c r="AM237" s="7"/>
      <c r="AN237" s="7"/>
      <c r="AO237" s="6"/>
      <c r="AP237" s="7"/>
      <c r="AQ237" s="7"/>
      <c r="AR237" s="6"/>
      <c r="AS237" s="6"/>
      <c r="AT237" s="6"/>
      <c r="AU237" s="6"/>
      <c r="AV237" s="6"/>
      <c r="AW237" s="6"/>
      <c r="AX237" s="6"/>
      <c r="AY237" s="6"/>
      <c r="AZ237" s="6"/>
      <c r="BA237" s="6"/>
      <c r="BB237" s="6"/>
      <c r="BC237" s="6"/>
      <c r="BD237" s="6"/>
      <c r="BE237" s="6"/>
      <c r="BF237" s="6"/>
      <c r="BG237" s="6"/>
    </row>
    <row r="238" customHeight="1" spans="1:59">
      <c r="A238" s="9" t="str">
        <f>IF(ActiveDatabase=Standby,Secondary!A238,Primary!A238)</f>
        <v>Daymar 03</v>
      </c>
      <c r="B238" s="5" t="str">
        <f>IF(ActiveDatabase=Standby,Secondary!B238,Primary!B238)</f>
        <v>Daymar 03</v>
      </c>
      <c r="C238" s="5" t="str">
        <f>IF(ActiveDatabase=Standby,Secondary!C238,Primary!C238)</f>
        <v>Daymar 48</v>
      </c>
      <c r="D238" s="5" t="str">
        <f>IF(ActiveDatabase=Standby,Secondary!D238,Primary!D238)</f>
        <v>Kudre Ore</v>
      </c>
      <c r="E238" s="6" t="str">
        <f>IF(ActiveDatabase=Standby,Secondary!E238,Primary!E238)</f>
        <v>Kudre</v>
      </c>
      <c r="F238" s="10">
        <f>IF(ActiveDatabase=Standby,Secondary!F238,Primary!F238)</f>
        <v>146.617154182308</v>
      </c>
      <c r="G238" s="10">
        <f>IF(ActiveDatabase=Standby,Secondary!G238,Primary!G238)</f>
        <v>-177.093294377513</v>
      </c>
      <c r="H238" s="10">
        <f>IF(ActiveDatabase=Standby,Secondary!H238,Primary!H238)</f>
        <v>-184.862263017951</v>
      </c>
      <c r="I238" s="13">
        <f>IF(ActiveDatabase=Standby,Secondary!I238,Primary!I238)</f>
        <v>0</v>
      </c>
      <c r="J238" s="13">
        <f>IF(ActiveDatabase=Standby,Secondary!J238,Primary!J238)</f>
        <v>0</v>
      </c>
      <c r="K238" s="13">
        <f>IF(ActiveDatabase=Standby,Secondary!K238,Primary!K238)</f>
        <v>0</v>
      </c>
      <c r="L238" s="13">
        <f>IF(ActiveDatabase=Standby,Secondary!L238,Primary!L238)</f>
        <v>0</v>
      </c>
      <c r="M238" s="7" t="b">
        <f>IF(ActiveDatabase=Standby,Secondary!M238,Primary!M238)</f>
        <v>1</v>
      </c>
      <c r="N238" s="10">
        <f>IF(ActiveDatabase=Standby,Secondary!N238,Primary!N238)</f>
        <v>0</v>
      </c>
      <c r="O238" s="10">
        <f>IF(ActiveDatabase=Standby,Secondary!O238,Primary!O238)</f>
        <v>0</v>
      </c>
      <c r="P238" s="10">
        <f>IF(ActiveDatabase=Standby,Secondary!P238,Primary!P238)</f>
        <v>0</v>
      </c>
      <c r="Q238" s="6">
        <f>IF(ActiveDatabase=Standby,Secondary!Q238,Primary!Q238)</f>
        <v>0</v>
      </c>
      <c r="R238" s="18">
        <f>IF(ActiveDatabase=Standby,Secondary!R238,Primary!R238)</f>
        <v>0</v>
      </c>
      <c r="S238" s="19">
        <f>IF(ActiveDatabase=Standby,Secondary!S238,Primary!S238)</f>
        <v>0</v>
      </c>
      <c r="T238" s="10">
        <f>IF(ActiveDatabase=Standby,Secondary!T238,Primary!T238)</f>
        <v>0</v>
      </c>
      <c r="U238" s="10">
        <f>IF(ActiveDatabase=Standby,Secondary!U238,Primary!U238)</f>
        <v>0</v>
      </c>
      <c r="V238" s="10">
        <f>IF(ActiveDatabase=Standby,Secondary!V238,Primary!V238)</f>
        <v>0</v>
      </c>
      <c r="W238" s="6">
        <f>IF(ActiveDatabase=Standby,Secondary!W238,Primary!W238)</f>
        <v>0</v>
      </c>
      <c r="X238" s="6">
        <f>IF(ActiveDatabase=Standby,Secondary!X238,Primary!X238)</f>
        <v>0</v>
      </c>
      <c r="Y238" s="12">
        <f>IF(ActiveDatabase=Standby,Secondary!Y238,Primary!Y238)</f>
        <v>0</v>
      </c>
      <c r="Z238" s="12">
        <f>IF(ActiveDatabase=Standby,Secondary!Z238,Primary!Z238)</f>
        <v>0</v>
      </c>
      <c r="AA238" s="6">
        <f>IF(ActiveDatabase=Standby,Secondary!AA238,Primary!AA238)</f>
        <v>0</v>
      </c>
      <c r="AB238" s="12"/>
      <c r="AC238" s="6"/>
      <c r="AD238" s="6"/>
      <c r="AE238" s="7"/>
      <c r="AF238" s="7"/>
      <c r="AG238" s="7"/>
      <c r="AH238" s="7"/>
      <c r="AI238" s="7"/>
      <c r="AJ238" s="7"/>
      <c r="AK238" s="7"/>
      <c r="AL238" s="7"/>
      <c r="AM238" s="7"/>
      <c r="AN238" s="7"/>
      <c r="AO238" s="6"/>
      <c r="AP238" s="7"/>
      <c r="AQ238" s="7"/>
      <c r="AR238" s="6"/>
      <c r="AS238" s="6"/>
      <c r="AT238" s="6"/>
      <c r="AU238" s="6"/>
      <c r="AV238" s="6"/>
      <c r="AW238" s="6"/>
      <c r="AX238" s="6"/>
      <c r="AY238" s="6"/>
      <c r="AZ238" s="6"/>
      <c r="BA238" s="6"/>
      <c r="BB238" s="6"/>
      <c r="BC238" s="6"/>
      <c r="BD238" s="6"/>
      <c r="BE238" s="6"/>
      <c r="BF238" s="6"/>
      <c r="BG238" s="6"/>
    </row>
    <row r="239" customHeight="1" spans="1:59">
      <c r="A239" s="9" t="str">
        <f>IF(ActiveDatabase=Standby,Secondary!A239,Primary!A239)</f>
        <v>Daymar 04</v>
      </c>
      <c r="B239" s="5" t="str">
        <f>IF(ActiveDatabase=Standby,Secondary!B239,Primary!B239)</f>
        <v>Daymar 04</v>
      </c>
      <c r="C239" s="5" t="str">
        <f>IF(ActiveDatabase=Standby,Secondary!C239,Primary!C239)</f>
        <v>Daymar 45</v>
      </c>
      <c r="D239" s="5" t="str">
        <f>IF(ActiveDatabase=Standby,Secondary!D239,Primary!D239)</f>
        <v>Shubin Mining Facility SCD-1 (PB)</v>
      </c>
      <c r="E239" s="6" t="str">
        <f>IF(ActiveDatabase=Standby,Secondary!E239,Primary!E239)</f>
        <v>SCD1</v>
      </c>
      <c r="F239" s="10">
        <f>IF(ActiveDatabase=Standby,Secondary!F239,Primary!F239)</f>
        <v>126.025172040445</v>
      </c>
      <c r="G239" s="10">
        <f>IF(ActiveDatabase=Standby,Secondary!G239,Primary!G239)</f>
        <v>-149.58146894637</v>
      </c>
      <c r="H239" s="10">
        <f>IF(ActiveDatabase=Standby,Secondary!H239,Primary!H239)</f>
        <v>221.25334404046</v>
      </c>
      <c r="I239" s="13">
        <f>IF(ActiveDatabase=Standby,Secondary!I239,Primary!I239)</f>
        <v>0</v>
      </c>
      <c r="J239" s="13">
        <f>IF(ActiveDatabase=Standby,Secondary!J239,Primary!J239)</f>
        <v>0</v>
      </c>
      <c r="K239" s="13">
        <f>IF(ActiveDatabase=Standby,Secondary!K239,Primary!K239)</f>
        <v>0</v>
      </c>
      <c r="L239" s="13">
        <f>IF(ActiveDatabase=Standby,Secondary!L239,Primary!L239)</f>
        <v>0</v>
      </c>
      <c r="M239" s="7" t="b">
        <f>IF(ActiveDatabase=Standby,Secondary!M239,Primary!M239)</f>
        <v>1</v>
      </c>
      <c r="N239" s="10">
        <f>IF(ActiveDatabase=Standby,Secondary!N239,Primary!N239)</f>
        <v>0</v>
      </c>
      <c r="O239" s="10">
        <f>IF(ActiveDatabase=Standby,Secondary!O239,Primary!O239)</f>
        <v>0</v>
      </c>
      <c r="P239" s="10">
        <f>IF(ActiveDatabase=Standby,Secondary!P239,Primary!P239)</f>
        <v>0</v>
      </c>
      <c r="Q239" s="6">
        <f>IF(ActiveDatabase=Standby,Secondary!Q239,Primary!Q239)</f>
        <v>0</v>
      </c>
      <c r="R239" s="18">
        <f>IF(ActiveDatabase=Standby,Secondary!R239,Primary!R239)</f>
        <v>0</v>
      </c>
      <c r="S239" s="19">
        <f>IF(ActiveDatabase=Standby,Secondary!S239,Primary!S239)</f>
        <v>0</v>
      </c>
      <c r="T239" s="10">
        <f>IF(ActiveDatabase=Standby,Secondary!T239,Primary!T239)</f>
        <v>0</v>
      </c>
      <c r="U239" s="10">
        <f>IF(ActiveDatabase=Standby,Secondary!U239,Primary!U239)</f>
        <v>0</v>
      </c>
      <c r="V239" s="10">
        <f>IF(ActiveDatabase=Standby,Secondary!V239,Primary!V239)</f>
        <v>0</v>
      </c>
      <c r="W239" s="6">
        <f>IF(ActiveDatabase=Standby,Secondary!W239,Primary!W239)</f>
        <v>0</v>
      </c>
      <c r="X239" s="6">
        <f>IF(ActiveDatabase=Standby,Secondary!X239,Primary!X239)</f>
        <v>0</v>
      </c>
      <c r="Y239" s="12">
        <f>IF(ActiveDatabase=Standby,Secondary!Y239,Primary!Y239)</f>
        <v>0</v>
      </c>
      <c r="Z239" s="12">
        <f>IF(ActiveDatabase=Standby,Secondary!Z239,Primary!Z239)</f>
        <v>0</v>
      </c>
      <c r="AA239" s="6">
        <f>IF(ActiveDatabase=Standby,Secondary!AA239,Primary!AA239)</f>
        <v>0</v>
      </c>
      <c r="AB239" s="12"/>
      <c r="AC239" s="6"/>
      <c r="AD239" s="6"/>
      <c r="AE239" s="7"/>
      <c r="AF239" s="7"/>
      <c r="AG239" s="7"/>
      <c r="AH239" s="7"/>
      <c r="AI239" s="7"/>
      <c r="AJ239" s="7"/>
      <c r="AK239" s="7"/>
      <c r="AL239" s="7"/>
      <c r="AM239" s="7"/>
      <c r="AN239" s="7"/>
      <c r="AO239" s="6"/>
      <c r="AP239" s="7"/>
      <c r="AQ239" s="7"/>
      <c r="AR239" s="6"/>
      <c r="AS239" s="6"/>
      <c r="AT239" s="6"/>
      <c r="AU239" s="6"/>
      <c r="AV239" s="6"/>
      <c r="AW239" s="6"/>
      <c r="AX239" s="6"/>
      <c r="AY239" s="6"/>
      <c r="AZ239" s="6"/>
      <c r="BA239" s="6"/>
      <c r="BB239" s="6"/>
      <c r="BC239" s="6"/>
      <c r="BD239" s="6"/>
      <c r="BE239" s="6"/>
      <c r="BF239" s="6"/>
      <c r="BG239" s="6"/>
    </row>
    <row r="240" customHeight="1" spans="1:59">
      <c r="A240" s="9" t="str">
        <f>IF(ActiveDatabase=Standby,Secondary!A240,Primary!A240)</f>
        <v>Daymar 05</v>
      </c>
      <c r="B240" s="5" t="str">
        <f>IF(ActiveDatabase=Standby,Secondary!B240,Primary!B240)</f>
        <v>Daymar 05</v>
      </c>
      <c r="C240" s="5" t="str">
        <f>IF(ActiveDatabase=Standby,Secondary!C240,Primary!C240)</f>
        <v>Daymar 65</v>
      </c>
      <c r="D240" s="5" t="str">
        <f>IF(ActiveDatabase=Standby,Secondary!D240,Primary!D240)</f>
        <v>Brio's Breaker Yard</v>
      </c>
      <c r="E240" s="6" t="str">
        <f>IF(ActiveDatabase=Standby,Secondary!E240,Primary!E240)</f>
        <v>Brio</v>
      </c>
      <c r="F240" s="10">
        <f>IF(ActiveDatabase=Standby,Secondary!F240,Primary!F240)</f>
        <v>-176.973536499999</v>
      </c>
      <c r="G240" s="10">
        <f>IF(ActiveDatabase=Standby,Secondary!G240,Primary!G240)</f>
        <v>-160.953157833</v>
      </c>
      <c r="H240" s="10">
        <f>IF(ActiveDatabase=Standby,Secondary!H240,Primary!H240)</f>
        <v>173.849366891</v>
      </c>
      <c r="I240" s="13">
        <f>IF(ActiveDatabase=Standby,Secondary!I240,Primary!I240)</f>
        <v>0</v>
      </c>
      <c r="J240" s="13">
        <f>IF(ActiveDatabase=Standby,Secondary!J240,Primary!J240)</f>
        <v>0</v>
      </c>
      <c r="K240" s="13">
        <f>IF(ActiveDatabase=Standby,Secondary!K240,Primary!K240)</f>
        <v>0</v>
      </c>
      <c r="L240" s="13">
        <f>IF(ActiveDatabase=Standby,Secondary!L240,Primary!L240)</f>
        <v>0</v>
      </c>
      <c r="M240" s="7" t="b">
        <f>IF(ActiveDatabase=Standby,Secondary!M240,Primary!M240)</f>
        <v>1</v>
      </c>
      <c r="N240" s="10">
        <f>IF(ActiveDatabase=Standby,Secondary!N240,Primary!N240)</f>
        <v>0</v>
      </c>
      <c r="O240" s="10">
        <f>IF(ActiveDatabase=Standby,Secondary!O240,Primary!O240)</f>
        <v>0</v>
      </c>
      <c r="P240" s="10">
        <f>IF(ActiveDatabase=Standby,Secondary!P240,Primary!P240)</f>
        <v>0</v>
      </c>
      <c r="Q240" s="6">
        <f>IF(ActiveDatabase=Standby,Secondary!Q240,Primary!Q240)</f>
        <v>0</v>
      </c>
      <c r="R240" s="18">
        <f>IF(ActiveDatabase=Standby,Secondary!R240,Primary!R240)</f>
        <v>0</v>
      </c>
      <c r="S240" s="19">
        <f>IF(ActiveDatabase=Standby,Secondary!S240,Primary!S240)</f>
        <v>0</v>
      </c>
      <c r="T240" s="10">
        <f>IF(ActiveDatabase=Standby,Secondary!T240,Primary!T240)</f>
        <v>0</v>
      </c>
      <c r="U240" s="10">
        <f>IF(ActiveDatabase=Standby,Secondary!U240,Primary!U240)</f>
        <v>0</v>
      </c>
      <c r="V240" s="10">
        <f>IF(ActiveDatabase=Standby,Secondary!V240,Primary!V240)</f>
        <v>0</v>
      </c>
      <c r="W240" s="6">
        <f>IF(ActiveDatabase=Standby,Secondary!W240,Primary!W240)</f>
        <v>0</v>
      </c>
      <c r="X240" s="6">
        <f>IF(ActiveDatabase=Standby,Secondary!X240,Primary!X240)</f>
        <v>0</v>
      </c>
      <c r="Y240" s="12">
        <f>IF(ActiveDatabase=Standby,Secondary!Y240,Primary!Y240)</f>
        <v>0</v>
      </c>
      <c r="Z240" s="12">
        <f>IF(ActiveDatabase=Standby,Secondary!Z240,Primary!Z240)</f>
        <v>0</v>
      </c>
      <c r="AA240" s="6">
        <f>IF(ActiveDatabase=Standby,Secondary!AA240,Primary!AA240)</f>
        <v>0</v>
      </c>
      <c r="AB240" s="12"/>
      <c r="AC240" s="6"/>
      <c r="AD240" s="6"/>
      <c r="AE240" s="7"/>
      <c r="AF240" s="7"/>
      <c r="AG240" s="7"/>
      <c r="AH240" s="7"/>
      <c r="AI240" s="7"/>
      <c r="AJ240" s="7"/>
      <c r="AK240" s="7"/>
      <c r="AL240" s="7"/>
      <c r="AM240" s="7"/>
      <c r="AN240" s="7"/>
      <c r="AO240" s="6"/>
      <c r="AP240" s="7"/>
      <c r="AQ240" s="7"/>
      <c r="AR240" s="6"/>
      <c r="AS240" s="6"/>
      <c r="AT240" s="6"/>
      <c r="AU240" s="6"/>
      <c r="AV240" s="6"/>
      <c r="AW240" s="6"/>
      <c r="AX240" s="6"/>
      <c r="AY240" s="6"/>
      <c r="AZ240" s="6"/>
      <c r="BA240" s="6"/>
      <c r="BB240" s="6"/>
      <c r="BC240" s="6"/>
      <c r="BD240" s="6"/>
      <c r="BE240" s="6"/>
      <c r="BF240" s="6"/>
      <c r="BG240" s="6"/>
    </row>
    <row r="241" customHeight="1" spans="1:59">
      <c r="A241" s="9" t="str">
        <f>IF(ActiveDatabase=Standby,Secondary!A241,Primary!A241)</f>
        <v>Daymar 06</v>
      </c>
      <c r="B241" s="5" t="str">
        <f>IF(ActiveDatabase=Standby,Secondary!B241,Primary!B241)</f>
        <v>Daymar 06</v>
      </c>
      <c r="C241" s="5" t="str">
        <f>IF(ActiveDatabase=Standby,Secondary!C241,Primary!C241)</f>
        <v>Daymar 26</v>
      </c>
      <c r="D241" s="5" t="str">
        <f>IF(ActiveDatabase=Standby,Secondary!D241,Primary!D241)</f>
        <v>Jumptown</v>
      </c>
      <c r="E241" s="6" t="str">
        <f>IF(ActiveDatabase=Standby,Secondary!E241,Primary!E241)</f>
        <v>Jumptown</v>
      </c>
      <c r="F241" s="10">
        <f>IF(ActiveDatabase=Standby,Secondary!F241,Primary!F241)</f>
        <v>80.43911474</v>
      </c>
      <c r="G241" s="10">
        <f>IF(ActiveDatabase=Standby,Secondary!G241,Primary!G241)</f>
        <v>242.715634598</v>
      </c>
      <c r="H241" s="10">
        <f>IF(ActiveDatabase=Standby,Secondary!H241,Primary!H241)</f>
        <v>-147.633537765</v>
      </c>
      <c r="I241" s="13">
        <f>IF(ActiveDatabase=Standby,Secondary!I241,Primary!I241)</f>
        <v>0</v>
      </c>
      <c r="J241" s="13">
        <f>IF(ActiveDatabase=Standby,Secondary!J241,Primary!J241)</f>
        <v>0</v>
      </c>
      <c r="K241" s="13">
        <f>IF(ActiveDatabase=Standby,Secondary!K241,Primary!K241)</f>
        <v>0</v>
      </c>
      <c r="L241" s="13">
        <f>IF(ActiveDatabase=Standby,Secondary!L241,Primary!L241)</f>
        <v>0</v>
      </c>
      <c r="M241" s="7" t="b">
        <f>IF(ActiveDatabase=Standby,Secondary!M241,Primary!M241)</f>
        <v>1</v>
      </c>
      <c r="N241" s="10">
        <f>IF(ActiveDatabase=Standby,Secondary!N241,Primary!N241)</f>
        <v>0</v>
      </c>
      <c r="O241" s="10">
        <f>IF(ActiveDatabase=Standby,Secondary!O241,Primary!O241)</f>
        <v>0</v>
      </c>
      <c r="P241" s="10">
        <f>IF(ActiveDatabase=Standby,Secondary!P241,Primary!P241)</f>
        <v>0</v>
      </c>
      <c r="Q241" s="6">
        <f>IF(ActiveDatabase=Standby,Secondary!Q241,Primary!Q241)</f>
        <v>0</v>
      </c>
      <c r="R241" s="18">
        <f>IF(ActiveDatabase=Standby,Secondary!R241,Primary!R241)</f>
        <v>0</v>
      </c>
      <c r="S241" s="19">
        <f>IF(ActiveDatabase=Standby,Secondary!S241,Primary!S241)</f>
        <v>0</v>
      </c>
      <c r="T241" s="10">
        <f>IF(ActiveDatabase=Standby,Secondary!T241,Primary!T241)</f>
        <v>0</v>
      </c>
      <c r="U241" s="10">
        <f>IF(ActiveDatabase=Standby,Secondary!U241,Primary!U241)</f>
        <v>0</v>
      </c>
      <c r="V241" s="10">
        <f>IF(ActiveDatabase=Standby,Secondary!V241,Primary!V241)</f>
        <v>0</v>
      </c>
      <c r="W241" s="6">
        <f>IF(ActiveDatabase=Standby,Secondary!W241,Primary!W241)</f>
        <v>0</v>
      </c>
      <c r="X241" s="6">
        <f>IF(ActiveDatabase=Standby,Secondary!X241,Primary!X241)</f>
        <v>0</v>
      </c>
      <c r="Y241" s="12">
        <f>IF(ActiveDatabase=Standby,Secondary!Y241,Primary!Y241)</f>
        <v>0</v>
      </c>
      <c r="Z241" s="12">
        <f>IF(ActiveDatabase=Standby,Secondary!Z241,Primary!Z241)</f>
        <v>0</v>
      </c>
      <c r="AA241" s="7">
        <f>IF(ActiveDatabase=Standby,Secondary!AA241,Primary!AA241)</f>
        <v>0</v>
      </c>
      <c r="AB241" s="12"/>
      <c r="AC241" s="6"/>
      <c r="AD241" s="6"/>
      <c r="AE241" s="7"/>
      <c r="AF241" s="7"/>
      <c r="AG241" s="7"/>
      <c r="AH241" s="7"/>
      <c r="AI241" s="7"/>
      <c r="AJ241" s="7"/>
      <c r="AK241" s="7"/>
      <c r="AL241" s="7"/>
      <c r="AM241" s="7"/>
      <c r="AN241" s="7"/>
      <c r="AO241" s="6"/>
      <c r="AP241" s="7"/>
      <c r="AQ241" s="7"/>
      <c r="AR241" s="6"/>
      <c r="AS241" s="7"/>
      <c r="AT241" s="7"/>
      <c r="AU241" s="7"/>
      <c r="AV241" s="7"/>
      <c r="AW241" s="7"/>
      <c r="AX241" s="7"/>
      <c r="AY241" s="7"/>
      <c r="AZ241" s="7"/>
      <c r="BA241" s="7"/>
      <c r="BB241" s="7"/>
      <c r="BC241" s="7"/>
      <c r="BD241" s="7"/>
      <c r="BE241" s="7"/>
      <c r="BF241" s="7"/>
      <c r="BG241" s="7"/>
    </row>
    <row r="242" customHeight="1" spans="1:59">
      <c r="A242" s="9" t="str">
        <f>IF(ActiveDatabase=Standby,Secondary!A242,Primary!A242)</f>
        <v>Daymar 07</v>
      </c>
      <c r="B242" s="5" t="str">
        <f>IF(ActiveDatabase=Standby,Secondary!B242,Primary!B242)</f>
        <v>Daymar 07</v>
      </c>
      <c r="C242" s="5" t="str">
        <f>IF(ActiveDatabase=Standby,Secondary!C242,Primary!C242)</f>
        <v>Daymar 18</v>
      </c>
      <c r="D242" s="5" t="str">
        <f>IF(ActiveDatabase=Standby,Secondary!D242,Primary!D242)</f>
        <v>Daymar Stash House (Nuen Waste Management)</v>
      </c>
      <c r="E242" s="6" t="str">
        <f>IF(ActiveDatabase=Standby,Secondary!E242,Primary!E242)</f>
        <v>Stash</v>
      </c>
      <c r="F242" s="10">
        <f>IF(ActiveDatabase=Standby,Secondary!F242,Primary!F242)</f>
        <v>-18.9432612462583</v>
      </c>
      <c r="G242" s="10">
        <f>IF(ActiveDatabase=Standby,Secondary!G242,Primary!G242)</f>
        <v>293.340930183354</v>
      </c>
      <c r="H242" s="10">
        <f>IF(ActiveDatabase=Standby,Secondary!H242,Primary!H242)</f>
        <v>25.4783997551309</v>
      </c>
      <c r="I242" s="13">
        <f>IF(ActiveDatabase=Standby,Secondary!I242,Primary!I242)</f>
        <v>0</v>
      </c>
      <c r="J242" s="13">
        <f>IF(ActiveDatabase=Standby,Secondary!J242,Primary!J242)</f>
        <v>0</v>
      </c>
      <c r="K242" s="13">
        <f>IF(ActiveDatabase=Standby,Secondary!K242,Primary!K242)</f>
        <v>0</v>
      </c>
      <c r="L242" s="13">
        <f>IF(ActiveDatabase=Standby,Secondary!L242,Primary!L242)</f>
        <v>0</v>
      </c>
      <c r="M242" s="7" t="b">
        <f>IF(ActiveDatabase=Standby,Secondary!M242,Primary!M242)</f>
        <v>1</v>
      </c>
      <c r="N242" s="10">
        <f>IF(ActiveDatabase=Standby,Secondary!N242,Primary!N242)</f>
        <v>0</v>
      </c>
      <c r="O242" s="10">
        <f>IF(ActiveDatabase=Standby,Secondary!O242,Primary!O242)</f>
        <v>0</v>
      </c>
      <c r="P242" s="10">
        <f>IF(ActiveDatabase=Standby,Secondary!P242,Primary!P242)</f>
        <v>0</v>
      </c>
      <c r="Q242" s="6">
        <f>IF(ActiveDatabase=Standby,Secondary!Q242,Primary!Q242)</f>
        <v>0</v>
      </c>
      <c r="R242" s="18">
        <f>IF(ActiveDatabase=Standby,Secondary!R242,Primary!R242)</f>
        <v>0</v>
      </c>
      <c r="S242" s="19">
        <f>IF(ActiveDatabase=Standby,Secondary!S242,Primary!S242)</f>
        <v>0</v>
      </c>
      <c r="T242" s="10">
        <f>IF(ActiveDatabase=Standby,Secondary!T242,Primary!T242)</f>
        <v>0</v>
      </c>
      <c r="U242" s="10">
        <f>IF(ActiveDatabase=Standby,Secondary!U242,Primary!U242)</f>
        <v>0</v>
      </c>
      <c r="V242" s="10">
        <f>IF(ActiveDatabase=Standby,Secondary!V242,Primary!V242)</f>
        <v>0</v>
      </c>
      <c r="W242" s="6">
        <f>IF(ActiveDatabase=Standby,Secondary!W242,Primary!W242)</f>
        <v>0</v>
      </c>
      <c r="X242" s="6">
        <f>IF(ActiveDatabase=Standby,Secondary!X242,Primary!X242)</f>
        <v>0</v>
      </c>
      <c r="Y242" s="12">
        <f>IF(ActiveDatabase=Standby,Secondary!Y242,Primary!Y242)</f>
        <v>0</v>
      </c>
      <c r="Z242" s="12">
        <f>IF(ActiveDatabase=Standby,Secondary!Z242,Primary!Z242)</f>
        <v>0</v>
      </c>
      <c r="AA242" s="7">
        <f>IF(ActiveDatabase=Standby,Secondary!AA242,Primary!AA242)</f>
        <v>0</v>
      </c>
      <c r="AB242" s="12"/>
      <c r="AC242" s="6"/>
      <c r="AD242" s="6"/>
      <c r="AE242" s="7"/>
      <c r="AF242" s="7"/>
      <c r="AG242" s="7"/>
      <c r="AH242" s="7"/>
      <c r="AI242" s="7"/>
      <c r="AJ242" s="7"/>
      <c r="AK242" s="7"/>
      <c r="AL242" s="7"/>
      <c r="AM242" s="7"/>
      <c r="AN242" s="7"/>
      <c r="AO242" s="6"/>
      <c r="AP242" s="7"/>
      <c r="AQ242" s="7"/>
      <c r="AR242" s="6"/>
      <c r="AS242" s="7"/>
      <c r="AT242" s="7"/>
      <c r="AU242" s="7"/>
      <c r="AV242" s="7"/>
      <c r="AW242" s="7"/>
      <c r="AX242" s="7"/>
      <c r="AY242" s="7"/>
      <c r="AZ242" s="7"/>
      <c r="BA242" s="7"/>
      <c r="BB242" s="7"/>
      <c r="BC242" s="7"/>
      <c r="BD242" s="7"/>
      <c r="BE242" s="7"/>
      <c r="BF242" s="7"/>
      <c r="BG242" s="7"/>
    </row>
    <row r="243" customHeight="1" spans="1:59">
      <c r="A243" s="9" t="str">
        <f>IF(ActiveDatabase=Standby,Secondary!A243,Primary!A243)</f>
        <v>Daymar</v>
      </c>
      <c r="B243" s="5" t="str">
        <f>IF(ActiveDatabase=Standby,Secondary!B243,Primary!B243)</f>
        <v>Daymar 09</v>
      </c>
      <c r="C243" s="5">
        <f>IF(ActiveDatabase=Standby,Secondary!C243,Primary!C243)</f>
        <v>0</v>
      </c>
      <c r="D243" s="5" t="str">
        <f>IF(ActiveDatabase=Standby,Secondary!D243,Primary!D243)</f>
        <v>Underground Bunker Facilities</v>
      </c>
      <c r="E243" s="6">
        <f>IF(ActiveDatabase=Standby,Secondary!E243,Primary!E243)</f>
        <v>0</v>
      </c>
      <c r="F243" s="10">
        <f>IF(ActiveDatabase=Standby,Secondary!F243,Primary!F243)</f>
        <v>0</v>
      </c>
      <c r="G243" s="10">
        <f>IF(ActiveDatabase=Standby,Secondary!G243,Primary!G243)</f>
        <v>0</v>
      </c>
      <c r="H243" s="10">
        <f>IF(ActiveDatabase=Standby,Secondary!H243,Primary!H243)</f>
        <v>0</v>
      </c>
      <c r="I243" s="13">
        <f>IF(ActiveDatabase=Standby,Secondary!I243,Primary!I243)</f>
        <v>0</v>
      </c>
      <c r="J243" s="13">
        <f>IF(ActiveDatabase=Standby,Secondary!J243,Primary!J243)</f>
        <v>0</v>
      </c>
      <c r="K243" s="13">
        <f>IF(ActiveDatabase=Standby,Secondary!K243,Primary!K243)</f>
        <v>0</v>
      </c>
      <c r="L243" s="13">
        <f>IF(ActiveDatabase=Standby,Secondary!L243,Primary!L243)</f>
        <v>0</v>
      </c>
      <c r="M243" s="7">
        <f>IF(ActiveDatabase=Standby,Secondary!M243,Primary!M243)</f>
        <v>0</v>
      </c>
      <c r="N243" s="10">
        <f>IF(ActiveDatabase=Standby,Secondary!N243,Primary!N243)</f>
        <v>0</v>
      </c>
      <c r="O243" s="10">
        <f>IF(ActiveDatabase=Standby,Secondary!O243,Primary!O243)</f>
        <v>0</v>
      </c>
      <c r="P243" s="10">
        <f>IF(ActiveDatabase=Standby,Secondary!P243,Primary!P243)</f>
        <v>0</v>
      </c>
      <c r="Q243" s="6">
        <f>IF(ActiveDatabase=Standby,Secondary!Q243,Primary!Q243)</f>
        <v>0</v>
      </c>
      <c r="R243" s="18">
        <f>IF(ActiveDatabase=Standby,Secondary!R243,Primary!R243)</f>
        <v>0</v>
      </c>
      <c r="S243" s="19">
        <f>IF(ActiveDatabase=Standby,Secondary!S243,Primary!S243)</f>
        <v>0</v>
      </c>
      <c r="T243" s="10">
        <f>IF(ActiveDatabase=Standby,Secondary!T243,Primary!T243)</f>
        <v>0</v>
      </c>
      <c r="U243" s="10">
        <f>IF(ActiveDatabase=Standby,Secondary!U243,Primary!U243)</f>
        <v>0</v>
      </c>
      <c r="V243" s="10">
        <f>IF(ActiveDatabase=Standby,Secondary!V243,Primary!V243)</f>
        <v>0</v>
      </c>
      <c r="W243" s="6">
        <f>IF(ActiveDatabase=Standby,Secondary!W243,Primary!W243)</f>
        <v>0</v>
      </c>
      <c r="X243" s="6">
        <f>IF(ActiveDatabase=Standby,Secondary!X243,Primary!X243)</f>
        <v>0</v>
      </c>
      <c r="Y243" s="12">
        <f>IF(ActiveDatabase=Standby,Secondary!Y243,Primary!Y243)</f>
        <v>0</v>
      </c>
      <c r="Z243" s="12">
        <f>IF(ActiveDatabase=Standby,Secondary!Z243,Primary!Z243)</f>
        <v>0</v>
      </c>
      <c r="AA243" s="7">
        <f>IF(ActiveDatabase=Standby,Secondary!AA243,Primary!AA243)</f>
        <v>0</v>
      </c>
      <c r="AB243" s="12"/>
      <c r="AC243" s="6"/>
      <c r="AD243" s="6"/>
      <c r="AE243" s="7"/>
      <c r="AF243" s="7"/>
      <c r="AG243" s="7"/>
      <c r="AH243" s="7"/>
      <c r="AI243" s="7"/>
      <c r="AJ243" s="7"/>
      <c r="AK243" s="7"/>
      <c r="AL243" s="7"/>
      <c r="AM243" s="7"/>
      <c r="AN243" s="7"/>
      <c r="AO243" s="6"/>
      <c r="AP243" s="7"/>
      <c r="AQ243" s="7"/>
      <c r="AR243" s="6"/>
      <c r="AS243" s="7"/>
      <c r="AT243" s="7"/>
      <c r="AU243" s="7"/>
      <c r="AV243" s="7"/>
      <c r="AW243" s="7"/>
      <c r="AX243" s="7"/>
      <c r="AY243" s="7"/>
      <c r="AZ243" s="7"/>
      <c r="BA243" s="7"/>
      <c r="BB243" s="7"/>
      <c r="BC243" s="7"/>
      <c r="BD243" s="7"/>
      <c r="BE243" s="7"/>
      <c r="BF243" s="7"/>
      <c r="BG243" s="7"/>
    </row>
    <row r="244" customHeight="1" spans="1:59">
      <c r="A244" s="9" t="str">
        <f>IF(ActiveDatabase=Standby,Secondary!A244,Primary!A244)</f>
        <v>Daymar 08</v>
      </c>
      <c r="B244" s="5" t="str">
        <f>IF(ActiveDatabase=Standby,Secondary!B244,Primary!B244)</f>
        <v>Daymar 10</v>
      </c>
      <c r="C244" s="5" t="str">
        <f>IF(ActiveDatabase=Standby,Secondary!C244,Primary!C244)</f>
        <v>Daymar 33</v>
      </c>
      <c r="D244" s="5" t="str">
        <f>IF(ActiveDatabase=Standby,Secondary!D244,Primary!D244)</f>
        <v>NT-999-XVI</v>
      </c>
      <c r="E244" s="6" t="str">
        <f>IF(ActiveDatabase=Standby,Secondary!E244,Primary!E244)</f>
        <v>NT999XVI</v>
      </c>
      <c r="F244" s="10">
        <f>IF(ActiveDatabase=Standby,Secondary!F244,Primary!F244)</f>
        <v>250.895143122999</v>
      </c>
      <c r="G244" s="10">
        <f>IF(ActiveDatabase=Standby,Secondary!G244,Primary!G244)</f>
        <v>154.055329269</v>
      </c>
      <c r="H244" s="10">
        <f>IF(ActiveDatabase=Standby,Secondary!H244,Primary!H244)</f>
        <v>-24.262749506</v>
      </c>
      <c r="I244" s="13">
        <f>IF(ActiveDatabase=Standby,Secondary!I244,Primary!I244)</f>
        <v>0</v>
      </c>
      <c r="J244" s="13">
        <f>IF(ActiveDatabase=Standby,Secondary!J244,Primary!J244)</f>
        <v>0</v>
      </c>
      <c r="K244" s="13">
        <f>IF(ActiveDatabase=Standby,Secondary!K244,Primary!K244)</f>
        <v>0</v>
      </c>
      <c r="L244" s="13">
        <f>IF(ActiveDatabase=Standby,Secondary!L244,Primary!L244)</f>
        <v>0</v>
      </c>
      <c r="M244" s="7" t="b">
        <f>IF(ActiveDatabase=Standby,Secondary!M244,Primary!M244)</f>
        <v>1</v>
      </c>
      <c r="N244" s="10">
        <f>IF(ActiveDatabase=Standby,Secondary!N244,Primary!N244)</f>
        <v>0</v>
      </c>
      <c r="O244" s="10">
        <f>IF(ActiveDatabase=Standby,Secondary!O244,Primary!O244)</f>
        <v>0</v>
      </c>
      <c r="P244" s="10">
        <f>IF(ActiveDatabase=Standby,Secondary!P244,Primary!P244)</f>
        <v>0</v>
      </c>
      <c r="Q244" s="6">
        <f>IF(ActiveDatabase=Standby,Secondary!Q244,Primary!Q244)</f>
        <v>0</v>
      </c>
      <c r="R244" s="18">
        <f>IF(ActiveDatabase=Standby,Secondary!R244,Primary!R244)</f>
        <v>0</v>
      </c>
      <c r="S244" s="19">
        <f>IF(ActiveDatabase=Standby,Secondary!S244,Primary!S244)</f>
        <v>0</v>
      </c>
      <c r="T244" s="10">
        <f>IF(ActiveDatabase=Standby,Secondary!T244,Primary!T244)</f>
        <v>0</v>
      </c>
      <c r="U244" s="10">
        <f>IF(ActiveDatabase=Standby,Secondary!U244,Primary!U244)</f>
        <v>0</v>
      </c>
      <c r="V244" s="10">
        <f>IF(ActiveDatabase=Standby,Secondary!V244,Primary!V244)</f>
        <v>0</v>
      </c>
      <c r="W244" s="6">
        <f>IF(ActiveDatabase=Standby,Secondary!W244,Primary!W244)</f>
        <v>0</v>
      </c>
      <c r="X244" s="6">
        <f>IF(ActiveDatabase=Standby,Secondary!X244,Primary!X244)</f>
        <v>0</v>
      </c>
      <c r="Y244" s="12">
        <f>IF(ActiveDatabase=Standby,Secondary!Y244,Primary!Y244)</f>
        <v>0</v>
      </c>
      <c r="Z244" s="12">
        <f>IF(ActiveDatabase=Standby,Secondary!Z244,Primary!Z244)</f>
        <v>0</v>
      </c>
      <c r="AA244" s="7">
        <f>IF(ActiveDatabase=Standby,Secondary!AA244,Primary!AA244)</f>
        <v>0</v>
      </c>
      <c r="AB244" s="12"/>
      <c r="AC244" s="6"/>
      <c r="AD244" s="6"/>
      <c r="AE244" s="7"/>
      <c r="AF244" s="7"/>
      <c r="AG244" s="7"/>
      <c r="AH244" s="7"/>
      <c r="AI244" s="7"/>
      <c r="AJ244" s="7"/>
      <c r="AK244" s="7"/>
      <c r="AL244" s="7"/>
      <c r="AM244" s="7"/>
      <c r="AN244" s="7"/>
      <c r="AO244" s="6"/>
      <c r="AP244" s="7"/>
      <c r="AQ244" s="7"/>
      <c r="AR244" s="6"/>
      <c r="AS244" s="7"/>
      <c r="AT244" s="7"/>
      <c r="AU244" s="7"/>
      <c r="AV244" s="7"/>
      <c r="AW244" s="7"/>
      <c r="AX244" s="7"/>
      <c r="AY244" s="7"/>
      <c r="AZ244" s="7"/>
      <c r="BA244" s="7"/>
      <c r="BB244" s="7"/>
      <c r="BC244" s="7"/>
      <c r="BD244" s="7"/>
      <c r="BE244" s="7"/>
      <c r="BF244" s="7"/>
      <c r="BG244" s="7"/>
    </row>
    <row r="245" customHeight="1" spans="1:59">
      <c r="A245" s="9" t="str">
        <f>IF(ActiveDatabase=Standby,Secondary!A245,Primary!A245)</f>
        <v>Daymar 09</v>
      </c>
      <c r="B245" s="5" t="str">
        <f>IF(ActiveDatabase=Standby,Secondary!B245,Primary!B245)</f>
        <v>Daymar 11</v>
      </c>
      <c r="C245" s="5" t="str">
        <f>IF(ActiveDatabase=Standby,Secondary!C245,Primary!C245)</f>
        <v>Daymar 37</v>
      </c>
      <c r="D245" s="5" t="str">
        <f>IF(ActiveDatabase=Standby,Secondary!D245,Primary!D245)</f>
        <v>Security Post Moluto</v>
      </c>
      <c r="E245" s="6" t="str">
        <f>IF(ActiveDatabase=Standby,Secondary!E245,Primary!E245)</f>
        <v>Moluto</v>
      </c>
      <c r="F245" s="10">
        <f>IF(ActiveDatabase=Standby,Secondary!F245,Primary!F245)</f>
        <v>188.858126624</v>
      </c>
      <c r="G245" s="10">
        <f>IF(ActiveDatabase=Standby,Secondary!G245,Primary!G245)</f>
        <v>33.74640769</v>
      </c>
      <c r="H245" s="10">
        <f>IF(ActiveDatabase=Standby,Secondary!H245,Primary!H245)</f>
        <v>-224.162867624</v>
      </c>
      <c r="I245" s="13">
        <f>IF(ActiveDatabase=Standby,Secondary!I245,Primary!I245)</f>
        <v>0</v>
      </c>
      <c r="J245" s="13">
        <f>IF(ActiveDatabase=Standby,Secondary!J245,Primary!J245)</f>
        <v>0</v>
      </c>
      <c r="K245" s="13">
        <f>IF(ActiveDatabase=Standby,Secondary!K245,Primary!K245)</f>
        <v>0</v>
      </c>
      <c r="L245" s="13">
        <f>IF(ActiveDatabase=Standby,Secondary!L245,Primary!L245)</f>
        <v>0</v>
      </c>
      <c r="M245" s="7" t="b">
        <f>IF(ActiveDatabase=Standby,Secondary!M245,Primary!M245)</f>
        <v>1</v>
      </c>
      <c r="N245" s="10">
        <f>IF(ActiveDatabase=Standby,Secondary!N245,Primary!N245)</f>
        <v>0</v>
      </c>
      <c r="O245" s="10">
        <f>IF(ActiveDatabase=Standby,Secondary!O245,Primary!O245)</f>
        <v>0</v>
      </c>
      <c r="P245" s="10">
        <f>IF(ActiveDatabase=Standby,Secondary!P245,Primary!P245)</f>
        <v>0</v>
      </c>
      <c r="Q245" s="6">
        <f>IF(ActiveDatabase=Standby,Secondary!Q245,Primary!Q245)</f>
        <v>0</v>
      </c>
      <c r="R245" s="18">
        <f>IF(ActiveDatabase=Standby,Secondary!R245,Primary!R245)</f>
        <v>0</v>
      </c>
      <c r="S245" s="19">
        <f>IF(ActiveDatabase=Standby,Secondary!S245,Primary!S245)</f>
        <v>0</v>
      </c>
      <c r="T245" s="10">
        <f>IF(ActiveDatabase=Standby,Secondary!T245,Primary!T245)</f>
        <v>0</v>
      </c>
      <c r="U245" s="10">
        <f>IF(ActiveDatabase=Standby,Secondary!U245,Primary!U245)</f>
        <v>0</v>
      </c>
      <c r="V245" s="10">
        <f>IF(ActiveDatabase=Standby,Secondary!V245,Primary!V245)</f>
        <v>0</v>
      </c>
      <c r="W245" s="6">
        <f>IF(ActiveDatabase=Standby,Secondary!W245,Primary!W245)</f>
        <v>0</v>
      </c>
      <c r="X245" s="6">
        <f>IF(ActiveDatabase=Standby,Secondary!X245,Primary!X245)</f>
        <v>0</v>
      </c>
      <c r="Y245" s="12">
        <f>IF(ActiveDatabase=Standby,Secondary!Y245,Primary!Y245)</f>
        <v>0</v>
      </c>
      <c r="Z245" s="12">
        <f>IF(ActiveDatabase=Standby,Secondary!Z245,Primary!Z245)</f>
        <v>0</v>
      </c>
      <c r="AA245" s="7">
        <f>IF(ActiveDatabase=Standby,Secondary!AA245,Primary!AA245)</f>
        <v>0</v>
      </c>
      <c r="AB245" s="12"/>
      <c r="AC245" s="6"/>
      <c r="AD245" s="6"/>
      <c r="AE245" s="7"/>
      <c r="AF245" s="7"/>
      <c r="AG245" s="7"/>
      <c r="AH245" s="7"/>
      <c r="AI245" s="7"/>
      <c r="AJ245" s="7"/>
      <c r="AK245" s="7"/>
      <c r="AL245" s="7"/>
      <c r="AM245" s="7"/>
      <c r="AN245" s="7"/>
      <c r="AO245" s="6"/>
      <c r="AP245" s="7"/>
      <c r="AQ245" s="7"/>
      <c r="AR245" s="6"/>
      <c r="AS245" s="7"/>
      <c r="AT245" s="7"/>
      <c r="AU245" s="7"/>
      <c r="AV245" s="7"/>
      <c r="AW245" s="7"/>
      <c r="AX245" s="7"/>
      <c r="AY245" s="7"/>
      <c r="AZ245" s="7"/>
      <c r="BA245" s="7"/>
      <c r="BB245" s="7"/>
      <c r="BC245" s="7"/>
      <c r="BD245" s="7"/>
      <c r="BE245" s="7"/>
      <c r="BF245" s="7"/>
      <c r="BG245" s="7"/>
    </row>
    <row r="246" customHeight="1" spans="1:59">
      <c r="A246" s="9" t="str">
        <f>IF(ActiveDatabase=Standby,Secondary!A246,Primary!A246)</f>
        <v>Daymar 10</v>
      </c>
      <c r="B246" s="5" t="str">
        <f>IF(ActiveDatabase=Standby,Secondary!B246,Primary!B246)</f>
        <v>Daymar 12</v>
      </c>
      <c r="C246" s="5" t="str">
        <f>IF(ActiveDatabase=Standby,Secondary!C246,Primary!C246)</f>
        <v>Daymar 04</v>
      </c>
      <c r="D246" s="5" t="str">
        <f>IF(ActiveDatabase=Standby,Secondary!D246,Primary!D246)</f>
        <v>Security Post Prashad</v>
      </c>
      <c r="E246" s="6" t="str">
        <f>IF(ActiveDatabase=Standby,Secondary!E246,Primary!E246)</f>
        <v>Prashad</v>
      </c>
      <c r="F246" s="10">
        <f>IF(ActiveDatabase=Standby,Secondary!F246,Primary!F246)</f>
        <v>-223.887404405</v>
      </c>
      <c r="G246" s="10">
        <f>IF(ActiveDatabase=Standby,Secondary!G246,Primary!G246)</f>
        <v>65.622608817</v>
      </c>
      <c r="H246" s="10">
        <f>IF(ActiveDatabase=Standby,Secondary!H246,Primary!H246)</f>
        <v>180.748712154</v>
      </c>
      <c r="I246" s="13">
        <f>IF(ActiveDatabase=Standby,Secondary!I246,Primary!I246)</f>
        <v>0</v>
      </c>
      <c r="J246" s="13">
        <f>IF(ActiveDatabase=Standby,Secondary!J246,Primary!J246)</f>
        <v>0</v>
      </c>
      <c r="K246" s="13">
        <f>IF(ActiveDatabase=Standby,Secondary!K246,Primary!K246)</f>
        <v>0</v>
      </c>
      <c r="L246" s="13">
        <f>IF(ActiveDatabase=Standby,Secondary!L246,Primary!L246)</f>
        <v>0</v>
      </c>
      <c r="M246" s="7" t="b">
        <f>IF(ActiveDatabase=Standby,Secondary!M246,Primary!M246)</f>
        <v>1</v>
      </c>
      <c r="N246" s="10">
        <f>IF(ActiveDatabase=Standby,Secondary!N246,Primary!N246)</f>
        <v>0</v>
      </c>
      <c r="O246" s="10">
        <f>IF(ActiveDatabase=Standby,Secondary!O246,Primary!O246)</f>
        <v>0</v>
      </c>
      <c r="P246" s="10">
        <f>IF(ActiveDatabase=Standby,Secondary!P246,Primary!P246)</f>
        <v>0</v>
      </c>
      <c r="Q246" s="6">
        <f>IF(ActiveDatabase=Standby,Secondary!Q246,Primary!Q246)</f>
        <v>0</v>
      </c>
      <c r="R246" s="18">
        <f>IF(ActiveDatabase=Standby,Secondary!R246,Primary!R246)</f>
        <v>0</v>
      </c>
      <c r="S246" s="19">
        <f>IF(ActiveDatabase=Standby,Secondary!S246,Primary!S246)</f>
        <v>0</v>
      </c>
      <c r="T246" s="10">
        <f>IF(ActiveDatabase=Standby,Secondary!T246,Primary!T246)</f>
        <v>0</v>
      </c>
      <c r="U246" s="10">
        <f>IF(ActiveDatabase=Standby,Secondary!U246,Primary!U246)</f>
        <v>0</v>
      </c>
      <c r="V246" s="10">
        <f>IF(ActiveDatabase=Standby,Secondary!V246,Primary!V246)</f>
        <v>0</v>
      </c>
      <c r="W246" s="6">
        <f>IF(ActiveDatabase=Standby,Secondary!W246,Primary!W246)</f>
        <v>0</v>
      </c>
      <c r="X246" s="6">
        <f>IF(ActiveDatabase=Standby,Secondary!X246,Primary!X246)</f>
        <v>0</v>
      </c>
      <c r="Y246" s="12">
        <f>IF(ActiveDatabase=Standby,Secondary!Y246,Primary!Y246)</f>
        <v>0</v>
      </c>
      <c r="Z246" s="12">
        <f>IF(ActiveDatabase=Standby,Secondary!Z246,Primary!Z246)</f>
        <v>0</v>
      </c>
      <c r="AA246" s="7">
        <f>IF(ActiveDatabase=Standby,Secondary!AA246,Primary!AA246)</f>
        <v>0</v>
      </c>
      <c r="AB246" s="12"/>
      <c r="AC246" s="6"/>
      <c r="AD246" s="6"/>
      <c r="AE246" s="7"/>
      <c r="AF246" s="7"/>
      <c r="AG246" s="7"/>
      <c r="AH246" s="7"/>
      <c r="AI246" s="7"/>
      <c r="AJ246" s="7"/>
      <c r="AK246" s="7"/>
      <c r="AL246" s="7"/>
      <c r="AM246" s="7"/>
      <c r="AN246" s="7"/>
      <c r="AO246" s="6"/>
      <c r="AP246" s="7"/>
      <c r="AQ246" s="7"/>
      <c r="AR246" s="6"/>
      <c r="AS246" s="7"/>
      <c r="AT246" s="7"/>
      <c r="AU246" s="7"/>
      <c r="AV246" s="7"/>
      <c r="AW246" s="7"/>
      <c r="AX246" s="7"/>
      <c r="AY246" s="7"/>
      <c r="AZ246" s="7"/>
      <c r="BA246" s="7"/>
      <c r="BB246" s="7"/>
      <c r="BC246" s="7"/>
      <c r="BD246" s="7"/>
      <c r="BE246" s="7"/>
      <c r="BF246" s="7"/>
      <c r="BG246" s="7"/>
    </row>
    <row r="247" customHeight="1" spans="1:59">
      <c r="A247" s="9" t="str">
        <f>IF(ActiveDatabase=Standby,Secondary!A247,Primary!A247)</f>
        <v>Daymar 11</v>
      </c>
      <c r="B247" s="5" t="str">
        <f>IF(ActiveDatabase=Standby,Secondary!B247,Primary!B247)</f>
        <v>Daymar 13</v>
      </c>
      <c r="C247" s="5" t="str">
        <f>IF(ActiveDatabase=Standby,Secondary!C247,Primary!C247)</f>
        <v>Daymar 59</v>
      </c>
      <c r="D247" s="5" t="str">
        <f>IF(ActiveDatabase=Standby,Secondary!D247,Primary!D247)</f>
        <v>Security Post Thaquray</v>
      </c>
      <c r="E247" s="6" t="str">
        <f>IF(ActiveDatabase=Standby,Secondary!E247,Primary!E247)</f>
        <v>Thaquray</v>
      </c>
      <c r="F247" s="10">
        <f>IF(ActiveDatabase=Standby,Secondary!F247,Primary!F247)</f>
        <v>-6.98126783299999</v>
      </c>
      <c r="G247" s="10">
        <f>IF(ActiveDatabase=Standby,Secondary!G247,Primary!G247)</f>
        <v>-89.665412035</v>
      </c>
      <c r="H247" s="10">
        <f>IF(ActiveDatabase=Standby,Secondary!H247,Primary!H247)</f>
        <v>281.360037909</v>
      </c>
      <c r="I247" s="13">
        <f>IF(ActiveDatabase=Standby,Secondary!I247,Primary!I247)</f>
        <v>0</v>
      </c>
      <c r="J247" s="13">
        <f>IF(ActiveDatabase=Standby,Secondary!J247,Primary!J247)</f>
        <v>0</v>
      </c>
      <c r="K247" s="13">
        <f>IF(ActiveDatabase=Standby,Secondary!K247,Primary!K247)</f>
        <v>0</v>
      </c>
      <c r="L247" s="13">
        <f>IF(ActiveDatabase=Standby,Secondary!L247,Primary!L247)</f>
        <v>0</v>
      </c>
      <c r="M247" s="7" t="b">
        <f>IF(ActiveDatabase=Standby,Secondary!M247,Primary!M247)</f>
        <v>1</v>
      </c>
      <c r="N247" s="10">
        <f>IF(ActiveDatabase=Standby,Secondary!N247,Primary!N247)</f>
        <v>0</v>
      </c>
      <c r="O247" s="10">
        <f>IF(ActiveDatabase=Standby,Secondary!O247,Primary!O247)</f>
        <v>0</v>
      </c>
      <c r="P247" s="10">
        <f>IF(ActiveDatabase=Standby,Secondary!P247,Primary!P247)</f>
        <v>0</v>
      </c>
      <c r="Q247" s="6">
        <f>IF(ActiveDatabase=Standby,Secondary!Q247,Primary!Q247)</f>
        <v>0</v>
      </c>
      <c r="R247" s="18">
        <f>IF(ActiveDatabase=Standby,Secondary!R247,Primary!R247)</f>
        <v>0</v>
      </c>
      <c r="S247" s="19">
        <f>IF(ActiveDatabase=Standby,Secondary!S247,Primary!S247)</f>
        <v>0</v>
      </c>
      <c r="T247" s="10">
        <f>IF(ActiveDatabase=Standby,Secondary!T247,Primary!T247)</f>
        <v>0</v>
      </c>
      <c r="U247" s="10">
        <f>IF(ActiveDatabase=Standby,Secondary!U247,Primary!U247)</f>
        <v>0</v>
      </c>
      <c r="V247" s="10">
        <f>IF(ActiveDatabase=Standby,Secondary!V247,Primary!V247)</f>
        <v>0</v>
      </c>
      <c r="W247" s="6">
        <f>IF(ActiveDatabase=Standby,Secondary!W247,Primary!W247)</f>
        <v>0</v>
      </c>
      <c r="X247" s="6">
        <f>IF(ActiveDatabase=Standby,Secondary!X247,Primary!X247)</f>
        <v>0</v>
      </c>
      <c r="Y247" s="12">
        <f>IF(ActiveDatabase=Standby,Secondary!Y247,Primary!Y247)</f>
        <v>0</v>
      </c>
      <c r="Z247" s="12">
        <f>IF(ActiveDatabase=Standby,Secondary!Z247,Primary!Z247)</f>
        <v>0</v>
      </c>
      <c r="AA247" s="7">
        <f>IF(ActiveDatabase=Standby,Secondary!AA247,Primary!AA247)</f>
        <v>0</v>
      </c>
      <c r="AB247" s="12"/>
      <c r="AC247" s="6"/>
      <c r="AD247" s="6"/>
      <c r="AE247" s="7"/>
      <c r="AF247" s="7"/>
      <c r="AG247" s="7"/>
      <c r="AH247" s="7"/>
      <c r="AI247" s="7"/>
      <c r="AJ247" s="7"/>
      <c r="AK247" s="7"/>
      <c r="AL247" s="7"/>
      <c r="AM247" s="7"/>
      <c r="AN247" s="7"/>
      <c r="AO247" s="6"/>
      <c r="AP247" s="7"/>
      <c r="AQ247" s="7"/>
      <c r="AR247" s="6"/>
      <c r="AS247" s="7"/>
      <c r="AT247" s="7"/>
      <c r="AU247" s="7"/>
      <c r="AV247" s="7"/>
      <c r="AW247" s="7"/>
      <c r="AX247" s="7"/>
      <c r="AY247" s="7"/>
      <c r="AZ247" s="7"/>
      <c r="BA247" s="7"/>
      <c r="BB247" s="7"/>
      <c r="BC247" s="7"/>
      <c r="BD247" s="7"/>
      <c r="BE247" s="7"/>
      <c r="BF247" s="7"/>
      <c r="BG247" s="7"/>
    </row>
    <row r="248" customHeight="1" spans="1:59">
      <c r="A248" s="9" t="str">
        <f>IF(ActiveDatabase=Standby,Secondary!A248,Primary!A248)</f>
        <v>Daymar 12</v>
      </c>
      <c r="B248" s="5" t="str">
        <f>IF(ActiveDatabase=Standby,Secondary!B248,Primary!B248)</f>
        <v>Daymar 14</v>
      </c>
      <c r="C248" s="5" t="str">
        <f>IF(ActiveDatabase=Standby,Secondary!C248,Primary!C248)</f>
        <v>Daymar 07</v>
      </c>
      <c r="D248" s="5" t="str">
        <f>IF(ActiveDatabase=Standby,Secondary!D248,Primary!D248)</f>
        <v>The Garden</v>
      </c>
      <c r="E248" s="6" t="str">
        <f>IF(ActiveDatabase=Standby,Secondary!E248,Primary!E248)</f>
        <v>Garden</v>
      </c>
      <c r="F248" s="10">
        <f>IF(ActiveDatabase=Standby,Secondary!F248,Primary!F248)</f>
        <v>-175.970114604</v>
      </c>
      <c r="G248" s="10">
        <f>IF(ActiveDatabase=Standby,Secondary!G248,Primary!G248)</f>
        <v>146.722503656999</v>
      </c>
      <c r="H248" s="10">
        <f>IF(ActiveDatabase=Standby,Secondary!H248,Primary!H248)</f>
        <v>186.025525633</v>
      </c>
      <c r="I248" s="13">
        <f>IF(ActiveDatabase=Standby,Secondary!I248,Primary!I248)</f>
        <v>0</v>
      </c>
      <c r="J248" s="13">
        <f>IF(ActiveDatabase=Standby,Secondary!J248,Primary!J248)</f>
        <v>0</v>
      </c>
      <c r="K248" s="13">
        <f>IF(ActiveDatabase=Standby,Secondary!K248,Primary!K248)</f>
        <v>0</v>
      </c>
      <c r="L248" s="13">
        <f>IF(ActiveDatabase=Standby,Secondary!L248,Primary!L248)</f>
        <v>0</v>
      </c>
      <c r="M248" s="7" t="b">
        <f>IF(ActiveDatabase=Standby,Secondary!M248,Primary!M248)</f>
        <v>1</v>
      </c>
      <c r="N248" s="10">
        <f>IF(ActiveDatabase=Standby,Secondary!N248,Primary!N248)</f>
        <v>0</v>
      </c>
      <c r="O248" s="10">
        <f>IF(ActiveDatabase=Standby,Secondary!O248,Primary!O248)</f>
        <v>0</v>
      </c>
      <c r="P248" s="10">
        <f>IF(ActiveDatabase=Standby,Secondary!P248,Primary!P248)</f>
        <v>0</v>
      </c>
      <c r="Q248" s="6">
        <f>IF(ActiveDatabase=Standby,Secondary!Q248,Primary!Q248)</f>
        <v>0</v>
      </c>
      <c r="R248" s="18">
        <f>IF(ActiveDatabase=Standby,Secondary!R248,Primary!R248)</f>
        <v>0</v>
      </c>
      <c r="S248" s="19">
        <f>IF(ActiveDatabase=Standby,Secondary!S248,Primary!S248)</f>
        <v>0</v>
      </c>
      <c r="T248" s="10">
        <f>IF(ActiveDatabase=Standby,Secondary!T248,Primary!T248)</f>
        <v>0</v>
      </c>
      <c r="U248" s="10">
        <f>IF(ActiveDatabase=Standby,Secondary!U248,Primary!U248)</f>
        <v>0</v>
      </c>
      <c r="V248" s="10">
        <f>IF(ActiveDatabase=Standby,Secondary!V248,Primary!V248)</f>
        <v>0</v>
      </c>
      <c r="W248" s="6">
        <f>IF(ActiveDatabase=Standby,Secondary!W248,Primary!W248)</f>
        <v>0</v>
      </c>
      <c r="X248" s="6">
        <f>IF(ActiveDatabase=Standby,Secondary!X248,Primary!X248)</f>
        <v>0</v>
      </c>
      <c r="Y248" s="12">
        <f>IF(ActiveDatabase=Standby,Secondary!Y248,Primary!Y248)</f>
        <v>0</v>
      </c>
      <c r="Z248" s="12">
        <f>IF(ActiveDatabase=Standby,Secondary!Z248,Primary!Z248)</f>
        <v>0</v>
      </c>
      <c r="AA248" s="7">
        <f>IF(ActiveDatabase=Standby,Secondary!AA248,Primary!AA248)</f>
        <v>0</v>
      </c>
      <c r="AB248" s="12"/>
      <c r="AC248" s="6"/>
      <c r="AD248" s="6"/>
      <c r="AE248" s="7"/>
      <c r="AF248" s="7"/>
      <c r="AG248" s="7"/>
      <c r="AH248" s="7"/>
      <c r="AI248" s="7"/>
      <c r="AJ248" s="7"/>
      <c r="AK248" s="7"/>
      <c r="AL248" s="7"/>
      <c r="AM248" s="7"/>
      <c r="AN248" s="7"/>
      <c r="AO248" s="6"/>
      <c r="AP248" s="7"/>
      <c r="AQ248" s="7"/>
      <c r="AR248" s="6"/>
      <c r="AS248" s="7"/>
      <c r="AT248" s="7"/>
      <c r="AU248" s="7"/>
      <c r="AV248" s="7"/>
      <c r="AW248" s="7"/>
      <c r="AX248" s="7"/>
      <c r="AY248" s="7"/>
      <c r="AZ248" s="7"/>
      <c r="BA248" s="7"/>
      <c r="BB248" s="7"/>
      <c r="BC248" s="7"/>
      <c r="BD248" s="7"/>
      <c r="BE248" s="7"/>
      <c r="BF248" s="7"/>
      <c r="BG248" s="7"/>
    </row>
    <row r="249" customHeight="1" spans="1:59">
      <c r="A249" s="9" t="str">
        <f>IF(ActiveDatabase=Standby,Secondary!A249,Primary!A249)</f>
        <v>Daymar 13</v>
      </c>
      <c r="B249" s="5" t="str">
        <f>IF(ActiveDatabase=Standby,Secondary!B249,Primary!B249)</f>
        <v>Daymar 15</v>
      </c>
      <c r="C249" s="5" t="str">
        <f>IF(ActiveDatabase=Standby,Secondary!C249,Primary!C249)</f>
        <v>Daymar 23</v>
      </c>
      <c r="D249" s="5" t="str">
        <f>IF(ActiveDatabase=Standby,Secondary!D249,Primary!D249)</f>
        <v>TPF</v>
      </c>
      <c r="E249" s="6" t="str">
        <f>IF(ActiveDatabase=Standby,Secondary!E249,Primary!E249)</f>
        <v>TPF</v>
      </c>
      <c r="F249" s="10">
        <f>IF(ActiveDatabase=Standby,Secondary!F249,Primary!F249)</f>
        <v>37.24823997</v>
      </c>
      <c r="G249" s="10">
        <f>IF(ActiveDatabase=Standby,Secondary!G249,Primary!G249)</f>
        <v>203.87655616</v>
      </c>
      <c r="H249" s="10">
        <f>IF(ActiveDatabase=Standby,Secondary!H249,Primary!H249)</f>
        <v>-209.981122536</v>
      </c>
      <c r="I249" s="13">
        <f>IF(ActiveDatabase=Standby,Secondary!I249,Primary!I249)</f>
        <v>0</v>
      </c>
      <c r="J249" s="13">
        <f>IF(ActiveDatabase=Standby,Secondary!J249,Primary!J249)</f>
        <v>0</v>
      </c>
      <c r="K249" s="13">
        <f>IF(ActiveDatabase=Standby,Secondary!K249,Primary!K249)</f>
        <v>0</v>
      </c>
      <c r="L249" s="13">
        <f>IF(ActiveDatabase=Standby,Secondary!L249,Primary!L249)</f>
        <v>0</v>
      </c>
      <c r="M249" s="7" t="b">
        <f>IF(ActiveDatabase=Standby,Secondary!M249,Primary!M249)</f>
        <v>1</v>
      </c>
      <c r="N249" s="10">
        <f>IF(ActiveDatabase=Standby,Secondary!N249,Primary!N249)</f>
        <v>0</v>
      </c>
      <c r="O249" s="10">
        <f>IF(ActiveDatabase=Standby,Secondary!O249,Primary!O249)</f>
        <v>0</v>
      </c>
      <c r="P249" s="10">
        <f>IF(ActiveDatabase=Standby,Secondary!P249,Primary!P249)</f>
        <v>0</v>
      </c>
      <c r="Q249" s="6">
        <f>IF(ActiveDatabase=Standby,Secondary!Q249,Primary!Q249)</f>
        <v>0</v>
      </c>
      <c r="R249" s="18">
        <f>IF(ActiveDatabase=Standby,Secondary!R249,Primary!R249)</f>
        <v>0</v>
      </c>
      <c r="S249" s="19">
        <f>IF(ActiveDatabase=Standby,Secondary!S249,Primary!S249)</f>
        <v>0</v>
      </c>
      <c r="T249" s="10">
        <f>IF(ActiveDatabase=Standby,Secondary!T249,Primary!T249)</f>
        <v>0</v>
      </c>
      <c r="U249" s="10">
        <f>IF(ActiveDatabase=Standby,Secondary!U249,Primary!U249)</f>
        <v>0</v>
      </c>
      <c r="V249" s="10">
        <f>IF(ActiveDatabase=Standby,Secondary!V249,Primary!V249)</f>
        <v>0</v>
      </c>
      <c r="W249" s="6">
        <f>IF(ActiveDatabase=Standby,Secondary!W249,Primary!W249)</f>
        <v>0</v>
      </c>
      <c r="X249" s="6">
        <f>IF(ActiveDatabase=Standby,Secondary!X249,Primary!X249)</f>
        <v>0</v>
      </c>
      <c r="Y249" s="12">
        <f>IF(ActiveDatabase=Standby,Secondary!Y249,Primary!Y249)</f>
        <v>0</v>
      </c>
      <c r="Z249" s="12">
        <f>IF(ActiveDatabase=Standby,Secondary!Z249,Primary!Z249)</f>
        <v>0</v>
      </c>
      <c r="AA249" s="7">
        <f>IF(ActiveDatabase=Standby,Secondary!AA249,Primary!AA249)</f>
        <v>0</v>
      </c>
      <c r="AB249" s="12"/>
      <c r="AC249" s="6"/>
      <c r="AD249" s="6"/>
      <c r="AE249" s="7"/>
      <c r="AF249" s="7"/>
      <c r="AG249" s="7"/>
      <c r="AH249" s="7"/>
      <c r="AI249" s="7"/>
      <c r="AJ249" s="7"/>
      <c r="AK249" s="7"/>
      <c r="AL249" s="7"/>
      <c r="AM249" s="7"/>
      <c r="AN249" s="7"/>
      <c r="AO249" s="6"/>
      <c r="AP249" s="7"/>
      <c r="AQ249" s="7"/>
      <c r="AR249" s="6"/>
      <c r="AS249" s="7"/>
      <c r="AT249" s="7"/>
      <c r="AU249" s="7"/>
      <c r="AV249" s="7"/>
      <c r="AW249" s="7"/>
      <c r="AX249" s="7"/>
      <c r="AY249" s="7"/>
      <c r="AZ249" s="7"/>
      <c r="BA249" s="7"/>
      <c r="BB249" s="7"/>
      <c r="BC249" s="7"/>
      <c r="BD249" s="7"/>
      <c r="BE249" s="7"/>
      <c r="BF249" s="7"/>
      <c r="BG249" s="7"/>
    </row>
    <row r="250" customHeight="1" spans="1:59">
      <c r="A250" s="9" t="str">
        <f>IF(ActiveDatabase=Standby,Secondary!A250,Primary!A250)</f>
        <v>Daymar</v>
      </c>
      <c r="B250" s="5" t="str">
        <f>IF(ActiveDatabase=Standby,Secondary!B250,Primary!B250)</f>
        <v>Daymar 17</v>
      </c>
      <c r="C250" s="5">
        <f>IF(ActiveDatabase=Standby,Secondary!C250,Primary!C250)</f>
        <v>0</v>
      </c>
      <c r="D250" s="5" t="str">
        <f>IF(ActiveDatabase=Standby,Secondary!D250,Primary!D250)</f>
        <v>Other Facilities</v>
      </c>
      <c r="E250" s="6">
        <f>IF(ActiveDatabase=Standby,Secondary!E250,Primary!E250)</f>
        <v>0</v>
      </c>
      <c r="F250" s="10">
        <f>IF(ActiveDatabase=Standby,Secondary!F250,Primary!F250)</f>
        <v>0</v>
      </c>
      <c r="G250" s="10">
        <f>IF(ActiveDatabase=Standby,Secondary!G250,Primary!G250)</f>
        <v>0</v>
      </c>
      <c r="H250" s="10">
        <f>IF(ActiveDatabase=Standby,Secondary!H250,Primary!H250)</f>
        <v>0</v>
      </c>
      <c r="I250" s="13">
        <f>IF(ActiveDatabase=Standby,Secondary!I250,Primary!I250)</f>
        <v>0</v>
      </c>
      <c r="J250" s="13">
        <f>IF(ActiveDatabase=Standby,Secondary!J250,Primary!J250)</f>
        <v>0</v>
      </c>
      <c r="K250" s="13">
        <f>IF(ActiveDatabase=Standby,Secondary!K250,Primary!K250)</f>
        <v>0</v>
      </c>
      <c r="L250" s="13">
        <f>IF(ActiveDatabase=Standby,Secondary!L250,Primary!L250)</f>
        <v>0</v>
      </c>
      <c r="M250" s="7">
        <f>IF(ActiveDatabase=Standby,Secondary!M250,Primary!M250)</f>
        <v>0</v>
      </c>
      <c r="N250" s="10">
        <f>IF(ActiveDatabase=Standby,Secondary!N250,Primary!N250)</f>
        <v>0</v>
      </c>
      <c r="O250" s="10">
        <f>IF(ActiveDatabase=Standby,Secondary!O250,Primary!O250)</f>
        <v>0</v>
      </c>
      <c r="P250" s="10">
        <f>IF(ActiveDatabase=Standby,Secondary!P250,Primary!P250)</f>
        <v>0</v>
      </c>
      <c r="Q250" s="6">
        <f>IF(ActiveDatabase=Standby,Secondary!Q250,Primary!Q250)</f>
        <v>0</v>
      </c>
      <c r="R250" s="18">
        <f>IF(ActiveDatabase=Standby,Secondary!R250,Primary!R250)</f>
        <v>0</v>
      </c>
      <c r="S250" s="19">
        <f>IF(ActiveDatabase=Standby,Secondary!S250,Primary!S250)</f>
        <v>0</v>
      </c>
      <c r="T250" s="10">
        <f>IF(ActiveDatabase=Standby,Secondary!T250,Primary!T250)</f>
        <v>0</v>
      </c>
      <c r="U250" s="10">
        <f>IF(ActiveDatabase=Standby,Secondary!U250,Primary!U250)</f>
        <v>0</v>
      </c>
      <c r="V250" s="10">
        <f>IF(ActiveDatabase=Standby,Secondary!V250,Primary!V250)</f>
        <v>0</v>
      </c>
      <c r="W250" s="6">
        <f>IF(ActiveDatabase=Standby,Secondary!W250,Primary!W250)</f>
        <v>0</v>
      </c>
      <c r="X250" s="6">
        <f>IF(ActiveDatabase=Standby,Secondary!X250,Primary!X250)</f>
        <v>0</v>
      </c>
      <c r="Y250" s="12">
        <f>IF(ActiveDatabase=Standby,Secondary!Y250,Primary!Y250)</f>
        <v>0</v>
      </c>
      <c r="Z250" s="12">
        <f>IF(ActiveDatabase=Standby,Secondary!Z250,Primary!Z250)</f>
        <v>0</v>
      </c>
      <c r="AA250" s="7">
        <f>IF(ActiveDatabase=Standby,Secondary!AA250,Primary!AA250)</f>
        <v>0</v>
      </c>
      <c r="AB250" s="12"/>
      <c r="AC250" s="6"/>
      <c r="AD250" s="6"/>
      <c r="AE250" s="7"/>
      <c r="AF250" s="7"/>
      <c r="AG250" s="7"/>
      <c r="AH250" s="7"/>
      <c r="AI250" s="7"/>
      <c r="AJ250" s="7"/>
      <c r="AK250" s="7"/>
      <c r="AL250" s="7"/>
      <c r="AM250" s="7"/>
      <c r="AN250" s="7"/>
      <c r="AO250" s="6"/>
      <c r="AP250" s="7"/>
      <c r="AQ250" s="7"/>
      <c r="AR250" s="6"/>
      <c r="AS250" s="7"/>
      <c r="AT250" s="7"/>
      <c r="AU250" s="7"/>
      <c r="AV250" s="7"/>
      <c r="AW250" s="7"/>
      <c r="AX250" s="7"/>
      <c r="AY250" s="7"/>
      <c r="AZ250" s="7"/>
      <c r="BA250" s="7"/>
      <c r="BB250" s="7"/>
      <c r="BC250" s="7"/>
      <c r="BD250" s="7"/>
      <c r="BE250" s="7"/>
      <c r="BF250" s="7"/>
      <c r="BG250" s="7"/>
    </row>
    <row r="251" customHeight="1" spans="1:59">
      <c r="A251" s="9" t="str">
        <f>IF(ActiveDatabase=Standby,Secondary!A251,Primary!A251)</f>
        <v>Daymar 14</v>
      </c>
      <c r="B251" s="5" t="str">
        <f>IF(ActiveDatabase=Standby,Secondary!B251,Primary!B251)</f>
        <v>Daymar 18</v>
      </c>
      <c r="C251" s="5" t="str">
        <f>IF(ActiveDatabase=Standby,Secondary!C251,Primary!C251)</f>
        <v>Daymar 11</v>
      </c>
      <c r="D251" s="5" t="str">
        <f>IF(ActiveDatabase=Standby,Secondary!D251,Primary!D251)</f>
        <v>Covalex Shipping Hub Gundo</v>
      </c>
      <c r="E251" s="6" t="str">
        <f>IF(ActiveDatabase=Standby,Secondary!E251,Primary!E251)</f>
        <v>Covalex</v>
      </c>
      <c r="F251" s="10">
        <f>IF(ActiveDatabase=Standby,Secondary!F251,Primary!F251)</f>
        <v>-241.198062896729</v>
      </c>
      <c r="G251" s="10">
        <f>IF(ActiveDatabase=Standby,Secondary!G251,Primary!G251)</f>
        <v>437.977486660004</v>
      </c>
      <c r="H251" s="10">
        <f>IF(ActiveDatabase=Standby,Secondary!H251,Primary!H251)</f>
        <v>-300</v>
      </c>
      <c r="I251" s="13">
        <f>IF(ActiveDatabase=Standby,Secondary!I251,Primary!I251)</f>
        <v>0</v>
      </c>
      <c r="J251" s="13">
        <f>IF(ActiveDatabase=Standby,Secondary!J251,Primary!J251)</f>
        <v>0</v>
      </c>
      <c r="K251" s="13">
        <f>IF(ActiveDatabase=Standby,Secondary!K251,Primary!K251)</f>
        <v>0</v>
      </c>
      <c r="L251" s="13">
        <f>IF(ActiveDatabase=Standby,Secondary!L251,Primary!L251)</f>
        <v>0</v>
      </c>
      <c r="M251" s="7" t="b">
        <f>IF(ActiveDatabase=Standby,Secondary!M251,Primary!M251)</f>
        <v>1</v>
      </c>
      <c r="N251" s="10">
        <f>IF(ActiveDatabase=Standby,Secondary!N251,Primary!N251)</f>
        <v>0</v>
      </c>
      <c r="O251" s="10">
        <f>IF(ActiveDatabase=Standby,Secondary!O251,Primary!O251)</f>
        <v>0</v>
      </c>
      <c r="P251" s="10">
        <f>IF(ActiveDatabase=Standby,Secondary!P251,Primary!P251)</f>
        <v>0</v>
      </c>
      <c r="Q251" s="6">
        <f>IF(ActiveDatabase=Standby,Secondary!Q251,Primary!Q251)</f>
        <v>0</v>
      </c>
      <c r="R251" s="18">
        <f>IF(ActiveDatabase=Standby,Secondary!R251,Primary!R251)</f>
        <v>0</v>
      </c>
      <c r="S251" s="19">
        <f>IF(ActiveDatabase=Standby,Secondary!S251,Primary!S251)</f>
        <v>0</v>
      </c>
      <c r="T251" s="10">
        <f>IF(ActiveDatabase=Standby,Secondary!T251,Primary!T251)</f>
        <v>0</v>
      </c>
      <c r="U251" s="10">
        <f>IF(ActiveDatabase=Standby,Secondary!U251,Primary!U251)</f>
        <v>0</v>
      </c>
      <c r="V251" s="10">
        <f>IF(ActiveDatabase=Standby,Secondary!V251,Primary!V251)</f>
        <v>0</v>
      </c>
      <c r="W251" s="6">
        <f>IF(ActiveDatabase=Standby,Secondary!W251,Primary!W251)</f>
        <v>0</v>
      </c>
      <c r="X251" s="6">
        <f>IF(ActiveDatabase=Standby,Secondary!X251,Primary!X251)</f>
        <v>0</v>
      </c>
      <c r="Y251" s="12">
        <f>IF(ActiveDatabase=Standby,Secondary!Y251,Primary!Y251)</f>
        <v>0</v>
      </c>
      <c r="Z251" s="12">
        <f>IF(ActiveDatabase=Standby,Secondary!Z251,Primary!Z251)</f>
        <v>0</v>
      </c>
      <c r="AA251" s="7">
        <f>IF(ActiveDatabase=Standby,Secondary!AA251,Primary!AA251)</f>
        <v>0</v>
      </c>
      <c r="AB251" s="12"/>
      <c r="AC251" s="6"/>
      <c r="AD251" s="6"/>
      <c r="AE251" s="7"/>
      <c r="AF251" s="7"/>
      <c r="AG251" s="7"/>
      <c r="AH251" s="7"/>
      <c r="AI251" s="7"/>
      <c r="AJ251" s="7"/>
      <c r="AK251" s="7"/>
      <c r="AL251" s="7"/>
      <c r="AM251" s="7"/>
      <c r="AN251" s="7"/>
      <c r="AO251" s="6"/>
      <c r="AP251" s="7"/>
      <c r="AQ251" s="7"/>
      <c r="AR251" s="6"/>
      <c r="AS251" s="7"/>
      <c r="AT251" s="7"/>
      <c r="AU251" s="7"/>
      <c r="AV251" s="7"/>
      <c r="AW251" s="7"/>
      <c r="AX251" s="7"/>
      <c r="AY251" s="7"/>
      <c r="AZ251" s="7"/>
      <c r="BA251" s="7"/>
      <c r="BB251" s="7"/>
      <c r="BC251" s="7"/>
      <c r="BD251" s="7"/>
      <c r="BE251" s="7"/>
      <c r="BF251" s="7"/>
      <c r="BG251" s="7"/>
    </row>
    <row r="252" customHeight="1" spans="1:59">
      <c r="A252" s="9" t="str">
        <f>IF(ActiveDatabase=Standby,Secondary!A252,Primary!A252)</f>
        <v>Daymar 21</v>
      </c>
      <c r="B252" s="5" t="str">
        <f>IF(ActiveDatabase=Standby,Secondary!B252,Primary!B252)</f>
        <v>Daymar 19</v>
      </c>
      <c r="C252" s="5" t="str">
        <f>IF(ActiveDatabase=Standby,Secondary!C252,Primary!C252)</f>
        <v>Daymar 25</v>
      </c>
      <c r="D252" s="5" t="str">
        <f>IF(ActiveDatabase=Standby,Secondary!D252,Primary!D252)</f>
        <v>Abandoned Outpost</v>
      </c>
      <c r="E252" s="6" t="str">
        <f>IF(ActiveDatabase=Standby,Secondary!E252,Primary!E252)</f>
        <v>Abandoned</v>
      </c>
      <c r="F252" s="10">
        <f>IF(ActiveDatabase=Standby,Secondary!F252,Primary!F252)</f>
        <v>73.1390425385456</v>
      </c>
      <c r="G252" s="10">
        <f>IF(ActiveDatabase=Standby,Secondary!G252,Primary!G252)</f>
        <v>285.904326088043</v>
      </c>
      <c r="H252" s="10">
        <f>IF(ActiveDatabase=Standby,Secondary!H252,Primary!H252)</f>
        <v>1.90551400657811</v>
      </c>
      <c r="I252" s="13">
        <f>IF(ActiveDatabase=Standby,Secondary!I252,Primary!I252)</f>
        <v>0</v>
      </c>
      <c r="J252" s="13">
        <f>IF(ActiveDatabase=Standby,Secondary!J252,Primary!J252)</f>
        <v>0</v>
      </c>
      <c r="K252" s="13">
        <f>IF(ActiveDatabase=Standby,Secondary!K252,Primary!K252)</f>
        <v>0</v>
      </c>
      <c r="L252" s="13">
        <f>IF(ActiveDatabase=Standby,Secondary!L252,Primary!L252)</f>
        <v>0</v>
      </c>
      <c r="M252" s="7" t="b">
        <f>IF(ActiveDatabase=Standby,Secondary!M252,Primary!M252)</f>
        <v>0</v>
      </c>
      <c r="N252" s="10">
        <f>IF(ActiveDatabase=Standby,Secondary!N252,Primary!N252)</f>
        <v>0</v>
      </c>
      <c r="O252" s="10">
        <f>IF(ActiveDatabase=Standby,Secondary!O252,Primary!O252)</f>
        <v>0</v>
      </c>
      <c r="P252" s="10">
        <f>IF(ActiveDatabase=Standby,Secondary!P252,Primary!P252)</f>
        <v>0</v>
      </c>
      <c r="Q252" s="6">
        <f>IF(ActiveDatabase=Standby,Secondary!Q252,Primary!Q252)</f>
        <v>0</v>
      </c>
      <c r="R252" s="18">
        <f>IF(ActiveDatabase=Standby,Secondary!R252,Primary!R252)</f>
        <v>0</v>
      </c>
      <c r="S252" s="19">
        <f>IF(ActiveDatabase=Standby,Secondary!S252,Primary!S252)</f>
        <v>0</v>
      </c>
      <c r="T252" s="10">
        <f>IF(ActiveDatabase=Standby,Secondary!T252,Primary!T252)</f>
        <v>0</v>
      </c>
      <c r="U252" s="10">
        <f>IF(ActiveDatabase=Standby,Secondary!U252,Primary!U252)</f>
        <v>0</v>
      </c>
      <c r="V252" s="10">
        <f>IF(ActiveDatabase=Standby,Secondary!V252,Primary!V252)</f>
        <v>0</v>
      </c>
      <c r="W252" s="6">
        <f>IF(ActiveDatabase=Standby,Secondary!W252,Primary!W252)</f>
        <v>0</v>
      </c>
      <c r="X252" s="6">
        <f>IF(ActiveDatabase=Standby,Secondary!X252,Primary!X252)</f>
        <v>0</v>
      </c>
      <c r="Y252" s="12">
        <f>IF(ActiveDatabase=Standby,Secondary!Y252,Primary!Y252)</f>
        <v>0</v>
      </c>
      <c r="Z252" s="12">
        <f>IF(ActiveDatabase=Standby,Secondary!Z252,Primary!Z252)</f>
        <v>0</v>
      </c>
      <c r="AA252" s="7">
        <f>IF(ActiveDatabase=Standby,Secondary!AA252,Primary!AA252)</f>
        <v>0</v>
      </c>
      <c r="AB252" s="12"/>
      <c r="AC252" s="6"/>
      <c r="AD252" s="6"/>
      <c r="AE252" s="7"/>
      <c r="AF252" s="7"/>
      <c r="AG252" s="7"/>
      <c r="AH252" s="7"/>
      <c r="AI252" s="7"/>
      <c r="AJ252" s="7"/>
      <c r="AK252" s="7"/>
      <c r="AL252" s="7"/>
      <c r="AM252" s="7"/>
      <c r="AN252" s="7"/>
      <c r="AO252" s="6"/>
      <c r="AP252" s="7"/>
      <c r="AQ252" s="7"/>
      <c r="AR252" s="6"/>
      <c r="AS252" s="7"/>
      <c r="AT252" s="7"/>
      <c r="AU252" s="7"/>
      <c r="AV252" s="7"/>
      <c r="AW252" s="7"/>
      <c r="AX252" s="7"/>
      <c r="AY252" s="7"/>
      <c r="AZ252" s="7"/>
      <c r="BA252" s="7"/>
      <c r="BB252" s="7"/>
      <c r="BC252" s="7"/>
      <c r="BD252" s="7"/>
      <c r="BE252" s="7"/>
      <c r="BF252" s="7"/>
      <c r="BG252" s="7"/>
    </row>
    <row r="253" customHeight="1" spans="1:59">
      <c r="A253" s="9" t="str">
        <f>IF(ActiveDatabase=Standby,Secondary!A253,Primary!A253)</f>
        <v>Daymar</v>
      </c>
      <c r="B253" s="5" t="str">
        <f>IF(ActiveDatabase=Standby,Secondary!B253,Primary!B253)</f>
        <v>Daymar 21</v>
      </c>
      <c r="C253" s="5">
        <f>IF(ActiveDatabase=Standby,Secondary!C253,Primary!C253)</f>
        <v>0</v>
      </c>
      <c r="D253" s="5" t="str">
        <f>IF(ActiveDatabase=Standby,Secondary!D253,Primary!D253)</f>
        <v>Emergency Shelters</v>
      </c>
      <c r="E253" s="6">
        <f>IF(ActiveDatabase=Standby,Secondary!E253,Primary!E253)</f>
        <v>0</v>
      </c>
      <c r="F253" s="10">
        <f>IF(ActiveDatabase=Standby,Secondary!F253,Primary!F253)</f>
        <v>0</v>
      </c>
      <c r="G253" s="10">
        <f>IF(ActiveDatabase=Standby,Secondary!G253,Primary!G253)</f>
        <v>0</v>
      </c>
      <c r="H253" s="10">
        <f>IF(ActiveDatabase=Standby,Secondary!H253,Primary!H253)</f>
        <v>0</v>
      </c>
      <c r="I253" s="13">
        <f>IF(ActiveDatabase=Standby,Secondary!I253,Primary!I253)</f>
        <v>0</v>
      </c>
      <c r="J253" s="13">
        <f>IF(ActiveDatabase=Standby,Secondary!J253,Primary!J253)</f>
        <v>0</v>
      </c>
      <c r="K253" s="13">
        <f>IF(ActiveDatabase=Standby,Secondary!K253,Primary!K253)</f>
        <v>0</v>
      </c>
      <c r="L253" s="13">
        <f>IF(ActiveDatabase=Standby,Secondary!L253,Primary!L253)</f>
        <v>0</v>
      </c>
      <c r="M253" s="7">
        <f>IF(ActiveDatabase=Standby,Secondary!M253,Primary!M253)</f>
        <v>0</v>
      </c>
      <c r="N253" s="10">
        <f>IF(ActiveDatabase=Standby,Secondary!N253,Primary!N253)</f>
        <v>0</v>
      </c>
      <c r="O253" s="10">
        <f>IF(ActiveDatabase=Standby,Secondary!O253,Primary!O253)</f>
        <v>0</v>
      </c>
      <c r="P253" s="10">
        <f>IF(ActiveDatabase=Standby,Secondary!P253,Primary!P253)</f>
        <v>0</v>
      </c>
      <c r="Q253" s="6">
        <f>IF(ActiveDatabase=Standby,Secondary!Q253,Primary!Q253)</f>
        <v>0</v>
      </c>
      <c r="R253" s="18">
        <f>IF(ActiveDatabase=Standby,Secondary!R253,Primary!R253)</f>
        <v>0</v>
      </c>
      <c r="S253" s="19">
        <f>IF(ActiveDatabase=Standby,Secondary!S253,Primary!S253)</f>
        <v>0</v>
      </c>
      <c r="T253" s="10">
        <f>IF(ActiveDatabase=Standby,Secondary!T253,Primary!T253)</f>
        <v>0</v>
      </c>
      <c r="U253" s="10">
        <f>IF(ActiveDatabase=Standby,Secondary!U253,Primary!U253)</f>
        <v>0</v>
      </c>
      <c r="V253" s="10">
        <f>IF(ActiveDatabase=Standby,Secondary!V253,Primary!V253)</f>
        <v>0</v>
      </c>
      <c r="W253" s="6">
        <f>IF(ActiveDatabase=Standby,Secondary!W253,Primary!W253)</f>
        <v>0</v>
      </c>
      <c r="X253" s="6">
        <f>IF(ActiveDatabase=Standby,Secondary!X253,Primary!X253)</f>
        <v>0</v>
      </c>
      <c r="Y253" s="12">
        <f>IF(ActiveDatabase=Standby,Secondary!Y253,Primary!Y253)</f>
        <v>0</v>
      </c>
      <c r="Z253" s="12">
        <f>IF(ActiveDatabase=Standby,Secondary!Z253,Primary!Z253)</f>
        <v>0</v>
      </c>
      <c r="AA253" s="7">
        <f>IF(ActiveDatabase=Standby,Secondary!AA253,Primary!AA253)</f>
        <v>0</v>
      </c>
      <c r="AB253" s="12"/>
      <c r="AC253" s="6"/>
      <c r="AD253" s="6"/>
      <c r="AE253" s="7"/>
      <c r="AF253" s="7"/>
      <c r="AG253" s="7"/>
      <c r="AH253" s="7"/>
      <c r="AI253" s="7"/>
      <c r="AJ253" s="7"/>
      <c r="AK253" s="7"/>
      <c r="AL253" s="7"/>
      <c r="AM253" s="7"/>
      <c r="AN253" s="7"/>
      <c r="AO253" s="6"/>
      <c r="AP253" s="7"/>
      <c r="AQ253" s="7"/>
      <c r="AR253" s="6"/>
      <c r="AS253" s="7"/>
      <c r="AT253" s="7"/>
      <c r="AU253" s="7"/>
      <c r="AV253" s="7"/>
      <c r="AW253" s="7"/>
      <c r="AX253" s="7"/>
      <c r="AY253" s="7"/>
      <c r="AZ253" s="7"/>
      <c r="BA253" s="7"/>
      <c r="BB253" s="7"/>
      <c r="BC253" s="7"/>
      <c r="BD253" s="7"/>
      <c r="BE253" s="7"/>
      <c r="BF253" s="7"/>
      <c r="BG253" s="7"/>
    </row>
    <row r="254" customHeight="1" spans="1:59">
      <c r="A254" s="9" t="str">
        <f>IF(ActiveDatabase=Standby,Secondary!A254,Primary!A254)</f>
        <v>Daymar 15</v>
      </c>
      <c r="B254" s="5" t="str">
        <f>IF(ActiveDatabase=Standby,Secondary!B254,Primary!B254)</f>
        <v>Daymar 22</v>
      </c>
      <c r="C254" s="5" t="str">
        <f>IF(ActiveDatabase=Standby,Secondary!C254,Primary!C254)</f>
        <v>Daymar 14</v>
      </c>
      <c r="D254" s="5" t="str">
        <f>IF(ActiveDatabase=Standby,Secondary!D254,Primary!D254)</f>
        <v>Dunlow Ridge Aid Shelter</v>
      </c>
      <c r="E254" s="6" t="str">
        <f>IF(ActiveDatabase=Standby,Secondary!E254,Primary!E254)</f>
        <v>Dunlow</v>
      </c>
      <c r="F254" s="10">
        <f>IF(ActiveDatabase=Standby,Secondary!F254,Primary!F254)</f>
        <v>-51.8496231568687</v>
      </c>
      <c r="G254" s="10">
        <f>IF(ActiveDatabase=Standby,Secondary!G254,Primary!G254)</f>
        <v>280.931990013533</v>
      </c>
      <c r="H254" s="10">
        <f>IF(ActiveDatabase=Standby,Secondary!H254,Primary!H254)</f>
        <v>75.3312863846513</v>
      </c>
      <c r="I254" s="13">
        <f>IF(ActiveDatabase=Standby,Secondary!I254,Primary!I254)</f>
        <v>0</v>
      </c>
      <c r="J254" s="13">
        <f>IF(ActiveDatabase=Standby,Secondary!J254,Primary!J254)</f>
        <v>0</v>
      </c>
      <c r="K254" s="13">
        <f>IF(ActiveDatabase=Standby,Secondary!K254,Primary!K254)</f>
        <v>0</v>
      </c>
      <c r="L254" s="13">
        <f>IF(ActiveDatabase=Standby,Secondary!L254,Primary!L254)</f>
        <v>0</v>
      </c>
      <c r="M254" s="7" t="b">
        <f>IF(ActiveDatabase=Standby,Secondary!M254,Primary!M254)</f>
        <v>1</v>
      </c>
      <c r="N254" s="10">
        <f>IF(ActiveDatabase=Standby,Secondary!N254,Primary!N254)</f>
        <v>0</v>
      </c>
      <c r="O254" s="10">
        <f>IF(ActiveDatabase=Standby,Secondary!O254,Primary!O254)</f>
        <v>0</v>
      </c>
      <c r="P254" s="10">
        <f>IF(ActiveDatabase=Standby,Secondary!P254,Primary!P254)</f>
        <v>0</v>
      </c>
      <c r="Q254" s="6">
        <f>IF(ActiveDatabase=Standby,Secondary!Q254,Primary!Q254)</f>
        <v>0</v>
      </c>
      <c r="R254" s="18">
        <f>IF(ActiveDatabase=Standby,Secondary!R254,Primary!R254)</f>
        <v>0</v>
      </c>
      <c r="S254" s="19">
        <f>IF(ActiveDatabase=Standby,Secondary!S254,Primary!S254)</f>
        <v>0</v>
      </c>
      <c r="T254" s="10">
        <f>IF(ActiveDatabase=Standby,Secondary!T254,Primary!T254)</f>
        <v>0</v>
      </c>
      <c r="U254" s="10">
        <f>IF(ActiveDatabase=Standby,Secondary!U254,Primary!U254)</f>
        <v>0</v>
      </c>
      <c r="V254" s="10">
        <f>IF(ActiveDatabase=Standby,Secondary!V254,Primary!V254)</f>
        <v>0</v>
      </c>
      <c r="W254" s="6">
        <f>IF(ActiveDatabase=Standby,Secondary!W254,Primary!W254)</f>
        <v>0</v>
      </c>
      <c r="X254" s="6">
        <f>IF(ActiveDatabase=Standby,Secondary!X254,Primary!X254)</f>
        <v>0</v>
      </c>
      <c r="Y254" s="12">
        <f>IF(ActiveDatabase=Standby,Secondary!Y254,Primary!Y254)</f>
        <v>0</v>
      </c>
      <c r="Z254" s="12">
        <f>IF(ActiveDatabase=Standby,Secondary!Z254,Primary!Z254)</f>
        <v>0</v>
      </c>
      <c r="AA254" s="7">
        <f>IF(ActiveDatabase=Standby,Secondary!AA254,Primary!AA254)</f>
        <v>0</v>
      </c>
      <c r="AB254" s="12"/>
      <c r="AC254" s="6"/>
      <c r="AD254" s="6"/>
      <c r="AE254" s="7"/>
      <c r="AF254" s="7"/>
      <c r="AG254" s="7"/>
      <c r="AH254" s="7"/>
      <c r="AI254" s="7"/>
      <c r="AJ254" s="7"/>
      <c r="AK254" s="7"/>
      <c r="AL254" s="7"/>
      <c r="AM254" s="7"/>
      <c r="AN254" s="7"/>
      <c r="AO254" s="6"/>
      <c r="AP254" s="7"/>
      <c r="AQ254" s="7"/>
      <c r="AR254" s="6"/>
      <c r="AS254" s="7"/>
      <c r="AT254" s="7"/>
      <c r="AU254" s="7"/>
      <c r="AV254" s="7"/>
      <c r="AW254" s="7"/>
      <c r="AX254" s="7"/>
      <c r="AY254" s="7"/>
      <c r="AZ254" s="7"/>
      <c r="BA254" s="7"/>
      <c r="BB254" s="7"/>
      <c r="BC254" s="7"/>
      <c r="BD254" s="7"/>
      <c r="BE254" s="7"/>
      <c r="BF254" s="7"/>
      <c r="BG254" s="7"/>
    </row>
    <row r="255" customHeight="1" spans="1:59">
      <c r="A255" s="9" t="str">
        <f>IF(ActiveDatabase=Standby,Secondary!A255,Primary!A255)</f>
        <v>Daymar 16</v>
      </c>
      <c r="B255" s="5" t="str">
        <f>IF(ActiveDatabase=Standby,Secondary!B255,Primary!B255)</f>
        <v>Daymar 23</v>
      </c>
      <c r="C255" s="5" t="str">
        <f>IF(ActiveDatabase=Standby,Secondary!C255,Primary!C255)</f>
        <v>Daymar 44</v>
      </c>
      <c r="D255" s="5" t="str">
        <f>IF(ActiveDatabase=Standby,Secondary!D255,Primary!D255)</f>
        <v>Eager Flats Aid Shelter</v>
      </c>
      <c r="E255" s="6" t="str">
        <f>IF(ActiveDatabase=Standby,Secondary!E255,Primary!E255)</f>
        <v>Eager</v>
      </c>
      <c r="F255" s="10">
        <f>IF(ActiveDatabase=Standby,Secondary!F255,Primary!F255)</f>
        <v>200.545063565929</v>
      </c>
      <c r="G255" s="10">
        <f>IF(ActiveDatabase=Standby,Secondary!G255,Primary!G255)</f>
        <v>-104.917273995152</v>
      </c>
      <c r="H255" s="10">
        <f>IF(ActiveDatabase=Standby,Secondary!H255,Primary!H255)</f>
        <v>190.096594760393</v>
      </c>
      <c r="I255" s="13">
        <f>IF(ActiveDatabase=Standby,Secondary!I255,Primary!I255)</f>
        <v>0</v>
      </c>
      <c r="J255" s="13">
        <f>IF(ActiveDatabase=Standby,Secondary!J255,Primary!J255)</f>
        <v>0</v>
      </c>
      <c r="K255" s="13">
        <f>IF(ActiveDatabase=Standby,Secondary!K255,Primary!K255)</f>
        <v>0</v>
      </c>
      <c r="L255" s="13">
        <f>IF(ActiveDatabase=Standby,Secondary!L255,Primary!L255)</f>
        <v>0</v>
      </c>
      <c r="M255" s="7" t="b">
        <f>IF(ActiveDatabase=Standby,Secondary!M255,Primary!M255)</f>
        <v>1</v>
      </c>
      <c r="N255" s="10">
        <f>IF(ActiveDatabase=Standby,Secondary!N255,Primary!N255)</f>
        <v>0</v>
      </c>
      <c r="O255" s="10">
        <f>IF(ActiveDatabase=Standby,Secondary!O255,Primary!O255)</f>
        <v>0</v>
      </c>
      <c r="P255" s="10">
        <f>IF(ActiveDatabase=Standby,Secondary!P255,Primary!P255)</f>
        <v>0</v>
      </c>
      <c r="Q255" s="6">
        <f>IF(ActiveDatabase=Standby,Secondary!Q255,Primary!Q255)</f>
        <v>0</v>
      </c>
      <c r="R255" s="18">
        <f>IF(ActiveDatabase=Standby,Secondary!R255,Primary!R255)</f>
        <v>0</v>
      </c>
      <c r="S255" s="19">
        <f>IF(ActiveDatabase=Standby,Secondary!S255,Primary!S255)</f>
        <v>0</v>
      </c>
      <c r="T255" s="10">
        <f>IF(ActiveDatabase=Standby,Secondary!T255,Primary!T255)</f>
        <v>0</v>
      </c>
      <c r="U255" s="10">
        <f>IF(ActiveDatabase=Standby,Secondary!U255,Primary!U255)</f>
        <v>0</v>
      </c>
      <c r="V255" s="10">
        <f>IF(ActiveDatabase=Standby,Secondary!V255,Primary!V255)</f>
        <v>0</v>
      </c>
      <c r="W255" s="6">
        <f>IF(ActiveDatabase=Standby,Secondary!W255,Primary!W255)</f>
        <v>0</v>
      </c>
      <c r="X255" s="6">
        <f>IF(ActiveDatabase=Standby,Secondary!X255,Primary!X255)</f>
        <v>0</v>
      </c>
      <c r="Y255" s="12">
        <f>IF(ActiveDatabase=Standby,Secondary!Y255,Primary!Y255)</f>
        <v>0</v>
      </c>
      <c r="Z255" s="12">
        <f>IF(ActiveDatabase=Standby,Secondary!Z255,Primary!Z255)</f>
        <v>0</v>
      </c>
      <c r="AA255" s="7">
        <f>IF(ActiveDatabase=Standby,Secondary!AA255,Primary!AA255)</f>
        <v>0</v>
      </c>
      <c r="AB255" s="12"/>
      <c r="AC255" s="6"/>
      <c r="AD255" s="6"/>
      <c r="AE255" s="7"/>
      <c r="AF255" s="7"/>
      <c r="AG255" s="7"/>
      <c r="AH255" s="7"/>
      <c r="AI255" s="7"/>
      <c r="AJ255" s="7"/>
      <c r="AK255" s="7"/>
      <c r="AL255" s="7"/>
      <c r="AM255" s="7"/>
      <c r="AN255" s="7"/>
      <c r="AO255" s="6"/>
      <c r="AP255" s="7"/>
      <c r="AQ255" s="7"/>
      <c r="AR255" s="6"/>
      <c r="AS255" s="7"/>
      <c r="AT255" s="7"/>
      <c r="AU255" s="7"/>
      <c r="AV255" s="7"/>
      <c r="AW255" s="7"/>
      <c r="AX255" s="7"/>
      <c r="AY255" s="7"/>
      <c r="AZ255" s="7"/>
      <c r="BA255" s="7"/>
      <c r="BB255" s="7"/>
      <c r="BC255" s="7"/>
      <c r="BD255" s="7"/>
      <c r="BE255" s="7"/>
      <c r="BF255" s="7"/>
      <c r="BG255" s="7"/>
    </row>
    <row r="256" customHeight="1" spans="1:59">
      <c r="A256" s="9" t="str">
        <f>IF(ActiveDatabase=Standby,Secondary!A256,Primary!A256)</f>
        <v>Daymar 17</v>
      </c>
      <c r="B256" s="5" t="str">
        <f>IF(ActiveDatabase=Standby,Secondary!B256,Primary!B256)</f>
        <v>Daymar 24</v>
      </c>
      <c r="C256" s="5" t="str">
        <f>IF(ActiveDatabase=Standby,Secondary!C256,Primary!C256)</f>
        <v>Daymar 72</v>
      </c>
      <c r="D256" s="5" t="str">
        <f>IF(ActiveDatabase=Standby,Secondary!D256,Primary!D256)</f>
        <v>Tamdon Plains Aid Shelter</v>
      </c>
      <c r="E256" s="6" t="str">
        <f>IF(ActiveDatabase=Standby,Secondary!E256,Primary!E256)</f>
        <v>Tamdon</v>
      </c>
      <c r="F256" s="10">
        <f>IF(ActiveDatabase=Standby,Secondary!F256,Primary!F256)</f>
        <v>-138.113873216395</v>
      </c>
      <c r="G256" s="10">
        <f>IF(ActiveDatabase=Standby,Secondary!G256,Primary!G256)</f>
        <v>-24.4628492934615</v>
      </c>
      <c r="H256" s="10">
        <f>IF(ActiveDatabase=Standby,Secondary!H256,Primary!H256)</f>
        <v>-259.848699769311</v>
      </c>
      <c r="I256" s="13">
        <f>IF(ActiveDatabase=Standby,Secondary!I256,Primary!I256)</f>
        <v>0</v>
      </c>
      <c r="J256" s="13">
        <f>IF(ActiveDatabase=Standby,Secondary!J256,Primary!J256)</f>
        <v>0</v>
      </c>
      <c r="K256" s="13">
        <f>IF(ActiveDatabase=Standby,Secondary!K256,Primary!K256)</f>
        <v>0</v>
      </c>
      <c r="L256" s="13">
        <f>IF(ActiveDatabase=Standby,Secondary!L256,Primary!L256)</f>
        <v>0</v>
      </c>
      <c r="M256" s="7" t="b">
        <f>IF(ActiveDatabase=Standby,Secondary!M256,Primary!M256)</f>
        <v>1</v>
      </c>
      <c r="N256" s="10">
        <f>IF(ActiveDatabase=Standby,Secondary!N256,Primary!N256)</f>
        <v>0</v>
      </c>
      <c r="O256" s="10">
        <f>IF(ActiveDatabase=Standby,Secondary!O256,Primary!O256)</f>
        <v>0</v>
      </c>
      <c r="P256" s="10">
        <f>IF(ActiveDatabase=Standby,Secondary!P256,Primary!P256)</f>
        <v>0</v>
      </c>
      <c r="Q256" s="6">
        <f>IF(ActiveDatabase=Standby,Secondary!Q256,Primary!Q256)</f>
        <v>0</v>
      </c>
      <c r="R256" s="18">
        <f>IF(ActiveDatabase=Standby,Secondary!R256,Primary!R256)</f>
        <v>0</v>
      </c>
      <c r="S256" s="19">
        <f>IF(ActiveDatabase=Standby,Secondary!S256,Primary!S256)</f>
        <v>0</v>
      </c>
      <c r="T256" s="10">
        <f>IF(ActiveDatabase=Standby,Secondary!T256,Primary!T256)</f>
        <v>0</v>
      </c>
      <c r="U256" s="10">
        <f>IF(ActiveDatabase=Standby,Secondary!U256,Primary!U256)</f>
        <v>0</v>
      </c>
      <c r="V256" s="10">
        <f>IF(ActiveDatabase=Standby,Secondary!V256,Primary!V256)</f>
        <v>0</v>
      </c>
      <c r="W256" s="6">
        <f>IF(ActiveDatabase=Standby,Secondary!W256,Primary!W256)</f>
        <v>0</v>
      </c>
      <c r="X256" s="6">
        <f>IF(ActiveDatabase=Standby,Secondary!X256,Primary!X256)</f>
        <v>0</v>
      </c>
      <c r="Y256" s="12">
        <f>IF(ActiveDatabase=Standby,Secondary!Y256,Primary!Y256)</f>
        <v>0</v>
      </c>
      <c r="Z256" s="12">
        <f>IF(ActiveDatabase=Standby,Secondary!Z256,Primary!Z256)</f>
        <v>0</v>
      </c>
      <c r="AA256" s="7">
        <f>IF(ActiveDatabase=Standby,Secondary!AA256,Primary!AA256)</f>
        <v>0</v>
      </c>
      <c r="AB256" s="12"/>
      <c r="AC256" s="6"/>
      <c r="AD256" s="6"/>
      <c r="AE256" s="7"/>
      <c r="AF256" s="7"/>
      <c r="AG256" s="7"/>
      <c r="AH256" s="7"/>
      <c r="AI256" s="7"/>
      <c r="AJ256" s="7"/>
      <c r="AK256" s="7"/>
      <c r="AL256" s="7"/>
      <c r="AM256" s="7"/>
      <c r="AN256" s="7"/>
      <c r="AO256" s="6"/>
      <c r="AP256" s="7"/>
      <c r="AQ256" s="7"/>
      <c r="AR256" s="6"/>
      <c r="AS256" s="7"/>
      <c r="AT256" s="7"/>
      <c r="AU256" s="7"/>
      <c r="AV256" s="7"/>
      <c r="AW256" s="7"/>
      <c r="AX256" s="7"/>
      <c r="AY256" s="7"/>
      <c r="AZ256" s="7"/>
      <c r="BA256" s="7"/>
      <c r="BB256" s="7"/>
      <c r="BC256" s="7"/>
      <c r="BD256" s="7"/>
      <c r="BE256" s="7"/>
      <c r="BF256" s="7"/>
      <c r="BG256" s="7"/>
    </row>
    <row r="257" customHeight="1" spans="1:59">
      <c r="A257" s="9" t="str">
        <f>IF(ActiveDatabase=Standby,Secondary!A257,Primary!A257)</f>
        <v>Daymar 18</v>
      </c>
      <c r="B257" s="5" t="str">
        <f>IF(ActiveDatabase=Standby,Secondary!B257,Primary!B257)</f>
        <v>Daymar 25</v>
      </c>
      <c r="C257" s="5" t="str">
        <f>IF(ActiveDatabase=Standby,Secondary!C257,Primary!C257)</f>
        <v>Daymar 20</v>
      </c>
      <c r="D257" s="5" t="str">
        <f>IF(ActiveDatabase=Standby,Secondary!D257,Primary!D257)</f>
        <v>Wolf Point Aid Shelter</v>
      </c>
      <c r="E257" s="6" t="str">
        <f>IF(ActiveDatabase=Standby,Secondary!E257,Primary!E257)</f>
        <v>Wolf</v>
      </c>
      <c r="F257" s="10">
        <f>IF(ActiveDatabase=Standby,Secondary!F257,Primary!F257)</f>
        <v>-4.41978284451699</v>
      </c>
      <c r="G257" s="10">
        <f>IF(ActiveDatabase=Standby,Secondary!G257,Primary!G257)</f>
        <v>279.066633187614</v>
      </c>
      <c r="H257" s="10">
        <f>IF(ActiveDatabase=Standby,Secondary!H257,Primary!H257)</f>
        <v>95.7326590587272</v>
      </c>
      <c r="I257" s="13">
        <f>IF(ActiveDatabase=Standby,Secondary!I257,Primary!I257)</f>
        <v>0</v>
      </c>
      <c r="J257" s="13">
        <f>IF(ActiveDatabase=Standby,Secondary!J257,Primary!J257)</f>
        <v>0</v>
      </c>
      <c r="K257" s="13">
        <f>IF(ActiveDatabase=Standby,Secondary!K257,Primary!K257)</f>
        <v>0</v>
      </c>
      <c r="L257" s="13">
        <f>IF(ActiveDatabase=Standby,Secondary!L257,Primary!L257)</f>
        <v>0</v>
      </c>
      <c r="M257" s="7" t="b">
        <f>IF(ActiveDatabase=Standby,Secondary!M257,Primary!M257)</f>
        <v>1</v>
      </c>
      <c r="N257" s="10">
        <f>IF(ActiveDatabase=Standby,Secondary!N257,Primary!N257)</f>
        <v>0</v>
      </c>
      <c r="O257" s="10">
        <f>IF(ActiveDatabase=Standby,Secondary!O257,Primary!O257)</f>
        <v>0</v>
      </c>
      <c r="P257" s="10">
        <f>IF(ActiveDatabase=Standby,Secondary!P257,Primary!P257)</f>
        <v>0</v>
      </c>
      <c r="Q257" s="6">
        <f>IF(ActiveDatabase=Standby,Secondary!Q257,Primary!Q257)</f>
        <v>0</v>
      </c>
      <c r="R257" s="18">
        <f>IF(ActiveDatabase=Standby,Secondary!R257,Primary!R257)</f>
        <v>0</v>
      </c>
      <c r="S257" s="19">
        <f>IF(ActiveDatabase=Standby,Secondary!S257,Primary!S257)</f>
        <v>0</v>
      </c>
      <c r="T257" s="10">
        <f>IF(ActiveDatabase=Standby,Secondary!T257,Primary!T257)</f>
        <v>0</v>
      </c>
      <c r="U257" s="10">
        <f>IF(ActiveDatabase=Standby,Secondary!U257,Primary!U257)</f>
        <v>0</v>
      </c>
      <c r="V257" s="10">
        <f>IF(ActiveDatabase=Standby,Secondary!V257,Primary!V257)</f>
        <v>0</v>
      </c>
      <c r="W257" s="6">
        <f>IF(ActiveDatabase=Standby,Secondary!W257,Primary!W257)</f>
        <v>0</v>
      </c>
      <c r="X257" s="6">
        <f>IF(ActiveDatabase=Standby,Secondary!X257,Primary!X257)</f>
        <v>0</v>
      </c>
      <c r="Y257" s="12">
        <f>IF(ActiveDatabase=Standby,Secondary!Y257,Primary!Y257)</f>
        <v>0</v>
      </c>
      <c r="Z257" s="12">
        <f>IF(ActiveDatabase=Standby,Secondary!Z257,Primary!Z257)</f>
        <v>0</v>
      </c>
      <c r="AA257" s="7">
        <f>IF(ActiveDatabase=Standby,Secondary!AA257,Primary!AA257)</f>
        <v>0</v>
      </c>
      <c r="AB257" s="12"/>
      <c r="AC257" s="6"/>
      <c r="AD257" s="6"/>
      <c r="AE257" s="7"/>
      <c r="AF257" s="7"/>
      <c r="AG257" s="7"/>
      <c r="AH257" s="7"/>
      <c r="AI257" s="7"/>
      <c r="AJ257" s="7"/>
      <c r="AK257" s="7"/>
      <c r="AL257" s="7"/>
      <c r="AM257" s="7"/>
      <c r="AN257" s="7"/>
      <c r="AO257" s="6"/>
      <c r="AP257" s="7"/>
      <c r="AQ257" s="7"/>
      <c r="AR257" s="6"/>
      <c r="AS257" s="7"/>
      <c r="AT257" s="7"/>
      <c r="AU257" s="7"/>
      <c r="AV257" s="7"/>
      <c r="AW257" s="7"/>
      <c r="AX257" s="7"/>
      <c r="AY257" s="7"/>
      <c r="AZ257" s="7"/>
      <c r="BA257" s="7"/>
      <c r="BB257" s="7"/>
      <c r="BC257" s="7"/>
      <c r="BD257" s="7"/>
      <c r="BE257" s="7"/>
      <c r="BF257" s="7"/>
      <c r="BG257" s="7"/>
    </row>
    <row r="258" customHeight="1" spans="1:59">
      <c r="A258" s="9" t="str">
        <f>IF(ActiveDatabase=Standby,Secondary!A258,Primary!A258)</f>
        <v>Daymar</v>
      </c>
      <c r="B258" s="5" t="str">
        <f>IF(ActiveDatabase=Standby,Secondary!B258,Primary!B258)</f>
        <v>Daymar 27</v>
      </c>
      <c r="C258" s="5">
        <f>IF(ActiveDatabase=Standby,Secondary!C258,Primary!C258)</f>
        <v>0</v>
      </c>
      <c r="D258" s="5" t="str">
        <f>IF(ActiveDatabase=Standby,Secondary!D258,Primary!D258)</f>
        <v>Racetracks</v>
      </c>
      <c r="E258" s="6">
        <f>IF(ActiveDatabase=Standby,Secondary!E258,Primary!E258)</f>
        <v>0</v>
      </c>
      <c r="F258" s="10">
        <f>IF(ActiveDatabase=Standby,Secondary!F258,Primary!F258)</f>
        <v>0</v>
      </c>
      <c r="G258" s="10">
        <f>IF(ActiveDatabase=Standby,Secondary!G258,Primary!G258)</f>
        <v>0</v>
      </c>
      <c r="H258" s="10">
        <f>IF(ActiveDatabase=Standby,Secondary!H258,Primary!H258)</f>
        <v>0</v>
      </c>
      <c r="I258" s="13">
        <f>IF(ActiveDatabase=Standby,Secondary!I258,Primary!I258)</f>
        <v>0</v>
      </c>
      <c r="J258" s="13">
        <f>IF(ActiveDatabase=Standby,Secondary!J258,Primary!J258)</f>
        <v>0</v>
      </c>
      <c r="K258" s="13">
        <f>IF(ActiveDatabase=Standby,Secondary!K258,Primary!K258)</f>
        <v>0</v>
      </c>
      <c r="L258" s="13">
        <f>IF(ActiveDatabase=Standby,Secondary!L258,Primary!L258)</f>
        <v>0</v>
      </c>
      <c r="M258" s="7">
        <f>IF(ActiveDatabase=Standby,Secondary!M258,Primary!M258)</f>
        <v>0</v>
      </c>
      <c r="N258" s="10">
        <f>IF(ActiveDatabase=Standby,Secondary!N258,Primary!N258)</f>
        <v>0</v>
      </c>
      <c r="O258" s="10">
        <f>IF(ActiveDatabase=Standby,Secondary!O258,Primary!O258)</f>
        <v>0</v>
      </c>
      <c r="P258" s="10">
        <f>IF(ActiveDatabase=Standby,Secondary!P258,Primary!P258)</f>
        <v>0</v>
      </c>
      <c r="Q258" s="6">
        <f>IF(ActiveDatabase=Standby,Secondary!Q258,Primary!Q258)</f>
        <v>0</v>
      </c>
      <c r="R258" s="18">
        <f>IF(ActiveDatabase=Standby,Secondary!R258,Primary!R258)</f>
        <v>0</v>
      </c>
      <c r="S258" s="19">
        <f>IF(ActiveDatabase=Standby,Secondary!S258,Primary!S258)</f>
        <v>0</v>
      </c>
      <c r="T258" s="10">
        <f>IF(ActiveDatabase=Standby,Secondary!T258,Primary!T258)</f>
        <v>0</v>
      </c>
      <c r="U258" s="10">
        <f>IF(ActiveDatabase=Standby,Secondary!U258,Primary!U258)</f>
        <v>0</v>
      </c>
      <c r="V258" s="10">
        <f>IF(ActiveDatabase=Standby,Secondary!V258,Primary!V258)</f>
        <v>0</v>
      </c>
      <c r="W258" s="6">
        <f>IF(ActiveDatabase=Standby,Secondary!W258,Primary!W258)</f>
        <v>0</v>
      </c>
      <c r="X258" s="6">
        <f>IF(ActiveDatabase=Standby,Secondary!X258,Primary!X258)</f>
        <v>0</v>
      </c>
      <c r="Y258" s="12">
        <f>IF(ActiveDatabase=Standby,Secondary!Y258,Primary!Y258)</f>
        <v>0</v>
      </c>
      <c r="Z258" s="12">
        <f>IF(ActiveDatabase=Standby,Secondary!Z258,Primary!Z258)</f>
        <v>0</v>
      </c>
      <c r="AA258" s="7">
        <f>IF(ActiveDatabase=Standby,Secondary!AA258,Primary!AA258)</f>
        <v>0</v>
      </c>
      <c r="AB258" s="12"/>
      <c r="AC258" s="6"/>
      <c r="AD258" s="6"/>
      <c r="AE258" s="7"/>
      <c r="AF258" s="7"/>
      <c r="AG258" s="7"/>
      <c r="AH258" s="7"/>
      <c r="AI258" s="7"/>
      <c r="AJ258" s="7"/>
      <c r="AK258" s="7"/>
      <c r="AL258" s="7"/>
      <c r="AM258" s="7"/>
      <c r="AN258" s="7"/>
      <c r="AO258" s="6"/>
      <c r="AP258" s="7"/>
      <c r="AQ258" s="7"/>
      <c r="AR258" s="6"/>
      <c r="AS258" s="7"/>
      <c r="AT258" s="7"/>
      <c r="AU258" s="7"/>
      <c r="AV258" s="7"/>
      <c r="AW258" s="7"/>
      <c r="AX258" s="7"/>
      <c r="AY258" s="7"/>
      <c r="AZ258" s="7"/>
      <c r="BA258" s="7"/>
      <c r="BB258" s="7"/>
      <c r="BC258" s="7"/>
      <c r="BD258" s="7"/>
      <c r="BE258" s="7"/>
      <c r="BF258" s="7"/>
      <c r="BG258" s="7"/>
    </row>
    <row r="259" customHeight="1" spans="1:59">
      <c r="A259" s="9" t="str">
        <f>IF(ActiveDatabase=Standby,Secondary!A259,Primary!A259)</f>
        <v>Daymar 22</v>
      </c>
      <c r="B259" s="5" t="str">
        <f>IF(ActiveDatabase=Standby,Secondary!B259,Primary!B259)</f>
        <v>Daymar 28</v>
      </c>
      <c r="C259" s="5" t="str">
        <f>IF(ActiveDatabase=Standby,Secondary!C259,Primary!C259)</f>
        <v>Daymar 09</v>
      </c>
      <c r="D259" s="5" t="str">
        <f>IF(ActiveDatabase=Standby,Secondary!D259,Primary!D259)</f>
        <v>Yadar Valley</v>
      </c>
      <c r="E259" s="6" t="str">
        <f>IF(ActiveDatabase=Standby,Secondary!E259,Primary!E259)</f>
        <v>Yadar</v>
      </c>
      <c r="F259" s="10">
        <f>IF(ActiveDatabase=Standby,Secondary!F259,Primary!F259)</f>
        <v>-171.7979096</v>
      </c>
      <c r="G259" s="10">
        <f>IF(ActiveDatabase=Standby,Secondary!G259,Primary!G259)</f>
        <v>157.576253494</v>
      </c>
      <c r="H259" s="10">
        <f>IF(ActiveDatabase=Standby,Secondary!H259,Primary!H259)</f>
        <v>181.014665399999</v>
      </c>
      <c r="I259" s="13">
        <f>IF(ActiveDatabase=Standby,Secondary!I259,Primary!I259)</f>
        <v>0</v>
      </c>
      <c r="J259" s="13">
        <f>IF(ActiveDatabase=Standby,Secondary!J259,Primary!J259)</f>
        <v>0</v>
      </c>
      <c r="K259" s="13">
        <f>IF(ActiveDatabase=Standby,Secondary!K259,Primary!K259)</f>
        <v>0</v>
      </c>
      <c r="L259" s="13">
        <f>IF(ActiveDatabase=Standby,Secondary!L259,Primary!L259)</f>
        <v>0</v>
      </c>
      <c r="M259" s="7" t="b">
        <f>IF(ActiveDatabase=Standby,Secondary!M259,Primary!M259)</f>
        <v>0</v>
      </c>
      <c r="N259" s="10">
        <f>IF(ActiveDatabase=Standby,Secondary!N259,Primary!N259)</f>
        <v>0</v>
      </c>
      <c r="O259" s="10">
        <f>IF(ActiveDatabase=Standby,Secondary!O259,Primary!O259)</f>
        <v>0</v>
      </c>
      <c r="P259" s="10">
        <f>IF(ActiveDatabase=Standby,Secondary!P259,Primary!P259)</f>
        <v>0</v>
      </c>
      <c r="Q259" s="6">
        <f>IF(ActiveDatabase=Standby,Secondary!Q259,Primary!Q259)</f>
        <v>0</v>
      </c>
      <c r="R259" s="18">
        <f>IF(ActiveDatabase=Standby,Secondary!R259,Primary!R259)</f>
        <v>0</v>
      </c>
      <c r="S259" s="19">
        <f>IF(ActiveDatabase=Standby,Secondary!S259,Primary!S259)</f>
        <v>0</v>
      </c>
      <c r="T259" s="10">
        <f>IF(ActiveDatabase=Standby,Secondary!T259,Primary!T259)</f>
        <v>0</v>
      </c>
      <c r="U259" s="10">
        <f>IF(ActiveDatabase=Standby,Secondary!U259,Primary!U259)</f>
        <v>0</v>
      </c>
      <c r="V259" s="10">
        <f>IF(ActiveDatabase=Standby,Secondary!V259,Primary!V259)</f>
        <v>0</v>
      </c>
      <c r="W259" s="6">
        <f>IF(ActiveDatabase=Standby,Secondary!W259,Primary!W259)</f>
        <v>0</v>
      </c>
      <c r="X259" s="6">
        <f>IF(ActiveDatabase=Standby,Secondary!X259,Primary!X259)</f>
        <v>0</v>
      </c>
      <c r="Y259" s="12">
        <f>IF(ActiveDatabase=Standby,Secondary!Y259,Primary!Y259)</f>
        <v>0</v>
      </c>
      <c r="Z259" s="12">
        <f>IF(ActiveDatabase=Standby,Secondary!Z259,Primary!Z259)</f>
        <v>0</v>
      </c>
      <c r="AA259" s="7">
        <f>IF(ActiveDatabase=Standby,Secondary!AA259,Primary!AA259)</f>
        <v>0</v>
      </c>
      <c r="AB259" s="12"/>
      <c r="AC259" s="6"/>
      <c r="AD259" s="6"/>
      <c r="AE259" s="7"/>
      <c r="AF259" s="7"/>
      <c r="AG259" s="7"/>
      <c r="AH259" s="7"/>
      <c r="AI259" s="7"/>
      <c r="AJ259" s="7"/>
      <c r="AK259" s="7"/>
      <c r="AL259" s="7"/>
      <c r="AM259" s="7"/>
      <c r="AN259" s="7"/>
      <c r="AO259" s="6"/>
      <c r="AP259" s="7"/>
      <c r="AQ259" s="7"/>
      <c r="AR259" s="6"/>
      <c r="AS259" s="7"/>
      <c r="AT259" s="7"/>
      <c r="AU259" s="7"/>
      <c r="AV259" s="7"/>
      <c r="AW259" s="7"/>
      <c r="AX259" s="7"/>
      <c r="AY259" s="7"/>
      <c r="AZ259" s="7"/>
      <c r="BA259" s="7"/>
      <c r="BB259" s="7"/>
      <c r="BC259" s="7"/>
      <c r="BD259" s="7"/>
      <c r="BE259" s="7"/>
      <c r="BF259" s="7"/>
      <c r="BG259" s="7"/>
    </row>
    <row r="260" customHeight="1" spans="1:59">
      <c r="A260" s="9" t="str">
        <f>IF(ActiveDatabase=Standby,Secondary!A260,Primary!A260)</f>
        <v>Daymar</v>
      </c>
      <c r="B260" s="5" t="str">
        <f>IF(ActiveDatabase=Standby,Secondary!B260,Primary!B260)</f>
        <v>Daymar 30</v>
      </c>
      <c r="C260" s="5">
        <f>IF(ActiveDatabase=Standby,Secondary!C260,Primary!C260)</f>
        <v>0</v>
      </c>
      <c r="D260" s="5" t="str">
        <f>IF(ActiveDatabase=Standby,Secondary!D260,Primary!D260)</f>
        <v>Settlements</v>
      </c>
      <c r="E260" s="6">
        <f>IF(ActiveDatabase=Standby,Secondary!E260,Primary!E260)</f>
        <v>0</v>
      </c>
      <c r="F260" s="10">
        <f>IF(ActiveDatabase=Standby,Secondary!F260,Primary!F260)</f>
        <v>0</v>
      </c>
      <c r="G260" s="10">
        <f>IF(ActiveDatabase=Standby,Secondary!G260,Primary!G260)</f>
        <v>0</v>
      </c>
      <c r="H260" s="10">
        <f>IF(ActiveDatabase=Standby,Secondary!H260,Primary!H260)</f>
        <v>0</v>
      </c>
      <c r="I260" s="13">
        <f>IF(ActiveDatabase=Standby,Secondary!I260,Primary!I260)</f>
        <v>0</v>
      </c>
      <c r="J260" s="13">
        <f>IF(ActiveDatabase=Standby,Secondary!J260,Primary!J260)</f>
        <v>0</v>
      </c>
      <c r="K260" s="13">
        <f>IF(ActiveDatabase=Standby,Secondary!K260,Primary!K260)</f>
        <v>0</v>
      </c>
      <c r="L260" s="13">
        <f>IF(ActiveDatabase=Standby,Secondary!L260,Primary!L260)</f>
        <v>0</v>
      </c>
      <c r="M260" s="7">
        <f>IF(ActiveDatabase=Standby,Secondary!M260,Primary!M260)</f>
        <v>0</v>
      </c>
      <c r="N260" s="10">
        <f>IF(ActiveDatabase=Standby,Secondary!N260,Primary!N260)</f>
        <v>0</v>
      </c>
      <c r="O260" s="10">
        <f>IF(ActiveDatabase=Standby,Secondary!O260,Primary!O260)</f>
        <v>0</v>
      </c>
      <c r="P260" s="10">
        <f>IF(ActiveDatabase=Standby,Secondary!P260,Primary!P260)</f>
        <v>0</v>
      </c>
      <c r="Q260" s="6">
        <f>IF(ActiveDatabase=Standby,Secondary!Q260,Primary!Q260)</f>
        <v>0</v>
      </c>
      <c r="R260" s="18">
        <f>IF(ActiveDatabase=Standby,Secondary!R260,Primary!R260)</f>
        <v>0</v>
      </c>
      <c r="S260" s="19">
        <f>IF(ActiveDatabase=Standby,Secondary!S260,Primary!S260)</f>
        <v>0</v>
      </c>
      <c r="T260" s="10">
        <f>IF(ActiveDatabase=Standby,Secondary!T260,Primary!T260)</f>
        <v>0</v>
      </c>
      <c r="U260" s="10">
        <f>IF(ActiveDatabase=Standby,Secondary!U260,Primary!U260)</f>
        <v>0</v>
      </c>
      <c r="V260" s="10">
        <f>IF(ActiveDatabase=Standby,Secondary!V260,Primary!V260)</f>
        <v>0</v>
      </c>
      <c r="W260" s="6">
        <f>IF(ActiveDatabase=Standby,Secondary!W260,Primary!W260)</f>
        <v>0</v>
      </c>
      <c r="X260" s="6">
        <f>IF(ActiveDatabase=Standby,Secondary!X260,Primary!X260)</f>
        <v>0</v>
      </c>
      <c r="Y260" s="12">
        <f>IF(ActiveDatabase=Standby,Secondary!Y260,Primary!Y260)</f>
        <v>0</v>
      </c>
      <c r="Z260" s="12">
        <f>IF(ActiveDatabase=Standby,Secondary!Z260,Primary!Z260)</f>
        <v>0</v>
      </c>
      <c r="AA260" s="7">
        <f>IF(ActiveDatabase=Standby,Secondary!AA260,Primary!AA260)</f>
        <v>0</v>
      </c>
      <c r="AB260" s="12"/>
      <c r="AC260" s="6"/>
      <c r="AD260" s="6"/>
      <c r="AE260" s="7"/>
      <c r="AF260" s="7"/>
      <c r="AG260" s="7"/>
      <c r="AH260" s="7"/>
      <c r="AI260" s="7"/>
      <c r="AJ260" s="7"/>
      <c r="AK260" s="7"/>
      <c r="AL260" s="7"/>
      <c r="AM260" s="7"/>
      <c r="AN260" s="7"/>
      <c r="AO260" s="6"/>
      <c r="AP260" s="7"/>
      <c r="AQ260" s="7"/>
      <c r="AR260" s="6"/>
      <c r="AS260" s="7"/>
      <c r="AT260" s="7"/>
      <c r="AU260" s="7"/>
      <c r="AV260" s="7"/>
      <c r="AW260" s="7"/>
      <c r="AX260" s="7"/>
      <c r="AY260" s="7"/>
      <c r="AZ260" s="7"/>
      <c r="BA260" s="7"/>
      <c r="BB260" s="7"/>
      <c r="BC260" s="7"/>
      <c r="BD260" s="7"/>
      <c r="BE260" s="7"/>
      <c r="BF260" s="7"/>
      <c r="BG260" s="7"/>
    </row>
    <row r="261" customHeight="1" spans="1:59">
      <c r="A261" s="9" t="str">
        <f>IF(ActiveDatabase=Standby,Secondary!A261,Primary!A261)</f>
        <v>Daymar 23</v>
      </c>
      <c r="B261" s="5" t="str">
        <f>IF(ActiveDatabase=Standby,Secondary!B261,Primary!B261)</f>
        <v>Daymar 31</v>
      </c>
      <c r="C261" s="5" t="str">
        <f>IF(ActiveDatabase=Standby,Secondary!C261,Primary!C261)</f>
        <v>Daymar 30</v>
      </c>
      <c r="D261" s="5" t="str">
        <f>IF(ActiveDatabase=Standby,Secondary!D261,Primary!D261)</f>
        <v>Whistler's Crypt</v>
      </c>
      <c r="E261" s="6" t="str">
        <f>IF(ActiveDatabase=Standby,Secondary!E261,Primary!E261)</f>
        <v>Whistler</v>
      </c>
      <c r="F261" s="10">
        <f>IF(ActiveDatabase=Standby,Secondary!F261,Primary!F261)</f>
        <v>182.233</v>
      </c>
      <c r="G261" s="10">
        <f>IF(ActiveDatabase=Standby,Secondary!G261,Primary!G261)</f>
        <v>222.588</v>
      </c>
      <c r="H261" s="10">
        <f>IF(ActiveDatabase=Standby,Secondary!H261,Primary!H261)</f>
        <v>65.545</v>
      </c>
      <c r="I261" s="13">
        <f>IF(ActiveDatabase=Standby,Secondary!I261,Primary!I261)</f>
        <v>0</v>
      </c>
      <c r="J261" s="13">
        <f>IF(ActiveDatabase=Standby,Secondary!J261,Primary!J261)</f>
        <v>0</v>
      </c>
      <c r="K261" s="13">
        <f>IF(ActiveDatabase=Standby,Secondary!K261,Primary!K261)</f>
        <v>0</v>
      </c>
      <c r="L261" s="13">
        <f>IF(ActiveDatabase=Standby,Secondary!L261,Primary!L261)</f>
        <v>0</v>
      </c>
      <c r="M261" s="7" t="b">
        <f>IF(ActiveDatabase=Standby,Secondary!M261,Primary!M261)</f>
        <v>0</v>
      </c>
      <c r="N261" s="10">
        <f>IF(ActiveDatabase=Standby,Secondary!N261,Primary!N261)</f>
        <v>0</v>
      </c>
      <c r="O261" s="10">
        <f>IF(ActiveDatabase=Standby,Secondary!O261,Primary!O261)</f>
        <v>0</v>
      </c>
      <c r="P261" s="10">
        <f>IF(ActiveDatabase=Standby,Secondary!P261,Primary!P261)</f>
        <v>0</v>
      </c>
      <c r="Q261" s="6">
        <f>IF(ActiveDatabase=Standby,Secondary!Q261,Primary!Q261)</f>
        <v>0</v>
      </c>
      <c r="R261" s="18">
        <f>IF(ActiveDatabase=Standby,Secondary!R261,Primary!R261)</f>
        <v>0</v>
      </c>
      <c r="S261" s="19">
        <f>IF(ActiveDatabase=Standby,Secondary!S261,Primary!S261)</f>
        <v>0</v>
      </c>
      <c r="T261" s="10">
        <f>IF(ActiveDatabase=Standby,Secondary!T261,Primary!T261)</f>
        <v>0</v>
      </c>
      <c r="U261" s="10">
        <f>IF(ActiveDatabase=Standby,Secondary!U261,Primary!U261)</f>
        <v>0</v>
      </c>
      <c r="V261" s="10">
        <f>IF(ActiveDatabase=Standby,Secondary!V261,Primary!V261)</f>
        <v>0</v>
      </c>
      <c r="W261" s="6">
        <f>IF(ActiveDatabase=Standby,Secondary!W261,Primary!W261)</f>
        <v>0</v>
      </c>
      <c r="X261" s="6">
        <f>IF(ActiveDatabase=Standby,Secondary!X261,Primary!X261)</f>
        <v>0</v>
      </c>
      <c r="Y261" s="12">
        <f>IF(ActiveDatabase=Standby,Secondary!Y261,Primary!Y261)</f>
        <v>0</v>
      </c>
      <c r="Z261" s="12">
        <f>IF(ActiveDatabase=Standby,Secondary!Z261,Primary!Z261)</f>
        <v>0</v>
      </c>
      <c r="AA261" s="7">
        <f>IF(ActiveDatabase=Standby,Secondary!AA261,Primary!AA261)</f>
        <v>0</v>
      </c>
      <c r="AB261" s="12"/>
      <c r="AC261" s="6"/>
      <c r="AD261" s="6"/>
      <c r="AE261" s="7"/>
      <c r="AF261" s="7"/>
      <c r="AG261" s="7"/>
      <c r="AH261" s="7"/>
      <c r="AI261" s="7"/>
      <c r="AJ261" s="7"/>
      <c r="AK261" s="7"/>
      <c r="AL261" s="7"/>
      <c r="AM261" s="7"/>
      <c r="AN261" s="7"/>
      <c r="AO261" s="6"/>
      <c r="AP261" s="7"/>
      <c r="AQ261" s="7"/>
      <c r="AR261" s="6"/>
      <c r="AS261" s="7"/>
      <c r="AT261" s="7"/>
      <c r="AU261" s="7"/>
      <c r="AV261" s="7"/>
      <c r="AW261" s="7"/>
      <c r="AX261" s="7"/>
      <c r="AY261" s="7"/>
      <c r="AZ261" s="7"/>
      <c r="BA261" s="7"/>
      <c r="BB261" s="7"/>
      <c r="BC261" s="7"/>
      <c r="BD261" s="7"/>
      <c r="BE261" s="7"/>
      <c r="BF261" s="7"/>
      <c r="BG261" s="7"/>
    </row>
    <row r="262" customHeight="1" spans="1:59">
      <c r="A262" s="9" t="str">
        <f>IF(ActiveDatabase=Standby,Secondary!A262,Primary!A262)</f>
        <v>Daymar 27</v>
      </c>
      <c r="B262" s="5" t="str">
        <f>IF(ActiveDatabase=Standby,Secondary!B262,Primary!B262)</f>
        <v>Daymar 35</v>
      </c>
      <c r="C262" s="5" t="str">
        <f>IF(ActiveDatabase=Standby,Secondary!C262,Primary!C262)</f>
        <v>Daymar 46</v>
      </c>
      <c r="D262" s="5" t="str">
        <f>IF(ActiveDatabase=Standby,Secondary!D262,Primary!D262)</f>
        <v>Settlement 22U</v>
      </c>
      <c r="E262" s="6" t="str">
        <f>IF(ActiveDatabase=Standby,Secondary!E262,Primary!E262)</f>
        <v>Settlement 22U</v>
      </c>
      <c r="F262" s="10">
        <f>IF(ActiveDatabase=Standby,Secondary!F262,Primary!F262)</f>
        <v>124.959683383</v>
      </c>
      <c r="G262" s="10">
        <f>IF(ActiveDatabase=Standby,Secondary!G262,Primary!G262)</f>
        <v>-148.641389276</v>
      </c>
      <c r="H262" s="10">
        <f>IF(ActiveDatabase=Standby,Secondary!H262,Primary!H262)</f>
        <v>222.355427660999</v>
      </c>
      <c r="I262" s="13">
        <f>IF(ActiveDatabase=Standby,Secondary!I262,Primary!I262)</f>
        <v>0</v>
      </c>
      <c r="J262" s="13">
        <f>IF(ActiveDatabase=Standby,Secondary!J262,Primary!J262)</f>
        <v>0</v>
      </c>
      <c r="K262" s="13">
        <f>IF(ActiveDatabase=Standby,Secondary!K262,Primary!K262)</f>
        <v>0</v>
      </c>
      <c r="L262" s="13">
        <f>IF(ActiveDatabase=Standby,Secondary!L262,Primary!L262)</f>
        <v>0</v>
      </c>
      <c r="M262" s="7" t="b">
        <f>IF(ActiveDatabase=Standby,Secondary!M262,Primary!M262)</f>
        <v>0</v>
      </c>
      <c r="N262" s="10">
        <f>IF(ActiveDatabase=Standby,Secondary!N262,Primary!N262)</f>
        <v>0</v>
      </c>
      <c r="O262" s="10">
        <f>IF(ActiveDatabase=Standby,Secondary!O262,Primary!O262)</f>
        <v>0</v>
      </c>
      <c r="P262" s="10">
        <f>IF(ActiveDatabase=Standby,Secondary!P262,Primary!P262)</f>
        <v>0</v>
      </c>
      <c r="Q262" s="6">
        <f>IF(ActiveDatabase=Standby,Secondary!Q262,Primary!Q262)</f>
        <v>0</v>
      </c>
      <c r="R262" s="18">
        <f>IF(ActiveDatabase=Standby,Secondary!R262,Primary!R262)</f>
        <v>0</v>
      </c>
      <c r="S262" s="19">
        <f>IF(ActiveDatabase=Standby,Secondary!S262,Primary!S262)</f>
        <v>0</v>
      </c>
      <c r="T262" s="10">
        <f>IF(ActiveDatabase=Standby,Secondary!T262,Primary!T262)</f>
        <v>0</v>
      </c>
      <c r="U262" s="10">
        <f>IF(ActiveDatabase=Standby,Secondary!U262,Primary!U262)</f>
        <v>0</v>
      </c>
      <c r="V262" s="10">
        <f>IF(ActiveDatabase=Standby,Secondary!V262,Primary!V262)</f>
        <v>0</v>
      </c>
      <c r="W262" s="6">
        <f>IF(ActiveDatabase=Standby,Secondary!W262,Primary!W262)</f>
        <v>0</v>
      </c>
      <c r="X262" s="6">
        <f>IF(ActiveDatabase=Standby,Secondary!X262,Primary!X262)</f>
        <v>0</v>
      </c>
      <c r="Y262" s="12">
        <f>IF(ActiveDatabase=Standby,Secondary!Y262,Primary!Y262)</f>
        <v>0</v>
      </c>
      <c r="Z262" s="12">
        <f>IF(ActiveDatabase=Standby,Secondary!Z262,Primary!Z262)</f>
        <v>0</v>
      </c>
      <c r="AA262" s="7">
        <f>IF(ActiveDatabase=Standby,Secondary!AA262,Primary!AA262)</f>
        <v>0</v>
      </c>
      <c r="AB262" s="12"/>
      <c r="AC262" s="6"/>
      <c r="AD262" s="6"/>
      <c r="AE262" s="7"/>
      <c r="AF262" s="7"/>
      <c r="AG262" s="7"/>
      <c r="AH262" s="7"/>
      <c r="AI262" s="7"/>
      <c r="AJ262" s="7"/>
      <c r="AK262" s="7"/>
      <c r="AL262" s="7"/>
      <c r="AM262" s="7"/>
      <c r="AN262" s="7"/>
      <c r="AO262" s="6"/>
      <c r="AP262" s="7"/>
      <c r="AQ262" s="7"/>
      <c r="AR262" s="6"/>
      <c r="AS262" s="7"/>
      <c r="AT262" s="7"/>
      <c r="AU262" s="7"/>
      <c r="AV262" s="7"/>
      <c r="AW262" s="7"/>
      <c r="AX262" s="7"/>
      <c r="AY262" s="7"/>
      <c r="AZ262" s="7"/>
      <c r="BA262" s="7"/>
      <c r="BB262" s="7"/>
      <c r="BC262" s="7"/>
      <c r="BD262" s="7"/>
      <c r="BE262" s="7"/>
      <c r="BF262" s="7"/>
      <c r="BG262" s="7"/>
    </row>
    <row r="263" customHeight="1" spans="1:59">
      <c r="A263" s="9" t="str">
        <f>IF(ActiveDatabase=Standby,Secondary!A263,Primary!A263)</f>
        <v>Daymar 28</v>
      </c>
      <c r="B263" s="5" t="str">
        <f>IF(ActiveDatabase=Standby,Secondary!B263,Primary!B263)</f>
        <v>Daymar 36</v>
      </c>
      <c r="C263" s="5" t="str">
        <f>IF(ActiveDatabase=Standby,Secondary!C263,Primary!C263)</f>
        <v>Daymar 22</v>
      </c>
      <c r="D263" s="5" t="str">
        <f>IF(ActiveDatabase=Standby,Secondary!D263,Primary!D263)</f>
        <v>Settlement 45U</v>
      </c>
      <c r="E263" s="6" t="str">
        <f>IF(ActiveDatabase=Standby,Secondary!E263,Primary!E263)</f>
        <v>Settlement 45U</v>
      </c>
      <c r="F263" s="10">
        <f>IF(ActiveDatabase=Standby,Secondary!F263,Primary!F263)</f>
        <v>4.25840597299999</v>
      </c>
      <c r="G263" s="10">
        <f>IF(ActiveDatabase=Standby,Secondary!G263,Primary!G263)</f>
        <v>191.418437493</v>
      </c>
      <c r="H263" s="10">
        <f>IF(ActiveDatabase=Standby,Secondary!H263,Primary!H263)</f>
        <v>225.000645625</v>
      </c>
      <c r="I263" s="13">
        <f>IF(ActiveDatabase=Standby,Secondary!I263,Primary!I263)</f>
        <v>0</v>
      </c>
      <c r="J263" s="13">
        <f>IF(ActiveDatabase=Standby,Secondary!J263,Primary!J263)</f>
        <v>0</v>
      </c>
      <c r="K263" s="13">
        <f>IF(ActiveDatabase=Standby,Secondary!K263,Primary!K263)</f>
        <v>0</v>
      </c>
      <c r="L263" s="13">
        <f>IF(ActiveDatabase=Standby,Secondary!L263,Primary!L263)</f>
        <v>0</v>
      </c>
      <c r="M263" s="7" t="b">
        <f>IF(ActiveDatabase=Standby,Secondary!M263,Primary!M263)</f>
        <v>0</v>
      </c>
      <c r="N263" s="10">
        <f>IF(ActiveDatabase=Standby,Secondary!N263,Primary!N263)</f>
        <v>0</v>
      </c>
      <c r="O263" s="10">
        <f>IF(ActiveDatabase=Standby,Secondary!O263,Primary!O263)</f>
        <v>0</v>
      </c>
      <c r="P263" s="10">
        <f>IF(ActiveDatabase=Standby,Secondary!P263,Primary!P263)</f>
        <v>0</v>
      </c>
      <c r="Q263" s="6">
        <f>IF(ActiveDatabase=Standby,Secondary!Q263,Primary!Q263)</f>
        <v>0</v>
      </c>
      <c r="R263" s="18">
        <f>IF(ActiveDatabase=Standby,Secondary!R263,Primary!R263)</f>
        <v>0</v>
      </c>
      <c r="S263" s="19">
        <f>IF(ActiveDatabase=Standby,Secondary!S263,Primary!S263)</f>
        <v>0</v>
      </c>
      <c r="T263" s="10">
        <f>IF(ActiveDatabase=Standby,Secondary!T263,Primary!T263)</f>
        <v>0</v>
      </c>
      <c r="U263" s="10">
        <f>IF(ActiveDatabase=Standby,Secondary!U263,Primary!U263)</f>
        <v>0</v>
      </c>
      <c r="V263" s="10">
        <f>IF(ActiveDatabase=Standby,Secondary!V263,Primary!V263)</f>
        <v>0</v>
      </c>
      <c r="W263" s="6">
        <f>IF(ActiveDatabase=Standby,Secondary!W263,Primary!W263)</f>
        <v>0</v>
      </c>
      <c r="X263" s="6">
        <f>IF(ActiveDatabase=Standby,Secondary!X263,Primary!X263)</f>
        <v>0</v>
      </c>
      <c r="Y263" s="12">
        <f>IF(ActiveDatabase=Standby,Secondary!Y263,Primary!Y263)</f>
        <v>0</v>
      </c>
      <c r="Z263" s="12">
        <f>IF(ActiveDatabase=Standby,Secondary!Z263,Primary!Z263)</f>
        <v>0</v>
      </c>
      <c r="AA263" s="7">
        <f>IF(ActiveDatabase=Standby,Secondary!AA263,Primary!AA263)</f>
        <v>0</v>
      </c>
      <c r="AB263" s="12"/>
      <c r="AC263" s="6"/>
      <c r="AD263" s="6"/>
      <c r="AE263" s="7"/>
      <c r="AF263" s="7"/>
      <c r="AG263" s="7"/>
      <c r="AH263" s="7"/>
      <c r="AI263" s="7"/>
      <c r="AJ263" s="7"/>
      <c r="AK263" s="7"/>
      <c r="AL263" s="7"/>
      <c r="AM263" s="7"/>
      <c r="AN263" s="7"/>
      <c r="AO263" s="6"/>
      <c r="AP263" s="7"/>
      <c r="AQ263" s="7"/>
      <c r="AR263" s="6"/>
      <c r="AS263" s="7"/>
      <c r="AT263" s="7"/>
      <c r="AU263" s="7"/>
      <c r="AV263" s="7"/>
      <c r="AW263" s="7"/>
      <c r="AX263" s="7"/>
      <c r="AY263" s="7"/>
      <c r="AZ263" s="7"/>
      <c r="BA263" s="7"/>
      <c r="BB263" s="7"/>
      <c r="BC263" s="7"/>
      <c r="BD263" s="7"/>
      <c r="BE263" s="7"/>
      <c r="BF263" s="7"/>
      <c r="BG263" s="7"/>
    </row>
    <row r="264" customHeight="1" spans="1:59">
      <c r="A264" s="9" t="str">
        <f>IF(ActiveDatabase=Standby,Secondary!A264,Primary!A264)</f>
        <v>Daymar 26</v>
      </c>
      <c r="B264" s="5" t="str">
        <f>IF(ActiveDatabase=Standby,Secondary!B264,Primary!B264)</f>
        <v>Daymar 34</v>
      </c>
      <c r="C264" s="5" t="str">
        <f>IF(ActiveDatabase=Standby,Secondary!C264,Primary!C264)</f>
        <v>Daymar 47</v>
      </c>
      <c r="D264" s="5" t="str">
        <f>IF(ActiveDatabase=Standby,Secondary!D264,Primary!D264)</f>
        <v>Settlement 22H</v>
      </c>
      <c r="E264" s="6" t="str">
        <f>IF(ActiveDatabase=Standby,Secondary!E264,Primary!E264)</f>
        <v>Settlement 22H</v>
      </c>
      <c r="F264" s="10">
        <f>IF(ActiveDatabase=Standby,Secondary!F264,Primary!F264)</f>
        <v>157.294227787999</v>
      </c>
      <c r="G264" s="10">
        <f>IF(ActiveDatabase=Standby,Secondary!G264,Primary!G264)</f>
        <v>-189.610411583</v>
      </c>
      <c r="H264" s="10">
        <f>IF(ActiveDatabase=Standby,Secondary!H264,Primary!H264)</f>
        <v>-162.426784141</v>
      </c>
      <c r="I264" s="13">
        <f>IF(ActiveDatabase=Standby,Secondary!I264,Primary!I264)</f>
        <v>0</v>
      </c>
      <c r="J264" s="13">
        <f>IF(ActiveDatabase=Standby,Secondary!J264,Primary!J264)</f>
        <v>0</v>
      </c>
      <c r="K264" s="13">
        <f>IF(ActiveDatabase=Standby,Secondary!K264,Primary!K264)</f>
        <v>0</v>
      </c>
      <c r="L264" s="13">
        <f>IF(ActiveDatabase=Standby,Secondary!L264,Primary!L264)</f>
        <v>0</v>
      </c>
      <c r="M264" s="7" t="b">
        <f>IF(ActiveDatabase=Standby,Secondary!M264,Primary!M264)</f>
        <v>0</v>
      </c>
      <c r="N264" s="10">
        <f>IF(ActiveDatabase=Standby,Secondary!N264,Primary!N264)</f>
        <v>0</v>
      </c>
      <c r="O264" s="10">
        <f>IF(ActiveDatabase=Standby,Secondary!O264,Primary!O264)</f>
        <v>0</v>
      </c>
      <c r="P264" s="10">
        <f>IF(ActiveDatabase=Standby,Secondary!P264,Primary!P264)</f>
        <v>0</v>
      </c>
      <c r="Q264" s="6">
        <f>IF(ActiveDatabase=Standby,Secondary!Q264,Primary!Q264)</f>
        <v>0</v>
      </c>
      <c r="R264" s="18">
        <f>IF(ActiveDatabase=Standby,Secondary!R264,Primary!R264)</f>
        <v>0</v>
      </c>
      <c r="S264" s="19">
        <f>IF(ActiveDatabase=Standby,Secondary!S264,Primary!S264)</f>
        <v>0</v>
      </c>
      <c r="T264" s="10">
        <f>IF(ActiveDatabase=Standby,Secondary!T264,Primary!T264)</f>
        <v>0</v>
      </c>
      <c r="U264" s="10">
        <f>IF(ActiveDatabase=Standby,Secondary!U264,Primary!U264)</f>
        <v>0</v>
      </c>
      <c r="V264" s="10">
        <f>IF(ActiveDatabase=Standby,Secondary!V264,Primary!V264)</f>
        <v>0</v>
      </c>
      <c r="W264" s="6">
        <f>IF(ActiveDatabase=Standby,Secondary!W264,Primary!W264)</f>
        <v>0</v>
      </c>
      <c r="X264" s="6">
        <f>IF(ActiveDatabase=Standby,Secondary!X264,Primary!X264)</f>
        <v>0</v>
      </c>
      <c r="Y264" s="12">
        <f>IF(ActiveDatabase=Standby,Secondary!Y264,Primary!Y264)</f>
        <v>0</v>
      </c>
      <c r="Z264" s="12">
        <f>IF(ActiveDatabase=Standby,Secondary!Z264,Primary!Z264)</f>
        <v>0</v>
      </c>
      <c r="AA264" s="7">
        <f>IF(ActiveDatabase=Standby,Secondary!AA264,Primary!AA264)</f>
        <v>0</v>
      </c>
      <c r="AB264" s="12"/>
      <c r="AC264" s="6"/>
      <c r="AD264" s="6"/>
      <c r="AE264" s="7"/>
      <c r="AF264" s="7"/>
      <c r="AG264" s="7"/>
      <c r="AH264" s="7"/>
      <c r="AI264" s="7"/>
      <c r="AJ264" s="7"/>
      <c r="AK264" s="7"/>
      <c r="AL264" s="7"/>
      <c r="AM264" s="7"/>
      <c r="AN264" s="7"/>
      <c r="AO264" s="6"/>
      <c r="AP264" s="7"/>
      <c r="AQ264" s="7"/>
      <c r="AR264" s="6"/>
      <c r="AS264" s="7"/>
      <c r="AT264" s="7"/>
      <c r="AU264" s="7"/>
      <c r="AV264" s="7"/>
      <c r="AW264" s="7"/>
      <c r="AX264" s="7"/>
      <c r="AY264" s="7"/>
      <c r="AZ264" s="7"/>
      <c r="BA264" s="7"/>
      <c r="BB264" s="7"/>
      <c r="BC264" s="7"/>
      <c r="BD264" s="7"/>
      <c r="BE264" s="7"/>
      <c r="BF264" s="7"/>
      <c r="BG264" s="7"/>
    </row>
    <row r="265" customHeight="1" spans="1:59">
      <c r="A265" s="9" t="str">
        <f>IF(ActiveDatabase=Standby,Secondary!A265,Primary!A265)</f>
        <v>Daymar 29</v>
      </c>
      <c r="B265" s="5" t="str">
        <f>IF(ActiveDatabase=Standby,Secondary!B265,Primary!B265)</f>
        <v>Daymar 37</v>
      </c>
      <c r="C265" s="5" t="str">
        <f>IF(ActiveDatabase=Standby,Secondary!C265,Primary!C265)</f>
        <v>Daymar 06</v>
      </c>
      <c r="D265" s="5" t="str">
        <f>IF(ActiveDatabase=Standby,Secondary!D265,Primary!D265)</f>
        <v>Settlement 56G</v>
      </c>
      <c r="E265" s="6" t="str">
        <f>IF(ActiveDatabase=Standby,Secondary!E265,Primary!E265)</f>
        <v>Settlement 56G</v>
      </c>
      <c r="F265" s="10">
        <f>IF(ActiveDatabase=Standby,Secondary!F265,Primary!F265)</f>
        <v>-180.21903034</v>
      </c>
      <c r="G265" s="10">
        <f>IF(ActiveDatabase=Standby,Secondary!G265,Primary!G265)</f>
        <v>102.450227155999</v>
      </c>
      <c r="H265" s="10">
        <f>IF(ActiveDatabase=Standby,Secondary!H265,Primary!H265)</f>
        <v>-209.921362674</v>
      </c>
      <c r="I265" s="13">
        <f>IF(ActiveDatabase=Standby,Secondary!I265,Primary!I265)</f>
        <v>0</v>
      </c>
      <c r="J265" s="13">
        <f>IF(ActiveDatabase=Standby,Secondary!J265,Primary!J265)</f>
        <v>0</v>
      </c>
      <c r="K265" s="13">
        <f>IF(ActiveDatabase=Standby,Secondary!K265,Primary!K265)</f>
        <v>0</v>
      </c>
      <c r="L265" s="13">
        <f>IF(ActiveDatabase=Standby,Secondary!L265,Primary!L265)</f>
        <v>0</v>
      </c>
      <c r="M265" s="7" t="b">
        <f>IF(ActiveDatabase=Standby,Secondary!M265,Primary!M265)</f>
        <v>0</v>
      </c>
      <c r="N265" s="10">
        <f>IF(ActiveDatabase=Standby,Secondary!N265,Primary!N265)</f>
        <v>0</v>
      </c>
      <c r="O265" s="10">
        <f>IF(ActiveDatabase=Standby,Secondary!O265,Primary!O265)</f>
        <v>0</v>
      </c>
      <c r="P265" s="10">
        <f>IF(ActiveDatabase=Standby,Secondary!P265,Primary!P265)</f>
        <v>0</v>
      </c>
      <c r="Q265" s="6">
        <f>IF(ActiveDatabase=Standby,Secondary!Q265,Primary!Q265)</f>
        <v>0</v>
      </c>
      <c r="R265" s="18">
        <f>IF(ActiveDatabase=Standby,Secondary!R265,Primary!R265)</f>
        <v>0</v>
      </c>
      <c r="S265" s="19">
        <f>IF(ActiveDatabase=Standby,Secondary!S265,Primary!S265)</f>
        <v>0</v>
      </c>
      <c r="T265" s="10">
        <f>IF(ActiveDatabase=Standby,Secondary!T265,Primary!T265)</f>
        <v>0</v>
      </c>
      <c r="U265" s="10">
        <f>IF(ActiveDatabase=Standby,Secondary!U265,Primary!U265)</f>
        <v>0</v>
      </c>
      <c r="V265" s="10">
        <f>IF(ActiveDatabase=Standby,Secondary!V265,Primary!V265)</f>
        <v>0</v>
      </c>
      <c r="W265" s="6">
        <f>IF(ActiveDatabase=Standby,Secondary!W265,Primary!W265)</f>
        <v>0</v>
      </c>
      <c r="X265" s="6">
        <f>IF(ActiveDatabase=Standby,Secondary!X265,Primary!X265)</f>
        <v>0</v>
      </c>
      <c r="Y265" s="12">
        <f>IF(ActiveDatabase=Standby,Secondary!Y265,Primary!Y265)</f>
        <v>0</v>
      </c>
      <c r="Z265" s="12">
        <f>IF(ActiveDatabase=Standby,Secondary!Z265,Primary!Z265)</f>
        <v>0</v>
      </c>
      <c r="AA265" s="7">
        <f>IF(ActiveDatabase=Standby,Secondary!AA265,Primary!AA265)</f>
        <v>0</v>
      </c>
      <c r="AB265" s="12"/>
      <c r="AC265" s="6"/>
      <c r="AD265" s="6"/>
      <c r="AE265" s="7"/>
      <c r="AF265" s="7"/>
      <c r="AG265" s="7"/>
      <c r="AH265" s="7"/>
      <c r="AI265" s="7"/>
      <c r="AJ265" s="7"/>
      <c r="AK265" s="7"/>
      <c r="AL265" s="7"/>
      <c r="AM265" s="7"/>
      <c r="AN265" s="7"/>
      <c r="AO265" s="6"/>
      <c r="AP265" s="7"/>
      <c r="AQ265" s="7"/>
      <c r="AR265" s="6"/>
      <c r="AS265" s="7"/>
      <c r="AT265" s="7"/>
      <c r="AU265" s="7"/>
      <c r="AV265" s="7"/>
      <c r="AW265" s="7"/>
      <c r="AX265" s="7"/>
      <c r="AY265" s="7"/>
      <c r="AZ265" s="7"/>
      <c r="BA265" s="7"/>
      <c r="BB265" s="7"/>
      <c r="BC265" s="7"/>
      <c r="BD265" s="7"/>
      <c r="BE265" s="7"/>
      <c r="BF265" s="7"/>
      <c r="BG265" s="7"/>
    </row>
    <row r="266" customHeight="1" spans="1:59">
      <c r="A266" s="9" t="str">
        <f>IF(ActiveDatabase=Standby,Secondary!A266,Primary!A266)</f>
        <v>Daymar 24</v>
      </c>
      <c r="B266" s="5" t="str">
        <f>IF(ActiveDatabase=Standby,Secondary!B266,Primary!B266)</f>
        <v>Daymar 32</v>
      </c>
      <c r="C266" s="5" t="str">
        <f>IF(ActiveDatabase=Standby,Secondary!C266,Primary!C266)</f>
        <v>Daymar 63</v>
      </c>
      <c r="D266" s="5" t="str">
        <f>IF(ActiveDatabase=Standby,Secondary!D266,Primary!D266)</f>
        <v>Settlement 08S</v>
      </c>
      <c r="E266" s="6" t="str">
        <f>IF(ActiveDatabase=Standby,Secondary!E266,Primary!E266)</f>
        <v>Settlement 08S</v>
      </c>
      <c r="F266" s="10">
        <f>IF(ActiveDatabase=Standby,Secondary!F266,Primary!F266)</f>
        <v>-171.120180567</v>
      </c>
      <c r="G266" s="10">
        <f>IF(ActiveDatabase=Standby,Secondary!G266,Primary!G266)</f>
        <v>-163.647997459</v>
      </c>
      <c r="H266" s="10">
        <f>IF(ActiveDatabase=Standby,Secondary!H266,Primary!H266)</f>
        <v>176.529683862</v>
      </c>
      <c r="I266" s="13">
        <f>IF(ActiveDatabase=Standby,Secondary!I266,Primary!I266)</f>
        <v>0</v>
      </c>
      <c r="J266" s="13">
        <f>IF(ActiveDatabase=Standby,Secondary!J266,Primary!J266)</f>
        <v>0</v>
      </c>
      <c r="K266" s="13">
        <f>IF(ActiveDatabase=Standby,Secondary!K266,Primary!K266)</f>
        <v>0</v>
      </c>
      <c r="L266" s="13">
        <f>IF(ActiveDatabase=Standby,Secondary!L266,Primary!L266)</f>
        <v>0</v>
      </c>
      <c r="M266" s="7" t="b">
        <f>IF(ActiveDatabase=Standby,Secondary!M266,Primary!M266)</f>
        <v>0</v>
      </c>
      <c r="N266" s="10">
        <f>IF(ActiveDatabase=Standby,Secondary!N266,Primary!N266)</f>
        <v>0</v>
      </c>
      <c r="O266" s="10">
        <f>IF(ActiveDatabase=Standby,Secondary!O266,Primary!O266)</f>
        <v>0</v>
      </c>
      <c r="P266" s="10">
        <f>IF(ActiveDatabase=Standby,Secondary!P266,Primary!P266)</f>
        <v>0</v>
      </c>
      <c r="Q266" s="6">
        <f>IF(ActiveDatabase=Standby,Secondary!Q266,Primary!Q266)</f>
        <v>0</v>
      </c>
      <c r="R266" s="18">
        <f>IF(ActiveDatabase=Standby,Secondary!R266,Primary!R266)</f>
        <v>0</v>
      </c>
      <c r="S266" s="19">
        <f>IF(ActiveDatabase=Standby,Secondary!S266,Primary!S266)</f>
        <v>0</v>
      </c>
      <c r="T266" s="10">
        <f>IF(ActiveDatabase=Standby,Secondary!T266,Primary!T266)</f>
        <v>0</v>
      </c>
      <c r="U266" s="10">
        <f>IF(ActiveDatabase=Standby,Secondary!U266,Primary!U266)</f>
        <v>0</v>
      </c>
      <c r="V266" s="10">
        <f>IF(ActiveDatabase=Standby,Secondary!V266,Primary!V266)</f>
        <v>0</v>
      </c>
      <c r="W266" s="6">
        <f>IF(ActiveDatabase=Standby,Secondary!W266,Primary!W266)</f>
        <v>0</v>
      </c>
      <c r="X266" s="6">
        <f>IF(ActiveDatabase=Standby,Secondary!X266,Primary!X266)</f>
        <v>0</v>
      </c>
      <c r="Y266" s="12">
        <f>IF(ActiveDatabase=Standby,Secondary!Y266,Primary!Y266)</f>
        <v>0</v>
      </c>
      <c r="Z266" s="12">
        <f>IF(ActiveDatabase=Standby,Secondary!Z266,Primary!Z266)</f>
        <v>0</v>
      </c>
      <c r="AA266" s="7">
        <f>IF(ActiveDatabase=Standby,Secondary!AA266,Primary!AA266)</f>
        <v>0</v>
      </c>
      <c r="AB266" s="12"/>
      <c r="AC266" s="6"/>
      <c r="AD266" s="6"/>
      <c r="AE266" s="7"/>
      <c r="AF266" s="7"/>
      <c r="AG266" s="7"/>
      <c r="AH266" s="7"/>
      <c r="AI266" s="7"/>
      <c r="AJ266" s="7"/>
      <c r="AK266" s="7"/>
      <c r="AL266" s="7"/>
      <c r="AM266" s="7"/>
      <c r="AN266" s="7"/>
      <c r="AO266" s="6"/>
      <c r="AP266" s="7"/>
      <c r="AQ266" s="7"/>
      <c r="AR266" s="6"/>
      <c r="AS266" s="7"/>
      <c r="AT266" s="7"/>
      <c r="AU266" s="7"/>
      <c r="AV266" s="7"/>
      <c r="AW266" s="7"/>
      <c r="AX266" s="7"/>
      <c r="AY266" s="7"/>
      <c r="AZ266" s="7"/>
      <c r="BA266" s="7"/>
      <c r="BB266" s="7"/>
      <c r="BC266" s="7"/>
      <c r="BD266" s="7"/>
      <c r="BE266" s="7"/>
      <c r="BF266" s="7"/>
      <c r="BG266" s="7"/>
    </row>
    <row r="267" customHeight="1" spans="1:59">
      <c r="A267" s="9" t="str">
        <f>IF(ActiveDatabase=Standby,Secondary!A267,Primary!A267)</f>
        <v>Daymar 25</v>
      </c>
      <c r="B267" s="5" t="str">
        <f>IF(ActiveDatabase=Standby,Secondary!B267,Primary!B267)</f>
        <v>Daymar 33</v>
      </c>
      <c r="C267" s="5" t="str">
        <f>IF(ActiveDatabase=Standby,Secondary!C267,Primary!C267)</f>
        <v>Daymar 53</v>
      </c>
      <c r="D267" s="5" t="str">
        <f>IF(ActiveDatabase=Standby,Secondary!D267,Primary!D267)</f>
        <v>Settlement 18S</v>
      </c>
      <c r="E267" s="6" t="str">
        <f>IF(ActiveDatabase=Standby,Secondary!E267,Primary!E267)</f>
        <v>Settlement 18S</v>
      </c>
      <c r="F267" s="10">
        <f>IF(ActiveDatabase=Standby,Secondary!F267,Primary!F267)</f>
        <v>58.3047788839998</v>
      </c>
      <c r="G267" s="10">
        <f>IF(ActiveDatabase=Standby,Secondary!G267,Primary!G267)</f>
        <v>-233.734591893</v>
      </c>
      <c r="H267" s="10">
        <f>IF(ActiveDatabase=Standby,Secondary!H267,Primary!H267)</f>
        <v>171.439528446999</v>
      </c>
      <c r="I267" s="13">
        <f>IF(ActiveDatabase=Standby,Secondary!I267,Primary!I267)</f>
        <v>0</v>
      </c>
      <c r="J267" s="13">
        <f>IF(ActiveDatabase=Standby,Secondary!J267,Primary!J267)</f>
        <v>0</v>
      </c>
      <c r="K267" s="13">
        <f>IF(ActiveDatabase=Standby,Secondary!K267,Primary!K267)</f>
        <v>0</v>
      </c>
      <c r="L267" s="13">
        <f>IF(ActiveDatabase=Standby,Secondary!L267,Primary!L267)</f>
        <v>0</v>
      </c>
      <c r="M267" s="7" t="b">
        <f>IF(ActiveDatabase=Standby,Secondary!M267,Primary!M267)</f>
        <v>0</v>
      </c>
      <c r="N267" s="10">
        <f>IF(ActiveDatabase=Standby,Secondary!N267,Primary!N267)</f>
        <v>0</v>
      </c>
      <c r="O267" s="10">
        <f>IF(ActiveDatabase=Standby,Secondary!O267,Primary!O267)</f>
        <v>0</v>
      </c>
      <c r="P267" s="10">
        <f>IF(ActiveDatabase=Standby,Secondary!P267,Primary!P267)</f>
        <v>0</v>
      </c>
      <c r="Q267" s="6">
        <f>IF(ActiveDatabase=Standby,Secondary!Q267,Primary!Q267)</f>
        <v>0</v>
      </c>
      <c r="R267" s="18">
        <f>IF(ActiveDatabase=Standby,Secondary!R267,Primary!R267)</f>
        <v>0</v>
      </c>
      <c r="S267" s="19">
        <f>IF(ActiveDatabase=Standby,Secondary!S267,Primary!S267)</f>
        <v>0</v>
      </c>
      <c r="T267" s="10">
        <f>IF(ActiveDatabase=Standby,Secondary!T267,Primary!T267)</f>
        <v>0</v>
      </c>
      <c r="U267" s="10">
        <f>IF(ActiveDatabase=Standby,Secondary!U267,Primary!U267)</f>
        <v>0</v>
      </c>
      <c r="V267" s="10">
        <f>IF(ActiveDatabase=Standby,Secondary!V267,Primary!V267)</f>
        <v>0</v>
      </c>
      <c r="W267" s="6">
        <f>IF(ActiveDatabase=Standby,Secondary!W267,Primary!W267)</f>
        <v>0</v>
      </c>
      <c r="X267" s="6">
        <f>IF(ActiveDatabase=Standby,Secondary!X267,Primary!X267)</f>
        <v>0</v>
      </c>
      <c r="Y267" s="12">
        <f>IF(ActiveDatabase=Standby,Secondary!Y267,Primary!Y267)</f>
        <v>0</v>
      </c>
      <c r="Z267" s="12">
        <f>IF(ActiveDatabase=Standby,Secondary!Z267,Primary!Z267)</f>
        <v>0</v>
      </c>
      <c r="AA267" s="9">
        <f>IF(ActiveDatabase=Standby,Secondary!AA267,Primary!AA267)</f>
        <v>0</v>
      </c>
      <c r="AB267" s="12"/>
      <c r="AC267" s="6"/>
      <c r="AD267" s="6"/>
      <c r="AE267" s="7"/>
      <c r="AF267" s="7"/>
      <c r="AG267" s="7"/>
      <c r="AH267" s="7"/>
      <c r="AI267" s="7"/>
      <c r="AJ267" s="7"/>
      <c r="AK267" s="7"/>
      <c r="AL267" s="7"/>
      <c r="AM267" s="7"/>
      <c r="AN267" s="7"/>
      <c r="AO267" s="6"/>
      <c r="AP267" s="7"/>
      <c r="AQ267" s="7"/>
      <c r="AR267" s="6"/>
      <c r="AS267" s="7"/>
      <c r="AT267" s="7"/>
      <c r="AU267" s="7"/>
      <c r="AV267" s="7"/>
      <c r="AW267" s="7"/>
      <c r="AX267" s="7"/>
      <c r="AY267" s="7"/>
      <c r="AZ267" s="7"/>
      <c r="BA267" s="7"/>
      <c r="BB267" s="7"/>
      <c r="BC267" s="7"/>
      <c r="BD267" s="7"/>
      <c r="BE267" s="7"/>
      <c r="BF267" s="7"/>
      <c r="BG267" s="7"/>
    </row>
    <row r="268" customHeight="1" spans="1:59">
      <c r="A268" s="9" t="str">
        <f>IF(ActiveDatabase=Standby,Secondary!A268,Primary!A268)</f>
        <v>Daymar</v>
      </c>
      <c r="B268" s="5" t="str">
        <f>IF(ActiveDatabase=Standby,Secondary!B268,Primary!B268)</f>
        <v>Daymar 39</v>
      </c>
      <c r="C268" s="5">
        <f>IF(ActiveDatabase=Standby,Secondary!C268,Primary!C268)</f>
        <v>0</v>
      </c>
      <c r="D268" s="5" t="str">
        <f>IF(ActiveDatabase=Standby,Secondary!D268,Primary!D268)</f>
        <v>Caves</v>
      </c>
      <c r="E268" s="6">
        <f>IF(ActiveDatabase=Standby,Secondary!E268,Primary!E268)</f>
        <v>0</v>
      </c>
      <c r="F268" s="10">
        <f>IF(ActiveDatabase=Standby,Secondary!F268,Primary!F268)</f>
        <v>0</v>
      </c>
      <c r="G268" s="10">
        <f>IF(ActiveDatabase=Standby,Secondary!G268,Primary!G268)</f>
        <v>0</v>
      </c>
      <c r="H268" s="10">
        <f>IF(ActiveDatabase=Standby,Secondary!H268,Primary!H268)</f>
        <v>0</v>
      </c>
      <c r="I268" s="13">
        <f>IF(ActiveDatabase=Standby,Secondary!I268,Primary!I268)</f>
        <v>0</v>
      </c>
      <c r="J268" s="13">
        <f>IF(ActiveDatabase=Standby,Secondary!J268,Primary!J268)</f>
        <v>0</v>
      </c>
      <c r="K268" s="13">
        <f>IF(ActiveDatabase=Standby,Secondary!K268,Primary!K268)</f>
        <v>0</v>
      </c>
      <c r="L268" s="13">
        <f>IF(ActiveDatabase=Standby,Secondary!L268,Primary!L268)</f>
        <v>0</v>
      </c>
      <c r="M268" s="7">
        <f>IF(ActiveDatabase=Standby,Secondary!M268,Primary!M268)</f>
        <v>0</v>
      </c>
      <c r="N268" s="10">
        <f>IF(ActiveDatabase=Standby,Secondary!N268,Primary!N268)</f>
        <v>0</v>
      </c>
      <c r="O268" s="10">
        <f>IF(ActiveDatabase=Standby,Secondary!O268,Primary!O268)</f>
        <v>0</v>
      </c>
      <c r="P268" s="10">
        <f>IF(ActiveDatabase=Standby,Secondary!P268,Primary!P268)</f>
        <v>0</v>
      </c>
      <c r="Q268" s="6">
        <f>IF(ActiveDatabase=Standby,Secondary!Q268,Primary!Q268)</f>
        <v>0</v>
      </c>
      <c r="R268" s="18">
        <f>IF(ActiveDatabase=Standby,Secondary!R268,Primary!R268)</f>
        <v>0</v>
      </c>
      <c r="S268" s="19">
        <f>IF(ActiveDatabase=Standby,Secondary!S268,Primary!S268)</f>
        <v>0</v>
      </c>
      <c r="T268" s="10">
        <f>IF(ActiveDatabase=Standby,Secondary!T268,Primary!T268)</f>
        <v>0</v>
      </c>
      <c r="U268" s="10">
        <f>IF(ActiveDatabase=Standby,Secondary!U268,Primary!U268)</f>
        <v>0</v>
      </c>
      <c r="V268" s="10">
        <f>IF(ActiveDatabase=Standby,Secondary!V268,Primary!V268)</f>
        <v>0</v>
      </c>
      <c r="W268" s="6">
        <f>IF(ActiveDatabase=Standby,Secondary!W268,Primary!W268)</f>
        <v>0</v>
      </c>
      <c r="X268" s="6">
        <f>IF(ActiveDatabase=Standby,Secondary!X268,Primary!X268)</f>
        <v>0</v>
      </c>
      <c r="Y268" s="12">
        <f>IF(ActiveDatabase=Standby,Secondary!Y268,Primary!Y268)</f>
        <v>0</v>
      </c>
      <c r="Z268" s="12">
        <f>IF(ActiveDatabase=Standby,Secondary!Z268,Primary!Z268)</f>
        <v>0</v>
      </c>
      <c r="AA268" s="9">
        <f>IF(ActiveDatabase=Standby,Secondary!AA268,Primary!AA268)</f>
        <v>0</v>
      </c>
      <c r="AB268" s="12"/>
      <c r="AC268" s="6"/>
      <c r="AD268" s="6"/>
      <c r="AE268" s="7"/>
      <c r="AF268" s="7"/>
      <c r="AG268" s="7"/>
      <c r="AH268" s="7"/>
      <c r="AI268" s="7"/>
      <c r="AJ268" s="7"/>
      <c r="AK268" s="7"/>
      <c r="AL268" s="7"/>
      <c r="AM268" s="7"/>
      <c r="AN268" s="7"/>
      <c r="AO268" s="6"/>
      <c r="AP268" s="7"/>
      <c r="AQ268" s="7"/>
      <c r="AR268" s="6"/>
      <c r="AS268" s="7"/>
      <c r="AT268" s="7"/>
      <c r="AU268" s="7"/>
      <c r="AV268" s="7"/>
      <c r="AW268" s="7"/>
      <c r="AX268" s="7"/>
      <c r="AY268" s="7"/>
      <c r="AZ268" s="7"/>
      <c r="BA268" s="7"/>
      <c r="BB268" s="7"/>
      <c r="BC268" s="7"/>
      <c r="BD268" s="7"/>
      <c r="BE268" s="7"/>
      <c r="BF268" s="7"/>
      <c r="BG268" s="7"/>
    </row>
    <row r="269" customHeight="1" spans="1:59">
      <c r="A269" s="9" t="str">
        <f>IF(ActiveDatabase=Standby,Secondary!A269,Primary!A269)</f>
        <v>Daymar 19</v>
      </c>
      <c r="B269" s="5" t="str">
        <f>IF(ActiveDatabase=Standby,Secondary!B269,Primary!B269)</f>
        <v>Daymar 40</v>
      </c>
      <c r="C269" s="5" t="str">
        <f>IF(ActiveDatabase=Standby,Secondary!C269,Primary!C269)</f>
        <v>Daymar 52</v>
      </c>
      <c r="D269" s="5" t="str">
        <f>IF(ActiveDatabase=Standby,Secondary!D269,Primary!D269)</f>
        <v>Kudre Ore Mine (Closed)</v>
      </c>
      <c r="E269" s="6" t="str">
        <f>IF(ActiveDatabase=Standby,Secondary!E269,Primary!E269)</f>
        <v>Kudre Cave</v>
      </c>
      <c r="F269" s="10">
        <f>IF(ActiveDatabase=Standby,Secondary!F269,Primary!F269)</f>
        <v>81.0076702389147</v>
      </c>
      <c r="G269" s="10">
        <f>IF(ActiveDatabase=Standby,Secondary!G269,Primary!G269)</f>
        <v>-280.683338081131</v>
      </c>
      <c r="H269" s="10">
        <f>IF(ActiveDatabase=Standby,Secondary!H269,Primary!H269)</f>
        <v>43.6486983371916</v>
      </c>
      <c r="I269" s="13">
        <f>IF(ActiveDatabase=Standby,Secondary!I269,Primary!I269)</f>
        <v>0</v>
      </c>
      <c r="J269" s="13">
        <f>IF(ActiveDatabase=Standby,Secondary!J269,Primary!J269)</f>
        <v>0</v>
      </c>
      <c r="K269" s="13">
        <f>IF(ActiveDatabase=Standby,Secondary!K269,Primary!K269)</f>
        <v>0</v>
      </c>
      <c r="L269" s="13">
        <f>IF(ActiveDatabase=Standby,Secondary!L269,Primary!L269)</f>
        <v>0</v>
      </c>
      <c r="M269" s="7" t="b">
        <f>IF(ActiveDatabase=Standby,Secondary!M269,Primary!M269)</f>
        <v>1</v>
      </c>
      <c r="N269" s="10">
        <f>IF(ActiveDatabase=Standby,Secondary!N269,Primary!N269)</f>
        <v>0</v>
      </c>
      <c r="O269" s="10">
        <f>IF(ActiveDatabase=Standby,Secondary!O269,Primary!O269)</f>
        <v>0</v>
      </c>
      <c r="P269" s="10">
        <f>IF(ActiveDatabase=Standby,Secondary!P269,Primary!P269)</f>
        <v>0</v>
      </c>
      <c r="Q269" s="6">
        <f>IF(ActiveDatabase=Standby,Secondary!Q269,Primary!Q269)</f>
        <v>0</v>
      </c>
      <c r="R269" s="18">
        <f>IF(ActiveDatabase=Standby,Secondary!R269,Primary!R269)</f>
        <v>0</v>
      </c>
      <c r="S269" s="19">
        <f>IF(ActiveDatabase=Standby,Secondary!S269,Primary!S269)</f>
        <v>0</v>
      </c>
      <c r="T269" s="10">
        <f>IF(ActiveDatabase=Standby,Secondary!T269,Primary!T269)</f>
        <v>0</v>
      </c>
      <c r="U269" s="10">
        <f>IF(ActiveDatabase=Standby,Secondary!U269,Primary!U269)</f>
        <v>0</v>
      </c>
      <c r="V269" s="10">
        <f>IF(ActiveDatabase=Standby,Secondary!V269,Primary!V269)</f>
        <v>0</v>
      </c>
      <c r="W269" s="6">
        <f>IF(ActiveDatabase=Standby,Secondary!W269,Primary!W269)</f>
        <v>0</v>
      </c>
      <c r="X269" s="6">
        <f>IF(ActiveDatabase=Standby,Secondary!X269,Primary!X269)</f>
        <v>0</v>
      </c>
      <c r="Y269" s="12">
        <f>IF(ActiveDatabase=Standby,Secondary!Y269,Primary!Y269)</f>
        <v>0</v>
      </c>
      <c r="Z269" s="12">
        <f>IF(ActiveDatabase=Standby,Secondary!Z269,Primary!Z269)</f>
        <v>0</v>
      </c>
      <c r="AA269" s="9">
        <f>IF(ActiveDatabase=Standby,Secondary!AA269,Primary!AA269)</f>
        <v>0</v>
      </c>
      <c r="AB269" s="12"/>
      <c r="AC269" s="6"/>
      <c r="AD269" s="6"/>
      <c r="AE269" s="7"/>
      <c r="AF269" s="7"/>
      <c r="AG269" s="7"/>
      <c r="AH269" s="7"/>
      <c r="AI269" s="7"/>
      <c r="AJ269" s="7"/>
      <c r="AK269" s="7"/>
      <c r="AL269" s="7"/>
      <c r="AM269" s="7"/>
      <c r="AN269" s="7"/>
      <c r="AO269" s="6"/>
      <c r="AP269" s="7"/>
      <c r="AQ269" s="7"/>
      <c r="AR269" s="6"/>
      <c r="AS269" s="7"/>
      <c r="AT269" s="7"/>
      <c r="AU269" s="7"/>
      <c r="AV269" s="7"/>
      <c r="AW269" s="7"/>
      <c r="AX269" s="7"/>
      <c r="AY269" s="7"/>
      <c r="AZ269" s="7"/>
      <c r="BA269" s="7"/>
      <c r="BB269" s="7"/>
      <c r="BC269" s="7"/>
      <c r="BD269" s="7"/>
      <c r="BE269" s="7"/>
      <c r="BF269" s="7"/>
      <c r="BG269" s="7"/>
    </row>
    <row r="270" customHeight="1" spans="1:59">
      <c r="A270" s="9" t="str">
        <f>IF(ActiveDatabase=Standby,Secondary!A270,Primary!A270)</f>
        <v>Daymar 34</v>
      </c>
      <c r="B270" s="5" t="str">
        <f>IF(ActiveDatabase=Standby,Secondary!B270,Primary!B270)</f>
        <v>Daymar 45</v>
      </c>
      <c r="C270" s="5" t="str">
        <f>IF(ActiveDatabase=Standby,Secondary!C270,Primary!C270)</f>
        <v>Daymar 05</v>
      </c>
      <c r="D270" s="5" t="str">
        <f>IF(ActiveDatabase=Standby,Secondary!D270,Primary!D270)</f>
        <v>Rock Cave 57P</v>
      </c>
      <c r="E270" s="6" t="str">
        <f>IF(ActiveDatabase=Standby,Secondary!E270,Primary!E270)</f>
        <v>RCave 57P</v>
      </c>
      <c r="F270" s="10">
        <f>IF(ActiveDatabase=Standby,Secondary!F270,Primary!F270)</f>
        <v>-272.652163639452</v>
      </c>
      <c r="G270" s="10">
        <f>IF(ActiveDatabase=Standby,Secondary!G270,Primary!G270)</f>
        <v>102.061596516086</v>
      </c>
      <c r="H270" s="10">
        <f>IF(ActiveDatabase=Standby,Secondary!H270,Primary!H270)</f>
        <v>48.6446145996223</v>
      </c>
      <c r="I270" s="13">
        <f>IF(ActiveDatabase=Standby,Secondary!I270,Primary!I270)</f>
        <v>0</v>
      </c>
      <c r="J270" s="13">
        <f>IF(ActiveDatabase=Standby,Secondary!J270,Primary!J270)</f>
        <v>0</v>
      </c>
      <c r="K270" s="13">
        <f>IF(ActiveDatabase=Standby,Secondary!K270,Primary!K270)</f>
        <v>0</v>
      </c>
      <c r="L270" s="13">
        <f>IF(ActiveDatabase=Standby,Secondary!L270,Primary!L270)</f>
        <v>0</v>
      </c>
      <c r="M270" s="7" t="b">
        <f>IF(ActiveDatabase=Standby,Secondary!M270,Primary!M270)</f>
        <v>0</v>
      </c>
      <c r="N270" s="10">
        <f>IF(ActiveDatabase=Standby,Secondary!N270,Primary!N270)</f>
        <v>0</v>
      </c>
      <c r="O270" s="10">
        <f>IF(ActiveDatabase=Standby,Secondary!O270,Primary!O270)</f>
        <v>0</v>
      </c>
      <c r="P270" s="10">
        <f>IF(ActiveDatabase=Standby,Secondary!P270,Primary!P270)</f>
        <v>0</v>
      </c>
      <c r="Q270" s="6">
        <f>IF(ActiveDatabase=Standby,Secondary!Q270,Primary!Q270)</f>
        <v>0</v>
      </c>
      <c r="R270" s="18">
        <f>IF(ActiveDatabase=Standby,Secondary!R270,Primary!R270)</f>
        <v>0</v>
      </c>
      <c r="S270" s="19">
        <f>IF(ActiveDatabase=Standby,Secondary!S270,Primary!S270)</f>
        <v>0</v>
      </c>
      <c r="T270" s="10">
        <f>IF(ActiveDatabase=Standby,Secondary!T270,Primary!T270)</f>
        <v>0</v>
      </c>
      <c r="U270" s="10">
        <f>IF(ActiveDatabase=Standby,Secondary!U270,Primary!U270)</f>
        <v>0</v>
      </c>
      <c r="V270" s="10">
        <f>IF(ActiveDatabase=Standby,Secondary!V270,Primary!V270)</f>
        <v>0</v>
      </c>
      <c r="W270" s="6">
        <f>IF(ActiveDatabase=Standby,Secondary!W270,Primary!W270)</f>
        <v>0</v>
      </c>
      <c r="X270" s="6">
        <f>IF(ActiveDatabase=Standby,Secondary!X270,Primary!X270)</f>
        <v>0</v>
      </c>
      <c r="Y270" s="12">
        <f>IF(ActiveDatabase=Standby,Secondary!Y270,Primary!Y270)</f>
        <v>0</v>
      </c>
      <c r="Z270" s="12">
        <f>IF(ActiveDatabase=Standby,Secondary!Z270,Primary!Z270)</f>
        <v>0</v>
      </c>
      <c r="AA270" s="9">
        <f>IF(ActiveDatabase=Standby,Secondary!AA270,Primary!AA270)</f>
        <v>0</v>
      </c>
      <c r="AB270" s="12"/>
      <c r="AC270" s="6"/>
      <c r="AD270" s="6"/>
      <c r="AE270" s="7"/>
      <c r="AF270" s="7"/>
      <c r="AG270" s="7"/>
      <c r="AH270" s="7"/>
      <c r="AI270" s="7"/>
      <c r="AJ270" s="7"/>
      <c r="AK270" s="7"/>
      <c r="AL270" s="7"/>
      <c r="AM270" s="7"/>
      <c r="AN270" s="7"/>
      <c r="AO270" s="6"/>
      <c r="AP270" s="7"/>
      <c r="AQ270" s="7"/>
      <c r="AR270" s="6"/>
      <c r="AS270" s="7"/>
      <c r="AT270" s="7"/>
      <c r="AU270" s="7"/>
      <c r="AV270" s="7"/>
      <c r="AW270" s="7"/>
      <c r="AX270" s="7"/>
      <c r="AY270" s="7"/>
      <c r="AZ270" s="7"/>
      <c r="BA270" s="7"/>
      <c r="BB270" s="7"/>
      <c r="BC270" s="7"/>
      <c r="BD270" s="7"/>
      <c r="BE270" s="7"/>
      <c r="BF270" s="7"/>
      <c r="BG270" s="7"/>
    </row>
    <row r="271" customHeight="1" spans="1:59">
      <c r="A271" s="9" t="str">
        <f>IF(ActiveDatabase=Standby,Secondary!A271,Primary!A271)</f>
        <v>Daymar 33</v>
      </c>
      <c r="B271" s="5" t="str">
        <f>IF(ActiveDatabase=Standby,Secondary!B271,Primary!B271)</f>
        <v>Daymar 44</v>
      </c>
      <c r="C271" s="5" t="str">
        <f>IF(ActiveDatabase=Standby,Secondary!C271,Primary!C271)</f>
        <v>Daymar 28</v>
      </c>
      <c r="D271" s="5" t="str">
        <f>IF(ActiveDatabase=Standby,Secondary!D271,Primary!D271)</f>
        <v>Rock Cave 42Q</v>
      </c>
      <c r="E271" s="6" t="str">
        <f>IF(ActiveDatabase=Standby,Secondary!E271,Primary!E271)</f>
        <v>RCave 42Q</v>
      </c>
      <c r="F271" s="10">
        <f>IF(ActiveDatabase=Standby,Secondary!F271,Primary!F271)</f>
        <v>108.060453641311</v>
      </c>
      <c r="G271" s="10">
        <f>IF(ActiveDatabase=Standby,Secondary!G271,Primary!G271)</f>
        <v>250.300376195933</v>
      </c>
      <c r="H271" s="10">
        <f>IF(ActiveDatabase=Standby,Secondary!H271,Primary!H271)</f>
        <v>113.123828665503</v>
      </c>
      <c r="I271" s="13">
        <f>IF(ActiveDatabase=Standby,Secondary!I271,Primary!I271)</f>
        <v>0</v>
      </c>
      <c r="J271" s="13">
        <f>IF(ActiveDatabase=Standby,Secondary!J271,Primary!J271)</f>
        <v>0</v>
      </c>
      <c r="K271" s="13">
        <f>IF(ActiveDatabase=Standby,Secondary!K271,Primary!K271)</f>
        <v>0</v>
      </c>
      <c r="L271" s="13">
        <f>IF(ActiveDatabase=Standby,Secondary!L271,Primary!L271)</f>
        <v>0</v>
      </c>
      <c r="M271" s="7" t="b">
        <f>IF(ActiveDatabase=Standby,Secondary!M271,Primary!M271)</f>
        <v>0</v>
      </c>
      <c r="N271" s="10">
        <f>IF(ActiveDatabase=Standby,Secondary!N271,Primary!N271)</f>
        <v>0</v>
      </c>
      <c r="O271" s="10">
        <f>IF(ActiveDatabase=Standby,Secondary!O271,Primary!O271)</f>
        <v>0</v>
      </c>
      <c r="P271" s="10">
        <f>IF(ActiveDatabase=Standby,Secondary!P271,Primary!P271)</f>
        <v>0</v>
      </c>
      <c r="Q271" s="6">
        <f>IF(ActiveDatabase=Standby,Secondary!Q271,Primary!Q271)</f>
        <v>0</v>
      </c>
      <c r="R271" s="18">
        <f>IF(ActiveDatabase=Standby,Secondary!R271,Primary!R271)</f>
        <v>0</v>
      </c>
      <c r="S271" s="19">
        <f>IF(ActiveDatabase=Standby,Secondary!S271,Primary!S271)</f>
        <v>0</v>
      </c>
      <c r="T271" s="10">
        <f>IF(ActiveDatabase=Standby,Secondary!T271,Primary!T271)</f>
        <v>0</v>
      </c>
      <c r="U271" s="10">
        <f>IF(ActiveDatabase=Standby,Secondary!U271,Primary!U271)</f>
        <v>0</v>
      </c>
      <c r="V271" s="10">
        <f>IF(ActiveDatabase=Standby,Secondary!V271,Primary!V271)</f>
        <v>0</v>
      </c>
      <c r="W271" s="6">
        <f>IF(ActiveDatabase=Standby,Secondary!W271,Primary!W271)</f>
        <v>0</v>
      </c>
      <c r="X271" s="6">
        <f>IF(ActiveDatabase=Standby,Secondary!X271,Primary!X271)</f>
        <v>0</v>
      </c>
      <c r="Y271" s="12">
        <f>IF(ActiveDatabase=Standby,Secondary!Y271,Primary!Y271)</f>
        <v>0</v>
      </c>
      <c r="Z271" s="12">
        <f>IF(ActiveDatabase=Standby,Secondary!Z271,Primary!Z271)</f>
        <v>0</v>
      </c>
      <c r="AA271" s="9">
        <f>IF(ActiveDatabase=Standby,Secondary!AA271,Primary!AA271)</f>
        <v>0</v>
      </c>
      <c r="AB271" s="12"/>
      <c r="AC271" s="6"/>
      <c r="AD271" s="6"/>
      <c r="AE271" s="7"/>
      <c r="AF271" s="7"/>
      <c r="AG271" s="7"/>
      <c r="AH271" s="7"/>
      <c r="AI271" s="7"/>
      <c r="AJ271" s="7"/>
      <c r="AK271" s="7"/>
      <c r="AL271" s="7"/>
      <c r="AM271" s="7"/>
      <c r="AN271" s="7"/>
      <c r="AO271" s="6"/>
      <c r="AP271" s="7"/>
      <c r="AQ271" s="7"/>
      <c r="AR271" s="6"/>
      <c r="AS271" s="7"/>
      <c r="AT271" s="7"/>
      <c r="AU271" s="7"/>
      <c r="AV271" s="7"/>
      <c r="AW271" s="7"/>
      <c r="AX271" s="7"/>
      <c r="AY271" s="7"/>
      <c r="AZ271" s="7"/>
      <c r="BA271" s="7"/>
      <c r="BB271" s="7"/>
      <c r="BC271" s="7"/>
      <c r="BD271" s="7"/>
      <c r="BE271" s="7"/>
      <c r="BF271" s="7"/>
      <c r="BG271" s="7"/>
    </row>
    <row r="272" customHeight="1" spans="1:59">
      <c r="A272" s="9" t="str">
        <f>IF(ActiveDatabase=Standby,Secondary!A272,Primary!A272)</f>
        <v>Daymar 30</v>
      </c>
      <c r="B272" s="5" t="str">
        <f>IF(ActiveDatabase=Standby,Secondary!B272,Primary!B272)</f>
        <v>Daymar 41</v>
      </c>
      <c r="C272" s="5" t="str">
        <f>IF(ActiveDatabase=Standby,Secondary!C272,Primary!C272)</f>
        <v>Daymar 70</v>
      </c>
      <c r="D272" s="5" t="str">
        <f>IF(ActiveDatabase=Standby,Secondary!D272,Primary!D272)</f>
        <v>Rock Cave 03J</v>
      </c>
      <c r="E272" s="6" t="str">
        <f>IF(ActiveDatabase=Standby,Secondary!E272,Primary!E272)</f>
        <v>RCave 03J</v>
      </c>
      <c r="F272" s="10">
        <f>IF(ActiveDatabase=Standby,Secondary!F272,Primary!F272)</f>
        <v>-259.27181278496</v>
      </c>
      <c r="G272" s="10">
        <f>IF(ActiveDatabase=Standby,Secondary!G272,Primary!G272)</f>
        <v>-68.9764688258107</v>
      </c>
      <c r="H272" s="10">
        <f>IF(ActiveDatabase=Standby,Secondary!H272,Primary!H272)</f>
        <v>-122.777164197442</v>
      </c>
      <c r="I272" s="13">
        <f>IF(ActiveDatabase=Standby,Secondary!I272,Primary!I272)</f>
        <v>0</v>
      </c>
      <c r="J272" s="13">
        <f>IF(ActiveDatabase=Standby,Secondary!J272,Primary!J272)</f>
        <v>0</v>
      </c>
      <c r="K272" s="13">
        <f>IF(ActiveDatabase=Standby,Secondary!K272,Primary!K272)</f>
        <v>0</v>
      </c>
      <c r="L272" s="13">
        <f>IF(ActiveDatabase=Standby,Secondary!L272,Primary!L272)</f>
        <v>0</v>
      </c>
      <c r="M272" s="7" t="b">
        <f>IF(ActiveDatabase=Standby,Secondary!M272,Primary!M272)</f>
        <v>0</v>
      </c>
      <c r="N272" s="10">
        <f>IF(ActiveDatabase=Standby,Secondary!N272,Primary!N272)</f>
        <v>0</v>
      </c>
      <c r="O272" s="10">
        <f>IF(ActiveDatabase=Standby,Secondary!O272,Primary!O272)</f>
        <v>0</v>
      </c>
      <c r="P272" s="10">
        <f>IF(ActiveDatabase=Standby,Secondary!P272,Primary!P272)</f>
        <v>0</v>
      </c>
      <c r="Q272" s="6">
        <f>IF(ActiveDatabase=Standby,Secondary!Q272,Primary!Q272)</f>
        <v>0</v>
      </c>
      <c r="R272" s="18">
        <f>IF(ActiveDatabase=Standby,Secondary!R272,Primary!R272)</f>
        <v>0</v>
      </c>
      <c r="S272" s="19">
        <f>IF(ActiveDatabase=Standby,Secondary!S272,Primary!S272)</f>
        <v>0</v>
      </c>
      <c r="T272" s="10">
        <f>IF(ActiveDatabase=Standby,Secondary!T272,Primary!T272)</f>
        <v>0</v>
      </c>
      <c r="U272" s="10">
        <f>IF(ActiveDatabase=Standby,Secondary!U272,Primary!U272)</f>
        <v>0</v>
      </c>
      <c r="V272" s="10">
        <f>IF(ActiveDatabase=Standby,Secondary!V272,Primary!V272)</f>
        <v>0</v>
      </c>
      <c r="W272" s="6">
        <f>IF(ActiveDatabase=Standby,Secondary!W272,Primary!W272)</f>
        <v>0</v>
      </c>
      <c r="X272" s="6">
        <f>IF(ActiveDatabase=Standby,Secondary!X272,Primary!X272)</f>
        <v>0</v>
      </c>
      <c r="Y272" s="12">
        <f>IF(ActiveDatabase=Standby,Secondary!Y272,Primary!Y272)</f>
        <v>0</v>
      </c>
      <c r="Z272" s="12">
        <f>IF(ActiveDatabase=Standby,Secondary!Z272,Primary!Z272)</f>
        <v>0</v>
      </c>
      <c r="AA272" s="7">
        <f>IF(ActiveDatabase=Standby,Secondary!AA272,Primary!AA272)</f>
        <v>0</v>
      </c>
      <c r="AB272" s="12"/>
      <c r="AC272" s="6"/>
      <c r="AD272" s="6"/>
      <c r="AE272" s="7"/>
      <c r="AF272" s="7"/>
      <c r="AG272" s="7"/>
      <c r="AH272" s="7"/>
      <c r="AI272" s="7"/>
      <c r="AJ272" s="7"/>
      <c r="AK272" s="7"/>
      <c r="AL272" s="7"/>
      <c r="AM272" s="7"/>
      <c r="AN272" s="7"/>
      <c r="AO272" s="6"/>
      <c r="AP272" s="7"/>
      <c r="AQ272" s="7"/>
      <c r="AR272" s="6"/>
      <c r="AS272" s="7"/>
      <c r="AT272" s="7"/>
      <c r="AU272" s="7"/>
      <c r="AV272" s="7"/>
      <c r="AW272" s="7"/>
      <c r="AX272" s="7"/>
      <c r="AY272" s="7"/>
      <c r="AZ272" s="7"/>
      <c r="BA272" s="7"/>
      <c r="BB272" s="7"/>
      <c r="BC272" s="7"/>
      <c r="BD272" s="7"/>
      <c r="BE272" s="7"/>
      <c r="BF272" s="7"/>
      <c r="BG272" s="7"/>
    </row>
    <row r="273" customHeight="1" spans="1:59">
      <c r="A273" s="9" t="str">
        <f>IF(ActiveDatabase=Standby,Secondary!A273,Primary!A273)</f>
        <v>Daymar 31</v>
      </c>
      <c r="B273" s="5" t="str">
        <f>IF(ActiveDatabase=Standby,Secondary!B273,Primary!B273)</f>
        <v>Daymar 42</v>
      </c>
      <c r="C273" s="5" t="str">
        <f>IF(ActiveDatabase=Standby,Secondary!C273,Primary!C273)</f>
        <v>Daymar 54</v>
      </c>
      <c r="D273" s="5" t="str">
        <f>IF(ActiveDatabase=Standby,Secondary!D273,Primary!D273)</f>
        <v>Rock Cave 18J</v>
      </c>
      <c r="E273" s="6" t="str">
        <f>IF(ActiveDatabase=Standby,Secondary!E273,Primary!E273)</f>
        <v>RCave 18J</v>
      </c>
      <c r="F273" s="10">
        <f>IF(ActiveDatabase=Standby,Secondary!F273,Primary!F273)</f>
        <v>61.88259058123</v>
      </c>
      <c r="G273" s="10">
        <f>IF(ActiveDatabase=Standby,Secondary!G273,Primary!G273)</f>
        <v>-249.124565468918</v>
      </c>
      <c r="H273" s="10">
        <f>IF(ActiveDatabase=Standby,Secondary!H273,Primary!H273)</f>
        <v>-145.426564233107</v>
      </c>
      <c r="I273" s="13">
        <f>IF(ActiveDatabase=Standby,Secondary!I273,Primary!I273)</f>
        <v>0</v>
      </c>
      <c r="J273" s="13">
        <f>IF(ActiveDatabase=Standby,Secondary!J273,Primary!J273)</f>
        <v>0</v>
      </c>
      <c r="K273" s="13">
        <f>IF(ActiveDatabase=Standby,Secondary!K273,Primary!K273)</f>
        <v>0</v>
      </c>
      <c r="L273" s="13">
        <f>IF(ActiveDatabase=Standby,Secondary!L273,Primary!L273)</f>
        <v>0</v>
      </c>
      <c r="M273" s="7" t="b">
        <f>IF(ActiveDatabase=Standby,Secondary!M273,Primary!M273)</f>
        <v>0</v>
      </c>
      <c r="N273" s="10">
        <f>IF(ActiveDatabase=Standby,Secondary!N273,Primary!N273)</f>
        <v>0</v>
      </c>
      <c r="O273" s="10">
        <f>IF(ActiveDatabase=Standby,Secondary!O273,Primary!O273)</f>
        <v>0</v>
      </c>
      <c r="P273" s="10">
        <f>IF(ActiveDatabase=Standby,Secondary!P273,Primary!P273)</f>
        <v>0</v>
      </c>
      <c r="Q273" s="6">
        <f>IF(ActiveDatabase=Standby,Secondary!Q273,Primary!Q273)</f>
        <v>0</v>
      </c>
      <c r="R273" s="18">
        <f>IF(ActiveDatabase=Standby,Secondary!R273,Primary!R273)</f>
        <v>0</v>
      </c>
      <c r="S273" s="19">
        <f>IF(ActiveDatabase=Standby,Secondary!S273,Primary!S273)</f>
        <v>0</v>
      </c>
      <c r="T273" s="10">
        <f>IF(ActiveDatabase=Standby,Secondary!T273,Primary!T273)</f>
        <v>0</v>
      </c>
      <c r="U273" s="10">
        <f>IF(ActiveDatabase=Standby,Secondary!U273,Primary!U273)</f>
        <v>0</v>
      </c>
      <c r="V273" s="10">
        <f>IF(ActiveDatabase=Standby,Secondary!V273,Primary!V273)</f>
        <v>0</v>
      </c>
      <c r="W273" s="6">
        <f>IF(ActiveDatabase=Standby,Secondary!W273,Primary!W273)</f>
        <v>0</v>
      </c>
      <c r="X273" s="6">
        <f>IF(ActiveDatabase=Standby,Secondary!X273,Primary!X273)</f>
        <v>0</v>
      </c>
      <c r="Y273" s="12">
        <f>IF(ActiveDatabase=Standby,Secondary!Y273,Primary!Y273)</f>
        <v>0</v>
      </c>
      <c r="Z273" s="12">
        <f>IF(ActiveDatabase=Standby,Secondary!Z273,Primary!Z273)</f>
        <v>0</v>
      </c>
      <c r="AA273" s="7">
        <f>IF(ActiveDatabase=Standby,Secondary!AA273,Primary!AA273)</f>
        <v>0</v>
      </c>
      <c r="AB273" s="12"/>
      <c r="AC273" s="6"/>
      <c r="AD273" s="6"/>
      <c r="AE273" s="7"/>
      <c r="AF273" s="7"/>
      <c r="AG273" s="7"/>
      <c r="AH273" s="7"/>
      <c r="AI273" s="7"/>
      <c r="AJ273" s="7"/>
      <c r="AK273" s="7"/>
      <c r="AL273" s="7"/>
      <c r="AM273" s="7"/>
      <c r="AN273" s="7"/>
      <c r="AO273" s="6"/>
      <c r="AP273" s="7"/>
      <c r="AQ273" s="7"/>
      <c r="AR273" s="6"/>
      <c r="AS273" s="7"/>
      <c r="AT273" s="7"/>
      <c r="AU273" s="7"/>
      <c r="AV273" s="7"/>
      <c r="AW273" s="7"/>
      <c r="AX273" s="7"/>
      <c r="AY273" s="7"/>
      <c r="AZ273" s="7"/>
      <c r="BA273" s="7"/>
      <c r="BB273" s="7"/>
      <c r="BC273" s="7"/>
      <c r="BD273" s="7"/>
      <c r="BE273" s="7"/>
      <c r="BF273" s="7"/>
      <c r="BG273" s="7"/>
    </row>
    <row r="274" customHeight="1" spans="1:59">
      <c r="A274" s="9" t="str">
        <f>IF(ActiveDatabase=Standby,Secondary!A274,Primary!A274)</f>
        <v>Daymar 32</v>
      </c>
      <c r="B274" s="5" t="str">
        <f>IF(ActiveDatabase=Standby,Secondary!B274,Primary!B274)</f>
        <v>Daymar 43</v>
      </c>
      <c r="C274" s="5" t="str">
        <f>IF(ActiveDatabase=Standby,Secondary!C274,Primary!C274)</f>
        <v>Daymar 49</v>
      </c>
      <c r="D274" s="5" t="str">
        <f>IF(ActiveDatabase=Standby,Secondary!D274,Primary!D274)</f>
        <v>Rock Cave 22H</v>
      </c>
      <c r="E274" s="6" t="str">
        <f>IF(ActiveDatabase=Standby,Secondary!E274,Primary!E274)</f>
        <v>RCave 22H</v>
      </c>
      <c r="F274" s="10">
        <f>IF(ActiveDatabase=Standby,Secondary!F274,Primary!F274)</f>
        <v>146.356092536804</v>
      </c>
      <c r="G274" s="10">
        <f>IF(ActiveDatabase=Standby,Secondary!G274,Primary!G274)</f>
        <v>-177.105889156909</v>
      </c>
      <c r="H274" s="10">
        <f>IF(ActiveDatabase=Standby,Secondary!H274,Primary!H274)</f>
        <v>-185.069701590894</v>
      </c>
      <c r="I274" s="13">
        <f>IF(ActiveDatabase=Standby,Secondary!I274,Primary!I274)</f>
        <v>0</v>
      </c>
      <c r="J274" s="13">
        <f>IF(ActiveDatabase=Standby,Secondary!J274,Primary!J274)</f>
        <v>0</v>
      </c>
      <c r="K274" s="13">
        <f>IF(ActiveDatabase=Standby,Secondary!K274,Primary!K274)</f>
        <v>0</v>
      </c>
      <c r="L274" s="13">
        <f>IF(ActiveDatabase=Standby,Secondary!L274,Primary!L274)</f>
        <v>0</v>
      </c>
      <c r="M274" s="7" t="b">
        <f>IF(ActiveDatabase=Standby,Secondary!M274,Primary!M274)</f>
        <v>0</v>
      </c>
      <c r="N274" s="10">
        <f>IF(ActiveDatabase=Standby,Secondary!N274,Primary!N274)</f>
        <v>0</v>
      </c>
      <c r="O274" s="10">
        <f>IF(ActiveDatabase=Standby,Secondary!O274,Primary!O274)</f>
        <v>0</v>
      </c>
      <c r="P274" s="10">
        <f>IF(ActiveDatabase=Standby,Secondary!P274,Primary!P274)</f>
        <v>0</v>
      </c>
      <c r="Q274" s="6">
        <f>IF(ActiveDatabase=Standby,Secondary!Q274,Primary!Q274)</f>
        <v>0</v>
      </c>
      <c r="R274" s="18">
        <f>IF(ActiveDatabase=Standby,Secondary!R274,Primary!R274)</f>
        <v>0</v>
      </c>
      <c r="S274" s="19">
        <f>IF(ActiveDatabase=Standby,Secondary!S274,Primary!S274)</f>
        <v>0</v>
      </c>
      <c r="T274" s="10">
        <f>IF(ActiveDatabase=Standby,Secondary!T274,Primary!T274)</f>
        <v>0</v>
      </c>
      <c r="U274" s="10">
        <f>IF(ActiveDatabase=Standby,Secondary!U274,Primary!U274)</f>
        <v>0</v>
      </c>
      <c r="V274" s="10">
        <f>IF(ActiveDatabase=Standby,Secondary!V274,Primary!V274)</f>
        <v>0</v>
      </c>
      <c r="W274" s="6">
        <f>IF(ActiveDatabase=Standby,Secondary!W274,Primary!W274)</f>
        <v>0</v>
      </c>
      <c r="X274" s="6">
        <f>IF(ActiveDatabase=Standby,Secondary!X274,Primary!X274)</f>
        <v>0</v>
      </c>
      <c r="Y274" s="12">
        <f>IF(ActiveDatabase=Standby,Secondary!Y274,Primary!Y274)</f>
        <v>0</v>
      </c>
      <c r="Z274" s="12">
        <f>IF(ActiveDatabase=Standby,Secondary!Z274,Primary!Z274)</f>
        <v>0</v>
      </c>
      <c r="AA274" s="7">
        <f>IF(ActiveDatabase=Standby,Secondary!AA274,Primary!AA274)</f>
        <v>0</v>
      </c>
      <c r="AB274" s="12"/>
      <c r="AC274" s="6"/>
      <c r="AD274" s="6"/>
      <c r="AE274" s="7"/>
      <c r="AF274" s="7"/>
      <c r="AG274" s="7"/>
      <c r="AH274" s="7"/>
      <c r="AI274" s="7"/>
      <c r="AJ274" s="7"/>
      <c r="AK274" s="7"/>
      <c r="AL274" s="7"/>
      <c r="AM274" s="7"/>
      <c r="AN274" s="7"/>
      <c r="AO274" s="6"/>
      <c r="AP274" s="7"/>
      <c r="AQ274" s="7"/>
      <c r="AR274" s="6"/>
      <c r="AS274" s="7"/>
      <c r="AT274" s="7"/>
      <c r="AU274" s="7"/>
      <c r="AV274" s="7"/>
      <c r="AW274" s="7"/>
      <c r="AX274" s="7"/>
      <c r="AY274" s="7"/>
      <c r="AZ274" s="7"/>
      <c r="BA274" s="7"/>
      <c r="BB274" s="7"/>
      <c r="BC274" s="7"/>
      <c r="BD274" s="7"/>
      <c r="BE274" s="7"/>
      <c r="BF274" s="7"/>
      <c r="BG274" s="7"/>
    </row>
    <row r="275" customHeight="1" spans="1:59">
      <c r="A275" s="9" t="str">
        <f>IF(ActiveDatabase=Standby,Secondary!A275,Primary!A275)</f>
        <v>Daymar 48</v>
      </c>
      <c r="B275" s="5" t="str">
        <f>IF(ActiveDatabase=Standby,Secondary!B275,Primary!B275)</f>
        <v>Daymar 59</v>
      </c>
      <c r="C275" s="5" t="str">
        <f>IF(ActiveDatabase=Standby,Secondary!C275,Primary!C275)</f>
        <v>Daymar 42</v>
      </c>
      <c r="D275" s="5" t="str">
        <f>IF(ActiveDatabase=Standby,Secondary!D275,Primary!D275)</f>
        <v>Sand Cave 26W-306</v>
      </c>
      <c r="E275" s="6" t="str">
        <f>IF(ActiveDatabase=Standby,Secondary!E275,Primary!E275)</f>
        <v>SCave 26W306</v>
      </c>
      <c r="F275" s="10">
        <f>IF(ActiveDatabase=Standby,Secondary!F275,Primary!F275)</f>
        <v>94.703698105</v>
      </c>
      <c r="G275" s="10">
        <f>IF(ActiveDatabase=Standby,Secondary!G275,Primary!G275)</f>
        <v>-48.9156427899999</v>
      </c>
      <c r="H275" s="10">
        <f>IF(ActiveDatabase=Standby,Secondary!H275,Primary!H275)</f>
        <v>275.455950373</v>
      </c>
      <c r="I275" s="13">
        <f>IF(ActiveDatabase=Standby,Secondary!I275,Primary!I275)</f>
        <v>0</v>
      </c>
      <c r="J275" s="13">
        <f>IF(ActiveDatabase=Standby,Secondary!J275,Primary!J275)</f>
        <v>0</v>
      </c>
      <c r="K275" s="13">
        <f>IF(ActiveDatabase=Standby,Secondary!K275,Primary!K275)</f>
        <v>0</v>
      </c>
      <c r="L275" s="13">
        <f>IF(ActiveDatabase=Standby,Secondary!L275,Primary!L275)</f>
        <v>0</v>
      </c>
      <c r="M275" s="7" t="b">
        <f>IF(ActiveDatabase=Standby,Secondary!M275,Primary!M275)</f>
        <v>0</v>
      </c>
      <c r="N275" s="10">
        <f>IF(ActiveDatabase=Standby,Secondary!N275,Primary!N275)</f>
        <v>0</v>
      </c>
      <c r="O275" s="10">
        <f>IF(ActiveDatabase=Standby,Secondary!O275,Primary!O275)</f>
        <v>0</v>
      </c>
      <c r="P275" s="10">
        <f>IF(ActiveDatabase=Standby,Secondary!P275,Primary!P275)</f>
        <v>0</v>
      </c>
      <c r="Q275" s="6">
        <f>IF(ActiveDatabase=Standby,Secondary!Q275,Primary!Q275)</f>
        <v>0</v>
      </c>
      <c r="R275" s="18">
        <f>IF(ActiveDatabase=Standby,Secondary!R275,Primary!R275)</f>
        <v>0</v>
      </c>
      <c r="S275" s="19">
        <f>IF(ActiveDatabase=Standby,Secondary!S275,Primary!S275)</f>
        <v>0</v>
      </c>
      <c r="T275" s="10">
        <f>IF(ActiveDatabase=Standby,Secondary!T275,Primary!T275)</f>
        <v>0</v>
      </c>
      <c r="U275" s="10">
        <f>IF(ActiveDatabase=Standby,Secondary!U275,Primary!U275)</f>
        <v>0</v>
      </c>
      <c r="V275" s="10">
        <f>IF(ActiveDatabase=Standby,Secondary!V275,Primary!V275)</f>
        <v>0</v>
      </c>
      <c r="W275" s="6">
        <f>IF(ActiveDatabase=Standby,Secondary!W275,Primary!W275)</f>
        <v>0</v>
      </c>
      <c r="X275" s="6">
        <f>IF(ActiveDatabase=Standby,Secondary!X275,Primary!X275)</f>
        <v>0</v>
      </c>
      <c r="Y275" s="12">
        <f>IF(ActiveDatabase=Standby,Secondary!Y275,Primary!Y275)</f>
        <v>0</v>
      </c>
      <c r="Z275" s="12">
        <f>IF(ActiveDatabase=Standby,Secondary!Z275,Primary!Z275)</f>
        <v>0</v>
      </c>
      <c r="AA275" s="7">
        <f>IF(ActiveDatabase=Standby,Secondary!AA275,Primary!AA275)</f>
        <v>0</v>
      </c>
      <c r="AB275" s="12"/>
      <c r="AC275" s="6"/>
      <c r="AD275" s="6"/>
      <c r="AE275" s="7"/>
      <c r="AF275" s="7"/>
      <c r="AG275" s="7"/>
      <c r="AH275" s="7"/>
      <c r="AI275" s="7"/>
      <c r="AJ275" s="7"/>
      <c r="AK275" s="7"/>
      <c r="AL275" s="7"/>
      <c r="AM275" s="7"/>
      <c r="AN275" s="7"/>
      <c r="AO275" s="6"/>
      <c r="AP275" s="7"/>
      <c r="AQ275" s="7"/>
      <c r="AR275" s="6"/>
      <c r="AS275" s="7"/>
      <c r="AT275" s="7"/>
      <c r="AU275" s="7"/>
      <c r="AV275" s="7"/>
      <c r="AW275" s="7"/>
      <c r="AX275" s="7"/>
      <c r="AY275" s="7"/>
      <c r="AZ275" s="7"/>
      <c r="BA275" s="7"/>
      <c r="BB275" s="7"/>
      <c r="BC275" s="7"/>
      <c r="BD275" s="7"/>
      <c r="BE275" s="7"/>
      <c r="BF275" s="7"/>
      <c r="BG275" s="7"/>
    </row>
    <row r="276" customHeight="1" spans="1:59">
      <c r="A276" s="9" t="str">
        <f>IF(ActiveDatabase=Standby,Secondary!A276,Primary!A276)</f>
        <v>Daymar 52</v>
      </c>
      <c r="B276" s="5" t="str">
        <f>IF(ActiveDatabase=Standby,Secondary!B276,Primary!B276)</f>
        <v>Daymar 63</v>
      </c>
      <c r="C276" s="5" t="str">
        <f>IF(ActiveDatabase=Standby,Secondary!C276,Primary!C276)</f>
        <v>Daymar 32</v>
      </c>
      <c r="D276" s="5" t="str">
        <f>IF(ActiveDatabase=Standby,Secondary!D276,Primary!D276)</f>
        <v>Sand Cave 37H</v>
      </c>
      <c r="E276" s="6" t="str">
        <f>IF(ActiveDatabase=Standby,Secondary!E276,Primary!E276)</f>
        <v>SCave 37H</v>
      </c>
      <c r="F276" s="10">
        <f>IF(ActiveDatabase=Standby,Secondary!F276,Primary!F276)</f>
        <v>193.895761441</v>
      </c>
      <c r="G276" s="10">
        <f>IF(ActiveDatabase=Standby,Secondary!G276,Primary!G276)</f>
        <v>150.95448894</v>
      </c>
      <c r="H276" s="10">
        <f>IF(ActiveDatabase=Standby,Secondary!H276,Primary!H276)</f>
        <v>-163.815470028</v>
      </c>
      <c r="I276" s="13">
        <f>IF(ActiveDatabase=Standby,Secondary!I276,Primary!I276)</f>
        <v>0</v>
      </c>
      <c r="J276" s="13">
        <f>IF(ActiveDatabase=Standby,Secondary!J276,Primary!J276)</f>
        <v>0</v>
      </c>
      <c r="K276" s="13">
        <f>IF(ActiveDatabase=Standby,Secondary!K276,Primary!K276)</f>
        <v>0</v>
      </c>
      <c r="L276" s="13">
        <f>IF(ActiveDatabase=Standby,Secondary!L276,Primary!L276)</f>
        <v>0</v>
      </c>
      <c r="M276" s="7" t="b">
        <f>IF(ActiveDatabase=Standby,Secondary!M276,Primary!M276)</f>
        <v>0</v>
      </c>
      <c r="N276" s="10">
        <f>IF(ActiveDatabase=Standby,Secondary!N276,Primary!N276)</f>
        <v>0</v>
      </c>
      <c r="O276" s="10">
        <f>IF(ActiveDatabase=Standby,Secondary!O276,Primary!O276)</f>
        <v>0</v>
      </c>
      <c r="P276" s="10">
        <f>IF(ActiveDatabase=Standby,Secondary!P276,Primary!P276)</f>
        <v>0</v>
      </c>
      <c r="Q276" s="6">
        <f>IF(ActiveDatabase=Standby,Secondary!Q276,Primary!Q276)</f>
        <v>0</v>
      </c>
      <c r="R276" s="18">
        <f>IF(ActiveDatabase=Standby,Secondary!R276,Primary!R276)</f>
        <v>0</v>
      </c>
      <c r="S276" s="19">
        <f>IF(ActiveDatabase=Standby,Secondary!S276,Primary!S276)</f>
        <v>0</v>
      </c>
      <c r="T276" s="10">
        <f>IF(ActiveDatabase=Standby,Secondary!T276,Primary!T276)</f>
        <v>0</v>
      </c>
      <c r="U276" s="10">
        <f>IF(ActiveDatabase=Standby,Secondary!U276,Primary!U276)</f>
        <v>0</v>
      </c>
      <c r="V276" s="10">
        <f>IF(ActiveDatabase=Standby,Secondary!V276,Primary!V276)</f>
        <v>0</v>
      </c>
      <c r="W276" s="6">
        <f>IF(ActiveDatabase=Standby,Secondary!W276,Primary!W276)</f>
        <v>0</v>
      </c>
      <c r="X276" s="6">
        <f>IF(ActiveDatabase=Standby,Secondary!X276,Primary!X276)</f>
        <v>0</v>
      </c>
      <c r="Y276" s="12">
        <f>IF(ActiveDatabase=Standby,Secondary!Y276,Primary!Y276)</f>
        <v>0</v>
      </c>
      <c r="Z276" s="12">
        <f>IF(ActiveDatabase=Standby,Secondary!Z276,Primary!Z276)</f>
        <v>0</v>
      </c>
      <c r="AA276" s="7">
        <f>IF(ActiveDatabase=Standby,Secondary!AA276,Primary!AA276)</f>
        <v>0</v>
      </c>
      <c r="AB276" s="12"/>
      <c r="AC276" s="6"/>
      <c r="AD276" s="6"/>
      <c r="AE276" s="7"/>
      <c r="AF276" s="7"/>
      <c r="AG276" s="7"/>
      <c r="AH276" s="7"/>
      <c r="AI276" s="7"/>
      <c r="AJ276" s="7"/>
      <c r="AK276" s="7"/>
      <c r="AL276" s="7"/>
      <c r="AM276" s="7"/>
      <c r="AN276" s="7"/>
      <c r="AO276" s="6"/>
      <c r="AP276" s="7"/>
      <c r="AQ276" s="7"/>
      <c r="AR276" s="6"/>
      <c r="AS276" s="7"/>
      <c r="AT276" s="7"/>
      <c r="AU276" s="7"/>
      <c r="AV276" s="7"/>
      <c r="AW276" s="7"/>
      <c r="AX276" s="7"/>
      <c r="AY276" s="7"/>
      <c r="AZ276" s="7"/>
      <c r="BA276" s="7"/>
      <c r="BB276" s="7"/>
      <c r="BC276" s="7"/>
      <c r="BD276" s="7"/>
      <c r="BE276" s="7"/>
      <c r="BF276" s="7"/>
      <c r="BG276" s="7"/>
    </row>
    <row r="277" customHeight="1" spans="1:59">
      <c r="A277" s="9" t="str">
        <f>IF(ActiveDatabase=Standby,Secondary!A277,Primary!A277)</f>
        <v>Daymar 39</v>
      </c>
      <c r="B277" s="5" t="str">
        <f>IF(ActiveDatabase=Standby,Secondary!B277,Primary!B277)</f>
        <v>Daymar 50</v>
      </c>
      <c r="C277" s="5" t="str">
        <f>IF(ActiveDatabase=Standby,Secondary!C277,Primary!C277)</f>
        <v>Daymar 66</v>
      </c>
      <c r="D277" s="5" t="str">
        <f>IF(ActiveDatabase=Standby,Secondary!D277,Primary!D277)</f>
        <v>Sand Cave 07U</v>
      </c>
      <c r="E277" s="6" t="str">
        <f>IF(ActiveDatabase=Standby,Secondary!E277,Primary!E277)</f>
        <v>SCave 07U</v>
      </c>
      <c r="F277" s="10">
        <f>IF(ActiveDatabase=Standby,Secondary!F277,Primary!F277)</f>
        <v>-135.061539033</v>
      </c>
      <c r="G277" s="10">
        <f>IF(ActiveDatabase=Standby,Secondary!G277,Primary!G277)</f>
        <v>-105.570169559999</v>
      </c>
      <c r="H277" s="10">
        <f>IF(ActiveDatabase=Standby,Secondary!H277,Primary!H277)</f>
        <v>240.678741274</v>
      </c>
      <c r="I277" s="13">
        <f>IF(ActiveDatabase=Standby,Secondary!I277,Primary!I277)</f>
        <v>0</v>
      </c>
      <c r="J277" s="13">
        <f>IF(ActiveDatabase=Standby,Secondary!J277,Primary!J277)</f>
        <v>0</v>
      </c>
      <c r="K277" s="13">
        <f>IF(ActiveDatabase=Standby,Secondary!K277,Primary!K277)</f>
        <v>0</v>
      </c>
      <c r="L277" s="13">
        <f>IF(ActiveDatabase=Standby,Secondary!L277,Primary!L277)</f>
        <v>0</v>
      </c>
      <c r="M277" s="7" t="b">
        <f>IF(ActiveDatabase=Standby,Secondary!M277,Primary!M277)</f>
        <v>0</v>
      </c>
      <c r="N277" s="10">
        <f>IF(ActiveDatabase=Standby,Secondary!N277,Primary!N277)</f>
        <v>0</v>
      </c>
      <c r="O277" s="10">
        <f>IF(ActiveDatabase=Standby,Secondary!O277,Primary!O277)</f>
        <v>0</v>
      </c>
      <c r="P277" s="10">
        <f>IF(ActiveDatabase=Standby,Secondary!P277,Primary!P277)</f>
        <v>0</v>
      </c>
      <c r="Q277" s="6">
        <f>IF(ActiveDatabase=Standby,Secondary!Q277,Primary!Q277)</f>
        <v>0</v>
      </c>
      <c r="R277" s="18">
        <f>IF(ActiveDatabase=Standby,Secondary!R277,Primary!R277)</f>
        <v>0</v>
      </c>
      <c r="S277" s="19">
        <f>IF(ActiveDatabase=Standby,Secondary!S277,Primary!S277)</f>
        <v>0</v>
      </c>
      <c r="T277" s="10">
        <f>IF(ActiveDatabase=Standby,Secondary!T277,Primary!T277)</f>
        <v>0</v>
      </c>
      <c r="U277" s="10">
        <f>IF(ActiveDatabase=Standby,Secondary!U277,Primary!U277)</f>
        <v>0</v>
      </c>
      <c r="V277" s="10">
        <f>IF(ActiveDatabase=Standby,Secondary!V277,Primary!V277)</f>
        <v>0</v>
      </c>
      <c r="W277" s="6">
        <f>IF(ActiveDatabase=Standby,Secondary!W277,Primary!W277)</f>
        <v>0</v>
      </c>
      <c r="X277" s="6">
        <f>IF(ActiveDatabase=Standby,Secondary!X277,Primary!X277)</f>
        <v>0</v>
      </c>
      <c r="Y277" s="12">
        <f>IF(ActiveDatabase=Standby,Secondary!Y277,Primary!Y277)</f>
        <v>0</v>
      </c>
      <c r="Z277" s="12">
        <f>IF(ActiveDatabase=Standby,Secondary!Z277,Primary!Z277)</f>
        <v>0</v>
      </c>
      <c r="AA277" s="7">
        <f>IF(ActiveDatabase=Standby,Secondary!AA277,Primary!AA277)</f>
        <v>0</v>
      </c>
      <c r="AB277" s="12"/>
      <c r="AC277" s="6"/>
      <c r="AD277" s="6"/>
      <c r="AE277" s="7"/>
      <c r="AF277" s="7"/>
      <c r="AG277" s="7"/>
      <c r="AH277" s="7"/>
      <c r="AI277" s="7"/>
      <c r="AJ277" s="7"/>
      <c r="AK277" s="7"/>
      <c r="AL277" s="7"/>
      <c r="AM277" s="7"/>
      <c r="AN277" s="7"/>
      <c r="AO277" s="6"/>
      <c r="AP277" s="7"/>
      <c r="AQ277" s="7"/>
      <c r="AR277" s="6"/>
      <c r="AS277" s="7"/>
      <c r="AT277" s="7"/>
      <c r="AU277" s="7"/>
      <c r="AV277" s="7"/>
      <c r="AW277" s="7"/>
      <c r="AX277" s="7"/>
      <c r="AY277" s="7"/>
      <c r="AZ277" s="7"/>
      <c r="BA277" s="7"/>
      <c r="BB277" s="7"/>
      <c r="BC277" s="7"/>
      <c r="BD277" s="7"/>
      <c r="BE277" s="7"/>
      <c r="BF277" s="7"/>
      <c r="BG277" s="7"/>
    </row>
    <row r="278" customHeight="1" spans="1:59">
      <c r="A278" s="9" t="str">
        <f>IF(ActiveDatabase=Standby,Secondary!A278,Primary!A278)</f>
        <v>Daymar 47</v>
      </c>
      <c r="B278" s="5" t="str">
        <f>IF(ActiveDatabase=Standby,Secondary!B278,Primary!B278)</f>
        <v>Daymar 58</v>
      </c>
      <c r="C278" s="5" t="str">
        <f>IF(ActiveDatabase=Standby,Secondary!C278,Primary!C278)</f>
        <v>Daymar 43</v>
      </c>
      <c r="D278" s="5" t="str">
        <f>IF(ActiveDatabase=Standby,Secondary!D278,Primary!D278)</f>
        <v>Sand Cave 26W-305</v>
      </c>
      <c r="E278" s="6" t="str">
        <f>IF(ActiveDatabase=Standby,Secondary!E278,Primary!E278)</f>
        <v>SCave 26W305</v>
      </c>
      <c r="F278" s="10">
        <f>IF(ActiveDatabase=Standby,Secondary!F278,Primary!F278)</f>
        <v>104.782787075999</v>
      </c>
      <c r="G278" s="10">
        <f>IF(ActiveDatabase=Standby,Secondary!G278,Primary!G278)</f>
        <v>-54.620319293</v>
      </c>
      <c r="H278" s="10">
        <f>IF(ActiveDatabase=Standby,Secondary!H278,Primary!H278)</f>
        <v>270.343699932</v>
      </c>
      <c r="I278" s="13">
        <f>IF(ActiveDatabase=Standby,Secondary!I278,Primary!I278)</f>
        <v>0</v>
      </c>
      <c r="J278" s="13">
        <f>IF(ActiveDatabase=Standby,Secondary!J278,Primary!J278)</f>
        <v>0</v>
      </c>
      <c r="K278" s="13">
        <f>IF(ActiveDatabase=Standby,Secondary!K278,Primary!K278)</f>
        <v>0</v>
      </c>
      <c r="L278" s="13">
        <f>IF(ActiveDatabase=Standby,Secondary!L278,Primary!L278)</f>
        <v>0</v>
      </c>
      <c r="M278" s="7" t="b">
        <f>IF(ActiveDatabase=Standby,Secondary!M278,Primary!M278)</f>
        <v>0</v>
      </c>
      <c r="N278" s="10">
        <f>IF(ActiveDatabase=Standby,Secondary!N278,Primary!N278)</f>
        <v>0</v>
      </c>
      <c r="O278" s="10">
        <f>IF(ActiveDatabase=Standby,Secondary!O278,Primary!O278)</f>
        <v>0</v>
      </c>
      <c r="P278" s="10">
        <f>IF(ActiveDatabase=Standby,Secondary!P278,Primary!P278)</f>
        <v>0</v>
      </c>
      <c r="Q278" s="6">
        <f>IF(ActiveDatabase=Standby,Secondary!Q278,Primary!Q278)</f>
        <v>0</v>
      </c>
      <c r="R278" s="18">
        <f>IF(ActiveDatabase=Standby,Secondary!R278,Primary!R278)</f>
        <v>0</v>
      </c>
      <c r="S278" s="19">
        <f>IF(ActiveDatabase=Standby,Secondary!S278,Primary!S278)</f>
        <v>0</v>
      </c>
      <c r="T278" s="10">
        <f>IF(ActiveDatabase=Standby,Secondary!T278,Primary!T278)</f>
        <v>0</v>
      </c>
      <c r="U278" s="10">
        <f>IF(ActiveDatabase=Standby,Secondary!U278,Primary!U278)</f>
        <v>0</v>
      </c>
      <c r="V278" s="10">
        <f>IF(ActiveDatabase=Standby,Secondary!V278,Primary!V278)</f>
        <v>0</v>
      </c>
      <c r="W278" s="6">
        <f>IF(ActiveDatabase=Standby,Secondary!W278,Primary!W278)</f>
        <v>0</v>
      </c>
      <c r="X278" s="6">
        <f>IF(ActiveDatabase=Standby,Secondary!X278,Primary!X278)</f>
        <v>0</v>
      </c>
      <c r="Y278" s="12">
        <f>IF(ActiveDatabase=Standby,Secondary!Y278,Primary!Y278)</f>
        <v>0</v>
      </c>
      <c r="Z278" s="12">
        <f>IF(ActiveDatabase=Standby,Secondary!Z278,Primary!Z278)</f>
        <v>0</v>
      </c>
      <c r="AA278" s="7">
        <f>IF(ActiveDatabase=Standby,Secondary!AA278,Primary!AA278)</f>
        <v>0</v>
      </c>
      <c r="AB278" s="12"/>
      <c r="AC278" s="6"/>
      <c r="AD278" s="6"/>
      <c r="AE278" s="7"/>
      <c r="AF278" s="7"/>
      <c r="AG278" s="7"/>
      <c r="AH278" s="7"/>
      <c r="AI278" s="7"/>
      <c r="AJ278" s="7"/>
      <c r="AK278" s="7"/>
      <c r="AL278" s="7"/>
      <c r="AM278" s="7"/>
      <c r="AN278" s="7"/>
      <c r="AO278" s="6"/>
      <c r="AP278" s="7"/>
      <c r="AQ278" s="7"/>
      <c r="AR278" s="6"/>
      <c r="AS278" s="7"/>
      <c r="AT278" s="7"/>
      <c r="AU278" s="7"/>
      <c r="AV278" s="7"/>
      <c r="AW278" s="7"/>
      <c r="AX278" s="7"/>
      <c r="AY278" s="7"/>
      <c r="AZ278" s="7"/>
      <c r="BA278" s="7"/>
      <c r="BB278" s="7"/>
      <c r="BC278" s="7"/>
      <c r="BD278" s="7"/>
      <c r="BE278" s="7"/>
      <c r="BF278" s="7"/>
      <c r="BG278" s="7"/>
    </row>
    <row r="279" customHeight="1" spans="1:59">
      <c r="A279" s="9" t="str">
        <f>IF(ActiveDatabase=Standby,Secondary!A279,Primary!A279)</f>
        <v>Daymar 60</v>
      </c>
      <c r="B279" s="5" t="str">
        <f>IF(ActiveDatabase=Standby,Secondary!B279,Primary!B279)</f>
        <v>Daymar 71</v>
      </c>
      <c r="C279" s="5" t="str">
        <f>IF(ActiveDatabase=Standby,Secondary!C279,Primary!C279)</f>
        <v>Daymar 10</v>
      </c>
      <c r="D279" s="5" t="str">
        <f>IF(ActiveDatabase=Standby,Secondary!D279,Primary!D279)</f>
        <v>Sand Cave 51H</v>
      </c>
      <c r="E279" s="6" t="str">
        <f>IF(ActiveDatabase=Standby,Secondary!E279,Primary!E279)</f>
        <v>SCave 51H</v>
      </c>
      <c r="F279" s="10">
        <f>IF(ActiveDatabase=Standby,Secondary!F279,Primary!F279)</f>
        <v>-120.896937773</v>
      </c>
      <c r="G279" s="10">
        <f>IF(ActiveDatabase=Standby,Secondary!G279,Primary!G279)</f>
        <v>206.520738225999</v>
      </c>
      <c r="H279" s="10">
        <f>IF(ActiveDatabase=Standby,Secondary!H279,Primary!H279)</f>
        <v>-172.837167745</v>
      </c>
      <c r="I279" s="13">
        <f>IF(ActiveDatabase=Standby,Secondary!I279,Primary!I279)</f>
        <v>0</v>
      </c>
      <c r="J279" s="13">
        <f>IF(ActiveDatabase=Standby,Secondary!J279,Primary!J279)</f>
        <v>0</v>
      </c>
      <c r="K279" s="13">
        <f>IF(ActiveDatabase=Standby,Secondary!K279,Primary!K279)</f>
        <v>0</v>
      </c>
      <c r="L279" s="13">
        <f>IF(ActiveDatabase=Standby,Secondary!L279,Primary!L279)</f>
        <v>0</v>
      </c>
      <c r="M279" s="7" t="b">
        <f>IF(ActiveDatabase=Standby,Secondary!M279,Primary!M279)</f>
        <v>0</v>
      </c>
      <c r="N279" s="10">
        <f>IF(ActiveDatabase=Standby,Secondary!N279,Primary!N279)</f>
        <v>0</v>
      </c>
      <c r="O279" s="10">
        <f>IF(ActiveDatabase=Standby,Secondary!O279,Primary!O279)</f>
        <v>0</v>
      </c>
      <c r="P279" s="10">
        <f>IF(ActiveDatabase=Standby,Secondary!P279,Primary!P279)</f>
        <v>0</v>
      </c>
      <c r="Q279" s="6">
        <f>IF(ActiveDatabase=Standby,Secondary!Q279,Primary!Q279)</f>
        <v>0</v>
      </c>
      <c r="R279" s="18">
        <f>IF(ActiveDatabase=Standby,Secondary!R279,Primary!R279)</f>
        <v>0</v>
      </c>
      <c r="S279" s="19">
        <f>IF(ActiveDatabase=Standby,Secondary!S279,Primary!S279)</f>
        <v>0</v>
      </c>
      <c r="T279" s="10">
        <f>IF(ActiveDatabase=Standby,Secondary!T279,Primary!T279)</f>
        <v>0</v>
      </c>
      <c r="U279" s="10">
        <f>IF(ActiveDatabase=Standby,Secondary!U279,Primary!U279)</f>
        <v>0</v>
      </c>
      <c r="V279" s="10">
        <f>IF(ActiveDatabase=Standby,Secondary!V279,Primary!V279)</f>
        <v>0</v>
      </c>
      <c r="W279" s="6">
        <f>IF(ActiveDatabase=Standby,Secondary!W279,Primary!W279)</f>
        <v>0</v>
      </c>
      <c r="X279" s="6">
        <f>IF(ActiveDatabase=Standby,Secondary!X279,Primary!X279)</f>
        <v>0</v>
      </c>
      <c r="Y279" s="12">
        <f>IF(ActiveDatabase=Standby,Secondary!Y279,Primary!Y279)</f>
        <v>0</v>
      </c>
      <c r="Z279" s="12">
        <f>IF(ActiveDatabase=Standby,Secondary!Z279,Primary!Z279)</f>
        <v>0</v>
      </c>
      <c r="AA279" s="7">
        <f>IF(ActiveDatabase=Standby,Secondary!AA279,Primary!AA279)</f>
        <v>0</v>
      </c>
      <c r="AB279" s="12"/>
      <c r="AC279" s="6"/>
      <c r="AD279" s="6"/>
      <c r="AE279" s="7"/>
      <c r="AF279" s="7"/>
      <c r="AG279" s="7"/>
      <c r="AH279" s="7"/>
      <c r="AI279" s="7"/>
      <c r="AJ279" s="7"/>
      <c r="AK279" s="7"/>
      <c r="AL279" s="7"/>
      <c r="AM279" s="7"/>
      <c r="AN279" s="7"/>
      <c r="AO279" s="6"/>
      <c r="AP279" s="7"/>
      <c r="AQ279" s="7"/>
      <c r="AR279" s="6"/>
      <c r="AS279" s="7"/>
      <c r="AT279" s="7"/>
      <c r="AU279" s="7"/>
      <c r="AV279" s="7"/>
      <c r="AW279" s="7"/>
      <c r="AX279" s="7"/>
      <c r="AY279" s="7"/>
      <c r="AZ279" s="7"/>
      <c r="BA279" s="7"/>
      <c r="BB279" s="7"/>
      <c r="BC279" s="7"/>
      <c r="BD279" s="7"/>
      <c r="BE279" s="7"/>
      <c r="BF279" s="7"/>
      <c r="BG279" s="7"/>
    </row>
    <row r="280" customHeight="1" spans="1:59">
      <c r="A280" s="9" t="str">
        <f>IF(ActiveDatabase=Standby,Secondary!A280,Primary!A280)</f>
        <v>Daymar 49</v>
      </c>
      <c r="B280" s="5" t="str">
        <f>IF(ActiveDatabase=Standby,Secondary!B280,Primary!B280)</f>
        <v>Daymar 60</v>
      </c>
      <c r="C280" s="5" t="str">
        <f>IF(ActiveDatabase=Standby,Secondary!C280,Primary!C280)</f>
        <v>Daymar 40</v>
      </c>
      <c r="D280" s="5" t="str">
        <f>IF(ActiveDatabase=Standby,Secondary!D280,Primary!D280)</f>
        <v>Sand Cave 29K</v>
      </c>
      <c r="E280" s="6" t="str">
        <f>IF(ActiveDatabase=Standby,Secondary!E280,Primary!E280)</f>
        <v>SCave 29K</v>
      </c>
      <c r="F280" s="10">
        <f>IF(ActiveDatabase=Standby,Secondary!F280,Primary!F280)</f>
        <v>269.995081695</v>
      </c>
      <c r="G280" s="10">
        <f>IF(ActiveDatabase=Standby,Secondary!G280,Primary!G280)</f>
        <v>-37.160661351</v>
      </c>
      <c r="H280" s="10">
        <f>IF(ActiveDatabase=Standby,Secondary!H280,Primary!H280)</f>
        <v>-114.388437142</v>
      </c>
      <c r="I280" s="13">
        <f>IF(ActiveDatabase=Standby,Secondary!I280,Primary!I280)</f>
        <v>0</v>
      </c>
      <c r="J280" s="13">
        <f>IF(ActiveDatabase=Standby,Secondary!J280,Primary!J280)</f>
        <v>0</v>
      </c>
      <c r="K280" s="13">
        <f>IF(ActiveDatabase=Standby,Secondary!K280,Primary!K280)</f>
        <v>0</v>
      </c>
      <c r="L280" s="13">
        <f>IF(ActiveDatabase=Standby,Secondary!L280,Primary!L280)</f>
        <v>0</v>
      </c>
      <c r="M280" s="7" t="b">
        <f>IF(ActiveDatabase=Standby,Secondary!M280,Primary!M280)</f>
        <v>0</v>
      </c>
      <c r="N280" s="10">
        <f>IF(ActiveDatabase=Standby,Secondary!N280,Primary!N280)</f>
        <v>0</v>
      </c>
      <c r="O280" s="10">
        <f>IF(ActiveDatabase=Standby,Secondary!O280,Primary!O280)</f>
        <v>0</v>
      </c>
      <c r="P280" s="10">
        <f>IF(ActiveDatabase=Standby,Secondary!P280,Primary!P280)</f>
        <v>0</v>
      </c>
      <c r="Q280" s="6">
        <f>IF(ActiveDatabase=Standby,Secondary!Q280,Primary!Q280)</f>
        <v>0</v>
      </c>
      <c r="R280" s="18">
        <f>IF(ActiveDatabase=Standby,Secondary!R280,Primary!R280)</f>
        <v>0</v>
      </c>
      <c r="S280" s="19">
        <f>IF(ActiveDatabase=Standby,Secondary!S280,Primary!S280)</f>
        <v>0</v>
      </c>
      <c r="T280" s="10">
        <f>IF(ActiveDatabase=Standby,Secondary!T280,Primary!T280)</f>
        <v>0</v>
      </c>
      <c r="U280" s="10">
        <f>IF(ActiveDatabase=Standby,Secondary!U280,Primary!U280)</f>
        <v>0</v>
      </c>
      <c r="V280" s="10">
        <f>IF(ActiveDatabase=Standby,Secondary!V280,Primary!V280)</f>
        <v>0</v>
      </c>
      <c r="W280" s="6">
        <f>IF(ActiveDatabase=Standby,Secondary!W280,Primary!W280)</f>
        <v>0</v>
      </c>
      <c r="X280" s="6">
        <f>IF(ActiveDatabase=Standby,Secondary!X280,Primary!X280)</f>
        <v>0</v>
      </c>
      <c r="Y280" s="12">
        <f>IF(ActiveDatabase=Standby,Secondary!Y280,Primary!Y280)</f>
        <v>0</v>
      </c>
      <c r="Z280" s="12">
        <f>IF(ActiveDatabase=Standby,Secondary!Z280,Primary!Z280)</f>
        <v>0</v>
      </c>
      <c r="AA280" s="7">
        <f>IF(ActiveDatabase=Standby,Secondary!AA280,Primary!AA280)</f>
        <v>0</v>
      </c>
      <c r="AB280" s="12"/>
      <c r="AC280" s="6"/>
      <c r="AD280" s="6"/>
      <c r="AE280" s="7"/>
      <c r="AF280" s="7"/>
      <c r="AG280" s="7"/>
      <c r="AH280" s="7"/>
      <c r="AI280" s="7"/>
      <c r="AJ280" s="7"/>
      <c r="AK280" s="7"/>
      <c r="AL280" s="7"/>
      <c r="AM280" s="7"/>
      <c r="AN280" s="7"/>
      <c r="AO280" s="6"/>
      <c r="AP280" s="7"/>
      <c r="AQ280" s="7"/>
      <c r="AR280" s="6"/>
      <c r="AS280" s="7"/>
      <c r="AT280" s="7"/>
      <c r="AU280" s="7"/>
      <c r="AV280" s="7"/>
      <c r="AW280" s="7"/>
      <c r="AX280" s="7"/>
      <c r="AY280" s="7"/>
      <c r="AZ280" s="7"/>
      <c r="BA280" s="7"/>
      <c r="BB280" s="7"/>
      <c r="BC280" s="7"/>
      <c r="BD280" s="7"/>
      <c r="BE280" s="7"/>
      <c r="BF280" s="7"/>
      <c r="BG280" s="7"/>
    </row>
    <row r="281" customHeight="1" spans="1:59">
      <c r="A281" s="9" t="str">
        <f>IF(ActiveDatabase=Standby,Secondary!A281,Primary!A281)</f>
        <v>Daymar 46</v>
      </c>
      <c r="B281" s="5" t="str">
        <f>IF(ActiveDatabase=Standby,Secondary!B281,Primary!B281)</f>
        <v>Daymar 57</v>
      </c>
      <c r="C281" s="5" t="str">
        <f>IF(ActiveDatabase=Standby,Secondary!C281,Primary!C281)</f>
        <v>Daymar 41</v>
      </c>
      <c r="D281" s="5" t="str">
        <f>IF(ActiveDatabase=Standby,Secondary!D281,Primary!D281)</f>
        <v>Sand Cave 26K</v>
      </c>
      <c r="E281" s="6" t="str">
        <f>IF(ActiveDatabase=Standby,Secondary!E281,Primary!E281)</f>
        <v>SCave 26K</v>
      </c>
      <c r="F281" s="10">
        <f>IF(ActiveDatabase=Standby,Secondary!F281,Primary!F281)</f>
        <v>254.473932353</v>
      </c>
      <c r="G281" s="10">
        <f>IF(ActiveDatabase=Standby,Secondary!G281,Primary!G281)</f>
        <v>-117.367807036</v>
      </c>
      <c r="H281" s="10">
        <f>IF(ActiveDatabase=Standby,Secondary!H281,Primary!H281)</f>
        <v>-92.8200432989998</v>
      </c>
      <c r="I281" s="13">
        <f>IF(ActiveDatabase=Standby,Secondary!I281,Primary!I281)</f>
        <v>0</v>
      </c>
      <c r="J281" s="13">
        <f>IF(ActiveDatabase=Standby,Secondary!J281,Primary!J281)</f>
        <v>0</v>
      </c>
      <c r="K281" s="13">
        <f>IF(ActiveDatabase=Standby,Secondary!K281,Primary!K281)</f>
        <v>0</v>
      </c>
      <c r="L281" s="13">
        <f>IF(ActiveDatabase=Standby,Secondary!L281,Primary!L281)</f>
        <v>0</v>
      </c>
      <c r="M281" s="7" t="b">
        <f>IF(ActiveDatabase=Standby,Secondary!M281,Primary!M281)</f>
        <v>0</v>
      </c>
      <c r="N281" s="10">
        <f>IF(ActiveDatabase=Standby,Secondary!N281,Primary!N281)</f>
        <v>0</v>
      </c>
      <c r="O281" s="10">
        <f>IF(ActiveDatabase=Standby,Secondary!O281,Primary!O281)</f>
        <v>0</v>
      </c>
      <c r="P281" s="10">
        <f>IF(ActiveDatabase=Standby,Secondary!P281,Primary!P281)</f>
        <v>0</v>
      </c>
      <c r="Q281" s="6">
        <f>IF(ActiveDatabase=Standby,Secondary!Q281,Primary!Q281)</f>
        <v>0</v>
      </c>
      <c r="R281" s="18">
        <f>IF(ActiveDatabase=Standby,Secondary!R281,Primary!R281)</f>
        <v>0</v>
      </c>
      <c r="S281" s="19">
        <f>IF(ActiveDatabase=Standby,Secondary!S281,Primary!S281)</f>
        <v>0</v>
      </c>
      <c r="T281" s="10">
        <f>IF(ActiveDatabase=Standby,Secondary!T281,Primary!T281)</f>
        <v>0</v>
      </c>
      <c r="U281" s="10">
        <f>IF(ActiveDatabase=Standby,Secondary!U281,Primary!U281)</f>
        <v>0</v>
      </c>
      <c r="V281" s="10">
        <f>IF(ActiveDatabase=Standby,Secondary!V281,Primary!V281)</f>
        <v>0</v>
      </c>
      <c r="W281" s="6">
        <f>IF(ActiveDatabase=Standby,Secondary!W281,Primary!W281)</f>
        <v>0</v>
      </c>
      <c r="X281" s="6">
        <f>IF(ActiveDatabase=Standby,Secondary!X281,Primary!X281)</f>
        <v>0</v>
      </c>
      <c r="Y281" s="12">
        <f>IF(ActiveDatabase=Standby,Secondary!Y281,Primary!Y281)</f>
        <v>0</v>
      </c>
      <c r="Z281" s="12">
        <f>IF(ActiveDatabase=Standby,Secondary!Z281,Primary!Z281)</f>
        <v>0</v>
      </c>
      <c r="AA281" s="7">
        <f>IF(ActiveDatabase=Standby,Secondary!AA281,Primary!AA281)</f>
        <v>0</v>
      </c>
      <c r="AB281" s="12"/>
      <c r="AC281" s="6"/>
      <c r="AD281" s="6"/>
      <c r="AE281" s="7"/>
      <c r="AF281" s="7"/>
      <c r="AG281" s="7"/>
      <c r="AH281" s="7"/>
      <c r="AI281" s="7"/>
      <c r="AJ281" s="7"/>
      <c r="AK281" s="7"/>
      <c r="AL281" s="7"/>
      <c r="AM281" s="7"/>
      <c r="AN281" s="7"/>
      <c r="AO281" s="6"/>
      <c r="AP281" s="7"/>
      <c r="AQ281" s="7"/>
      <c r="AR281" s="6"/>
      <c r="AS281" s="7"/>
      <c r="AT281" s="7"/>
      <c r="AU281" s="7"/>
      <c r="AV281" s="7"/>
      <c r="AW281" s="7"/>
      <c r="AX281" s="7"/>
      <c r="AY281" s="7"/>
      <c r="AZ281" s="7"/>
      <c r="BA281" s="7"/>
      <c r="BB281" s="7"/>
      <c r="BC281" s="7"/>
      <c r="BD281" s="7"/>
      <c r="BE281" s="7"/>
      <c r="BF281" s="7"/>
      <c r="BG281" s="7"/>
    </row>
    <row r="282" customHeight="1" spans="1:59">
      <c r="A282" s="9" t="str">
        <f>IF(ActiveDatabase=Standby,Secondary!A282,Primary!A282)</f>
        <v>Daymar 45</v>
      </c>
      <c r="B282" s="5" t="str">
        <f>IF(ActiveDatabase=Standby,Secondary!B282,Primary!B282)</f>
        <v>Daymar 56</v>
      </c>
      <c r="C282" s="5" t="str">
        <f>IF(ActiveDatabase=Standby,Secondary!C282,Primary!C282)</f>
        <v>Daymar 51</v>
      </c>
      <c r="D282" s="5" t="str">
        <f>IF(ActiveDatabase=Standby,Secondary!D282,Primary!D282)</f>
        <v>Sand Cave 20P</v>
      </c>
      <c r="E282" s="6" t="str">
        <f>IF(ActiveDatabase=Standby,Secondary!E282,Primary!E282)</f>
        <v>SCave 20P</v>
      </c>
      <c r="F282" s="10">
        <f>IF(ActiveDatabase=Standby,Secondary!F282,Primary!F282)</f>
        <v>130.924424524</v>
      </c>
      <c r="G282" s="10">
        <f>IF(ActiveDatabase=Standby,Secondary!G282,Primary!G282)</f>
        <v>-259.374254282</v>
      </c>
      <c r="H282" s="10">
        <f>IF(ActiveDatabase=Standby,Secondary!H282,Primary!H282)</f>
        <v>52.0052411199998</v>
      </c>
      <c r="I282" s="13">
        <f>IF(ActiveDatabase=Standby,Secondary!I282,Primary!I282)</f>
        <v>0</v>
      </c>
      <c r="J282" s="13">
        <f>IF(ActiveDatabase=Standby,Secondary!J282,Primary!J282)</f>
        <v>0</v>
      </c>
      <c r="K282" s="13">
        <f>IF(ActiveDatabase=Standby,Secondary!K282,Primary!K282)</f>
        <v>0</v>
      </c>
      <c r="L282" s="13">
        <f>IF(ActiveDatabase=Standby,Secondary!L282,Primary!L282)</f>
        <v>0</v>
      </c>
      <c r="M282" s="7" t="b">
        <f>IF(ActiveDatabase=Standby,Secondary!M282,Primary!M282)</f>
        <v>0</v>
      </c>
      <c r="N282" s="10">
        <f>IF(ActiveDatabase=Standby,Secondary!N282,Primary!N282)</f>
        <v>0</v>
      </c>
      <c r="O282" s="10">
        <f>IF(ActiveDatabase=Standby,Secondary!O282,Primary!O282)</f>
        <v>0</v>
      </c>
      <c r="P282" s="10">
        <f>IF(ActiveDatabase=Standby,Secondary!P282,Primary!P282)</f>
        <v>0</v>
      </c>
      <c r="Q282" s="6">
        <f>IF(ActiveDatabase=Standby,Secondary!Q282,Primary!Q282)</f>
        <v>0</v>
      </c>
      <c r="R282" s="18">
        <f>IF(ActiveDatabase=Standby,Secondary!R282,Primary!R282)</f>
        <v>0</v>
      </c>
      <c r="S282" s="19">
        <f>IF(ActiveDatabase=Standby,Secondary!S282,Primary!S282)</f>
        <v>0</v>
      </c>
      <c r="T282" s="10">
        <f>IF(ActiveDatabase=Standby,Secondary!T282,Primary!T282)</f>
        <v>0</v>
      </c>
      <c r="U282" s="10">
        <f>IF(ActiveDatabase=Standby,Secondary!U282,Primary!U282)</f>
        <v>0</v>
      </c>
      <c r="V282" s="10">
        <f>IF(ActiveDatabase=Standby,Secondary!V282,Primary!V282)</f>
        <v>0</v>
      </c>
      <c r="W282" s="6">
        <f>IF(ActiveDatabase=Standby,Secondary!W282,Primary!W282)</f>
        <v>0</v>
      </c>
      <c r="X282" s="6">
        <f>IF(ActiveDatabase=Standby,Secondary!X282,Primary!X282)</f>
        <v>0</v>
      </c>
      <c r="Y282" s="12">
        <f>IF(ActiveDatabase=Standby,Secondary!Y282,Primary!Y282)</f>
        <v>0</v>
      </c>
      <c r="Z282" s="12">
        <f>IF(ActiveDatabase=Standby,Secondary!Z282,Primary!Z282)</f>
        <v>0</v>
      </c>
      <c r="AA282" s="7">
        <f>IF(ActiveDatabase=Standby,Secondary!AA282,Primary!AA282)</f>
        <v>0</v>
      </c>
      <c r="AB282" s="12"/>
      <c r="AC282" s="6"/>
      <c r="AD282" s="6"/>
      <c r="AE282" s="7"/>
      <c r="AF282" s="7"/>
      <c r="AG282" s="7"/>
      <c r="AH282" s="7"/>
      <c r="AI282" s="7"/>
      <c r="AJ282" s="7"/>
      <c r="AK282" s="7"/>
      <c r="AL282" s="7"/>
      <c r="AM282" s="7"/>
      <c r="AN282" s="7"/>
      <c r="AO282" s="6"/>
      <c r="AP282" s="7"/>
      <c r="AQ282" s="7"/>
      <c r="AR282" s="6"/>
      <c r="AS282" s="7"/>
      <c r="AT282" s="7"/>
      <c r="AU282" s="7"/>
      <c r="AV282" s="7"/>
      <c r="AW282" s="7"/>
      <c r="AX282" s="7"/>
      <c r="AY282" s="7"/>
      <c r="AZ282" s="7"/>
      <c r="BA282" s="7"/>
      <c r="BB282" s="7"/>
      <c r="BC282" s="7"/>
      <c r="BD282" s="7"/>
      <c r="BE282" s="7"/>
      <c r="BF282" s="7"/>
      <c r="BG282" s="7"/>
    </row>
    <row r="283" customHeight="1" spans="1:59">
      <c r="A283" s="9" t="str">
        <f>IF(ActiveDatabase=Standby,Secondary!A283,Primary!A283)</f>
        <v>Daymar 41</v>
      </c>
      <c r="B283" s="5" t="str">
        <f>IF(ActiveDatabase=Standby,Secondary!B283,Primary!B283)</f>
        <v>Daymar 52</v>
      </c>
      <c r="C283" s="5" t="str">
        <f>IF(ActiveDatabase=Standby,Secondary!C283,Primary!C283)</f>
        <v>Daymar 61</v>
      </c>
      <c r="D283" s="5" t="str">
        <f>IF(ActiveDatabase=Standby,Secondary!D283,Primary!D283)</f>
        <v>Sand Cave 11M</v>
      </c>
      <c r="E283" s="6" t="str">
        <f>IF(ActiveDatabase=Standby,Secondary!E283,Primary!E283)</f>
        <v>SCave 11M</v>
      </c>
      <c r="F283" s="10">
        <f>IF(ActiveDatabase=Standby,Secondary!F283,Primary!F283)</f>
        <v>-128.787395598</v>
      </c>
      <c r="G283" s="10">
        <f>IF(ActiveDatabase=Standby,Secondary!G283,Primary!G283)</f>
        <v>-265.681916571</v>
      </c>
      <c r="H283" s="10">
        <f>IF(ActiveDatabase=Standby,Secondary!H283,Primary!H283)</f>
        <v>-7.48585235399999</v>
      </c>
      <c r="I283" s="13">
        <f>IF(ActiveDatabase=Standby,Secondary!I283,Primary!I283)</f>
        <v>0</v>
      </c>
      <c r="J283" s="13">
        <f>IF(ActiveDatabase=Standby,Secondary!J283,Primary!J283)</f>
        <v>0</v>
      </c>
      <c r="K283" s="13">
        <f>IF(ActiveDatabase=Standby,Secondary!K283,Primary!K283)</f>
        <v>0</v>
      </c>
      <c r="L283" s="13">
        <f>IF(ActiveDatabase=Standby,Secondary!L283,Primary!L283)</f>
        <v>0</v>
      </c>
      <c r="M283" s="7" t="b">
        <f>IF(ActiveDatabase=Standby,Secondary!M283,Primary!M283)</f>
        <v>0</v>
      </c>
      <c r="N283" s="10">
        <f>IF(ActiveDatabase=Standby,Secondary!N283,Primary!N283)</f>
        <v>0</v>
      </c>
      <c r="O283" s="10">
        <f>IF(ActiveDatabase=Standby,Secondary!O283,Primary!O283)</f>
        <v>0</v>
      </c>
      <c r="P283" s="10">
        <f>IF(ActiveDatabase=Standby,Secondary!P283,Primary!P283)</f>
        <v>0</v>
      </c>
      <c r="Q283" s="6">
        <f>IF(ActiveDatabase=Standby,Secondary!Q283,Primary!Q283)</f>
        <v>0</v>
      </c>
      <c r="R283" s="18">
        <f>IF(ActiveDatabase=Standby,Secondary!R283,Primary!R283)</f>
        <v>0</v>
      </c>
      <c r="S283" s="19">
        <f>IF(ActiveDatabase=Standby,Secondary!S283,Primary!S283)</f>
        <v>0</v>
      </c>
      <c r="T283" s="10">
        <f>IF(ActiveDatabase=Standby,Secondary!T283,Primary!T283)</f>
        <v>0</v>
      </c>
      <c r="U283" s="10">
        <f>IF(ActiveDatabase=Standby,Secondary!U283,Primary!U283)</f>
        <v>0</v>
      </c>
      <c r="V283" s="10">
        <f>IF(ActiveDatabase=Standby,Secondary!V283,Primary!V283)</f>
        <v>0</v>
      </c>
      <c r="W283" s="6">
        <f>IF(ActiveDatabase=Standby,Secondary!W283,Primary!W283)</f>
        <v>0</v>
      </c>
      <c r="X283" s="6">
        <f>IF(ActiveDatabase=Standby,Secondary!X283,Primary!X283)</f>
        <v>0</v>
      </c>
      <c r="Y283" s="12">
        <f>IF(ActiveDatabase=Standby,Secondary!Y283,Primary!Y283)</f>
        <v>0</v>
      </c>
      <c r="Z283" s="12">
        <f>IF(ActiveDatabase=Standby,Secondary!Z283,Primary!Z283)</f>
        <v>0</v>
      </c>
      <c r="AA283" s="7">
        <f>IF(ActiveDatabase=Standby,Secondary!AA283,Primary!AA283)</f>
        <v>0</v>
      </c>
      <c r="AB283" s="12"/>
      <c r="AC283" s="6"/>
      <c r="AD283" s="6"/>
      <c r="AE283" s="7"/>
      <c r="AF283" s="7"/>
      <c r="AG283" s="7"/>
      <c r="AH283" s="7"/>
      <c r="AI283" s="7"/>
      <c r="AJ283" s="7"/>
      <c r="AK283" s="7"/>
      <c r="AL283" s="7"/>
      <c r="AM283" s="7"/>
      <c r="AN283" s="7"/>
      <c r="AO283" s="6"/>
      <c r="AP283" s="7"/>
      <c r="AQ283" s="7"/>
      <c r="AR283" s="6"/>
      <c r="AS283" s="7"/>
      <c r="AT283" s="7"/>
      <c r="AU283" s="7"/>
      <c r="AV283" s="7"/>
      <c r="AW283" s="7"/>
      <c r="AX283" s="7"/>
      <c r="AY283" s="7"/>
      <c r="AZ283" s="7"/>
      <c r="BA283" s="7"/>
      <c r="BB283" s="7"/>
      <c r="BC283" s="7"/>
      <c r="BD283" s="7"/>
      <c r="BE283" s="7"/>
      <c r="BF283" s="7"/>
      <c r="BG283" s="7"/>
    </row>
    <row r="284" customHeight="1" spans="1:59">
      <c r="A284" s="9" t="str">
        <f>IF(ActiveDatabase=Standby,Secondary!A284,Primary!A284)</f>
        <v>Daymar 38</v>
      </c>
      <c r="B284" s="5" t="str">
        <f>IF(ActiveDatabase=Standby,Secondary!B284,Primary!B284)</f>
        <v>Daymar 49</v>
      </c>
      <c r="C284" s="5" t="str">
        <f>IF(ActiveDatabase=Standby,Secondary!C284,Primary!C284)</f>
        <v>Daymar 67</v>
      </c>
      <c r="D284" s="5" t="str">
        <f>IF(ActiveDatabase=Standby,Secondary!D284,Primary!D284)</f>
        <v>Sand Cave 05N</v>
      </c>
      <c r="E284" s="6" t="str">
        <f>IF(ActiveDatabase=Standby,Secondary!E284,Primary!E284)</f>
        <v>SCave 05N</v>
      </c>
      <c r="F284" s="10">
        <f>IF(ActiveDatabase=Standby,Secondary!F284,Primary!F284)</f>
        <v>-255.99513398</v>
      </c>
      <c r="G284" s="10">
        <f>IF(ActiveDatabase=Standby,Secondary!G284,Primary!G284)</f>
        <v>-142.165036414</v>
      </c>
      <c r="H284" s="10">
        <f>IF(ActiveDatabase=Standby,Secondary!H284,Primary!H284)</f>
        <v>36.2082418029999</v>
      </c>
      <c r="I284" s="13">
        <f>IF(ActiveDatabase=Standby,Secondary!I284,Primary!I284)</f>
        <v>0</v>
      </c>
      <c r="J284" s="13">
        <f>IF(ActiveDatabase=Standby,Secondary!J284,Primary!J284)</f>
        <v>0</v>
      </c>
      <c r="K284" s="13">
        <f>IF(ActiveDatabase=Standby,Secondary!K284,Primary!K284)</f>
        <v>0</v>
      </c>
      <c r="L284" s="13">
        <f>IF(ActiveDatabase=Standby,Secondary!L284,Primary!L284)</f>
        <v>0</v>
      </c>
      <c r="M284" s="7" t="b">
        <f>IF(ActiveDatabase=Standby,Secondary!M284,Primary!M284)</f>
        <v>0</v>
      </c>
      <c r="N284" s="10">
        <f>IF(ActiveDatabase=Standby,Secondary!N284,Primary!N284)</f>
        <v>0</v>
      </c>
      <c r="O284" s="10">
        <f>IF(ActiveDatabase=Standby,Secondary!O284,Primary!O284)</f>
        <v>0</v>
      </c>
      <c r="P284" s="10">
        <f>IF(ActiveDatabase=Standby,Secondary!P284,Primary!P284)</f>
        <v>0</v>
      </c>
      <c r="Q284" s="6">
        <f>IF(ActiveDatabase=Standby,Secondary!Q284,Primary!Q284)</f>
        <v>0</v>
      </c>
      <c r="R284" s="18">
        <f>IF(ActiveDatabase=Standby,Secondary!R284,Primary!R284)</f>
        <v>0</v>
      </c>
      <c r="S284" s="19">
        <f>IF(ActiveDatabase=Standby,Secondary!S284,Primary!S284)</f>
        <v>0</v>
      </c>
      <c r="T284" s="10">
        <f>IF(ActiveDatabase=Standby,Secondary!T284,Primary!T284)</f>
        <v>0</v>
      </c>
      <c r="U284" s="10">
        <f>IF(ActiveDatabase=Standby,Secondary!U284,Primary!U284)</f>
        <v>0</v>
      </c>
      <c r="V284" s="10">
        <f>IF(ActiveDatabase=Standby,Secondary!V284,Primary!V284)</f>
        <v>0</v>
      </c>
      <c r="W284" s="6">
        <f>IF(ActiveDatabase=Standby,Secondary!W284,Primary!W284)</f>
        <v>0</v>
      </c>
      <c r="X284" s="6">
        <f>IF(ActiveDatabase=Standby,Secondary!X284,Primary!X284)</f>
        <v>0</v>
      </c>
      <c r="Y284" s="12">
        <f>IF(ActiveDatabase=Standby,Secondary!Y284,Primary!Y284)</f>
        <v>0</v>
      </c>
      <c r="Z284" s="12">
        <f>IF(ActiveDatabase=Standby,Secondary!Z284,Primary!Z284)</f>
        <v>0</v>
      </c>
      <c r="AA284" s="7">
        <f>IF(ActiveDatabase=Standby,Secondary!AA284,Primary!AA284)</f>
        <v>0</v>
      </c>
      <c r="AB284" s="12"/>
      <c r="AC284" s="6"/>
      <c r="AD284" s="6"/>
      <c r="AE284" s="7"/>
      <c r="AF284" s="7"/>
      <c r="AG284" s="7"/>
      <c r="AH284" s="7"/>
      <c r="AI284" s="7"/>
      <c r="AJ284" s="7"/>
      <c r="AK284" s="7"/>
      <c r="AL284" s="7"/>
      <c r="AM284" s="7"/>
      <c r="AN284" s="7"/>
      <c r="AO284" s="6"/>
      <c r="AP284" s="7"/>
      <c r="AQ284" s="7"/>
      <c r="AR284" s="6"/>
      <c r="AS284" s="7"/>
      <c r="AT284" s="7"/>
      <c r="AU284" s="7"/>
      <c r="AV284" s="7"/>
      <c r="AW284" s="7"/>
      <c r="AX284" s="7"/>
      <c r="AY284" s="7"/>
      <c r="AZ284" s="7"/>
      <c r="BA284" s="7"/>
      <c r="BB284" s="7"/>
      <c r="BC284" s="7"/>
      <c r="BD284" s="7"/>
      <c r="BE284" s="7"/>
      <c r="BF284" s="7"/>
      <c r="BG284" s="7"/>
    </row>
    <row r="285" customHeight="1" spans="1:59">
      <c r="A285" s="9" t="str">
        <f>IF(ActiveDatabase=Standby,Secondary!A285,Primary!A285)</f>
        <v>Daymar 63</v>
      </c>
      <c r="B285" s="5" t="str">
        <f>IF(ActiveDatabase=Standby,Secondary!B285,Primary!B285)</f>
        <v>Daymar 74</v>
      </c>
      <c r="C285" s="5" t="str">
        <f>IF(ActiveDatabase=Standby,Secondary!C285,Primary!C285)</f>
        <v>Daymar 02</v>
      </c>
      <c r="D285" s="5" t="str">
        <f>IF(ActiveDatabase=Standby,Secondary!D285,Primary!D285)</f>
        <v>Sand Cave 59L</v>
      </c>
      <c r="E285" s="6" t="str">
        <f>IF(ActiveDatabase=Standby,Secondary!E285,Primary!E285)</f>
        <v>SCave 59L</v>
      </c>
      <c r="F285" s="10">
        <f>IF(ActiveDatabase=Standby,Secondary!F285,Primary!F285)</f>
        <v>-283.731842295999</v>
      </c>
      <c r="G285" s="10">
        <f>IF(ActiveDatabase=Standby,Secondary!G285,Primary!G285)</f>
        <v>54.104315044</v>
      </c>
      <c r="H285" s="10">
        <f>IF(ActiveDatabase=Standby,Secondary!H285,Primary!H285)</f>
        <v>-60.1727223109999</v>
      </c>
      <c r="I285" s="13">
        <f>IF(ActiveDatabase=Standby,Secondary!I285,Primary!I285)</f>
        <v>0</v>
      </c>
      <c r="J285" s="13">
        <f>IF(ActiveDatabase=Standby,Secondary!J285,Primary!J285)</f>
        <v>0</v>
      </c>
      <c r="K285" s="13">
        <f>IF(ActiveDatabase=Standby,Secondary!K285,Primary!K285)</f>
        <v>0</v>
      </c>
      <c r="L285" s="13">
        <f>IF(ActiveDatabase=Standby,Secondary!L285,Primary!L285)</f>
        <v>0</v>
      </c>
      <c r="M285" s="7" t="b">
        <f>IF(ActiveDatabase=Standby,Secondary!M285,Primary!M285)</f>
        <v>0</v>
      </c>
      <c r="N285" s="10">
        <f>IF(ActiveDatabase=Standby,Secondary!N285,Primary!N285)</f>
        <v>0</v>
      </c>
      <c r="O285" s="10">
        <f>IF(ActiveDatabase=Standby,Secondary!O285,Primary!O285)</f>
        <v>0</v>
      </c>
      <c r="P285" s="10">
        <f>IF(ActiveDatabase=Standby,Secondary!P285,Primary!P285)</f>
        <v>0</v>
      </c>
      <c r="Q285" s="6">
        <f>IF(ActiveDatabase=Standby,Secondary!Q285,Primary!Q285)</f>
        <v>0</v>
      </c>
      <c r="R285" s="18">
        <f>IF(ActiveDatabase=Standby,Secondary!R285,Primary!R285)</f>
        <v>0</v>
      </c>
      <c r="S285" s="19">
        <f>IF(ActiveDatabase=Standby,Secondary!S285,Primary!S285)</f>
        <v>0</v>
      </c>
      <c r="T285" s="10">
        <f>IF(ActiveDatabase=Standby,Secondary!T285,Primary!T285)</f>
        <v>0</v>
      </c>
      <c r="U285" s="10">
        <f>IF(ActiveDatabase=Standby,Secondary!U285,Primary!U285)</f>
        <v>0</v>
      </c>
      <c r="V285" s="10">
        <f>IF(ActiveDatabase=Standby,Secondary!V285,Primary!V285)</f>
        <v>0</v>
      </c>
      <c r="W285" s="6">
        <f>IF(ActiveDatabase=Standby,Secondary!W285,Primary!W285)</f>
        <v>0</v>
      </c>
      <c r="X285" s="6">
        <f>IF(ActiveDatabase=Standby,Secondary!X285,Primary!X285)</f>
        <v>0</v>
      </c>
      <c r="Y285" s="12">
        <f>IF(ActiveDatabase=Standby,Secondary!Y285,Primary!Y285)</f>
        <v>0</v>
      </c>
      <c r="Z285" s="12">
        <f>IF(ActiveDatabase=Standby,Secondary!Z285,Primary!Z285)</f>
        <v>0</v>
      </c>
      <c r="AA285" s="7">
        <f>IF(ActiveDatabase=Standby,Secondary!AA285,Primary!AA285)</f>
        <v>0</v>
      </c>
      <c r="AB285" s="12"/>
      <c r="AC285" s="6"/>
      <c r="AD285" s="6"/>
      <c r="AE285" s="7"/>
      <c r="AF285" s="7"/>
      <c r="AG285" s="7"/>
      <c r="AH285" s="7"/>
      <c r="AI285" s="7"/>
      <c r="AJ285" s="7"/>
      <c r="AK285" s="7"/>
      <c r="AL285" s="7"/>
      <c r="AM285" s="7"/>
      <c r="AN285" s="7"/>
      <c r="AO285" s="6"/>
      <c r="AP285" s="7"/>
      <c r="AQ285" s="7"/>
      <c r="AR285" s="6"/>
      <c r="AS285" s="7"/>
      <c r="AT285" s="7"/>
      <c r="AU285" s="7"/>
      <c r="AV285" s="7"/>
      <c r="AW285" s="7"/>
      <c r="AX285" s="7"/>
      <c r="AY285" s="7"/>
      <c r="AZ285" s="7"/>
      <c r="BA285" s="7"/>
      <c r="BB285" s="7"/>
      <c r="BC285" s="7"/>
      <c r="BD285" s="7"/>
      <c r="BE285" s="7"/>
      <c r="BF285" s="7"/>
      <c r="BG285" s="7"/>
    </row>
    <row r="286" customHeight="1" spans="1:59">
      <c r="A286" s="9" t="str">
        <f>IF(ActiveDatabase=Standby,Secondary!A286,Primary!A286)</f>
        <v>Daymar 55</v>
      </c>
      <c r="B286" s="5" t="str">
        <f>IF(ActiveDatabase=Standby,Secondary!B286,Primary!B286)</f>
        <v>Daymar 66</v>
      </c>
      <c r="C286" s="5" t="str">
        <f>IF(ActiveDatabase=Standby,Secondary!C286,Primary!C286)</f>
        <v>Daymar 24</v>
      </c>
      <c r="D286" s="5" t="str">
        <f>IF(ActiveDatabase=Standby,Secondary!D286,Primary!D286)</f>
        <v>Sand Cave 43H</v>
      </c>
      <c r="E286" s="6" t="str">
        <f>IF(ActiveDatabase=Standby,Secondary!E286,Primary!E286)</f>
        <v>SCave 43H</v>
      </c>
      <c r="F286" s="10">
        <f>IF(ActiveDatabase=Standby,Secondary!F286,Primary!F286)</f>
        <v>58.664743427</v>
      </c>
      <c r="G286" s="10">
        <f>IF(ActiveDatabase=Standby,Secondary!G286,Primary!G286)</f>
        <v>231.23653437</v>
      </c>
      <c r="H286" s="10">
        <f>IF(ActiveDatabase=Standby,Secondary!H286,Primary!H286)</f>
        <v>-173.753163922</v>
      </c>
      <c r="I286" s="13">
        <f>IF(ActiveDatabase=Standby,Secondary!I286,Primary!I286)</f>
        <v>0</v>
      </c>
      <c r="J286" s="13">
        <f>IF(ActiveDatabase=Standby,Secondary!J286,Primary!J286)</f>
        <v>0</v>
      </c>
      <c r="K286" s="13">
        <f>IF(ActiveDatabase=Standby,Secondary!K286,Primary!K286)</f>
        <v>0</v>
      </c>
      <c r="L286" s="13">
        <f>IF(ActiveDatabase=Standby,Secondary!L286,Primary!L286)</f>
        <v>0</v>
      </c>
      <c r="M286" s="7" t="b">
        <f>IF(ActiveDatabase=Standby,Secondary!M286,Primary!M286)</f>
        <v>0</v>
      </c>
      <c r="N286" s="10">
        <f>IF(ActiveDatabase=Standby,Secondary!N286,Primary!N286)</f>
        <v>0</v>
      </c>
      <c r="O286" s="10">
        <f>IF(ActiveDatabase=Standby,Secondary!O286,Primary!O286)</f>
        <v>0</v>
      </c>
      <c r="P286" s="10">
        <f>IF(ActiveDatabase=Standby,Secondary!P286,Primary!P286)</f>
        <v>0</v>
      </c>
      <c r="Q286" s="6">
        <f>IF(ActiveDatabase=Standby,Secondary!Q286,Primary!Q286)</f>
        <v>0</v>
      </c>
      <c r="R286" s="18">
        <f>IF(ActiveDatabase=Standby,Secondary!R286,Primary!R286)</f>
        <v>0</v>
      </c>
      <c r="S286" s="19">
        <f>IF(ActiveDatabase=Standby,Secondary!S286,Primary!S286)</f>
        <v>0</v>
      </c>
      <c r="T286" s="10">
        <f>IF(ActiveDatabase=Standby,Secondary!T286,Primary!T286)</f>
        <v>0</v>
      </c>
      <c r="U286" s="10">
        <f>IF(ActiveDatabase=Standby,Secondary!U286,Primary!U286)</f>
        <v>0</v>
      </c>
      <c r="V286" s="10">
        <f>IF(ActiveDatabase=Standby,Secondary!V286,Primary!V286)</f>
        <v>0</v>
      </c>
      <c r="W286" s="6">
        <f>IF(ActiveDatabase=Standby,Secondary!W286,Primary!W286)</f>
        <v>0</v>
      </c>
      <c r="X286" s="6">
        <f>IF(ActiveDatabase=Standby,Secondary!X286,Primary!X286)</f>
        <v>0</v>
      </c>
      <c r="Y286" s="12">
        <f>IF(ActiveDatabase=Standby,Secondary!Y286,Primary!Y286)</f>
        <v>0</v>
      </c>
      <c r="Z286" s="12">
        <f>IF(ActiveDatabase=Standby,Secondary!Z286,Primary!Z286)</f>
        <v>0</v>
      </c>
      <c r="AA286" s="7">
        <f>IF(ActiveDatabase=Standby,Secondary!AA286,Primary!AA286)</f>
        <v>0</v>
      </c>
      <c r="AB286" s="12"/>
      <c r="AC286" s="6"/>
      <c r="AD286" s="6"/>
      <c r="AE286" s="7"/>
      <c r="AF286" s="7"/>
      <c r="AG286" s="7"/>
      <c r="AH286" s="7"/>
      <c r="AI286" s="7"/>
      <c r="AJ286" s="7"/>
      <c r="AK286" s="7"/>
      <c r="AL286" s="7"/>
      <c r="AM286" s="7"/>
      <c r="AN286" s="7"/>
      <c r="AO286" s="6"/>
      <c r="AP286" s="7"/>
      <c r="AQ286" s="7"/>
      <c r="AR286" s="6"/>
      <c r="AS286" s="7"/>
      <c r="AT286" s="7"/>
      <c r="AU286" s="7"/>
      <c r="AV286" s="7"/>
      <c r="AW286" s="7"/>
      <c r="AX286" s="7"/>
      <c r="AY286" s="7"/>
      <c r="AZ286" s="7"/>
      <c r="BA286" s="7"/>
      <c r="BB286" s="7"/>
      <c r="BC286" s="7"/>
      <c r="BD286" s="7"/>
      <c r="BE286" s="7"/>
      <c r="BF286" s="7"/>
      <c r="BG286" s="7"/>
    </row>
    <row r="287" customHeight="1" spans="1:59">
      <c r="A287" s="9" t="str">
        <f>IF(ActiveDatabase=Standby,Secondary!A287,Primary!A287)</f>
        <v>Daymar 53</v>
      </c>
      <c r="B287" s="5" t="str">
        <f>IF(ActiveDatabase=Standby,Secondary!B287,Primary!B287)</f>
        <v>Daymar 64</v>
      </c>
      <c r="C287" s="5" t="str">
        <f>IF(ActiveDatabase=Standby,Secondary!C287,Primary!C287)</f>
        <v>Daymar 31</v>
      </c>
      <c r="D287" s="5" t="str">
        <f>IF(ActiveDatabase=Standby,Secondary!D287,Primary!D287)</f>
        <v>Sand Cave 37L</v>
      </c>
      <c r="E287" s="6" t="str">
        <f>IF(ActiveDatabase=Standby,Secondary!E287,Primary!E287)</f>
        <v>SCave 37L</v>
      </c>
      <c r="F287" s="10">
        <f>IF(ActiveDatabase=Standby,Secondary!F287,Primary!F287)</f>
        <v>223.891715502</v>
      </c>
      <c r="G287" s="10">
        <f>IF(ActiveDatabase=Standby,Secondary!G287,Primary!G287)</f>
        <v>183.627600085</v>
      </c>
      <c r="H287" s="10">
        <f>IF(ActiveDatabase=Standby,Secondary!H287,Primary!H287)</f>
        <v>-59.6782640739999</v>
      </c>
      <c r="I287" s="13">
        <f>IF(ActiveDatabase=Standby,Secondary!I287,Primary!I287)</f>
        <v>0</v>
      </c>
      <c r="J287" s="13">
        <f>IF(ActiveDatabase=Standby,Secondary!J287,Primary!J287)</f>
        <v>0</v>
      </c>
      <c r="K287" s="13">
        <f>IF(ActiveDatabase=Standby,Secondary!K287,Primary!K287)</f>
        <v>0</v>
      </c>
      <c r="L287" s="13">
        <f>IF(ActiveDatabase=Standby,Secondary!L287,Primary!L287)</f>
        <v>0</v>
      </c>
      <c r="M287" s="7" t="b">
        <f>IF(ActiveDatabase=Standby,Secondary!M287,Primary!M287)</f>
        <v>0</v>
      </c>
      <c r="N287" s="10">
        <f>IF(ActiveDatabase=Standby,Secondary!N287,Primary!N287)</f>
        <v>0</v>
      </c>
      <c r="O287" s="10">
        <f>IF(ActiveDatabase=Standby,Secondary!O287,Primary!O287)</f>
        <v>0</v>
      </c>
      <c r="P287" s="10">
        <f>IF(ActiveDatabase=Standby,Secondary!P287,Primary!P287)</f>
        <v>0</v>
      </c>
      <c r="Q287" s="6">
        <f>IF(ActiveDatabase=Standby,Secondary!Q287,Primary!Q287)</f>
        <v>0</v>
      </c>
      <c r="R287" s="18">
        <f>IF(ActiveDatabase=Standby,Secondary!R287,Primary!R287)</f>
        <v>0</v>
      </c>
      <c r="S287" s="19">
        <f>IF(ActiveDatabase=Standby,Secondary!S287,Primary!S287)</f>
        <v>0</v>
      </c>
      <c r="T287" s="10">
        <f>IF(ActiveDatabase=Standby,Secondary!T287,Primary!T287)</f>
        <v>0</v>
      </c>
      <c r="U287" s="10">
        <f>IF(ActiveDatabase=Standby,Secondary!U287,Primary!U287)</f>
        <v>0</v>
      </c>
      <c r="V287" s="10">
        <f>IF(ActiveDatabase=Standby,Secondary!V287,Primary!V287)</f>
        <v>0</v>
      </c>
      <c r="W287" s="6">
        <f>IF(ActiveDatabase=Standby,Secondary!W287,Primary!W287)</f>
        <v>0</v>
      </c>
      <c r="X287" s="6">
        <f>IF(ActiveDatabase=Standby,Secondary!X287,Primary!X287)</f>
        <v>0</v>
      </c>
      <c r="Y287" s="12">
        <f>IF(ActiveDatabase=Standby,Secondary!Y287,Primary!Y287)</f>
        <v>0</v>
      </c>
      <c r="Z287" s="12">
        <f>IF(ActiveDatabase=Standby,Secondary!Z287,Primary!Z287)</f>
        <v>0</v>
      </c>
      <c r="AA287" s="7">
        <f>IF(ActiveDatabase=Standby,Secondary!AA287,Primary!AA287)</f>
        <v>0</v>
      </c>
      <c r="AB287" s="12"/>
      <c r="AC287" s="6"/>
      <c r="AD287" s="6"/>
      <c r="AE287" s="7"/>
      <c r="AF287" s="7"/>
      <c r="AG287" s="7"/>
      <c r="AH287" s="7"/>
      <c r="AI287" s="7"/>
      <c r="AJ287" s="7"/>
      <c r="AK287" s="7"/>
      <c r="AL287" s="7"/>
      <c r="AM287" s="7"/>
      <c r="AN287" s="7"/>
      <c r="AO287" s="6"/>
      <c r="AP287" s="7"/>
      <c r="AQ287" s="7"/>
      <c r="AR287" s="6"/>
      <c r="AS287" s="7"/>
      <c r="AT287" s="7"/>
      <c r="AU287" s="7"/>
      <c r="AV287" s="7"/>
      <c r="AW287" s="7"/>
      <c r="AX287" s="7"/>
      <c r="AY287" s="7"/>
      <c r="AZ287" s="7"/>
      <c r="BA287" s="7"/>
      <c r="BB287" s="7"/>
      <c r="BC287" s="7"/>
      <c r="BD287" s="7"/>
      <c r="BE287" s="7"/>
      <c r="BF287" s="7"/>
      <c r="BG287" s="7"/>
    </row>
    <row r="288" customHeight="1" spans="1:59">
      <c r="A288" s="9" t="str">
        <f>IF(ActiveDatabase=Standby,Secondary!A288,Primary!A288)</f>
        <v>Daymar 50</v>
      </c>
      <c r="B288" s="5" t="str">
        <f>IF(ActiveDatabase=Standby,Secondary!B288,Primary!B288)</f>
        <v>Daymar 61</v>
      </c>
      <c r="C288" s="5" t="str">
        <f>IF(ActiveDatabase=Standby,Secondary!C288,Primary!C288)</f>
        <v>Daymar 39</v>
      </c>
      <c r="D288" s="5" t="str">
        <f>IF(ActiveDatabase=Standby,Secondary!D288,Primary!D288)</f>
        <v>Sand Cave 30D</v>
      </c>
      <c r="E288" s="6" t="str">
        <f>IF(ActiveDatabase=Standby,Secondary!E288,Primary!E288)</f>
        <v>SCave 30D</v>
      </c>
      <c r="F288" s="10">
        <f>IF(ActiveDatabase=Standby,Secondary!F288,Primary!F288)</f>
        <v>110.428650132</v>
      </c>
      <c r="G288" s="10">
        <f>IF(ActiveDatabase=Standby,Secondary!G288,Primary!G288)</f>
        <v>-9.16211831499999</v>
      </c>
      <c r="H288" s="10">
        <f>IF(ActiveDatabase=Standby,Secondary!H288,Primary!H288)</f>
        <v>-273.395692081</v>
      </c>
      <c r="I288" s="13">
        <f>IF(ActiveDatabase=Standby,Secondary!I288,Primary!I288)</f>
        <v>0</v>
      </c>
      <c r="J288" s="13">
        <f>IF(ActiveDatabase=Standby,Secondary!J288,Primary!J288)</f>
        <v>0</v>
      </c>
      <c r="K288" s="13">
        <f>IF(ActiveDatabase=Standby,Secondary!K288,Primary!K288)</f>
        <v>0</v>
      </c>
      <c r="L288" s="13">
        <f>IF(ActiveDatabase=Standby,Secondary!L288,Primary!L288)</f>
        <v>0</v>
      </c>
      <c r="M288" s="7" t="b">
        <f>IF(ActiveDatabase=Standby,Secondary!M288,Primary!M288)</f>
        <v>0</v>
      </c>
      <c r="N288" s="10">
        <f>IF(ActiveDatabase=Standby,Secondary!N288,Primary!N288)</f>
        <v>0</v>
      </c>
      <c r="O288" s="10">
        <f>IF(ActiveDatabase=Standby,Secondary!O288,Primary!O288)</f>
        <v>0</v>
      </c>
      <c r="P288" s="10">
        <f>IF(ActiveDatabase=Standby,Secondary!P288,Primary!P288)</f>
        <v>0</v>
      </c>
      <c r="Q288" s="6">
        <f>IF(ActiveDatabase=Standby,Secondary!Q288,Primary!Q288)</f>
        <v>0</v>
      </c>
      <c r="R288" s="18">
        <f>IF(ActiveDatabase=Standby,Secondary!R288,Primary!R288)</f>
        <v>0</v>
      </c>
      <c r="S288" s="19">
        <f>IF(ActiveDatabase=Standby,Secondary!S288,Primary!S288)</f>
        <v>0</v>
      </c>
      <c r="T288" s="10">
        <f>IF(ActiveDatabase=Standby,Secondary!T288,Primary!T288)</f>
        <v>0</v>
      </c>
      <c r="U288" s="10">
        <f>IF(ActiveDatabase=Standby,Secondary!U288,Primary!U288)</f>
        <v>0</v>
      </c>
      <c r="V288" s="10">
        <f>IF(ActiveDatabase=Standby,Secondary!V288,Primary!V288)</f>
        <v>0</v>
      </c>
      <c r="W288" s="6">
        <f>IF(ActiveDatabase=Standby,Secondary!W288,Primary!W288)</f>
        <v>0</v>
      </c>
      <c r="X288" s="6">
        <f>IF(ActiveDatabase=Standby,Secondary!X288,Primary!X288)</f>
        <v>0</v>
      </c>
      <c r="Y288" s="12">
        <f>IF(ActiveDatabase=Standby,Secondary!Y288,Primary!Y288)</f>
        <v>0</v>
      </c>
      <c r="Z288" s="12">
        <f>IF(ActiveDatabase=Standby,Secondary!Z288,Primary!Z288)</f>
        <v>0</v>
      </c>
      <c r="AA288" s="7">
        <f>IF(ActiveDatabase=Standby,Secondary!AA288,Primary!AA288)</f>
        <v>0</v>
      </c>
      <c r="AB288" s="12"/>
      <c r="AC288" s="6"/>
      <c r="AD288" s="6"/>
      <c r="AE288" s="7"/>
      <c r="AF288" s="7"/>
      <c r="AG288" s="7"/>
      <c r="AH288" s="7"/>
      <c r="AI288" s="7"/>
      <c r="AJ288" s="7"/>
      <c r="AK288" s="7"/>
      <c r="AL288" s="7"/>
      <c r="AM288" s="7"/>
      <c r="AN288" s="7"/>
      <c r="AO288" s="6"/>
      <c r="AP288" s="7"/>
      <c r="AQ288" s="7"/>
      <c r="AR288" s="6"/>
      <c r="AS288" s="7"/>
      <c r="AT288" s="7"/>
      <c r="AU288" s="7"/>
      <c r="AV288" s="7"/>
      <c r="AW288" s="7"/>
      <c r="AX288" s="7"/>
      <c r="AY288" s="7"/>
      <c r="AZ288" s="7"/>
      <c r="BA288" s="7"/>
      <c r="BB288" s="7"/>
      <c r="BC288" s="7"/>
      <c r="BD288" s="7"/>
      <c r="BE288" s="7"/>
      <c r="BF288" s="7"/>
      <c r="BG288" s="7"/>
    </row>
    <row r="289" customHeight="1" spans="1:59">
      <c r="A289" s="9" t="str">
        <f>IF(ActiveDatabase=Standby,Secondary!A289,Primary!A289)</f>
        <v>Daymar 36</v>
      </c>
      <c r="B289" s="5" t="str">
        <f>IF(ActiveDatabase=Standby,Secondary!B289,Primary!B289)</f>
        <v>Daymar 47</v>
      </c>
      <c r="C289" s="5" t="str">
        <f>IF(ActiveDatabase=Standby,Secondary!C289,Primary!C289)</f>
        <v>Daymar 71</v>
      </c>
      <c r="D289" s="5" t="str">
        <f>IF(ActiveDatabase=Standby,Secondary!D289,Primary!D289)</f>
        <v>Sand Cave 03G</v>
      </c>
      <c r="E289" s="6" t="str">
        <f>IF(ActiveDatabase=Standby,Secondary!E289,Primary!E289)</f>
        <v>SCave 03G</v>
      </c>
      <c r="F289" s="10">
        <f>IF(ActiveDatabase=Standby,Secondary!F289,Primary!F289)</f>
        <v>-201.78924098</v>
      </c>
      <c r="G289" s="10">
        <f>IF(ActiveDatabase=Standby,Secondary!G289,Primary!G289)</f>
        <v>-45.2817604839998</v>
      </c>
      <c r="H289" s="10">
        <f>IF(ActiveDatabase=Standby,Secondary!H289,Primary!H289)</f>
        <v>-210.857671955</v>
      </c>
      <c r="I289" s="13">
        <f>IF(ActiveDatabase=Standby,Secondary!I289,Primary!I289)</f>
        <v>0</v>
      </c>
      <c r="J289" s="13">
        <f>IF(ActiveDatabase=Standby,Secondary!J289,Primary!J289)</f>
        <v>0</v>
      </c>
      <c r="K289" s="13">
        <f>IF(ActiveDatabase=Standby,Secondary!K289,Primary!K289)</f>
        <v>0</v>
      </c>
      <c r="L289" s="13">
        <f>IF(ActiveDatabase=Standby,Secondary!L289,Primary!L289)</f>
        <v>0</v>
      </c>
      <c r="M289" s="7" t="b">
        <f>IF(ActiveDatabase=Standby,Secondary!M289,Primary!M289)</f>
        <v>0</v>
      </c>
      <c r="N289" s="10">
        <f>IF(ActiveDatabase=Standby,Secondary!N289,Primary!N289)</f>
        <v>0</v>
      </c>
      <c r="O289" s="10">
        <f>IF(ActiveDatabase=Standby,Secondary!O289,Primary!O289)</f>
        <v>0</v>
      </c>
      <c r="P289" s="10">
        <f>IF(ActiveDatabase=Standby,Secondary!P289,Primary!P289)</f>
        <v>0</v>
      </c>
      <c r="Q289" s="6">
        <f>IF(ActiveDatabase=Standby,Secondary!Q289,Primary!Q289)</f>
        <v>0</v>
      </c>
      <c r="R289" s="18">
        <f>IF(ActiveDatabase=Standby,Secondary!R289,Primary!R289)</f>
        <v>0</v>
      </c>
      <c r="S289" s="19">
        <f>IF(ActiveDatabase=Standby,Secondary!S289,Primary!S289)</f>
        <v>0</v>
      </c>
      <c r="T289" s="10">
        <f>IF(ActiveDatabase=Standby,Secondary!T289,Primary!T289)</f>
        <v>0</v>
      </c>
      <c r="U289" s="10">
        <f>IF(ActiveDatabase=Standby,Secondary!U289,Primary!U289)</f>
        <v>0</v>
      </c>
      <c r="V289" s="10">
        <f>IF(ActiveDatabase=Standby,Secondary!V289,Primary!V289)</f>
        <v>0</v>
      </c>
      <c r="W289" s="6">
        <f>IF(ActiveDatabase=Standby,Secondary!W289,Primary!W289)</f>
        <v>0</v>
      </c>
      <c r="X289" s="6">
        <f>IF(ActiveDatabase=Standby,Secondary!X289,Primary!X289)</f>
        <v>0</v>
      </c>
      <c r="Y289" s="12">
        <f>IF(ActiveDatabase=Standby,Secondary!Y289,Primary!Y289)</f>
        <v>0</v>
      </c>
      <c r="Z289" s="12">
        <f>IF(ActiveDatabase=Standby,Secondary!Z289,Primary!Z289)</f>
        <v>0</v>
      </c>
      <c r="AA289" s="7">
        <f>IF(ActiveDatabase=Standby,Secondary!AA289,Primary!AA289)</f>
        <v>0</v>
      </c>
      <c r="AB289" s="12"/>
      <c r="AC289" s="6"/>
      <c r="AD289" s="6"/>
      <c r="AE289" s="7"/>
      <c r="AF289" s="7"/>
      <c r="AG289" s="7"/>
      <c r="AH289" s="7"/>
      <c r="AI289" s="7"/>
      <c r="AJ289" s="7"/>
      <c r="AK289" s="7"/>
      <c r="AL289" s="7"/>
      <c r="AM289" s="7"/>
      <c r="AN289" s="7"/>
      <c r="AO289" s="6"/>
      <c r="AP289" s="7"/>
      <c r="AQ289" s="7"/>
      <c r="AR289" s="6"/>
      <c r="AS289" s="7"/>
      <c r="AT289" s="7"/>
      <c r="AU289" s="7"/>
      <c r="AV289" s="7"/>
      <c r="AW289" s="7"/>
      <c r="AX289" s="7"/>
      <c r="AY289" s="7"/>
      <c r="AZ289" s="7"/>
      <c r="BA289" s="7"/>
      <c r="BB289" s="7"/>
      <c r="BC289" s="7"/>
      <c r="BD289" s="7"/>
      <c r="BE289" s="7"/>
      <c r="BF289" s="7"/>
      <c r="BG289" s="7"/>
    </row>
    <row r="290" customHeight="1" spans="1:59">
      <c r="A290" s="9" t="str">
        <f>IF(ActiveDatabase=Standby,Secondary!A290,Primary!A290)</f>
        <v>Daymar 56</v>
      </c>
      <c r="B290" s="5" t="str">
        <f>IF(ActiveDatabase=Standby,Secondary!B290,Primary!B290)</f>
        <v>Daymar 67</v>
      </c>
      <c r="C290" s="5" t="str">
        <f>IF(ActiveDatabase=Standby,Secondary!C290,Primary!C290)</f>
        <v>Daymar 19</v>
      </c>
      <c r="D290" s="5" t="str">
        <f>IF(ActiveDatabase=Standby,Secondary!D290,Primary!D290)</f>
        <v>Sand Cave 46L</v>
      </c>
      <c r="E290" s="6" t="str">
        <f>IF(ActiveDatabase=Standby,Secondary!E290,Primary!E290)</f>
        <v>SCave 46L</v>
      </c>
      <c r="F290" s="10">
        <f>IF(ActiveDatabase=Standby,Secondary!F290,Primary!F290)</f>
        <v>-18.6007644389999</v>
      </c>
      <c r="G290" s="10">
        <f>IF(ActiveDatabase=Standby,Secondary!G290,Primary!G290)</f>
        <v>289.504881805</v>
      </c>
      <c r="H290" s="10">
        <f>IF(ActiveDatabase=Standby,Secondary!H290,Primary!H290)</f>
        <v>-56.7709161289999</v>
      </c>
      <c r="I290" s="13">
        <f>IF(ActiveDatabase=Standby,Secondary!I290,Primary!I290)</f>
        <v>0</v>
      </c>
      <c r="J290" s="13">
        <f>IF(ActiveDatabase=Standby,Secondary!J290,Primary!J290)</f>
        <v>0</v>
      </c>
      <c r="K290" s="13">
        <f>IF(ActiveDatabase=Standby,Secondary!K290,Primary!K290)</f>
        <v>0</v>
      </c>
      <c r="L290" s="13">
        <f>IF(ActiveDatabase=Standby,Secondary!L290,Primary!L290)</f>
        <v>0</v>
      </c>
      <c r="M290" s="7" t="b">
        <f>IF(ActiveDatabase=Standby,Secondary!M290,Primary!M290)</f>
        <v>0</v>
      </c>
      <c r="N290" s="10">
        <f>IF(ActiveDatabase=Standby,Secondary!N290,Primary!N290)</f>
        <v>0</v>
      </c>
      <c r="O290" s="10">
        <f>IF(ActiveDatabase=Standby,Secondary!O290,Primary!O290)</f>
        <v>0</v>
      </c>
      <c r="P290" s="10">
        <f>IF(ActiveDatabase=Standby,Secondary!P290,Primary!P290)</f>
        <v>0</v>
      </c>
      <c r="Q290" s="6">
        <f>IF(ActiveDatabase=Standby,Secondary!Q290,Primary!Q290)</f>
        <v>0</v>
      </c>
      <c r="R290" s="18">
        <f>IF(ActiveDatabase=Standby,Secondary!R290,Primary!R290)</f>
        <v>0</v>
      </c>
      <c r="S290" s="19">
        <f>IF(ActiveDatabase=Standby,Secondary!S290,Primary!S290)</f>
        <v>0</v>
      </c>
      <c r="T290" s="10">
        <f>IF(ActiveDatabase=Standby,Secondary!T290,Primary!T290)</f>
        <v>0</v>
      </c>
      <c r="U290" s="10">
        <f>IF(ActiveDatabase=Standby,Secondary!U290,Primary!U290)</f>
        <v>0</v>
      </c>
      <c r="V290" s="10">
        <f>IF(ActiveDatabase=Standby,Secondary!V290,Primary!V290)</f>
        <v>0</v>
      </c>
      <c r="W290" s="6">
        <f>IF(ActiveDatabase=Standby,Secondary!W290,Primary!W290)</f>
        <v>0</v>
      </c>
      <c r="X290" s="6">
        <f>IF(ActiveDatabase=Standby,Secondary!X290,Primary!X290)</f>
        <v>0</v>
      </c>
      <c r="Y290" s="12">
        <f>IF(ActiveDatabase=Standby,Secondary!Y290,Primary!Y290)</f>
        <v>0</v>
      </c>
      <c r="Z290" s="12">
        <f>IF(ActiveDatabase=Standby,Secondary!Z290,Primary!Z290)</f>
        <v>0</v>
      </c>
      <c r="AA290" s="7">
        <f>IF(ActiveDatabase=Standby,Secondary!AA290,Primary!AA290)</f>
        <v>0</v>
      </c>
      <c r="AB290" s="12"/>
      <c r="AC290" s="6"/>
      <c r="AD290" s="6"/>
      <c r="AE290" s="7"/>
      <c r="AF290" s="7"/>
      <c r="AG290" s="7"/>
      <c r="AH290" s="7"/>
      <c r="AI290" s="7"/>
      <c r="AJ290" s="7"/>
      <c r="AK290" s="7"/>
      <c r="AL290" s="7"/>
      <c r="AM290" s="7"/>
      <c r="AN290" s="7"/>
      <c r="AO290" s="6"/>
      <c r="AP290" s="7"/>
      <c r="AQ290" s="7"/>
      <c r="AR290" s="6"/>
      <c r="AS290" s="7"/>
      <c r="AT290" s="7"/>
      <c r="AU290" s="7"/>
      <c r="AV290" s="7"/>
      <c r="AW290" s="7"/>
      <c r="AX290" s="7"/>
      <c r="AY290" s="7"/>
      <c r="AZ290" s="7"/>
      <c r="BA290" s="7"/>
      <c r="BB290" s="7"/>
      <c r="BC290" s="7"/>
      <c r="BD290" s="7"/>
      <c r="BE290" s="7"/>
      <c r="BF290" s="7"/>
      <c r="BG290" s="7"/>
    </row>
    <row r="291" customHeight="1" spans="1:59">
      <c r="A291" s="9" t="str">
        <f>IF(ActiveDatabase=Standby,Secondary!A291,Primary!A291)</f>
        <v>Daymar 54</v>
      </c>
      <c r="B291" s="5" t="str">
        <f>IF(ActiveDatabase=Standby,Secondary!B291,Primary!B291)</f>
        <v>Daymar 65</v>
      </c>
      <c r="C291" s="5" t="str">
        <f>IF(ActiveDatabase=Standby,Secondary!C291,Primary!C291)</f>
        <v>Daymar 29</v>
      </c>
      <c r="D291" s="5" t="str">
        <f>IF(ActiveDatabase=Standby,Secondary!D291,Primary!D291)</f>
        <v>Sand Cave 41Q</v>
      </c>
      <c r="E291" s="6" t="str">
        <f>IF(ActiveDatabase=Standby,Secondary!E291,Primary!E291)</f>
        <v>SCave 41Q</v>
      </c>
      <c r="F291" s="10">
        <f>IF(ActiveDatabase=Standby,Secondary!F291,Primary!F291)</f>
        <v>123.522194406</v>
      </c>
      <c r="G291" s="10">
        <f>IF(ActiveDatabase=Standby,Secondary!G291,Primary!G291)</f>
        <v>254.315972424</v>
      </c>
      <c r="H291" s="10">
        <f>IF(ActiveDatabase=Standby,Secondary!H291,Primary!H291)</f>
        <v>86.1357779339998</v>
      </c>
      <c r="I291" s="13">
        <f>IF(ActiveDatabase=Standby,Secondary!I291,Primary!I291)</f>
        <v>0</v>
      </c>
      <c r="J291" s="13">
        <f>IF(ActiveDatabase=Standby,Secondary!J291,Primary!J291)</f>
        <v>0</v>
      </c>
      <c r="K291" s="13">
        <f>IF(ActiveDatabase=Standby,Secondary!K291,Primary!K291)</f>
        <v>0</v>
      </c>
      <c r="L291" s="13">
        <f>IF(ActiveDatabase=Standby,Secondary!L291,Primary!L291)</f>
        <v>0</v>
      </c>
      <c r="M291" s="7" t="b">
        <f>IF(ActiveDatabase=Standby,Secondary!M291,Primary!M291)</f>
        <v>0</v>
      </c>
      <c r="N291" s="10">
        <f>IF(ActiveDatabase=Standby,Secondary!N291,Primary!N291)</f>
        <v>0</v>
      </c>
      <c r="O291" s="10">
        <f>IF(ActiveDatabase=Standby,Secondary!O291,Primary!O291)</f>
        <v>0</v>
      </c>
      <c r="P291" s="10">
        <f>IF(ActiveDatabase=Standby,Secondary!P291,Primary!P291)</f>
        <v>0</v>
      </c>
      <c r="Q291" s="6">
        <f>IF(ActiveDatabase=Standby,Secondary!Q291,Primary!Q291)</f>
        <v>0</v>
      </c>
      <c r="R291" s="18">
        <f>IF(ActiveDatabase=Standby,Secondary!R291,Primary!R291)</f>
        <v>0</v>
      </c>
      <c r="S291" s="19">
        <f>IF(ActiveDatabase=Standby,Secondary!S291,Primary!S291)</f>
        <v>0</v>
      </c>
      <c r="T291" s="10">
        <f>IF(ActiveDatabase=Standby,Secondary!T291,Primary!T291)</f>
        <v>0</v>
      </c>
      <c r="U291" s="10">
        <f>IF(ActiveDatabase=Standby,Secondary!U291,Primary!U291)</f>
        <v>0</v>
      </c>
      <c r="V291" s="10">
        <f>IF(ActiveDatabase=Standby,Secondary!V291,Primary!V291)</f>
        <v>0</v>
      </c>
      <c r="W291" s="6">
        <f>IF(ActiveDatabase=Standby,Secondary!W291,Primary!W291)</f>
        <v>0</v>
      </c>
      <c r="X291" s="6">
        <f>IF(ActiveDatabase=Standby,Secondary!X291,Primary!X291)</f>
        <v>0</v>
      </c>
      <c r="Y291" s="12">
        <f>IF(ActiveDatabase=Standby,Secondary!Y291,Primary!Y291)</f>
        <v>0</v>
      </c>
      <c r="Z291" s="12">
        <f>IF(ActiveDatabase=Standby,Secondary!Z291,Primary!Z291)</f>
        <v>0</v>
      </c>
      <c r="AA291" s="7">
        <f>IF(ActiveDatabase=Standby,Secondary!AA291,Primary!AA291)</f>
        <v>0</v>
      </c>
      <c r="AB291" s="12"/>
      <c r="AC291" s="6"/>
      <c r="AD291" s="6"/>
      <c r="AE291" s="7"/>
      <c r="AF291" s="7"/>
      <c r="AG291" s="7"/>
      <c r="AH291" s="7"/>
      <c r="AI291" s="7"/>
      <c r="AJ291" s="7"/>
      <c r="AK291" s="7"/>
      <c r="AL291" s="7"/>
      <c r="AM291" s="7"/>
      <c r="AN291" s="7"/>
      <c r="AO291" s="6"/>
      <c r="AP291" s="7"/>
      <c r="AQ291" s="7"/>
      <c r="AR291" s="6"/>
      <c r="AS291" s="7"/>
      <c r="AT291" s="7"/>
      <c r="AU291" s="7"/>
      <c r="AV291" s="7"/>
      <c r="AW291" s="7"/>
      <c r="AX291" s="7"/>
      <c r="AY291" s="7"/>
      <c r="AZ291" s="7"/>
      <c r="BA291" s="7"/>
      <c r="BB291" s="7"/>
      <c r="BC291" s="7"/>
      <c r="BD291" s="7"/>
      <c r="BE291" s="7"/>
      <c r="BF291" s="7"/>
      <c r="BG291" s="7"/>
    </row>
    <row r="292" customHeight="1" spans="1:59">
      <c r="A292" s="9" t="str">
        <f>IF(ActiveDatabase=Standby,Secondary!A292,Primary!A292)</f>
        <v>Daymar 59</v>
      </c>
      <c r="B292" s="5" t="str">
        <f>IF(ActiveDatabase=Standby,Secondary!B292,Primary!B292)</f>
        <v>Daymar 70</v>
      </c>
      <c r="C292" s="5" t="str">
        <f>IF(ActiveDatabase=Standby,Secondary!C292,Primary!C292)</f>
        <v>Daymar 12</v>
      </c>
      <c r="D292" s="5" t="str">
        <f>IF(ActiveDatabase=Standby,Secondary!D292,Primary!D292)</f>
        <v>Sand Cave 49V</v>
      </c>
      <c r="E292" s="6" t="str">
        <f>IF(ActiveDatabase=Standby,Secondary!E292,Primary!E292)</f>
        <v>SCave 49V</v>
      </c>
      <c r="F292" s="10">
        <f>IF(ActiveDatabase=Standby,Secondary!F292,Primary!F292)</f>
        <v>-56.559550707</v>
      </c>
      <c r="G292" s="10">
        <f>IF(ActiveDatabase=Standby,Secondary!G292,Primary!G292)</f>
        <v>132.210330674</v>
      </c>
      <c r="H292" s="10">
        <f>IF(ActiveDatabase=Standby,Secondary!H292,Primary!H292)</f>
        <v>257.679033079999</v>
      </c>
      <c r="I292" s="13">
        <f>IF(ActiveDatabase=Standby,Secondary!I292,Primary!I292)</f>
        <v>0</v>
      </c>
      <c r="J292" s="13">
        <f>IF(ActiveDatabase=Standby,Secondary!J292,Primary!J292)</f>
        <v>0</v>
      </c>
      <c r="K292" s="13">
        <f>IF(ActiveDatabase=Standby,Secondary!K292,Primary!K292)</f>
        <v>0</v>
      </c>
      <c r="L292" s="13">
        <f>IF(ActiveDatabase=Standby,Secondary!L292,Primary!L292)</f>
        <v>0</v>
      </c>
      <c r="M292" s="7" t="b">
        <f>IF(ActiveDatabase=Standby,Secondary!M292,Primary!M292)</f>
        <v>0</v>
      </c>
      <c r="N292" s="10">
        <f>IF(ActiveDatabase=Standby,Secondary!N292,Primary!N292)</f>
        <v>0</v>
      </c>
      <c r="O292" s="10">
        <f>IF(ActiveDatabase=Standby,Secondary!O292,Primary!O292)</f>
        <v>0</v>
      </c>
      <c r="P292" s="10">
        <f>IF(ActiveDatabase=Standby,Secondary!P292,Primary!P292)</f>
        <v>0</v>
      </c>
      <c r="Q292" s="6">
        <f>IF(ActiveDatabase=Standby,Secondary!Q292,Primary!Q292)</f>
        <v>0</v>
      </c>
      <c r="R292" s="18">
        <f>IF(ActiveDatabase=Standby,Secondary!R292,Primary!R292)</f>
        <v>0</v>
      </c>
      <c r="S292" s="19">
        <f>IF(ActiveDatabase=Standby,Secondary!S292,Primary!S292)</f>
        <v>0</v>
      </c>
      <c r="T292" s="10">
        <f>IF(ActiveDatabase=Standby,Secondary!T292,Primary!T292)</f>
        <v>0</v>
      </c>
      <c r="U292" s="10">
        <f>IF(ActiveDatabase=Standby,Secondary!U292,Primary!U292)</f>
        <v>0</v>
      </c>
      <c r="V292" s="10">
        <f>IF(ActiveDatabase=Standby,Secondary!V292,Primary!V292)</f>
        <v>0</v>
      </c>
      <c r="W292" s="6">
        <f>IF(ActiveDatabase=Standby,Secondary!W292,Primary!W292)</f>
        <v>0</v>
      </c>
      <c r="X292" s="6">
        <f>IF(ActiveDatabase=Standby,Secondary!X292,Primary!X292)</f>
        <v>0</v>
      </c>
      <c r="Y292" s="12">
        <f>IF(ActiveDatabase=Standby,Secondary!Y292,Primary!Y292)</f>
        <v>0</v>
      </c>
      <c r="Z292" s="12">
        <f>IF(ActiveDatabase=Standby,Secondary!Z292,Primary!Z292)</f>
        <v>0</v>
      </c>
      <c r="AA292" s="7">
        <f>IF(ActiveDatabase=Standby,Secondary!AA292,Primary!AA292)</f>
        <v>0</v>
      </c>
      <c r="AB292" s="12"/>
      <c r="AC292" s="6"/>
      <c r="AD292" s="6"/>
      <c r="AE292" s="7"/>
      <c r="AF292" s="7"/>
      <c r="AG292" s="7"/>
      <c r="AH292" s="7"/>
      <c r="AI292" s="7"/>
      <c r="AJ292" s="7"/>
      <c r="AK292" s="7"/>
      <c r="AL292" s="7"/>
      <c r="AM292" s="7"/>
      <c r="AN292" s="7"/>
      <c r="AO292" s="6"/>
      <c r="AP292" s="7"/>
      <c r="AQ292" s="7"/>
      <c r="AR292" s="6"/>
      <c r="AS292" s="7"/>
      <c r="AT292" s="7"/>
      <c r="AU292" s="7"/>
      <c r="AV292" s="7"/>
      <c r="AW292" s="7"/>
      <c r="AX292" s="7"/>
      <c r="AY292" s="7"/>
      <c r="AZ292" s="7"/>
      <c r="BA292" s="7"/>
      <c r="BB292" s="7"/>
      <c r="BC292" s="7"/>
      <c r="BD292" s="7"/>
      <c r="BE292" s="7"/>
      <c r="BF292" s="7"/>
      <c r="BG292" s="7"/>
    </row>
    <row r="293" customHeight="1" spans="1:59">
      <c r="A293" s="9" t="str">
        <f>IF(ActiveDatabase=Standby,Secondary!A293,Primary!A293)</f>
        <v>Daymar 51</v>
      </c>
      <c r="B293" s="5" t="str">
        <f>IF(ActiveDatabase=Standby,Secondary!B293,Primary!B293)</f>
        <v>Daymar 62</v>
      </c>
      <c r="C293" s="5" t="str">
        <f>IF(ActiveDatabase=Standby,Secondary!C293,Primary!C293)</f>
        <v>Daymar 34</v>
      </c>
      <c r="D293" s="5" t="str">
        <f>IF(ActiveDatabase=Standby,Secondary!D293,Primary!D293)</f>
        <v>Sand Cave 34T</v>
      </c>
      <c r="E293" s="6" t="str">
        <f>IF(ActiveDatabase=Standby,Secondary!E293,Primary!E293)</f>
        <v>SCave 34T</v>
      </c>
      <c r="F293" s="10">
        <f>IF(ActiveDatabase=Standby,Secondary!F293,Primary!F293)</f>
        <v>203.579362154</v>
      </c>
      <c r="G293" s="10">
        <f>IF(ActiveDatabase=Standby,Secondary!G293,Primary!G293)</f>
        <v>80.5784592549999</v>
      </c>
      <c r="H293" s="10">
        <f>IF(ActiveDatabase=Standby,Secondary!H293,Primary!H293)</f>
        <v>198.174320894</v>
      </c>
      <c r="I293" s="13">
        <f>IF(ActiveDatabase=Standby,Secondary!I293,Primary!I293)</f>
        <v>0</v>
      </c>
      <c r="J293" s="13">
        <f>IF(ActiveDatabase=Standby,Secondary!J293,Primary!J293)</f>
        <v>0</v>
      </c>
      <c r="K293" s="13">
        <f>IF(ActiveDatabase=Standby,Secondary!K293,Primary!K293)</f>
        <v>0</v>
      </c>
      <c r="L293" s="13">
        <f>IF(ActiveDatabase=Standby,Secondary!L293,Primary!L293)</f>
        <v>0</v>
      </c>
      <c r="M293" s="7" t="b">
        <f>IF(ActiveDatabase=Standby,Secondary!M293,Primary!M293)</f>
        <v>0</v>
      </c>
      <c r="N293" s="10">
        <f>IF(ActiveDatabase=Standby,Secondary!N293,Primary!N293)</f>
        <v>0</v>
      </c>
      <c r="O293" s="10">
        <f>IF(ActiveDatabase=Standby,Secondary!O293,Primary!O293)</f>
        <v>0</v>
      </c>
      <c r="P293" s="10">
        <f>IF(ActiveDatabase=Standby,Secondary!P293,Primary!P293)</f>
        <v>0</v>
      </c>
      <c r="Q293" s="6">
        <f>IF(ActiveDatabase=Standby,Secondary!Q293,Primary!Q293)</f>
        <v>0</v>
      </c>
      <c r="R293" s="18">
        <f>IF(ActiveDatabase=Standby,Secondary!R293,Primary!R293)</f>
        <v>0</v>
      </c>
      <c r="S293" s="19">
        <f>IF(ActiveDatabase=Standby,Secondary!S293,Primary!S293)</f>
        <v>0</v>
      </c>
      <c r="T293" s="10">
        <f>IF(ActiveDatabase=Standby,Secondary!T293,Primary!T293)</f>
        <v>0</v>
      </c>
      <c r="U293" s="10">
        <f>IF(ActiveDatabase=Standby,Secondary!U293,Primary!U293)</f>
        <v>0</v>
      </c>
      <c r="V293" s="10">
        <f>IF(ActiveDatabase=Standby,Secondary!V293,Primary!V293)</f>
        <v>0</v>
      </c>
      <c r="W293" s="6">
        <f>IF(ActiveDatabase=Standby,Secondary!W293,Primary!W293)</f>
        <v>0</v>
      </c>
      <c r="X293" s="6">
        <f>IF(ActiveDatabase=Standby,Secondary!X293,Primary!X293)</f>
        <v>0</v>
      </c>
      <c r="Y293" s="12">
        <f>IF(ActiveDatabase=Standby,Secondary!Y293,Primary!Y293)</f>
        <v>0</v>
      </c>
      <c r="Z293" s="12">
        <f>IF(ActiveDatabase=Standby,Secondary!Z293,Primary!Z293)</f>
        <v>0</v>
      </c>
      <c r="AA293" s="7">
        <f>IF(ActiveDatabase=Standby,Secondary!AA293,Primary!AA293)</f>
        <v>0</v>
      </c>
      <c r="AB293" s="12"/>
      <c r="AC293" s="6"/>
      <c r="AD293" s="6"/>
      <c r="AE293" s="7"/>
      <c r="AF293" s="7"/>
      <c r="AG293" s="7"/>
      <c r="AH293" s="7"/>
      <c r="AI293" s="7"/>
      <c r="AJ293" s="7"/>
      <c r="AK293" s="7"/>
      <c r="AL293" s="7"/>
      <c r="AM293" s="7"/>
      <c r="AN293" s="7"/>
      <c r="AO293" s="6"/>
      <c r="AP293" s="7"/>
      <c r="AQ293" s="7"/>
      <c r="AR293" s="6"/>
      <c r="AS293" s="7"/>
      <c r="AT293" s="7"/>
      <c r="AU293" s="7"/>
      <c r="AV293" s="7"/>
      <c r="AW293" s="7"/>
      <c r="AX293" s="7"/>
      <c r="AY293" s="7"/>
      <c r="AZ293" s="7"/>
      <c r="BA293" s="7"/>
      <c r="BB293" s="7"/>
      <c r="BC293" s="7"/>
      <c r="BD293" s="7"/>
      <c r="BE293" s="7"/>
      <c r="BF293" s="7"/>
      <c r="BG293" s="7"/>
    </row>
    <row r="294" customHeight="1" spans="1:59">
      <c r="A294" s="9" t="str">
        <f>IF(ActiveDatabase=Standby,Secondary!A294,Primary!A294)</f>
        <v>Daymar 43</v>
      </c>
      <c r="B294" s="5" t="str">
        <f>IF(ActiveDatabase=Standby,Secondary!B294,Primary!B294)</f>
        <v>Daymar 54</v>
      </c>
      <c r="C294" s="5" t="str">
        <f>IF(ActiveDatabase=Standby,Secondary!C294,Primary!C294)</f>
        <v>Daymar 58</v>
      </c>
      <c r="D294" s="5" t="str">
        <f>IF(ActiveDatabase=Standby,Secondary!D294,Primary!D294)</f>
        <v>Sand Cave 15H</v>
      </c>
      <c r="E294" s="6" t="str">
        <f>IF(ActiveDatabase=Standby,Secondary!E294,Primary!E294)</f>
        <v>SCave 15H</v>
      </c>
      <c r="F294" s="10">
        <f>IF(ActiveDatabase=Standby,Secondary!F294,Primary!F294)</f>
        <v>-17.528967342</v>
      </c>
      <c r="G294" s="10">
        <f>IF(ActiveDatabase=Standby,Secondary!G294,Primary!G294)</f>
        <v>-235.607051966</v>
      </c>
      <c r="H294" s="10">
        <f>IF(ActiveDatabase=Standby,Secondary!H294,Primary!H294)</f>
        <v>-176.988804781</v>
      </c>
      <c r="I294" s="13">
        <f>IF(ActiveDatabase=Standby,Secondary!I294,Primary!I294)</f>
        <v>0</v>
      </c>
      <c r="J294" s="13">
        <f>IF(ActiveDatabase=Standby,Secondary!J294,Primary!J294)</f>
        <v>0</v>
      </c>
      <c r="K294" s="13">
        <f>IF(ActiveDatabase=Standby,Secondary!K294,Primary!K294)</f>
        <v>0</v>
      </c>
      <c r="L294" s="13">
        <f>IF(ActiveDatabase=Standby,Secondary!L294,Primary!L294)</f>
        <v>0</v>
      </c>
      <c r="M294" s="7" t="b">
        <f>IF(ActiveDatabase=Standby,Secondary!M294,Primary!M294)</f>
        <v>0</v>
      </c>
      <c r="N294" s="10">
        <f>IF(ActiveDatabase=Standby,Secondary!N294,Primary!N294)</f>
        <v>0</v>
      </c>
      <c r="O294" s="10">
        <f>IF(ActiveDatabase=Standby,Secondary!O294,Primary!O294)</f>
        <v>0</v>
      </c>
      <c r="P294" s="10">
        <f>IF(ActiveDatabase=Standby,Secondary!P294,Primary!P294)</f>
        <v>0</v>
      </c>
      <c r="Q294" s="6">
        <f>IF(ActiveDatabase=Standby,Secondary!Q294,Primary!Q294)</f>
        <v>0</v>
      </c>
      <c r="R294" s="18">
        <f>IF(ActiveDatabase=Standby,Secondary!R294,Primary!R294)</f>
        <v>0</v>
      </c>
      <c r="S294" s="19">
        <f>IF(ActiveDatabase=Standby,Secondary!S294,Primary!S294)</f>
        <v>0</v>
      </c>
      <c r="T294" s="10">
        <f>IF(ActiveDatabase=Standby,Secondary!T294,Primary!T294)</f>
        <v>0</v>
      </c>
      <c r="U294" s="10">
        <f>IF(ActiveDatabase=Standby,Secondary!U294,Primary!U294)</f>
        <v>0</v>
      </c>
      <c r="V294" s="10">
        <f>IF(ActiveDatabase=Standby,Secondary!V294,Primary!V294)</f>
        <v>0</v>
      </c>
      <c r="W294" s="6">
        <f>IF(ActiveDatabase=Standby,Secondary!W294,Primary!W294)</f>
        <v>0</v>
      </c>
      <c r="X294" s="6">
        <f>IF(ActiveDatabase=Standby,Secondary!X294,Primary!X294)</f>
        <v>0</v>
      </c>
      <c r="Y294" s="12">
        <f>IF(ActiveDatabase=Standby,Secondary!Y294,Primary!Y294)</f>
        <v>0</v>
      </c>
      <c r="Z294" s="12">
        <f>IF(ActiveDatabase=Standby,Secondary!Z294,Primary!Z294)</f>
        <v>0</v>
      </c>
      <c r="AA294" s="7">
        <f>IF(ActiveDatabase=Standby,Secondary!AA294,Primary!AA294)</f>
        <v>0</v>
      </c>
      <c r="AB294" s="12"/>
      <c r="AC294" s="6"/>
      <c r="AD294" s="6"/>
      <c r="AE294" s="7"/>
      <c r="AF294" s="7"/>
      <c r="AG294" s="7"/>
      <c r="AH294" s="7"/>
      <c r="AI294" s="7"/>
      <c r="AJ294" s="7"/>
      <c r="AK294" s="7"/>
      <c r="AL294" s="7"/>
      <c r="AM294" s="7"/>
      <c r="AN294" s="7"/>
      <c r="AO294" s="6"/>
      <c r="AP294" s="7"/>
      <c r="AQ294" s="7"/>
      <c r="AR294" s="6"/>
      <c r="AS294" s="7"/>
      <c r="AT294" s="7"/>
      <c r="AU294" s="7"/>
      <c r="AV294" s="7"/>
      <c r="AW294" s="7"/>
      <c r="AX294" s="7"/>
      <c r="AY294" s="7"/>
      <c r="AZ294" s="7"/>
      <c r="BA294" s="7"/>
      <c r="BB294" s="7"/>
      <c r="BC294" s="7"/>
      <c r="BD294" s="7"/>
      <c r="BE294" s="7"/>
      <c r="BF294" s="7"/>
      <c r="BG294" s="7"/>
    </row>
    <row r="295" customHeight="1" spans="1:59">
      <c r="A295" s="9" t="str">
        <f>IF(ActiveDatabase=Standby,Secondary!A295,Primary!A295)</f>
        <v>Daymar 57</v>
      </c>
      <c r="B295" s="5" t="str">
        <f>IF(ActiveDatabase=Standby,Secondary!B295,Primary!B295)</f>
        <v>Daymar 68</v>
      </c>
      <c r="C295" s="5" t="str">
        <f>IF(ActiveDatabase=Standby,Secondary!C295,Primary!C295)</f>
        <v>Daymar 15</v>
      </c>
      <c r="D295" s="5" t="str">
        <f>IF(ActiveDatabase=Standby,Secondary!D295,Primary!D295)</f>
        <v>Sand Cave 47U</v>
      </c>
      <c r="E295" s="6" t="str">
        <f>IF(ActiveDatabase=Standby,Secondary!E295,Primary!E295)</f>
        <v>SCave 47U</v>
      </c>
      <c r="F295" s="10">
        <f>IF(ActiveDatabase=Standby,Secondary!F295,Primary!F295)</f>
        <v>-24.453191189</v>
      </c>
      <c r="G295" s="10">
        <f>IF(ActiveDatabase=Standby,Secondary!G295,Primary!G295)</f>
        <v>190.721141586</v>
      </c>
      <c r="H295" s="10">
        <f>IF(ActiveDatabase=Standby,Secondary!H295,Primary!H295)</f>
        <v>223.877190403999</v>
      </c>
      <c r="I295" s="13">
        <f>IF(ActiveDatabase=Standby,Secondary!I295,Primary!I295)</f>
        <v>0</v>
      </c>
      <c r="J295" s="13">
        <f>IF(ActiveDatabase=Standby,Secondary!J295,Primary!J295)</f>
        <v>0</v>
      </c>
      <c r="K295" s="13">
        <f>IF(ActiveDatabase=Standby,Secondary!K295,Primary!K295)</f>
        <v>0</v>
      </c>
      <c r="L295" s="13">
        <f>IF(ActiveDatabase=Standby,Secondary!L295,Primary!L295)</f>
        <v>0</v>
      </c>
      <c r="M295" s="7" t="b">
        <f>IF(ActiveDatabase=Standby,Secondary!M295,Primary!M295)</f>
        <v>0</v>
      </c>
      <c r="N295" s="10">
        <f>IF(ActiveDatabase=Standby,Secondary!N295,Primary!N295)</f>
        <v>0</v>
      </c>
      <c r="O295" s="10">
        <f>IF(ActiveDatabase=Standby,Secondary!O295,Primary!O295)</f>
        <v>0</v>
      </c>
      <c r="P295" s="10">
        <f>IF(ActiveDatabase=Standby,Secondary!P295,Primary!P295)</f>
        <v>0</v>
      </c>
      <c r="Q295" s="6">
        <f>IF(ActiveDatabase=Standby,Secondary!Q295,Primary!Q295)</f>
        <v>0</v>
      </c>
      <c r="R295" s="18">
        <f>IF(ActiveDatabase=Standby,Secondary!R295,Primary!R295)</f>
        <v>0</v>
      </c>
      <c r="S295" s="19">
        <f>IF(ActiveDatabase=Standby,Secondary!S295,Primary!S295)</f>
        <v>0</v>
      </c>
      <c r="T295" s="10">
        <f>IF(ActiveDatabase=Standby,Secondary!T295,Primary!T295)</f>
        <v>0</v>
      </c>
      <c r="U295" s="10">
        <f>IF(ActiveDatabase=Standby,Secondary!U295,Primary!U295)</f>
        <v>0</v>
      </c>
      <c r="V295" s="10">
        <f>IF(ActiveDatabase=Standby,Secondary!V295,Primary!V295)</f>
        <v>0</v>
      </c>
      <c r="W295" s="6">
        <f>IF(ActiveDatabase=Standby,Secondary!W295,Primary!W295)</f>
        <v>0</v>
      </c>
      <c r="X295" s="6">
        <f>IF(ActiveDatabase=Standby,Secondary!X295,Primary!X295)</f>
        <v>0</v>
      </c>
      <c r="Y295" s="12">
        <f>IF(ActiveDatabase=Standby,Secondary!Y295,Primary!Y295)</f>
        <v>0</v>
      </c>
      <c r="Z295" s="12">
        <f>IF(ActiveDatabase=Standby,Secondary!Z295,Primary!Z295)</f>
        <v>0</v>
      </c>
      <c r="AA295" s="7">
        <f>IF(ActiveDatabase=Standby,Secondary!AA295,Primary!AA295)</f>
        <v>0</v>
      </c>
      <c r="AB295" s="12"/>
      <c r="AC295" s="6"/>
      <c r="AD295" s="6"/>
      <c r="AE295" s="7"/>
      <c r="AF295" s="7"/>
      <c r="AG295" s="7"/>
      <c r="AH295" s="7"/>
      <c r="AI295" s="7"/>
      <c r="AJ295" s="7"/>
      <c r="AK295" s="7"/>
      <c r="AL295" s="7"/>
      <c r="AM295" s="7"/>
      <c r="AN295" s="7"/>
      <c r="AO295" s="6"/>
      <c r="AP295" s="7"/>
      <c r="AQ295" s="7"/>
      <c r="AR295" s="6"/>
      <c r="AS295" s="7"/>
      <c r="AT295" s="7"/>
      <c r="AU295" s="7"/>
      <c r="AV295" s="7"/>
      <c r="AW295" s="7"/>
      <c r="AX295" s="7"/>
      <c r="AY295" s="7"/>
      <c r="AZ295" s="7"/>
      <c r="BA295" s="7"/>
      <c r="BB295" s="7"/>
      <c r="BC295" s="7"/>
      <c r="BD295" s="7"/>
      <c r="BE295" s="7"/>
      <c r="BF295" s="7"/>
      <c r="BG295" s="7"/>
    </row>
    <row r="296" customHeight="1" spans="1:59">
      <c r="A296" s="9" t="str">
        <f>IF(ActiveDatabase=Standby,Secondary!A296,Primary!A296)</f>
        <v>Daymar 42</v>
      </c>
      <c r="B296" s="5" t="str">
        <f>IF(ActiveDatabase=Standby,Secondary!B296,Primary!B296)</f>
        <v>Daymar 53</v>
      </c>
      <c r="C296" s="5" t="str">
        <f>IF(ActiveDatabase=Standby,Secondary!C296,Primary!C296)</f>
        <v>Daymar 60</v>
      </c>
      <c r="D296" s="5" t="str">
        <f>IF(ActiveDatabase=Standby,Secondary!D296,Primary!D296)</f>
        <v>Sand Cave 12X</v>
      </c>
      <c r="E296" s="6" t="str">
        <f>IF(ActiveDatabase=Standby,Secondary!E296,Primary!E296)</f>
        <v>SCave 12X</v>
      </c>
      <c r="F296" s="10">
        <f>IF(ActiveDatabase=Standby,Secondary!F296,Primary!F296)</f>
        <v>-26.992544381</v>
      </c>
      <c r="G296" s="10">
        <f>IF(ActiveDatabase=Standby,Secondary!G296,Primary!G296)</f>
        <v>-62.409515003</v>
      </c>
      <c r="H296" s="10">
        <f>IF(ActiveDatabase=Standby,Secondary!H296,Primary!H296)</f>
        <v>287.804372978</v>
      </c>
      <c r="I296" s="13">
        <f>IF(ActiveDatabase=Standby,Secondary!I296,Primary!I296)</f>
        <v>0</v>
      </c>
      <c r="J296" s="13">
        <f>IF(ActiveDatabase=Standby,Secondary!J296,Primary!J296)</f>
        <v>0</v>
      </c>
      <c r="K296" s="13">
        <f>IF(ActiveDatabase=Standby,Secondary!K296,Primary!K296)</f>
        <v>0</v>
      </c>
      <c r="L296" s="13">
        <f>IF(ActiveDatabase=Standby,Secondary!L296,Primary!L296)</f>
        <v>0</v>
      </c>
      <c r="M296" s="7" t="b">
        <f>IF(ActiveDatabase=Standby,Secondary!M296,Primary!M296)</f>
        <v>0</v>
      </c>
      <c r="N296" s="10">
        <f>IF(ActiveDatabase=Standby,Secondary!N296,Primary!N296)</f>
        <v>0</v>
      </c>
      <c r="O296" s="10">
        <f>IF(ActiveDatabase=Standby,Secondary!O296,Primary!O296)</f>
        <v>0</v>
      </c>
      <c r="P296" s="10">
        <f>IF(ActiveDatabase=Standby,Secondary!P296,Primary!P296)</f>
        <v>0</v>
      </c>
      <c r="Q296" s="6">
        <f>IF(ActiveDatabase=Standby,Secondary!Q296,Primary!Q296)</f>
        <v>0</v>
      </c>
      <c r="R296" s="18">
        <f>IF(ActiveDatabase=Standby,Secondary!R296,Primary!R296)</f>
        <v>0</v>
      </c>
      <c r="S296" s="19">
        <f>IF(ActiveDatabase=Standby,Secondary!S296,Primary!S296)</f>
        <v>0</v>
      </c>
      <c r="T296" s="10">
        <f>IF(ActiveDatabase=Standby,Secondary!T296,Primary!T296)</f>
        <v>0</v>
      </c>
      <c r="U296" s="10">
        <f>IF(ActiveDatabase=Standby,Secondary!U296,Primary!U296)</f>
        <v>0</v>
      </c>
      <c r="V296" s="10">
        <f>IF(ActiveDatabase=Standby,Secondary!V296,Primary!V296)</f>
        <v>0</v>
      </c>
      <c r="W296" s="6">
        <f>IF(ActiveDatabase=Standby,Secondary!W296,Primary!W296)</f>
        <v>0</v>
      </c>
      <c r="X296" s="6">
        <f>IF(ActiveDatabase=Standby,Secondary!X296,Primary!X296)</f>
        <v>0</v>
      </c>
      <c r="Y296" s="12">
        <f>IF(ActiveDatabase=Standby,Secondary!Y296,Primary!Y296)</f>
        <v>0</v>
      </c>
      <c r="Z296" s="12">
        <f>IF(ActiveDatabase=Standby,Secondary!Z296,Primary!Z296)</f>
        <v>0</v>
      </c>
      <c r="AA296" s="7">
        <f>IF(ActiveDatabase=Standby,Secondary!AA296,Primary!AA296)</f>
        <v>0</v>
      </c>
      <c r="AB296" s="12"/>
      <c r="AC296" s="6"/>
      <c r="AD296" s="6"/>
      <c r="AE296" s="7"/>
      <c r="AF296" s="7"/>
      <c r="AG296" s="7"/>
      <c r="AH296" s="7"/>
      <c r="AI296" s="7"/>
      <c r="AJ296" s="7"/>
      <c r="AK296" s="7"/>
      <c r="AL296" s="7"/>
      <c r="AM296" s="7"/>
      <c r="AN296" s="7"/>
      <c r="AO296" s="6"/>
      <c r="AP296" s="7"/>
      <c r="AQ296" s="7"/>
      <c r="AR296" s="6"/>
      <c r="AS296" s="7"/>
      <c r="AT296" s="7"/>
      <c r="AU296" s="7"/>
      <c r="AV296" s="7"/>
      <c r="AW296" s="7"/>
      <c r="AX296" s="7"/>
      <c r="AY296" s="7"/>
      <c r="AZ296" s="7"/>
      <c r="BA296" s="7"/>
      <c r="BB296" s="7"/>
      <c r="BC296" s="7"/>
      <c r="BD296" s="7"/>
      <c r="BE296" s="7"/>
      <c r="BF296" s="7"/>
      <c r="BG296" s="7"/>
    </row>
    <row r="297" customHeight="1" spans="1:59">
      <c r="A297" s="9" t="str">
        <f>IF(ActiveDatabase=Standby,Secondary!A297,Primary!A297)</f>
        <v>Daymar 58</v>
      </c>
      <c r="B297" s="5" t="str">
        <f>IF(ActiveDatabase=Standby,Secondary!B297,Primary!B297)</f>
        <v>Daymar 69</v>
      </c>
      <c r="C297" s="5" t="str">
        <f>IF(ActiveDatabase=Standby,Secondary!C297,Primary!C297)</f>
        <v>Daymar 16</v>
      </c>
      <c r="D297" s="5" t="str">
        <f>IF(ActiveDatabase=Standby,Secondary!D297,Primary!D297)</f>
        <v>Sand Cave 47W</v>
      </c>
      <c r="E297" s="6" t="str">
        <f>IF(ActiveDatabase=Standby,Secondary!E297,Primary!E297)</f>
        <v>SCave 47W</v>
      </c>
      <c r="F297" s="10">
        <f>IF(ActiveDatabase=Standby,Secondary!F297,Primary!F297)</f>
        <v>-11.29420767</v>
      </c>
      <c r="G297" s="10">
        <f>IF(ActiveDatabase=Standby,Secondary!G297,Primary!G297)</f>
        <v>95.3117616949999</v>
      </c>
      <c r="H297" s="10">
        <f>IF(ActiveDatabase=Standby,Secondary!H297,Primary!H297)</f>
        <v>279.127010911</v>
      </c>
      <c r="I297" s="13">
        <f>IF(ActiveDatabase=Standby,Secondary!I297,Primary!I297)</f>
        <v>0</v>
      </c>
      <c r="J297" s="13">
        <f>IF(ActiveDatabase=Standby,Secondary!J297,Primary!J297)</f>
        <v>0</v>
      </c>
      <c r="K297" s="13">
        <f>IF(ActiveDatabase=Standby,Secondary!K297,Primary!K297)</f>
        <v>0</v>
      </c>
      <c r="L297" s="13">
        <f>IF(ActiveDatabase=Standby,Secondary!L297,Primary!L297)</f>
        <v>0</v>
      </c>
      <c r="M297" s="7" t="b">
        <f>IF(ActiveDatabase=Standby,Secondary!M297,Primary!M297)</f>
        <v>0</v>
      </c>
      <c r="N297" s="10">
        <f>IF(ActiveDatabase=Standby,Secondary!N297,Primary!N297)</f>
        <v>0</v>
      </c>
      <c r="O297" s="10">
        <f>IF(ActiveDatabase=Standby,Secondary!O297,Primary!O297)</f>
        <v>0</v>
      </c>
      <c r="P297" s="10">
        <f>IF(ActiveDatabase=Standby,Secondary!P297,Primary!P297)</f>
        <v>0</v>
      </c>
      <c r="Q297" s="6">
        <f>IF(ActiveDatabase=Standby,Secondary!Q297,Primary!Q297)</f>
        <v>0</v>
      </c>
      <c r="R297" s="18">
        <f>IF(ActiveDatabase=Standby,Secondary!R297,Primary!R297)</f>
        <v>0</v>
      </c>
      <c r="S297" s="19">
        <f>IF(ActiveDatabase=Standby,Secondary!S297,Primary!S297)</f>
        <v>0</v>
      </c>
      <c r="T297" s="10">
        <f>IF(ActiveDatabase=Standby,Secondary!T297,Primary!T297)</f>
        <v>0</v>
      </c>
      <c r="U297" s="10">
        <f>IF(ActiveDatabase=Standby,Secondary!U297,Primary!U297)</f>
        <v>0</v>
      </c>
      <c r="V297" s="10">
        <f>IF(ActiveDatabase=Standby,Secondary!V297,Primary!V297)</f>
        <v>0</v>
      </c>
      <c r="W297" s="6">
        <f>IF(ActiveDatabase=Standby,Secondary!W297,Primary!W297)</f>
        <v>0</v>
      </c>
      <c r="X297" s="6">
        <f>IF(ActiveDatabase=Standby,Secondary!X297,Primary!X297)</f>
        <v>0</v>
      </c>
      <c r="Y297" s="12">
        <f>IF(ActiveDatabase=Standby,Secondary!Y297,Primary!Y297)</f>
        <v>0</v>
      </c>
      <c r="Z297" s="12">
        <f>IF(ActiveDatabase=Standby,Secondary!Z297,Primary!Z297)</f>
        <v>0</v>
      </c>
      <c r="AA297" s="7">
        <f>IF(ActiveDatabase=Standby,Secondary!AA297,Primary!AA297)</f>
        <v>0</v>
      </c>
      <c r="AB297" s="12"/>
      <c r="AC297" s="6"/>
      <c r="AD297" s="6"/>
      <c r="AE297" s="7"/>
      <c r="AF297" s="7"/>
      <c r="AG297" s="7"/>
      <c r="AH297" s="7"/>
      <c r="AI297" s="7"/>
      <c r="AJ297" s="7"/>
      <c r="AK297" s="7"/>
      <c r="AL297" s="7"/>
      <c r="AM297" s="7"/>
      <c r="AN297" s="7"/>
      <c r="AO297" s="6"/>
      <c r="AP297" s="7"/>
      <c r="AQ297" s="7"/>
      <c r="AR297" s="6"/>
      <c r="AS297" s="7"/>
      <c r="AT297" s="7"/>
      <c r="AU297" s="7"/>
      <c r="AV297" s="7"/>
      <c r="AW297" s="7"/>
      <c r="AX297" s="7"/>
      <c r="AY297" s="7"/>
      <c r="AZ297" s="7"/>
      <c r="BA297" s="7"/>
      <c r="BB297" s="7"/>
      <c r="BC297" s="7"/>
      <c r="BD297" s="7"/>
      <c r="BE297" s="7"/>
      <c r="BF297" s="7"/>
      <c r="BG297" s="7"/>
    </row>
    <row r="298" customHeight="1" spans="1:59">
      <c r="A298" s="9" t="str">
        <f>IF(ActiveDatabase=Standby,Secondary!A298,Primary!A298)</f>
        <v>Daymar 61</v>
      </c>
      <c r="B298" s="5" t="str">
        <f>IF(ActiveDatabase=Standby,Secondary!B298,Primary!B298)</f>
        <v>Daymar 72</v>
      </c>
      <c r="C298" s="5" t="str">
        <f>IF(ActiveDatabase=Standby,Secondary!C298,Primary!C298)</f>
        <v>Daymar 08</v>
      </c>
      <c r="D298" s="5" t="str">
        <f>IF(ActiveDatabase=Standby,Secondary!D298,Primary!D298)</f>
        <v>Sand Cave 54P</v>
      </c>
      <c r="E298" s="6" t="str">
        <f>IF(ActiveDatabase=Standby,Secondary!E298,Primary!E298)</f>
        <v>SCave 54P</v>
      </c>
      <c r="F298" s="10">
        <f>IF(ActiveDatabase=Standby,Secondary!F298,Primary!F298)</f>
        <v>-218.449170663</v>
      </c>
      <c r="G298" s="10">
        <f>IF(ActiveDatabase=Standby,Secondary!G298,Primary!G298)</f>
        <v>191.796701383</v>
      </c>
      <c r="H298" s="10">
        <f>IF(ActiveDatabase=Standby,Secondary!H298,Primary!H298)</f>
        <v>50.6999874849999</v>
      </c>
      <c r="I298" s="13">
        <f>IF(ActiveDatabase=Standby,Secondary!I298,Primary!I298)</f>
        <v>0</v>
      </c>
      <c r="J298" s="13">
        <f>IF(ActiveDatabase=Standby,Secondary!J298,Primary!J298)</f>
        <v>0</v>
      </c>
      <c r="K298" s="13">
        <f>IF(ActiveDatabase=Standby,Secondary!K298,Primary!K298)</f>
        <v>0</v>
      </c>
      <c r="L298" s="13">
        <f>IF(ActiveDatabase=Standby,Secondary!L298,Primary!L298)</f>
        <v>0</v>
      </c>
      <c r="M298" s="7" t="b">
        <f>IF(ActiveDatabase=Standby,Secondary!M298,Primary!M298)</f>
        <v>0</v>
      </c>
      <c r="N298" s="10">
        <f>IF(ActiveDatabase=Standby,Secondary!N298,Primary!N298)</f>
        <v>0</v>
      </c>
      <c r="O298" s="10">
        <f>IF(ActiveDatabase=Standby,Secondary!O298,Primary!O298)</f>
        <v>0</v>
      </c>
      <c r="P298" s="10">
        <f>IF(ActiveDatabase=Standby,Secondary!P298,Primary!P298)</f>
        <v>0</v>
      </c>
      <c r="Q298" s="6">
        <f>IF(ActiveDatabase=Standby,Secondary!Q298,Primary!Q298)</f>
        <v>0</v>
      </c>
      <c r="R298" s="18">
        <f>IF(ActiveDatabase=Standby,Secondary!R298,Primary!R298)</f>
        <v>0</v>
      </c>
      <c r="S298" s="19">
        <f>IF(ActiveDatabase=Standby,Secondary!S298,Primary!S298)</f>
        <v>0</v>
      </c>
      <c r="T298" s="10">
        <f>IF(ActiveDatabase=Standby,Secondary!T298,Primary!T298)</f>
        <v>0</v>
      </c>
      <c r="U298" s="10">
        <f>IF(ActiveDatabase=Standby,Secondary!U298,Primary!U298)</f>
        <v>0</v>
      </c>
      <c r="V298" s="10">
        <f>IF(ActiveDatabase=Standby,Secondary!V298,Primary!V298)</f>
        <v>0</v>
      </c>
      <c r="W298" s="6">
        <f>IF(ActiveDatabase=Standby,Secondary!W298,Primary!W298)</f>
        <v>0</v>
      </c>
      <c r="X298" s="6">
        <f>IF(ActiveDatabase=Standby,Secondary!X298,Primary!X298)</f>
        <v>0</v>
      </c>
      <c r="Y298" s="12">
        <f>IF(ActiveDatabase=Standby,Secondary!Y298,Primary!Y298)</f>
        <v>0</v>
      </c>
      <c r="Z298" s="12">
        <f>IF(ActiveDatabase=Standby,Secondary!Z298,Primary!Z298)</f>
        <v>0</v>
      </c>
      <c r="AA298" s="7">
        <f>IF(ActiveDatabase=Standby,Secondary!AA298,Primary!AA298)</f>
        <v>0</v>
      </c>
      <c r="AB298" s="12"/>
      <c r="AC298" s="6"/>
      <c r="AD298" s="6"/>
      <c r="AE298" s="7"/>
      <c r="AF298" s="7"/>
      <c r="AG298" s="7"/>
      <c r="AH298" s="7"/>
      <c r="AI298" s="7"/>
      <c r="AJ298" s="7"/>
      <c r="AK298" s="7"/>
      <c r="AL298" s="7"/>
      <c r="AM298" s="7"/>
      <c r="AN298" s="7"/>
      <c r="AO298" s="6"/>
      <c r="AP298" s="7"/>
      <c r="AQ298" s="7"/>
      <c r="AR298" s="6"/>
      <c r="AS298" s="7"/>
      <c r="AT298" s="7"/>
      <c r="AU298" s="7"/>
      <c r="AV298" s="7"/>
      <c r="AW298" s="7"/>
      <c r="AX298" s="7"/>
      <c r="AY298" s="7"/>
      <c r="AZ298" s="7"/>
      <c r="BA298" s="7"/>
      <c r="BB298" s="7"/>
      <c r="BC298" s="7"/>
      <c r="BD298" s="7"/>
      <c r="BE298" s="7"/>
      <c r="BF298" s="7"/>
      <c r="BG298" s="7"/>
    </row>
    <row r="299" customHeight="1" spans="1:59">
      <c r="A299" s="9" t="str">
        <f>IF(ActiveDatabase=Standby,Secondary!A299,Primary!A299)</f>
        <v>Daymar 62</v>
      </c>
      <c r="B299" s="5" t="str">
        <f>IF(ActiveDatabase=Standby,Secondary!B299,Primary!B299)</f>
        <v>Daymar 73</v>
      </c>
      <c r="C299" s="5" t="str">
        <f>IF(ActiveDatabase=Standby,Secondary!C299,Primary!C299)</f>
        <v>Daymar 03</v>
      </c>
      <c r="D299" s="5" t="str">
        <f>IF(ActiveDatabase=Standby,Secondary!D299,Primary!D299)</f>
        <v>Sand Cave 58G</v>
      </c>
      <c r="E299" s="6" t="str">
        <f>IF(ActiveDatabase=Standby,Secondary!E299,Primary!E299)</f>
        <v>SCave 58G</v>
      </c>
      <c r="F299" s="10">
        <f>IF(ActiveDatabase=Standby,Secondary!F299,Primary!F299)</f>
        <v>-213.400443701999</v>
      </c>
      <c r="G299" s="10">
        <f>IF(ActiveDatabase=Standby,Secondary!G299,Primary!G299)</f>
        <v>53.8214768289999</v>
      </c>
      <c r="H299" s="10">
        <f>IF(ActiveDatabase=Standby,Secondary!H299,Primary!H299)</f>
        <v>-196.770674222</v>
      </c>
      <c r="I299" s="13">
        <f>IF(ActiveDatabase=Standby,Secondary!I299,Primary!I299)</f>
        <v>0</v>
      </c>
      <c r="J299" s="13">
        <f>IF(ActiveDatabase=Standby,Secondary!J299,Primary!J299)</f>
        <v>0</v>
      </c>
      <c r="K299" s="13">
        <f>IF(ActiveDatabase=Standby,Secondary!K299,Primary!K299)</f>
        <v>0</v>
      </c>
      <c r="L299" s="13">
        <f>IF(ActiveDatabase=Standby,Secondary!L299,Primary!L299)</f>
        <v>0</v>
      </c>
      <c r="M299" s="7" t="b">
        <f>IF(ActiveDatabase=Standby,Secondary!M299,Primary!M299)</f>
        <v>0</v>
      </c>
      <c r="N299" s="10">
        <f>IF(ActiveDatabase=Standby,Secondary!N299,Primary!N299)</f>
        <v>0</v>
      </c>
      <c r="O299" s="10">
        <f>IF(ActiveDatabase=Standby,Secondary!O299,Primary!O299)</f>
        <v>0</v>
      </c>
      <c r="P299" s="10">
        <f>IF(ActiveDatabase=Standby,Secondary!P299,Primary!P299)</f>
        <v>0</v>
      </c>
      <c r="Q299" s="6">
        <f>IF(ActiveDatabase=Standby,Secondary!Q299,Primary!Q299)</f>
        <v>0</v>
      </c>
      <c r="R299" s="18">
        <f>IF(ActiveDatabase=Standby,Secondary!R299,Primary!R299)</f>
        <v>0</v>
      </c>
      <c r="S299" s="19">
        <f>IF(ActiveDatabase=Standby,Secondary!S299,Primary!S299)</f>
        <v>0</v>
      </c>
      <c r="T299" s="10">
        <f>IF(ActiveDatabase=Standby,Secondary!T299,Primary!T299)</f>
        <v>0</v>
      </c>
      <c r="U299" s="10">
        <f>IF(ActiveDatabase=Standby,Secondary!U299,Primary!U299)</f>
        <v>0</v>
      </c>
      <c r="V299" s="10">
        <f>IF(ActiveDatabase=Standby,Secondary!V299,Primary!V299)</f>
        <v>0</v>
      </c>
      <c r="W299" s="6">
        <f>IF(ActiveDatabase=Standby,Secondary!W299,Primary!W299)</f>
        <v>0</v>
      </c>
      <c r="X299" s="6">
        <f>IF(ActiveDatabase=Standby,Secondary!X299,Primary!X299)</f>
        <v>0</v>
      </c>
      <c r="Y299" s="12">
        <f>IF(ActiveDatabase=Standby,Secondary!Y299,Primary!Y299)</f>
        <v>0</v>
      </c>
      <c r="Z299" s="12">
        <f>IF(ActiveDatabase=Standby,Secondary!Z299,Primary!Z299)</f>
        <v>0</v>
      </c>
      <c r="AA299" s="7">
        <f>IF(ActiveDatabase=Standby,Secondary!AA299,Primary!AA299)</f>
        <v>0</v>
      </c>
      <c r="AB299" s="12"/>
      <c r="AC299" s="6"/>
      <c r="AD299" s="6"/>
      <c r="AE299" s="7"/>
      <c r="AF299" s="7"/>
      <c r="AG299" s="7"/>
      <c r="AH299" s="7"/>
      <c r="AI299" s="7"/>
      <c r="AJ299" s="7"/>
      <c r="AK299" s="7"/>
      <c r="AL299" s="7"/>
      <c r="AM299" s="7"/>
      <c r="AN299" s="7"/>
      <c r="AO299" s="6"/>
      <c r="AP299" s="7"/>
      <c r="AQ299" s="7"/>
      <c r="AR299" s="6"/>
      <c r="AS299" s="7"/>
      <c r="AT299" s="7"/>
      <c r="AU299" s="7"/>
      <c r="AV299" s="7"/>
      <c r="AW299" s="7"/>
      <c r="AX299" s="7"/>
      <c r="AY299" s="7"/>
      <c r="AZ299" s="7"/>
      <c r="BA299" s="7"/>
      <c r="BB299" s="7"/>
      <c r="BC299" s="7"/>
      <c r="BD299" s="7"/>
      <c r="BE299" s="7"/>
      <c r="BF299" s="7"/>
      <c r="BG299" s="7"/>
    </row>
    <row r="300" customHeight="1" spans="1:59">
      <c r="A300" s="9" t="str">
        <f>IF(ActiveDatabase=Standby,Secondary!A300,Primary!A300)</f>
        <v>Daymar 37</v>
      </c>
      <c r="B300" s="5" t="str">
        <f>IF(ActiveDatabase=Standby,Secondary!B300,Primary!B300)</f>
        <v>Daymar 48</v>
      </c>
      <c r="C300" s="5" t="str">
        <f>IF(ActiveDatabase=Standby,Secondary!C300,Primary!C300)</f>
        <v>Daymar 68</v>
      </c>
      <c r="D300" s="5" t="str">
        <f>IF(ActiveDatabase=Standby,Secondary!D300,Primary!D300)</f>
        <v>Sand Cave 05E</v>
      </c>
      <c r="E300" s="6" t="str">
        <f>IF(ActiveDatabase=Standby,Secondary!E300,Primary!E300)</f>
        <v>SCave 05E</v>
      </c>
      <c r="F300" s="10">
        <f>IF(ActiveDatabase=Standby,Secondary!F300,Primary!F300)</f>
        <v>-141.219153261</v>
      </c>
      <c r="G300" s="10">
        <f>IF(ActiveDatabase=Standby,Secondary!G300,Primary!G300)</f>
        <v>-73.398548334</v>
      </c>
      <c r="H300" s="10">
        <f>IF(ActiveDatabase=Standby,Secondary!H300,Primary!H300)</f>
        <v>-248.560479117999</v>
      </c>
      <c r="I300" s="13">
        <f>IF(ActiveDatabase=Standby,Secondary!I300,Primary!I300)</f>
        <v>0</v>
      </c>
      <c r="J300" s="13">
        <f>IF(ActiveDatabase=Standby,Secondary!J300,Primary!J300)</f>
        <v>0</v>
      </c>
      <c r="K300" s="13">
        <f>IF(ActiveDatabase=Standby,Secondary!K300,Primary!K300)</f>
        <v>0</v>
      </c>
      <c r="L300" s="13">
        <f>IF(ActiveDatabase=Standby,Secondary!L300,Primary!L300)</f>
        <v>0</v>
      </c>
      <c r="M300" s="7" t="b">
        <f>IF(ActiveDatabase=Standby,Secondary!M300,Primary!M300)</f>
        <v>0</v>
      </c>
      <c r="N300" s="10">
        <f>IF(ActiveDatabase=Standby,Secondary!N300,Primary!N300)</f>
        <v>0</v>
      </c>
      <c r="O300" s="10">
        <f>IF(ActiveDatabase=Standby,Secondary!O300,Primary!O300)</f>
        <v>0</v>
      </c>
      <c r="P300" s="10">
        <f>IF(ActiveDatabase=Standby,Secondary!P300,Primary!P300)</f>
        <v>0</v>
      </c>
      <c r="Q300" s="6">
        <f>IF(ActiveDatabase=Standby,Secondary!Q300,Primary!Q300)</f>
        <v>0</v>
      </c>
      <c r="R300" s="18">
        <f>IF(ActiveDatabase=Standby,Secondary!R300,Primary!R300)</f>
        <v>0</v>
      </c>
      <c r="S300" s="19">
        <f>IF(ActiveDatabase=Standby,Secondary!S300,Primary!S300)</f>
        <v>0</v>
      </c>
      <c r="T300" s="10">
        <f>IF(ActiveDatabase=Standby,Secondary!T300,Primary!T300)</f>
        <v>0</v>
      </c>
      <c r="U300" s="10">
        <f>IF(ActiveDatabase=Standby,Secondary!U300,Primary!U300)</f>
        <v>0</v>
      </c>
      <c r="V300" s="10">
        <f>IF(ActiveDatabase=Standby,Secondary!V300,Primary!V300)</f>
        <v>0</v>
      </c>
      <c r="W300" s="6">
        <f>IF(ActiveDatabase=Standby,Secondary!W300,Primary!W300)</f>
        <v>0</v>
      </c>
      <c r="X300" s="6">
        <f>IF(ActiveDatabase=Standby,Secondary!X300,Primary!X300)</f>
        <v>0</v>
      </c>
      <c r="Y300" s="12">
        <f>IF(ActiveDatabase=Standby,Secondary!Y300,Primary!Y300)</f>
        <v>0</v>
      </c>
      <c r="Z300" s="12">
        <f>IF(ActiveDatabase=Standby,Secondary!Z300,Primary!Z300)</f>
        <v>0</v>
      </c>
      <c r="AA300" s="7">
        <f>IF(ActiveDatabase=Standby,Secondary!AA300,Primary!AA300)</f>
        <v>0</v>
      </c>
      <c r="AB300" s="12"/>
      <c r="AC300" s="6"/>
      <c r="AD300" s="6"/>
      <c r="AE300" s="7"/>
      <c r="AF300" s="7"/>
      <c r="AG300" s="7"/>
      <c r="AH300" s="7"/>
      <c r="AI300" s="7"/>
      <c r="AJ300" s="7"/>
      <c r="AK300" s="7"/>
      <c r="AL300" s="7"/>
      <c r="AM300" s="7"/>
      <c r="AN300" s="7"/>
      <c r="AO300" s="6"/>
      <c r="AP300" s="7"/>
      <c r="AQ300" s="7"/>
      <c r="AR300" s="6"/>
      <c r="AS300" s="7"/>
      <c r="AT300" s="7"/>
      <c r="AU300" s="7"/>
      <c r="AV300" s="7"/>
      <c r="AW300" s="7"/>
      <c r="AX300" s="7"/>
      <c r="AY300" s="7"/>
      <c r="AZ300" s="7"/>
      <c r="BA300" s="7"/>
      <c r="BB300" s="7"/>
      <c r="BC300" s="7"/>
      <c r="BD300" s="7"/>
      <c r="BE300" s="7"/>
      <c r="BF300" s="7"/>
      <c r="BG300" s="7"/>
    </row>
    <row r="301" customHeight="1" spans="1:59">
      <c r="A301" s="9" t="str">
        <f>IF(ActiveDatabase=Standby,Secondary!A301,Primary!A301)</f>
        <v>Daymar 40</v>
      </c>
      <c r="B301" s="5" t="str">
        <f>IF(ActiveDatabase=Standby,Secondary!B301,Primary!B301)</f>
        <v>Daymar 51</v>
      </c>
      <c r="C301" s="5" t="str">
        <f>IF(ActiveDatabase=Standby,Secondary!C301,Primary!C301)</f>
        <v>Daymar 62</v>
      </c>
      <c r="D301" s="5" t="str">
        <f>IF(ActiveDatabase=Standby,Secondary!D301,Primary!D301)</f>
        <v>Sand Cave 09G</v>
      </c>
      <c r="E301" s="6" t="str">
        <f>IF(ActiveDatabase=Standby,Secondary!E301,Primary!E301)</f>
        <v>SCave 09G</v>
      </c>
      <c r="F301" s="10">
        <f>IF(ActiveDatabase=Standby,Secondary!F301,Primary!F301)</f>
        <v>-137.603332209999</v>
      </c>
      <c r="G301" s="10">
        <f>IF(ActiveDatabase=Standby,Secondary!G301,Primary!G301)</f>
        <v>-155.588942023999</v>
      </c>
      <c r="H301" s="10">
        <f>IF(ActiveDatabase=Standby,Secondary!H301,Primary!H301)</f>
        <v>-210.125581460999</v>
      </c>
      <c r="I301" s="13">
        <f>IF(ActiveDatabase=Standby,Secondary!I301,Primary!I301)</f>
        <v>0</v>
      </c>
      <c r="J301" s="13">
        <f>IF(ActiveDatabase=Standby,Secondary!J301,Primary!J301)</f>
        <v>0</v>
      </c>
      <c r="K301" s="13">
        <f>IF(ActiveDatabase=Standby,Secondary!K301,Primary!K301)</f>
        <v>0</v>
      </c>
      <c r="L301" s="13">
        <f>IF(ActiveDatabase=Standby,Secondary!L301,Primary!L301)</f>
        <v>0</v>
      </c>
      <c r="M301" s="7" t="b">
        <f>IF(ActiveDatabase=Standby,Secondary!M301,Primary!M301)</f>
        <v>0</v>
      </c>
      <c r="N301" s="10">
        <f>IF(ActiveDatabase=Standby,Secondary!N301,Primary!N301)</f>
        <v>0</v>
      </c>
      <c r="O301" s="10">
        <f>IF(ActiveDatabase=Standby,Secondary!O301,Primary!O301)</f>
        <v>0</v>
      </c>
      <c r="P301" s="10">
        <f>IF(ActiveDatabase=Standby,Secondary!P301,Primary!P301)</f>
        <v>0</v>
      </c>
      <c r="Q301" s="6">
        <f>IF(ActiveDatabase=Standby,Secondary!Q301,Primary!Q301)</f>
        <v>0</v>
      </c>
      <c r="R301" s="18">
        <f>IF(ActiveDatabase=Standby,Secondary!R301,Primary!R301)</f>
        <v>0</v>
      </c>
      <c r="S301" s="19">
        <f>IF(ActiveDatabase=Standby,Secondary!S301,Primary!S301)</f>
        <v>0</v>
      </c>
      <c r="T301" s="10">
        <f>IF(ActiveDatabase=Standby,Secondary!T301,Primary!T301)</f>
        <v>0</v>
      </c>
      <c r="U301" s="10">
        <f>IF(ActiveDatabase=Standby,Secondary!U301,Primary!U301)</f>
        <v>0</v>
      </c>
      <c r="V301" s="10">
        <f>IF(ActiveDatabase=Standby,Secondary!V301,Primary!V301)</f>
        <v>0</v>
      </c>
      <c r="W301" s="6">
        <f>IF(ActiveDatabase=Standby,Secondary!W301,Primary!W301)</f>
        <v>0</v>
      </c>
      <c r="X301" s="6">
        <f>IF(ActiveDatabase=Standby,Secondary!X301,Primary!X301)</f>
        <v>0</v>
      </c>
      <c r="Y301" s="12">
        <f>IF(ActiveDatabase=Standby,Secondary!Y301,Primary!Y301)</f>
        <v>0</v>
      </c>
      <c r="Z301" s="12">
        <f>IF(ActiveDatabase=Standby,Secondary!Z301,Primary!Z301)</f>
        <v>0</v>
      </c>
      <c r="AA301" s="9">
        <f>IF(ActiveDatabase=Standby,Secondary!AA301,Primary!AA301)</f>
        <v>0</v>
      </c>
      <c r="AB301" s="12"/>
      <c r="AC301" s="6"/>
      <c r="AD301" s="6"/>
      <c r="AE301" s="7"/>
      <c r="AF301" s="7"/>
      <c r="AG301" s="7"/>
      <c r="AH301" s="7"/>
      <c r="AI301" s="7"/>
      <c r="AJ301" s="7"/>
      <c r="AK301" s="7"/>
      <c r="AL301" s="7"/>
      <c r="AM301" s="7"/>
      <c r="AN301" s="7"/>
      <c r="AO301" s="6"/>
      <c r="AP301" s="7"/>
      <c r="AQ301" s="7"/>
      <c r="AR301" s="6"/>
      <c r="AS301" s="7"/>
      <c r="AT301" s="7"/>
      <c r="AU301" s="7"/>
      <c r="AV301" s="7"/>
      <c r="AW301" s="7"/>
      <c r="AX301" s="7"/>
      <c r="AY301" s="7"/>
      <c r="AZ301" s="7"/>
      <c r="BA301" s="7"/>
      <c r="BB301" s="7"/>
      <c r="BC301" s="7"/>
      <c r="BD301" s="7"/>
      <c r="BE301" s="7"/>
      <c r="BF301" s="7"/>
      <c r="BG301" s="7"/>
    </row>
    <row r="302" customHeight="1" spans="1:59">
      <c r="A302" s="9" t="str">
        <f>IF(ActiveDatabase=Standby,Secondary!A302,Primary!A302)</f>
        <v>Daymar 35</v>
      </c>
      <c r="B302" s="5" t="str">
        <f>IF(ActiveDatabase=Standby,Secondary!B302,Primary!B302)</f>
        <v>Daymar 46</v>
      </c>
      <c r="C302" s="5" t="str">
        <f>IF(ActiveDatabase=Standby,Secondary!C302,Primary!C302)</f>
        <v>Daymar 73</v>
      </c>
      <c r="D302" s="5" t="str">
        <f>IF(ActiveDatabase=Standby,Secondary!D302,Primary!D302)</f>
        <v>Sand Cave 02J</v>
      </c>
      <c r="E302" s="6" t="str">
        <f>IF(ActiveDatabase=Standby,Secondary!E302,Primary!E302)</f>
        <v>SCave 02J</v>
      </c>
      <c r="F302" s="10">
        <f>IF(ActiveDatabase=Standby,Secondary!F302,Primary!F302)</f>
        <v>-260.865534217</v>
      </c>
      <c r="G302" s="10">
        <f>IF(ActiveDatabase=Standby,Secondary!G302,Primary!G302)</f>
        <v>-43.31514149</v>
      </c>
      <c r="H302" s="10">
        <f>IF(ActiveDatabase=Standby,Secondary!H302,Primary!H302)</f>
        <v>-131.051009189</v>
      </c>
      <c r="I302" s="13">
        <f>IF(ActiveDatabase=Standby,Secondary!I302,Primary!I302)</f>
        <v>0</v>
      </c>
      <c r="J302" s="13">
        <f>IF(ActiveDatabase=Standby,Secondary!J302,Primary!J302)</f>
        <v>0</v>
      </c>
      <c r="K302" s="13">
        <f>IF(ActiveDatabase=Standby,Secondary!K302,Primary!K302)</f>
        <v>0</v>
      </c>
      <c r="L302" s="13">
        <f>IF(ActiveDatabase=Standby,Secondary!L302,Primary!L302)</f>
        <v>0</v>
      </c>
      <c r="M302" s="7" t="b">
        <f>IF(ActiveDatabase=Standby,Secondary!M302,Primary!M302)</f>
        <v>0</v>
      </c>
      <c r="N302" s="10">
        <f>IF(ActiveDatabase=Standby,Secondary!N302,Primary!N302)</f>
        <v>0</v>
      </c>
      <c r="O302" s="10">
        <f>IF(ActiveDatabase=Standby,Secondary!O302,Primary!O302)</f>
        <v>0</v>
      </c>
      <c r="P302" s="10">
        <f>IF(ActiveDatabase=Standby,Secondary!P302,Primary!P302)</f>
        <v>0</v>
      </c>
      <c r="Q302" s="6">
        <f>IF(ActiveDatabase=Standby,Secondary!Q302,Primary!Q302)</f>
        <v>0</v>
      </c>
      <c r="R302" s="18">
        <f>IF(ActiveDatabase=Standby,Secondary!R302,Primary!R302)</f>
        <v>0</v>
      </c>
      <c r="S302" s="19">
        <f>IF(ActiveDatabase=Standby,Secondary!S302,Primary!S302)</f>
        <v>0</v>
      </c>
      <c r="T302" s="10">
        <f>IF(ActiveDatabase=Standby,Secondary!T302,Primary!T302)</f>
        <v>0</v>
      </c>
      <c r="U302" s="10">
        <f>IF(ActiveDatabase=Standby,Secondary!U302,Primary!U302)</f>
        <v>0</v>
      </c>
      <c r="V302" s="10">
        <f>IF(ActiveDatabase=Standby,Secondary!V302,Primary!V302)</f>
        <v>0</v>
      </c>
      <c r="W302" s="6">
        <f>IF(ActiveDatabase=Standby,Secondary!W302,Primary!W302)</f>
        <v>0</v>
      </c>
      <c r="X302" s="6">
        <f>IF(ActiveDatabase=Standby,Secondary!X302,Primary!X302)</f>
        <v>0</v>
      </c>
      <c r="Y302" s="12">
        <f>IF(ActiveDatabase=Standby,Secondary!Y302,Primary!Y302)</f>
        <v>0</v>
      </c>
      <c r="Z302" s="12">
        <f>IF(ActiveDatabase=Standby,Secondary!Z302,Primary!Z302)</f>
        <v>0</v>
      </c>
      <c r="AA302" s="9">
        <f>IF(ActiveDatabase=Standby,Secondary!AA302,Primary!AA302)</f>
        <v>0</v>
      </c>
      <c r="AB302" s="12"/>
      <c r="AC302" s="6"/>
      <c r="AD302" s="6"/>
      <c r="AE302" s="7"/>
      <c r="AF302" s="7"/>
      <c r="AG302" s="7"/>
      <c r="AH302" s="7"/>
      <c r="AI302" s="7"/>
      <c r="AJ302" s="7"/>
      <c r="AK302" s="7"/>
      <c r="AL302" s="7"/>
      <c r="AM302" s="7"/>
      <c r="AN302" s="7"/>
      <c r="AO302" s="6"/>
      <c r="AP302" s="7"/>
      <c r="AQ302" s="7"/>
      <c r="AR302" s="6"/>
      <c r="AS302" s="7"/>
      <c r="AT302" s="7"/>
      <c r="AU302" s="7"/>
      <c r="AV302" s="7"/>
      <c r="AW302" s="7"/>
      <c r="AX302" s="7"/>
      <c r="AY302" s="7"/>
      <c r="AZ302" s="7"/>
      <c r="BA302" s="7"/>
      <c r="BB302" s="7"/>
      <c r="BC302" s="7"/>
      <c r="BD302" s="7"/>
      <c r="BE302" s="7"/>
      <c r="BF302" s="7"/>
      <c r="BG302" s="7"/>
    </row>
    <row r="303" customHeight="1" spans="1:59">
      <c r="A303" s="9" t="str">
        <f>IF(ActiveDatabase=Standby,Secondary!A303,Primary!A303)</f>
        <v>Daymar 64</v>
      </c>
      <c r="B303" s="5" t="str">
        <f>IF(ActiveDatabase=Standby,Secondary!B303,Primary!B303)</f>
        <v>Daymar 75</v>
      </c>
      <c r="C303" s="5" t="str">
        <f>IF(ActiveDatabase=Standby,Secondary!C303,Primary!C303)</f>
        <v>Daymar 01</v>
      </c>
      <c r="D303" s="5" t="str">
        <f>IF(ActiveDatabase=Standby,Secondary!D303,Primary!D303)</f>
        <v>Sand Cave 59P</v>
      </c>
      <c r="E303" s="6" t="str">
        <f>IF(ActiveDatabase=Standby,Secondary!E303,Primary!E303)</f>
        <v>SCave 59P</v>
      </c>
      <c r="F303" s="10">
        <f>IF(ActiveDatabase=Standby,Secondary!F303,Primary!F303)</f>
        <v>-283.240807665999</v>
      </c>
      <c r="G303" s="10">
        <f>IF(ActiveDatabase=Standby,Secondary!G303,Primary!G303)</f>
        <v>53.891660141</v>
      </c>
      <c r="H303" s="10">
        <f>IF(ActiveDatabase=Standby,Secondary!H303,Primary!H303)</f>
        <v>62.8879730429999</v>
      </c>
      <c r="I303" s="13">
        <f>IF(ActiveDatabase=Standby,Secondary!I303,Primary!I303)</f>
        <v>0</v>
      </c>
      <c r="J303" s="13">
        <f>IF(ActiveDatabase=Standby,Secondary!J303,Primary!J303)</f>
        <v>0</v>
      </c>
      <c r="K303" s="13">
        <f>IF(ActiveDatabase=Standby,Secondary!K303,Primary!K303)</f>
        <v>0</v>
      </c>
      <c r="L303" s="13">
        <f>IF(ActiveDatabase=Standby,Secondary!L303,Primary!L303)</f>
        <v>0</v>
      </c>
      <c r="M303" s="7" t="b">
        <f>IF(ActiveDatabase=Standby,Secondary!M303,Primary!M303)</f>
        <v>0</v>
      </c>
      <c r="N303" s="10">
        <f>IF(ActiveDatabase=Standby,Secondary!N303,Primary!N303)</f>
        <v>0</v>
      </c>
      <c r="O303" s="10">
        <f>IF(ActiveDatabase=Standby,Secondary!O303,Primary!O303)</f>
        <v>0</v>
      </c>
      <c r="P303" s="10">
        <f>IF(ActiveDatabase=Standby,Secondary!P303,Primary!P303)</f>
        <v>0</v>
      </c>
      <c r="Q303" s="6">
        <f>IF(ActiveDatabase=Standby,Secondary!Q303,Primary!Q303)</f>
        <v>0</v>
      </c>
      <c r="R303" s="18">
        <f>IF(ActiveDatabase=Standby,Secondary!R303,Primary!R303)</f>
        <v>0</v>
      </c>
      <c r="S303" s="19">
        <f>IF(ActiveDatabase=Standby,Secondary!S303,Primary!S303)</f>
        <v>0</v>
      </c>
      <c r="T303" s="10">
        <f>IF(ActiveDatabase=Standby,Secondary!T303,Primary!T303)</f>
        <v>0</v>
      </c>
      <c r="U303" s="10">
        <f>IF(ActiveDatabase=Standby,Secondary!U303,Primary!U303)</f>
        <v>0</v>
      </c>
      <c r="V303" s="10">
        <f>IF(ActiveDatabase=Standby,Secondary!V303,Primary!V303)</f>
        <v>0</v>
      </c>
      <c r="W303" s="6">
        <f>IF(ActiveDatabase=Standby,Secondary!W303,Primary!W303)</f>
        <v>0</v>
      </c>
      <c r="X303" s="6">
        <f>IF(ActiveDatabase=Standby,Secondary!X303,Primary!X303)</f>
        <v>0</v>
      </c>
      <c r="Y303" s="12">
        <f>IF(ActiveDatabase=Standby,Secondary!Y303,Primary!Y303)</f>
        <v>0</v>
      </c>
      <c r="Z303" s="12">
        <f>IF(ActiveDatabase=Standby,Secondary!Z303,Primary!Z303)</f>
        <v>0</v>
      </c>
      <c r="AA303" s="9">
        <f>IF(ActiveDatabase=Standby,Secondary!AA303,Primary!AA303)</f>
        <v>0</v>
      </c>
      <c r="AB303" s="12"/>
      <c r="AC303" s="6"/>
      <c r="AD303" s="6"/>
      <c r="AE303" s="7"/>
      <c r="AF303" s="7"/>
      <c r="AG303" s="7"/>
      <c r="AH303" s="7"/>
      <c r="AI303" s="7"/>
      <c r="AJ303" s="7"/>
      <c r="AK303" s="7"/>
      <c r="AL303" s="7"/>
      <c r="AM303" s="7"/>
      <c r="AN303" s="7"/>
      <c r="AO303" s="6"/>
      <c r="AP303" s="7"/>
      <c r="AQ303" s="7"/>
      <c r="AR303" s="6"/>
      <c r="AS303" s="7"/>
      <c r="AT303" s="7"/>
      <c r="AU303" s="7"/>
      <c r="AV303" s="7"/>
      <c r="AW303" s="7"/>
      <c r="AX303" s="7"/>
      <c r="AY303" s="7"/>
      <c r="AZ303" s="7"/>
      <c r="BA303" s="7"/>
      <c r="BB303" s="7"/>
      <c r="BC303" s="7"/>
      <c r="BD303" s="7"/>
      <c r="BE303" s="7"/>
      <c r="BF303" s="7"/>
      <c r="BG303" s="7"/>
    </row>
    <row r="304" customHeight="1" spans="1:59">
      <c r="A304" s="9" t="str">
        <f>IF(ActiveDatabase=Standby,Secondary!A304,Primary!A304)</f>
        <v>Daymar 44</v>
      </c>
      <c r="B304" s="5" t="str">
        <f>IF(ActiveDatabase=Standby,Secondary!B304,Primary!B304)</f>
        <v>Daymar 55</v>
      </c>
      <c r="C304" s="5" t="str">
        <f>IF(ActiveDatabase=Standby,Secondary!C304,Primary!C304)</f>
        <v>Daymar 56</v>
      </c>
      <c r="D304" s="5" t="str">
        <f>IF(ActiveDatabase=Standby,Secondary!D304,Primary!D304)</f>
        <v>Sand Cave 17T</v>
      </c>
      <c r="E304" s="6" t="str">
        <f>IF(ActiveDatabase=Standby,Secondary!E304,Primary!E304)</f>
        <v>SCave 17T</v>
      </c>
      <c r="F304" s="10">
        <f>IF(ActiveDatabase=Standby,Secondary!F304,Primary!F304)</f>
        <v>22.7480766909999</v>
      </c>
      <c r="G304" s="10">
        <f>IF(ActiveDatabase=Standby,Secondary!G304,Primary!G304)</f>
        <v>-203.775514082999</v>
      </c>
      <c r="H304" s="10">
        <f>IF(ActiveDatabase=Standby,Secondary!H304,Primary!H304)</f>
        <v>212.299961776999</v>
      </c>
      <c r="I304" s="13">
        <f>IF(ActiveDatabase=Standby,Secondary!I304,Primary!I304)</f>
        <v>0</v>
      </c>
      <c r="J304" s="13">
        <f>IF(ActiveDatabase=Standby,Secondary!J304,Primary!J304)</f>
        <v>0</v>
      </c>
      <c r="K304" s="13">
        <f>IF(ActiveDatabase=Standby,Secondary!K304,Primary!K304)</f>
        <v>0</v>
      </c>
      <c r="L304" s="13">
        <f>IF(ActiveDatabase=Standby,Secondary!L304,Primary!L304)</f>
        <v>0</v>
      </c>
      <c r="M304" s="7" t="b">
        <f>IF(ActiveDatabase=Standby,Secondary!M304,Primary!M304)</f>
        <v>0</v>
      </c>
      <c r="N304" s="10">
        <f>IF(ActiveDatabase=Standby,Secondary!N304,Primary!N304)</f>
        <v>0</v>
      </c>
      <c r="O304" s="10">
        <f>IF(ActiveDatabase=Standby,Secondary!O304,Primary!O304)</f>
        <v>0</v>
      </c>
      <c r="P304" s="10">
        <f>IF(ActiveDatabase=Standby,Secondary!P304,Primary!P304)</f>
        <v>0</v>
      </c>
      <c r="Q304" s="6">
        <f>IF(ActiveDatabase=Standby,Secondary!Q304,Primary!Q304)</f>
        <v>0</v>
      </c>
      <c r="R304" s="18">
        <f>IF(ActiveDatabase=Standby,Secondary!R304,Primary!R304)</f>
        <v>0</v>
      </c>
      <c r="S304" s="19">
        <f>IF(ActiveDatabase=Standby,Secondary!S304,Primary!S304)</f>
        <v>0</v>
      </c>
      <c r="T304" s="10">
        <f>IF(ActiveDatabase=Standby,Secondary!T304,Primary!T304)</f>
        <v>0</v>
      </c>
      <c r="U304" s="10">
        <f>IF(ActiveDatabase=Standby,Secondary!U304,Primary!U304)</f>
        <v>0</v>
      </c>
      <c r="V304" s="10">
        <f>IF(ActiveDatabase=Standby,Secondary!V304,Primary!V304)</f>
        <v>0</v>
      </c>
      <c r="W304" s="6">
        <f>IF(ActiveDatabase=Standby,Secondary!W304,Primary!W304)</f>
        <v>0</v>
      </c>
      <c r="X304" s="6">
        <f>IF(ActiveDatabase=Standby,Secondary!X304,Primary!X304)</f>
        <v>0</v>
      </c>
      <c r="Y304" s="12">
        <f>IF(ActiveDatabase=Standby,Secondary!Y304,Primary!Y304)</f>
        <v>0</v>
      </c>
      <c r="Z304" s="12">
        <f>IF(ActiveDatabase=Standby,Secondary!Z304,Primary!Z304)</f>
        <v>0</v>
      </c>
      <c r="AA304" s="9">
        <f>IF(ActiveDatabase=Standby,Secondary!AA304,Primary!AA304)</f>
        <v>0</v>
      </c>
      <c r="AB304" s="12"/>
      <c r="AC304" s="6"/>
      <c r="AD304" s="6"/>
      <c r="AE304" s="7"/>
      <c r="AF304" s="7"/>
      <c r="AG304" s="7"/>
      <c r="AH304" s="7"/>
      <c r="AI304" s="7"/>
      <c r="AJ304" s="7"/>
      <c r="AK304" s="7"/>
      <c r="AL304" s="7"/>
      <c r="AM304" s="7"/>
      <c r="AN304" s="7"/>
      <c r="AO304" s="6"/>
      <c r="AP304" s="7"/>
      <c r="AQ304" s="7"/>
      <c r="AR304" s="6"/>
      <c r="AS304" s="7"/>
      <c r="AT304" s="7"/>
      <c r="AU304" s="7"/>
      <c r="AV304" s="7"/>
      <c r="AW304" s="7"/>
      <c r="AX304" s="7"/>
      <c r="AY304" s="7"/>
      <c r="AZ304" s="7"/>
      <c r="BA304" s="7"/>
      <c r="BB304" s="7"/>
      <c r="BC304" s="7"/>
      <c r="BD304" s="7"/>
      <c r="BE304" s="7"/>
      <c r="BF304" s="7"/>
      <c r="BG304" s="7"/>
    </row>
    <row r="305" customHeight="1" spans="1:59">
      <c r="A305" s="9" t="str">
        <f>IF(ActiveDatabase=Standby,Secondary!A305,Primary!A305)</f>
        <v>Daymar</v>
      </c>
      <c r="B305" s="5" t="str">
        <f>IF(ActiveDatabase=Standby,Secondary!B305,Primary!B305)</f>
        <v>Daymar 77</v>
      </c>
      <c r="C305" s="5">
        <f>IF(ActiveDatabase=Standby,Secondary!C305,Primary!C305)</f>
        <v>0</v>
      </c>
      <c r="D305" s="5" t="str">
        <f>IF(ActiveDatabase=Standby,Secondary!D305,Primary!D305)</f>
        <v>Wrecks</v>
      </c>
      <c r="E305" s="6">
        <f>IF(ActiveDatabase=Standby,Secondary!E305,Primary!E305)</f>
        <v>0</v>
      </c>
      <c r="F305" s="10">
        <f>IF(ActiveDatabase=Standby,Secondary!F305,Primary!F305)</f>
        <v>0</v>
      </c>
      <c r="G305" s="10">
        <f>IF(ActiveDatabase=Standby,Secondary!G305,Primary!G305)</f>
        <v>0</v>
      </c>
      <c r="H305" s="10">
        <f>IF(ActiveDatabase=Standby,Secondary!H305,Primary!H305)</f>
        <v>0</v>
      </c>
      <c r="I305" s="13">
        <f>IF(ActiveDatabase=Standby,Secondary!I305,Primary!I305)</f>
        <v>0</v>
      </c>
      <c r="J305" s="13">
        <f>IF(ActiveDatabase=Standby,Secondary!J305,Primary!J305)</f>
        <v>0</v>
      </c>
      <c r="K305" s="13">
        <f>IF(ActiveDatabase=Standby,Secondary!K305,Primary!K305)</f>
        <v>0</v>
      </c>
      <c r="L305" s="13">
        <f>IF(ActiveDatabase=Standby,Secondary!L305,Primary!L305)</f>
        <v>0</v>
      </c>
      <c r="M305" s="7">
        <f>IF(ActiveDatabase=Standby,Secondary!M305,Primary!M305)</f>
        <v>0</v>
      </c>
      <c r="N305" s="10">
        <f>IF(ActiveDatabase=Standby,Secondary!N305,Primary!N305)</f>
        <v>0</v>
      </c>
      <c r="O305" s="10">
        <f>IF(ActiveDatabase=Standby,Secondary!O305,Primary!O305)</f>
        <v>0</v>
      </c>
      <c r="P305" s="10">
        <f>IF(ActiveDatabase=Standby,Secondary!P305,Primary!P305)</f>
        <v>0</v>
      </c>
      <c r="Q305" s="6">
        <f>IF(ActiveDatabase=Standby,Secondary!Q305,Primary!Q305)</f>
        <v>0</v>
      </c>
      <c r="R305" s="18">
        <f>IF(ActiveDatabase=Standby,Secondary!R305,Primary!R305)</f>
        <v>0</v>
      </c>
      <c r="S305" s="19">
        <f>IF(ActiveDatabase=Standby,Secondary!S305,Primary!S305)</f>
        <v>0</v>
      </c>
      <c r="T305" s="10">
        <f>IF(ActiveDatabase=Standby,Secondary!T305,Primary!T305)</f>
        <v>0</v>
      </c>
      <c r="U305" s="10">
        <f>IF(ActiveDatabase=Standby,Secondary!U305,Primary!U305)</f>
        <v>0</v>
      </c>
      <c r="V305" s="10">
        <f>IF(ActiveDatabase=Standby,Secondary!V305,Primary!V305)</f>
        <v>0</v>
      </c>
      <c r="W305" s="6">
        <f>IF(ActiveDatabase=Standby,Secondary!W305,Primary!W305)</f>
        <v>0</v>
      </c>
      <c r="X305" s="6">
        <f>IF(ActiveDatabase=Standby,Secondary!X305,Primary!X305)</f>
        <v>0</v>
      </c>
      <c r="Y305" s="12">
        <f>IF(ActiveDatabase=Standby,Secondary!Y305,Primary!Y305)</f>
        <v>0</v>
      </c>
      <c r="Z305" s="12">
        <f>IF(ActiveDatabase=Standby,Secondary!Z305,Primary!Z305)</f>
        <v>0</v>
      </c>
      <c r="AA305" s="9">
        <f>IF(ActiveDatabase=Standby,Secondary!AA305,Primary!AA305)</f>
        <v>0</v>
      </c>
      <c r="AB305" s="12"/>
      <c r="AC305" s="6"/>
      <c r="AD305" s="6"/>
      <c r="AE305" s="7"/>
      <c r="AF305" s="7"/>
      <c r="AG305" s="7"/>
      <c r="AH305" s="7"/>
      <c r="AI305" s="7"/>
      <c r="AJ305" s="7"/>
      <c r="AK305" s="7"/>
      <c r="AL305" s="7"/>
      <c r="AM305" s="7"/>
      <c r="AN305" s="7"/>
      <c r="AO305" s="6"/>
      <c r="AP305" s="7"/>
      <c r="AQ305" s="7"/>
      <c r="AR305" s="6"/>
      <c r="AS305" s="7"/>
      <c r="AT305" s="7"/>
      <c r="AU305" s="7"/>
      <c r="AV305" s="7"/>
      <c r="AW305" s="7"/>
      <c r="AX305" s="7"/>
      <c r="AY305" s="7"/>
      <c r="AZ305" s="7"/>
      <c r="BA305" s="7"/>
      <c r="BB305" s="7"/>
      <c r="BC305" s="7"/>
      <c r="BD305" s="7"/>
      <c r="BE305" s="7"/>
      <c r="BF305" s="7"/>
      <c r="BG305" s="7"/>
    </row>
    <row r="306" customHeight="1" spans="1:59">
      <c r="A306" s="9" t="str">
        <f>IF(ActiveDatabase=Standby,Secondary!A306,Primary!A306)</f>
        <v>Daymar 65</v>
      </c>
      <c r="B306" s="5" t="str">
        <f>IF(ActiveDatabase=Standby,Secondary!B306,Primary!B306)</f>
        <v>Daymar 78</v>
      </c>
      <c r="C306" s="5" t="str">
        <f>IF(ActiveDatabase=Standby,Secondary!C306,Primary!C306)</f>
        <v>Daymar 64</v>
      </c>
      <c r="D306" s="5" t="str">
        <f>IF(ActiveDatabase=Standby,Secondary!D306,Primary!D306)</f>
        <v>Caterpillar Wreck</v>
      </c>
      <c r="E306" s="6" t="str">
        <f>IF(ActiveDatabase=Standby,Secondary!E306,Primary!E306)</f>
        <v>Caterpillar</v>
      </c>
      <c r="F306" s="10">
        <f>IF(ActiveDatabase=Standby,Secondary!F306,Primary!F306)</f>
        <v>-171.449193182206</v>
      </c>
      <c r="G306" s="10">
        <f>IF(ActiveDatabase=Standby,Secondary!G306,Primary!G306)</f>
        <v>-162.79850854902</v>
      </c>
      <c r="H306" s="10">
        <f>IF(ActiveDatabase=Standby,Secondary!H306,Primary!H306)</f>
        <v>177.207410023949</v>
      </c>
      <c r="I306" s="13">
        <f>IF(ActiveDatabase=Standby,Secondary!I306,Primary!I306)</f>
        <v>0</v>
      </c>
      <c r="J306" s="13">
        <f>IF(ActiveDatabase=Standby,Secondary!J306,Primary!J306)</f>
        <v>0</v>
      </c>
      <c r="K306" s="13">
        <f>IF(ActiveDatabase=Standby,Secondary!K306,Primary!K306)</f>
        <v>0</v>
      </c>
      <c r="L306" s="13">
        <f>IF(ActiveDatabase=Standby,Secondary!L306,Primary!L306)</f>
        <v>0</v>
      </c>
      <c r="M306" s="7" t="b">
        <f>IF(ActiveDatabase=Standby,Secondary!M306,Primary!M306)</f>
        <v>0</v>
      </c>
      <c r="N306" s="10">
        <f>IF(ActiveDatabase=Standby,Secondary!N306,Primary!N306)</f>
        <v>0</v>
      </c>
      <c r="O306" s="10">
        <f>IF(ActiveDatabase=Standby,Secondary!O306,Primary!O306)</f>
        <v>0</v>
      </c>
      <c r="P306" s="10">
        <f>IF(ActiveDatabase=Standby,Secondary!P306,Primary!P306)</f>
        <v>0</v>
      </c>
      <c r="Q306" s="6">
        <f>IF(ActiveDatabase=Standby,Secondary!Q306,Primary!Q306)</f>
        <v>0</v>
      </c>
      <c r="R306" s="18">
        <f>IF(ActiveDatabase=Standby,Secondary!R306,Primary!R306)</f>
        <v>0</v>
      </c>
      <c r="S306" s="19">
        <f>IF(ActiveDatabase=Standby,Secondary!S306,Primary!S306)</f>
        <v>0</v>
      </c>
      <c r="T306" s="10">
        <f>IF(ActiveDatabase=Standby,Secondary!T306,Primary!T306)</f>
        <v>0</v>
      </c>
      <c r="U306" s="10">
        <f>IF(ActiveDatabase=Standby,Secondary!U306,Primary!U306)</f>
        <v>0</v>
      </c>
      <c r="V306" s="10">
        <f>IF(ActiveDatabase=Standby,Secondary!V306,Primary!V306)</f>
        <v>0</v>
      </c>
      <c r="W306" s="6">
        <f>IF(ActiveDatabase=Standby,Secondary!W306,Primary!W306)</f>
        <v>0</v>
      </c>
      <c r="X306" s="6">
        <f>IF(ActiveDatabase=Standby,Secondary!X306,Primary!X306)</f>
        <v>0</v>
      </c>
      <c r="Y306" s="12">
        <f>IF(ActiveDatabase=Standby,Secondary!Y306,Primary!Y306)</f>
        <v>0</v>
      </c>
      <c r="Z306" s="12">
        <f>IF(ActiveDatabase=Standby,Secondary!Z306,Primary!Z306)</f>
        <v>0</v>
      </c>
      <c r="AA306" s="9">
        <f>IF(ActiveDatabase=Standby,Secondary!AA306,Primary!AA306)</f>
        <v>0</v>
      </c>
      <c r="AB306" s="12"/>
      <c r="AC306" s="6"/>
      <c r="AD306" s="6"/>
      <c r="AE306" s="7"/>
      <c r="AF306" s="7"/>
      <c r="AG306" s="7"/>
      <c r="AH306" s="7"/>
      <c r="AI306" s="7"/>
      <c r="AJ306" s="7"/>
      <c r="AK306" s="7"/>
      <c r="AL306" s="7"/>
      <c r="AM306" s="7"/>
      <c r="AN306" s="7"/>
      <c r="AO306" s="6"/>
      <c r="AP306" s="7"/>
      <c r="AQ306" s="7"/>
      <c r="AR306" s="6"/>
      <c r="AS306" s="7"/>
      <c r="AT306" s="7"/>
      <c r="AU306" s="7"/>
      <c r="AV306" s="7"/>
      <c r="AW306" s="7"/>
      <c r="AX306" s="7"/>
      <c r="AY306" s="7"/>
      <c r="AZ306" s="7"/>
      <c r="BA306" s="7"/>
      <c r="BB306" s="7"/>
      <c r="BC306" s="7"/>
      <c r="BD306" s="7"/>
      <c r="BE306" s="7"/>
      <c r="BF306" s="7"/>
      <c r="BG306" s="7"/>
    </row>
    <row r="307" customHeight="1" spans="1:59">
      <c r="A307" s="9" t="str">
        <f>IF(ActiveDatabase=Standby,Secondary!A307,Primary!A307)</f>
        <v>Daymar 66</v>
      </c>
      <c r="B307" s="5" t="str">
        <f>IF(ActiveDatabase=Standby,Secondary!B307,Primary!B307)</f>
        <v>Daymar 79</v>
      </c>
      <c r="C307" s="5" t="str">
        <f>IF(ActiveDatabase=Standby,Secondary!C307,Primary!C307)</f>
        <v>Daymar 35</v>
      </c>
      <c r="D307" s="5" t="str">
        <f>IF(ActiveDatabase=Standby,Secondary!D307,Primary!D307)</f>
        <v>Constellation Wreck</v>
      </c>
      <c r="E307" s="6" t="str">
        <f>IF(ActiveDatabase=Standby,Secondary!E307,Primary!E307)</f>
        <v>Constellation</v>
      </c>
      <c r="F307" s="10">
        <f>IF(ActiveDatabase=Standby,Secondary!F307,Primary!F307)</f>
        <v>283.815823740217</v>
      </c>
      <c r="G307" s="10">
        <f>IF(ActiveDatabase=Standby,Secondary!G307,Primary!G307)</f>
        <v>70.5627449820607</v>
      </c>
      <c r="H307" s="10">
        <f>IF(ActiveDatabase=Standby,Secondary!H307,Primary!H307)</f>
        <v>-42.2865212059616</v>
      </c>
      <c r="I307" s="13">
        <f>IF(ActiveDatabase=Standby,Secondary!I307,Primary!I307)</f>
        <v>0</v>
      </c>
      <c r="J307" s="13">
        <f>IF(ActiveDatabase=Standby,Secondary!J307,Primary!J307)</f>
        <v>0</v>
      </c>
      <c r="K307" s="13">
        <f>IF(ActiveDatabase=Standby,Secondary!K307,Primary!K307)</f>
        <v>0</v>
      </c>
      <c r="L307" s="13">
        <f>IF(ActiveDatabase=Standby,Secondary!L307,Primary!L307)</f>
        <v>0</v>
      </c>
      <c r="M307" s="7" t="b">
        <f>IF(ActiveDatabase=Standby,Secondary!M307,Primary!M307)</f>
        <v>0</v>
      </c>
      <c r="N307" s="10">
        <f>IF(ActiveDatabase=Standby,Secondary!N307,Primary!N307)</f>
        <v>0</v>
      </c>
      <c r="O307" s="10">
        <f>IF(ActiveDatabase=Standby,Secondary!O307,Primary!O307)</f>
        <v>0</v>
      </c>
      <c r="P307" s="10">
        <f>IF(ActiveDatabase=Standby,Secondary!P307,Primary!P307)</f>
        <v>0</v>
      </c>
      <c r="Q307" s="6">
        <f>IF(ActiveDatabase=Standby,Secondary!Q307,Primary!Q307)</f>
        <v>0</v>
      </c>
      <c r="R307" s="18">
        <f>IF(ActiveDatabase=Standby,Secondary!R307,Primary!R307)</f>
        <v>0</v>
      </c>
      <c r="S307" s="19">
        <f>IF(ActiveDatabase=Standby,Secondary!S307,Primary!S307)</f>
        <v>0</v>
      </c>
      <c r="T307" s="10">
        <f>IF(ActiveDatabase=Standby,Secondary!T307,Primary!T307)</f>
        <v>0</v>
      </c>
      <c r="U307" s="10">
        <f>IF(ActiveDatabase=Standby,Secondary!U307,Primary!U307)</f>
        <v>0</v>
      </c>
      <c r="V307" s="10">
        <f>IF(ActiveDatabase=Standby,Secondary!V307,Primary!V307)</f>
        <v>0</v>
      </c>
      <c r="W307" s="6">
        <f>IF(ActiveDatabase=Standby,Secondary!W307,Primary!W307)</f>
        <v>0</v>
      </c>
      <c r="X307" s="6">
        <f>IF(ActiveDatabase=Standby,Secondary!X307,Primary!X307)</f>
        <v>0</v>
      </c>
      <c r="Y307" s="12">
        <f>IF(ActiveDatabase=Standby,Secondary!Y307,Primary!Y307)</f>
        <v>0</v>
      </c>
      <c r="Z307" s="12">
        <f>IF(ActiveDatabase=Standby,Secondary!Z307,Primary!Z307)</f>
        <v>0</v>
      </c>
      <c r="AA307" s="9">
        <f>IF(ActiveDatabase=Standby,Secondary!AA307,Primary!AA307)</f>
        <v>0</v>
      </c>
      <c r="AB307" s="12"/>
      <c r="AC307" s="6"/>
      <c r="AD307" s="6"/>
      <c r="AE307" s="7"/>
      <c r="AF307" s="7"/>
      <c r="AG307" s="7"/>
      <c r="AH307" s="7"/>
      <c r="AI307" s="7"/>
      <c r="AJ307" s="7"/>
      <c r="AK307" s="7"/>
      <c r="AL307" s="7"/>
      <c r="AM307" s="7"/>
      <c r="AN307" s="7"/>
      <c r="AO307" s="6"/>
      <c r="AP307" s="7"/>
      <c r="AQ307" s="7"/>
      <c r="AR307" s="6"/>
      <c r="AS307" s="7"/>
      <c r="AT307" s="7"/>
      <c r="AU307" s="7"/>
      <c r="AV307" s="7"/>
      <c r="AW307" s="7"/>
      <c r="AX307" s="7"/>
      <c r="AY307" s="7"/>
      <c r="AZ307" s="7"/>
      <c r="BA307" s="7"/>
      <c r="BB307" s="7"/>
      <c r="BC307" s="7"/>
      <c r="BD307" s="7"/>
      <c r="BE307" s="7"/>
      <c r="BF307" s="7"/>
      <c r="BG307" s="7"/>
    </row>
    <row r="308" customHeight="1" spans="1:59">
      <c r="A308" s="9" t="str">
        <f>IF(ActiveDatabase=Standby,Secondary!A308,Primary!A308)</f>
        <v>Daymar 67</v>
      </c>
      <c r="B308" s="5" t="str">
        <f>IF(ActiveDatabase=Standby,Secondary!B308,Primary!B308)</f>
        <v>Daymar 80</v>
      </c>
      <c r="C308" s="5" t="str">
        <f>IF(ActiveDatabase=Standby,Secondary!C308,Primary!C308)</f>
        <v>Daymar 36</v>
      </c>
      <c r="D308" s="5" t="str">
        <f>IF(ActiveDatabase=Standby,Secondary!D308,Primary!D308)</f>
        <v>Cutlass Wreck</v>
      </c>
      <c r="E308" s="6" t="str">
        <f>IF(ActiveDatabase=Standby,Secondary!E308,Primary!E308)</f>
        <v>Cutlass</v>
      </c>
      <c r="F308" s="10">
        <f>IF(ActiveDatabase=Standby,Secondary!F308,Primary!F308)</f>
        <v>276.180136139909</v>
      </c>
      <c r="G308" s="10">
        <f>IF(ActiveDatabase=Standby,Secondary!G308,Primary!G308)</f>
        <v>65.7144948381378</v>
      </c>
      <c r="H308" s="10">
        <f>IF(ActiveDatabase=Standby,Secondary!H308,Primary!H308)</f>
        <v>-80.3645423040571</v>
      </c>
      <c r="I308" s="13">
        <f>IF(ActiveDatabase=Standby,Secondary!I308,Primary!I308)</f>
        <v>0</v>
      </c>
      <c r="J308" s="13">
        <f>IF(ActiveDatabase=Standby,Secondary!J308,Primary!J308)</f>
        <v>0</v>
      </c>
      <c r="K308" s="13">
        <f>IF(ActiveDatabase=Standby,Secondary!K308,Primary!K308)</f>
        <v>0</v>
      </c>
      <c r="L308" s="13">
        <f>IF(ActiveDatabase=Standby,Secondary!L308,Primary!L308)</f>
        <v>0</v>
      </c>
      <c r="M308" s="7" t="b">
        <f>IF(ActiveDatabase=Standby,Secondary!M308,Primary!M308)</f>
        <v>0</v>
      </c>
      <c r="N308" s="10">
        <f>IF(ActiveDatabase=Standby,Secondary!N308,Primary!N308)</f>
        <v>0</v>
      </c>
      <c r="O308" s="10">
        <f>IF(ActiveDatabase=Standby,Secondary!O308,Primary!O308)</f>
        <v>0</v>
      </c>
      <c r="P308" s="10">
        <f>IF(ActiveDatabase=Standby,Secondary!P308,Primary!P308)</f>
        <v>0</v>
      </c>
      <c r="Q308" s="6">
        <f>IF(ActiveDatabase=Standby,Secondary!Q308,Primary!Q308)</f>
        <v>0</v>
      </c>
      <c r="R308" s="18">
        <f>IF(ActiveDatabase=Standby,Secondary!R308,Primary!R308)</f>
        <v>0</v>
      </c>
      <c r="S308" s="19">
        <f>IF(ActiveDatabase=Standby,Secondary!S308,Primary!S308)</f>
        <v>0</v>
      </c>
      <c r="T308" s="10">
        <f>IF(ActiveDatabase=Standby,Secondary!T308,Primary!T308)</f>
        <v>0</v>
      </c>
      <c r="U308" s="10">
        <f>IF(ActiveDatabase=Standby,Secondary!U308,Primary!U308)</f>
        <v>0</v>
      </c>
      <c r="V308" s="10">
        <f>IF(ActiveDatabase=Standby,Secondary!V308,Primary!V308)</f>
        <v>0</v>
      </c>
      <c r="W308" s="6">
        <f>IF(ActiveDatabase=Standby,Secondary!W308,Primary!W308)</f>
        <v>0</v>
      </c>
      <c r="X308" s="6">
        <f>IF(ActiveDatabase=Standby,Secondary!X308,Primary!X308)</f>
        <v>0</v>
      </c>
      <c r="Y308" s="12">
        <f>IF(ActiveDatabase=Standby,Secondary!Y308,Primary!Y308)</f>
        <v>0</v>
      </c>
      <c r="Z308" s="12">
        <f>IF(ActiveDatabase=Standby,Secondary!Z308,Primary!Z308)</f>
        <v>0</v>
      </c>
      <c r="AA308" s="9">
        <f>IF(ActiveDatabase=Standby,Secondary!AA308,Primary!AA308)</f>
        <v>0</v>
      </c>
      <c r="AB308" s="12"/>
      <c r="AC308" s="6"/>
      <c r="AD308" s="6"/>
      <c r="AE308" s="7"/>
      <c r="AF308" s="7"/>
      <c r="AG308" s="7"/>
      <c r="AH308" s="7"/>
      <c r="AI308" s="7"/>
      <c r="AJ308" s="7"/>
      <c r="AK308" s="7"/>
      <c r="AL308" s="7"/>
      <c r="AM308" s="7"/>
      <c r="AN308" s="7"/>
      <c r="AO308" s="6"/>
      <c r="AP308" s="7"/>
      <c r="AQ308" s="7"/>
      <c r="AR308" s="6"/>
      <c r="AS308" s="7"/>
      <c r="AT308" s="7"/>
      <c r="AU308" s="7"/>
      <c r="AV308" s="7"/>
      <c r="AW308" s="7"/>
      <c r="AX308" s="7"/>
      <c r="AY308" s="7"/>
      <c r="AZ308" s="7"/>
      <c r="BA308" s="7"/>
      <c r="BB308" s="7"/>
      <c r="BC308" s="7"/>
      <c r="BD308" s="7"/>
      <c r="BE308" s="7"/>
      <c r="BF308" s="7"/>
      <c r="BG308" s="7"/>
    </row>
    <row r="309" customHeight="1" spans="1:59">
      <c r="A309" s="9" t="str">
        <f>IF(ActiveDatabase=Standby,Secondary!A309,Primary!A309)</f>
        <v>Daymar 68</v>
      </c>
      <c r="B309" s="5" t="str">
        <f>IF(ActiveDatabase=Standby,Secondary!B309,Primary!B309)</f>
        <v>Daymar 81</v>
      </c>
      <c r="C309" s="5" t="str">
        <f>IF(ActiveDatabase=Standby,Secondary!C309,Primary!C309)</f>
        <v>Daymar 55</v>
      </c>
      <c r="D309" s="5" t="str">
        <f>IF(ActiveDatabase=Standby,Secondary!D309,Primary!D309)</f>
        <v>Freelancer Wreck</v>
      </c>
      <c r="E309" s="6" t="str">
        <f>IF(ActiveDatabase=Standby,Secondary!E309,Primary!E309)</f>
        <v>Freelancer</v>
      </c>
      <c r="F309" s="10">
        <f>IF(ActiveDatabase=Standby,Secondary!F309,Primary!F309)</f>
        <v>4.770952217</v>
      </c>
      <c r="G309" s="10">
        <f>IF(ActiveDatabase=Standby,Secondary!G309,Primary!G309)</f>
        <v>-38.4104692989999</v>
      </c>
      <c r="H309" s="10">
        <f>IF(ActiveDatabase=Standby,Secondary!H309,Primary!H309)</f>
        <v>292.843066687999</v>
      </c>
      <c r="I309" s="13">
        <f>IF(ActiveDatabase=Standby,Secondary!I309,Primary!I309)</f>
        <v>0</v>
      </c>
      <c r="J309" s="13">
        <f>IF(ActiveDatabase=Standby,Secondary!J309,Primary!J309)</f>
        <v>0</v>
      </c>
      <c r="K309" s="13">
        <f>IF(ActiveDatabase=Standby,Secondary!K309,Primary!K309)</f>
        <v>0</v>
      </c>
      <c r="L309" s="13">
        <f>IF(ActiveDatabase=Standby,Secondary!L309,Primary!L309)</f>
        <v>0</v>
      </c>
      <c r="M309" s="7" t="b">
        <f>IF(ActiveDatabase=Standby,Secondary!M309,Primary!M309)</f>
        <v>0</v>
      </c>
      <c r="N309" s="10">
        <f>IF(ActiveDatabase=Standby,Secondary!N309,Primary!N309)</f>
        <v>0</v>
      </c>
      <c r="O309" s="10">
        <f>IF(ActiveDatabase=Standby,Secondary!O309,Primary!O309)</f>
        <v>0</v>
      </c>
      <c r="P309" s="10">
        <f>IF(ActiveDatabase=Standby,Secondary!P309,Primary!P309)</f>
        <v>0</v>
      </c>
      <c r="Q309" s="6">
        <f>IF(ActiveDatabase=Standby,Secondary!Q309,Primary!Q309)</f>
        <v>0</v>
      </c>
      <c r="R309" s="18">
        <f>IF(ActiveDatabase=Standby,Secondary!R309,Primary!R309)</f>
        <v>0</v>
      </c>
      <c r="S309" s="19">
        <f>IF(ActiveDatabase=Standby,Secondary!S309,Primary!S309)</f>
        <v>0</v>
      </c>
      <c r="T309" s="10">
        <f>IF(ActiveDatabase=Standby,Secondary!T309,Primary!T309)</f>
        <v>0</v>
      </c>
      <c r="U309" s="10">
        <f>IF(ActiveDatabase=Standby,Secondary!U309,Primary!U309)</f>
        <v>0</v>
      </c>
      <c r="V309" s="10">
        <f>IF(ActiveDatabase=Standby,Secondary!V309,Primary!V309)</f>
        <v>0</v>
      </c>
      <c r="W309" s="6">
        <f>IF(ActiveDatabase=Standby,Secondary!W309,Primary!W309)</f>
        <v>0</v>
      </c>
      <c r="X309" s="6">
        <f>IF(ActiveDatabase=Standby,Secondary!X309,Primary!X309)</f>
        <v>0</v>
      </c>
      <c r="Y309" s="12">
        <f>IF(ActiveDatabase=Standby,Secondary!Y309,Primary!Y309)</f>
        <v>0</v>
      </c>
      <c r="Z309" s="12">
        <f>IF(ActiveDatabase=Standby,Secondary!Z309,Primary!Z309)</f>
        <v>0</v>
      </c>
      <c r="AA309" s="9">
        <f>IF(ActiveDatabase=Standby,Secondary!AA309,Primary!AA309)</f>
        <v>0</v>
      </c>
      <c r="AB309" s="12"/>
      <c r="AC309" s="6"/>
      <c r="AD309" s="6"/>
      <c r="AE309" s="7"/>
      <c r="AF309" s="7"/>
      <c r="AG309" s="7"/>
      <c r="AH309" s="7"/>
      <c r="AI309" s="7"/>
      <c r="AJ309" s="7"/>
      <c r="AK309" s="7"/>
      <c r="AL309" s="7"/>
      <c r="AM309" s="7"/>
      <c r="AN309" s="7"/>
      <c r="AO309" s="6"/>
      <c r="AP309" s="7"/>
      <c r="AQ309" s="7"/>
      <c r="AR309" s="6"/>
      <c r="AS309" s="7"/>
      <c r="AT309" s="7"/>
      <c r="AU309" s="7"/>
      <c r="AV309" s="7"/>
      <c r="AW309" s="7"/>
      <c r="AX309" s="7"/>
      <c r="AY309" s="7"/>
      <c r="AZ309" s="7"/>
      <c r="BA309" s="7"/>
      <c r="BB309" s="7"/>
      <c r="BC309" s="7"/>
      <c r="BD309" s="7"/>
      <c r="BE309" s="7"/>
      <c r="BF309" s="7"/>
      <c r="BG309" s="7"/>
    </row>
    <row r="310" customHeight="1" spans="1:59">
      <c r="A310" s="9" t="str">
        <f>IF(ActiveDatabase=Standby,Secondary!A310,Primary!A310)</f>
        <v>Daymar 69</v>
      </c>
      <c r="B310" s="5" t="str">
        <f>IF(ActiveDatabase=Standby,Secondary!B310,Primary!B310)</f>
        <v>Daymar 82</v>
      </c>
      <c r="C310" s="5" t="str">
        <f>IF(ActiveDatabase=Standby,Secondary!C310,Primary!C310)</f>
        <v>Daymar 27</v>
      </c>
      <c r="D310" s="5" t="str">
        <f>IF(ActiveDatabase=Standby,Secondary!D310,Primary!D310)</f>
        <v>Javelin Wreck</v>
      </c>
      <c r="E310" s="6" t="str">
        <f>IF(ActiveDatabase=Standby,Secondary!E310,Primary!E310)</f>
        <v>Javelin</v>
      </c>
      <c r="F310" s="10">
        <f>IF(ActiveDatabase=Standby,Secondary!F310,Primary!F310)</f>
        <v>102.055000562717</v>
      </c>
      <c r="G310" s="10">
        <f>IF(ActiveDatabase=Standby,Secondary!G310,Primary!G310)</f>
        <v>267.619095225614</v>
      </c>
      <c r="H310" s="10">
        <f>IF(ActiveDatabase=Standby,Secondary!H310,Primary!H310)</f>
        <v>-70.8555707031878</v>
      </c>
      <c r="I310" s="13">
        <f>IF(ActiveDatabase=Standby,Secondary!I310,Primary!I310)</f>
        <v>0</v>
      </c>
      <c r="J310" s="13">
        <f>IF(ActiveDatabase=Standby,Secondary!J310,Primary!J310)</f>
        <v>0</v>
      </c>
      <c r="K310" s="13">
        <f>IF(ActiveDatabase=Standby,Secondary!K310,Primary!K310)</f>
        <v>0</v>
      </c>
      <c r="L310" s="13">
        <f>IF(ActiveDatabase=Standby,Secondary!L310,Primary!L310)</f>
        <v>0</v>
      </c>
      <c r="M310" s="7" t="b">
        <f>IF(ActiveDatabase=Standby,Secondary!M310,Primary!M310)</f>
        <v>0</v>
      </c>
      <c r="N310" s="10">
        <f>IF(ActiveDatabase=Standby,Secondary!N310,Primary!N310)</f>
        <v>0</v>
      </c>
      <c r="O310" s="10">
        <f>IF(ActiveDatabase=Standby,Secondary!O310,Primary!O310)</f>
        <v>0</v>
      </c>
      <c r="P310" s="10">
        <f>IF(ActiveDatabase=Standby,Secondary!P310,Primary!P310)</f>
        <v>0</v>
      </c>
      <c r="Q310" s="6">
        <f>IF(ActiveDatabase=Standby,Secondary!Q310,Primary!Q310)</f>
        <v>0</v>
      </c>
      <c r="R310" s="18">
        <f>IF(ActiveDatabase=Standby,Secondary!R310,Primary!R310)</f>
        <v>0</v>
      </c>
      <c r="S310" s="19">
        <f>IF(ActiveDatabase=Standby,Secondary!S310,Primary!S310)</f>
        <v>0</v>
      </c>
      <c r="T310" s="10">
        <f>IF(ActiveDatabase=Standby,Secondary!T310,Primary!T310)</f>
        <v>0</v>
      </c>
      <c r="U310" s="10">
        <f>IF(ActiveDatabase=Standby,Secondary!U310,Primary!U310)</f>
        <v>0</v>
      </c>
      <c r="V310" s="10">
        <f>IF(ActiveDatabase=Standby,Secondary!V310,Primary!V310)</f>
        <v>0</v>
      </c>
      <c r="W310" s="6">
        <f>IF(ActiveDatabase=Standby,Secondary!W310,Primary!W310)</f>
        <v>0</v>
      </c>
      <c r="X310" s="6">
        <f>IF(ActiveDatabase=Standby,Secondary!X310,Primary!X310)</f>
        <v>0</v>
      </c>
      <c r="Y310" s="12">
        <f>IF(ActiveDatabase=Standby,Secondary!Y310,Primary!Y310)</f>
        <v>0</v>
      </c>
      <c r="Z310" s="12">
        <f>IF(ActiveDatabase=Standby,Secondary!Z310,Primary!Z310)</f>
        <v>0</v>
      </c>
      <c r="AA310" s="7">
        <f>IF(ActiveDatabase=Standby,Secondary!AA310,Primary!AA310)</f>
        <v>0</v>
      </c>
      <c r="AB310" s="12"/>
      <c r="AC310" s="6"/>
      <c r="AD310" s="6"/>
      <c r="AE310" s="7"/>
      <c r="AF310" s="7"/>
      <c r="AG310" s="7"/>
      <c r="AH310" s="7"/>
      <c r="AI310" s="7"/>
      <c r="AJ310" s="7"/>
      <c r="AK310" s="7"/>
      <c r="AL310" s="7"/>
      <c r="AM310" s="7"/>
      <c r="AN310" s="7"/>
      <c r="AO310" s="6"/>
      <c r="AP310" s="7"/>
      <c r="AQ310" s="7"/>
      <c r="AR310" s="6"/>
      <c r="AS310" s="7"/>
      <c r="AT310" s="7"/>
      <c r="AU310" s="7"/>
      <c r="AV310" s="7"/>
      <c r="AW310" s="7"/>
      <c r="AX310" s="7"/>
      <c r="AY310" s="7"/>
      <c r="AZ310" s="7"/>
      <c r="BA310" s="7"/>
      <c r="BB310" s="7"/>
      <c r="BC310" s="7"/>
      <c r="BD310" s="7"/>
      <c r="BE310" s="7"/>
      <c r="BF310" s="7"/>
      <c r="BG310" s="7"/>
    </row>
    <row r="311" customHeight="1" spans="1:59">
      <c r="A311" s="9" t="str">
        <f>IF(ActiveDatabase=Standby,Secondary!A311,Primary!A311)</f>
        <v>Daymar 70</v>
      </c>
      <c r="B311" s="5" t="str">
        <f>IF(ActiveDatabase=Standby,Secondary!B311,Primary!B311)</f>
        <v>Daymar 83</v>
      </c>
      <c r="C311" s="5" t="str">
        <f>IF(ActiveDatabase=Standby,Secondary!C311,Primary!C311)</f>
        <v>Daymar 13</v>
      </c>
      <c r="D311" s="5" t="str">
        <f>IF(ActiveDatabase=Standby,Secondary!D311,Primary!D311)</f>
        <v>Starfarer Wreck</v>
      </c>
      <c r="E311" s="6" t="str">
        <f>IF(ActiveDatabase=Standby,Secondary!E311,Primary!E311)</f>
        <v>Starfarer</v>
      </c>
      <c r="F311" s="10">
        <f>IF(ActiveDatabase=Standby,Secondary!F311,Primary!F311)</f>
        <v>-65.4188863955061</v>
      </c>
      <c r="G311" s="10">
        <f>IF(ActiveDatabase=Standby,Secondary!G311,Primary!G311)</f>
        <v>231.089198548902</v>
      </c>
      <c r="H311" s="10">
        <f>IF(ActiveDatabase=Standby,Secondary!H311,Primary!H311)</f>
        <v>172.040920936997</v>
      </c>
      <c r="I311" s="13">
        <f>IF(ActiveDatabase=Standby,Secondary!I311,Primary!I311)</f>
        <v>0</v>
      </c>
      <c r="J311" s="13">
        <f>IF(ActiveDatabase=Standby,Secondary!J311,Primary!J311)</f>
        <v>0</v>
      </c>
      <c r="K311" s="13">
        <f>IF(ActiveDatabase=Standby,Secondary!K311,Primary!K311)</f>
        <v>0</v>
      </c>
      <c r="L311" s="13">
        <f>IF(ActiveDatabase=Standby,Secondary!L311,Primary!L311)</f>
        <v>0</v>
      </c>
      <c r="M311" s="7" t="b">
        <f>IF(ActiveDatabase=Standby,Secondary!M311,Primary!M311)</f>
        <v>0</v>
      </c>
      <c r="N311" s="10">
        <f>IF(ActiveDatabase=Standby,Secondary!N311,Primary!N311)</f>
        <v>0</v>
      </c>
      <c r="O311" s="10">
        <f>IF(ActiveDatabase=Standby,Secondary!O311,Primary!O311)</f>
        <v>0</v>
      </c>
      <c r="P311" s="10">
        <f>IF(ActiveDatabase=Standby,Secondary!P311,Primary!P311)</f>
        <v>0</v>
      </c>
      <c r="Q311" s="6">
        <f>IF(ActiveDatabase=Standby,Secondary!Q311,Primary!Q311)</f>
        <v>0</v>
      </c>
      <c r="R311" s="18">
        <f>IF(ActiveDatabase=Standby,Secondary!R311,Primary!R311)</f>
        <v>0</v>
      </c>
      <c r="S311" s="19">
        <f>IF(ActiveDatabase=Standby,Secondary!S311,Primary!S311)</f>
        <v>0</v>
      </c>
      <c r="T311" s="10">
        <f>IF(ActiveDatabase=Standby,Secondary!T311,Primary!T311)</f>
        <v>0</v>
      </c>
      <c r="U311" s="10">
        <f>IF(ActiveDatabase=Standby,Secondary!U311,Primary!U311)</f>
        <v>0</v>
      </c>
      <c r="V311" s="10">
        <f>IF(ActiveDatabase=Standby,Secondary!V311,Primary!V311)</f>
        <v>0</v>
      </c>
      <c r="W311" s="6">
        <f>IF(ActiveDatabase=Standby,Secondary!W311,Primary!W311)</f>
        <v>0</v>
      </c>
      <c r="X311" s="6">
        <f>IF(ActiveDatabase=Standby,Secondary!X311,Primary!X311)</f>
        <v>0</v>
      </c>
      <c r="Y311" s="12">
        <f>IF(ActiveDatabase=Standby,Secondary!Y311,Primary!Y311)</f>
        <v>0</v>
      </c>
      <c r="Z311" s="12">
        <f>IF(ActiveDatabase=Standby,Secondary!Z311,Primary!Z311)</f>
        <v>0</v>
      </c>
      <c r="AA311" s="7">
        <f>IF(ActiveDatabase=Standby,Secondary!AA311,Primary!AA311)</f>
        <v>0</v>
      </c>
      <c r="AB311" s="12"/>
      <c r="AC311" s="6"/>
      <c r="AD311" s="6"/>
      <c r="AE311" s="7"/>
      <c r="AF311" s="7"/>
      <c r="AG311" s="7"/>
      <c r="AH311" s="7"/>
      <c r="AI311" s="7"/>
      <c r="AJ311" s="7"/>
      <c r="AK311" s="7"/>
      <c r="AL311" s="7"/>
      <c r="AM311" s="7"/>
      <c r="AN311" s="7"/>
      <c r="AO311" s="6"/>
      <c r="AP311" s="7"/>
      <c r="AQ311" s="7"/>
      <c r="AR311" s="6"/>
      <c r="AS311" s="7"/>
      <c r="AT311" s="7"/>
      <c r="AU311" s="7"/>
      <c r="AV311" s="7"/>
      <c r="AW311" s="7"/>
      <c r="AX311" s="7"/>
      <c r="AY311" s="7"/>
      <c r="AZ311" s="7"/>
      <c r="BA311" s="7"/>
      <c r="BB311" s="7"/>
      <c r="BC311" s="7"/>
      <c r="BD311" s="7"/>
      <c r="BE311" s="7"/>
      <c r="BF311" s="7"/>
      <c r="BG311" s="7"/>
    </row>
    <row r="312" customHeight="1" spans="1:59">
      <c r="A312" s="9" t="str">
        <f>IF(ActiveDatabase=Standby,Secondary!A312,Primary!A312)</f>
        <v>Daymar</v>
      </c>
      <c r="B312" s="5" t="str">
        <f>IF(ActiveDatabase=Standby,Secondary!B312,Primary!B312)</f>
        <v>Daymar 85</v>
      </c>
      <c r="C312" s="5">
        <f>IF(ActiveDatabase=Standby,Secondary!C312,Primary!C312)</f>
        <v>0</v>
      </c>
      <c r="D312" s="5" t="str">
        <f>IF(ActiveDatabase=Standby,Secondary!D312,Primary!D312)</f>
        <v>Comm Array</v>
      </c>
      <c r="E312" s="6">
        <f>IF(ActiveDatabase=Standby,Secondary!E312,Primary!E312)</f>
        <v>0</v>
      </c>
      <c r="F312" s="10">
        <f>IF(ActiveDatabase=Standby,Secondary!F312,Primary!F312)</f>
        <v>0</v>
      </c>
      <c r="G312" s="10">
        <f>IF(ActiveDatabase=Standby,Secondary!G312,Primary!G312)</f>
        <v>0</v>
      </c>
      <c r="H312" s="10">
        <f>IF(ActiveDatabase=Standby,Secondary!H312,Primary!H312)</f>
        <v>0</v>
      </c>
      <c r="I312" s="13">
        <f>IF(ActiveDatabase=Standby,Secondary!I312,Primary!I312)</f>
        <v>0</v>
      </c>
      <c r="J312" s="13">
        <f>IF(ActiveDatabase=Standby,Secondary!J312,Primary!J312)</f>
        <v>0</v>
      </c>
      <c r="K312" s="13">
        <f>IF(ActiveDatabase=Standby,Secondary!K312,Primary!K312)</f>
        <v>0</v>
      </c>
      <c r="L312" s="13">
        <f>IF(ActiveDatabase=Standby,Secondary!L312,Primary!L312)</f>
        <v>0</v>
      </c>
      <c r="M312" s="7">
        <f>IF(ActiveDatabase=Standby,Secondary!M312,Primary!M312)</f>
        <v>0</v>
      </c>
      <c r="N312" s="10">
        <f>IF(ActiveDatabase=Standby,Secondary!N312,Primary!N312)</f>
        <v>0</v>
      </c>
      <c r="O312" s="10">
        <f>IF(ActiveDatabase=Standby,Secondary!O312,Primary!O312)</f>
        <v>0</v>
      </c>
      <c r="P312" s="10">
        <f>IF(ActiveDatabase=Standby,Secondary!P312,Primary!P312)</f>
        <v>0</v>
      </c>
      <c r="Q312" s="6">
        <f>IF(ActiveDatabase=Standby,Secondary!Q312,Primary!Q312)</f>
        <v>0</v>
      </c>
      <c r="R312" s="18">
        <f>IF(ActiveDatabase=Standby,Secondary!R312,Primary!R312)</f>
        <v>0</v>
      </c>
      <c r="S312" s="19">
        <f>IF(ActiveDatabase=Standby,Secondary!S312,Primary!S312)</f>
        <v>0</v>
      </c>
      <c r="T312" s="10">
        <f>IF(ActiveDatabase=Standby,Secondary!T312,Primary!T312)</f>
        <v>0</v>
      </c>
      <c r="U312" s="10">
        <f>IF(ActiveDatabase=Standby,Secondary!U312,Primary!U312)</f>
        <v>0</v>
      </c>
      <c r="V312" s="10">
        <f>IF(ActiveDatabase=Standby,Secondary!V312,Primary!V312)</f>
        <v>0</v>
      </c>
      <c r="W312" s="6">
        <f>IF(ActiveDatabase=Standby,Secondary!W312,Primary!W312)</f>
        <v>0</v>
      </c>
      <c r="X312" s="6">
        <f>IF(ActiveDatabase=Standby,Secondary!X312,Primary!X312)</f>
        <v>0</v>
      </c>
      <c r="Y312" s="12">
        <f>IF(ActiveDatabase=Standby,Secondary!Y312,Primary!Y312)</f>
        <v>0</v>
      </c>
      <c r="Z312" s="12">
        <f>IF(ActiveDatabase=Standby,Secondary!Z312,Primary!Z312)</f>
        <v>0</v>
      </c>
      <c r="AA312" s="7">
        <f>IF(ActiveDatabase=Standby,Secondary!AA312,Primary!AA312)</f>
        <v>0</v>
      </c>
      <c r="AB312" s="12"/>
      <c r="AC312" s="6"/>
      <c r="AD312" s="6"/>
      <c r="AE312" s="7"/>
      <c r="AF312" s="7"/>
      <c r="AG312" s="7"/>
      <c r="AH312" s="7"/>
      <c r="AI312" s="7"/>
      <c r="AJ312" s="7"/>
      <c r="AK312" s="7"/>
      <c r="AL312" s="7"/>
      <c r="AM312" s="7"/>
      <c r="AN312" s="7"/>
      <c r="AO312" s="6"/>
      <c r="AP312" s="7"/>
      <c r="AQ312" s="7"/>
      <c r="AR312" s="6"/>
      <c r="AS312" s="7"/>
      <c r="AT312" s="7"/>
      <c r="AU312" s="7"/>
      <c r="AV312" s="7"/>
      <c r="AW312" s="7"/>
      <c r="AX312" s="7"/>
      <c r="AY312" s="7"/>
      <c r="AZ312" s="7"/>
      <c r="BA312" s="7"/>
      <c r="BB312" s="7"/>
      <c r="BC312" s="7"/>
      <c r="BD312" s="7"/>
      <c r="BE312" s="7"/>
      <c r="BF312" s="7"/>
      <c r="BG312" s="7"/>
    </row>
    <row r="313" customHeight="1" spans="1:59">
      <c r="A313" s="9" t="str">
        <f>IF(ActiveDatabase=Standby,Secondary!A313,Primary!A313)</f>
        <v>Daymar 20</v>
      </c>
      <c r="B313" s="5" t="str">
        <f>IF(ActiveDatabase=Standby,Secondary!B313,Primary!B313)</f>
        <v>Daymar 86</v>
      </c>
      <c r="C313" s="5" t="str">
        <f>IF(ActiveDatabase=Standby,Secondary!C313,Primary!C313)</f>
        <v>Daymar 69</v>
      </c>
      <c r="D313" s="5" t="str">
        <f>IF(ActiveDatabase=Standby,Secondary!D313,Primary!D313)</f>
        <v>Comm Array ST2-47</v>
      </c>
      <c r="E313" s="6" t="str">
        <f>IF(ActiveDatabase=Standby,Secondary!E313,Primary!E313)</f>
        <v>ST2-47</v>
      </c>
      <c r="F313" s="10">
        <f>IF(ActiveDatabase=Standby,Secondary!F313,Primary!F313)</f>
        <v>-435.617263698578</v>
      </c>
      <c r="G313" s="10">
        <f>IF(ActiveDatabase=Standby,Secondary!G313,Primary!G313)</f>
        <v>-146.995807350159</v>
      </c>
      <c r="H313" s="10">
        <f>IF(ActiveDatabase=Standby,Secondary!H313,Primary!H313)</f>
        <v>24</v>
      </c>
      <c r="I313" s="13">
        <f>IF(ActiveDatabase=Standby,Secondary!I313,Primary!I313)</f>
        <v>0</v>
      </c>
      <c r="J313" s="13">
        <f>IF(ActiveDatabase=Standby,Secondary!J313,Primary!J313)</f>
        <v>0</v>
      </c>
      <c r="K313" s="13">
        <f>IF(ActiveDatabase=Standby,Secondary!K313,Primary!K313)</f>
        <v>0</v>
      </c>
      <c r="L313" s="13">
        <f>IF(ActiveDatabase=Standby,Secondary!L313,Primary!L313)</f>
        <v>0</v>
      </c>
      <c r="M313" s="7" t="b">
        <f>IF(ActiveDatabase=Standby,Secondary!M313,Primary!M313)</f>
        <v>1</v>
      </c>
      <c r="N313" s="10">
        <f>IF(ActiveDatabase=Standby,Secondary!N313,Primary!N313)</f>
        <v>0</v>
      </c>
      <c r="O313" s="10">
        <f>IF(ActiveDatabase=Standby,Secondary!O313,Primary!O313)</f>
        <v>0</v>
      </c>
      <c r="P313" s="10">
        <f>IF(ActiveDatabase=Standby,Secondary!P313,Primary!P313)</f>
        <v>0</v>
      </c>
      <c r="Q313" s="6">
        <f>IF(ActiveDatabase=Standby,Secondary!Q313,Primary!Q313)</f>
        <v>0</v>
      </c>
      <c r="R313" s="18">
        <f>IF(ActiveDatabase=Standby,Secondary!R313,Primary!R313)</f>
        <v>0</v>
      </c>
      <c r="S313" s="19">
        <f>IF(ActiveDatabase=Standby,Secondary!S313,Primary!S313)</f>
        <v>0</v>
      </c>
      <c r="T313" s="10">
        <f>IF(ActiveDatabase=Standby,Secondary!T313,Primary!T313)</f>
        <v>0</v>
      </c>
      <c r="U313" s="10">
        <f>IF(ActiveDatabase=Standby,Secondary!U313,Primary!U313)</f>
        <v>0</v>
      </c>
      <c r="V313" s="10">
        <f>IF(ActiveDatabase=Standby,Secondary!V313,Primary!V313)</f>
        <v>0</v>
      </c>
      <c r="W313" s="6">
        <f>IF(ActiveDatabase=Standby,Secondary!W313,Primary!W313)</f>
        <v>0</v>
      </c>
      <c r="X313" s="6">
        <f>IF(ActiveDatabase=Standby,Secondary!X313,Primary!X313)</f>
        <v>0</v>
      </c>
      <c r="Y313" s="12">
        <f>IF(ActiveDatabase=Standby,Secondary!Y313,Primary!Y313)</f>
        <v>0</v>
      </c>
      <c r="Z313" s="12">
        <f>IF(ActiveDatabase=Standby,Secondary!Z313,Primary!Z313)</f>
        <v>0</v>
      </c>
      <c r="AA313" s="7">
        <f>IF(ActiveDatabase=Standby,Secondary!AA313,Primary!AA313)</f>
        <v>0</v>
      </c>
      <c r="AB313" s="12"/>
      <c r="AC313" s="6"/>
      <c r="AD313" s="6"/>
      <c r="AE313" s="7"/>
      <c r="AF313" s="7"/>
      <c r="AG313" s="7"/>
      <c r="AH313" s="7"/>
      <c r="AI313" s="7"/>
      <c r="AJ313" s="7"/>
      <c r="AK313" s="7"/>
      <c r="AL313" s="7"/>
      <c r="AM313" s="7"/>
      <c r="AN313" s="7"/>
      <c r="AO313" s="6"/>
      <c r="AP313" s="7"/>
      <c r="AQ313" s="7"/>
      <c r="AR313" s="6"/>
      <c r="AS313" s="7"/>
      <c r="AT313" s="7"/>
      <c r="AU313" s="7"/>
      <c r="AV313" s="7"/>
      <c r="AW313" s="7"/>
      <c r="AX313" s="7"/>
      <c r="AY313" s="7"/>
      <c r="AZ313" s="7"/>
      <c r="BA313" s="7"/>
      <c r="BB313" s="7"/>
      <c r="BC313" s="7"/>
      <c r="BD313" s="7"/>
      <c r="BE313" s="7"/>
      <c r="BF313" s="7"/>
      <c r="BG313" s="7"/>
    </row>
    <row r="314" customHeight="1" spans="1:59">
      <c r="A314" s="9">
        <f>IF(ActiveDatabase=Standby,Secondary!A314,Primary!A314)</f>
        <v>0</v>
      </c>
      <c r="B314" s="5">
        <f>IF(ActiveDatabase=Standby,Secondary!B314,Primary!B314)</f>
        <v>0</v>
      </c>
      <c r="C314" s="5">
        <f>IF(ActiveDatabase=Standby,Secondary!C314,Primary!C314)</f>
        <v>0</v>
      </c>
      <c r="D314" s="5">
        <f>IF(ActiveDatabase=Standby,Secondary!D314,Primary!D314)</f>
        <v>0</v>
      </c>
      <c r="E314" s="6">
        <f>IF(ActiveDatabase=Standby,Secondary!E314,Primary!E314)</f>
        <v>0</v>
      </c>
      <c r="F314" s="10">
        <f>IF(ActiveDatabase=Standby,Secondary!F314,Primary!F314)</f>
        <v>0</v>
      </c>
      <c r="G314" s="10">
        <f>IF(ActiveDatabase=Standby,Secondary!G314,Primary!G314)</f>
        <v>0</v>
      </c>
      <c r="H314" s="10">
        <f>IF(ActiveDatabase=Standby,Secondary!H314,Primary!H314)</f>
        <v>0</v>
      </c>
      <c r="I314" s="13">
        <f>IF(ActiveDatabase=Standby,Secondary!I314,Primary!I314)</f>
        <v>0</v>
      </c>
      <c r="J314" s="13">
        <f>IF(ActiveDatabase=Standby,Secondary!J314,Primary!J314)</f>
        <v>0</v>
      </c>
      <c r="K314" s="13">
        <f>IF(ActiveDatabase=Standby,Secondary!K314,Primary!K314)</f>
        <v>0</v>
      </c>
      <c r="L314" s="13">
        <f>IF(ActiveDatabase=Standby,Secondary!L314,Primary!L314)</f>
        <v>0</v>
      </c>
      <c r="M314" s="7">
        <f>IF(ActiveDatabase=Standby,Secondary!M314,Primary!M314)</f>
        <v>0</v>
      </c>
      <c r="N314" s="10">
        <f>IF(ActiveDatabase=Standby,Secondary!N314,Primary!N314)</f>
        <v>0</v>
      </c>
      <c r="O314" s="10">
        <f>IF(ActiveDatabase=Standby,Secondary!O314,Primary!O314)</f>
        <v>0</v>
      </c>
      <c r="P314" s="10">
        <f>IF(ActiveDatabase=Standby,Secondary!P314,Primary!P314)</f>
        <v>0</v>
      </c>
      <c r="Q314" s="6">
        <f>IF(ActiveDatabase=Standby,Secondary!Q314,Primary!Q314)</f>
        <v>0</v>
      </c>
      <c r="R314" s="18">
        <f>IF(ActiveDatabase=Standby,Secondary!R314,Primary!R314)</f>
        <v>0</v>
      </c>
      <c r="S314" s="19">
        <f>IF(ActiveDatabase=Standby,Secondary!S314,Primary!S314)</f>
        <v>0</v>
      </c>
      <c r="T314" s="10">
        <f>IF(ActiveDatabase=Standby,Secondary!T314,Primary!T314)</f>
        <v>0</v>
      </c>
      <c r="U314" s="10">
        <f>IF(ActiveDatabase=Standby,Secondary!U314,Primary!U314)</f>
        <v>0</v>
      </c>
      <c r="V314" s="10">
        <f>IF(ActiveDatabase=Standby,Secondary!V314,Primary!V314)</f>
        <v>0</v>
      </c>
      <c r="W314" s="6">
        <f>IF(ActiveDatabase=Standby,Secondary!W314,Primary!W314)</f>
        <v>0</v>
      </c>
      <c r="X314" s="6">
        <f>IF(ActiveDatabase=Standby,Secondary!X314,Primary!X314)</f>
        <v>0</v>
      </c>
      <c r="Y314" s="12">
        <f>IF(ActiveDatabase=Standby,Secondary!Y314,Primary!Y314)</f>
        <v>0</v>
      </c>
      <c r="Z314" s="12">
        <f>IF(ActiveDatabase=Standby,Secondary!Z314,Primary!Z314)</f>
        <v>0</v>
      </c>
      <c r="AA314" s="7">
        <f>IF(ActiveDatabase=Standby,Secondary!AA314,Primary!AA314)</f>
        <v>0</v>
      </c>
      <c r="AB314" s="12"/>
      <c r="AC314" s="6"/>
      <c r="AD314" s="6"/>
      <c r="AE314" s="7"/>
      <c r="AF314" s="7"/>
      <c r="AG314" s="7"/>
      <c r="AH314" s="7"/>
      <c r="AI314" s="7"/>
      <c r="AJ314" s="7"/>
      <c r="AK314" s="7"/>
      <c r="AL314" s="7"/>
      <c r="AM314" s="7"/>
      <c r="AN314" s="7"/>
      <c r="AO314" s="6"/>
      <c r="AP314" s="7"/>
      <c r="AQ314" s="7"/>
      <c r="AR314" s="6"/>
      <c r="AS314" s="7"/>
      <c r="AT314" s="7"/>
      <c r="AU314" s="7"/>
      <c r="AV314" s="7"/>
      <c r="AW314" s="7"/>
      <c r="AX314" s="7"/>
      <c r="AY314" s="7"/>
      <c r="AZ314" s="7"/>
      <c r="BA314" s="7"/>
      <c r="BB314" s="7"/>
      <c r="BC314" s="7"/>
      <c r="BD314" s="7"/>
      <c r="BE314" s="7"/>
      <c r="BF314" s="7"/>
      <c r="BG314" s="7"/>
    </row>
    <row r="315" customHeight="1" spans="1:59">
      <c r="A315" s="9" t="str">
        <f>IF(ActiveDatabase=Standby,Secondary!A315,Primary!A315)</f>
        <v>Euterpe R01</v>
      </c>
      <c r="B315" s="5" t="str">
        <f>IF(ActiveDatabase=Standby,Secondary!B315,Primary!B315)</f>
        <v>Euterpe 35</v>
      </c>
      <c r="C315" s="5">
        <f>IF(ActiveDatabase=Standby,Secondary!C315,Primary!C315)</f>
        <v>0</v>
      </c>
      <c r="D315" s="5" t="str">
        <f>IF(ActiveDatabase=Standby,Secondary!D315,Primary!D315)</f>
        <v>OM-1</v>
      </c>
      <c r="E315" s="6" t="str">
        <f>IF(ActiveDatabase=Standby,Secondary!E315,Primary!E315)</f>
        <v>OM1</v>
      </c>
      <c r="F315" s="10">
        <f>IF(ActiveDatabase=Standby,Secondary!F315,Primary!F315)</f>
        <v>0</v>
      </c>
      <c r="G315" s="10">
        <f>IF(ActiveDatabase=Standby,Secondary!G315,Primary!G315)</f>
        <v>0</v>
      </c>
      <c r="H315" s="10">
        <f>IF(ActiveDatabase=Standby,Secondary!H315,Primary!H315)</f>
        <v>314.031</v>
      </c>
      <c r="I315" s="13">
        <f>IF(ActiveDatabase=Standby,Secondary!I315,Primary!I315)</f>
        <v>0</v>
      </c>
      <c r="J315" s="13">
        <f>IF(ActiveDatabase=Standby,Secondary!J315,Primary!J315)</f>
        <v>0</v>
      </c>
      <c r="K315" s="13">
        <f>IF(ActiveDatabase=Standby,Secondary!K315,Primary!K315)</f>
        <v>0</v>
      </c>
      <c r="L315" s="13">
        <f>IF(ActiveDatabase=Standby,Secondary!L315,Primary!L315)</f>
        <v>0</v>
      </c>
      <c r="M315" s="7" t="b">
        <f>IF(ActiveDatabase=Standby,Secondary!M315,Primary!M315)</f>
        <v>1</v>
      </c>
      <c r="N315" s="10">
        <f>IF(ActiveDatabase=Standby,Secondary!N315,Primary!N315)</f>
        <v>0</v>
      </c>
      <c r="O315" s="10">
        <f>IF(ActiveDatabase=Standby,Secondary!O315,Primary!O315)</f>
        <v>0</v>
      </c>
      <c r="P315" s="10">
        <f>IF(ActiveDatabase=Standby,Secondary!P315,Primary!P315)</f>
        <v>0</v>
      </c>
      <c r="Q315" s="6">
        <f>IF(ActiveDatabase=Standby,Secondary!Q315,Primary!Q315)</f>
        <v>0</v>
      </c>
      <c r="R315" s="18">
        <f>IF(ActiveDatabase=Standby,Secondary!R315,Primary!R315)</f>
        <v>0</v>
      </c>
      <c r="S315" s="19">
        <f>IF(ActiveDatabase=Standby,Secondary!S315,Primary!S315)</f>
        <v>0</v>
      </c>
      <c r="T315" s="10">
        <f>IF(ActiveDatabase=Standby,Secondary!T315,Primary!T315)</f>
        <v>0</v>
      </c>
      <c r="U315" s="10">
        <f>IF(ActiveDatabase=Standby,Secondary!U315,Primary!U315)</f>
        <v>0</v>
      </c>
      <c r="V315" s="10">
        <f>IF(ActiveDatabase=Standby,Secondary!V315,Primary!V315)</f>
        <v>0</v>
      </c>
      <c r="W315" s="6">
        <f>IF(ActiveDatabase=Standby,Secondary!W315,Primary!W315)</f>
        <v>0</v>
      </c>
      <c r="X315" s="6">
        <f>IF(ActiveDatabase=Standby,Secondary!X315,Primary!X315)</f>
        <v>0</v>
      </c>
      <c r="Y315" s="12">
        <f>IF(ActiveDatabase=Standby,Secondary!Y315,Primary!Y315)</f>
        <v>0</v>
      </c>
      <c r="Z315" s="12">
        <f>IF(ActiveDatabase=Standby,Secondary!Z315,Primary!Z315)</f>
        <v>0</v>
      </c>
      <c r="AA315" s="7">
        <f>IF(ActiveDatabase=Standby,Secondary!AA315,Primary!AA315)</f>
        <v>0</v>
      </c>
      <c r="AB315" s="12"/>
      <c r="AC315" s="6"/>
      <c r="AD315" s="6"/>
      <c r="AE315" s="7"/>
      <c r="AF315" s="7"/>
      <c r="AG315" s="7"/>
      <c r="AH315" s="7"/>
      <c r="AI315" s="7"/>
      <c r="AJ315" s="7"/>
      <c r="AK315" s="7"/>
      <c r="AL315" s="7"/>
      <c r="AM315" s="7"/>
      <c r="AN315" s="7"/>
      <c r="AO315" s="6"/>
      <c r="AP315" s="7"/>
      <c r="AQ315" s="7"/>
      <c r="AR315" s="6"/>
      <c r="AS315" s="7"/>
      <c r="AT315" s="7"/>
      <c r="AU315" s="7"/>
      <c r="AV315" s="7"/>
      <c r="AW315" s="7"/>
      <c r="AX315" s="7"/>
      <c r="AY315" s="7"/>
      <c r="AZ315" s="7"/>
      <c r="BA315" s="7"/>
      <c r="BB315" s="7"/>
      <c r="BC315" s="7"/>
      <c r="BD315" s="7"/>
      <c r="BE315" s="7"/>
      <c r="BF315" s="7"/>
      <c r="BG315" s="7"/>
    </row>
    <row r="316" customHeight="1" spans="1:59">
      <c r="A316" s="9" t="str">
        <f>IF(ActiveDatabase=Standby,Secondary!A316,Primary!A316)</f>
        <v>Euterpe R02</v>
      </c>
      <c r="B316" s="5" t="str">
        <f>IF(ActiveDatabase=Standby,Secondary!B316,Primary!B316)</f>
        <v>Euterpe 36</v>
      </c>
      <c r="C316" s="5">
        <f>IF(ActiveDatabase=Standby,Secondary!C316,Primary!C316)</f>
        <v>0</v>
      </c>
      <c r="D316" s="5" t="str">
        <f>IF(ActiveDatabase=Standby,Secondary!D316,Primary!D316)</f>
        <v>OM-2</v>
      </c>
      <c r="E316" s="6" t="str">
        <f>IF(ActiveDatabase=Standby,Secondary!E316,Primary!E316)</f>
        <v>OM2</v>
      </c>
      <c r="F316" s="10">
        <f>IF(ActiveDatabase=Standby,Secondary!F316,Primary!F316)</f>
        <v>0</v>
      </c>
      <c r="G316" s="10">
        <f>IF(ActiveDatabase=Standby,Secondary!G316,Primary!G316)</f>
        <v>0</v>
      </c>
      <c r="H316" s="10">
        <f>IF(ActiveDatabase=Standby,Secondary!H316,Primary!H316)</f>
        <v>-314.031</v>
      </c>
      <c r="I316" s="13">
        <f>IF(ActiveDatabase=Standby,Secondary!I316,Primary!I316)</f>
        <v>0</v>
      </c>
      <c r="J316" s="13">
        <f>IF(ActiveDatabase=Standby,Secondary!J316,Primary!J316)</f>
        <v>0</v>
      </c>
      <c r="K316" s="13">
        <f>IF(ActiveDatabase=Standby,Secondary!K316,Primary!K316)</f>
        <v>0</v>
      </c>
      <c r="L316" s="13">
        <f>IF(ActiveDatabase=Standby,Secondary!L316,Primary!L316)</f>
        <v>0</v>
      </c>
      <c r="M316" s="7" t="b">
        <f>IF(ActiveDatabase=Standby,Secondary!M316,Primary!M316)</f>
        <v>1</v>
      </c>
      <c r="N316" s="10">
        <f>IF(ActiveDatabase=Standby,Secondary!N316,Primary!N316)</f>
        <v>0</v>
      </c>
      <c r="O316" s="10">
        <f>IF(ActiveDatabase=Standby,Secondary!O316,Primary!O316)</f>
        <v>0</v>
      </c>
      <c r="P316" s="10">
        <f>IF(ActiveDatabase=Standby,Secondary!P316,Primary!P316)</f>
        <v>0</v>
      </c>
      <c r="Q316" s="6">
        <f>IF(ActiveDatabase=Standby,Secondary!Q316,Primary!Q316)</f>
        <v>0</v>
      </c>
      <c r="R316" s="18">
        <f>IF(ActiveDatabase=Standby,Secondary!R316,Primary!R316)</f>
        <v>0</v>
      </c>
      <c r="S316" s="19">
        <f>IF(ActiveDatabase=Standby,Secondary!S316,Primary!S316)</f>
        <v>0</v>
      </c>
      <c r="T316" s="10">
        <f>IF(ActiveDatabase=Standby,Secondary!T316,Primary!T316)</f>
        <v>0</v>
      </c>
      <c r="U316" s="10">
        <f>IF(ActiveDatabase=Standby,Secondary!U316,Primary!U316)</f>
        <v>0</v>
      </c>
      <c r="V316" s="10">
        <f>IF(ActiveDatabase=Standby,Secondary!V316,Primary!V316)</f>
        <v>0</v>
      </c>
      <c r="W316" s="6">
        <f>IF(ActiveDatabase=Standby,Secondary!W316,Primary!W316)</f>
        <v>0</v>
      </c>
      <c r="X316" s="6">
        <f>IF(ActiveDatabase=Standby,Secondary!X316,Primary!X316)</f>
        <v>0</v>
      </c>
      <c r="Y316" s="12">
        <f>IF(ActiveDatabase=Standby,Secondary!Y316,Primary!Y316)</f>
        <v>0</v>
      </c>
      <c r="Z316" s="12">
        <f>IF(ActiveDatabase=Standby,Secondary!Z316,Primary!Z316)</f>
        <v>0</v>
      </c>
      <c r="AA316" s="7">
        <f>IF(ActiveDatabase=Standby,Secondary!AA316,Primary!AA316)</f>
        <v>0</v>
      </c>
      <c r="AB316" s="12"/>
      <c r="AC316" s="6"/>
      <c r="AD316" s="6"/>
      <c r="AE316" s="7"/>
      <c r="AF316" s="7"/>
      <c r="AG316" s="7"/>
      <c r="AH316" s="7"/>
      <c r="AI316" s="7"/>
      <c r="AJ316" s="7"/>
      <c r="AK316" s="7"/>
      <c r="AL316" s="7"/>
      <c r="AM316" s="7"/>
      <c r="AN316" s="7"/>
      <c r="AO316" s="6"/>
      <c r="AP316" s="7"/>
      <c r="AQ316" s="7"/>
      <c r="AR316" s="6"/>
      <c r="AS316" s="7"/>
      <c r="AT316" s="7"/>
      <c r="AU316" s="7"/>
      <c r="AV316" s="7"/>
      <c r="AW316" s="7"/>
      <c r="AX316" s="7"/>
      <c r="AY316" s="7"/>
      <c r="AZ316" s="7"/>
      <c r="BA316" s="7"/>
      <c r="BB316" s="7"/>
      <c r="BC316" s="7"/>
      <c r="BD316" s="7"/>
      <c r="BE316" s="7"/>
      <c r="BF316" s="7"/>
      <c r="BG316" s="7"/>
    </row>
    <row r="317" customHeight="1" spans="1:59">
      <c r="A317" s="9" t="str">
        <f>IF(ActiveDatabase=Standby,Secondary!A317,Primary!A317)</f>
        <v>Euterpe R03</v>
      </c>
      <c r="B317" s="5" t="str">
        <f>IF(ActiveDatabase=Standby,Secondary!B317,Primary!B317)</f>
        <v>Euterpe 37</v>
      </c>
      <c r="C317" s="5" t="str">
        <f>IF(ActiveDatabase=Standby,Secondary!C317,Primary!C317)</f>
        <v>Euterpe 03</v>
      </c>
      <c r="D317" s="5" t="str">
        <f>IF(ActiveDatabase=Standby,Secondary!D317,Primary!D317)</f>
        <v>OM-3</v>
      </c>
      <c r="E317" s="6" t="str">
        <f>IF(ActiveDatabase=Standby,Secondary!E317,Primary!E317)</f>
        <v>OM3</v>
      </c>
      <c r="F317" s="10">
        <f>IF(ActiveDatabase=Standby,Secondary!F317,Primary!F317)</f>
        <v>0</v>
      </c>
      <c r="G317" s="10">
        <f>IF(ActiveDatabase=Standby,Secondary!G317,Primary!G317)</f>
        <v>314.031</v>
      </c>
      <c r="H317" s="10">
        <f>IF(ActiveDatabase=Standby,Secondary!H317,Primary!H317)</f>
        <v>0</v>
      </c>
      <c r="I317" s="13">
        <f>IF(ActiveDatabase=Standby,Secondary!I317,Primary!I317)</f>
        <v>0</v>
      </c>
      <c r="J317" s="13">
        <f>IF(ActiveDatabase=Standby,Secondary!J317,Primary!J317)</f>
        <v>0</v>
      </c>
      <c r="K317" s="13">
        <f>IF(ActiveDatabase=Standby,Secondary!K317,Primary!K317)</f>
        <v>0</v>
      </c>
      <c r="L317" s="13">
        <f>IF(ActiveDatabase=Standby,Secondary!L317,Primary!L317)</f>
        <v>0</v>
      </c>
      <c r="M317" s="7" t="b">
        <f>IF(ActiveDatabase=Standby,Secondary!M317,Primary!M317)</f>
        <v>1</v>
      </c>
      <c r="N317" s="10">
        <f>IF(ActiveDatabase=Standby,Secondary!N317,Primary!N317)</f>
        <v>0</v>
      </c>
      <c r="O317" s="10">
        <f>IF(ActiveDatabase=Standby,Secondary!O317,Primary!O317)</f>
        <v>0</v>
      </c>
      <c r="P317" s="10">
        <f>IF(ActiveDatabase=Standby,Secondary!P317,Primary!P317)</f>
        <v>0</v>
      </c>
      <c r="Q317" s="6">
        <f>IF(ActiveDatabase=Standby,Secondary!Q317,Primary!Q317)</f>
        <v>0</v>
      </c>
      <c r="R317" s="18">
        <f>IF(ActiveDatabase=Standby,Secondary!R317,Primary!R317)</f>
        <v>0</v>
      </c>
      <c r="S317" s="19">
        <f>IF(ActiveDatabase=Standby,Secondary!S317,Primary!S317)</f>
        <v>0</v>
      </c>
      <c r="T317" s="10">
        <f>IF(ActiveDatabase=Standby,Secondary!T317,Primary!T317)</f>
        <v>0</v>
      </c>
      <c r="U317" s="10">
        <f>IF(ActiveDatabase=Standby,Secondary!U317,Primary!U317)</f>
        <v>0</v>
      </c>
      <c r="V317" s="10">
        <f>IF(ActiveDatabase=Standby,Secondary!V317,Primary!V317)</f>
        <v>0</v>
      </c>
      <c r="W317" s="6">
        <f>IF(ActiveDatabase=Standby,Secondary!W317,Primary!W317)</f>
        <v>0</v>
      </c>
      <c r="X317" s="6">
        <f>IF(ActiveDatabase=Standby,Secondary!X317,Primary!X317)</f>
        <v>0</v>
      </c>
      <c r="Y317" s="12">
        <f>IF(ActiveDatabase=Standby,Secondary!Y317,Primary!Y317)</f>
        <v>0</v>
      </c>
      <c r="Z317" s="12">
        <f>IF(ActiveDatabase=Standby,Secondary!Z317,Primary!Z317)</f>
        <v>0</v>
      </c>
      <c r="AA317" s="6">
        <f>IF(ActiveDatabase=Standby,Secondary!AA317,Primary!AA317)</f>
        <v>0</v>
      </c>
      <c r="AB317" s="12"/>
      <c r="AC317" s="6"/>
      <c r="AD317" s="6"/>
      <c r="AE317" s="7"/>
      <c r="AF317" s="7"/>
      <c r="AG317" s="7"/>
      <c r="AH317" s="7"/>
      <c r="AI317" s="7"/>
      <c r="AJ317" s="7"/>
      <c r="AK317" s="7"/>
      <c r="AL317" s="7"/>
      <c r="AM317" s="7"/>
      <c r="AN317" s="7"/>
      <c r="AO317" s="6"/>
      <c r="AP317" s="7"/>
      <c r="AQ317" s="7"/>
      <c r="AR317" s="6"/>
      <c r="AS317" s="7"/>
      <c r="AT317" s="7"/>
      <c r="AU317" s="7"/>
      <c r="AV317" s="7"/>
      <c r="AW317" s="7"/>
      <c r="AX317" s="7"/>
      <c r="AY317" s="7"/>
      <c r="AZ317" s="7"/>
      <c r="BA317" s="7"/>
      <c r="BB317" s="7"/>
      <c r="BC317" s="7"/>
      <c r="BD317" s="7"/>
      <c r="BE317" s="7"/>
      <c r="BF317" s="7"/>
      <c r="BG317" s="7"/>
    </row>
    <row r="318" customHeight="1" spans="1:59">
      <c r="A318" s="9" t="str">
        <f>IF(ActiveDatabase=Standby,Secondary!A318,Primary!A318)</f>
        <v>Euterpe R04</v>
      </c>
      <c r="B318" s="5" t="str">
        <f>IF(ActiveDatabase=Standby,Secondary!B318,Primary!B318)</f>
        <v>Euterpe 38</v>
      </c>
      <c r="C318" s="5" t="str">
        <f>IF(ActiveDatabase=Standby,Secondary!C318,Primary!C318)</f>
        <v>Euterpe 20</v>
      </c>
      <c r="D318" s="5" t="str">
        <f>IF(ActiveDatabase=Standby,Secondary!D318,Primary!D318)</f>
        <v>OM-4</v>
      </c>
      <c r="E318" s="6" t="str">
        <f>IF(ActiveDatabase=Standby,Secondary!E318,Primary!E318)</f>
        <v>OM4</v>
      </c>
      <c r="F318" s="10">
        <f>IF(ActiveDatabase=Standby,Secondary!F318,Primary!F318)</f>
        <v>0</v>
      </c>
      <c r="G318" s="10">
        <f>IF(ActiveDatabase=Standby,Secondary!G318,Primary!G318)</f>
        <v>-314.031</v>
      </c>
      <c r="H318" s="10">
        <f>IF(ActiveDatabase=Standby,Secondary!H318,Primary!H318)</f>
        <v>0</v>
      </c>
      <c r="I318" s="13">
        <f>IF(ActiveDatabase=Standby,Secondary!I318,Primary!I318)</f>
        <v>0</v>
      </c>
      <c r="J318" s="13">
        <f>IF(ActiveDatabase=Standby,Secondary!J318,Primary!J318)</f>
        <v>0</v>
      </c>
      <c r="K318" s="13">
        <f>IF(ActiveDatabase=Standby,Secondary!K318,Primary!K318)</f>
        <v>0</v>
      </c>
      <c r="L318" s="13">
        <f>IF(ActiveDatabase=Standby,Secondary!L318,Primary!L318)</f>
        <v>0</v>
      </c>
      <c r="M318" s="7" t="b">
        <f>IF(ActiveDatabase=Standby,Secondary!M318,Primary!M318)</f>
        <v>1</v>
      </c>
      <c r="N318" s="10">
        <f>IF(ActiveDatabase=Standby,Secondary!N318,Primary!N318)</f>
        <v>0</v>
      </c>
      <c r="O318" s="10">
        <f>IF(ActiveDatabase=Standby,Secondary!O318,Primary!O318)</f>
        <v>0</v>
      </c>
      <c r="P318" s="10">
        <f>IF(ActiveDatabase=Standby,Secondary!P318,Primary!P318)</f>
        <v>0</v>
      </c>
      <c r="Q318" s="6">
        <f>IF(ActiveDatabase=Standby,Secondary!Q318,Primary!Q318)</f>
        <v>0</v>
      </c>
      <c r="R318" s="18">
        <f>IF(ActiveDatabase=Standby,Secondary!R318,Primary!R318)</f>
        <v>0</v>
      </c>
      <c r="S318" s="19">
        <f>IF(ActiveDatabase=Standby,Secondary!S318,Primary!S318)</f>
        <v>0</v>
      </c>
      <c r="T318" s="10">
        <f>IF(ActiveDatabase=Standby,Secondary!T318,Primary!T318)</f>
        <v>0</v>
      </c>
      <c r="U318" s="10">
        <f>IF(ActiveDatabase=Standby,Secondary!U318,Primary!U318)</f>
        <v>0</v>
      </c>
      <c r="V318" s="10">
        <f>IF(ActiveDatabase=Standby,Secondary!V318,Primary!V318)</f>
        <v>0</v>
      </c>
      <c r="W318" s="6">
        <f>IF(ActiveDatabase=Standby,Secondary!W318,Primary!W318)</f>
        <v>0</v>
      </c>
      <c r="X318" s="6">
        <f>IF(ActiveDatabase=Standby,Secondary!X318,Primary!X318)</f>
        <v>0</v>
      </c>
      <c r="Y318" s="12">
        <f>IF(ActiveDatabase=Standby,Secondary!Y318,Primary!Y318)</f>
        <v>0</v>
      </c>
      <c r="Z318" s="12">
        <f>IF(ActiveDatabase=Standby,Secondary!Z318,Primary!Z318)</f>
        <v>0</v>
      </c>
      <c r="AA318" s="6">
        <f>IF(ActiveDatabase=Standby,Secondary!AA318,Primary!AA318)</f>
        <v>0</v>
      </c>
      <c r="AB318" s="12"/>
      <c r="AC318" s="6"/>
      <c r="AD318" s="6"/>
      <c r="AE318" s="7"/>
      <c r="AF318" s="7"/>
      <c r="AG318" s="7"/>
      <c r="AH318" s="7"/>
      <c r="AI318" s="7"/>
      <c r="AJ318" s="7"/>
      <c r="AK318" s="7"/>
      <c r="AL318" s="7"/>
      <c r="AM318" s="7"/>
      <c r="AN318" s="7"/>
      <c r="AO318" s="6"/>
      <c r="AP318" s="7"/>
      <c r="AQ318" s="7"/>
      <c r="AR318" s="6"/>
      <c r="AS318" s="7"/>
      <c r="AT318" s="7"/>
      <c r="AU318" s="7"/>
      <c r="AV318" s="7"/>
      <c r="AW318" s="7"/>
      <c r="AX318" s="7"/>
      <c r="AY318" s="7"/>
      <c r="AZ318" s="7"/>
      <c r="BA318" s="7"/>
      <c r="BB318" s="7"/>
      <c r="BC318" s="7"/>
      <c r="BD318" s="7"/>
      <c r="BE318" s="7"/>
      <c r="BF318" s="7"/>
      <c r="BG318" s="7"/>
    </row>
    <row r="319" customHeight="1" spans="1:59">
      <c r="A319" s="9" t="str">
        <f>IF(ActiveDatabase=Standby,Secondary!A319,Primary!A319)</f>
        <v>Euterpe R05</v>
      </c>
      <c r="B319" s="5" t="str">
        <f>IF(ActiveDatabase=Standby,Secondary!B319,Primary!B319)</f>
        <v>Euterpe 39</v>
      </c>
      <c r="C319" s="5" t="str">
        <f>IF(ActiveDatabase=Standby,Secondary!C319,Primary!C319)</f>
        <v>Euterpe 12</v>
      </c>
      <c r="D319" s="5" t="str">
        <f>IF(ActiveDatabase=Standby,Secondary!D319,Primary!D319)</f>
        <v>OM-5</v>
      </c>
      <c r="E319" s="6" t="str">
        <f>IF(ActiveDatabase=Standby,Secondary!E319,Primary!E319)</f>
        <v>OM5</v>
      </c>
      <c r="F319" s="10">
        <f>IF(ActiveDatabase=Standby,Secondary!F319,Primary!F319)</f>
        <v>314.031</v>
      </c>
      <c r="G319" s="10">
        <f>IF(ActiveDatabase=Standby,Secondary!G319,Primary!G319)</f>
        <v>0</v>
      </c>
      <c r="H319" s="10">
        <f>IF(ActiveDatabase=Standby,Secondary!H319,Primary!H319)</f>
        <v>0</v>
      </c>
      <c r="I319" s="13">
        <f>IF(ActiveDatabase=Standby,Secondary!I319,Primary!I319)</f>
        <v>0</v>
      </c>
      <c r="J319" s="13">
        <f>IF(ActiveDatabase=Standby,Secondary!J319,Primary!J319)</f>
        <v>0</v>
      </c>
      <c r="K319" s="13">
        <f>IF(ActiveDatabase=Standby,Secondary!K319,Primary!K319)</f>
        <v>0</v>
      </c>
      <c r="L319" s="13">
        <f>IF(ActiveDatabase=Standby,Secondary!L319,Primary!L319)</f>
        <v>0</v>
      </c>
      <c r="M319" s="7" t="b">
        <f>IF(ActiveDatabase=Standby,Secondary!M319,Primary!M319)</f>
        <v>1</v>
      </c>
      <c r="N319" s="10">
        <f>IF(ActiveDatabase=Standby,Secondary!N319,Primary!N319)</f>
        <v>0</v>
      </c>
      <c r="O319" s="10">
        <f>IF(ActiveDatabase=Standby,Secondary!O319,Primary!O319)</f>
        <v>0</v>
      </c>
      <c r="P319" s="10">
        <f>IF(ActiveDatabase=Standby,Secondary!P319,Primary!P319)</f>
        <v>0</v>
      </c>
      <c r="Q319" s="6">
        <f>IF(ActiveDatabase=Standby,Secondary!Q319,Primary!Q319)</f>
        <v>0</v>
      </c>
      <c r="R319" s="18">
        <f>IF(ActiveDatabase=Standby,Secondary!R319,Primary!R319)</f>
        <v>0</v>
      </c>
      <c r="S319" s="19">
        <f>IF(ActiveDatabase=Standby,Secondary!S319,Primary!S319)</f>
        <v>0</v>
      </c>
      <c r="T319" s="10">
        <f>IF(ActiveDatabase=Standby,Secondary!T319,Primary!T319)</f>
        <v>0</v>
      </c>
      <c r="U319" s="10">
        <f>IF(ActiveDatabase=Standby,Secondary!U319,Primary!U319)</f>
        <v>0</v>
      </c>
      <c r="V319" s="10">
        <f>IF(ActiveDatabase=Standby,Secondary!V319,Primary!V319)</f>
        <v>0</v>
      </c>
      <c r="W319" s="6">
        <f>IF(ActiveDatabase=Standby,Secondary!W319,Primary!W319)</f>
        <v>0</v>
      </c>
      <c r="X319" s="6">
        <f>IF(ActiveDatabase=Standby,Secondary!X319,Primary!X319)</f>
        <v>0</v>
      </c>
      <c r="Y319" s="12">
        <f>IF(ActiveDatabase=Standby,Secondary!Y319,Primary!Y319)</f>
        <v>0</v>
      </c>
      <c r="Z319" s="12">
        <f>IF(ActiveDatabase=Standby,Secondary!Z319,Primary!Z319)</f>
        <v>0</v>
      </c>
      <c r="AA319" s="6">
        <f>IF(ActiveDatabase=Standby,Secondary!AA319,Primary!AA319)</f>
        <v>0</v>
      </c>
      <c r="AB319" s="12"/>
      <c r="AC319" s="6"/>
      <c r="AD319" s="6"/>
      <c r="AE319" s="7"/>
      <c r="AF319" s="7"/>
      <c r="AG319" s="7"/>
      <c r="AH319" s="7"/>
      <c r="AI319" s="7"/>
      <c r="AJ319" s="7"/>
      <c r="AK319" s="7"/>
      <c r="AL319" s="7"/>
      <c r="AM319" s="7"/>
      <c r="AN319" s="7"/>
      <c r="AO319" s="6"/>
      <c r="AP319" s="7"/>
      <c r="AQ319" s="7"/>
      <c r="AR319" s="6"/>
      <c r="AS319" s="7"/>
      <c r="AT319" s="7"/>
      <c r="AU319" s="7"/>
      <c r="AV319" s="7"/>
      <c r="AW319" s="7"/>
      <c r="AX319" s="7"/>
      <c r="AY319" s="7"/>
      <c r="AZ319" s="7"/>
      <c r="BA319" s="7"/>
      <c r="BB319" s="7"/>
      <c r="BC319" s="7"/>
      <c r="BD319" s="7"/>
      <c r="BE319" s="7"/>
      <c r="BF319" s="7"/>
      <c r="BG319" s="7"/>
    </row>
    <row r="320" customHeight="1" spans="1:59">
      <c r="A320" s="9" t="str">
        <f>IF(ActiveDatabase=Standby,Secondary!A320,Primary!A320)</f>
        <v>Euterpe R06</v>
      </c>
      <c r="B320" s="5" t="str">
        <f>IF(ActiveDatabase=Standby,Secondary!B320,Primary!B320)</f>
        <v>Euterpe 40</v>
      </c>
      <c r="C320" s="5" t="str">
        <f>IF(ActiveDatabase=Standby,Secondary!C320,Primary!C320)</f>
        <v>Euterpe 27</v>
      </c>
      <c r="D320" s="5" t="str">
        <f>IF(ActiveDatabase=Standby,Secondary!D320,Primary!D320)</f>
        <v>OM-6</v>
      </c>
      <c r="E320" s="6" t="str">
        <f>IF(ActiveDatabase=Standby,Secondary!E320,Primary!E320)</f>
        <v>OM6</v>
      </c>
      <c r="F320" s="10">
        <f>IF(ActiveDatabase=Standby,Secondary!F320,Primary!F320)</f>
        <v>-314.031</v>
      </c>
      <c r="G320" s="10">
        <f>IF(ActiveDatabase=Standby,Secondary!G320,Primary!G320)</f>
        <v>0</v>
      </c>
      <c r="H320" s="10">
        <f>IF(ActiveDatabase=Standby,Secondary!H320,Primary!H320)</f>
        <v>0</v>
      </c>
      <c r="I320" s="13">
        <f>IF(ActiveDatabase=Standby,Secondary!I320,Primary!I320)</f>
        <v>0</v>
      </c>
      <c r="J320" s="13">
        <f>IF(ActiveDatabase=Standby,Secondary!J320,Primary!J320)</f>
        <v>0</v>
      </c>
      <c r="K320" s="13">
        <f>IF(ActiveDatabase=Standby,Secondary!K320,Primary!K320)</f>
        <v>0</v>
      </c>
      <c r="L320" s="13">
        <f>IF(ActiveDatabase=Standby,Secondary!L320,Primary!L320)</f>
        <v>0</v>
      </c>
      <c r="M320" s="7" t="b">
        <f>IF(ActiveDatabase=Standby,Secondary!M320,Primary!M320)</f>
        <v>1</v>
      </c>
      <c r="N320" s="10">
        <f>IF(ActiveDatabase=Standby,Secondary!N320,Primary!N320)</f>
        <v>0</v>
      </c>
      <c r="O320" s="10">
        <f>IF(ActiveDatabase=Standby,Secondary!O320,Primary!O320)</f>
        <v>0</v>
      </c>
      <c r="P320" s="10">
        <f>IF(ActiveDatabase=Standby,Secondary!P320,Primary!P320)</f>
        <v>0</v>
      </c>
      <c r="Q320" s="6">
        <f>IF(ActiveDatabase=Standby,Secondary!Q320,Primary!Q320)</f>
        <v>0</v>
      </c>
      <c r="R320" s="18">
        <f>IF(ActiveDatabase=Standby,Secondary!R320,Primary!R320)</f>
        <v>0</v>
      </c>
      <c r="S320" s="19">
        <f>IF(ActiveDatabase=Standby,Secondary!S320,Primary!S320)</f>
        <v>0</v>
      </c>
      <c r="T320" s="10">
        <f>IF(ActiveDatabase=Standby,Secondary!T320,Primary!T320)</f>
        <v>0</v>
      </c>
      <c r="U320" s="10">
        <f>IF(ActiveDatabase=Standby,Secondary!U320,Primary!U320)</f>
        <v>0</v>
      </c>
      <c r="V320" s="10">
        <f>IF(ActiveDatabase=Standby,Secondary!V320,Primary!V320)</f>
        <v>0</v>
      </c>
      <c r="W320" s="6">
        <f>IF(ActiveDatabase=Standby,Secondary!W320,Primary!W320)</f>
        <v>0</v>
      </c>
      <c r="X320" s="6">
        <f>IF(ActiveDatabase=Standby,Secondary!X320,Primary!X320)</f>
        <v>0</v>
      </c>
      <c r="Y320" s="12">
        <f>IF(ActiveDatabase=Standby,Secondary!Y320,Primary!Y320)</f>
        <v>0</v>
      </c>
      <c r="Z320" s="12">
        <f>IF(ActiveDatabase=Standby,Secondary!Z320,Primary!Z320)</f>
        <v>0</v>
      </c>
      <c r="AA320" s="7">
        <f>IF(ActiveDatabase=Standby,Secondary!AA320,Primary!AA320)</f>
        <v>0</v>
      </c>
      <c r="AB320" s="12"/>
      <c r="AC320" s="6"/>
      <c r="AD320" s="6"/>
      <c r="AE320" s="7"/>
      <c r="AF320" s="7"/>
      <c r="AG320" s="7"/>
      <c r="AH320" s="7"/>
      <c r="AI320" s="7"/>
      <c r="AJ320" s="7"/>
      <c r="AK320" s="7"/>
      <c r="AL320" s="7"/>
      <c r="AM320" s="7"/>
      <c r="AN320" s="7"/>
      <c r="AO320" s="6"/>
      <c r="AP320" s="7"/>
      <c r="AQ320" s="7"/>
      <c r="AR320" s="6"/>
      <c r="AS320" s="7"/>
      <c r="AT320" s="7"/>
      <c r="AU320" s="7"/>
      <c r="AV320" s="7"/>
      <c r="AW320" s="7"/>
      <c r="AX320" s="7"/>
      <c r="AY320" s="7"/>
      <c r="AZ320" s="7"/>
      <c r="BA320" s="7"/>
      <c r="BB320" s="7"/>
      <c r="BC320" s="7"/>
      <c r="BD320" s="7"/>
      <c r="BE320" s="7"/>
      <c r="BF320" s="7"/>
      <c r="BG320" s="7"/>
    </row>
    <row r="321" customHeight="1" spans="1:59">
      <c r="A321" s="9" t="str">
        <f>IF(ActiveDatabase=Standby,Secondary!A321,Primary!A321)</f>
        <v>Euterpe</v>
      </c>
      <c r="B321" s="5" t="str">
        <f>IF(ActiveDatabase=Standby,Secondary!B321,Primary!B321)</f>
        <v>Euterpe 00</v>
      </c>
      <c r="C321" s="5">
        <f>IF(ActiveDatabase=Standby,Secondary!C321,Primary!C321)</f>
        <v>0</v>
      </c>
      <c r="D321" s="5" t="str">
        <f>IF(ActiveDatabase=Standby,Secondary!D321,Primary!D321)</f>
        <v>Trading Terminals</v>
      </c>
      <c r="E321" s="6">
        <f>IF(ActiveDatabase=Standby,Secondary!E321,Primary!E321)</f>
        <v>0</v>
      </c>
      <c r="F321" s="10">
        <f>IF(ActiveDatabase=Standby,Secondary!F321,Primary!F321)</f>
        <v>0</v>
      </c>
      <c r="G321" s="10">
        <f>IF(ActiveDatabase=Standby,Secondary!G321,Primary!G321)</f>
        <v>0</v>
      </c>
      <c r="H321" s="10">
        <f>IF(ActiveDatabase=Standby,Secondary!H321,Primary!H321)</f>
        <v>0</v>
      </c>
      <c r="I321" s="13">
        <f>IF(ActiveDatabase=Standby,Secondary!I321,Primary!I321)</f>
        <v>0</v>
      </c>
      <c r="J321" s="13">
        <f>IF(ActiveDatabase=Standby,Secondary!J321,Primary!J321)</f>
        <v>0</v>
      </c>
      <c r="K321" s="13">
        <f>IF(ActiveDatabase=Standby,Secondary!K321,Primary!K321)</f>
        <v>0</v>
      </c>
      <c r="L321" s="13">
        <f>IF(ActiveDatabase=Standby,Secondary!L321,Primary!L321)</f>
        <v>0</v>
      </c>
      <c r="M321" s="7">
        <f>IF(ActiveDatabase=Standby,Secondary!M321,Primary!M321)</f>
        <v>0</v>
      </c>
      <c r="N321" s="10">
        <f>IF(ActiveDatabase=Standby,Secondary!N321,Primary!N321)</f>
        <v>0</v>
      </c>
      <c r="O321" s="10">
        <f>IF(ActiveDatabase=Standby,Secondary!O321,Primary!O321)</f>
        <v>0</v>
      </c>
      <c r="P321" s="10">
        <f>IF(ActiveDatabase=Standby,Secondary!P321,Primary!P321)</f>
        <v>0</v>
      </c>
      <c r="Q321" s="6">
        <f>IF(ActiveDatabase=Standby,Secondary!Q321,Primary!Q321)</f>
        <v>0</v>
      </c>
      <c r="R321" s="18">
        <f>IF(ActiveDatabase=Standby,Secondary!R321,Primary!R321)</f>
        <v>0</v>
      </c>
      <c r="S321" s="19">
        <f>IF(ActiveDatabase=Standby,Secondary!S321,Primary!S321)</f>
        <v>0</v>
      </c>
      <c r="T321" s="10">
        <f>IF(ActiveDatabase=Standby,Secondary!T321,Primary!T321)</f>
        <v>0</v>
      </c>
      <c r="U321" s="10">
        <f>IF(ActiveDatabase=Standby,Secondary!U321,Primary!U321)</f>
        <v>0</v>
      </c>
      <c r="V321" s="10">
        <f>IF(ActiveDatabase=Standby,Secondary!V321,Primary!V321)</f>
        <v>0</v>
      </c>
      <c r="W321" s="6">
        <f>IF(ActiveDatabase=Standby,Secondary!W321,Primary!W321)</f>
        <v>0</v>
      </c>
      <c r="X321" s="6">
        <f>IF(ActiveDatabase=Standby,Secondary!X321,Primary!X321)</f>
        <v>0</v>
      </c>
      <c r="Y321" s="12">
        <f>IF(ActiveDatabase=Standby,Secondary!Y321,Primary!Y321)</f>
        <v>0</v>
      </c>
      <c r="Z321" s="12">
        <f>IF(ActiveDatabase=Standby,Secondary!Z321,Primary!Z321)</f>
        <v>0</v>
      </c>
      <c r="AA321" s="7">
        <f>IF(ActiveDatabase=Standby,Secondary!AA321,Primary!AA321)</f>
        <v>0</v>
      </c>
      <c r="AB321" s="12"/>
      <c r="AC321" s="6"/>
      <c r="AD321" s="6"/>
      <c r="AE321" s="7"/>
      <c r="AF321" s="7"/>
      <c r="AG321" s="7"/>
      <c r="AH321" s="7"/>
      <c r="AI321" s="7"/>
      <c r="AJ321" s="7"/>
      <c r="AK321" s="7"/>
      <c r="AL321" s="7"/>
      <c r="AM321" s="7"/>
      <c r="AN321" s="7"/>
      <c r="AO321" s="6"/>
      <c r="AP321" s="7"/>
      <c r="AQ321" s="7"/>
      <c r="AR321" s="6"/>
      <c r="AS321" s="7"/>
      <c r="AT321" s="7"/>
      <c r="AU321" s="7"/>
      <c r="AV321" s="7"/>
      <c r="AW321" s="7"/>
      <c r="AX321" s="7"/>
      <c r="AY321" s="7"/>
      <c r="AZ321" s="7"/>
      <c r="BA321" s="7"/>
      <c r="BB321" s="7"/>
      <c r="BC321" s="7"/>
      <c r="BD321" s="7"/>
      <c r="BE321" s="7"/>
      <c r="BF321" s="7"/>
      <c r="BG321" s="7"/>
    </row>
    <row r="322" customHeight="1" spans="1:59">
      <c r="A322" s="9" t="str">
        <f>IF(ActiveDatabase=Standby,Secondary!A322,Primary!A322)</f>
        <v>Euterpe 01</v>
      </c>
      <c r="B322" s="5" t="str">
        <f>IF(ActiveDatabase=Standby,Secondary!B322,Primary!B322)</f>
        <v>Euterpe 01</v>
      </c>
      <c r="C322" s="5" t="str">
        <f>IF(ActiveDatabase=Standby,Secondary!C322,Primary!C322)</f>
        <v>Euterpe 17</v>
      </c>
      <c r="D322" s="5" t="str">
        <f>IF(ActiveDatabase=Standby,Secondary!D322,Primary!D322)</f>
        <v>Bud's Growery</v>
      </c>
      <c r="E322" s="6" t="str">
        <f>IF(ActiveDatabase=Standby,Secondary!E322,Primary!E322)</f>
        <v>Growery</v>
      </c>
      <c r="F322" s="10">
        <f>IF(ActiveDatabase=Standby,Secondary!F322,Primary!F322)</f>
        <v>50.1732763619999</v>
      </c>
      <c r="G322" s="10">
        <f>IF(ActiveDatabase=Standby,Secondary!G322,Primary!G322)</f>
        <v>-172.25918413</v>
      </c>
      <c r="H322" s="10">
        <f>IF(ActiveDatabase=Standby,Secondary!H322,Primary!H322)</f>
        <v>115.270872745</v>
      </c>
      <c r="I322" s="13">
        <f>IF(ActiveDatabase=Standby,Secondary!I322,Primary!I322)</f>
        <v>0</v>
      </c>
      <c r="J322" s="13">
        <f>IF(ActiveDatabase=Standby,Secondary!J322,Primary!J322)</f>
        <v>0</v>
      </c>
      <c r="K322" s="13">
        <f>IF(ActiveDatabase=Standby,Secondary!K322,Primary!K322)</f>
        <v>0</v>
      </c>
      <c r="L322" s="13">
        <f>IF(ActiveDatabase=Standby,Secondary!L322,Primary!L322)</f>
        <v>0</v>
      </c>
      <c r="M322" s="7" t="b">
        <f>IF(ActiveDatabase=Standby,Secondary!M322,Primary!M322)</f>
        <v>1</v>
      </c>
      <c r="N322" s="10">
        <f>IF(ActiveDatabase=Standby,Secondary!N322,Primary!N322)</f>
        <v>0</v>
      </c>
      <c r="O322" s="10">
        <f>IF(ActiveDatabase=Standby,Secondary!O322,Primary!O322)</f>
        <v>0</v>
      </c>
      <c r="P322" s="10">
        <f>IF(ActiveDatabase=Standby,Secondary!P322,Primary!P322)</f>
        <v>0</v>
      </c>
      <c r="Q322" s="6">
        <f>IF(ActiveDatabase=Standby,Secondary!Q322,Primary!Q322)</f>
        <v>0</v>
      </c>
      <c r="R322" s="18">
        <f>IF(ActiveDatabase=Standby,Secondary!R322,Primary!R322)</f>
        <v>0</v>
      </c>
      <c r="S322" s="19">
        <f>IF(ActiveDatabase=Standby,Secondary!S322,Primary!S322)</f>
        <v>0</v>
      </c>
      <c r="T322" s="10">
        <f>IF(ActiveDatabase=Standby,Secondary!T322,Primary!T322)</f>
        <v>0</v>
      </c>
      <c r="U322" s="10">
        <f>IF(ActiveDatabase=Standby,Secondary!U322,Primary!U322)</f>
        <v>0</v>
      </c>
      <c r="V322" s="10">
        <f>IF(ActiveDatabase=Standby,Secondary!V322,Primary!V322)</f>
        <v>0</v>
      </c>
      <c r="W322" s="6">
        <f>IF(ActiveDatabase=Standby,Secondary!W322,Primary!W322)</f>
        <v>0</v>
      </c>
      <c r="X322" s="6">
        <f>IF(ActiveDatabase=Standby,Secondary!X322,Primary!X322)</f>
        <v>0</v>
      </c>
      <c r="Y322" s="12">
        <f>IF(ActiveDatabase=Standby,Secondary!Y322,Primary!Y322)</f>
        <v>0</v>
      </c>
      <c r="Z322" s="12">
        <f>IF(ActiveDatabase=Standby,Secondary!Z322,Primary!Z322)</f>
        <v>0</v>
      </c>
      <c r="AA322" s="7">
        <f>IF(ActiveDatabase=Standby,Secondary!AA322,Primary!AA322)</f>
        <v>0</v>
      </c>
      <c r="AB322" s="12"/>
      <c r="AC322" s="6"/>
      <c r="AD322" s="6"/>
      <c r="AE322" s="7"/>
      <c r="AF322" s="7"/>
      <c r="AG322" s="7"/>
      <c r="AH322" s="7"/>
      <c r="AI322" s="7"/>
      <c r="AJ322" s="7"/>
      <c r="AK322" s="7"/>
      <c r="AL322" s="7"/>
      <c r="AM322" s="7"/>
      <c r="AN322" s="7"/>
      <c r="AO322" s="6"/>
      <c r="AP322" s="7"/>
      <c r="AQ322" s="7"/>
      <c r="AR322" s="6"/>
      <c r="AS322" s="7"/>
      <c r="AT322" s="7"/>
      <c r="AU322" s="7"/>
      <c r="AV322" s="7"/>
      <c r="AW322" s="7"/>
      <c r="AX322" s="7"/>
      <c r="AY322" s="7"/>
      <c r="AZ322" s="7"/>
      <c r="BA322" s="7"/>
      <c r="BB322" s="7"/>
      <c r="BC322" s="7"/>
      <c r="BD322" s="7"/>
      <c r="BE322" s="7"/>
      <c r="BF322" s="7"/>
      <c r="BG322" s="7"/>
    </row>
    <row r="323" customHeight="1" spans="1:59">
      <c r="A323" s="9" t="str">
        <f>IF(ActiveDatabase=Standby,Secondary!A323,Primary!A323)</f>
        <v>Euterpe 02</v>
      </c>
      <c r="B323" s="5" t="str">
        <f>IF(ActiveDatabase=Standby,Secondary!B323,Primary!B323)</f>
        <v>Euterpe 02</v>
      </c>
      <c r="C323" s="5" t="str">
        <f>IF(ActiveDatabase=Standby,Secondary!C323,Primary!C323)</f>
        <v>Euterpe 05</v>
      </c>
      <c r="D323" s="5" t="str">
        <f>IF(ActiveDatabase=Standby,Secondary!D323,Primary!D323)</f>
        <v>Devlin Scrap &amp; Salvage</v>
      </c>
      <c r="E323" s="6" t="str">
        <f>IF(ActiveDatabase=Standby,Secondary!E323,Primary!E323)</f>
        <v>Devlin Scrap</v>
      </c>
      <c r="F323" s="10">
        <f>IF(ActiveDatabase=Standby,Secondary!F323,Primary!F323)</f>
        <v>14.8865273689999</v>
      </c>
      <c r="G323" s="10">
        <f>IF(ActiveDatabase=Standby,Secondary!G323,Primary!G323)</f>
        <v>211.191570704999</v>
      </c>
      <c r="H323" s="10">
        <f>IF(ActiveDatabase=Standby,Secondary!H323,Primary!H323)</f>
        <v>25.9846335169999</v>
      </c>
      <c r="I323" s="13">
        <f>IF(ActiveDatabase=Standby,Secondary!I323,Primary!I323)</f>
        <v>0</v>
      </c>
      <c r="J323" s="13">
        <f>IF(ActiveDatabase=Standby,Secondary!J323,Primary!J323)</f>
        <v>0</v>
      </c>
      <c r="K323" s="13">
        <f>IF(ActiveDatabase=Standby,Secondary!K323,Primary!K323)</f>
        <v>0</v>
      </c>
      <c r="L323" s="13">
        <f>IF(ActiveDatabase=Standby,Secondary!L323,Primary!L323)</f>
        <v>0</v>
      </c>
      <c r="M323" s="7" t="b">
        <f>IF(ActiveDatabase=Standby,Secondary!M323,Primary!M323)</f>
        <v>1</v>
      </c>
      <c r="N323" s="10">
        <f>IF(ActiveDatabase=Standby,Secondary!N323,Primary!N323)</f>
        <v>0</v>
      </c>
      <c r="O323" s="10">
        <f>IF(ActiveDatabase=Standby,Secondary!O323,Primary!O323)</f>
        <v>0</v>
      </c>
      <c r="P323" s="10">
        <f>IF(ActiveDatabase=Standby,Secondary!P323,Primary!P323)</f>
        <v>0</v>
      </c>
      <c r="Q323" s="6">
        <f>IF(ActiveDatabase=Standby,Secondary!Q323,Primary!Q323)</f>
        <v>0</v>
      </c>
      <c r="R323" s="18">
        <f>IF(ActiveDatabase=Standby,Secondary!R323,Primary!R323)</f>
        <v>0</v>
      </c>
      <c r="S323" s="19">
        <f>IF(ActiveDatabase=Standby,Secondary!S323,Primary!S323)</f>
        <v>0</v>
      </c>
      <c r="T323" s="10">
        <f>IF(ActiveDatabase=Standby,Secondary!T323,Primary!T323)</f>
        <v>0</v>
      </c>
      <c r="U323" s="10">
        <f>IF(ActiveDatabase=Standby,Secondary!U323,Primary!U323)</f>
        <v>0</v>
      </c>
      <c r="V323" s="10">
        <f>IF(ActiveDatabase=Standby,Secondary!V323,Primary!V323)</f>
        <v>0</v>
      </c>
      <c r="W323" s="6">
        <f>IF(ActiveDatabase=Standby,Secondary!W323,Primary!W323)</f>
        <v>0</v>
      </c>
      <c r="X323" s="6">
        <f>IF(ActiveDatabase=Standby,Secondary!X323,Primary!X323)</f>
        <v>0</v>
      </c>
      <c r="Y323" s="12">
        <f>IF(ActiveDatabase=Standby,Secondary!Y323,Primary!Y323)</f>
        <v>0</v>
      </c>
      <c r="Z323" s="12">
        <f>IF(ActiveDatabase=Standby,Secondary!Z323,Primary!Z323)</f>
        <v>0</v>
      </c>
      <c r="AA323" s="7">
        <f>IF(ActiveDatabase=Standby,Secondary!AA323,Primary!AA323)</f>
        <v>0</v>
      </c>
      <c r="AB323" s="12"/>
      <c r="AC323" s="6"/>
      <c r="AD323" s="6"/>
      <c r="AE323" s="7"/>
      <c r="AF323" s="7"/>
      <c r="AG323" s="7"/>
      <c r="AH323" s="7"/>
      <c r="AI323" s="7"/>
      <c r="AJ323" s="7"/>
      <c r="AK323" s="7"/>
      <c r="AL323" s="7"/>
      <c r="AM323" s="7"/>
      <c r="AN323" s="7"/>
      <c r="AO323" s="6"/>
      <c r="AP323" s="7"/>
      <c r="AQ323" s="7"/>
      <c r="AR323" s="6"/>
      <c r="AS323" s="7"/>
      <c r="AT323" s="7"/>
      <c r="AU323" s="7"/>
      <c r="AV323" s="7"/>
      <c r="AW323" s="7"/>
      <c r="AX323" s="7"/>
      <c r="AY323" s="7"/>
      <c r="AZ323" s="7"/>
      <c r="BA323" s="7"/>
      <c r="BB323" s="7"/>
      <c r="BC323" s="7"/>
      <c r="BD323" s="7"/>
      <c r="BE323" s="7"/>
      <c r="BF323" s="7"/>
      <c r="BG323" s="7"/>
    </row>
    <row r="324" customHeight="1" spans="1:59">
      <c r="A324" s="9" t="str">
        <f>IF(ActiveDatabase=Standby,Secondary!A324,Primary!A324)</f>
        <v>Euterpe</v>
      </c>
      <c r="B324" s="5" t="str">
        <f>IF(ActiveDatabase=Standby,Secondary!B324,Primary!B324)</f>
        <v>Euterpe 04</v>
      </c>
      <c r="C324" s="5">
        <f>IF(ActiveDatabase=Standby,Secondary!C324,Primary!C324)</f>
        <v>0</v>
      </c>
      <c r="D324" s="5" t="str">
        <f>IF(ActiveDatabase=Standby,Secondary!D324,Primary!D324)</f>
        <v>Racetracks</v>
      </c>
      <c r="E324" s="6">
        <f>IF(ActiveDatabase=Standby,Secondary!E324,Primary!E324)</f>
        <v>0</v>
      </c>
      <c r="F324" s="10">
        <f>IF(ActiveDatabase=Standby,Secondary!F324,Primary!F324)</f>
        <v>0</v>
      </c>
      <c r="G324" s="10">
        <f>IF(ActiveDatabase=Standby,Secondary!G324,Primary!G324)</f>
        <v>0</v>
      </c>
      <c r="H324" s="10">
        <f>IF(ActiveDatabase=Standby,Secondary!H324,Primary!H324)</f>
        <v>0</v>
      </c>
      <c r="I324" s="13">
        <f>IF(ActiveDatabase=Standby,Secondary!I324,Primary!I324)</f>
        <v>0</v>
      </c>
      <c r="J324" s="13">
        <f>IF(ActiveDatabase=Standby,Secondary!J324,Primary!J324)</f>
        <v>0</v>
      </c>
      <c r="K324" s="13">
        <f>IF(ActiveDatabase=Standby,Secondary!K324,Primary!K324)</f>
        <v>0</v>
      </c>
      <c r="L324" s="13">
        <f>IF(ActiveDatabase=Standby,Secondary!L324,Primary!L324)</f>
        <v>0</v>
      </c>
      <c r="M324" s="7">
        <f>IF(ActiveDatabase=Standby,Secondary!M324,Primary!M324)</f>
        <v>0</v>
      </c>
      <c r="N324" s="10">
        <f>IF(ActiveDatabase=Standby,Secondary!N324,Primary!N324)</f>
        <v>0</v>
      </c>
      <c r="O324" s="10">
        <f>IF(ActiveDatabase=Standby,Secondary!O324,Primary!O324)</f>
        <v>0</v>
      </c>
      <c r="P324" s="10">
        <f>IF(ActiveDatabase=Standby,Secondary!P324,Primary!P324)</f>
        <v>0</v>
      </c>
      <c r="Q324" s="6">
        <f>IF(ActiveDatabase=Standby,Secondary!Q324,Primary!Q324)</f>
        <v>0</v>
      </c>
      <c r="R324" s="18">
        <f>IF(ActiveDatabase=Standby,Secondary!R324,Primary!R324)</f>
        <v>0</v>
      </c>
      <c r="S324" s="19">
        <f>IF(ActiveDatabase=Standby,Secondary!S324,Primary!S324)</f>
        <v>0</v>
      </c>
      <c r="T324" s="10">
        <f>IF(ActiveDatabase=Standby,Secondary!T324,Primary!T324)</f>
        <v>0</v>
      </c>
      <c r="U324" s="10">
        <f>IF(ActiveDatabase=Standby,Secondary!U324,Primary!U324)</f>
        <v>0</v>
      </c>
      <c r="V324" s="10">
        <f>IF(ActiveDatabase=Standby,Secondary!V324,Primary!V324)</f>
        <v>0</v>
      </c>
      <c r="W324" s="6">
        <f>IF(ActiveDatabase=Standby,Secondary!W324,Primary!W324)</f>
        <v>0</v>
      </c>
      <c r="X324" s="6">
        <f>IF(ActiveDatabase=Standby,Secondary!X324,Primary!X324)</f>
        <v>0</v>
      </c>
      <c r="Y324" s="12">
        <f>IF(ActiveDatabase=Standby,Secondary!Y324,Primary!Y324)</f>
        <v>0</v>
      </c>
      <c r="Z324" s="12">
        <f>IF(ActiveDatabase=Standby,Secondary!Z324,Primary!Z324)</f>
        <v>0</v>
      </c>
      <c r="AA324" s="7">
        <f>IF(ActiveDatabase=Standby,Secondary!AA324,Primary!AA324)</f>
        <v>0</v>
      </c>
      <c r="AB324" s="12"/>
      <c r="AC324" s="6"/>
      <c r="AD324" s="6"/>
      <c r="AE324" s="7"/>
      <c r="AF324" s="7"/>
      <c r="AG324" s="7"/>
      <c r="AH324" s="7"/>
      <c r="AI324" s="7"/>
      <c r="AJ324" s="7"/>
      <c r="AK324" s="7"/>
      <c r="AL324" s="7"/>
      <c r="AM324" s="7"/>
      <c r="AN324" s="7"/>
      <c r="AO324" s="6"/>
      <c r="AP324" s="7"/>
      <c r="AQ324" s="7"/>
      <c r="AR324" s="6"/>
      <c r="AS324" s="7"/>
      <c r="AT324" s="7"/>
      <c r="AU324" s="7"/>
      <c r="AV324" s="7"/>
      <c r="AW324" s="7"/>
      <c r="AX324" s="7"/>
      <c r="AY324" s="7"/>
      <c r="AZ324" s="7"/>
      <c r="BA324" s="7"/>
      <c r="BB324" s="7"/>
      <c r="BC324" s="7"/>
      <c r="BD324" s="7"/>
      <c r="BE324" s="7"/>
      <c r="BF324" s="7"/>
      <c r="BG324" s="7"/>
    </row>
    <row r="325" customHeight="1" spans="1:59">
      <c r="A325" s="9" t="str">
        <f>IF(ActiveDatabase=Standby,Secondary!A325,Primary!A325)</f>
        <v>Euterpe 03</v>
      </c>
      <c r="B325" s="5" t="str">
        <f>IF(ActiveDatabase=Standby,Secondary!B325,Primary!B325)</f>
        <v>Euterpe 05</v>
      </c>
      <c r="C325" s="5" t="str">
        <f>IF(ActiveDatabase=Standby,Secondary!C325,Primary!C325)</f>
        <v>Euterpe 01</v>
      </c>
      <c r="D325" s="5" t="str">
        <f>IF(ActiveDatabase=Standby,Secondary!D325,Primary!D325)</f>
        <v>The Icebreaker</v>
      </c>
      <c r="E325" s="6" t="str">
        <f>IF(ActiveDatabase=Standby,Secondary!E325,Primary!E325)</f>
        <v>Icebreaker</v>
      </c>
      <c r="F325" s="10">
        <f>IF(ActiveDatabase=Standby,Secondary!F325,Primary!F325)</f>
        <v>-42.103950635</v>
      </c>
      <c r="G325" s="10">
        <f>IF(ActiveDatabase=Standby,Secondary!G325,Primary!G325)</f>
        <v>198.137943112999</v>
      </c>
      <c r="H325" s="10">
        <f>IF(ActiveDatabase=Standby,Secondary!H325,Primary!H325)</f>
        <v>66.6105668359998</v>
      </c>
      <c r="I325" s="13">
        <f>IF(ActiveDatabase=Standby,Secondary!I325,Primary!I325)</f>
        <v>0</v>
      </c>
      <c r="J325" s="13">
        <f>IF(ActiveDatabase=Standby,Secondary!J325,Primary!J325)</f>
        <v>0</v>
      </c>
      <c r="K325" s="13">
        <f>IF(ActiveDatabase=Standby,Secondary!K325,Primary!K325)</f>
        <v>0</v>
      </c>
      <c r="L325" s="13">
        <f>IF(ActiveDatabase=Standby,Secondary!L325,Primary!L325)</f>
        <v>0</v>
      </c>
      <c r="M325" s="7" t="b">
        <f>IF(ActiveDatabase=Standby,Secondary!M325,Primary!M325)</f>
        <v>1</v>
      </c>
      <c r="N325" s="10">
        <f>IF(ActiveDatabase=Standby,Secondary!N325,Primary!N325)</f>
        <v>0</v>
      </c>
      <c r="O325" s="10">
        <f>IF(ActiveDatabase=Standby,Secondary!O325,Primary!O325)</f>
        <v>0</v>
      </c>
      <c r="P325" s="10">
        <f>IF(ActiveDatabase=Standby,Secondary!P325,Primary!P325)</f>
        <v>0</v>
      </c>
      <c r="Q325" s="6">
        <f>IF(ActiveDatabase=Standby,Secondary!Q325,Primary!Q325)</f>
        <v>0</v>
      </c>
      <c r="R325" s="18">
        <f>IF(ActiveDatabase=Standby,Secondary!R325,Primary!R325)</f>
        <v>0</v>
      </c>
      <c r="S325" s="19">
        <f>IF(ActiveDatabase=Standby,Secondary!S325,Primary!S325)</f>
        <v>0</v>
      </c>
      <c r="T325" s="10">
        <f>IF(ActiveDatabase=Standby,Secondary!T325,Primary!T325)</f>
        <v>0</v>
      </c>
      <c r="U325" s="10">
        <f>IF(ActiveDatabase=Standby,Secondary!U325,Primary!U325)</f>
        <v>0</v>
      </c>
      <c r="V325" s="10">
        <f>IF(ActiveDatabase=Standby,Secondary!V325,Primary!V325)</f>
        <v>0</v>
      </c>
      <c r="W325" s="6">
        <f>IF(ActiveDatabase=Standby,Secondary!W325,Primary!W325)</f>
        <v>0</v>
      </c>
      <c r="X325" s="6">
        <f>IF(ActiveDatabase=Standby,Secondary!X325,Primary!X325)</f>
        <v>0</v>
      </c>
      <c r="Y325" s="12">
        <f>IF(ActiveDatabase=Standby,Secondary!Y325,Primary!Y325)</f>
        <v>0</v>
      </c>
      <c r="Z325" s="12">
        <f>IF(ActiveDatabase=Standby,Secondary!Z325,Primary!Z325)</f>
        <v>0</v>
      </c>
      <c r="AA325" s="7">
        <f>IF(ActiveDatabase=Standby,Secondary!AA325,Primary!AA325)</f>
        <v>0</v>
      </c>
      <c r="AB325" s="12"/>
      <c r="AC325" s="6"/>
      <c r="AD325" s="6"/>
      <c r="AE325" s="7"/>
      <c r="AF325" s="7"/>
      <c r="AG325" s="7"/>
      <c r="AH325" s="7"/>
      <c r="AI325" s="7"/>
      <c r="AJ325" s="7"/>
      <c r="AK325" s="7"/>
      <c r="AL325" s="7"/>
      <c r="AM325" s="7"/>
      <c r="AN325" s="7"/>
      <c r="AO325" s="6"/>
      <c r="AP325" s="7"/>
      <c r="AQ325" s="7"/>
      <c r="AR325" s="6"/>
      <c r="AS325" s="7"/>
      <c r="AT325" s="7"/>
      <c r="AU325" s="7"/>
      <c r="AV325" s="7"/>
      <c r="AW325" s="7"/>
      <c r="AX325" s="7"/>
      <c r="AY325" s="7"/>
      <c r="AZ325" s="7"/>
      <c r="BA325" s="7"/>
      <c r="BB325" s="7"/>
      <c r="BC325" s="7"/>
      <c r="BD325" s="7"/>
      <c r="BE325" s="7"/>
      <c r="BF325" s="7"/>
      <c r="BG325" s="7"/>
    </row>
    <row r="326" customHeight="1" spans="1:59">
      <c r="A326" s="9" t="str">
        <f>IF(ActiveDatabase=Standby,Secondary!A326,Primary!A326)</f>
        <v>Euterpe</v>
      </c>
      <c r="B326" s="5" t="str">
        <f>IF(ActiveDatabase=Standby,Secondary!B326,Primary!B326)</f>
        <v>Euterpe 07</v>
      </c>
      <c r="C326" s="5">
        <f>IF(ActiveDatabase=Standby,Secondary!C326,Primary!C326)</f>
        <v>0</v>
      </c>
      <c r="D326" s="5" t="str">
        <f>IF(ActiveDatabase=Standby,Secondary!D326,Primary!D326)</f>
        <v>Settlements</v>
      </c>
      <c r="E326" s="6">
        <f>IF(ActiveDatabase=Standby,Secondary!E326,Primary!E326)</f>
        <v>0</v>
      </c>
      <c r="F326" s="10">
        <f>IF(ActiveDatabase=Standby,Secondary!F326,Primary!F326)</f>
        <v>0</v>
      </c>
      <c r="G326" s="10">
        <f>IF(ActiveDatabase=Standby,Secondary!G326,Primary!G326)</f>
        <v>0</v>
      </c>
      <c r="H326" s="10">
        <f>IF(ActiveDatabase=Standby,Secondary!H326,Primary!H326)</f>
        <v>0</v>
      </c>
      <c r="I326" s="13">
        <f>IF(ActiveDatabase=Standby,Secondary!I326,Primary!I326)</f>
        <v>0</v>
      </c>
      <c r="J326" s="13">
        <f>IF(ActiveDatabase=Standby,Secondary!J326,Primary!J326)</f>
        <v>0</v>
      </c>
      <c r="K326" s="13">
        <f>IF(ActiveDatabase=Standby,Secondary!K326,Primary!K326)</f>
        <v>0</v>
      </c>
      <c r="L326" s="13">
        <f>IF(ActiveDatabase=Standby,Secondary!L326,Primary!L326)</f>
        <v>0</v>
      </c>
      <c r="M326" s="7">
        <f>IF(ActiveDatabase=Standby,Secondary!M326,Primary!M326)</f>
        <v>0</v>
      </c>
      <c r="N326" s="10">
        <f>IF(ActiveDatabase=Standby,Secondary!N326,Primary!N326)</f>
        <v>0</v>
      </c>
      <c r="O326" s="10">
        <f>IF(ActiveDatabase=Standby,Secondary!O326,Primary!O326)</f>
        <v>0</v>
      </c>
      <c r="P326" s="10">
        <f>IF(ActiveDatabase=Standby,Secondary!P326,Primary!P326)</f>
        <v>0</v>
      </c>
      <c r="Q326" s="6">
        <f>IF(ActiveDatabase=Standby,Secondary!Q326,Primary!Q326)</f>
        <v>0</v>
      </c>
      <c r="R326" s="18">
        <f>IF(ActiveDatabase=Standby,Secondary!R326,Primary!R326)</f>
        <v>0</v>
      </c>
      <c r="S326" s="19">
        <f>IF(ActiveDatabase=Standby,Secondary!S326,Primary!S326)</f>
        <v>0</v>
      </c>
      <c r="T326" s="10">
        <f>IF(ActiveDatabase=Standby,Secondary!T326,Primary!T326)</f>
        <v>0</v>
      </c>
      <c r="U326" s="10">
        <f>IF(ActiveDatabase=Standby,Secondary!U326,Primary!U326)</f>
        <v>0</v>
      </c>
      <c r="V326" s="10">
        <f>IF(ActiveDatabase=Standby,Secondary!V326,Primary!V326)</f>
        <v>0</v>
      </c>
      <c r="W326" s="6">
        <f>IF(ActiveDatabase=Standby,Secondary!W326,Primary!W326)</f>
        <v>0</v>
      </c>
      <c r="X326" s="6">
        <f>IF(ActiveDatabase=Standby,Secondary!X326,Primary!X326)</f>
        <v>0</v>
      </c>
      <c r="Y326" s="12">
        <f>IF(ActiveDatabase=Standby,Secondary!Y326,Primary!Y326)</f>
        <v>0</v>
      </c>
      <c r="Z326" s="12">
        <f>IF(ActiveDatabase=Standby,Secondary!Z326,Primary!Z326)</f>
        <v>0</v>
      </c>
      <c r="AA326" s="7">
        <f>IF(ActiveDatabase=Standby,Secondary!AA326,Primary!AA326)</f>
        <v>0</v>
      </c>
      <c r="AB326" s="12"/>
      <c r="AC326" s="6"/>
      <c r="AD326" s="6"/>
      <c r="AE326" s="7"/>
      <c r="AF326" s="7"/>
      <c r="AG326" s="7"/>
      <c r="AH326" s="7"/>
      <c r="AI326" s="7"/>
      <c r="AJ326" s="7"/>
      <c r="AK326" s="7"/>
      <c r="AL326" s="7"/>
      <c r="AM326" s="7"/>
      <c r="AN326" s="7"/>
      <c r="AO326" s="6"/>
      <c r="AP326" s="7"/>
      <c r="AQ326" s="7"/>
      <c r="AR326" s="6"/>
      <c r="AS326" s="7"/>
      <c r="AT326" s="7"/>
      <c r="AU326" s="7"/>
      <c r="AV326" s="7"/>
      <c r="AW326" s="7"/>
      <c r="AX326" s="7"/>
      <c r="AY326" s="7"/>
      <c r="AZ326" s="7"/>
      <c r="BA326" s="7"/>
      <c r="BB326" s="7"/>
      <c r="BC326" s="7"/>
      <c r="BD326" s="7"/>
      <c r="BE326" s="7"/>
      <c r="BF326" s="7"/>
      <c r="BG326" s="7"/>
    </row>
    <row r="327" customHeight="1" spans="1:59">
      <c r="A327" s="9" t="str">
        <f>IF(ActiveDatabase=Standby,Secondary!A327,Primary!A327)</f>
        <v>Euterpe 05</v>
      </c>
      <c r="B327" s="5" t="str">
        <f>IF(ActiveDatabase=Standby,Secondary!B327,Primary!B327)</f>
        <v>Euterpe 08</v>
      </c>
      <c r="C327" s="5" t="str">
        <f>IF(ActiveDatabase=Standby,Secondary!C327,Primary!C327)</f>
        <v>Euterpe 04</v>
      </c>
      <c r="D327" s="5" t="str">
        <f>IF(ActiveDatabase=Standby,Secondary!D327,Primary!D327)</f>
        <v>Euterpe Settlement</v>
      </c>
      <c r="E327" s="6" t="str">
        <f>IF(ActiveDatabase=Standby,Secondary!E327,Primary!E327)</f>
        <v>Settlement 4c</v>
      </c>
      <c r="F327" s="10">
        <f>IF(ActiveDatabase=Standby,Secondary!F327,Primary!F327)</f>
        <v>0.823166850999999</v>
      </c>
      <c r="G327" s="10">
        <f>IF(ActiveDatabase=Standby,Secondary!G327,Primary!G327)</f>
        <v>212.676529378</v>
      </c>
      <c r="H327" s="10">
        <f>IF(ActiveDatabase=Standby,Secondary!H327,Primary!H327)</f>
        <v>16.431644107</v>
      </c>
      <c r="I327" s="13">
        <f>IF(ActiveDatabase=Standby,Secondary!I327,Primary!I327)</f>
        <v>0</v>
      </c>
      <c r="J327" s="13">
        <f>IF(ActiveDatabase=Standby,Secondary!J327,Primary!J327)</f>
        <v>0</v>
      </c>
      <c r="K327" s="13">
        <f>IF(ActiveDatabase=Standby,Secondary!K327,Primary!K327)</f>
        <v>0</v>
      </c>
      <c r="L327" s="13">
        <f>IF(ActiveDatabase=Standby,Secondary!L327,Primary!L327)</f>
        <v>0</v>
      </c>
      <c r="M327" s="7" t="b">
        <f>IF(ActiveDatabase=Standby,Secondary!M327,Primary!M327)</f>
        <v>0</v>
      </c>
      <c r="N327" s="10">
        <f>IF(ActiveDatabase=Standby,Secondary!N327,Primary!N327)</f>
        <v>0</v>
      </c>
      <c r="O327" s="10">
        <f>IF(ActiveDatabase=Standby,Secondary!O327,Primary!O327)</f>
        <v>0</v>
      </c>
      <c r="P327" s="10">
        <f>IF(ActiveDatabase=Standby,Secondary!P327,Primary!P327)</f>
        <v>0</v>
      </c>
      <c r="Q327" s="6">
        <f>IF(ActiveDatabase=Standby,Secondary!Q327,Primary!Q327)</f>
        <v>0</v>
      </c>
      <c r="R327" s="18">
        <f>IF(ActiveDatabase=Standby,Secondary!R327,Primary!R327)</f>
        <v>0</v>
      </c>
      <c r="S327" s="19">
        <f>IF(ActiveDatabase=Standby,Secondary!S327,Primary!S327)</f>
        <v>0</v>
      </c>
      <c r="T327" s="10">
        <f>IF(ActiveDatabase=Standby,Secondary!T327,Primary!T327)</f>
        <v>0</v>
      </c>
      <c r="U327" s="10">
        <f>IF(ActiveDatabase=Standby,Secondary!U327,Primary!U327)</f>
        <v>0</v>
      </c>
      <c r="V327" s="10">
        <f>IF(ActiveDatabase=Standby,Secondary!V327,Primary!V327)</f>
        <v>0</v>
      </c>
      <c r="W327" s="6">
        <f>IF(ActiveDatabase=Standby,Secondary!W327,Primary!W327)</f>
        <v>0</v>
      </c>
      <c r="X327" s="6">
        <f>IF(ActiveDatabase=Standby,Secondary!X327,Primary!X327)</f>
        <v>0</v>
      </c>
      <c r="Y327" s="12">
        <f>IF(ActiveDatabase=Standby,Secondary!Y327,Primary!Y327)</f>
        <v>0</v>
      </c>
      <c r="Z327" s="12">
        <f>IF(ActiveDatabase=Standby,Secondary!Z327,Primary!Z327)</f>
        <v>0</v>
      </c>
      <c r="AA327" s="7">
        <f>IF(ActiveDatabase=Standby,Secondary!AA327,Primary!AA327)</f>
        <v>0</v>
      </c>
      <c r="AB327" s="12"/>
      <c r="AC327" s="6"/>
      <c r="AD327" s="6"/>
      <c r="AE327" s="7"/>
      <c r="AF327" s="7"/>
      <c r="AG327" s="7"/>
      <c r="AH327" s="7"/>
      <c r="AI327" s="7"/>
      <c r="AJ327" s="7"/>
      <c r="AK327" s="7"/>
      <c r="AL327" s="7"/>
      <c r="AM327" s="7"/>
      <c r="AN327" s="7"/>
      <c r="AO327" s="6"/>
      <c r="AP327" s="7"/>
      <c r="AQ327" s="7"/>
      <c r="AR327" s="6"/>
      <c r="AS327" s="7"/>
      <c r="AT327" s="7"/>
      <c r="AU327" s="7"/>
      <c r="AV327" s="7"/>
      <c r="AW327" s="7"/>
      <c r="AX327" s="7"/>
      <c r="AY327" s="7"/>
      <c r="AZ327" s="7"/>
      <c r="BA327" s="7"/>
      <c r="BB327" s="7"/>
      <c r="BC327" s="7"/>
      <c r="BD327" s="7"/>
      <c r="BE327" s="7"/>
      <c r="BF327" s="7"/>
      <c r="BG327" s="7"/>
    </row>
    <row r="328" customHeight="1" spans="1:59">
      <c r="A328" s="9" t="str">
        <f>IF(ActiveDatabase=Standby,Secondary!A328,Primary!A328)</f>
        <v>Euterpe</v>
      </c>
      <c r="B328" s="5" t="str">
        <f>IF(ActiveDatabase=Standby,Secondary!B328,Primary!B328)</f>
        <v>Euterpe 10</v>
      </c>
      <c r="C328" s="5">
        <f>IF(ActiveDatabase=Standby,Secondary!C328,Primary!C328)</f>
        <v>0</v>
      </c>
      <c r="D328" s="5" t="str">
        <f>IF(ActiveDatabase=Standby,Secondary!D328,Primary!D328)</f>
        <v>Caves</v>
      </c>
      <c r="E328" s="6">
        <f>IF(ActiveDatabase=Standby,Secondary!E328,Primary!E328)</f>
        <v>0</v>
      </c>
      <c r="F328" s="10">
        <f>IF(ActiveDatabase=Standby,Secondary!F328,Primary!F328)</f>
        <v>0</v>
      </c>
      <c r="G328" s="10">
        <f>IF(ActiveDatabase=Standby,Secondary!G328,Primary!G328)</f>
        <v>0</v>
      </c>
      <c r="H328" s="10">
        <f>IF(ActiveDatabase=Standby,Secondary!H328,Primary!H328)</f>
        <v>0</v>
      </c>
      <c r="I328" s="13">
        <f>IF(ActiveDatabase=Standby,Secondary!I328,Primary!I328)</f>
        <v>0</v>
      </c>
      <c r="J328" s="13">
        <f>IF(ActiveDatabase=Standby,Secondary!J328,Primary!J328)</f>
        <v>0</v>
      </c>
      <c r="K328" s="13">
        <f>IF(ActiveDatabase=Standby,Secondary!K328,Primary!K328)</f>
        <v>0</v>
      </c>
      <c r="L328" s="13">
        <f>IF(ActiveDatabase=Standby,Secondary!L328,Primary!L328)</f>
        <v>0</v>
      </c>
      <c r="M328" s="7">
        <f>IF(ActiveDatabase=Standby,Secondary!M328,Primary!M328)</f>
        <v>0</v>
      </c>
      <c r="N328" s="10">
        <f>IF(ActiveDatabase=Standby,Secondary!N328,Primary!N328)</f>
        <v>0</v>
      </c>
      <c r="O328" s="10">
        <f>IF(ActiveDatabase=Standby,Secondary!O328,Primary!O328)</f>
        <v>0</v>
      </c>
      <c r="P328" s="10">
        <f>IF(ActiveDatabase=Standby,Secondary!P328,Primary!P328)</f>
        <v>0</v>
      </c>
      <c r="Q328" s="6">
        <f>IF(ActiveDatabase=Standby,Secondary!Q328,Primary!Q328)</f>
        <v>0</v>
      </c>
      <c r="R328" s="18">
        <f>IF(ActiveDatabase=Standby,Secondary!R328,Primary!R328)</f>
        <v>0</v>
      </c>
      <c r="S328" s="19">
        <f>IF(ActiveDatabase=Standby,Secondary!S328,Primary!S328)</f>
        <v>0</v>
      </c>
      <c r="T328" s="10">
        <f>IF(ActiveDatabase=Standby,Secondary!T328,Primary!T328)</f>
        <v>0</v>
      </c>
      <c r="U328" s="10">
        <f>IF(ActiveDatabase=Standby,Secondary!U328,Primary!U328)</f>
        <v>0</v>
      </c>
      <c r="V328" s="10">
        <f>IF(ActiveDatabase=Standby,Secondary!V328,Primary!V328)</f>
        <v>0</v>
      </c>
      <c r="W328" s="6">
        <f>IF(ActiveDatabase=Standby,Secondary!W328,Primary!W328)</f>
        <v>0</v>
      </c>
      <c r="X328" s="6">
        <f>IF(ActiveDatabase=Standby,Secondary!X328,Primary!X328)</f>
        <v>0</v>
      </c>
      <c r="Y328" s="12">
        <f>IF(ActiveDatabase=Standby,Secondary!Y328,Primary!Y328)</f>
        <v>0</v>
      </c>
      <c r="Z328" s="12">
        <f>IF(ActiveDatabase=Standby,Secondary!Z328,Primary!Z328)</f>
        <v>0</v>
      </c>
      <c r="AA328" s="7">
        <f>IF(ActiveDatabase=Standby,Secondary!AA328,Primary!AA328)</f>
        <v>0</v>
      </c>
      <c r="AB328" s="12"/>
      <c r="AC328" s="6"/>
      <c r="AD328" s="6"/>
      <c r="AE328" s="7"/>
      <c r="AF328" s="7"/>
      <c r="AG328" s="7"/>
      <c r="AH328" s="7"/>
      <c r="AI328" s="7"/>
      <c r="AJ328" s="7"/>
      <c r="AK328" s="7"/>
      <c r="AL328" s="7"/>
      <c r="AM328" s="7"/>
      <c r="AN328" s="7"/>
      <c r="AO328" s="6"/>
      <c r="AP328" s="7"/>
      <c r="AQ328" s="7"/>
      <c r="AR328" s="6"/>
      <c r="AS328" s="7"/>
      <c r="AT328" s="7"/>
      <c r="AU328" s="7"/>
      <c r="AV328" s="7"/>
      <c r="AW328" s="7"/>
      <c r="AX328" s="7"/>
      <c r="AY328" s="7"/>
      <c r="AZ328" s="7"/>
      <c r="BA328" s="7"/>
      <c r="BB328" s="7"/>
      <c r="BC328" s="7"/>
      <c r="BD328" s="7"/>
      <c r="BE328" s="7"/>
      <c r="BF328" s="7"/>
      <c r="BG328" s="7"/>
    </row>
    <row r="329" customHeight="1" spans="1:59">
      <c r="A329" s="9" t="str">
        <f>IF(ActiveDatabase=Standby,Secondary!A329,Primary!A329)</f>
        <v>Euterpe 09</v>
      </c>
      <c r="B329" s="5" t="str">
        <f>IF(ActiveDatabase=Standby,Secondary!B329,Primary!B329)</f>
        <v>Euterpe 14</v>
      </c>
      <c r="C329" s="5" t="str">
        <f>IF(ActiveDatabase=Standby,Secondary!C329,Primary!C329)</f>
        <v>Euterpe 07</v>
      </c>
      <c r="D329" s="5" t="str">
        <f>IF(ActiveDatabase=Standby,Secondary!D329,Primary!D329)</f>
        <v>Rock Cave 39N</v>
      </c>
      <c r="E329" s="6" t="str">
        <f>IF(ActiveDatabase=Standby,Secondary!E329,Primary!E329)</f>
        <v>RCave 39N</v>
      </c>
      <c r="F329" s="10">
        <f>IF(ActiveDatabase=Standby,Secondary!F329,Primary!F329)</f>
        <v>136.389514123</v>
      </c>
      <c r="G329" s="10">
        <f>IF(ActiveDatabase=Standby,Secondary!G329,Primary!G329)</f>
        <v>163.643826322999</v>
      </c>
      <c r="H329" s="10">
        <f>IF(ActiveDatabase=Standby,Secondary!H329,Primary!H329)</f>
        <v>11.150855346</v>
      </c>
      <c r="I329" s="13">
        <f>IF(ActiveDatabase=Standby,Secondary!I329,Primary!I329)</f>
        <v>0</v>
      </c>
      <c r="J329" s="13">
        <f>IF(ActiveDatabase=Standby,Secondary!J329,Primary!J329)</f>
        <v>0</v>
      </c>
      <c r="K329" s="13">
        <f>IF(ActiveDatabase=Standby,Secondary!K329,Primary!K329)</f>
        <v>0</v>
      </c>
      <c r="L329" s="13">
        <f>IF(ActiveDatabase=Standby,Secondary!L329,Primary!L329)</f>
        <v>0</v>
      </c>
      <c r="M329" s="7" t="b">
        <f>IF(ActiveDatabase=Standby,Secondary!M329,Primary!M329)</f>
        <v>0</v>
      </c>
      <c r="N329" s="10">
        <f>IF(ActiveDatabase=Standby,Secondary!N329,Primary!N329)</f>
        <v>0</v>
      </c>
      <c r="O329" s="10">
        <f>IF(ActiveDatabase=Standby,Secondary!O329,Primary!O329)</f>
        <v>0</v>
      </c>
      <c r="P329" s="10">
        <f>IF(ActiveDatabase=Standby,Secondary!P329,Primary!P329)</f>
        <v>0</v>
      </c>
      <c r="Q329" s="6">
        <f>IF(ActiveDatabase=Standby,Secondary!Q329,Primary!Q329)</f>
        <v>0</v>
      </c>
      <c r="R329" s="18">
        <f>IF(ActiveDatabase=Standby,Secondary!R329,Primary!R329)</f>
        <v>0</v>
      </c>
      <c r="S329" s="19">
        <f>IF(ActiveDatabase=Standby,Secondary!S329,Primary!S329)</f>
        <v>0</v>
      </c>
      <c r="T329" s="10">
        <f>IF(ActiveDatabase=Standby,Secondary!T329,Primary!T329)</f>
        <v>0</v>
      </c>
      <c r="U329" s="10">
        <f>IF(ActiveDatabase=Standby,Secondary!U329,Primary!U329)</f>
        <v>0</v>
      </c>
      <c r="V329" s="10">
        <f>IF(ActiveDatabase=Standby,Secondary!V329,Primary!V329)</f>
        <v>0</v>
      </c>
      <c r="W329" s="6">
        <f>IF(ActiveDatabase=Standby,Secondary!W329,Primary!W329)</f>
        <v>0</v>
      </c>
      <c r="X329" s="6">
        <f>IF(ActiveDatabase=Standby,Secondary!X329,Primary!X329)</f>
        <v>0</v>
      </c>
      <c r="Y329" s="12">
        <f>IF(ActiveDatabase=Standby,Secondary!Y329,Primary!Y329)</f>
        <v>0</v>
      </c>
      <c r="Z329" s="12">
        <f>IF(ActiveDatabase=Standby,Secondary!Z329,Primary!Z329)</f>
        <v>0</v>
      </c>
      <c r="AA329" s="7">
        <f>IF(ActiveDatabase=Standby,Secondary!AA329,Primary!AA329)</f>
        <v>0</v>
      </c>
      <c r="AB329" s="12"/>
      <c r="AC329" s="6"/>
      <c r="AD329" s="6"/>
      <c r="AE329" s="7"/>
      <c r="AF329" s="7"/>
      <c r="AG329" s="7"/>
      <c r="AH329" s="7"/>
      <c r="AI329" s="7"/>
      <c r="AJ329" s="7"/>
      <c r="AK329" s="7"/>
      <c r="AL329" s="7"/>
      <c r="AM329" s="7"/>
      <c r="AN329" s="7"/>
      <c r="AO329" s="6"/>
      <c r="AP329" s="7"/>
      <c r="AQ329" s="7"/>
      <c r="AR329" s="6"/>
      <c r="AS329" s="7"/>
      <c r="AT329" s="7"/>
      <c r="AU329" s="7"/>
      <c r="AV329" s="7"/>
      <c r="AW329" s="7"/>
      <c r="AX329" s="7"/>
      <c r="AY329" s="7"/>
      <c r="AZ329" s="7"/>
      <c r="BA329" s="7"/>
      <c r="BB329" s="7"/>
      <c r="BC329" s="7"/>
      <c r="BD329" s="7"/>
      <c r="BE329" s="7"/>
      <c r="BF329" s="7"/>
      <c r="BG329" s="7"/>
    </row>
    <row r="330" customHeight="1" spans="1:59">
      <c r="A330" s="9" t="str">
        <f>IF(ActiveDatabase=Standby,Secondary!A330,Primary!A330)</f>
        <v>Euterpe 07</v>
      </c>
      <c r="B330" s="5" t="str">
        <f>IF(ActiveDatabase=Standby,Secondary!B330,Primary!B330)</f>
        <v>Euterpe 12</v>
      </c>
      <c r="C330" s="5" t="str">
        <f>IF(ActiveDatabase=Standby,Secondary!C330,Primary!C330)</f>
        <v>Euterpe 24</v>
      </c>
      <c r="D330" s="5" t="str">
        <f>IF(ActiveDatabase=Standby,Secondary!D330,Primary!D330)</f>
        <v>Rock Cave 04P-047</v>
      </c>
      <c r="E330" s="6" t="str">
        <f>IF(ActiveDatabase=Standby,Secondary!E330,Primary!E330)</f>
        <v>RCave 04P047</v>
      </c>
      <c r="F330" s="10">
        <f>IF(ActiveDatabase=Standby,Secondary!F330,Primary!F330)</f>
        <v>-192.560988522</v>
      </c>
      <c r="G330" s="10">
        <f>IF(ActiveDatabase=Standby,Secondary!G330,Primary!G330)</f>
        <v>-82.292478335</v>
      </c>
      <c r="H330" s="10">
        <f>IF(ActiveDatabase=Standby,Secondary!H330,Primary!H330)</f>
        <v>40.530786029</v>
      </c>
      <c r="I330" s="13">
        <f>IF(ActiveDatabase=Standby,Secondary!I330,Primary!I330)</f>
        <v>0</v>
      </c>
      <c r="J330" s="13">
        <f>IF(ActiveDatabase=Standby,Secondary!J330,Primary!J330)</f>
        <v>0</v>
      </c>
      <c r="K330" s="13">
        <f>IF(ActiveDatabase=Standby,Secondary!K330,Primary!K330)</f>
        <v>0</v>
      </c>
      <c r="L330" s="13">
        <f>IF(ActiveDatabase=Standby,Secondary!L330,Primary!L330)</f>
        <v>0</v>
      </c>
      <c r="M330" s="7" t="b">
        <f>IF(ActiveDatabase=Standby,Secondary!M330,Primary!M330)</f>
        <v>0</v>
      </c>
      <c r="N330" s="10">
        <f>IF(ActiveDatabase=Standby,Secondary!N330,Primary!N330)</f>
        <v>0</v>
      </c>
      <c r="O330" s="10">
        <f>IF(ActiveDatabase=Standby,Secondary!O330,Primary!O330)</f>
        <v>0</v>
      </c>
      <c r="P330" s="10">
        <f>IF(ActiveDatabase=Standby,Secondary!P330,Primary!P330)</f>
        <v>0</v>
      </c>
      <c r="Q330" s="6">
        <f>IF(ActiveDatabase=Standby,Secondary!Q330,Primary!Q330)</f>
        <v>0</v>
      </c>
      <c r="R330" s="18">
        <f>IF(ActiveDatabase=Standby,Secondary!R330,Primary!R330)</f>
        <v>0</v>
      </c>
      <c r="S330" s="19">
        <f>IF(ActiveDatabase=Standby,Secondary!S330,Primary!S330)</f>
        <v>0</v>
      </c>
      <c r="T330" s="10">
        <f>IF(ActiveDatabase=Standby,Secondary!T330,Primary!T330)</f>
        <v>0</v>
      </c>
      <c r="U330" s="10">
        <f>IF(ActiveDatabase=Standby,Secondary!U330,Primary!U330)</f>
        <v>0</v>
      </c>
      <c r="V330" s="10">
        <f>IF(ActiveDatabase=Standby,Secondary!V330,Primary!V330)</f>
        <v>0</v>
      </c>
      <c r="W330" s="6">
        <f>IF(ActiveDatabase=Standby,Secondary!W330,Primary!W330)</f>
        <v>0</v>
      </c>
      <c r="X330" s="6">
        <f>IF(ActiveDatabase=Standby,Secondary!X330,Primary!X330)</f>
        <v>0</v>
      </c>
      <c r="Y330" s="12">
        <f>IF(ActiveDatabase=Standby,Secondary!Y330,Primary!Y330)</f>
        <v>0</v>
      </c>
      <c r="Z330" s="12">
        <f>IF(ActiveDatabase=Standby,Secondary!Z330,Primary!Z330)</f>
        <v>0</v>
      </c>
      <c r="AA330" s="7">
        <f>IF(ActiveDatabase=Standby,Secondary!AA330,Primary!AA330)</f>
        <v>0</v>
      </c>
      <c r="AB330" s="12"/>
      <c r="AC330" s="6"/>
      <c r="AD330" s="6"/>
      <c r="AE330" s="7"/>
      <c r="AF330" s="7"/>
      <c r="AG330" s="7"/>
      <c r="AH330" s="7"/>
      <c r="AI330" s="7"/>
      <c r="AJ330" s="7"/>
      <c r="AK330" s="7"/>
      <c r="AL330" s="7"/>
      <c r="AM330" s="7"/>
      <c r="AN330" s="7"/>
      <c r="AO330" s="6"/>
      <c r="AP330" s="7"/>
      <c r="AQ330" s="7"/>
      <c r="AR330" s="6"/>
      <c r="AS330" s="7"/>
      <c r="AT330" s="7"/>
      <c r="AU330" s="7"/>
      <c r="AV330" s="7"/>
      <c r="AW330" s="7"/>
      <c r="AX330" s="7"/>
      <c r="AY330" s="7"/>
      <c r="AZ330" s="7"/>
      <c r="BA330" s="7"/>
      <c r="BB330" s="7"/>
      <c r="BC330" s="7"/>
      <c r="BD330" s="7"/>
      <c r="BE330" s="7"/>
      <c r="BF330" s="7"/>
      <c r="BG330" s="7"/>
    </row>
    <row r="331" customHeight="1" spans="1:59">
      <c r="A331" s="9" t="str">
        <f>IF(ActiveDatabase=Standby,Secondary!A331,Primary!A331)</f>
        <v>Euterpe 06</v>
      </c>
      <c r="B331" s="5" t="str">
        <f>IF(ActiveDatabase=Standby,Secondary!B331,Primary!B331)</f>
        <v>Euterpe 11</v>
      </c>
      <c r="C331" s="5" t="str">
        <f>IF(ActiveDatabase=Standby,Secondary!C331,Primary!C331)</f>
        <v>Euterpe 25</v>
      </c>
      <c r="D331" s="5" t="str">
        <f>IF(ActiveDatabase=Standby,Secondary!D331,Primary!D331)</f>
        <v>Rock Cave 04P-046</v>
      </c>
      <c r="E331" s="6" t="str">
        <f>IF(ActiveDatabase=Standby,Secondary!E331,Primary!E331)</f>
        <v>RCave 04P046</v>
      </c>
      <c r="F331" s="10">
        <f>IF(ActiveDatabase=Standby,Secondary!F331,Primary!F331)</f>
        <v>-192.195818735</v>
      </c>
      <c r="G331" s="10">
        <f>IF(ActiveDatabase=Standby,Secondary!G331,Primary!G331)</f>
        <v>-80.446791672</v>
      </c>
      <c r="H331" s="10">
        <f>IF(ActiveDatabase=Standby,Secondary!H331,Primary!H331)</f>
        <v>45.4366577239999</v>
      </c>
      <c r="I331" s="13">
        <f>IF(ActiveDatabase=Standby,Secondary!I331,Primary!I331)</f>
        <v>0</v>
      </c>
      <c r="J331" s="13">
        <f>IF(ActiveDatabase=Standby,Secondary!J331,Primary!J331)</f>
        <v>0</v>
      </c>
      <c r="K331" s="13">
        <f>IF(ActiveDatabase=Standby,Secondary!K331,Primary!K331)</f>
        <v>0</v>
      </c>
      <c r="L331" s="13">
        <f>IF(ActiveDatabase=Standby,Secondary!L331,Primary!L331)</f>
        <v>0</v>
      </c>
      <c r="M331" s="7" t="b">
        <f>IF(ActiveDatabase=Standby,Secondary!M331,Primary!M331)</f>
        <v>0</v>
      </c>
      <c r="N331" s="10">
        <f>IF(ActiveDatabase=Standby,Secondary!N331,Primary!N331)</f>
        <v>0</v>
      </c>
      <c r="O331" s="10">
        <f>IF(ActiveDatabase=Standby,Secondary!O331,Primary!O331)</f>
        <v>0</v>
      </c>
      <c r="P331" s="10">
        <f>IF(ActiveDatabase=Standby,Secondary!P331,Primary!P331)</f>
        <v>0</v>
      </c>
      <c r="Q331" s="6">
        <f>IF(ActiveDatabase=Standby,Secondary!Q331,Primary!Q331)</f>
        <v>0</v>
      </c>
      <c r="R331" s="18">
        <f>IF(ActiveDatabase=Standby,Secondary!R331,Primary!R331)</f>
        <v>0</v>
      </c>
      <c r="S331" s="19">
        <f>IF(ActiveDatabase=Standby,Secondary!S331,Primary!S331)</f>
        <v>0</v>
      </c>
      <c r="T331" s="10">
        <f>IF(ActiveDatabase=Standby,Secondary!T331,Primary!T331)</f>
        <v>0</v>
      </c>
      <c r="U331" s="10">
        <f>IF(ActiveDatabase=Standby,Secondary!U331,Primary!U331)</f>
        <v>0</v>
      </c>
      <c r="V331" s="10">
        <f>IF(ActiveDatabase=Standby,Secondary!V331,Primary!V331)</f>
        <v>0</v>
      </c>
      <c r="W331" s="6">
        <f>IF(ActiveDatabase=Standby,Secondary!W331,Primary!W331)</f>
        <v>0</v>
      </c>
      <c r="X331" s="6">
        <f>IF(ActiveDatabase=Standby,Secondary!X331,Primary!X331)</f>
        <v>0</v>
      </c>
      <c r="Y331" s="12">
        <f>IF(ActiveDatabase=Standby,Secondary!Y331,Primary!Y331)</f>
        <v>0</v>
      </c>
      <c r="Z331" s="12">
        <f>IF(ActiveDatabase=Standby,Secondary!Z331,Primary!Z331)</f>
        <v>0</v>
      </c>
      <c r="AA331" s="7">
        <f>IF(ActiveDatabase=Standby,Secondary!AA331,Primary!AA331)</f>
        <v>0</v>
      </c>
      <c r="AB331" s="12"/>
      <c r="AC331" s="6"/>
      <c r="AD331" s="6"/>
      <c r="AE331" s="7"/>
      <c r="AF331" s="7"/>
      <c r="AG331" s="7"/>
      <c r="AH331" s="7"/>
      <c r="AI331" s="7"/>
      <c r="AJ331" s="7"/>
      <c r="AK331" s="7"/>
      <c r="AL331" s="7"/>
      <c r="AM331" s="7"/>
      <c r="AN331" s="7"/>
      <c r="AO331" s="6"/>
      <c r="AP331" s="7"/>
      <c r="AQ331" s="7"/>
      <c r="AR331" s="6"/>
      <c r="AS331" s="7"/>
      <c r="AT331" s="7"/>
      <c r="AU331" s="7"/>
      <c r="AV331" s="7"/>
      <c r="AW331" s="7"/>
      <c r="AX331" s="7"/>
      <c r="AY331" s="7"/>
      <c r="AZ331" s="7"/>
      <c r="BA331" s="7"/>
      <c r="BB331" s="7"/>
      <c r="BC331" s="7"/>
      <c r="BD331" s="7"/>
      <c r="BE331" s="7"/>
      <c r="BF331" s="7"/>
      <c r="BG331" s="7"/>
    </row>
    <row r="332" customHeight="1" spans="1:59">
      <c r="A332" s="9" t="str">
        <f>IF(ActiveDatabase=Standby,Secondary!A332,Primary!A332)</f>
        <v>Euterpe 10</v>
      </c>
      <c r="B332" s="5" t="str">
        <f>IF(ActiveDatabase=Standby,Secondary!B332,Primary!B332)</f>
        <v>Euterpe 15</v>
      </c>
      <c r="C332" s="5" t="str">
        <f>IF(ActiveDatabase=Standby,Secondary!C332,Primary!C332)</f>
        <v>Euterpe 02</v>
      </c>
      <c r="D332" s="5" t="str">
        <f>IF(ActiveDatabase=Standby,Secondary!D332,Primary!D332)</f>
        <v>Rock Cave 47H</v>
      </c>
      <c r="E332" s="6" t="str">
        <f>IF(ActiveDatabase=Standby,Secondary!E332,Primary!E332)</f>
        <v>RCave 47H</v>
      </c>
      <c r="F332" s="10">
        <f>IF(ActiveDatabase=Standby,Secondary!F332,Primary!F332)</f>
        <v>-33.1990300149999</v>
      </c>
      <c r="G332" s="10">
        <f>IF(ActiveDatabase=Standby,Secondary!G332,Primary!G332)</f>
        <v>162.934056439998</v>
      </c>
      <c r="H332" s="10">
        <f>IF(ActiveDatabase=Standby,Secondary!H332,Primary!H332)</f>
        <v>-133.721557527</v>
      </c>
      <c r="I332" s="13">
        <f>IF(ActiveDatabase=Standby,Secondary!I332,Primary!I332)</f>
        <v>0</v>
      </c>
      <c r="J332" s="13">
        <f>IF(ActiveDatabase=Standby,Secondary!J332,Primary!J332)</f>
        <v>0</v>
      </c>
      <c r="K332" s="13">
        <f>IF(ActiveDatabase=Standby,Secondary!K332,Primary!K332)</f>
        <v>0</v>
      </c>
      <c r="L332" s="13">
        <f>IF(ActiveDatabase=Standby,Secondary!L332,Primary!L332)</f>
        <v>0</v>
      </c>
      <c r="M332" s="7" t="b">
        <f>IF(ActiveDatabase=Standby,Secondary!M332,Primary!M332)</f>
        <v>0</v>
      </c>
      <c r="N332" s="10">
        <f>IF(ActiveDatabase=Standby,Secondary!N332,Primary!N332)</f>
        <v>0</v>
      </c>
      <c r="O332" s="10">
        <f>IF(ActiveDatabase=Standby,Secondary!O332,Primary!O332)</f>
        <v>0</v>
      </c>
      <c r="P332" s="10">
        <f>IF(ActiveDatabase=Standby,Secondary!P332,Primary!P332)</f>
        <v>0</v>
      </c>
      <c r="Q332" s="6">
        <f>IF(ActiveDatabase=Standby,Secondary!Q332,Primary!Q332)</f>
        <v>0</v>
      </c>
      <c r="R332" s="18">
        <f>IF(ActiveDatabase=Standby,Secondary!R332,Primary!R332)</f>
        <v>0</v>
      </c>
      <c r="S332" s="19">
        <f>IF(ActiveDatabase=Standby,Secondary!S332,Primary!S332)</f>
        <v>0</v>
      </c>
      <c r="T332" s="10">
        <f>IF(ActiveDatabase=Standby,Secondary!T332,Primary!T332)</f>
        <v>0</v>
      </c>
      <c r="U332" s="10">
        <f>IF(ActiveDatabase=Standby,Secondary!U332,Primary!U332)</f>
        <v>0</v>
      </c>
      <c r="V332" s="10">
        <f>IF(ActiveDatabase=Standby,Secondary!V332,Primary!V332)</f>
        <v>0</v>
      </c>
      <c r="W332" s="6">
        <f>IF(ActiveDatabase=Standby,Secondary!W332,Primary!W332)</f>
        <v>0</v>
      </c>
      <c r="X332" s="6">
        <f>IF(ActiveDatabase=Standby,Secondary!X332,Primary!X332)</f>
        <v>0</v>
      </c>
      <c r="Y332" s="12">
        <f>IF(ActiveDatabase=Standby,Secondary!Y332,Primary!Y332)</f>
        <v>0</v>
      </c>
      <c r="Z332" s="12">
        <f>IF(ActiveDatabase=Standby,Secondary!Z332,Primary!Z332)</f>
        <v>0</v>
      </c>
      <c r="AA332" s="7">
        <f>IF(ActiveDatabase=Standby,Secondary!AA332,Primary!AA332)</f>
        <v>0</v>
      </c>
      <c r="AB332" s="12"/>
      <c r="AC332" s="6"/>
      <c r="AD332" s="6"/>
      <c r="AE332" s="7"/>
      <c r="AF332" s="7"/>
      <c r="AG332" s="7"/>
      <c r="AH332" s="7"/>
      <c r="AI332" s="7"/>
      <c r="AJ332" s="7"/>
      <c r="AK332" s="7"/>
      <c r="AL332" s="7"/>
      <c r="AM332" s="7"/>
      <c r="AN332" s="7"/>
      <c r="AO332" s="6"/>
      <c r="AP332" s="7"/>
      <c r="AQ332" s="7"/>
      <c r="AR332" s="6"/>
      <c r="AS332" s="7"/>
      <c r="AT332" s="7"/>
      <c r="AU332" s="7"/>
      <c r="AV332" s="7"/>
      <c r="AW332" s="7"/>
      <c r="AX332" s="7"/>
      <c r="AY332" s="7"/>
      <c r="AZ332" s="7"/>
      <c r="BA332" s="7"/>
      <c r="BB332" s="7"/>
      <c r="BC332" s="7"/>
      <c r="BD332" s="7"/>
      <c r="BE332" s="7"/>
      <c r="BF332" s="7"/>
      <c r="BG332" s="7"/>
    </row>
    <row r="333" customHeight="1" spans="1:59">
      <c r="A333" s="9" t="str">
        <f>IF(ActiveDatabase=Standby,Secondary!A333,Primary!A333)</f>
        <v>Euterpe 08</v>
      </c>
      <c r="B333" s="5" t="str">
        <f>IF(ActiveDatabase=Standby,Secondary!B333,Primary!B333)</f>
        <v>Euterpe 13</v>
      </c>
      <c r="C333" s="5" t="str">
        <f>IF(ActiveDatabase=Standby,Secondary!C333,Primary!C333)</f>
        <v>Euterpe 14</v>
      </c>
      <c r="D333" s="5" t="str">
        <f>IF(ActiveDatabase=Standby,Secondary!D333,Primary!D333)</f>
        <v>Rock Cave 26F</v>
      </c>
      <c r="E333" s="6" t="str">
        <f>IF(ActiveDatabase=Standby,Secondary!E333,Primary!E333)</f>
        <v>RCave 26F</v>
      </c>
      <c r="F333" s="10">
        <f>IF(ActiveDatabase=Standby,Secondary!F333,Primary!F333)</f>
        <v>114.707246975</v>
      </c>
      <c r="G333" s="10">
        <f>IF(ActiveDatabase=Standby,Secondary!G333,Primary!G333)</f>
        <v>-65.9505027529999</v>
      </c>
      <c r="H333" s="10">
        <f>IF(ActiveDatabase=Standby,Secondary!H333,Primary!H333)</f>
        <v>-167.162835102</v>
      </c>
      <c r="I333" s="13">
        <f>IF(ActiveDatabase=Standby,Secondary!I333,Primary!I333)</f>
        <v>0</v>
      </c>
      <c r="J333" s="13">
        <f>IF(ActiveDatabase=Standby,Secondary!J333,Primary!J333)</f>
        <v>0</v>
      </c>
      <c r="K333" s="13">
        <f>IF(ActiveDatabase=Standby,Secondary!K333,Primary!K333)</f>
        <v>0</v>
      </c>
      <c r="L333" s="13">
        <f>IF(ActiveDatabase=Standby,Secondary!L333,Primary!L333)</f>
        <v>0</v>
      </c>
      <c r="M333" s="7" t="b">
        <f>IF(ActiveDatabase=Standby,Secondary!M333,Primary!M333)</f>
        <v>0</v>
      </c>
      <c r="N333" s="10">
        <f>IF(ActiveDatabase=Standby,Secondary!N333,Primary!N333)</f>
        <v>0</v>
      </c>
      <c r="O333" s="10">
        <f>IF(ActiveDatabase=Standby,Secondary!O333,Primary!O333)</f>
        <v>0</v>
      </c>
      <c r="P333" s="10">
        <f>IF(ActiveDatabase=Standby,Secondary!P333,Primary!P333)</f>
        <v>0</v>
      </c>
      <c r="Q333" s="6">
        <f>IF(ActiveDatabase=Standby,Secondary!Q333,Primary!Q333)</f>
        <v>0</v>
      </c>
      <c r="R333" s="18">
        <f>IF(ActiveDatabase=Standby,Secondary!R333,Primary!R333)</f>
        <v>0</v>
      </c>
      <c r="S333" s="19">
        <f>IF(ActiveDatabase=Standby,Secondary!S333,Primary!S333)</f>
        <v>0</v>
      </c>
      <c r="T333" s="10">
        <f>IF(ActiveDatabase=Standby,Secondary!T333,Primary!T333)</f>
        <v>0</v>
      </c>
      <c r="U333" s="10">
        <f>IF(ActiveDatabase=Standby,Secondary!U333,Primary!U333)</f>
        <v>0</v>
      </c>
      <c r="V333" s="10">
        <f>IF(ActiveDatabase=Standby,Secondary!V333,Primary!V333)</f>
        <v>0</v>
      </c>
      <c r="W333" s="6">
        <f>IF(ActiveDatabase=Standby,Secondary!W333,Primary!W333)</f>
        <v>0</v>
      </c>
      <c r="X333" s="6">
        <f>IF(ActiveDatabase=Standby,Secondary!X333,Primary!X333)</f>
        <v>0</v>
      </c>
      <c r="Y333" s="12">
        <f>IF(ActiveDatabase=Standby,Secondary!Y333,Primary!Y333)</f>
        <v>0</v>
      </c>
      <c r="Z333" s="12">
        <f>IF(ActiveDatabase=Standby,Secondary!Z333,Primary!Z333)</f>
        <v>0</v>
      </c>
      <c r="AA333" s="7">
        <f>IF(ActiveDatabase=Standby,Secondary!AA333,Primary!AA333)</f>
        <v>0</v>
      </c>
      <c r="AB333" s="12"/>
      <c r="AC333" s="6"/>
      <c r="AD333" s="6"/>
      <c r="AE333" s="7"/>
      <c r="AF333" s="7"/>
      <c r="AG333" s="7"/>
      <c r="AH333" s="7"/>
      <c r="AI333" s="7"/>
      <c r="AJ333" s="7"/>
      <c r="AK333" s="7"/>
      <c r="AL333" s="7"/>
      <c r="AM333" s="7"/>
      <c r="AN333" s="7"/>
      <c r="AO333" s="6"/>
      <c r="AP333" s="7"/>
      <c r="AQ333" s="7"/>
      <c r="AR333" s="6"/>
      <c r="AS333" s="7"/>
      <c r="AT333" s="7"/>
      <c r="AU333" s="7"/>
      <c r="AV333" s="7"/>
      <c r="AW333" s="7"/>
      <c r="AX333" s="7"/>
      <c r="AY333" s="7"/>
      <c r="AZ333" s="7"/>
      <c r="BA333" s="7"/>
      <c r="BB333" s="7"/>
      <c r="BC333" s="7"/>
      <c r="BD333" s="7"/>
      <c r="BE333" s="7"/>
      <c r="BF333" s="7"/>
      <c r="BG333" s="7"/>
    </row>
    <row r="334" customHeight="1" spans="1:59">
      <c r="A334" s="9" t="str">
        <f>IF(ActiveDatabase=Standby,Secondary!A334,Primary!A334)</f>
        <v>Euterpe</v>
      </c>
      <c r="B334" s="5" t="str">
        <f>IF(ActiveDatabase=Standby,Secondary!B334,Primary!B334)</f>
        <v>Euterpe 17</v>
      </c>
      <c r="C334" s="5">
        <f>IF(ActiveDatabase=Standby,Secondary!C334,Primary!C334)</f>
        <v>0</v>
      </c>
      <c r="D334" s="5" t="str">
        <f>IF(ActiveDatabase=Standby,Secondary!D334,Primary!D334)</f>
        <v>Wrecks</v>
      </c>
      <c r="E334" s="6">
        <f>IF(ActiveDatabase=Standby,Secondary!E334,Primary!E334)</f>
        <v>0</v>
      </c>
      <c r="F334" s="10">
        <f>IF(ActiveDatabase=Standby,Secondary!F334,Primary!F334)</f>
        <v>0</v>
      </c>
      <c r="G334" s="10">
        <f>IF(ActiveDatabase=Standby,Secondary!G334,Primary!G334)</f>
        <v>0</v>
      </c>
      <c r="H334" s="10">
        <f>IF(ActiveDatabase=Standby,Secondary!H334,Primary!H334)</f>
        <v>0</v>
      </c>
      <c r="I334" s="13">
        <f>IF(ActiveDatabase=Standby,Secondary!I334,Primary!I334)</f>
        <v>0</v>
      </c>
      <c r="J334" s="13">
        <f>IF(ActiveDatabase=Standby,Secondary!J334,Primary!J334)</f>
        <v>0</v>
      </c>
      <c r="K334" s="13">
        <f>IF(ActiveDatabase=Standby,Secondary!K334,Primary!K334)</f>
        <v>0</v>
      </c>
      <c r="L334" s="13">
        <f>IF(ActiveDatabase=Standby,Secondary!L334,Primary!L334)</f>
        <v>0</v>
      </c>
      <c r="M334" s="7">
        <f>IF(ActiveDatabase=Standby,Secondary!M334,Primary!M334)</f>
        <v>0</v>
      </c>
      <c r="N334" s="10">
        <f>IF(ActiveDatabase=Standby,Secondary!N334,Primary!N334)</f>
        <v>0</v>
      </c>
      <c r="O334" s="10">
        <f>IF(ActiveDatabase=Standby,Secondary!O334,Primary!O334)</f>
        <v>0</v>
      </c>
      <c r="P334" s="10">
        <f>IF(ActiveDatabase=Standby,Secondary!P334,Primary!P334)</f>
        <v>0</v>
      </c>
      <c r="Q334" s="6">
        <f>IF(ActiveDatabase=Standby,Secondary!Q334,Primary!Q334)</f>
        <v>0</v>
      </c>
      <c r="R334" s="18">
        <f>IF(ActiveDatabase=Standby,Secondary!R334,Primary!R334)</f>
        <v>0</v>
      </c>
      <c r="S334" s="19">
        <f>IF(ActiveDatabase=Standby,Secondary!S334,Primary!S334)</f>
        <v>0</v>
      </c>
      <c r="T334" s="10">
        <f>IF(ActiveDatabase=Standby,Secondary!T334,Primary!T334)</f>
        <v>0</v>
      </c>
      <c r="U334" s="10">
        <f>IF(ActiveDatabase=Standby,Secondary!U334,Primary!U334)</f>
        <v>0</v>
      </c>
      <c r="V334" s="10">
        <f>IF(ActiveDatabase=Standby,Secondary!V334,Primary!V334)</f>
        <v>0</v>
      </c>
      <c r="W334" s="6">
        <f>IF(ActiveDatabase=Standby,Secondary!W334,Primary!W334)</f>
        <v>0</v>
      </c>
      <c r="X334" s="6">
        <f>IF(ActiveDatabase=Standby,Secondary!X334,Primary!X334)</f>
        <v>0</v>
      </c>
      <c r="Y334" s="12">
        <f>IF(ActiveDatabase=Standby,Secondary!Y334,Primary!Y334)</f>
        <v>0</v>
      </c>
      <c r="Z334" s="12">
        <f>IF(ActiveDatabase=Standby,Secondary!Z334,Primary!Z334)</f>
        <v>0</v>
      </c>
      <c r="AA334" s="7">
        <f>IF(ActiveDatabase=Standby,Secondary!AA334,Primary!AA334)</f>
        <v>0</v>
      </c>
      <c r="AB334" s="12"/>
      <c r="AC334" s="6"/>
      <c r="AD334" s="6"/>
      <c r="AE334" s="7"/>
      <c r="AF334" s="7"/>
      <c r="AG334" s="7"/>
      <c r="AH334" s="7"/>
      <c r="AI334" s="7"/>
      <c r="AJ334" s="7"/>
      <c r="AK334" s="7"/>
      <c r="AL334" s="7"/>
      <c r="AM334" s="7"/>
      <c r="AN334" s="7"/>
      <c r="AO334" s="6"/>
      <c r="AP334" s="7"/>
      <c r="AQ334" s="7"/>
      <c r="AR334" s="6"/>
      <c r="AS334" s="7"/>
      <c r="AT334" s="7"/>
      <c r="AU334" s="7"/>
      <c r="AV334" s="7"/>
      <c r="AW334" s="7"/>
      <c r="AX334" s="7"/>
      <c r="AY334" s="7"/>
      <c r="AZ334" s="7"/>
      <c r="BA334" s="7"/>
      <c r="BB334" s="7"/>
      <c r="BC334" s="7"/>
      <c r="BD334" s="7"/>
      <c r="BE334" s="7"/>
      <c r="BF334" s="7"/>
      <c r="BG334" s="7"/>
    </row>
    <row r="335" customHeight="1" spans="1:59">
      <c r="A335" s="9" t="str">
        <f>IF(ActiveDatabase=Standby,Secondary!A335,Primary!A335)</f>
        <v>Euterpe 14</v>
      </c>
      <c r="B335" s="5" t="str">
        <f>IF(ActiveDatabase=Standby,Secondary!B335,Primary!B335)</f>
        <v>Euterpe 21</v>
      </c>
      <c r="C335" s="5" t="str">
        <f>IF(ActiveDatabase=Standby,Secondary!C335,Primary!C335)</f>
        <v>Euterpe 08</v>
      </c>
      <c r="D335" s="5" t="str">
        <f>IF(ActiveDatabase=Standby,Secondary!D335,Primary!D335)</f>
        <v>Caterpillar Wreck 38L</v>
      </c>
      <c r="E335" s="6" t="str">
        <f>IF(ActiveDatabase=Standby,Secondary!E335,Primary!E335)</f>
        <v>Caterpillar 38L</v>
      </c>
      <c r="F335" s="10">
        <f>IF(ActiveDatabase=Standby,Secondary!F335,Primary!F335)</f>
        <v>145.418308879999</v>
      </c>
      <c r="G335" s="10">
        <f>IF(ActiveDatabase=Standby,Secondary!G335,Primary!G335)</f>
        <v>152.345449331999</v>
      </c>
      <c r="H335" s="10">
        <f>IF(ActiveDatabase=Standby,Secondary!H335,Primary!H335)</f>
        <v>-33.7889835339999</v>
      </c>
      <c r="I335" s="13">
        <f>IF(ActiveDatabase=Standby,Secondary!I335,Primary!I335)</f>
        <v>0</v>
      </c>
      <c r="J335" s="13">
        <f>IF(ActiveDatabase=Standby,Secondary!J335,Primary!J335)</f>
        <v>0</v>
      </c>
      <c r="K335" s="13">
        <f>IF(ActiveDatabase=Standby,Secondary!K335,Primary!K335)</f>
        <v>0</v>
      </c>
      <c r="L335" s="13">
        <f>IF(ActiveDatabase=Standby,Secondary!L335,Primary!L335)</f>
        <v>0</v>
      </c>
      <c r="M335" s="7" t="b">
        <f>IF(ActiveDatabase=Standby,Secondary!M335,Primary!M335)</f>
        <v>0</v>
      </c>
      <c r="N335" s="10">
        <f>IF(ActiveDatabase=Standby,Secondary!N335,Primary!N335)</f>
        <v>0</v>
      </c>
      <c r="O335" s="10">
        <f>IF(ActiveDatabase=Standby,Secondary!O335,Primary!O335)</f>
        <v>0</v>
      </c>
      <c r="P335" s="10">
        <f>IF(ActiveDatabase=Standby,Secondary!P335,Primary!P335)</f>
        <v>0</v>
      </c>
      <c r="Q335" s="6">
        <f>IF(ActiveDatabase=Standby,Secondary!Q335,Primary!Q335)</f>
        <v>0</v>
      </c>
      <c r="R335" s="18">
        <f>IF(ActiveDatabase=Standby,Secondary!R335,Primary!R335)</f>
        <v>0</v>
      </c>
      <c r="S335" s="19">
        <f>IF(ActiveDatabase=Standby,Secondary!S335,Primary!S335)</f>
        <v>0</v>
      </c>
      <c r="T335" s="10">
        <f>IF(ActiveDatabase=Standby,Secondary!T335,Primary!T335)</f>
        <v>0</v>
      </c>
      <c r="U335" s="10">
        <f>IF(ActiveDatabase=Standby,Secondary!U335,Primary!U335)</f>
        <v>0</v>
      </c>
      <c r="V335" s="10">
        <f>IF(ActiveDatabase=Standby,Secondary!V335,Primary!V335)</f>
        <v>0</v>
      </c>
      <c r="W335" s="6">
        <f>IF(ActiveDatabase=Standby,Secondary!W335,Primary!W335)</f>
        <v>0</v>
      </c>
      <c r="X335" s="6">
        <f>IF(ActiveDatabase=Standby,Secondary!X335,Primary!X335)</f>
        <v>0</v>
      </c>
      <c r="Y335" s="12">
        <f>IF(ActiveDatabase=Standby,Secondary!Y335,Primary!Y335)</f>
        <v>0</v>
      </c>
      <c r="Z335" s="12">
        <f>IF(ActiveDatabase=Standby,Secondary!Z335,Primary!Z335)</f>
        <v>0</v>
      </c>
      <c r="AA335" s="7">
        <f>IF(ActiveDatabase=Standby,Secondary!AA335,Primary!AA335)</f>
        <v>0</v>
      </c>
      <c r="AB335" s="12"/>
      <c r="AC335" s="6"/>
      <c r="AD335" s="6"/>
      <c r="AE335" s="7"/>
      <c r="AF335" s="7"/>
      <c r="AG335" s="7"/>
      <c r="AH335" s="7"/>
      <c r="AI335" s="7"/>
      <c r="AJ335" s="7"/>
      <c r="AK335" s="7"/>
      <c r="AL335" s="7"/>
      <c r="AM335" s="7"/>
      <c r="AN335" s="7"/>
      <c r="AO335" s="6"/>
      <c r="AP335" s="7"/>
      <c r="AQ335" s="7"/>
      <c r="AR335" s="6"/>
      <c r="AS335" s="7"/>
      <c r="AT335" s="7"/>
      <c r="AU335" s="7"/>
      <c r="AV335" s="7"/>
      <c r="AW335" s="7"/>
      <c r="AX335" s="7"/>
      <c r="AY335" s="7"/>
      <c r="AZ335" s="7"/>
      <c r="BA335" s="7"/>
      <c r="BB335" s="7"/>
      <c r="BC335" s="7"/>
      <c r="BD335" s="7"/>
      <c r="BE335" s="7"/>
      <c r="BF335" s="7"/>
      <c r="BG335" s="7"/>
    </row>
    <row r="336" customHeight="1" spans="1:59">
      <c r="A336" s="9" t="str">
        <f>IF(ActiveDatabase=Standby,Secondary!A336,Primary!A336)</f>
        <v>Euterpe 15</v>
      </c>
      <c r="B336" s="5" t="str">
        <f>IF(ActiveDatabase=Standby,Secondary!B336,Primary!B336)</f>
        <v>Euterpe 22</v>
      </c>
      <c r="C336" s="5" t="str">
        <f>IF(ActiveDatabase=Standby,Secondary!C336,Primary!C336)</f>
        <v>Euterpe 06</v>
      </c>
      <c r="D336" s="5" t="str">
        <f>IF(ActiveDatabase=Standby,Secondary!D336,Primary!D336)</f>
        <v>Caterpillar Wreck 42L</v>
      </c>
      <c r="E336" s="6" t="str">
        <f>IF(ActiveDatabase=Standby,Secondary!E336,Primary!E336)</f>
        <v>Caterpillar 42L</v>
      </c>
      <c r="F336" s="10">
        <f>IF(ActiveDatabase=Standby,Secondary!F336,Primary!F336)</f>
        <v>67.3678652659999</v>
      </c>
      <c r="G336" s="10">
        <f>IF(ActiveDatabase=Standby,Secondary!G336,Primary!G336)</f>
        <v>196.702697515999</v>
      </c>
      <c r="H336" s="10">
        <f>IF(ActiveDatabase=Standby,Secondary!H336,Primary!H336)</f>
        <v>-47.2032447479999</v>
      </c>
      <c r="I336" s="13">
        <f>IF(ActiveDatabase=Standby,Secondary!I336,Primary!I336)</f>
        <v>0</v>
      </c>
      <c r="J336" s="13">
        <f>IF(ActiveDatabase=Standby,Secondary!J336,Primary!J336)</f>
        <v>0</v>
      </c>
      <c r="K336" s="13">
        <f>IF(ActiveDatabase=Standby,Secondary!K336,Primary!K336)</f>
        <v>0</v>
      </c>
      <c r="L336" s="13">
        <f>IF(ActiveDatabase=Standby,Secondary!L336,Primary!L336)</f>
        <v>0</v>
      </c>
      <c r="M336" s="7" t="b">
        <f>IF(ActiveDatabase=Standby,Secondary!M336,Primary!M336)</f>
        <v>0</v>
      </c>
      <c r="N336" s="10">
        <f>IF(ActiveDatabase=Standby,Secondary!N336,Primary!N336)</f>
        <v>0</v>
      </c>
      <c r="O336" s="10">
        <f>IF(ActiveDatabase=Standby,Secondary!O336,Primary!O336)</f>
        <v>0</v>
      </c>
      <c r="P336" s="10">
        <f>IF(ActiveDatabase=Standby,Secondary!P336,Primary!P336)</f>
        <v>0</v>
      </c>
      <c r="Q336" s="6">
        <f>IF(ActiveDatabase=Standby,Secondary!Q336,Primary!Q336)</f>
        <v>0</v>
      </c>
      <c r="R336" s="18">
        <f>IF(ActiveDatabase=Standby,Secondary!R336,Primary!R336)</f>
        <v>0</v>
      </c>
      <c r="S336" s="19">
        <f>IF(ActiveDatabase=Standby,Secondary!S336,Primary!S336)</f>
        <v>0</v>
      </c>
      <c r="T336" s="10">
        <f>IF(ActiveDatabase=Standby,Secondary!T336,Primary!T336)</f>
        <v>0</v>
      </c>
      <c r="U336" s="10">
        <f>IF(ActiveDatabase=Standby,Secondary!U336,Primary!U336)</f>
        <v>0</v>
      </c>
      <c r="V336" s="10">
        <f>IF(ActiveDatabase=Standby,Secondary!V336,Primary!V336)</f>
        <v>0</v>
      </c>
      <c r="W336" s="6">
        <f>IF(ActiveDatabase=Standby,Secondary!W336,Primary!W336)</f>
        <v>0</v>
      </c>
      <c r="X336" s="6">
        <f>IF(ActiveDatabase=Standby,Secondary!X336,Primary!X336)</f>
        <v>0</v>
      </c>
      <c r="Y336" s="12">
        <f>IF(ActiveDatabase=Standby,Secondary!Y336,Primary!Y336)</f>
        <v>0</v>
      </c>
      <c r="Z336" s="12">
        <f>IF(ActiveDatabase=Standby,Secondary!Z336,Primary!Z336)</f>
        <v>0</v>
      </c>
      <c r="AA336" s="7">
        <f>IF(ActiveDatabase=Standby,Secondary!AA336,Primary!AA336)</f>
        <v>0</v>
      </c>
      <c r="AB336" s="12"/>
      <c r="AC336" s="6"/>
      <c r="AD336" s="6"/>
      <c r="AE336" s="7"/>
      <c r="AF336" s="7"/>
      <c r="AG336" s="7"/>
      <c r="AH336" s="7"/>
      <c r="AI336" s="7"/>
      <c r="AJ336" s="7"/>
      <c r="AK336" s="7"/>
      <c r="AL336" s="7"/>
      <c r="AM336" s="7"/>
      <c r="AN336" s="7"/>
      <c r="AO336" s="6"/>
      <c r="AP336" s="7"/>
      <c r="AQ336" s="7"/>
      <c r="AR336" s="6"/>
      <c r="AS336" s="7"/>
      <c r="AT336" s="7"/>
      <c r="AU336" s="7"/>
      <c r="AV336" s="7"/>
      <c r="AW336" s="7"/>
      <c r="AX336" s="7"/>
      <c r="AY336" s="7"/>
      <c r="AZ336" s="7"/>
      <c r="BA336" s="7"/>
      <c r="BB336" s="7"/>
      <c r="BC336" s="7"/>
      <c r="BD336" s="7"/>
      <c r="BE336" s="7"/>
      <c r="BF336" s="7"/>
      <c r="BG336" s="7"/>
    </row>
    <row r="337" customHeight="1" spans="1:59">
      <c r="A337" s="9" t="str">
        <f>IF(ActiveDatabase=Standby,Secondary!A337,Primary!A337)</f>
        <v>Euterpe 12</v>
      </c>
      <c r="B337" s="5" t="str">
        <f>IF(ActiveDatabase=Standby,Secondary!B337,Primary!B337)</f>
        <v>Euterpe 19</v>
      </c>
      <c r="C337" s="5" t="str">
        <f>IF(ActiveDatabase=Standby,Secondary!C337,Primary!C337)</f>
        <v>Euterpe 11</v>
      </c>
      <c r="D337" s="5" t="str">
        <f>IF(ActiveDatabase=Standby,Secondary!D337,Primary!D337)</f>
        <v>Caterpillar Wreck 32K</v>
      </c>
      <c r="E337" s="6" t="str">
        <f>IF(ActiveDatabase=Standby,Secondary!E337,Primary!E337)</f>
        <v>Caterpillar 32K</v>
      </c>
      <c r="F337" s="10">
        <f>IF(ActiveDatabase=Standby,Secondary!F337,Primary!F337)</f>
        <v>200.332125857</v>
      </c>
      <c r="G337" s="10">
        <f>IF(ActiveDatabase=Standby,Secondary!G337,Primary!G337)</f>
        <v>34.4665001469999</v>
      </c>
      <c r="H337" s="10">
        <f>IF(ActiveDatabase=Standby,Secondary!H337,Primary!H337)</f>
        <v>-65.065043247</v>
      </c>
      <c r="I337" s="13">
        <f>IF(ActiveDatabase=Standby,Secondary!I337,Primary!I337)</f>
        <v>0</v>
      </c>
      <c r="J337" s="13">
        <f>IF(ActiveDatabase=Standby,Secondary!J337,Primary!J337)</f>
        <v>0</v>
      </c>
      <c r="K337" s="13">
        <f>IF(ActiveDatabase=Standby,Secondary!K337,Primary!K337)</f>
        <v>0</v>
      </c>
      <c r="L337" s="13">
        <f>IF(ActiveDatabase=Standby,Secondary!L337,Primary!L337)</f>
        <v>0</v>
      </c>
      <c r="M337" s="7" t="b">
        <f>IF(ActiveDatabase=Standby,Secondary!M337,Primary!M337)</f>
        <v>0</v>
      </c>
      <c r="N337" s="10">
        <f>IF(ActiveDatabase=Standby,Secondary!N337,Primary!N337)</f>
        <v>0</v>
      </c>
      <c r="O337" s="10">
        <f>IF(ActiveDatabase=Standby,Secondary!O337,Primary!O337)</f>
        <v>0</v>
      </c>
      <c r="P337" s="10">
        <f>IF(ActiveDatabase=Standby,Secondary!P337,Primary!P337)</f>
        <v>0</v>
      </c>
      <c r="Q337" s="6">
        <f>IF(ActiveDatabase=Standby,Secondary!Q337,Primary!Q337)</f>
        <v>0</v>
      </c>
      <c r="R337" s="18">
        <f>IF(ActiveDatabase=Standby,Secondary!R337,Primary!R337)</f>
        <v>0</v>
      </c>
      <c r="S337" s="19">
        <f>IF(ActiveDatabase=Standby,Secondary!S337,Primary!S337)</f>
        <v>0</v>
      </c>
      <c r="T337" s="10">
        <f>IF(ActiveDatabase=Standby,Secondary!T337,Primary!T337)</f>
        <v>0</v>
      </c>
      <c r="U337" s="10">
        <f>IF(ActiveDatabase=Standby,Secondary!U337,Primary!U337)</f>
        <v>0</v>
      </c>
      <c r="V337" s="10">
        <f>IF(ActiveDatabase=Standby,Secondary!V337,Primary!V337)</f>
        <v>0</v>
      </c>
      <c r="W337" s="6">
        <f>IF(ActiveDatabase=Standby,Secondary!W337,Primary!W337)</f>
        <v>0</v>
      </c>
      <c r="X337" s="6">
        <f>IF(ActiveDatabase=Standby,Secondary!X337,Primary!X337)</f>
        <v>0</v>
      </c>
      <c r="Y337" s="12">
        <f>IF(ActiveDatabase=Standby,Secondary!Y337,Primary!Y337)</f>
        <v>0</v>
      </c>
      <c r="Z337" s="12">
        <f>IF(ActiveDatabase=Standby,Secondary!Z337,Primary!Z337)</f>
        <v>0</v>
      </c>
      <c r="AA337" s="7">
        <f>IF(ActiveDatabase=Standby,Secondary!AA337,Primary!AA337)</f>
        <v>0</v>
      </c>
      <c r="AB337" s="12"/>
      <c r="AC337" s="6"/>
      <c r="AD337" s="6"/>
      <c r="AE337" s="7"/>
      <c r="AF337" s="7"/>
      <c r="AG337" s="7"/>
      <c r="AH337" s="7"/>
      <c r="AI337" s="7"/>
      <c r="AJ337" s="7"/>
      <c r="AK337" s="7"/>
      <c r="AL337" s="7"/>
      <c r="AM337" s="7"/>
      <c r="AN337" s="7"/>
      <c r="AO337" s="6"/>
      <c r="AP337" s="7"/>
      <c r="AQ337" s="7"/>
      <c r="AR337" s="6"/>
      <c r="AS337" s="7"/>
      <c r="AT337" s="7"/>
      <c r="AU337" s="7"/>
      <c r="AV337" s="7"/>
      <c r="AW337" s="7"/>
      <c r="AX337" s="7"/>
      <c r="AY337" s="7"/>
      <c r="AZ337" s="7"/>
      <c r="BA337" s="7"/>
      <c r="BB337" s="7"/>
      <c r="BC337" s="7"/>
      <c r="BD337" s="7"/>
      <c r="BE337" s="7"/>
      <c r="BF337" s="7"/>
      <c r="BG337" s="7"/>
    </row>
    <row r="338" customHeight="1" spans="1:59">
      <c r="A338" s="9" t="str">
        <f>IF(ActiveDatabase=Standby,Secondary!A338,Primary!A338)</f>
        <v>Euterpe 13</v>
      </c>
      <c r="B338" s="5" t="str">
        <f>IF(ActiveDatabase=Standby,Secondary!B338,Primary!B338)</f>
        <v>Euterpe 20</v>
      </c>
      <c r="C338" s="5" t="str">
        <f>IF(ActiveDatabase=Standby,Secondary!C338,Primary!C338)</f>
        <v>Euterpe 10</v>
      </c>
      <c r="D338" s="5" t="str">
        <f>IF(ActiveDatabase=Standby,Secondary!D338,Primary!D338)</f>
        <v>Caterpillar Wreck 34J</v>
      </c>
      <c r="E338" s="6" t="str">
        <f>IF(ActiveDatabase=Standby,Secondary!E338,Primary!E338)</f>
        <v>Caterpillar 34J</v>
      </c>
      <c r="F338" s="10">
        <f>IF(ActiveDatabase=Standby,Secondary!F338,Primary!F338)</f>
        <v>180.073769402</v>
      </c>
      <c r="G338" s="10">
        <f>IF(ActiveDatabase=Standby,Secondary!G338,Primary!G338)</f>
        <v>69.715079587</v>
      </c>
      <c r="H338" s="10">
        <f>IF(ActiveDatabase=Standby,Secondary!H338,Primary!H338)</f>
        <v>-90.120330015</v>
      </c>
      <c r="I338" s="13">
        <f>IF(ActiveDatabase=Standby,Secondary!I338,Primary!I338)</f>
        <v>0</v>
      </c>
      <c r="J338" s="13">
        <f>IF(ActiveDatabase=Standby,Secondary!J338,Primary!J338)</f>
        <v>0</v>
      </c>
      <c r="K338" s="13">
        <f>IF(ActiveDatabase=Standby,Secondary!K338,Primary!K338)</f>
        <v>0</v>
      </c>
      <c r="L338" s="13">
        <f>IF(ActiveDatabase=Standby,Secondary!L338,Primary!L338)</f>
        <v>0</v>
      </c>
      <c r="M338" s="7" t="b">
        <f>IF(ActiveDatabase=Standby,Secondary!M338,Primary!M338)</f>
        <v>0</v>
      </c>
      <c r="N338" s="10">
        <f>IF(ActiveDatabase=Standby,Secondary!N338,Primary!N338)</f>
        <v>0</v>
      </c>
      <c r="O338" s="10">
        <f>IF(ActiveDatabase=Standby,Secondary!O338,Primary!O338)</f>
        <v>0</v>
      </c>
      <c r="P338" s="10">
        <f>IF(ActiveDatabase=Standby,Secondary!P338,Primary!P338)</f>
        <v>0</v>
      </c>
      <c r="Q338" s="6">
        <f>IF(ActiveDatabase=Standby,Secondary!Q338,Primary!Q338)</f>
        <v>0</v>
      </c>
      <c r="R338" s="18">
        <f>IF(ActiveDatabase=Standby,Secondary!R338,Primary!R338)</f>
        <v>0</v>
      </c>
      <c r="S338" s="19">
        <f>IF(ActiveDatabase=Standby,Secondary!S338,Primary!S338)</f>
        <v>0</v>
      </c>
      <c r="T338" s="10">
        <f>IF(ActiveDatabase=Standby,Secondary!T338,Primary!T338)</f>
        <v>0</v>
      </c>
      <c r="U338" s="10">
        <f>IF(ActiveDatabase=Standby,Secondary!U338,Primary!U338)</f>
        <v>0</v>
      </c>
      <c r="V338" s="10">
        <f>IF(ActiveDatabase=Standby,Secondary!V338,Primary!V338)</f>
        <v>0</v>
      </c>
      <c r="W338" s="6">
        <f>IF(ActiveDatabase=Standby,Secondary!W338,Primary!W338)</f>
        <v>0</v>
      </c>
      <c r="X338" s="6">
        <f>IF(ActiveDatabase=Standby,Secondary!X338,Primary!X338)</f>
        <v>0</v>
      </c>
      <c r="Y338" s="12">
        <f>IF(ActiveDatabase=Standby,Secondary!Y338,Primary!Y338)</f>
        <v>0</v>
      </c>
      <c r="Z338" s="12">
        <f>IF(ActiveDatabase=Standby,Secondary!Z338,Primary!Z338)</f>
        <v>0</v>
      </c>
      <c r="AA338" s="9">
        <f>IF(ActiveDatabase=Standby,Secondary!AA338,Primary!AA338)</f>
        <v>0</v>
      </c>
      <c r="AB338" s="12"/>
      <c r="AC338" s="6"/>
      <c r="AD338" s="6"/>
      <c r="AE338" s="7"/>
      <c r="AF338" s="7"/>
      <c r="AG338" s="7"/>
      <c r="AH338" s="7"/>
      <c r="AI338" s="7"/>
      <c r="AJ338" s="7"/>
      <c r="AK338" s="7"/>
      <c r="AL338" s="7"/>
      <c r="AM338" s="7"/>
      <c r="AN338" s="7"/>
      <c r="AO338" s="6"/>
      <c r="AP338" s="7"/>
      <c r="AQ338" s="7"/>
      <c r="AR338" s="6"/>
      <c r="AS338" s="7"/>
      <c r="AT338" s="7"/>
      <c r="AU338" s="7"/>
      <c r="AV338" s="7"/>
      <c r="AW338" s="7"/>
      <c r="AX338" s="7"/>
      <c r="AY338" s="7"/>
      <c r="AZ338" s="7"/>
      <c r="BA338" s="7"/>
      <c r="BB338" s="7"/>
      <c r="BC338" s="7"/>
      <c r="BD338" s="7"/>
      <c r="BE338" s="7"/>
      <c r="BF338" s="7"/>
      <c r="BG338" s="7"/>
    </row>
    <row r="339" customHeight="1" spans="1:59">
      <c r="A339" s="9" t="str">
        <f>IF(ActiveDatabase=Standby,Secondary!A339,Primary!A339)</f>
        <v>Euterpe 11</v>
      </c>
      <c r="B339" s="5" t="str">
        <f>IF(ActiveDatabase=Standby,Secondary!B339,Primary!B339)</f>
        <v>Euterpe 18</v>
      </c>
      <c r="C339" s="5" t="str">
        <f>IF(ActiveDatabase=Standby,Secondary!C339,Primary!C339)</f>
        <v>Euterpe 13</v>
      </c>
      <c r="D339" s="5" t="str">
        <f>IF(ActiveDatabase=Standby,Secondary!D339,Primary!D339)</f>
        <v>Caterpillar Wreck 27G</v>
      </c>
      <c r="E339" s="6" t="str">
        <f>IF(ActiveDatabase=Standby,Secondary!E339,Primary!E339)</f>
        <v>Caterpillar 27G</v>
      </c>
      <c r="F339" s="10">
        <f>IF(ActiveDatabase=Standby,Secondary!F339,Primary!F339)</f>
        <v>145.497496415</v>
      </c>
      <c r="G339" s="10">
        <f>IF(ActiveDatabase=Standby,Secondary!G339,Primary!G339)</f>
        <v>-63.948392956</v>
      </c>
      <c r="H339" s="10">
        <f>IF(ActiveDatabase=Standby,Secondary!H339,Primary!H339)</f>
        <v>-142.485902739999</v>
      </c>
      <c r="I339" s="13">
        <f>IF(ActiveDatabase=Standby,Secondary!I339,Primary!I339)</f>
        <v>0</v>
      </c>
      <c r="J339" s="13">
        <f>IF(ActiveDatabase=Standby,Secondary!J339,Primary!J339)</f>
        <v>0</v>
      </c>
      <c r="K339" s="13">
        <f>IF(ActiveDatabase=Standby,Secondary!K339,Primary!K339)</f>
        <v>0</v>
      </c>
      <c r="L339" s="13">
        <f>IF(ActiveDatabase=Standby,Secondary!L339,Primary!L339)</f>
        <v>0</v>
      </c>
      <c r="M339" s="7" t="b">
        <f>IF(ActiveDatabase=Standby,Secondary!M339,Primary!M339)</f>
        <v>0</v>
      </c>
      <c r="N339" s="10">
        <f>IF(ActiveDatabase=Standby,Secondary!N339,Primary!N339)</f>
        <v>0</v>
      </c>
      <c r="O339" s="10">
        <f>IF(ActiveDatabase=Standby,Secondary!O339,Primary!O339)</f>
        <v>0</v>
      </c>
      <c r="P339" s="10">
        <f>IF(ActiveDatabase=Standby,Secondary!P339,Primary!P339)</f>
        <v>0</v>
      </c>
      <c r="Q339" s="6">
        <f>IF(ActiveDatabase=Standby,Secondary!Q339,Primary!Q339)</f>
        <v>0</v>
      </c>
      <c r="R339" s="18">
        <f>IF(ActiveDatabase=Standby,Secondary!R339,Primary!R339)</f>
        <v>0</v>
      </c>
      <c r="S339" s="19">
        <f>IF(ActiveDatabase=Standby,Secondary!S339,Primary!S339)</f>
        <v>0</v>
      </c>
      <c r="T339" s="10">
        <f>IF(ActiveDatabase=Standby,Secondary!T339,Primary!T339)</f>
        <v>0</v>
      </c>
      <c r="U339" s="10">
        <f>IF(ActiveDatabase=Standby,Secondary!U339,Primary!U339)</f>
        <v>0</v>
      </c>
      <c r="V339" s="10">
        <f>IF(ActiveDatabase=Standby,Secondary!V339,Primary!V339)</f>
        <v>0</v>
      </c>
      <c r="W339" s="6">
        <f>IF(ActiveDatabase=Standby,Secondary!W339,Primary!W339)</f>
        <v>0</v>
      </c>
      <c r="X339" s="6">
        <f>IF(ActiveDatabase=Standby,Secondary!X339,Primary!X339)</f>
        <v>0</v>
      </c>
      <c r="Y339" s="12">
        <f>IF(ActiveDatabase=Standby,Secondary!Y339,Primary!Y339)</f>
        <v>0</v>
      </c>
      <c r="Z339" s="12">
        <f>IF(ActiveDatabase=Standby,Secondary!Z339,Primary!Z339)</f>
        <v>0</v>
      </c>
      <c r="AA339" s="9">
        <f>IF(ActiveDatabase=Standby,Secondary!AA339,Primary!AA339)</f>
        <v>0</v>
      </c>
      <c r="AB339" s="12"/>
      <c r="AC339" s="6"/>
      <c r="AD339" s="6"/>
      <c r="AE339" s="7"/>
      <c r="AF339" s="7"/>
      <c r="AG339" s="7"/>
      <c r="AH339" s="7"/>
      <c r="AI339" s="7"/>
      <c r="AJ339" s="7"/>
      <c r="AK339" s="7"/>
      <c r="AL339" s="7"/>
      <c r="AM339" s="7"/>
      <c r="AN339" s="7"/>
      <c r="AO339" s="6"/>
      <c r="AP339" s="7"/>
      <c r="AQ339" s="7"/>
      <c r="AR339" s="6"/>
      <c r="AS339" s="7"/>
      <c r="AT339" s="7"/>
      <c r="AU339" s="7"/>
      <c r="AV339" s="7"/>
      <c r="AW339" s="7"/>
      <c r="AX339" s="7"/>
      <c r="AY339" s="7"/>
      <c r="AZ339" s="7"/>
      <c r="BA339" s="7"/>
      <c r="BB339" s="7"/>
      <c r="BC339" s="7"/>
      <c r="BD339" s="7"/>
      <c r="BE339" s="7"/>
      <c r="BF339" s="7"/>
      <c r="BG339" s="7"/>
    </row>
    <row r="340" customHeight="1" spans="1:59">
      <c r="A340" s="9" t="str">
        <f>IF(ActiveDatabase=Standby,Secondary!A340,Primary!A340)</f>
        <v>Euterpe 16</v>
      </c>
      <c r="B340" s="5" t="str">
        <f>IF(ActiveDatabase=Standby,Secondary!B340,Primary!B340)</f>
        <v>Euterpe 23</v>
      </c>
      <c r="C340" s="5" t="str">
        <f>IF(ActiveDatabase=Standby,Secondary!C340,Primary!C340)</f>
        <v>Euterpe 26</v>
      </c>
      <c r="D340" s="5" t="str">
        <f>IF(ActiveDatabase=Standby,Secondary!D340,Primary!D340)</f>
        <v>Freelancer Wreck 01N</v>
      </c>
      <c r="E340" s="6" t="str">
        <f>IF(ActiveDatabase=Standby,Secondary!E340,Primary!E340)</f>
        <v>Freelancer 01N</v>
      </c>
      <c r="F340" s="10">
        <f>IF(ActiveDatabase=Standby,Secondary!F340,Primary!F340)</f>
        <v>-213.175026501999</v>
      </c>
      <c r="G340" s="10">
        <f>IF(ActiveDatabase=Standby,Secondary!G340,Primary!G340)</f>
        <v>-2.542600041</v>
      </c>
      <c r="H340" s="10">
        <f>IF(ActiveDatabase=Standby,Secondary!H340,Primary!H340)</f>
        <v>7.97619904099998</v>
      </c>
      <c r="I340" s="13">
        <f>IF(ActiveDatabase=Standby,Secondary!I340,Primary!I340)</f>
        <v>0</v>
      </c>
      <c r="J340" s="13">
        <f>IF(ActiveDatabase=Standby,Secondary!J340,Primary!J340)</f>
        <v>0</v>
      </c>
      <c r="K340" s="13">
        <f>IF(ActiveDatabase=Standby,Secondary!K340,Primary!K340)</f>
        <v>0</v>
      </c>
      <c r="L340" s="13">
        <f>IF(ActiveDatabase=Standby,Secondary!L340,Primary!L340)</f>
        <v>0</v>
      </c>
      <c r="M340" s="7" t="b">
        <f>IF(ActiveDatabase=Standby,Secondary!M340,Primary!M340)</f>
        <v>0</v>
      </c>
      <c r="N340" s="10">
        <f>IF(ActiveDatabase=Standby,Secondary!N340,Primary!N340)</f>
        <v>0</v>
      </c>
      <c r="O340" s="10">
        <f>IF(ActiveDatabase=Standby,Secondary!O340,Primary!O340)</f>
        <v>0</v>
      </c>
      <c r="P340" s="10">
        <f>IF(ActiveDatabase=Standby,Secondary!P340,Primary!P340)</f>
        <v>0</v>
      </c>
      <c r="Q340" s="6">
        <f>IF(ActiveDatabase=Standby,Secondary!Q340,Primary!Q340)</f>
        <v>0</v>
      </c>
      <c r="R340" s="18">
        <f>IF(ActiveDatabase=Standby,Secondary!R340,Primary!R340)</f>
        <v>0</v>
      </c>
      <c r="S340" s="19">
        <f>IF(ActiveDatabase=Standby,Secondary!S340,Primary!S340)</f>
        <v>0</v>
      </c>
      <c r="T340" s="10">
        <f>IF(ActiveDatabase=Standby,Secondary!T340,Primary!T340)</f>
        <v>0</v>
      </c>
      <c r="U340" s="10">
        <f>IF(ActiveDatabase=Standby,Secondary!U340,Primary!U340)</f>
        <v>0</v>
      </c>
      <c r="V340" s="10">
        <f>IF(ActiveDatabase=Standby,Secondary!V340,Primary!V340)</f>
        <v>0</v>
      </c>
      <c r="W340" s="6">
        <f>IF(ActiveDatabase=Standby,Secondary!W340,Primary!W340)</f>
        <v>0</v>
      </c>
      <c r="X340" s="6">
        <f>IF(ActiveDatabase=Standby,Secondary!X340,Primary!X340)</f>
        <v>0</v>
      </c>
      <c r="Y340" s="12">
        <f>IF(ActiveDatabase=Standby,Secondary!Y340,Primary!Y340)</f>
        <v>0</v>
      </c>
      <c r="Z340" s="12">
        <f>IF(ActiveDatabase=Standby,Secondary!Z340,Primary!Z340)</f>
        <v>0</v>
      </c>
      <c r="AA340" s="9">
        <f>IF(ActiveDatabase=Standby,Secondary!AA340,Primary!AA340)</f>
        <v>0</v>
      </c>
      <c r="AB340" s="12"/>
      <c r="AC340" s="6"/>
      <c r="AD340" s="6"/>
      <c r="AE340" s="7"/>
      <c r="AF340" s="7"/>
      <c r="AG340" s="7"/>
      <c r="AH340" s="7"/>
      <c r="AI340" s="7"/>
      <c r="AJ340" s="7"/>
      <c r="AK340" s="7"/>
      <c r="AL340" s="7"/>
      <c r="AM340" s="7"/>
      <c r="AN340" s="7"/>
      <c r="AO340" s="6"/>
      <c r="AP340" s="7"/>
      <c r="AQ340" s="7"/>
      <c r="AR340" s="6"/>
      <c r="AS340" s="7"/>
      <c r="AT340" s="7"/>
      <c r="AU340" s="7"/>
      <c r="AV340" s="7"/>
      <c r="AW340" s="7"/>
      <c r="AX340" s="7"/>
      <c r="AY340" s="7"/>
      <c r="AZ340" s="7"/>
      <c r="BA340" s="7"/>
      <c r="BB340" s="7"/>
      <c r="BC340" s="7"/>
      <c r="BD340" s="7"/>
      <c r="BE340" s="7"/>
      <c r="BF340" s="7"/>
      <c r="BG340" s="7"/>
    </row>
    <row r="341" customHeight="1" spans="1:59">
      <c r="A341" s="9" t="str">
        <f>IF(ActiveDatabase=Standby,Secondary!A341,Primary!A341)</f>
        <v>Euterpe 17</v>
      </c>
      <c r="B341" s="5" t="str">
        <f>IF(ActiveDatabase=Standby,Secondary!B341,Primary!B341)</f>
        <v>Euterpe 24</v>
      </c>
      <c r="C341" s="5" t="str">
        <f>IF(ActiveDatabase=Standby,Secondary!C341,Primary!C341)</f>
        <v>Euterpe 19</v>
      </c>
      <c r="D341" s="5" t="str">
        <f>IF(ActiveDatabase=Standby,Secondary!D341,Primary!D341)</f>
        <v>Freelancer Wreck 16K</v>
      </c>
      <c r="E341" s="6" t="str">
        <f>IF(ActiveDatabase=Standby,Secondary!E341,Primary!E341)</f>
        <v>Freelancer 16K</v>
      </c>
      <c r="F341" s="10">
        <f>IF(ActiveDatabase=Standby,Secondary!F341,Primary!F341)</f>
        <v>4.194549629</v>
      </c>
      <c r="G341" s="10">
        <f>IF(ActiveDatabase=Standby,Secondary!G341,Primary!G341)</f>
        <v>-200.346448605</v>
      </c>
      <c r="H341" s="10">
        <f>IF(ActiveDatabase=Standby,Secondary!H341,Primary!H341)</f>
        <v>-73.423679155</v>
      </c>
      <c r="I341" s="13">
        <f>IF(ActiveDatabase=Standby,Secondary!I341,Primary!I341)</f>
        <v>0</v>
      </c>
      <c r="J341" s="13">
        <f>IF(ActiveDatabase=Standby,Secondary!J341,Primary!J341)</f>
        <v>0</v>
      </c>
      <c r="K341" s="13">
        <f>IF(ActiveDatabase=Standby,Secondary!K341,Primary!K341)</f>
        <v>0</v>
      </c>
      <c r="L341" s="13">
        <f>IF(ActiveDatabase=Standby,Secondary!L341,Primary!L341)</f>
        <v>0</v>
      </c>
      <c r="M341" s="7" t="b">
        <f>IF(ActiveDatabase=Standby,Secondary!M341,Primary!M341)</f>
        <v>0</v>
      </c>
      <c r="N341" s="10">
        <f>IF(ActiveDatabase=Standby,Secondary!N341,Primary!N341)</f>
        <v>0</v>
      </c>
      <c r="O341" s="10">
        <f>IF(ActiveDatabase=Standby,Secondary!O341,Primary!O341)</f>
        <v>0</v>
      </c>
      <c r="P341" s="10">
        <f>IF(ActiveDatabase=Standby,Secondary!P341,Primary!P341)</f>
        <v>0</v>
      </c>
      <c r="Q341" s="6">
        <f>IF(ActiveDatabase=Standby,Secondary!Q341,Primary!Q341)</f>
        <v>0</v>
      </c>
      <c r="R341" s="18">
        <f>IF(ActiveDatabase=Standby,Secondary!R341,Primary!R341)</f>
        <v>0</v>
      </c>
      <c r="S341" s="19">
        <f>IF(ActiveDatabase=Standby,Secondary!S341,Primary!S341)</f>
        <v>0</v>
      </c>
      <c r="T341" s="10">
        <f>IF(ActiveDatabase=Standby,Secondary!T341,Primary!T341)</f>
        <v>0</v>
      </c>
      <c r="U341" s="10">
        <f>IF(ActiveDatabase=Standby,Secondary!U341,Primary!U341)</f>
        <v>0</v>
      </c>
      <c r="V341" s="10">
        <f>IF(ActiveDatabase=Standby,Secondary!V341,Primary!V341)</f>
        <v>0</v>
      </c>
      <c r="W341" s="6">
        <f>IF(ActiveDatabase=Standby,Secondary!W341,Primary!W341)</f>
        <v>0</v>
      </c>
      <c r="X341" s="6">
        <f>IF(ActiveDatabase=Standby,Secondary!X341,Primary!X341)</f>
        <v>0</v>
      </c>
      <c r="Y341" s="12">
        <f>IF(ActiveDatabase=Standby,Secondary!Y341,Primary!Y341)</f>
        <v>0</v>
      </c>
      <c r="Z341" s="12">
        <f>IF(ActiveDatabase=Standby,Secondary!Z341,Primary!Z341)</f>
        <v>0</v>
      </c>
      <c r="AA341" s="9">
        <f>IF(ActiveDatabase=Standby,Secondary!AA341,Primary!AA341)</f>
        <v>0</v>
      </c>
      <c r="AB341" s="12"/>
      <c r="AC341" s="6"/>
      <c r="AD341" s="6"/>
      <c r="AE341" s="7"/>
      <c r="AF341" s="7"/>
      <c r="AG341" s="7"/>
      <c r="AH341" s="7"/>
      <c r="AI341" s="7"/>
      <c r="AJ341" s="7"/>
      <c r="AK341" s="7"/>
      <c r="AL341" s="7"/>
      <c r="AM341" s="7"/>
      <c r="AN341" s="7"/>
      <c r="AO341" s="6"/>
      <c r="AP341" s="7"/>
      <c r="AQ341" s="7"/>
      <c r="AR341" s="6"/>
      <c r="AS341" s="7"/>
      <c r="AT341" s="7"/>
      <c r="AU341" s="7"/>
      <c r="AV341" s="7"/>
      <c r="AW341" s="7"/>
      <c r="AX341" s="7"/>
      <c r="AY341" s="7"/>
      <c r="AZ341" s="7"/>
      <c r="BA341" s="7"/>
      <c r="BB341" s="7"/>
      <c r="BC341" s="7"/>
      <c r="BD341" s="7"/>
      <c r="BE341" s="7"/>
      <c r="BF341" s="7"/>
      <c r="BG341" s="7"/>
    </row>
    <row r="342" customHeight="1" spans="1:59">
      <c r="A342" s="9" t="str">
        <f>IF(ActiveDatabase=Standby,Secondary!A342,Primary!A342)</f>
        <v>Euterpe 18</v>
      </c>
      <c r="B342" s="5" t="str">
        <f>IF(ActiveDatabase=Standby,Secondary!B342,Primary!B342)</f>
        <v>Euterpe 25</v>
      </c>
      <c r="C342" s="5" t="str">
        <f>IF(ActiveDatabase=Standby,Secondary!C342,Primary!C342)</f>
        <v>Euterpe 16</v>
      </c>
      <c r="D342" s="5" t="str">
        <f>IF(ActiveDatabase=Standby,Secondary!D342,Primary!D342)</f>
        <v>Freelancer Wreck 22K</v>
      </c>
      <c r="E342" s="6" t="str">
        <f>IF(ActiveDatabase=Standby,Secondary!E342,Primary!E342)</f>
        <v>Freelancer 22K</v>
      </c>
      <c r="F342" s="10">
        <f>IF(ActiveDatabase=Standby,Secondary!F342,Primary!F342)</f>
        <v>116.97603043</v>
      </c>
      <c r="G342" s="10">
        <f>IF(ActiveDatabase=Standby,Secondary!G342,Primary!G342)</f>
        <v>-158.184498891</v>
      </c>
      <c r="H342" s="10">
        <f>IF(ActiveDatabase=Standby,Secondary!H342,Primary!H342)</f>
        <v>-82.04939005</v>
      </c>
      <c r="I342" s="13">
        <f>IF(ActiveDatabase=Standby,Secondary!I342,Primary!I342)</f>
        <v>0</v>
      </c>
      <c r="J342" s="13">
        <f>IF(ActiveDatabase=Standby,Secondary!J342,Primary!J342)</f>
        <v>0</v>
      </c>
      <c r="K342" s="13">
        <f>IF(ActiveDatabase=Standby,Secondary!K342,Primary!K342)</f>
        <v>0</v>
      </c>
      <c r="L342" s="13">
        <f>IF(ActiveDatabase=Standby,Secondary!L342,Primary!L342)</f>
        <v>0</v>
      </c>
      <c r="M342" s="7" t="b">
        <f>IF(ActiveDatabase=Standby,Secondary!M342,Primary!M342)</f>
        <v>0</v>
      </c>
      <c r="N342" s="10">
        <f>IF(ActiveDatabase=Standby,Secondary!N342,Primary!N342)</f>
        <v>0</v>
      </c>
      <c r="O342" s="10">
        <f>IF(ActiveDatabase=Standby,Secondary!O342,Primary!O342)</f>
        <v>0</v>
      </c>
      <c r="P342" s="10">
        <f>IF(ActiveDatabase=Standby,Secondary!P342,Primary!P342)</f>
        <v>0</v>
      </c>
      <c r="Q342" s="6">
        <f>IF(ActiveDatabase=Standby,Secondary!Q342,Primary!Q342)</f>
        <v>0</v>
      </c>
      <c r="R342" s="18">
        <f>IF(ActiveDatabase=Standby,Secondary!R342,Primary!R342)</f>
        <v>0</v>
      </c>
      <c r="S342" s="19">
        <f>IF(ActiveDatabase=Standby,Secondary!S342,Primary!S342)</f>
        <v>0</v>
      </c>
      <c r="T342" s="10">
        <f>IF(ActiveDatabase=Standby,Secondary!T342,Primary!T342)</f>
        <v>0</v>
      </c>
      <c r="U342" s="10">
        <f>IF(ActiveDatabase=Standby,Secondary!U342,Primary!U342)</f>
        <v>0</v>
      </c>
      <c r="V342" s="10">
        <f>IF(ActiveDatabase=Standby,Secondary!V342,Primary!V342)</f>
        <v>0</v>
      </c>
      <c r="W342" s="6">
        <f>IF(ActiveDatabase=Standby,Secondary!W342,Primary!W342)</f>
        <v>0</v>
      </c>
      <c r="X342" s="6">
        <f>IF(ActiveDatabase=Standby,Secondary!X342,Primary!X342)</f>
        <v>0</v>
      </c>
      <c r="Y342" s="12">
        <f>IF(ActiveDatabase=Standby,Secondary!Y342,Primary!Y342)</f>
        <v>0</v>
      </c>
      <c r="Z342" s="12">
        <f>IF(ActiveDatabase=Standby,Secondary!Z342,Primary!Z342)</f>
        <v>0</v>
      </c>
      <c r="AA342" s="9">
        <f>IF(ActiveDatabase=Standby,Secondary!AA342,Primary!AA342)</f>
        <v>0</v>
      </c>
      <c r="AB342" s="12"/>
      <c r="AC342" s="6"/>
      <c r="AD342" s="6"/>
      <c r="AE342" s="7"/>
      <c r="AF342" s="7"/>
      <c r="AG342" s="7"/>
      <c r="AH342" s="7"/>
      <c r="AI342" s="7"/>
      <c r="AJ342" s="7"/>
      <c r="AK342" s="7"/>
      <c r="AL342" s="7"/>
      <c r="AM342" s="7"/>
      <c r="AN342" s="7"/>
      <c r="AO342" s="6"/>
      <c r="AP342" s="7"/>
      <c r="AQ342" s="7"/>
      <c r="AR342" s="6"/>
      <c r="AS342" s="7"/>
      <c r="AT342" s="7"/>
      <c r="AU342" s="7"/>
      <c r="AV342" s="7"/>
      <c r="AW342" s="7"/>
      <c r="AX342" s="7"/>
      <c r="AY342" s="7"/>
      <c r="AZ342" s="7"/>
      <c r="BA342" s="7"/>
      <c r="BB342" s="7"/>
      <c r="BC342" s="7"/>
      <c r="BD342" s="7"/>
      <c r="BE342" s="7"/>
      <c r="BF342" s="7"/>
      <c r="BG342" s="7"/>
    </row>
    <row r="343" customHeight="1" spans="1:59">
      <c r="A343" s="9" t="str">
        <f>IF(ActiveDatabase=Standby,Secondary!A343,Primary!A343)</f>
        <v>Euterpe 19</v>
      </c>
      <c r="B343" s="5" t="str">
        <f>IF(ActiveDatabase=Standby,Secondary!B343,Primary!B343)</f>
        <v>Euterpe 26</v>
      </c>
      <c r="C343" s="5" t="str">
        <f>IF(ActiveDatabase=Standby,Secondary!C343,Primary!C343)</f>
        <v>Euterpe 15</v>
      </c>
      <c r="D343" s="5" t="str">
        <f>IF(ActiveDatabase=Standby,Secondary!D343,Primary!D343)</f>
        <v>Freelancer Wreck 25H</v>
      </c>
      <c r="E343" s="6" t="str">
        <f>IF(ActiveDatabase=Standby,Secondary!E343,Primary!E343)</f>
        <v>Freelancer 25H</v>
      </c>
      <c r="F343" s="10">
        <f>IF(ActiveDatabase=Standby,Secondary!F343,Primary!F343)</f>
        <v>138.738005785999</v>
      </c>
      <c r="G343" s="10">
        <f>IF(ActiveDatabase=Standby,Secondary!G343,Primary!G343)</f>
        <v>-91.0303397339999</v>
      </c>
      <c r="H343" s="10">
        <f>IF(ActiveDatabase=Standby,Secondary!H343,Primary!H343)</f>
        <v>-134.408943105</v>
      </c>
      <c r="I343" s="13">
        <f>IF(ActiveDatabase=Standby,Secondary!I343,Primary!I343)</f>
        <v>0</v>
      </c>
      <c r="J343" s="13">
        <f>IF(ActiveDatabase=Standby,Secondary!J343,Primary!J343)</f>
        <v>0</v>
      </c>
      <c r="K343" s="13">
        <f>IF(ActiveDatabase=Standby,Secondary!K343,Primary!K343)</f>
        <v>0</v>
      </c>
      <c r="L343" s="13">
        <f>IF(ActiveDatabase=Standby,Secondary!L343,Primary!L343)</f>
        <v>0</v>
      </c>
      <c r="M343" s="7" t="b">
        <f>IF(ActiveDatabase=Standby,Secondary!M343,Primary!M343)</f>
        <v>0</v>
      </c>
      <c r="N343" s="10">
        <f>IF(ActiveDatabase=Standby,Secondary!N343,Primary!N343)</f>
        <v>0</v>
      </c>
      <c r="O343" s="10">
        <f>IF(ActiveDatabase=Standby,Secondary!O343,Primary!O343)</f>
        <v>0</v>
      </c>
      <c r="P343" s="10">
        <f>IF(ActiveDatabase=Standby,Secondary!P343,Primary!P343)</f>
        <v>0</v>
      </c>
      <c r="Q343" s="6">
        <f>IF(ActiveDatabase=Standby,Secondary!Q343,Primary!Q343)</f>
        <v>0</v>
      </c>
      <c r="R343" s="18">
        <f>IF(ActiveDatabase=Standby,Secondary!R343,Primary!R343)</f>
        <v>0</v>
      </c>
      <c r="S343" s="19">
        <f>IF(ActiveDatabase=Standby,Secondary!S343,Primary!S343)</f>
        <v>0</v>
      </c>
      <c r="T343" s="10">
        <f>IF(ActiveDatabase=Standby,Secondary!T343,Primary!T343)</f>
        <v>0</v>
      </c>
      <c r="U343" s="10">
        <f>IF(ActiveDatabase=Standby,Secondary!U343,Primary!U343)</f>
        <v>0</v>
      </c>
      <c r="V343" s="10">
        <f>IF(ActiveDatabase=Standby,Secondary!V343,Primary!V343)</f>
        <v>0</v>
      </c>
      <c r="W343" s="6">
        <f>IF(ActiveDatabase=Standby,Secondary!W343,Primary!W343)</f>
        <v>0</v>
      </c>
      <c r="X343" s="6">
        <f>IF(ActiveDatabase=Standby,Secondary!X343,Primary!X343)</f>
        <v>0</v>
      </c>
      <c r="Y343" s="12">
        <f>IF(ActiveDatabase=Standby,Secondary!Y343,Primary!Y343)</f>
        <v>0</v>
      </c>
      <c r="Z343" s="12">
        <f>IF(ActiveDatabase=Standby,Secondary!Z343,Primary!Z343)</f>
        <v>0</v>
      </c>
      <c r="AA343" s="9">
        <f>IF(ActiveDatabase=Standby,Secondary!AA343,Primary!AA343)</f>
        <v>0</v>
      </c>
      <c r="AB343" s="12"/>
      <c r="AC343" s="6"/>
      <c r="AD343" s="6"/>
      <c r="AE343" s="7"/>
      <c r="AF343" s="7"/>
      <c r="AG343" s="7"/>
      <c r="AH343" s="7"/>
      <c r="AI343" s="7"/>
      <c r="AJ343" s="7"/>
      <c r="AK343" s="7"/>
      <c r="AL343" s="7"/>
      <c r="AM343" s="7"/>
      <c r="AN343" s="7"/>
      <c r="AO343" s="6"/>
      <c r="AP343" s="7"/>
      <c r="AQ343" s="7"/>
      <c r="AR343" s="6"/>
      <c r="AS343" s="7"/>
      <c r="AT343" s="7"/>
      <c r="AU343" s="7"/>
      <c r="AV343" s="7"/>
      <c r="AW343" s="7"/>
      <c r="AX343" s="7"/>
      <c r="AY343" s="7"/>
      <c r="AZ343" s="7"/>
      <c r="BA343" s="7"/>
      <c r="BB343" s="7"/>
      <c r="BC343" s="7"/>
      <c r="BD343" s="7"/>
      <c r="BE343" s="7"/>
      <c r="BF343" s="7"/>
      <c r="BG343" s="7"/>
    </row>
    <row r="344" customHeight="1" spans="1:59">
      <c r="A344" s="9" t="str">
        <f>IF(ActiveDatabase=Standby,Secondary!A344,Primary!A344)</f>
        <v>Euterpe 22</v>
      </c>
      <c r="B344" s="5" t="str">
        <f>IF(ActiveDatabase=Standby,Secondary!B344,Primary!B344)</f>
        <v>Euterpe 29</v>
      </c>
      <c r="C344" s="5" t="str">
        <f>IF(ActiveDatabase=Standby,Secondary!C344,Primary!C344)</f>
        <v>Euterpe 21</v>
      </c>
      <c r="D344" s="5" t="str">
        <f>IF(ActiveDatabase=Standby,Secondary!D344,Primary!D344)</f>
        <v>Starfarer Wreck 15P</v>
      </c>
      <c r="E344" s="6" t="str">
        <f>IF(ActiveDatabase=Standby,Secondary!E344,Primary!E344)</f>
        <v>Starfarer 15P</v>
      </c>
      <c r="F344" s="10">
        <f>IF(ActiveDatabase=Standby,Secondary!F344,Primary!F344)</f>
        <v>-12.139745413</v>
      </c>
      <c r="G344" s="10">
        <f>IF(ActiveDatabase=Standby,Secondary!G344,Primary!G344)</f>
        <v>-209.637661365</v>
      </c>
      <c r="H344" s="10">
        <f>IF(ActiveDatabase=Standby,Secondary!H344,Primary!H344)</f>
        <v>36.040274317</v>
      </c>
      <c r="I344" s="13">
        <f>IF(ActiveDatabase=Standby,Secondary!I344,Primary!I344)</f>
        <v>0</v>
      </c>
      <c r="J344" s="13">
        <f>IF(ActiveDatabase=Standby,Secondary!J344,Primary!J344)</f>
        <v>0</v>
      </c>
      <c r="K344" s="13">
        <f>IF(ActiveDatabase=Standby,Secondary!K344,Primary!K344)</f>
        <v>0</v>
      </c>
      <c r="L344" s="13">
        <f>IF(ActiveDatabase=Standby,Secondary!L344,Primary!L344)</f>
        <v>0</v>
      </c>
      <c r="M344" s="7" t="b">
        <f>IF(ActiveDatabase=Standby,Secondary!M344,Primary!M344)</f>
        <v>0</v>
      </c>
      <c r="N344" s="10">
        <f>IF(ActiveDatabase=Standby,Secondary!N344,Primary!N344)</f>
        <v>0</v>
      </c>
      <c r="O344" s="10">
        <f>IF(ActiveDatabase=Standby,Secondary!O344,Primary!O344)</f>
        <v>0</v>
      </c>
      <c r="P344" s="10">
        <f>IF(ActiveDatabase=Standby,Secondary!P344,Primary!P344)</f>
        <v>0</v>
      </c>
      <c r="Q344" s="6">
        <f>IF(ActiveDatabase=Standby,Secondary!Q344,Primary!Q344)</f>
        <v>0</v>
      </c>
      <c r="R344" s="18">
        <f>IF(ActiveDatabase=Standby,Secondary!R344,Primary!R344)</f>
        <v>0</v>
      </c>
      <c r="S344" s="19">
        <f>IF(ActiveDatabase=Standby,Secondary!S344,Primary!S344)</f>
        <v>0</v>
      </c>
      <c r="T344" s="10">
        <f>IF(ActiveDatabase=Standby,Secondary!T344,Primary!T344)</f>
        <v>0</v>
      </c>
      <c r="U344" s="10">
        <f>IF(ActiveDatabase=Standby,Secondary!U344,Primary!U344)</f>
        <v>0</v>
      </c>
      <c r="V344" s="10">
        <f>IF(ActiveDatabase=Standby,Secondary!V344,Primary!V344)</f>
        <v>0</v>
      </c>
      <c r="W344" s="6">
        <f>IF(ActiveDatabase=Standby,Secondary!W344,Primary!W344)</f>
        <v>0</v>
      </c>
      <c r="X344" s="6">
        <f>IF(ActiveDatabase=Standby,Secondary!X344,Primary!X344)</f>
        <v>0</v>
      </c>
      <c r="Y344" s="12">
        <f>IF(ActiveDatabase=Standby,Secondary!Y344,Primary!Y344)</f>
        <v>0</v>
      </c>
      <c r="Z344" s="12">
        <f>IF(ActiveDatabase=Standby,Secondary!Z344,Primary!Z344)</f>
        <v>0</v>
      </c>
      <c r="AA344" s="9">
        <f>IF(ActiveDatabase=Standby,Secondary!AA344,Primary!AA344)</f>
        <v>0</v>
      </c>
      <c r="AB344" s="12"/>
      <c r="AC344" s="6"/>
      <c r="AD344" s="6"/>
      <c r="AE344" s="7"/>
      <c r="AF344" s="7"/>
      <c r="AG344" s="7"/>
      <c r="AH344" s="7"/>
      <c r="AI344" s="7"/>
      <c r="AJ344" s="7"/>
      <c r="AK344" s="7"/>
      <c r="AL344" s="7"/>
      <c r="AM344" s="7"/>
      <c r="AN344" s="7"/>
      <c r="AO344" s="6"/>
      <c r="AP344" s="7"/>
      <c r="AQ344" s="7"/>
      <c r="AR344" s="6"/>
      <c r="AS344" s="7"/>
      <c r="AT344" s="7"/>
      <c r="AU344" s="7"/>
      <c r="AV344" s="7"/>
      <c r="AW344" s="7"/>
      <c r="AX344" s="7"/>
      <c r="AY344" s="7"/>
      <c r="AZ344" s="7"/>
      <c r="BA344" s="7"/>
      <c r="BB344" s="7"/>
      <c r="BC344" s="7"/>
      <c r="BD344" s="7"/>
      <c r="BE344" s="7"/>
      <c r="BF344" s="7"/>
      <c r="BG344" s="7"/>
    </row>
    <row r="345" customHeight="1" spans="1:59">
      <c r="A345" s="9" t="str">
        <f>IF(ActiveDatabase=Standby,Secondary!A345,Primary!A345)</f>
        <v>Euterpe 23</v>
      </c>
      <c r="B345" s="5" t="str">
        <f>IF(ActiveDatabase=Standby,Secondary!B345,Primary!B345)</f>
        <v>Euterpe 30</v>
      </c>
      <c r="C345" s="5" t="str">
        <f>IF(ActiveDatabase=Standby,Secondary!C345,Primary!C345)</f>
        <v>Euterpe 18</v>
      </c>
      <c r="D345" s="5" t="str">
        <f>IF(ActiveDatabase=Standby,Secondary!D345,Primary!D345)</f>
        <v>Starfarer Wreck 18S</v>
      </c>
      <c r="E345" s="6" t="str">
        <f>IF(ActiveDatabase=Standby,Secondary!E345,Primary!E345)</f>
        <v>Starfarer 18S</v>
      </c>
      <c r="F345" s="10">
        <f>IF(ActiveDatabase=Standby,Secondary!F345,Primary!F345)</f>
        <v>44.457566959</v>
      </c>
      <c r="G345" s="10">
        <f>IF(ActiveDatabase=Standby,Secondary!G345,Primary!G345)</f>
        <v>-170.185033365999</v>
      </c>
      <c r="H345" s="10">
        <f>IF(ActiveDatabase=Standby,Secondary!H345,Primary!H345)</f>
        <v>120.271915557999</v>
      </c>
      <c r="I345" s="13">
        <f>IF(ActiveDatabase=Standby,Secondary!I345,Primary!I345)</f>
        <v>0</v>
      </c>
      <c r="J345" s="13">
        <f>IF(ActiveDatabase=Standby,Secondary!J345,Primary!J345)</f>
        <v>0</v>
      </c>
      <c r="K345" s="13">
        <f>IF(ActiveDatabase=Standby,Secondary!K345,Primary!K345)</f>
        <v>0</v>
      </c>
      <c r="L345" s="13">
        <f>IF(ActiveDatabase=Standby,Secondary!L345,Primary!L345)</f>
        <v>0</v>
      </c>
      <c r="M345" s="7" t="b">
        <f>IF(ActiveDatabase=Standby,Secondary!M345,Primary!M345)</f>
        <v>0</v>
      </c>
      <c r="N345" s="10">
        <f>IF(ActiveDatabase=Standby,Secondary!N345,Primary!N345)</f>
        <v>0</v>
      </c>
      <c r="O345" s="10">
        <f>IF(ActiveDatabase=Standby,Secondary!O345,Primary!O345)</f>
        <v>0</v>
      </c>
      <c r="P345" s="10">
        <f>IF(ActiveDatabase=Standby,Secondary!P345,Primary!P345)</f>
        <v>0</v>
      </c>
      <c r="Q345" s="6">
        <f>IF(ActiveDatabase=Standby,Secondary!Q345,Primary!Q345)</f>
        <v>0</v>
      </c>
      <c r="R345" s="18">
        <f>IF(ActiveDatabase=Standby,Secondary!R345,Primary!R345)</f>
        <v>0</v>
      </c>
      <c r="S345" s="19">
        <f>IF(ActiveDatabase=Standby,Secondary!S345,Primary!S345)</f>
        <v>0</v>
      </c>
      <c r="T345" s="10">
        <f>IF(ActiveDatabase=Standby,Secondary!T345,Primary!T345)</f>
        <v>0</v>
      </c>
      <c r="U345" s="10">
        <f>IF(ActiveDatabase=Standby,Secondary!U345,Primary!U345)</f>
        <v>0</v>
      </c>
      <c r="V345" s="10">
        <f>IF(ActiveDatabase=Standby,Secondary!V345,Primary!V345)</f>
        <v>0</v>
      </c>
      <c r="W345" s="6">
        <f>IF(ActiveDatabase=Standby,Secondary!W345,Primary!W345)</f>
        <v>0</v>
      </c>
      <c r="X345" s="6">
        <f>IF(ActiveDatabase=Standby,Secondary!X345,Primary!X345)</f>
        <v>0</v>
      </c>
      <c r="Y345" s="12">
        <f>IF(ActiveDatabase=Standby,Secondary!Y345,Primary!Y345)</f>
        <v>0</v>
      </c>
      <c r="Z345" s="12">
        <f>IF(ActiveDatabase=Standby,Secondary!Z345,Primary!Z345)</f>
        <v>0</v>
      </c>
      <c r="AA345" s="7">
        <f>IF(ActiveDatabase=Standby,Secondary!AA345,Primary!AA345)</f>
        <v>0</v>
      </c>
      <c r="AB345" s="12"/>
      <c r="AC345" s="6"/>
      <c r="AD345" s="6"/>
      <c r="AE345" s="7"/>
      <c r="AF345" s="7"/>
      <c r="AG345" s="7"/>
      <c r="AH345" s="7"/>
      <c r="AI345" s="7"/>
      <c r="AJ345" s="7"/>
      <c r="AK345" s="7"/>
      <c r="AL345" s="7"/>
      <c r="AM345" s="7"/>
      <c r="AN345" s="7"/>
      <c r="AO345" s="6"/>
      <c r="AP345" s="7"/>
      <c r="AQ345" s="7"/>
      <c r="AR345" s="6"/>
      <c r="AS345" s="7"/>
      <c r="AT345" s="7"/>
      <c r="AU345" s="7"/>
      <c r="AV345" s="7"/>
      <c r="AW345" s="7"/>
      <c r="AX345" s="7"/>
      <c r="AY345" s="7"/>
      <c r="AZ345" s="7"/>
      <c r="BA345" s="7"/>
      <c r="BB345" s="7"/>
      <c r="BC345" s="7"/>
      <c r="BD345" s="7"/>
      <c r="BE345" s="7"/>
      <c r="BF345" s="7"/>
      <c r="BG345" s="7"/>
    </row>
    <row r="346" customHeight="1" spans="1:59">
      <c r="A346" s="9" t="str">
        <f>IF(ActiveDatabase=Standby,Secondary!A346,Primary!A346)</f>
        <v>Euterpe 20</v>
      </c>
      <c r="B346" s="5" t="str">
        <f>IF(ActiveDatabase=Standby,Secondary!B346,Primary!B346)</f>
        <v>Euterpe 27</v>
      </c>
      <c r="C346" s="5" t="str">
        <f>IF(ActiveDatabase=Standby,Secondary!C346,Primary!C346)</f>
        <v>Euterpe 23</v>
      </c>
      <c r="D346" s="5" t="str">
        <f>IF(ActiveDatabase=Standby,Secondary!D346,Primary!D346)</f>
        <v>Starfarer Wreck 06U</v>
      </c>
      <c r="E346" s="6" t="str">
        <f>IF(ActiveDatabase=Standby,Secondary!E346,Primary!E346)</f>
        <v>Starfarer 06U</v>
      </c>
      <c r="F346" s="10">
        <f>IF(ActiveDatabase=Standby,Secondary!F346,Primary!F346)</f>
        <v>-119.299616574</v>
      </c>
      <c r="G346" s="10">
        <f>IF(ActiveDatabase=Standby,Secondary!G346,Primary!G346)</f>
        <v>-77.344163665</v>
      </c>
      <c r="H346" s="10">
        <f>IF(ActiveDatabase=Standby,Secondary!H346,Primary!H346)</f>
        <v>158.907717932</v>
      </c>
      <c r="I346" s="13">
        <f>IF(ActiveDatabase=Standby,Secondary!I346,Primary!I346)</f>
        <v>0</v>
      </c>
      <c r="J346" s="13">
        <f>IF(ActiveDatabase=Standby,Secondary!J346,Primary!J346)</f>
        <v>0</v>
      </c>
      <c r="K346" s="13">
        <f>IF(ActiveDatabase=Standby,Secondary!K346,Primary!K346)</f>
        <v>0</v>
      </c>
      <c r="L346" s="13">
        <f>IF(ActiveDatabase=Standby,Secondary!L346,Primary!L346)</f>
        <v>0</v>
      </c>
      <c r="M346" s="7" t="b">
        <f>IF(ActiveDatabase=Standby,Secondary!M346,Primary!M346)</f>
        <v>0</v>
      </c>
      <c r="N346" s="10">
        <f>IF(ActiveDatabase=Standby,Secondary!N346,Primary!N346)</f>
        <v>0</v>
      </c>
      <c r="O346" s="10">
        <f>IF(ActiveDatabase=Standby,Secondary!O346,Primary!O346)</f>
        <v>0</v>
      </c>
      <c r="P346" s="10">
        <f>IF(ActiveDatabase=Standby,Secondary!P346,Primary!P346)</f>
        <v>0</v>
      </c>
      <c r="Q346" s="6">
        <f>IF(ActiveDatabase=Standby,Secondary!Q346,Primary!Q346)</f>
        <v>0</v>
      </c>
      <c r="R346" s="18">
        <f>IF(ActiveDatabase=Standby,Secondary!R346,Primary!R346)</f>
        <v>0</v>
      </c>
      <c r="S346" s="19">
        <f>IF(ActiveDatabase=Standby,Secondary!S346,Primary!S346)</f>
        <v>0</v>
      </c>
      <c r="T346" s="10">
        <f>IF(ActiveDatabase=Standby,Secondary!T346,Primary!T346)</f>
        <v>0</v>
      </c>
      <c r="U346" s="10">
        <f>IF(ActiveDatabase=Standby,Secondary!U346,Primary!U346)</f>
        <v>0</v>
      </c>
      <c r="V346" s="10">
        <f>IF(ActiveDatabase=Standby,Secondary!V346,Primary!V346)</f>
        <v>0</v>
      </c>
      <c r="W346" s="6">
        <f>IF(ActiveDatabase=Standby,Secondary!W346,Primary!W346)</f>
        <v>0</v>
      </c>
      <c r="X346" s="6">
        <f>IF(ActiveDatabase=Standby,Secondary!X346,Primary!X346)</f>
        <v>0</v>
      </c>
      <c r="Y346" s="12">
        <f>IF(ActiveDatabase=Standby,Secondary!Y346,Primary!Y346)</f>
        <v>0</v>
      </c>
      <c r="Z346" s="12">
        <f>IF(ActiveDatabase=Standby,Secondary!Z346,Primary!Z346)</f>
        <v>0</v>
      </c>
      <c r="AA346" s="7">
        <f>IF(ActiveDatabase=Standby,Secondary!AA346,Primary!AA346)</f>
        <v>0</v>
      </c>
      <c r="AB346" s="12"/>
      <c r="AC346" s="6"/>
      <c r="AD346" s="6"/>
      <c r="AE346" s="7"/>
      <c r="AF346" s="7"/>
      <c r="AG346" s="7"/>
      <c r="AH346" s="7"/>
      <c r="AI346" s="7"/>
      <c r="AJ346" s="7"/>
      <c r="AK346" s="7"/>
      <c r="AL346" s="7"/>
      <c r="AM346" s="7"/>
      <c r="AN346" s="7"/>
      <c r="AO346" s="6"/>
      <c r="AP346" s="7"/>
      <c r="AQ346" s="7"/>
      <c r="AR346" s="6"/>
      <c r="AS346" s="7"/>
      <c r="AT346" s="7"/>
      <c r="AU346" s="7"/>
      <c r="AV346" s="7"/>
      <c r="AW346" s="7"/>
      <c r="AX346" s="7"/>
      <c r="AY346" s="7"/>
      <c r="AZ346" s="7"/>
      <c r="BA346" s="7"/>
      <c r="BB346" s="7"/>
      <c r="BC346" s="7"/>
      <c r="BD346" s="7"/>
      <c r="BE346" s="7"/>
      <c r="BF346" s="7"/>
      <c r="BG346" s="7"/>
    </row>
    <row r="347" customHeight="1" spans="1:59">
      <c r="A347" s="9" t="str">
        <f>IF(ActiveDatabase=Standby,Secondary!A347,Primary!A347)</f>
        <v>Euterpe 21</v>
      </c>
      <c r="B347" s="5" t="str">
        <f>IF(ActiveDatabase=Standby,Secondary!B347,Primary!B347)</f>
        <v>Euterpe 28</v>
      </c>
      <c r="C347" s="5" t="str">
        <f>IF(ActiveDatabase=Standby,Secondary!C347,Primary!C347)</f>
        <v>Euterpe 22</v>
      </c>
      <c r="D347" s="5" t="str">
        <f>IF(ActiveDatabase=Standby,Secondary!D347,Primary!D347)</f>
        <v>Starfarer Wreck 11L</v>
      </c>
      <c r="E347" s="6" t="str">
        <f>IF(ActiveDatabase=Standby,Secondary!E347,Primary!E347)</f>
        <v>Starfarer 11L</v>
      </c>
      <c r="F347" s="10">
        <f>IF(ActiveDatabase=Standby,Secondary!F347,Primary!F347)</f>
        <v>-87.4900302229999</v>
      </c>
      <c r="G347" s="10">
        <f>IF(ActiveDatabase=Standby,Secondary!G347,Primary!G347)</f>
        <v>-187.249575927</v>
      </c>
      <c r="H347" s="10">
        <f>IF(ActiveDatabase=Standby,Secondary!H347,Primary!H347)</f>
        <v>-52.1533822</v>
      </c>
      <c r="I347" s="13">
        <f>IF(ActiveDatabase=Standby,Secondary!I347,Primary!I347)</f>
        <v>0</v>
      </c>
      <c r="J347" s="13">
        <f>IF(ActiveDatabase=Standby,Secondary!J347,Primary!J347)</f>
        <v>0</v>
      </c>
      <c r="K347" s="13">
        <f>IF(ActiveDatabase=Standby,Secondary!K347,Primary!K347)</f>
        <v>0</v>
      </c>
      <c r="L347" s="13">
        <f>IF(ActiveDatabase=Standby,Secondary!L347,Primary!L347)</f>
        <v>0</v>
      </c>
      <c r="M347" s="7" t="b">
        <f>IF(ActiveDatabase=Standby,Secondary!M347,Primary!M347)</f>
        <v>0</v>
      </c>
      <c r="N347" s="10">
        <f>IF(ActiveDatabase=Standby,Secondary!N347,Primary!N347)</f>
        <v>0</v>
      </c>
      <c r="O347" s="10">
        <f>IF(ActiveDatabase=Standby,Secondary!O347,Primary!O347)</f>
        <v>0</v>
      </c>
      <c r="P347" s="10">
        <f>IF(ActiveDatabase=Standby,Secondary!P347,Primary!P347)</f>
        <v>0</v>
      </c>
      <c r="Q347" s="6">
        <f>IF(ActiveDatabase=Standby,Secondary!Q347,Primary!Q347)</f>
        <v>0</v>
      </c>
      <c r="R347" s="18">
        <f>IF(ActiveDatabase=Standby,Secondary!R347,Primary!R347)</f>
        <v>0</v>
      </c>
      <c r="S347" s="19">
        <f>IF(ActiveDatabase=Standby,Secondary!S347,Primary!S347)</f>
        <v>0</v>
      </c>
      <c r="T347" s="10">
        <f>IF(ActiveDatabase=Standby,Secondary!T347,Primary!T347)</f>
        <v>0</v>
      </c>
      <c r="U347" s="10">
        <f>IF(ActiveDatabase=Standby,Secondary!U347,Primary!U347)</f>
        <v>0</v>
      </c>
      <c r="V347" s="10">
        <f>IF(ActiveDatabase=Standby,Secondary!V347,Primary!V347)</f>
        <v>0</v>
      </c>
      <c r="W347" s="6">
        <f>IF(ActiveDatabase=Standby,Secondary!W347,Primary!W347)</f>
        <v>0</v>
      </c>
      <c r="X347" s="6">
        <f>IF(ActiveDatabase=Standby,Secondary!X347,Primary!X347)</f>
        <v>0</v>
      </c>
      <c r="Y347" s="12">
        <f>IF(ActiveDatabase=Standby,Secondary!Y347,Primary!Y347)</f>
        <v>0</v>
      </c>
      <c r="Z347" s="12">
        <f>IF(ActiveDatabase=Standby,Secondary!Z347,Primary!Z347)</f>
        <v>0</v>
      </c>
      <c r="AA347" s="7">
        <f>IF(ActiveDatabase=Standby,Secondary!AA347,Primary!AA347)</f>
        <v>0</v>
      </c>
      <c r="AB347" s="12"/>
      <c r="AC347" s="6"/>
      <c r="AD347" s="6"/>
      <c r="AE347" s="7"/>
      <c r="AF347" s="7"/>
      <c r="AG347" s="7"/>
      <c r="AH347" s="7"/>
      <c r="AI347" s="7"/>
      <c r="AJ347" s="7"/>
      <c r="AK347" s="7"/>
      <c r="AL347" s="7"/>
      <c r="AM347" s="7"/>
      <c r="AN347" s="7"/>
      <c r="AO347" s="6"/>
      <c r="AP347" s="7"/>
      <c r="AQ347" s="7"/>
      <c r="AR347" s="6"/>
      <c r="AS347" s="7"/>
      <c r="AT347" s="7"/>
      <c r="AU347" s="7"/>
      <c r="AV347" s="7"/>
      <c r="AW347" s="7"/>
      <c r="AX347" s="7"/>
      <c r="AY347" s="7"/>
      <c r="AZ347" s="7"/>
      <c r="BA347" s="7"/>
      <c r="BB347" s="7"/>
      <c r="BC347" s="7"/>
      <c r="BD347" s="7"/>
      <c r="BE347" s="7"/>
      <c r="BF347" s="7"/>
      <c r="BG347" s="7"/>
    </row>
    <row r="348" customHeight="1" spans="1:59">
      <c r="A348" s="9" t="str">
        <f>IF(ActiveDatabase=Standby,Secondary!A348,Primary!A348)</f>
        <v>Euterpe</v>
      </c>
      <c r="B348" s="5" t="str">
        <f>IF(ActiveDatabase=Standby,Secondary!B348,Primary!B348)</f>
        <v>Euterpe 32</v>
      </c>
      <c r="C348" s="5">
        <f>IF(ActiveDatabase=Standby,Secondary!C348,Primary!C348)</f>
        <v>0</v>
      </c>
      <c r="D348" s="5" t="str">
        <f>IF(ActiveDatabase=Standby,Secondary!D348,Primary!D348)</f>
        <v>Comm Array</v>
      </c>
      <c r="E348" s="6">
        <f>IF(ActiveDatabase=Standby,Secondary!E348,Primary!E348)</f>
        <v>0</v>
      </c>
      <c r="F348" s="10">
        <f>IF(ActiveDatabase=Standby,Secondary!F348,Primary!F348)</f>
        <v>0</v>
      </c>
      <c r="G348" s="10">
        <f>IF(ActiveDatabase=Standby,Secondary!G348,Primary!G348)</f>
        <v>0</v>
      </c>
      <c r="H348" s="10">
        <f>IF(ActiveDatabase=Standby,Secondary!H348,Primary!H348)</f>
        <v>0</v>
      </c>
      <c r="I348" s="13">
        <f>IF(ActiveDatabase=Standby,Secondary!I348,Primary!I348)</f>
        <v>0</v>
      </c>
      <c r="J348" s="13">
        <f>IF(ActiveDatabase=Standby,Secondary!J348,Primary!J348)</f>
        <v>0</v>
      </c>
      <c r="K348" s="13">
        <f>IF(ActiveDatabase=Standby,Secondary!K348,Primary!K348)</f>
        <v>0</v>
      </c>
      <c r="L348" s="13">
        <f>IF(ActiveDatabase=Standby,Secondary!L348,Primary!L348)</f>
        <v>0</v>
      </c>
      <c r="M348" s="7">
        <f>IF(ActiveDatabase=Standby,Secondary!M348,Primary!M348)</f>
        <v>0</v>
      </c>
      <c r="N348" s="10">
        <f>IF(ActiveDatabase=Standby,Secondary!N348,Primary!N348)</f>
        <v>0</v>
      </c>
      <c r="O348" s="10">
        <f>IF(ActiveDatabase=Standby,Secondary!O348,Primary!O348)</f>
        <v>0</v>
      </c>
      <c r="P348" s="10">
        <f>IF(ActiveDatabase=Standby,Secondary!P348,Primary!P348)</f>
        <v>0</v>
      </c>
      <c r="Q348" s="6">
        <f>IF(ActiveDatabase=Standby,Secondary!Q348,Primary!Q348)</f>
        <v>0</v>
      </c>
      <c r="R348" s="18">
        <f>IF(ActiveDatabase=Standby,Secondary!R348,Primary!R348)</f>
        <v>0</v>
      </c>
      <c r="S348" s="19">
        <f>IF(ActiveDatabase=Standby,Secondary!S348,Primary!S348)</f>
        <v>0</v>
      </c>
      <c r="T348" s="10">
        <f>IF(ActiveDatabase=Standby,Secondary!T348,Primary!T348)</f>
        <v>0</v>
      </c>
      <c r="U348" s="10">
        <f>IF(ActiveDatabase=Standby,Secondary!U348,Primary!U348)</f>
        <v>0</v>
      </c>
      <c r="V348" s="10">
        <f>IF(ActiveDatabase=Standby,Secondary!V348,Primary!V348)</f>
        <v>0</v>
      </c>
      <c r="W348" s="6">
        <f>IF(ActiveDatabase=Standby,Secondary!W348,Primary!W348)</f>
        <v>0</v>
      </c>
      <c r="X348" s="6">
        <f>IF(ActiveDatabase=Standby,Secondary!X348,Primary!X348)</f>
        <v>0</v>
      </c>
      <c r="Y348" s="12">
        <f>IF(ActiveDatabase=Standby,Secondary!Y348,Primary!Y348)</f>
        <v>0</v>
      </c>
      <c r="Z348" s="12">
        <f>IF(ActiveDatabase=Standby,Secondary!Z348,Primary!Z348)</f>
        <v>0</v>
      </c>
      <c r="AA348" s="7">
        <f>IF(ActiveDatabase=Standby,Secondary!AA348,Primary!AA348)</f>
        <v>0</v>
      </c>
      <c r="AB348" s="12"/>
      <c r="AC348" s="6"/>
      <c r="AD348" s="6"/>
      <c r="AE348" s="7"/>
      <c r="AF348" s="7"/>
      <c r="AG348" s="7"/>
      <c r="AH348" s="7"/>
      <c r="AI348" s="7"/>
      <c r="AJ348" s="7"/>
      <c r="AK348" s="7"/>
      <c r="AL348" s="7"/>
      <c r="AM348" s="7"/>
      <c r="AN348" s="7"/>
      <c r="AO348" s="6"/>
      <c r="AP348" s="7"/>
      <c r="AQ348" s="7"/>
      <c r="AR348" s="6"/>
      <c r="AS348" s="7"/>
      <c r="AT348" s="7"/>
      <c r="AU348" s="7"/>
      <c r="AV348" s="7"/>
      <c r="AW348" s="7"/>
      <c r="AX348" s="7"/>
      <c r="AY348" s="7"/>
      <c r="AZ348" s="7"/>
      <c r="BA348" s="7"/>
      <c r="BB348" s="7"/>
      <c r="BC348" s="7"/>
      <c r="BD348" s="7"/>
      <c r="BE348" s="7"/>
      <c r="BF348" s="7"/>
      <c r="BG348" s="7"/>
    </row>
    <row r="349" customHeight="1" spans="1:59">
      <c r="A349" s="9" t="str">
        <f>IF(ActiveDatabase=Standby,Secondary!A349,Primary!A349)</f>
        <v>Euterpe 04</v>
      </c>
      <c r="B349" s="5" t="str">
        <f>IF(ActiveDatabase=Standby,Secondary!B349,Primary!B349)</f>
        <v>Euterpe 33</v>
      </c>
      <c r="C349" s="5" t="str">
        <f>IF(ActiveDatabase=Standby,Secondary!C349,Primary!C349)</f>
        <v>Euterpe 09</v>
      </c>
      <c r="D349" s="5" t="str">
        <f>IF(ActiveDatabase=Standby,Secondary!D349,Primary!D349)</f>
        <v>Comm Array ST4-64</v>
      </c>
      <c r="E349" s="6" t="str">
        <f>IF(ActiveDatabase=Standby,Secondary!E349,Primary!E349)</f>
        <v>ST4-64</v>
      </c>
      <c r="F349" s="10">
        <f>IF(ActiveDatabase=Standby,Secondary!F349,Primary!F349)</f>
        <v>431.784048599243</v>
      </c>
      <c r="G349" s="10">
        <f>IF(ActiveDatabase=Standby,Secondary!G349,Primary!G349)</f>
        <v>208.033822898865</v>
      </c>
      <c r="H349" s="10">
        <f>IF(ActiveDatabase=Standby,Secondary!H349,Primary!H349)</f>
        <v>24</v>
      </c>
      <c r="I349" s="13">
        <f>IF(ActiveDatabase=Standby,Secondary!I349,Primary!I349)</f>
        <v>0</v>
      </c>
      <c r="J349" s="13">
        <f>IF(ActiveDatabase=Standby,Secondary!J349,Primary!J349)</f>
        <v>0</v>
      </c>
      <c r="K349" s="13">
        <f>IF(ActiveDatabase=Standby,Secondary!K349,Primary!K349)</f>
        <v>0</v>
      </c>
      <c r="L349" s="13">
        <f>IF(ActiveDatabase=Standby,Secondary!L349,Primary!L349)</f>
        <v>0</v>
      </c>
      <c r="M349" s="7" t="b">
        <f>IF(ActiveDatabase=Standby,Secondary!M349,Primary!M349)</f>
        <v>1</v>
      </c>
      <c r="N349" s="10">
        <f>IF(ActiveDatabase=Standby,Secondary!N349,Primary!N349)</f>
        <v>0</v>
      </c>
      <c r="O349" s="10">
        <f>IF(ActiveDatabase=Standby,Secondary!O349,Primary!O349)</f>
        <v>0</v>
      </c>
      <c r="P349" s="10">
        <f>IF(ActiveDatabase=Standby,Secondary!P349,Primary!P349)</f>
        <v>0</v>
      </c>
      <c r="Q349" s="6">
        <f>IF(ActiveDatabase=Standby,Secondary!Q349,Primary!Q349)</f>
        <v>0</v>
      </c>
      <c r="R349" s="18">
        <f>IF(ActiveDatabase=Standby,Secondary!R349,Primary!R349)</f>
        <v>0</v>
      </c>
      <c r="S349" s="19">
        <f>IF(ActiveDatabase=Standby,Secondary!S349,Primary!S349)</f>
        <v>0</v>
      </c>
      <c r="T349" s="10">
        <f>IF(ActiveDatabase=Standby,Secondary!T349,Primary!T349)</f>
        <v>0</v>
      </c>
      <c r="U349" s="10">
        <f>IF(ActiveDatabase=Standby,Secondary!U349,Primary!U349)</f>
        <v>0</v>
      </c>
      <c r="V349" s="10">
        <f>IF(ActiveDatabase=Standby,Secondary!V349,Primary!V349)</f>
        <v>0</v>
      </c>
      <c r="W349" s="6">
        <f>IF(ActiveDatabase=Standby,Secondary!W349,Primary!W349)</f>
        <v>0</v>
      </c>
      <c r="X349" s="6">
        <f>IF(ActiveDatabase=Standby,Secondary!X349,Primary!X349)</f>
        <v>0</v>
      </c>
      <c r="Y349" s="12">
        <f>IF(ActiveDatabase=Standby,Secondary!Y349,Primary!Y349)</f>
        <v>0</v>
      </c>
      <c r="Z349" s="12">
        <f>IF(ActiveDatabase=Standby,Secondary!Z349,Primary!Z349)</f>
        <v>0</v>
      </c>
      <c r="AA349" s="7">
        <f>IF(ActiveDatabase=Standby,Secondary!AA349,Primary!AA349)</f>
        <v>0</v>
      </c>
      <c r="AB349" s="12"/>
      <c r="AC349" s="6"/>
      <c r="AD349" s="6"/>
      <c r="AE349" s="7"/>
      <c r="AF349" s="7"/>
      <c r="AG349" s="7"/>
      <c r="AH349" s="7"/>
      <c r="AI349" s="7"/>
      <c r="AJ349" s="7"/>
      <c r="AK349" s="7"/>
      <c r="AL349" s="7"/>
      <c r="AM349" s="7"/>
      <c r="AN349" s="7"/>
      <c r="AO349" s="6"/>
      <c r="AP349" s="7"/>
      <c r="AQ349" s="7"/>
      <c r="AR349" s="6"/>
      <c r="AS349" s="7"/>
      <c r="AT349" s="7"/>
      <c r="AU349" s="7"/>
      <c r="AV349" s="7"/>
      <c r="AW349" s="7"/>
      <c r="AX349" s="7"/>
      <c r="AY349" s="7"/>
      <c r="AZ349" s="7"/>
      <c r="BA349" s="7"/>
      <c r="BB349" s="7"/>
      <c r="BC349" s="7"/>
      <c r="BD349" s="7"/>
      <c r="BE349" s="7"/>
      <c r="BF349" s="7"/>
      <c r="BG349" s="7"/>
    </row>
    <row r="350" customHeight="1" spans="1:59">
      <c r="A350" s="9">
        <f>IF(ActiveDatabase=Standby,Secondary!A350,Primary!A350)</f>
        <v>0</v>
      </c>
      <c r="B350" s="5">
        <f>IF(ActiveDatabase=Standby,Secondary!B350,Primary!B350)</f>
        <v>0</v>
      </c>
      <c r="C350" s="5">
        <f>IF(ActiveDatabase=Standby,Secondary!C350,Primary!C350)</f>
        <v>0</v>
      </c>
      <c r="D350" s="5">
        <f>IF(ActiveDatabase=Standby,Secondary!D350,Primary!D350)</f>
        <v>0</v>
      </c>
      <c r="E350" s="6">
        <f>IF(ActiveDatabase=Standby,Secondary!E350,Primary!E350)</f>
        <v>0</v>
      </c>
      <c r="F350" s="10">
        <f>IF(ActiveDatabase=Standby,Secondary!F350,Primary!F350)</f>
        <v>0</v>
      </c>
      <c r="G350" s="10">
        <f>IF(ActiveDatabase=Standby,Secondary!G350,Primary!G350)</f>
        <v>0</v>
      </c>
      <c r="H350" s="10">
        <f>IF(ActiveDatabase=Standby,Secondary!H350,Primary!H350)</f>
        <v>0</v>
      </c>
      <c r="I350" s="13">
        <f>IF(ActiveDatabase=Standby,Secondary!I350,Primary!I350)</f>
        <v>0</v>
      </c>
      <c r="J350" s="13">
        <f>IF(ActiveDatabase=Standby,Secondary!J350,Primary!J350)</f>
        <v>0</v>
      </c>
      <c r="K350" s="13">
        <f>IF(ActiveDatabase=Standby,Secondary!K350,Primary!K350)</f>
        <v>0</v>
      </c>
      <c r="L350" s="13">
        <f>IF(ActiveDatabase=Standby,Secondary!L350,Primary!L350)</f>
        <v>0</v>
      </c>
      <c r="M350" s="7">
        <f>IF(ActiveDatabase=Standby,Secondary!M350,Primary!M350)</f>
        <v>0</v>
      </c>
      <c r="N350" s="10">
        <f>IF(ActiveDatabase=Standby,Secondary!N350,Primary!N350)</f>
        <v>0</v>
      </c>
      <c r="O350" s="10">
        <f>IF(ActiveDatabase=Standby,Secondary!O350,Primary!O350)</f>
        <v>0</v>
      </c>
      <c r="P350" s="10">
        <f>IF(ActiveDatabase=Standby,Secondary!P350,Primary!P350)</f>
        <v>0</v>
      </c>
      <c r="Q350" s="6">
        <f>IF(ActiveDatabase=Standby,Secondary!Q350,Primary!Q350)</f>
        <v>0</v>
      </c>
      <c r="R350" s="18">
        <f>IF(ActiveDatabase=Standby,Secondary!R350,Primary!R350)</f>
        <v>0</v>
      </c>
      <c r="S350" s="19">
        <f>IF(ActiveDatabase=Standby,Secondary!S350,Primary!S350)</f>
        <v>0</v>
      </c>
      <c r="T350" s="10">
        <f>IF(ActiveDatabase=Standby,Secondary!T350,Primary!T350)</f>
        <v>0</v>
      </c>
      <c r="U350" s="10">
        <f>IF(ActiveDatabase=Standby,Secondary!U350,Primary!U350)</f>
        <v>0</v>
      </c>
      <c r="V350" s="10">
        <f>IF(ActiveDatabase=Standby,Secondary!V350,Primary!V350)</f>
        <v>0</v>
      </c>
      <c r="W350" s="6">
        <f>IF(ActiveDatabase=Standby,Secondary!W350,Primary!W350)</f>
        <v>0</v>
      </c>
      <c r="X350" s="6">
        <f>IF(ActiveDatabase=Standby,Secondary!X350,Primary!X350)</f>
        <v>0</v>
      </c>
      <c r="Y350" s="12">
        <f>IF(ActiveDatabase=Standby,Secondary!Y350,Primary!Y350)</f>
        <v>0</v>
      </c>
      <c r="Z350" s="12">
        <f>IF(ActiveDatabase=Standby,Secondary!Z350,Primary!Z350)</f>
        <v>0</v>
      </c>
      <c r="AA350" s="7">
        <f>IF(ActiveDatabase=Standby,Secondary!AA350,Primary!AA350)</f>
        <v>0</v>
      </c>
      <c r="AB350" s="12"/>
      <c r="AC350" s="6"/>
      <c r="AD350" s="6"/>
      <c r="AE350" s="7"/>
      <c r="AF350" s="7"/>
      <c r="AG350" s="7"/>
      <c r="AH350" s="7"/>
      <c r="AI350" s="7"/>
      <c r="AJ350" s="7"/>
      <c r="AK350" s="7"/>
      <c r="AL350" s="7"/>
      <c r="AM350" s="7"/>
      <c r="AN350" s="7"/>
      <c r="AO350" s="6"/>
      <c r="AP350" s="7"/>
      <c r="AQ350" s="7"/>
      <c r="AR350" s="6"/>
      <c r="AS350" s="7"/>
      <c r="AT350" s="7"/>
      <c r="AU350" s="7"/>
      <c r="AV350" s="7"/>
      <c r="AW350" s="7"/>
      <c r="AX350" s="7"/>
      <c r="AY350" s="7"/>
      <c r="AZ350" s="7"/>
      <c r="BA350" s="7"/>
      <c r="BB350" s="7"/>
      <c r="BC350" s="7"/>
      <c r="BD350" s="7"/>
      <c r="BE350" s="7"/>
      <c r="BF350" s="7"/>
      <c r="BG350" s="7"/>
    </row>
    <row r="351" customHeight="1" spans="1:59">
      <c r="A351" s="9" t="str">
        <f>IF(ActiveDatabase=Standby,Secondary!A351,Primary!A351)</f>
        <v>Hurston R01</v>
      </c>
      <c r="B351" s="5" t="str">
        <f>IF(ActiveDatabase=Standby,Secondary!B351,Primary!B351)</f>
        <v>Hurston 161</v>
      </c>
      <c r="C351" s="5">
        <f>IF(ActiveDatabase=Standby,Secondary!C351,Primary!C351)</f>
        <v>0</v>
      </c>
      <c r="D351" s="5" t="str">
        <f>IF(ActiveDatabase=Standby,Secondary!D351,Primary!D351)</f>
        <v>OM-1</v>
      </c>
      <c r="E351" s="6" t="str">
        <f>IF(ActiveDatabase=Standby,Secondary!E351,Primary!E351)</f>
        <v>OM1</v>
      </c>
      <c r="F351" s="10">
        <f>IF(ActiveDatabase=Standby,Secondary!F351,Primary!F351)</f>
        <v>0</v>
      </c>
      <c r="G351" s="10">
        <f>IF(ActiveDatabase=Standby,Secondary!G351,Primary!G351)</f>
        <v>0</v>
      </c>
      <c r="H351" s="10">
        <f>IF(ActiveDatabase=Standby,Secondary!H351,Primary!H351)</f>
        <v>1436.814</v>
      </c>
      <c r="I351" s="13">
        <f>IF(ActiveDatabase=Standby,Secondary!I351,Primary!I351)</f>
        <v>0</v>
      </c>
      <c r="J351" s="13">
        <f>IF(ActiveDatabase=Standby,Secondary!J351,Primary!J351)</f>
        <v>0</v>
      </c>
      <c r="K351" s="13">
        <f>IF(ActiveDatabase=Standby,Secondary!K351,Primary!K351)</f>
        <v>0</v>
      </c>
      <c r="L351" s="13">
        <f>IF(ActiveDatabase=Standby,Secondary!L351,Primary!L351)</f>
        <v>0</v>
      </c>
      <c r="M351" s="7" t="b">
        <f>IF(ActiveDatabase=Standby,Secondary!M351,Primary!M351)</f>
        <v>1</v>
      </c>
      <c r="N351" s="10">
        <f>IF(ActiveDatabase=Standby,Secondary!N351,Primary!N351)</f>
        <v>0</v>
      </c>
      <c r="O351" s="10">
        <f>IF(ActiveDatabase=Standby,Secondary!O351,Primary!O351)</f>
        <v>0</v>
      </c>
      <c r="P351" s="10">
        <f>IF(ActiveDatabase=Standby,Secondary!P351,Primary!P351)</f>
        <v>0</v>
      </c>
      <c r="Q351" s="6">
        <f>IF(ActiveDatabase=Standby,Secondary!Q351,Primary!Q351)</f>
        <v>0</v>
      </c>
      <c r="R351" s="18">
        <f>IF(ActiveDatabase=Standby,Secondary!R351,Primary!R351)</f>
        <v>0</v>
      </c>
      <c r="S351" s="19">
        <f>IF(ActiveDatabase=Standby,Secondary!S351,Primary!S351)</f>
        <v>0</v>
      </c>
      <c r="T351" s="10">
        <f>IF(ActiveDatabase=Standby,Secondary!T351,Primary!T351)</f>
        <v>0</v>
      </c>
      <c r="U351" s="10">
        <f>IF(ActiveDatabase=Standby,Secondary!U351,Primary!U351)</f>
        <v>0</v>
      </c>
      <c r="V351" s="10">
        <f>IF(ActiveDatabase=Standby,Secondary!V351,Primary!V351)</f>
        <v>0</v>
      </c>
      <c r="W351" s="6">
        <f>IF(ActiveDatabase=Standby,Secondary!W351,Primary!W351)</f>
        <v>0</v>
      </c>
      <c r="X351" s="6">
        <f>IF(ActiveDatabase=Standby,Secondary!X351,Primary!X351)</f>
        <v>0</v>
      </c>
      <c r="Y351" s="12">
        <f>IF(ActiveDatabase=Standby,Secondary!Y351,Primary!Y351)</f>
        <v>0</v>
      </c>
      <c r="Z351" s="12">
        <f>IF(ActiveDatabase=Standby,Secondary!Z351,Primary!Z351)</f>
        <v>0</v>
      </c>
      <c r="AA351" s="7">
        <f>IF(ActiveDatabase=Standby,Secondary!AA351,Primary!AA351)</f>
        <v>0</v>
      </c>
      <c r="AB351" s="12"/>
      <c r="AC351" s="6"/>
      <c r="AD351" s="6"/>
      <c r="AE351" s="7"/>
      <c r="AF351" s="7"/>
      <c r="AG351" s="7"/>
      <c r="AH351" s="7"/>
      <c r="AI351" s="7"/>
      <c r="AJ351" s="7"/>
      <c r="AK351" s="7"/>
      <c r="AL351" s="7"/>
      <c r="AM351" s="7"/>
      <c r="AN351" s="7"/>
      <c r="AO351" s="6"/>
      <c r="AP351" s="7"/>
      <c r="AQ351" s="7"/>
      <c r="AR351" s="6"/>
      <c r="AS351" s="7"/>
      <c r="AT351" s="7"/>
      <c r="AU351" s="7"/>
      <c r="AV351" s="7"/>
      <c r="AW351" s="7"/>
      <c r="AX351" s="7"/>
      <c r="AY351" s="7"/>
      <c r="AZ351" s="7"/>
      <c r="BA351" s="7"/>
      <c r="BB351" s="7"/>
      <c r="BC351" s="7"/>
      <c r="BD351" s="7"/>
      <c r="BE351" s="7"/>
      <c r="BF351" s="7"/>
      <c r="BG351" s="7"/>
    </row>
    <row r="352" customHeight="1" spans="1:59">
      <c r="A352" s="9" t="str">
        <f>IF(ActiveDatabase=Standby,Secondary!A352,Primary!A352)</f>
        <v>Hurston R02</v>
      </c>
      <c r="B352" s="5" t="str">
        <f>IF(ActiveDatabase=Standby,Secondary!B352,Primary!B352)</f>
        <v>Hurston 162</v>
      </c>
      <c r="C352" s="5">
        <f>IF(ActiveDatabase=Standby,Secondary!C352,Primary!C352)</f>
        <v>0</v>
      </c>
      <c r="D352" s="5" t="str">
        <f>IF(ActiveDatabase=Standby,Secondary!D352,Primary!D352)</f>
        <v>OM-2</v>
      </c>
      <c r="E352" s="6" t="str">
        <f>IF(ActiveDatabase=Standby,Secondary!E352,Primary!E352)</f>
        <v>OM2</v>
      </c>
      <c r="F352" s="10">
        <f>IF(ActiveDatabase=Standby,Secondary!F352,Primary!F352)</f>
        <v>0</v>
      </c>
      <c r="G352" s="10">
        <f>IF(ActiveDatabase=Standby,Secondary!G352,Primary!G352)</f>
        <v>0</v>
      </c>
      <c r="H352" s="10">
        <f>IF(ActiveDatabase=Standby,Secondary!H352,Primary!H352)</f>
        <v>-1436.814</v>
      </c>
      <c r="I352" s="13">
        <f>IF(ActiveDatabase=Standby,Secondary!I352,Primary!I352)</f>
        <v>0</v>
      </c>
      <c r="J352" s="13">
        <f>IF(ActiveDatabase=Standby,Secondary!J352,Primary!J352)</f>
        <v>0</v>
      </c>
      <c r="K352" s="13">
        <f>IF(ActiveDatabase=Standby,Secondary!K352,Primary!K352)</f>
        <v>0</v>
      </c>
      <c r="L352" s="13">
        <f>IF(ActiveDatabase=Standby,Secondary!L352,Primary!L352)</f>
        <v>0</v>
      </c>
      <c r="M352" s="7" t="b">
        <f>IF(ActiveDatabase=Standby,Secondary!M352,Primary!M352)</f>
        <v>1</v>
      </c>
      <c r="N352" s="10">
        <f>IF(ActiveDatabase=Standby,Secondary!N352,Primary!N352)</f>
        <v>0</v>
      </c>
      <c r="O352" s="10">
        <f>IF(ActiveDatabase=Standby,Secondary!O352,Primary!O352)</f>
        <v>0</v>
      </c>
      <c r="P352" s="10">
        <f>IF(ActiveDatabase=Standby,Secondary!P352,Primary!P352)</f>
        <v>0</v>
      </c>
      <c r="Q352" s="6">
        <f>IF(ActiveDatabase=Standby,Secondary!Q352,Primary!Q352)</f>
        <v>0</v>
      </c>
      <c r="R352" s="18">
        <f>IF(ActiveDatabase=Standby,Secondary!R352,Primary!R352)</f>
        <v>0</v>
      </c>
      <c r="S352" s="19">
        <f>IF(ActiveDatabase=Standby,Secondary!S352,Primary!S352)</f>
        <v>0</v>
      </c>
      <c r="T352" s="10">
        <f>IF(ActiveDatabase=Standby,Secondary!T352,Primary!T352)</f>
        <v>0</v>
      </c>
      <c r="U352" s="10">
        <f>IF(ActiveDatabase=Standby,Secondary!U352,Primary!U352)</f>
        <v>0</v>
      </c>
      <c r="V352" s="10">
        <f>IF(ActiveDatabase=Standby,Secondary!V352,Primary!V352)</f>
        <v>0</v>
      </c>
      <c r="W352" s="6">
        <f>IF(ActiveDatabase=Standby,Secondary!W352,Primary!W352)</f>
        <v>0</v>
      </c>
      <c r="X352" s="6">
        <f>IF(ActiveDatabase=Standby,Secondary!X352,Primary!X352)</f>
        <v>0</v>
      </c>
      <c r="Y352" s="12">
        <f>IF(ActiveDatabase=Standby,Secondary!Y352,Primary!Y352)</f>
        <v>0</v>
      </c>
      <c r="Z352" s="12">
        <f>IF(ActiveDatabase=Standby,Secondary!Z352,Primary!Z352)</f>
        <v>0</v>
      </c>
      <c r="AA352" s="7">
        <f>IF(ActiveDatabase=Standby,Secondary!AA352,Primary!AA352)</f>
        <v>0</v>
      </c>
      <c r="AB352" s="12"/>
      <c r="AC352" s="6"/>
      <c r="AD352" s="6"/>
      <c r="AE352" s="7"/>
      <c r="AF352" s="7"/>
      <c r="AG352" s="7"/>
      <c r="AH352" s="7"/>
      <c r="AI352" s="7"/>
      <c r="AJ352" s="7"/>
      <c r="AK352" s="7"/>
      <c r="AL352" s="7"/>
      <c r="AM352" s="7"/>
      <c r="AN352" s="7"/>
      <c r="AO352" s="6"/>
      <c r="AP352" s="7"/>
      <c r="AQ352" s="7"/>
      <c r="AR352" s="6"/>
      <c r="AS352" s="7"/>
      <c r="AT352" s="7"/>
      <c r="AU352" s="7"/>
      <c r="AV352" s="7"/>
      <c r="AW352" s="7"/>
      <c r="AX352" s="7"/>
      <c r="AY352" s="7"/>
      <c r="AZ352" s="7"/>
      <c r="BA352" s="7"/>
      <c r="BB352" s="7"/>
      <c r="BC352" s="7"/>
      <c r="BD352" s="7"/>
      <c r="BE352" s="7"/>
      <c r="BF352" s="7"/>
      <c r="BG352" s="7"/>
    </row>
    <row r="353" customHeight="1" spans="1:59">
      <c r="A353" s="9" t="str">
        <f>IF(ActiveDatabase=Standby,Secondary!A353,Primary!A353)</f>
        <v>Hurston R03</v>
      </c>
      <c r="B353" s="5" t="str">
        <f>IF(ActiveDatabase=Standby,Secondary!B353,Primary!B353)</f>
        <v>Hurston 163</v>
      </c>
      <c r="C353" s="5" t="str">
        <f>IF(ActiveDatabase=Standby,Secondary!C353,Primary!C353)</f>
        <v>Hurston 42</v>
      </c>
      <c r="D353" s="5" t="str">
        <f>IF(ActiveDatabase=Standby,Secondary!D353,Primary!D353)</f>
        <v>OM-3</v>
      </c>
      <c r="E353" s="6" t="str">
        <f>IF(ActiveDatabase=Standby,Secondary!E353,Primary!E353)</f>
        <v>OM3</v>
      </c>
      <c r="F353" s="10">
        <f>IF(ActiveDatabase=Standby,Secondary!F353,Primary!F353)</f>
        <v>0</v>
      </c>
      <c r="G353" s="10">
        <f>IF(ActiveDatabase=Standby,Secondary!G353,Primary!G353)</f>
        <v>1436.814</v>
      </c>
      <c r="H353" s="10">
        <f>IF(ActiveDatabase=Standby,Secondary!H353,Primary!H353)</f>
        <v>0</v>
      </c>
      <c r="I353" s="13">
        <f>IF(ActiveDatabase=Standby,Secondary!I353,Primary!I353)</f>
        <v>0</v>
      </c>
      <c r="J353" s="13">
        <f>IF(ActiveDatabase=Standby,Secondary!J353,Primary!J353)</f>
        <v>0</v>
      </c>
      <c r="K353" s="13">
        <f>IF(ActiveDatabase=Standby,Secondary!K353,Primary!K353)</f>
        <v>0</v>
      </c>
      <c r="L353" s="13">
        <f>IF(ActiveDatabase=Standby,Secondary!L353,Primary!L353)</f>
        <v>0</v>
      </c>
      <c r="M353" s="7" t="b">
        <f>IF(ActiveDatabase=Standby,Secondary!M353,Primary!M353)</f>
        <v>1</v>
      </c>
      <c r="N353" s="10">
        <f>IF(ActiveDatabase=Standby,Secondary!N353,Primary!N353)</f>
        <v>0</v>
      </c>
      <c r="O353" s="10">
        <f>IF(ActiveDatabase=Standby,Secondary!O353,Primary!O353)</f>
        <v>0</v>
      </c>
      <c r="P353" s="10">
        <f>IF(ActiveDatabase=Standby,Secondary!P353,Primary!P353)</f>
        <v>0</v>
      </c>
      <c r="Q353" s="6">
        <f>IF(ActiveDatabase=Standby,Secondary!Q353,Primary!Q353)</f>
        <v>0</v>
      </c>
      <c r="R353" s="18">
        <f>IF(ActiveDatabase=Standby,Secondary!R353,Primary!R353)</f>
        <v>0</v>
      </c>
      <c r="S353" s="19">
        <f>IF(ActiveDatabase=Standby,Secondary!S353,Primary!S353)</f>
        <v>0</v>
      </c>
      <c r="T353" s="10">
        <f>IF(ActiveDatabase=Standby,Secondary!T353,Primary!T353)</f>
        <v>0</v>
      </c>
      <c r="U353" s="10">
        <f>IF(ActiveDatabase=Standby,Secondary!U353,Primary!U353)</f>
        <v>0</v>
      </c>
      <c r="V353" s="10">
        <f>IF(ActiveDatabase=Standby,Secondary!V353,Primary!V353)</f>
        <v>0</v>
      </c>
      <c r="W353" s="6">
        <f>IF(ActiveDatabase=Standby,Secondary!W353,Primary!W353)</f>
        <v>0</v>
      </c>
      <c r="X353" s="6">
        <f>IF(ActiveDatabase=Standby,Secondary!X353,Primary!X353)</f>
        <v>0</v>
      </c>
      <c r="Y353" s="12">
        <f>IF(ActiveDatabase=Standby,Secondary!Y353,Primary!Y353)</f>
        <v>0</v>
      </c>
      <c r="Z353" s="12">
        <f>IF(ActiveDatabase=Standby,Secondary!Z353,Primary!Z353)</f>
        <v>0</v>
      </c>
      <c r="AA353" s="7">
        <f>IF(ActiveDatabase=Standby,Secondary!AA353,Primary!AA353)</f>
        <v>0</v>
      </c>
      <c r="AB353" s="12"/>
      <c r="AC353" s="6"/>
      <c r="AD353" s="6"/>
      <c r="AE353" s="7"/>
      <c r="AF353" s="7"/>
      <c r="AG353" s="7"/>
      <c r="AH353" s="7"/>
      <c r="AI353" s="7"/>
      <c r="AJ353" s="7"/>
      <c r="AK353" s="7"/>
      <c r="AL353" s="7"/>
      <c r="AM353" s="7"/>
      <c r="AN353" s="7"/>
      <c r="AO353" s="6"/>
      <c r="AP353" s="7"/>
      <c r="AQ353" s="7"/>
      <c r="AR353" s="6"/>
      <c r="AS353" s="7"/>
      <c r="AT353" s="7"/>
      <c r="AU353" s="7"/>
      <c r="AV353" s="7"/>
      <c r="AW353" s="7"/>
      <c r="AX353" s="7"/>
      <c r="AY353" s="7"/>
      <c r="AZ353" s="7"/>
      <c r="BA353" s="7"/>
      <c r="BB353" s="7"/>
      <c r="BC353" s="7"/>
      <c r="BD353" s="7"/>
      <c r="BE353" s="7"/>
      <c r="BF353" s="7"/>
      <c r="BG353" s="7"/>
    </row>
    <row r="354" customHeight="1" spans="1:59">
      <c r="A354" s="9" t="str">
        <f>IF(ActiveDatabase=Standby,Secondary!A354,Primary!A354)</f>
        <v>Hurston R04</v>
      </c>
      <c r="B354" s="5" t="str">
        <f>IF(ActiveDatabase=Standby,Secondary!B354,Primary!B354)</f>
        <v>Hurston 164</v>
      </c>
      <c r="C354" s="5" t="str">
        <f>IF(ActiveDatabase=Standby,Secondary!C354,Primary!C354)</f>
        <v>Hurston 92</v>
      </c>
      <c r="D354" s="5" t="str">
        <f>IF(ActiveDatabase=Standby,Secondary!D354,Primary!D354)</f>
        <v>OM-4</v>
      </c>
      <c r="E354" s="6" t="str">
        <f>IF(ActiveDatabase=Standby,Secondary!E354,Primary!E354)</f>
        <v>OM4</v>
      </c>
      <c r="F354" s="10">
        <f>IF(ActiveDatabase=Standby,Secondary!F354,Primary!F354)</f>
        <v>0</v>
      </c>
      <c r="G354" s="10">
        <f>IF(ActiveDatabase=Standby,Secondary!G354,Primary!G354)</f>
        <v>-1436.814</v>
      </c>
      <c r="H354" s="10">
        <f>IF(ActiveDatabase=Standby,Secondary!H354,Primary!H354)</f>
        <v>0</v>
      </c>
      <c r="I354" s="13">
        <f>IF(ActiveDatabase=Standby,Secondary!I354,Primary!I354)</f>
        <v>0</v>
      </c>
      <c r="J354" s="13">
        <f>IF(ActiveDatabase=Standby,Secondary!J354,Primary!J354)</f>
        <v>0</v>
      </c>
      <c r="K354" s="13">
        <f>IF(ActiveDatabase=Standby,Secondary!K354,Primary!K354)</f>
        <v>0</v>
      </c>
      <c r="L354" s="13">
        <f>IF(ActiveDatabase=Standby,Secondary!L354,Primary!L354)</f>
        <v>0</v>
      </c>
      <c r="M354" s="7" t="b">
        <f>IF(ActiveDatabase=Standby,Secondary!M354,Primary!M354)</f>
        <v>1</v>
      </c>
      <c r="N354" s="10">
        <f>IF(ActiveDatabase=Standby,Secondary!N354,Primary!N354)</f>
        <v>0</v>
      </c>
      <c r="O354" s="10">
        <f>IF(ActiveDatabase=Standby,Secondary!O354,Primary!O354)</f>
        <v>0</v>
      </c>
      <c r="P354" s="10">
        <f>IF(ActiveDatabase=Standby,Secondary!P354,Primary!P354)</f>
        <v>0</v>
      </c>
      <c r="Q354" s="6">
        <f>IF(ActiveDatabase=Standby,Secondary!Q354,Primary!Q354)</f>
        <v>0</v>
      </c>
      <c r="R354" s="18">
        <f>IF(ActiveDatabase=Standby,Secondary!R354,Primary!R354)</f>
        <v>0</v>
      </c>
      <c r="S354" s="19">
        <f>IF(ActiveDatabase=Standby,Secondary!S354,Primary!S354)</f>
        <v>0</v>
      </c>
      <c r="T354" s="10">
        <f>IF(ActiveDatabase=Standby,Secondary!T354,Primary!T354)</f>
        <v>0</v>
      </c>
      <c r="U354" s="10">
        <f>IF(ActiveDatabase=Standby,Secondary!U354,Primary!U354)</f>
        <v>0</v>
      </c>
      <c r="V354" s="10">
        <f>IF(ActiveDatabase=Standby,Secondary!V354,Primary!V354)</f>
        <v>0</v>
      </c>
      <c r="W354" s="6">
        <f>IF(ActiveDatabase=Standby,Secondary!W354,Primary!W354)</f>
        <v>0</v>
      </c>
      <c r="X354" s="6">
        <f>IF(ActiveDatabase=Standby,Secondary!X354,Primary!X354)</f>
        <v>0</v>
      </c>
      <c r="Y354" s="12">
        <f>IF(ActiveDatabase=Standby,Secondary!Y354,Primary!Y354)</f>
        <v>0</v>
      </c>
      <c r="Z354" s="12">
        <f>IF(ActiveDatabase=Standby,Secondary!Z354,Primary!Z354)</f>
        <v>0</v>
      </c>
      <c r="AA354" s="7">
        <f>IF(ActiveDatabase=Standby,Secondary!AA354,Primary!AA354)</f>
        <v>0</v>
      </c>
      <c r="AB354" s="12"/>
      <c r="AC354" s="6"/>
      <c r="AD354" s="6"/>
      <c r="AE354" s="7"/>
      <c r="AF354" s="7"/>
      <c r="AG354" s="7"/>
      <c r="AH354" s="7"/>
      <c r="AI354" s="7"/>
      <c r="AJ354" s="7"/>
      <c r="AK354" s="7"/>
      <c r="AL354" s="7"/>
      <c r="AM354" s="7"/>
      <c r="AN354" s="7"/>
      <c r="AO354" s="6"/>
      <c r="AP354" s="7"/>
      <c r="AQ354" s="7"/>
      <c r="AR354" s="6"/>
      <c r="AS354" s="7"/>
      <c r="AT354" s="7"/>
      <c r="AU354" s="7"/>
      <c r="AV354" s="7"/>
      <c r="AW354" s="7"/>
      <c r="AX354" s="7"/>
      <c r="AY354" s="7"/>
      <c r="AZ354" s="7"/>
      <c r="BA354" s="7"/>
      <c r="BB354" s="7"/>
      <c r="BC354" s="7"/>
      <c r="BD354" s="7"/>
      <c r="BE354" s="7"/>
      <c r="BF354" s="7"/>
      <c r="BG354" s="7"/>
    </row>
    <row r="355" customHeight="1" spans="1:59">
      <c r="A355" s="9" t="str">
        <f>IF(ActiveDatabase=Standby,Secondary!A355,Primary!A355)</f>
        <v>Hurston R05</v>
      </c>
      <c r="B355" s="5" t="str">
        <f>IF(ActiveDatabase=Standby,Secondary!B355,Primary!B355)</f>
        <v>Hurston 165</v>
      </c>
      <c r="C355" s="5" t="str">
        <f>IF(ActiveDatabase=Standby,Secondary!C355,Primary!C355)</f>
        <v>Hurston 62</v>
      </c>
      <c r="D355" s="5" t="str">
        <f>IF(ActiveDatabase=Standby,Secondary!D355,Primary!D355)</f>
        <v>OM-5</v>
      </c>
      <c r="E355" s="6" t="str">
        <f>IF(ActiveDatabase=Standby,Secondary!E355,Primary!E355)</f>
        <v>OM5</v>
      </c>
      <c r="F355" s="10">
        <f>IF(ActiveDatabase=Standby,Secondary!F355,Primary!F355)</f>
        <v>1436.814</v>
      </c>
      <c r="G355" s="10">
        <f>IF(ActiveDatabase=Standby,Secondary!G355,Primary!G355)</f>
        <v>0</v>
      </c>
      <c r="H355" s="10">
        <f>IF(ActiveDatabase=Standby,Secondary!H355,Primary!H355)</f>
        <v>0</v>
      </c>
      <c r="I355" s="13">
        <f>IF(ActiveDatabase=Standby,Secondary!I355,Primary!I355)</f>
        <v>0</v>
      </c>
      <c r="J355" s="13">
        <f>IF(ActiveDatabase=Standby,Secondary!J355,Primary!J355)</f>
        <v>0</v>
      </c>
      <c r="K355" s="13">
        <f>IF(ActiveDatabase=Standby,Secondary!K355,Primary!K355)</f>
        <v>0</v>
      </c>
      <c r="L355" s="13">
        <f>IF(ActiveDatabase=Standby,Secondary!L355,Primary!L355)</f>
        <v>0</v>
      </c>
      <c r="M355" s="7" t="b">
        <f>IF(ActiveDatabase=Standby,Secondary!M355,Primary!M355)</f>
        <v>1</v>
      </c>
      <c r="N355" s="10">
        <f>IF(ActiveDatabase=Standby,Secondary!N355,Primary!N355)</f>
        <v>0</v>
      </c>
      <c r="O355" s="10">
        <f>IF(ActiveDatabase=Standby,Secondary!O355,Primary!O355)</f>
        <v>0</v>
      </c>
      <c r="P355" s="10">
        <f>IF(ActiveDatabase=Standby,Secondary!P355,Primary!P355)</f>
        <v>0</v>
      </c>
      <c r="Q355" s="6">
        <f>IF(ActiveDatabase=Standby,Secondary!Q355,Primary!Q355)</f>
        <v>0</v>
      </c>
      <c r="R355" s="18">
        <f>IF(ActiveDatabase=Standby,Secondary!R355,Primary!R355)</f>
        <v>0</v>
      </c>
      <c r="S355" s="19">
        <f>IF(ActiveDatabase=Standby,Secondary!S355,Primary!S355)</f>
        <v>0</v>
      </c>
      <c r="T355" s="10">
        <f>IF(ActiveDatabase=Standby,Secondary!T355,Primary!T355)</f>
        <v>0</v>
      </c>
      <c r="U355" s="10">
        <f>IF(ActiveDatabase=Standby,Secondary!U355,Primary!U355)</f>
        <v>0</v>
      </c>
      <c r="V355" s="10">
        <f>IF(ActiveDatabase=Standby,Secondary!V355,Primary!V355)</f>
        <v>0</v>
      </c>
      <c r="W355" s="6">
        <f>IF(ActiveDatabase=Standby,Secondary!W355,Primary!W355)</f>
        <v>0</v>
      </c>
      <c r="X355" s="6">
        <f>IF(ActiveDatabase=Standby,Secondary!X355,Primary!X355)</f>
        <v>0</v>
      </c>
      <c r="Y355" s="12">
        <f>IF(ActiveDatabase=Standby,Secondary!Y355,Primary!Y355)</f>
        <v>0</v>
      </c>
      <c r="Z355" s="12">
        <f>IF(ActiveDatabase=Standby,Secondary!Z355,Primary!Z355)</f>
        <v>0</v>
      </c>
      <c r="AA355" s="7">
        <f>IF(ActiveDatabase=Standby,Secondary!AA355,Primary!AA355)</f>
        <v>0</v>
      </c>
      <c r="AB355" s="12"/>
      <c r="AC355" s="6"/>
      <c r="AD355" s="6"/>
      <c r="AE355" s="7"/>
      <c r="AF355" s="7"/>
      <c r="AG355" s="7"/>
      <c r="AH355" s="7"/>
      <c r="AI355" s="7"/>
      <c r="AJ355" s="7"/>
      <c r="AK355" s="7"/>
      <c r="AL355" s="7"/>
      <c r="AM355" s="7"/>
      <c r="AN355" s="7"/>
      <c r="AO355" s="6"/>
      <c r="AP355" s="7"/>
      <c r="AQ355" s="7"/>
      <c r="AR355" s="6"/>
      <c r="AS355" s="7"/>
      <c r="AT355" s="7"/>
      <c r="AU355" s="7"/>
      <c r="AV355" s="7"/>
      <c r="AW355" s="7"/>
      <c r="AX355" s="7"/>
      <c r="AY355" s="7"/>
      <c r="AZ355" s="7"/>
      <c r="BA355" s="7"/>
      <c r="BB355" s="7"/>
      <c r="BC355" s="7"/>
      <c r="BD355" s="7"/>
      <c r="BE355" s="7"/>
      <c r="BF355" s="7"/>
      <c r="BG355" s="7"/>
    </row>
    <row r="356" customHeight="1" spans="1:59">
      <c r="A356" s="9" t="str">
        <f>IF(ActiveDatabase=Standby,Secondary!A356,Primary!A356)</f>
        <v>Hurston R06</v>
      </c>
      <c r="B356" s="5" t="str">
        <f>IF(ActiveDatabase=Standby,Secondary!B356,Primary!B356)</f>
        <v>Hurston 166</v>
      </c>
      <c r="C356" s="5" t="str">
        <f>IF(ActiveDatabase=Standby,Secondary!C356,Primary!C356)</f>
        <v>Hurston 145</v>
      </c>
      <c r="D356" s="5" t="str">
        <f>IF(ActiveDatabase=Standby,Secondary!D356,Primary!D356)</f>
        <v>OM-6</v>
      </c>
      <c r="E356" s="6" t="str">
        <f>IF(ActiveDatabase=Standby,Secondary!E356,Primary!E356)</f>
        <v>OM6</v>
      </c>
      <c r="F356" s="10">
        <f>IF(ActiveDatabase=Standby,Secondary!F356,Primary!F356)</f>
        <v>-1436.814</v>
      </c>
      <c r="G356" s="10">
        <f>IF(ActiveDatabase=Standby,Secondary!G356,Primary!G356)</f>
        <v>0</v>
      </c>
      <c r="H356" s="10">
        <f>IF(ActiveDatabase=Standby,Secondary!H356,Primary!H356)</f>
        <v>0</v>
      </c>
      <c r="I356" s="13">
        <f>IF(ActiveDatabase=Standby,Secondary!I356,Primary!I356)</f>
        <v>0</v>
      </c>
      <c r="J356" s="13">
        <f>IF(ActiveDatabase=Standby,Secondary!J356,Primary!J356)</f>
        <v>0</v>
      </c>
      <c r="K356" s="13">
        <f>IF(ActiveDatabase=Standby,Secondary!K356,Primary!K356)</f>
        <v>0</v>
      </c>
      <c r="L356" s="13">
        <f>IF(ActiveDatabase=Standby,Secondary!L356,Primary!L356)</f>
        <v>0</v>
      </c>
      <c r="M356" s="7" t="b">
        <f>IF(ActiveDatabase=Standby,Secondary!M356,Primary!M356)</f>
        <v>1</v>
      </c>
      <c r="N356" s="10">
        <f>IF(ActiveDatabase=Standby,Secondary!N356,Primary!N356)</f>
        <v>0</v>
      </c>
      <c r="O356" s="10">
        <f>IF(ActiveDatabase=Standby,Secondary!O356,Primary!O356)</f>
        <v>0</v>
      </c>
      <c r="P356" s="10">
        <f>IF(ActiveDatabase=Standby,Secondary!P356,Primary!P356)</f>
        <v>0</v>
      </c>
      <c r="Q356" s="6">
        <f>IF(ActiveDatabase=Standby,Secondary!Q356,Primary!Q356)</f>
        <v>0</v>
      </c>
      <c r="R356" s="18">
        <f>IF(ActiveDatabase=Standby,Secondary!R356,Primary!R356)</f>
        <v>0</v>
      </c>
      <c r="S356" s="19">
        <f>IF(ActiveDatabase=Standby,Secondary!S356,Primary!S356)</f>
        <v>0</v>
      </c>
      <c r="T356" s="10">
        <f>IF(ActiveDatabase=Standby,Secondary!T356,Primary!T356)</f>
        <v>0</v>
      </c>
      <c r="U356" s="10">
        <f>IF(ActiveDatabase=Standby,Secondary!U356,Primary!U356)</f>
        <v>0</v>
      </c>
      <c r="V356" s="10">
        <f>IF(ActiveDatabase=Standby,Secondary!V356,Primary!V356)</f>
        <v>0</v>
      </c>
      <c r="W356" s="6">
        <f>IF(ActiveDatabase=Standby,Secondary!W356,Primary!W356)</f>
        <v>0</v>
      </c>
      <c r="X356" s="6">
        <f>IF(ActiveDatabase=Standby,Secondary!X356,Primary!X356)</f>
        <v>0</v>
      </c>
      <c r="Y356" s="12">
        <f>IF(ActiveDatabase=Standby,Secondary!Y356,Primary!Y356)</f>
        <v>0</v>
      </c>
      <c r="Z356" s="12">
        <f>IF(ActiveDatabase=Standby,Secondary!Z356,Primary!Z356)</f>
        <v>0</v>
      </c>
      <c r="AA356" s="7">
        <f>IF(ActiveDatabase=Standby,Secondary!AA356,Primary!AA356)</f>
        <v>0</v>
      </c>
      <c r="AB356" s="12"/>
      <c r="AC356" s="6"/>
      <c r="AD356" s="6"/>
      <c r="AE356" s="7"/>
      <c r="AF356" s="7"/>
      <c r="AG356" s="7"/>
      <c r="AH356" s="7"/>
      <c r="AI356" s="7"/>
      <c r="AJ356" s="7"/>
      <c r="AK356" s="7"/>
      <c r="AL356" s="7"/>
      <c r="AM356" s="7"/>
      <c r="AN356" s="7"/>
      <c r="AO356" s="6"/>
      <c r="AP356" s="7"/>
      <c r="AQ356" s="7"/>
      <c r="AR356" s="6"/>
      <c r="AS356" s="7"/>
      <c r="AT356" s="7"/>
      <c r="AU356" s="7"/>
      <c r="AV356" s="7"/>
      <c r="AW356" s="7"/>
      <c r="AX356" s="7"/>
      <c r="AY356" s="7"/>
      <c r="AZ356" s="7"/>
      <c r="BA356" s="7"/>
      <c r="BB356" s="7"/>
      <c r="BC356" s="7"/>
      <c r="BD356" s="7"/>
      <c r="BE356" s="7"/>
      <c r="BF356" s="7"/>
      <c r="BG356" s="7"/>
    </row>
    <row r="357" customHeight="1" spans="1:59">
      <c r="A357" s="9" t="str">
        <f>IF(ActiveDatabase=Standby,Secondary!A357,Primary!A357)</f>
        <v>Hurston</v>
      </c>
      <c r="B357" s="5" t="str">
        <f>IF(ActiveDatabase=Standby,Secondary!B357,Primary!B357)</f>
        <v>Hurston 00</v>
      </c>
      <c r="C357" s="5">
        <f>IF(ActiveDatabase=Standby,Secondary!C357,Primary!C357)</f>
        <v>0</v>
      </c>
      <c r="D357" s="5" t="str">
        <f>IF(ActiveDatabase=Standby,Secondary!D357,Primary!D357)</f>
        <v>Landing Zone</v>
      </c>
      <c r="E357" s="6">
        <f>IF(ActiveDatabase=Standby,Secondary!E357,Primary!E357)</f>
        <v>0</v>
      </c>
      <c r="F357" s="10">
        <f>IF(ActiveDatabase=Standby,Secondary!F357,Primary!F357)</f>
        <v>0</v>
      </c>
      <c r="G357" s="10">
        <f>IF(ActiveDatabase=Standby,Secondary!G357,Primary!G357)</f>
        <v>0</v>
      </c>
      <c r="H357" s="10">
        <f>IF(ActiveDatabase=Standby,Secondary!H357,Primary!H357)</f>
        <v>0</v>
      </c>
      <c r="I357" s="13">
        <f>IF(ActiveDatabase=Standby,Secondary!I357,Primary!I357)</f>
        <v>0</v>
      </c>
      <c r="J357" s="13">
        <f>IF(ActiveDatabase=Standby,Secondary!J357,Primary!J357)</f>
        <v>0</v>
      </c>
      <c r="K357" s="13">
        <f>IF(ActiveDatabase=Standby,Secondary!K357,Primary!K357)</f>
        <v>0</v>
      </c>
      <c r="L357" s="13">
        <f>IF(ActiveDatabase=Standby,Secondary!L357,Primary!L357)</f>
        <v>0</v>
      </c>
      <c r="M357" s="7">
        <f>IF(ActiveDatabase=Standby,Secondary!M357,Primary!M357)</f>
        <v>0</v>
      </c>
      <c r="N357" s="10">
        <f>IF(ActiveDatabase=Standby,Secondary!N357,Primary!N357)</f>
        <v>0</v>
      </c>
      <c r="O357" s="10">
        <f>IF(ActiveDatabase=Standby,Secondary!O357,Primary!O357)</f>
        <v>0</v>
      </c>
      <c r="P357" s="10">
        <f>IF(ActiveDatabase=Standby,Secondary!P357,Primary!P357)</f>
        <v>0</v>
      </c>
      <c r="Q357" s="6">
        <f>IF(ActiveDatabase=Standby,Secondary!Q357,Primary!Q357)</f>
        <v>0</v>
      </c>
      <c r="R357" s="18">
        <f>IF(ActiveDatabase=Standby,Secondary!R357,Primary!R357)</f>
        <v>0</v>
      </c>
      <c r="S357" s="19">
        <f>IF(ActiveDatabase=Standby,Secondary!S357,Primary!S357)</f>
        <v>0</v>
      </c>
      <c r="T357" s="10">
        <f>IF(ActiveDatabase=Standby,Secondary!T357,Primary!T357)</f>
        <v>0</v>
      </c>
      <c r="U357" s="10">
        <f>IF(ActiveDatabase=Standby,Secondary!U357,Primary!U357)</f>
        <v>0</v>
      </c>
      <c r="V357" s="10">
        <f>IF(ActiveDatabase=Standby,Secondary!V357,Primary!V357)</f>
        <v>0</v>
      </c>
      <c r="W357" s="6">
        <f>IF(ActiveDatabase=Standby,Secondary!W357,Primary!W357)</f>
        <v>0</v>
      </c>
      <c r="X357" s="6">
        <f>IF(ActiveDatabase=Standby,Secondary!X357,Primary!X357)</f>
        <v>0</v>
      </c>
      <c r="Y357" s="12">
        <f>IF(ActiveDatabase=Standby,Secondary!Y357,Primary!Y357)</f>
        <v>0</v>
      </c>
      <c r="Z357" s="12">
        <f>IF(ActiveDatabase=Standby,Secondary!Z357,Primary!Z357)</f>
        <v>0</v>
      </c>
      <c r="AA357" s="7">
        <f>IF(ActiveDatabase=Standby,Secondary!AA357,Primary!AA357)</f>
        <v>0</v>
      </c>
      <c r="AB357" s="12"/>
      <c r="AC357" s="6"/>
      <c r="AD357" s="6"/>
      <c r="AE357" s="7"/>
      <c r="AF357" s="7"/>
      <c r="AG357" s="7"/>
      <c r="AH357" s="7"/>
      <c r="AI357" s="7"/>
      <c r="AJ357" s="7"/>
      <c r="AK357" s="7"/>
      <c r="AL357" s="7"/>
      <c r="AM357" s="7"/>
      <c r="AN357" s="7"/>
      <c r="AO357" s="6"/>
      <c r="AP357" s="7"/>
      <c r="AQ357" s="7"/>
      <c r="AR357" s="6"/>
      <c r="AS357" s="7"/>
      <c r="AT357" s="7"/>
      <c r="AU357" s="7"/>
      <c r="AV357" s="7"/>
      <c r="AW357" s="7"/>
      <c r="AX357" s="7"/>
      <c r="AY357" s="7"/>
      <c r="AZ357" s="7"/>
      <c r="BA357" s="7"/>
      <c r="BB357" s="7"/>
      <c r="BC357" s="7"/>
      <c r="BD357" s="7"/>
      <c r="BE357" s="7"/>
      <c r="BF357" s="7"/>
      <c r="BG357" s="7"/>
    </row>
    <row r="358" customHeight="1" spans="1:59">
      <c r="A358" s="9" t="str">
        <f>IF(ActiveDatabase=Standby,Secondary!A358,Primary!A358)</f>
        <v>Hurston 01</v>
      </c>
      <c r="B358" s="5" t="str">
        <f>IF(ActiveDatabase=Standby,Secondary!B358,Primary!B358)</f>
        <v>Hurston 01</v>
      </c>
      <c r="C358" s="5" t="str">
        <f>IF(ActiveDatabase=Standby,Secondary!C358,Primary!C358)</f>
        <v>Hurston 106</v>
      </c>
      <c r="D358" s="5" t="str">
        <f>IF(ActiveDatabase=Standby,Secondary!D358,Primary!D358)</f>
        <v>Lorville</v>
      </c>
      <c r="E358" s="6" t="str">
        <f>IF(ActiveDatabase=Standby,Secondary!E358,Primary!E358)</f>
        <v>Lorville</v>
      </c>
      <c r="F358" s="10">
        <f>IF(ActiveDatabase=Standby,Secondary!F358,Primary!F358)</f>
        <v>-328.989165268899</v>
      </c>
      <c r="G358" s="10">
        <f>IF(ActiveDatabase=Standby,Secondary!G358,Primary!G358)</f>
        <v>-752.434615700612</v>
      </c>
      <c r="H358" s="10">
        <f>IF(ActiveDatabase=Standby,Secondary!H358,Primary!H358)</f>
        <v>572.120273853484</v>
      </c>
      <c r="I358" s="13">
        <f>IF(ActiveDatabase=Standby,Secondary!I358,Primary!I358)</f>
        <v>0</v>
      </c>
      <c r="J358" s="13">
        <f>IF(ActiveDatabase=Standby,Secondary!J358,Primary!J358)</f>
        <v>0</v>
      </c>
      <c r="K358" s="13">
        <f>IF(ActiveDatabase=Standby,Secondary!K358,Primary!K358)</f>
        <v>0</v>
      </c>
      <c r="L358" s="13">
        <f>IF(ActiveDatabase=Standby,Secondary!L358,Primary!L358)</f>
        <v>0</v>
      </c>
      <c r="M358" s="7" t="b">
        <f>IF(ActiveDatabase=Standby,Secondary!M358,Primary!M358)</f>
        <v>1</v>
      </c>
      <c r="N358" s="10">
        <f>IF(ActiveDatabase=Standby,Secondary!N358,Primary!N358)</f>
        <v>0</v>
      </c>
      <c r="O358" s="10">
        <f>IF(ActiveDatabase=Standby,Secondary!O358,Primary!O358)</f>
        <v>0</v>
      </c>
      <c r="P358" s="10">
        <f>IF(ActiveDatabase=Standby,Secondary!P358,Primary!P358)</f>
        <v>0</v>
      </c>
      <c r="Q358" s="6">
        <f>IF(ActiveDatabase=Standby,Secondary!Q358,Primary!Q358)</f>
        <v>0</v>
      </c>
      <c r="R358" s="18">
        <f>IF(ActiveDatabase=Standby,Secondary!R358,Primary!R358)</f>
        <v>0</v>
      </c>
      <c r="S358" s="19">
        <f>IF(ActiveDatabase=Standby,Secondary!S358,Primary!S358)</f>
        <v>0</v>
      </c>
      <c r="T358" s="10">
        <f>IF(ActiveDatabase=Standby,Secondary!T358,Primary!T358)</f>
        <v>0</v>
      </c>
      <c r="U358" s="10">
        <f>IF(ActiveDatabase=Standby,Secondary!U358,Primary!U358)</f>
        <v>0</v>
      </c>
      <c r="V358" s="10">
        <f>IF(ActiveDatabase=Standby,Secondary!V358,Primary!V358)</f>
        <v>0</v>
      </c>
      <c r="W358" s="6">
        <f>IF(ActiveDatabase=Standby,Secondary!W358,Primary!W358)</f>
        <v>0</v>
      </c>
      <c r="X358" s="6">
        <f>IF(ActiveDatabase=Standby,Secondary!X358,Primary!X358)</f>
        <v>0</v>
      </c>
      <c r="Y358" s="12">
        <f>IF(ActiveDatabase=Standby,Secondary!Y358,Primary!Y358)</f>
        <v>0</v>
      </c>
      <c r="Z358" s="12">
        <f>IF(ActiveDatabase=Standby,Secondary!Z358,Primary!Z358)</f>
        <v>0</v>
      </c>
      <c r="AA358" s="7">
        <f>IF(ActiveDatabase=Standby,Secondary!AA358,Primary!AA358)</f>
        <v>0</v>
      </c>
      <c r="AB358" s="12"/>
      <c r="AC358" s="6"/>
      <c r="AD358" s="6"/>
      <c r="AE358" s="7"/>
      <c r="AF358" s="7"/>
      <c r="AG358" s="7"/>
      <c r="AH358" s="7"/>
      <c r="AI358" s="7"/>
      <c r="AJ358" s="7"/>
      <c r="AK358" s="7"/>
      <c r="AL358" s="7"/>
      <c r="AM358" s="7"/>
      <c r="AN358" s="7"/>
      <c r="AO358" s="6"/>
      <c r="AP358" s="7"/>
      <c r="AQ358" s="7"/>
      <c r="AR358" s="6"/>
      <c r="AS358" s="7"/>
      <c r="AT358" s="7"/>
      <c r="AU358" s="7"/>
      <c r="AV358" s="7"/>
      <c r="AW358" s="7"/>
      <c r="AX358" s="7"/>
      <c r="AY358" s="7"/>
      <c r="AZ358" s="7"/>
      <c r="BA358" s="7"/>
      <c r="BB358" s="7"/>
      <c r="BC358" s="7"/>
      <c r="BD358" s="7"/>
      <c r="BE358" s="7"/>
      <c r="BF358" s="7"/>
      <c r="BG358" s="7"/>
    </row>
    <row r="359" customHeight="1" spans="1:59">
      <c r="A359" s="9" t="str">
        <f>IF(ActiveDatabase=Standby,Secondary!A359,Primary!A359)</f>
        <v>Hurston 30</v>
      </c>
      <c r="B359" s="5" t="str">
        <f>IF(ActiveDatabase=Standby,Secondary!B359,Primary!B359)</f>
        <v>Hurston 02</v>
      </c>
      <c r="C359" s="5" t="str">
        <f>IF(ActiveDatabase=Standby,Secondary!C359,Primary!C359)</f>
        <v>Hurston 105</v>
      </c>
      <c r="D359" s="5" t="str">
        <f>IF(ActiveDatabase=Standby,Secondary!D359,Primary!D359)</f>
        <v>Teasa Spaceport</v>
      </c>
      <c r="E359" s="6" t="str">
        <f>IF(ActiveDatabase=Standby,Secondary!E359,Primary!E359)</f>
        <v>Teasa</v>
      </c>
      <c r="F359" s="10">
        <f>IF(ActiveDatabase=Standby,Secondary!F359,Primary!F359)</f>
        <v>-327.031381266253</v>
      </c>
      <c r="G359" s="10">
        <f>IF(ActiveDatabase=Standby,Secondary!G359,Primary!G359)</f>
        <v>-758.51897055822</v>
      </c>
      <c r="H359" s="10">
        <f>IF(ActiveDatabase=Standby,Secondary!H359,Primary!H359)</f>
        <v>565.629243210651</v>
      </c>
      <c r="I359" s="13">
        <f>IF(ActiveDatabase=Standby,Secondary!I359,Primary!I359)</f>
        <v>0</v>
      </c>
      <c r="J359" s="13">
        <f>IF(ActiveDatabase=Standby,Secondary!J359,Primary!J359)</f>
        <v>0</v>
      </c>
      <c r="K359" s="13">
        <f>IF(ActiveDatabase=Standby,Secondary!K359,Primary!K359)</f>
        <v>0</v>
      </c>
      <c r="L359" s="13">
        <f>IF(ActiveDatabase=Standby,Secondary!L359,Primary!L359)</f>
        <v>0</v>
      </c>
      <c r="M359" s="7" t="b">
        <f>IF(ActiveDatabase=Standby,Secondary!M359,Primary!M359)</f>
        <v>0</v>
      </c>
      <c r="N359" s="10">
        <f>IF(ActiveDatabase=Standby,Secondary!N359,Primary!N359)</f>
        <v>0</v>
      </c>
      <c r="O359" s="10">
        <f>IF(ActiveDatabase=Standby,Secondary!O359,Primary!O359)</f>
        <v>0</v>
      </c>
      <c r="P359" s="10">
        <f>IF(ActiveDatabase=Standby,Secondary!P359,Primary!P359)</f>
        <v>0</v>
      </c>
      <c r="Q359" s="6">
        <f>IF(ActiveDatabase=Standby,Secondary!Q359,Primary!Q359)</f>
        <v>0</v>
      </c>
      <c r="R359" s="18">
        <f>IF(ActiveDatabase=Standby,Secondary!R359,Primary!R359)</f>
        <v>0</v>
      </c>
      <c r="S359" s="19">
        <f>IF(ActiveDatabase=Standby,Secondary!S359,Primary!S359)</f>
        <v>0</v>
      </c>
      <c r="T359" s="10">
        <f>IF(ActiveDatabase=Standby,Secondary!T359,Primary!T359)</f>
        <v>0</v>
      </c>
      <c r="U359" s="10">
        <f>IF(ActiveDatabase=Standby,Secondary!U359,Primary!U359)</f>
        <v>0</v>
      </c>
      <c r="V359" s="10">
        <f>IF(ActiveDatabase=Standby,Secondary!V359,Primary!V359)</f>
        <v>0</v>
      </c>
      <c r="W359" s="6">
        <f>IF(ActiveDatabase=Standby,Secondary!W359,Primary!W359)</f>
        <v>0</v>
      </c>
      <c r="X359" s="6">
        <f>IF(ActiveDatabase=Standby,Secondary!X359,Primary!X359)</f>
        <v>0</v>
      </c>
      <c r="Y359" s="12">
        <f>IF(ActiveDatabase=Standby,Secondary!Y359,Primary!Y359)</f>
        <v>0</v>
      </c>
      <c r="Z359" s="12">
        <f>IF(ActiveDatabase=Standby,Secondary!Z359,Primary!Z359)</f>
        <v>0</v>
      </c>
      <c r="AA359" s="7">
        <f>IF(ActiveDatabase=Standby,Secondary!AA359,Primary!AA359)</f>
        <v>0</v>
      </c>
      <c r="AB359" s="12"/>
      <c r="AC359" s="6"/>
      <c r="AD359" s="6"/>
      <c r="AE359" s="7"/>
      <c r="AF359" s="7"/>
      <c r="AG359" s="7"/>
      <c r="AH359" s="7"/>
      <c r="AI359" s="7"/>
      <c r="AJ359" s="7"/>
      <c r="AK359" s="7"/>
      <c r="AL359" s="7"/>
      <c r="AM359" s="7"/>
      <c r="AN359" s="7"/>
      <c r="AO359" s="6"/>
      <c r="AP359" s="7"/>
      <c r="AQ359" s="7"/>
      <c r="AR359" s="6"/>
      <c r="AS359" s="7"/>
      <c r="AT359" s="7"/>
      <c r="AU359" s="7"/>
      <c r="AV359" s="7"/>
      <c r="AW359" s="7"/>
      <c r="AX359" s="7"/>
      <c r="AY359" s="7"/>
      <c r="AZ359" s="7"/>
      <c r="BA359" s="7"/>
      <c r="BB359" s="7"/>
      <c r="BC359" s="7"/>
      <c r="BD359" s="7"/>
      <c r="BE359" s="7"/>
      <c r="BF359" s="7"/>
      <c r="BG359" s="7"/>
    </row>
    <row r="360" customHeight="1" spans="1:59">
      <c r="A360" s="9" t="str">
        <f>IF(ActiveDatabase=Standby,Secondary!A360,Primary!A360)</f>
        <v>Hurston 02</v>
      </c>
      <c r="B360" s="5" t="str">
        <f>IF(ActiveDatabase=Standby,Secondary!B360,Primary!B360)</f>
        <v>Hurston 03</v>
      </c>
      <c r="C360" s="5" t="str">
        <f>IF(ActiveDatabase=Standby,Secondary!C360,Primary!C360)</f>
        <v>Hurston 111</v>
      </c>
      <c r="D360" s="5" t="str">
        <f>IF(ActiveDatabase=Standby,Secondary!D360,Primary!D360)</f>
        <v>Everus Harbor</v>
      </c>
      <c r="E360" s="6" t="str">
        <f>IF(ActiveDatabase=Standby,Secondary!E360,Primary!E360)</f>
        <v>Everus</v>
      </c>
      <c r="F360" s="10">
        <f>IF(ActiveDatabase=Standby,Secondary!F360,Primary!F360)</f>
        <v>-507.7423125</v>
      </c>
      <c r="G360" s="10">
        <f>IF(ActiveDatabase=Standby,Secondary!G360,Primary!G360)</f>
        <v>-903.4644375</v>
      </c>
      <c r="H360" s="10">
        <f>IF(ActiveDatabase=Standby,Secondary!H360,Primary!H360)</f>
        <v>496.4890625</v>
      </c>
      <c r="I360" s="13">
        <f>IF(ActiveDatabase=Standby,Secondary!I360,Primary!I360)</f>
        <v>0</v>
      </c>
      <c r="J360" s="13">
        <f>IF(ActiveDatabase=Standby,Secondary!J360,Primary!J360)</f>
        <v>0</v>
      </c>
      <c r="K360" s="13">
        <f>IF(ActiveDatabase=Standby,Secondary!K360,Primary!K360)</f>
        <v>0</v>
      </c>
      <c r="L360" s="13">
        <f>IF(ActiveDatabase=Standby,Secondary!L360,Primary!L360)</f>
        <v>0</v>
      </c>
      <c r="M360" s="7" t="b">
        <f>IF(ActiveDatabase=Standby,Secondary!M360,Primary!M360)</f>
        <v>1</v>
      </c>
      <c r="N360" s="10">
        <f>IF(ActiveDatabase=Standby,Secondary!N360,Primary!N360)</f>
        <v>0</v>
      </c>
      <c r="O360" s="10">
        <f>IF(ActiveDatabase=Standby,Secondary!O360,Primary!O360)</f>
        <v>0</v>
      </c>
      <c r="P360" s="10">
        <f>IF(ActiveDatabase=Standby,Secondary!P360,Primary!P360)</f>
        <v>0</v>
      </c>
      <c r="Q360" s="6">
        <f>IF(ActiveDatabase=Standby,Secondary!Q360,Primary!Q360)</f>
        <v>0</v>
      </c>
      <c r="R360" s="18">
        <f>IF(ActiveDatabase=Standby,Secondary!R360,Primary!R360)</f>
        <v>0</v>
      </c>
      <c r="S360" s="19">
        <f>IF(ActiveDatabase=Standby,Secondary!S360,Primary!S360)</f>
        <v>0</v>
      </c>
      <c r="T360" s="10">
        <f>IF(ActiveDatabase=Standby,Secondary!T360,Primary!T360)</f>
        <v>0</v>
      </c>
      <c r="U360" s="10">
        <f>IF(ActiveDatabase=Standby,Secondary!U360,Primary!U360)</f>
        <v>0</v>
      </c>
      <c r="V360" s="10">
        <f>IF(ActiveDatabase=Standby,Secondary!V360,Primary!V360)</f>
        <v>0</v>
      </c>
      <c r="W360" s="6">
        <f>IF(ActiveDatabase=Standby,Secondary!W360,Primary!W360)</f>
        <v>0</v>
      </c>
      <c r="X360" s="6">
        <f>IF(ActiveDatabase=Standby,Secondary!X360,Primary!X360)</f>
        <v>0</v>
      </c>
      <c r="Y360" s="12">
        <f>IF(ActiveDatabase=Standby,Secondary!Y360,Primary!Y360)</f>
        <v>0</v>
      </c>
      <c r="Z360" s="12">
        <f>IF(ActiveDatabase=Standby,Secondary!Z360,Primary!Z360)</f>
        <v>0</v>
      </c>
      <c r="AA360" s="7">
        <f>IF(ActiveDatabase=Standby,Secondary!AA360,Primary!AA360)</f>
        <v>0</v>
      </c>
      <c r="AB360" s="12"/>
      <c r="AC360" s="6"/>
      <c r="AD360" s="6"/>
      <c r="AE360" s="7"/>
      <c r="AF360" s="7"/>
      <c r="AG360" s="7"/>
      <c r="AH360" s="7"/>
      <c r="AI360" s="7"/>
      <c r="AJ360" s="7"/>
      <c r="AK360" s="7"/>
      <c r="AL360" s="7"/>
      <c r="AM360" s="7"/>
      <c r="AN360" s="7"/>
      <c r="AO360" s="6"/>
      <c r="AP360" s="7"/>
      <c r="AQ360" s="7"/>
      <c r="AR360" s="6"/>
      <c r="AS360" s="7"/>
      <c r="AT360" s="7"/>
      <c r="AU360" s="7"/>
      <c r="AV360" s="7"/>
      <c r="AW360" s="7"/>
      <c r="AX360" s="7"/>
      <c r="AY360" s="7"/>
      <c r="AZ360" s="7"/>
      <c r="BA360" s="7"/>
      <c r="BB360" s="7"/>
      <c r="BC360" s="7"/>
      <c r="BD360" s="7"/>
      <c r="BE360" s="7"/>
      <c r="BF360" s="7"/>
      <c r="BG360" s="7"/>
    </row>
    <row r="361" customHeight="1" spans="1:59">
      <c r="A361" s="9" t="str">
        <f>IF(ActiveDatabase=Standby,Secondary!A361,Primary!A361)</f>
        <v>Hurston</v>
      </c>
      <c r="B361" s="5" t="str">
        <f>IF(ActiveDatabase=Standby,Secondary!B361,Primary!B361)</f>
        <v>Hurston 05</v>
      </c>
      <c r="C361" s="5">
        <f>IF(ActiveDatabase=Standby,Secondary!C361,Primary!C361)</f>
        <v>0</v>
      </c>
      <c r="D361" s="5" t="str">
        <f>IF(ActiveDatabase=Standby,Secondary!D361,Primary!D361)</f>
        <v>Trading Terminals</v>
      </c>
      <c r="E361" s="6">
        <f>IF(ActiveDatabase=Standby,Secondary!E361,Primary!E361)</f>
        <v>0</v>
      </c>
      <c r="F361" s="10">
        <f>IF(ActiveDatabase=Standby,Secondary!F361,Primary!F361)</f>
        <v>0</v>
      </c>
      <c r="G361" s="10">
        <f>IF(ActiveDatabase=Standby,Secondary!G361,Primary!G361)</f>
        <v>0</v>
      </c>
      <c r="H361" s="10">
        <f>IF(ActiveDatabase=Standby,Secondary!H361,Primary!H361)</f>
        <v>0</v>
      </c>
      <c r="I361" s="13">
        <f>IF(ActiveDatabase=Standby,Secondary!I361,Primary!I361)</f>
        <v>0</v>
      </c>
      <c r="J361" s="13">
        <f>IF(ActiveDatabase=Standby,Secondary!J361,Primary!J361)</f>
        <v>0</v>
      </c>
      <c r="K361" s="13">
        <f>IF(ActiveDatabase=Standby,Secondary!K361,Primary!K361)</f>
        <v>0</v>
      </c>
      <c r="L361" s="13">
        <f>IF(ActiveDatabase=Standby,Secondary!L361,Primary!L361)</f>
        <v>0</v>
      </c>
      <c r="M361" s="7">
        <f>IF(ActiveDatabase=Standby,Secondary!M361,Primary!M361)</f>
        <v>0</v>
      </c>
      <c r="N361" s="10">
        <f>IF(ActiveDatabase=Standby,Secondary!N361,Primary!N361)</f>
        <v>0</v>
      </c>
      <c r="O361" s="10">
        <f>IF(ActiveDatabase=Standby,Secondary!O361,Primary!O361)</f>
        <v>0</v>
      </c>
      <c r="P361" s="10">
        <f>IF(ActiveDatabase=Standby,Secondary!P361,Primary!P361)</f>
        <v>0</v>
      </c>
      <c r="Q361" s="6">
        <f>IF(ActiveDatabase=Standby,Secondary!Q361,Primary!Q361)</f>
        <v>0</v>
      </c>
      <c r="R361" s="18">
        <f>IF(ActiveDatabase=Standby,Secondary!R361,Primary!R361)</f>
        <v>0</v>
      </c>
      <c r="S361" s="19">
        <f>IF(ActiveDatabase=Standby,Secondary!S361,Primary!S361)</f>
        <v>0</v>
      </c>
      <c r="T361" s="10">
        <f>IF(ActiveDatabase=Standby,Secondary!T361,Primary!T361)</f>
        <v>0</v>
      </c>
      <c r="U361" s="10">
        <f>IF(ActiveDatabase=Standby,Secondary!U361,Primary!U361)</f>
        <v>0</v>
      </c>
      <c r="V361" s="10">
        <f>IF(ActiveDatabase=Standby,Secondary!V361,Primary!V361)</f>
        <v>0</v>
      </c>
      <c r="W361" s="6">
        <f>IF(ActiveDatabase=Standby,Secondary!W361,Primary!W361)</f>
        <v>0</v>
      </c>
      <c r="X361" s="6">
        <f>IF(ActiveDatabase=Standby,Secondary!X361,Primary!X361)</f>
        <v>0</v>
      </c>
      <c r="Y361" s="12">
        <f>IF(ActiveDatabase=Standby,Secondary!Y361,Primary!Y361)</f>
        <v>0</v>
      </c>
      <c r="Z361" s="12">
        <f>IF(ActiveDatabase=Standby,Secondary!Z361,Primary!Z361)</f>
        <v>0</v>
      </c>
      <c r="AA361" s="7">
        <f>IF(ActiveDatabase=Standby,Secondary!AA361,Primary!AA361)</f>
        <v>0</v>
      </c>
      <c r="AB361" s="12"/>
      <c r="AC361" s="6"/>
      <c r="AD361" s="6"/>
      <c r="AE361" s="7"/>
      <c r="AF361" s="7"/>
      <c r="AG361" s="7"/>
      <c r="AH361" s="7"/>
      <c r="AI361" s="7"/>
      <c r="AJ361" s="7"/>
      <c r="AK361" s="7"/>
      <c r="AL361" s="7"/>
      <c r="AM361" s="7"/>
      <c r="AN361" s="7"/>
      <c r="AO361" s="6"/>
      <c r="AP361" s="7"/>
      <c r="AQ361" s="7"/>
      <c r="AR361" s="6"/>
      <c r="AS361" s="7"/>
      <c r="AT361" s="7"/>
      <c r="AU361" s="7"/>
      <c r="AV361" s="7"/>
      <c r="AW361" s="7"/>
      <c r="AX361" s="7"/>
      <c r="AY361" s="7"/>
      <c r="AZ361" s="7"/>
      <c r="BA361" s="7"/>
      <c r="BB361" s="7"/>
      <c r="BC361" s="7"/>
      <c r="BD361" s="7"/>
      <c r="BE361" s="7"/>
      <c r="BF361" s="7"/>
      <c r="BG361" s="7"/>
    </row>
    <row r="362" customHeight="1" spans="1:59">
      <c r="A362" s="9" t="str">
        <f>IF(ActiveDatabase=Standby,Secondary!A362,Primary!A362)</f>
        <v>Hurston 03</v>
      </c>
      <c r="B362" s="5" t="str">
        <f>IF(ActiveDatabase=Standby,Secondary!B362,Primary!B362)</f>
        <v>Hurston 06</v>
      </c>
      <c r="C362" s="5" t="str">
        <f>IF(ActiveDatabase=Standby,Secondary!C362,Primary!C362)</f>
        <v>Hurston 103</v>
      </c>
      <c r="D362" s="5" t="str">
        <f>IF(ActiveDatabase=Standby,Secondary!D362,Primary!D362)</f>
        <v>HDMS Edmond (PB)</v>
      </c>
      <c r="E362" s="6" t="str">
        <f>IF(ActiveDatabase=Standby,Secondary!E362,Primary!E362)</f>
        <v>Edmond</v>
      </c>
      <c r="F362" s="10">
        <f>IF(ActiveDatabase=Standby,Secondary!F362,Primary!F362)</f>
        <v>-284.480126417325</v>
      </c>
      <c r="G362" s="10">
        <f>IF(ActiveDatabase=Standby,Secondary!G362,Primary!G362)</f>
        <v>-730.502066139479</v>
      </c>
      <c r="H362" s="10">
        <f>IF(ActiveDatabase=Standby,Secondary!H362,Primary!H362)</f>
        <v>620.924440593545</v>
      </c>
      <c r="I362" s="13">
        <f>IF(ActiveDatabase=Standby,Secondary!I362,Primary!I362)</f>
        <v>0</v>
      </c>
      <c r="J362" s="13">
        <f>IF(ActiveDatabase=Standby,Secondary!J362,Primary!J362)</f>
        <v>0</v>
      </c>
      <c r="K362" s="13">
        <f>IF(ActiveDatabase=Standby,Secondary!K362,Primary!K362)</f>
        <v>0</v>
      </c>
      <c r="L362" s="13">
        <f>IF(ActiveDatabase=Standby,Secondary!L362,Primary!L362)</f>
        <v>0</v>
      </c>
      <c r="M362" s="7" t="b">
        <f>IF(ActiveDatabase=Standby,Secondary!M362,Primary!M362)</f>
        <v>1</v>
      </c>
      <c r="N362" s="10">
        <f>IF(ActiveDatabase=Standby,Secondary!N362,Primary!N362)</f>
        <v>0</v>
      </c>
      <c r="O362" s="10">
        <f>IF(ActiveDatabase=Standby,Secondary!O362,Primary!O362)</f>
        <v>0</v>
      </c>
      <c r="P362" s="10">
        <f>IF(ActiveDatabase=Standby,Secondary!P362,Primary!P362)</f>
        <v>0</v>
      </c>
      <c r="Q362" s="6">
        <f>IF(ActiveDatabase=Standby,Secondary!Q362,Primary!Q362)</f>
        <v>0</v>
      </c>
      <c r="R362" s="18">
        <f>IF(ActiveDatabase=Standby,Secondary!R362,Primary!R362)</f>
        <v>0</v>
      </c>
      <c r="S362" s="19">
        <f>IF(ActiveDatabase=Standby,Secondary!S362,Primary!S362)</f>
        <v>0</v>
      </c>
      <c r="T362" s="10">
        <f>IF(ActiveDatabase=Standby,Secondary!T362,Primary!T362)</f>
        <v>0</v>
      </c>
      <c r="U362" s="10">
        <f>IF(ActiveDatabase=Standby,Secondary!U362,Primary!U362)</f>
        <v>0</v>
      </c>
      <c r="V362" s="10">
        <f>IF(ActiveDatabase=Standby,Secondary!V362,Primary!V362)</f>
        <v>0</v>
      </c>
      <c r="W362" s="6">
        <f>IF(ActiveDatabase=Standby,Secondary!W362,Primary!W362)</f>
        <v>0</v>
      </c>
      <c r="X362" s="6">
        <f>IF(ActiveDatabase=Standby,Secondary!X362,Primary!X362)</f>
        <v>0</v>
      </c>
      <c r="Y362" s="12">
        <f>IF(ActiveDatabase=Standby,Secondary!Y362,Primary!Y362)</f>
        <v>0</v>
      </c>
      <c r="Z362" s="12">
        <f>IF(ActiveDatabase=Standby,Secondary!Z362,Primary!Z362)</f>
        <v>0</v>
      </c>
      <c r="AA362" s="7">
        <f>IF(ActiveDatabase=Standby,Secondary!AA362,Primary!AA362)</f>
        <v>0</v>
      </c>
      <c r="AB362" s="12"/>
      <c r="AC362" s="6"/>
      <c r="AD362" s="6"/>
      <c r="AE362" s="7"/>
      <c r="AF362" s="7"/>
      <c r="AG362" s="7"/>
      <c r="AH362" s="7"/>
      <c r="AI362" s="7"/>
      <c r="AJ362" s="7"/>
      <c r="AK362" s="7"/>
      <c r="AL362" s="7"/>
      <c r="AM362" s="7"/>
      <c r="AN362" s="7"/>
      <c r="AO362" s="6"/>
      <c r="AP362" s="7"/>
      <c r="AQ362" s="7"/>
      <c r="AR362" s="6"/>
      <c r="AS362" s="7"/>
      <c r="AT362" s="7"/>
      <c r="AU362" s="7"/>
      <c r="AV362" s="7"/>
      <c r="AW362" s="7"/>
      <c r="AX362" s="7"/>
      <c r="AY362" s="7"/>
      <c r="AZ362" s="7"/>
      <c r="BA362" s="7"/>
      <c r="BB362" s="7"/>
      <c r="BC362" s="7"/>
      <c r="BD362" s="7"/>
      <c r="BE362" s="7"/>
      <c r="BF362" s="7"/>
      <c r="BG362" s="7"/>
    </row>
    <row r="363" customHeight="1" spans="1:59">
      <c r="A363" s="9" t="str">
        <f>IF(ActiveDatabase=Standby,Secondary!A363,Primary!A363)</f>
        <v>Hurston 04</v>
      </c>
      <c r="B363" s="5" t="str">
        <f>IF(ActiveDatabase=Standby,Secondary!B363,Primary!B363)</f>
        <v>Hurston 07</v>
      </c>
      <c r="C363" s="5" t="str">
        <f>IF(ActiveDatabase=Standby,Secondary!C363,Primary!C363)</f>
        <v>Hurston 72</v>
      </c>
      <c r="D363" s="5" t="str">
        <f>IF(ActiveDatabase=Standby,Secondary!D363,Primary!D363)</f>
        <v>HDMS Hadley (PB)</v>
      </c>
      <c r="E363" s="6" t="str">
        <f>IF(ActiveDatabase=Standby,Secondary!E363,Primary!E363)</f>
        <v>Hadley</v>
      </c>
      <c r="F363" s="10">
        <f>IF(ActiveDatabase=Standby,Secondary!F363,Primary!F363)</f>
        <v>626.16661770448</v>
      </c>
      <c r="G363" s="10">
        <f>IF(ActiveDatabase=Standby,Secondary!G363,Primary!G363)</f>
        <v>-583.971055696104</v>
      </c>
      <c r="H363" s="10">
        <f>IF(ActiveDatabase=Standby,Secondary!H363,Primary!H363)</f>
        <v>-518.485462709082</v>
      </c>
      <c r="I363" s="13">
        <f>IF(ActiveDatabase=Standby,Secondary!I363,Primary!I363)</f>
        <v>0</v>
      </c>
      <c r="J363" s="13">
        <f>IF(ActiveDatabase=Standby,Secondary!J363,Primary!J363)</f>
        <v>0</v>
      </c>
      <c r="K363" s="13">
        <f>IF(ActiveDatabase=Standby,Secondary!K363,Primary!K363)</f>
        <v>0</v>
      </c>
      <c r="L363" s="13">
        <f>IF(ActiveDatabase=Standby,Secondary!L363,Primary!L363)</f>
        <v>0</v>
      </c>
      <c r="M363" s="7" t="b">
        <f>IF(ActiveDatabase=Standby,Secondary!M363,Primary!M363)</f>
        <v>1</v>
      </c>
      <c r="N363" s="10">
        <f>IF(ActiveDatabase=Standby,Secondary!N363,Primary!N363)</f>
        <v>0</v>
      </c>
      <c r="O363" s="10">
        <f>IF(ActiveDatabase=Standby,Secondary!O363,Primary!O363)</f>
        <v>0</v>
      </c>
      <c r="P363" s="10">
        <f>IF(ActiveDatabase=Standby,Secondary!P363,Primary!P363)</f>
        <v>0</v>
      </c>
      <c r="Q363" s="6">
        <f>IF(ActiveDatabase=Standby,Secondary!Q363,Primary!Q363)</f>
        <v>0</v>
      </c>
      <c r="R363" s="18">
        <f>IF(ActiveDatabase=Standby,Secondary!R363,Primary!R363)</f>
        <v>0</v>
      </c>
      <c r="S363" s="19">
        <f>IF(ActiveDatabase=Standby,Secondary!S363,Primary!S363)</f>
        <v>0</v>
      </c>
      <c r="T363" s="10">
        <f>IF(ActiveDatabase=Standby,Secondary!T363,Primary!T363)</f>
        <v>0</v>
      </c>
      <c r="U363" s="10">
        <f>IF(ActiveDatabase=Standby,Secondary!U363,Primary!U363)</f>
        <v>0</v>
      </c>
      <c r="V363" s="10">
        <f>IF(ActiveDatabase=Standby,Secondary!V363,Primary!V363)</f>
        <v>0</v>
      </c>
      <c r="W363" s="6">
        <f>IF(ActiveDatabase=Standby,Secondary!W363,Primary!W363)</f>
        <v>0</v>
      </c>
      <c r="X363" s="6">
        <f>IF(ActiveDatabase=Standby,Secondary!X363,Primary!X363)</f>
        <v>0</v>
      </c>
      <c r="Y363" s="12">
        <f>IF(ActiveDatabase=Standby,Secondary!Y363,Primary!Y363)</f>
        <v>0</v>
      </c>
      <c r="Z363" s="12">
        <f>IF(ActiveDatabase=Standby,Secondary!Z363,Primary!Z363)</f>
        <v>0</v>
      </c>
      <c r="AA363" s="7">
        <f>IF(ActiveDatabase=Standby,Secondary!AA363,Primary!AA363)</f>
        <v>0</v>
      </c>
      <c r="AB363" s="12"/>
      <c r="AC363" s="6"/>
      <c r="AD363" s="6"/>
      <c r="AE363" s="7"/>
      <c r="AF363" s="7"/>
      <c r="AG363" s="7"/>
      <c r="AH363" s="7"/>
      <c r="AI363" s="7"/>
      <c r="AJ363" s="7"/>
      <c r="AK363" s="7"/>
      <c r="AL363" s="7"/>
      <c r="AM363" s="7"/>
      <c r="AN363" s="7"/>
      <c r="AO363" s="6"/>
      <c r="AP363" s="7"/>
      <c r="AQ363" s="7"/>
      <c r="AR363" s="6"/>
      <c r="AS363" s="7"/>
      <c r="AT363" s="7"/>
      <c r="AU363" s="7"/>
      <c r="AV363" s="7"/>
      <c r="AW363" s="7"/>
      <c r="AX363" s="7"/>
      <c r="AY363" s="7"/>
      <c r="AZ363" s="7"/>
      <c r="BA363" s="7"/>
      <c r="BB363" s="7"/>
      <c r="BC363" s="7"/>
      <c r="BD363" s="7"/>
      <c r="BE363" s="7"/>
      <c r="BF363" s="7"/>
      <c r="BG363" s="7"/>
    </row>
    <row r="364" customHeight="1" spans="1:59">
      <c r="A364" s="9" t="str">
        <f>IF(ActiveDatabase=Standby,Secondary!A364,Primary!A364)</f>
        <v>Hurston 05</v>
      </c>
      <c r="B364" s="5" t="str">
        <f>IF(ActiveDatabase=Standby,Secondary!B364,Primary!B364)</f>
        <v>Hurston 08</v>
      </c>
      <c r="C364" s="5" t="str">
        <f>IF(ActiveDatabase=Standby,Secondary!C364,Primary!C364)</f>
        <v>Hurston 141</v>
      </c>
      <c r="D364" s="5" t="str">
        <f>IF(ActiveDatabase=Standby,Secondary!D364,Primary!D364)</f>
        <v>HDMS Oparei (PB)</v>
      </c>
      <c r="E364" s="6" t="str">
        <f>IF(ActiveDatabase=Standby,Secondary!E364,Primary!E364)</f>
        <v>Oparei</v>
      </c>
      <c r="F364" s="10">
        <f>IF(ActiveDatabase=Standby,Secondary!F364,Primary!F364)</f>
        <v>-556.12599022094</v>
      </c>
      <c r="G364" s="10">
        <f>IF(ActiveDatabase=Standby,Secondary!G364,Primary!G364)</f>
        <v>-72.590748723546</v>
      </c>
      <c r="H364" s="10">
        <f>IF(ActiveDatabase=Standby,Secondary!H364,Primary!H364)</f>
        <v>-828.070672938996</v>
      </c>
      <c r="I364" s="13">
        <f>IF(ActiveDatabase=Standby,Secondary!I364,Primary!I364)</f>
        <v>0</v>
      </c>
      <c r="J364" s="13">
        <f>IF(ActiveDatabase=Standby,Secondary!J364,Primary!J364)</f>
        <v>0</v>
      </c>
      <c r="K364" s="13">
        <f>IF(ActiveDatabase=Standby,Secondary!K364,Primary!K364)</f>
        <v>0</v>
      </c>
      <c r="L364" s="13">
        <f>IF(ActiveDatabase=Standby,Secondary!L364,Primary!L364)</f>
        <v>0</v>
      </c>
      <c r="M364" s="7" t="b">
        <f>IF(ActiveDatabase=Standby,Secondary!M364,Primary!M364)</f>
        <v>1</v>
      </c>
      <c r="N364" s="10">
        <f>IF(ActiveDatabase=Standby,Secondary!N364,Primary!N364)</f>
        <v>0</v>
      </c>
      <c r="O364" s="10">
        <f>IF(ActiveDatabase=Standby,Secondary!O364,Primary!O364)</f>
        <v>0</v>
      </c>
      <c r="P364" s="10">
        <f>IF(ActiveDatabase=Standby,Secondary!P364,Primary!P364)</f>
        <v>0</v>
      </c>
      <c r="Q364" s="6">
        <f>IF(ActiveDatabase=Standby,Secondary!Q364,Primary!Q364)</f>
        <v>0</v>
      </c>
      <c r="R364" s="18">
        <f>IF(ActiveDatabase=Standby,Secondary!R364,Primary!R364)</f>
        <v>0</v>
      </c>
      <c r="S364" s="19">
        <f>IF(ActiveDatabase=Standby,Secondary!S364,Primary!S364)</f>
        <v>0</v>
      </c>
      <c r="T364" s="10">
        <f>IF(ActiveDatabase=Standby,Secondary!T364,Primary!T364)</f>
        <v>0</v>
      </c>
      <c r="U364" s="10">
        <f>IF(ActiveDatabase=Standby,Secondary!U364,Primary!U364)</f>
        <v>0</v>
      </c>
      <c r="V364" s="10">
        <f>IF(ActiveDatabase=Standby,Secondary!V364,Primary!V364)</f>
        <v>0</v>
      </c>
      <c r="W364" s="6">
        <f>IF(ActiveDatabase=Standby,Secondary!W364,Primary!W364)</f>
        <v>0</v>
      </c>
      <c r="X364" s="6">
        <f>IF(ActiveDatabase=Standby,Secondary!X364,Primary!X364)</f>
        <v>0</v>
      </c>
      <c r="Y364" s="12">
        <f>IF(ActiveDatabase=Standby,Secondary!Y364,Primary!Y364)</f>
        <v>0</v>
      </c>
      <c r="Z364" s="12">
        <f>IF(ActiveDatabase=Standby,Secondary!Z364,Primary!Z364)</f>
        <v>0</v>
      </c>
      <c r="AA364" s="7">
        <f>IF(ActiveDatabase=Standby,Secondary!AA364,Primary!AA364)</f>
        <v>0</v>
      </c>
      <c r="AB364" s="12"/>
      <c r="AC364" s="6"/>
      <c r="AD364" s="6"/>
      <c r="AE364" s="7"/>
      <c r="AF364" s="7"/>
      <c r="AG364" s="7"/>
      <c r="AH364" s="7"/>
      <c r="AI364" s="7"/>
      <c r="AJ364" s="7"/>
      <c r="AK364" s="7"/>
      <c r="AL364" s="7"/>
      <c r="AM364" s="7"/>
      <c r="AN364" s="7"/>
      <c r="AO364" s="6"/>
      <c r="AP364" s="7"/>
      <c r="AQ364" s="7"/>
      <c r="AR364" s="6"/>
      <c r="AS364" s="7"/>
      <c r="AT364" s="7"/>
      <c r="AU364" s="7"/>
      <c r="AV364" s="7"/>
      <c r="AW364" s="7"/>
      <c r="AX364" s="7"/>
      <c r="AY364" s="7"/>
      <c r="AZ364" s="7"/>
      <c r="BA364" s="7"/>
      <c r="BB364" s="7"/>
      <c r="BC364" s="7"/>
      <c r="BD364" s="7"/>
      <c r="BE364" s="7"/>
      <c r="BF364" s="7"/>
      <c r="BG364" s="7"/>
    </row>
    <row r="365" customHeight="1" spans="1:59">
      <c r="A365" s="9" t="str">
        <f>IF(ActiveDatabase=Standby,Secondary!A365,Primary!A365)</f>
        <v>Hurston 06</v>
      </c>
      <c r="B365" s="5" t="str">
        <f>IF(ActiveDatabase=Standby,Secondary!B365,Primary!B365)</f>
        <v>Hurston 09</v>
      </c>
      <c r="C365" s="5" t="str">
        <f>IF(ActiveDatabase=Standby,Secondary!C365,Primary!C365)</f>
        <v>Hurston 57</v>
      </c>
      <c r="D365" s="5" t="str">
        <f>IF(ActiveDatabase=Standby,Secondary!D365,Primary!D365)</f>
        <v>HDMS Pinewood (PB)</v>
      </c>
      <c r="E365" s="6" t="str">
        <f>IF(ActiveDatabase=Standby,Secondary!E365,Primary!E365)</f>
        <v>Pinewood</v>
      </c>
      <c r="F365" s="10">
        <f>IF(ActiveDatabase=Standby,Secondary!F365,Primary!F365)</f>
        <v>985.563995772686</v>
      </c>
      <c r="G365" s="10">
        <f>IF(ActiveDatabase=Standby,Secondary!G365,Primary!G365)</f>
        <v>90.029273051344</v>
      </c>
      <c r="H365" s="10">
        <f>IF(ActiveDatabase=Standby,Secondary!H365,Primary!H365)</f>
        <v>149.896296232059</v>
      </c>
      <c r="I365" s="13">
        <f>IF(ActiveDatabase=Standby,Secondary!I365,Primary!I365)</f>
        <v>0</v>
      </c>
      <c r="J365" s="13">
        <f>IF(ActiveDatabase=Standby,Secondary!J365,Primary!J365)</f>
        <v>0</v>
      </c>
      <c r="K365" s="13">
        <f>IF(ActiveDatabase=Standby,Secondary!K365,Primary!K365)</f>
        <v>0</v>
      </c>
      <c r="L365" s="13">
        <f>IF(ActiveDatabase=Standby,Secondary!L365,Primary!L365)</f>
        <v>0</v>
      </c>
      <c r="M365" s="7" t="b">
        <f>IF(ActiveDatabase=Standby,Secondary!M365,Primary!M365)</f>
        <v>1</v>
      </c>
      <c r="N365" s="10">
        <f>IF(ActiveDatabase=Standby,Secondary!N365,Primary!N365)</f>
        <v>0</v>
      </c>
      <c r="O365" s="10">
        <f>IF(ActiveDatabase=Standby,Secondary!O365,Primary!O365)</f>
        <v>0</v>
      </c>
      <c r="P365" s="10">
        <f>IF(ActiveDatabase=Standby,Secondary!P365,Primary!P365)</f>
        <v>0</v>
      </c>
      <c r="Q365" s="6">
        <f>IF(ActiveDatabase=Standby,Secondary!Q365,Primary!Q365)</f>
        <v>0</v>
      </c>
      <c r="R365" s="18">
        <f>IF(ActiveDatabase=Standby,Secondary!R365,Primary!R365)</f>
        <v>0</v>
      </c>
      <c r="S365" s="19">
        <f>IF(ActiveDatabase=Standby,Secondary!S365,Primary!S365)</f>
        <v>0</v>
      </c>
      <c r="T365" s="10">
        <f>IF(ActiveDatabase=Standby,Secondary!T365,Primary!T365)</f>
        <v>0</v>
      </c>
      <c r="U365" s="10">
        <f>IF(ActiveDatabase=Standby,Secondary!U365,Primary!U365)</f>
        <v>0</v>
      </c>
      <c r="V365" s="10">
        <f>IF(ActiveDatabase=Standby,Secondary!V365,Primary!V365)</f>
        <v>0</v>
      </c>
      <c r="W365" s="6">
        <f>IF(ActiveDatabase=Standby,Secondary!W365,Primary!W365)</f>
        <v>0</v>
      </c>
      <c r="X365" s="6">
        <f>IF(ActiveDatabase=Standby,Secondary!X365,Primary!X365)</f>
        <v>0</v>
      </c>
      <c r="Y365" s="12">
        <f>IF(ActiveDatabase=Standby,Secondary!Y365,Primary!Y365)</f>
        <v>0</v>
      </c>
      <c r="Z365" s="12">
        <f>IF(ActiveDatabase=Standby,Secondary!Z365,Primary!Z365)</f>
        <v>0</v>
      </c>
      <c r="AA365" s="7">
        <f>IF(ActiveDatabase=Standby,Secondary!AA365,Primary!AA365)</f>
        <v>0</v>
      </c>
      <c r="AB365" s="12"/>
      <c r="AC365" s="6"/>
      <c r="AD365" s="6"/>
      <c r="AE365" s="7"/>
      <c r="AF365" s="7"/>
      <c r="AG365" s="7"/>
      <c r="AH365" s="7"/>
      <c r="AI365" s="7"/>
      <c r="AJ365" s="7"/>
      <c r="AK365" s="7"/>
      <c r="AL365" s="7"/>
      <c r="AM365" s="7"/>
      <c r="AN365" s="7"/>
      <c r="AO365" s="6"/>
      <c r="AP365" s="7"/>
      <c r="AQ365" s="7"/>
      <c r="AR365" s="6"/>
      <c r="AS365" s="7"/>
      <c r="AT365" s="7"/>
      <c r="AU365" s="7"/>
      <c r="AV365" s="7"/>
      <c r="AW365" s="7"/>
      <c r="AX365" s="7"/>
      <c r="AY365" s="7"/>
      <c r="AZ365" s="7"/>
      <c r="BA365" s="7"/>
      <c r="BB365" s="7"/>
      <c r="BC365" s="7"/>
      <c r="BD365" s="7"/>
      <c r="BE365" s="7"/>
      <c r="BF365" s="7"/>
      <c r="BG365" s="7"/>
    </row>
    <row r="366" customHeight="1" spans="1:59">
      <c r="A366" s="9" t="str">
        <f>IF(ActiveDatabase=Standby,Secondary!A366,Primary!A366)</f>
        <v>Hurston 07</v>
      </c>
      <c r="B366" s="5" t="str">
        <f>IF(ActiveDatabase=Standby,Secondary!B366,Primary!B366)</f>
        <v>Hurston 10</v>
      </c>
      <c r="C366" s="5" t="str">
        <f>IF(ActiveDatabase=Standby,Secondary!C366,Primary!C366)</f>
        <v>Hurston 03</v>
      </c>
      <c r="D366" s="5" t="str">
        <f>IF(ActiveDatabase=Standby,Secondary!D366,Primary!D366)</f>
        <v>HDMS Stanhope (PB)</v>
      </c>
      <c r="E366" s="6" t="str">
        <f>IF(ActiveDatabase=Standby,Secondary!E366,Primary!E366)</f>
        <v>Stanhope</v>
      </c>
      <c r="F366" s="10">
        <f>IF(ActiveDatabase=Standby,Secondary!F366,Primary!F366)</f>
        <v>-648.608077207036</v>
      </c>
      <c r="G366" s="10">
        <f>IF(ActiveDatabase=Standby,Secondary!G366,Primary!G366)</f>
        <v>198.312645121692</v>
      </c>
      <c r="H366" s="10">
        <f>IF(ActiveDatabase=Standby,Secondary!H366,Primary!H366)</f>
        <v>735.120829168693</v>
      </c>
      <c r="I366" s="13">
        <f>IF(ActiveDatabase=Standby,Secondary!I366,Primary!I366)</f>
        <v>0</v>
      </c>
      <c r="J366" s="13">
        <f>IF(ActiveDatabase=Standby,Secondary!J366,Primary!J366)</f>
        <v>0</v>
      </c>
      <c r="K366" s="13">
        <f>IF(ActiveDatabase=Standby,Secondary!K366,Primary!K366)</f>
        <v>0</v>
      </c>
      <c r="L366" s="13">
        <f>IF(ActiveDatabase=Standby,Secondary!L366,Primary!L366)</f>
        <v>0</v>
      </c>
      <c r="M366" s="7" t="b">
        <f>IF(ActiveDatabase=Standby,Secondary!M366,Primary!M366)</f>
        <v>1</v>
      </c>
      <c r="N366" s="10">
        <f>IF(ActiveDatabase=Standby,Secondary!N366,Primary!N366)</f>
        <v>0</v>
      </c>
      <c r="O366" s="10">
        <f>IF(ActiveDatabase=Standby,Secondary!O366,Primary!O366)</f>
        <v>0</v>
      </c>
      <c r="P366" s="10">
        <f>IF(ActiveDatabase=Standby,Secondary!P366,Primary!P366)</f>
        <v>0</v>
      </c>
      <c r="Q366" s="6">
        <f>IF(ActiveDatabase=Standby,Secondary!Q366,Primary!Q366)</f>
        <v>0</v>
      </c>
      <c r="R366" s="18">
        <f>IF(ActiveDatabase=Standby,Secondary!R366,Primary!R366)</f>
        <v>0</v>
      </c>
      <c r="S366" s="19">
        <f>IF(ActiveDatabase=Standby,Secondary!S366,Primary!S366)</f>
        <v>0</v>
      </c>
      <c r="T366" s="10">
        <f>IF(ActiveDatabase=Standby,Secondary!T366,Primary!T366)</f>
        <v>0</v>
      </c>
      <c r="U366" s="10">
        <f>IF(ActiveDatabase=Standby,Secondary!U366,Primary!U366)</f>
        <v>0</v>
      </c>
      <c r="V366" s="10">
        <f>IF(ActiveDatabase=Standby,Secondary!V366,Primary!V366)</f>
        <v>0</v>
      </c>
      <c r="W366" s="6">
        <f>IF(ActiveDatabase=Standby,Secondary!W366,Primary!W366)</f>
        <v>0</v>
      </c>
      <c r="X366" s="6">
        <f>IF(ActiveDatabase=Standby,Secondary!X366,Primary!X366)</f>
        <v>0</v>
      </c>
      <c r="Y366" s="12">
        <f>IF(ActiveDatabase=Standby,Secondary!Y366,Primary!Y366)</f>
        <v>0</v>
      </c>
      <c r="Z366" s="12">
        <f>IF(ActiveDatabase=Standby,Secondary!Z366,Primary!Z366)</f>
        <v>0</v>
      </c>
      <c r="AA366" s="7">
        <f>IF(ActiveDatabase=Standby,Secondary!AA366,Primary!AA366)</f>
        <v>0</v>
      </c>
      <c r="AB366" s="12"/>
      <c r="AC366" s="6"/>
      <c r="AD366" s="6"/>
      <c r="AE366" s="7"/>
      <c r="AF366" s="7"/>
      <c r="AG366" s="7"/>
      <c r="AH366" s="7"/>
      <c r="AI366" s="7"/>
      <c r="AJ366" s="7"/>
      <c r="AK366" s="7"/>
      <c r="AL366" s="7"/>
      <c r="AM366" s="7"/>
      <c r="AN366" s="7"/>
      <c r="AO366" s="6"/>
      <c r="AP366" s="7"/>
      <c r="AQ366" s="7"/>
      <c r="AR366" s="6"/>
      <c r="AS366" s="7"/>
      <c r="AT366" s="7"/>
      <c r="AU366" s="7"/>
      <c r="AV366" s="7"/>
      <c r="AW366" s="7"/>
      <c r="AX366" s="7"/>
      <c r="AY366" s="7"/>
      <c r="AZ366" s="7"/>
      <c r="BA366" s="7"/>
      <c r="BB366" s="7"/>
      <c r="BC366" s="7"/>
      <c r="BD366" s="7"/>
      <c r="BE366" s="7"/>
      <c r="BF366" s="7"/>
      <c r="BG366" s="7"/>
    </row>
    <row r="367" customHeight="1" spans="1:59">
      <c r="A367" s="9" t="str">
        <f>IF(ActiveDatabase=Standby,Secondary!A367,Primary!A367)</f>
        <v>Hurston 08</v>
      </c>
      <c r="B367" s="5" t="str">
        <f>IF(ActiveDatabase=Standby,Secondary!B367,Primary!B367)</f>
        <v>Hurston 11</v>
      </c>
      <c r="C367" s="5" t="str">
        <f>IF(ActiveDatabase=Standby,Secondary!C367,Primary!C367)</f>
        <v>Hurston 46</v>
      </c>
      <c r="D367" s="5" t="str">
        <f>IF(ActiveDatabase=Standby,Secondary!D367,Primary!D367)</f>
        <v>HDMS Thedus (PB)</v>
      </c>
      <c r="E367" s="6" t="str">
        <f>IF(ActiveDatabase=Standby,Secondary!E367,Primary!E367)</f>
        <v>Thedus</v>
      </c>
      <c r="F367" s="10">
        <f>IF(ActiveDatabase=Standby,Secondary!F367,Primary!F367)</f>
        <v>443.321550843625</v>
      </c>
      <c r="G367" s="10">
        <f>IF(ActiveDatabase=Standby,Secondary!G367,Primary!G367)</f>
        <v>891.524914058892</v>
      </c>
      <c r="H367" s="10">
        <f>IF(ActiveDatabase=Standby,Secondary!H367,Primary!H367)</f>
        <v>101.509036393495</v>
      </c>
      <c r="I367" s="13">
        <f>IF(ActiveDatabase=Standby,Secondary!I367,Primary!I367)</f>
        <v>0</v>
      </c>
      <c r="J367" s="13">
        <f>IF(ActiveDatabase=Standby,Secondary!J367,Primary!J367)</f>
        <v>0</v>
      </c>
      <c r="K367" s="13">
        <f>IF(ActiveDatabase=Standby,Secondary!K367,Primary!K367)</f>
        <v>0</v>
      </c>
      <c r="L367" s="13">
        <f>IF(ActiveDatabase=Standby,Secondary!L367,Primary!L367)</f>
        <v>0</v>
      </c>
      <c r="M367" s="7" t="b">
        <f>IF(ActiveDatabase=Standby,Secondary!M367,Primary!M367)</f>
        <v>1</v>
      </c>
      <c r="N367" s="10">
        <f>IF(ActiveDatabase=Standby,Secondary!N367,Primary!N367)</f>
        <v>0</v>
      </c>
      <c r="O367" s="10">
        <f>IF(ActiveDatabase=Standby,Secondary!O367,Primary!O367)</f>
        <v>0</v>
      </c>
      <c r="P367" s="10">
        <f>IF(ActiveDatabase=Standby,Secondary!P367,Primary!P367)</f>
        <v>0</v>
      </c>
      <c r="Q367" s="6">
        <f>IF(ActiveDatabase=Standby,Secondary!Q367,Primary!Q367)</f>
        <v>0</v>
      </c>
      <c r="R367" s="18">
        <f>IF(ActiveDatabase=Standby,Secondary!R367,Primary!R367)</f>
        <v>0</v>
      </c>
      <c r="S367" s="19">
        <f>IF(ActiveDatabase=Standby,Secondary!S367,Primary!S367)</f>
        <v>0</v>
      </c>
      <c r="T367" s="10">
        <f>IF(ActiveDatabase=Standby,Secondary!T367,Primary!T367)</f>
        <v>0</v>
      </c>
      <c r="U367" s="10">
        <f>IF(ActiveDatabase=Standby,Secondary!U367,Primary!U367)</f>
        <v>0</v>
      </c>
      <c r="V367" s="10">
        <f>IF(ActiveDatabase=Standby,Secondary!V367,Primary!V367)</f>
        <v>0</v>
      </c>
      <c r="W367" s="6">
        <f>IF(ActiveDatabase=Standby,Secondary!W367,Primary!W367)</f>
        <v>0</v>
      </c>
      <c r="X367" s="6">
        <f>IF(ActiveDatabase=Standby,Secondary!X367,Primary!X367)</f>
        <v>0</v>
      </c>
      <c r="Y367" s="12">
        <f>IF(ActiveDatabase=Standby,Secondary!Y367,Primary!Y367)</f>
        <v>0</v>
      </c>
      <c r="Z367" s="12">
        <f>IF(ActiveDatabase=Standby,Secondary!Z367,Primary!Z367)</f>
        <v>0</v>
      </c>
      <c r="AA367" s="7">
        <f>IF(ActiveDatabase=Standby,Secondary!AA367,Primary!AA367)</f>
        <v>0</v>
      </c>
      <c r="AB367" s="12"/>
      <c r="AC367" s="6"/>
      <c r="AD367" s="6"/>
      <c r="AE367" s="7"/>
      <c r="AF367" s="7"/>
      <c r="AG367" s="7"/>
      <c r="AH367" s="7"/>
      <c r="AI367" s="7"/>
      <c r="AJ367" s="7"/>
      <c r="AK367" s="7"/>
      <c r="AL367" s="7"/>
      <c r="AM367" s="7"/>
      <c r="AN367" s="7"/>
      <c r="AO367" s="6"/>
      <c r="AP367" s="7"/>
      <c r="AQ367" s="7"/>
      <c r="AR367" s="6"/>
      <c r="AS367" s="7"/>
      <c r="AT367" s="7"/>
      <c r="AU367" s="7"/>
      <c r="AV367" s="7"/>
      <c r="AW367" s="7"/>
      <c r="AX367" s="7"/>
      <c r="AY367" s="7"/>
      <c r="AZ367" s="7"/>
      <c r="BA367" s="7"/>
      <c r="BB367" s="7"/>
      <c r="BC367" s="7"/>
      <c r="BD367" s="7"/>
      <c r="BE367" s="7"/>
      <c r="BF367" s="7"/>
      <c r="BG367" s="7"/>
    </row>
    <row r="368" customHeight="1" spans="1:59">
      <c r="A368" s="9" t="str">
        <f>IF(ActiveDatabase=Standby,Secondary!A368,Primary!A368)</f>
        <v>Hurston 09</v>
      </c>
      <c r="B368" s="5" t="str">
        <f>IF(ActiveDatabase=Standby,Secondary!B368,Primary!B368)</f>
        <v>Hurston 12</v>
      </c>
      <c r="C368" s="5" t="str">
        <f>IF(ActiveDatabase=Standby,Secondary!C368,Primary!C368)</f>
        <v>Hurston 91</v>
      </c>
      <c r="D368" s="5" t="str">
        <f>IF(ActiveDatabase=Standby,Secondary!D368,Primary!D368)</f>
        <v>Reclamation &amp; Disposal Orinth</v>
      </c>
      <c r="E368" s="6" t="str">
        <f>IF(ActiveDatabase=Standby,Secondary!E368,Primary!E368)</f>
        <v>R&amp;D Orinth</v>
      </c>
      <c r="F368" s="10">
        <f>IF(ActiveDatabase=Standby,Secondary!F368,Primary!F368)</f>
        <v>1.20276344799999</v>
      </c>
      <c r="G368" s="10">
        <f>IF(ActiveDatabase=Standby,Secondary!G368,Primary!G368)</f>
        <v>-794.237216740999</v>
      </c>
      <c r="H368" s="10">
        <f>IF(ActiveDatabase=Standby,Secondary!H368,Primary!H368)</f>
        <v>607.701139709</v>
      </c>
      <c r="I368" s="13">
        <f>IF(ActiveDatabase=Standby,Secondary!I368,Primary!I368)</f>
        <v>0</v>
      </c>
      <c r="J368" s="13">
        <f>IF(ActiveDatabase=Standby,Secondary!J368,Primary!J368)</f>
        <v>0</v>
      </c>
      <c r="K368" s="13">
        <f>IF(ActiveDatabase=Standby,Secondary!K368,Primary!K368)</f>
        <v>0</v>
      </c>
      <c r="L368" s="13">
        <f>IF(ActiveDatabase=Standby,Secondary!L368,Primary!L368)</f>
        <v>0</v>
      </c>
      <c r="M368" s="7" t="b">
        <f>IF(ActiveDatabase=Standby,Secondary!M368,Primary!M368)</f>
        <v>1</v>
      </c>
      <c r="N368" s="10">
        <f>IF(ActiveDatabase=Standby,Secondary!N368,Primary!N368)</f>
        <v>0</v>
      </c>
      <c r="O368" s="10">
        <f>IF(ActiveDatabase=Standby,Secondary!O368,Primary!O368)</f>
        <v>0</v>
      </c>
      <c r="P368" s="10">
        <f>IF(ActiveDatabase=Standby,Secondary!P368,Primary!P368)</f>
        <v>0</v>
      </c>
      <c r="Q368" s="6">
        <f>IF(ActiveDatabase=Standby,Secondary!Q368,Primary!Q368)</f>
        <v>0</v>
      </c>
      <c r="R368" s="18">
        <f>IF(ActiveDatabase=Standby,Secondary!R368,Primary!R368)</f>
        <v>0</v>
      </c>
      <c r="S368" s="19">
        <f>IF(ActiveDatabase=Standby,Secondary!S368,Primary!S368)</f>
        <v>0</v>
      </c>
      <c r="T368" s="10">
        <f>IF(ActiveDatabase=Standby,Secondary!T368,Primary!T368)</f>
        <v>0</v>
      </c>
      <c r="U368" s="10">
        <f>IF(ActiveDatabase=Standby,Secondary!U368,Primary!U368)</f>
        <v>0</v>
      </c>
      <c r="V368" s="10">
        <f>IF(ActiveDatabase=Standby,Secondary!V368,Primary!V368)</f>
        <v>0</v>
      </c>
      <c r="W368" s="6">
        <f>IF(ActiveDatabase=Standby,Secondary!W368,Primary!W368)</f>
        <v>0</v>
      </c>
      <c r="X368" s="6">
        <f>IF(ActiveDatabase=Standby,Secondary!X368,Primary!X368)</f>
        <v>0</v>
      </c>
      <c r="Y368" s="12">
        <f>IF(ActiveDatabase=Standby,Secondary!Y368,Primary!Y368)</f>
        <v>0</v>
      </c>
      <c r="Z368" s="12">
        <f>IF(ActiveDatabase=Standby,Secondary!Z368,Primary!Z368)</f>
        <v>0</v>
      </c>
      <c r="AA368" s="7">
        <f>IF(ActiveDatabase=Standby,Secondary!AA368,Primary!AA368)</f>
        <v>0</v>
      </c>
      <c r="AB368" s="12"/>
      <c r="AC368" s="6"/>
      <c r="AD368" s="6"/>
      <c r="AE368" s="7"/>
      <c r="AF368" s="7"/>
      <c r="AG368" s="7"/>
      <c r="AH368" s="7"/>
      <c r="AI368" s="7"/>
      <c r="AJ368" s="7"/>
      <c r="AK368" s="7"/>
      <c r="AL368" s="7"/>
      <c r="AM368" s="7"/>
      <c r="AN368" s="7"/>
      <c r="AO368" s="6"/>
      <c r="AP368" s="7"/>
      <c r="AQ368" s="7"/>
      <c r="AR368" s="6"/>
      <c r="AS368" s="7"/>
      <c r="AT368" s="7"/>
      <c r="AU368" s="7"/>
      <c r="AV368" s="7"/>
      <c r="AW368" s="7"/>
      <c r="AX368" s="7"/>
      <c r="AY368" s="7"/>
      <c r="AZ368" s="7"/>
      <c r="BA368" s="7"/>
      <c r="BB368" s="7"/>
      <c r="BC368" s="7"/>
      <c r="BD368" s="7"/>
      <c r="BE368" s="7"/>
      <c r="BF368" s="7"/>
      <c r="BG368" s="7"/>
    </row>
    <row r="369" customHeight="1" spans="1:59">
      <c r="A369" s="9" t="str">
        <f>IF(ActiveDatabase=Standby,Secondary!A369,Primary!A369)</f>
        <v>Hurston 10</v>
      </c>
      <c r="B369" s="5" t="str">
        <f>IF(ActiveDatabase=Standby,Secondary!B369,Primary!B369)</f>
        <v>Hurston 13</v>
      </c>
      <c r="C369" s="5" t="str">
        <f>IF(ActiveDatabase=Standby,Secondary!C369,Primary!C369)</f>
        <v>Hurston 117</v>
      </c>
      <c r="D369" s="5" t="str">
        <f>IF(ActiveDatabase=Standby,Secondary!D369,Primary!D369)</f>
        <v>Echo Isle</v>
      </c>
      <c r="E369" s="6" t="str">
        <f>IF(ActiveDatabase=Standby,Secondary!E369,Primary!E369)</f>
        <v>Echo Isle</v>
      </c>
      <c r="F369" s="10">
        <f>IF(ActiveDatabase=Standby,Secondary!F369,Primary!F369)</f>
        <v>-405.104458747</v>
      </c>
      <c r="G369" s="10">
        <f>IF(ActiveDatabase=Standby,Secondary!G369,Primary!G369)</f>
        <v>-275.110570249999</v>
      </c>
      <c r="H369" s="10">
        <f>IF(ActiveDatabase=Standby,Secondary!H369,Primary!H369)</f>
        <v>-872.195958840999</v>
      </c>
      <c r="I369" s="13">
        <f>IF(ActiveDatabase=Standby,Secondary!I369,Primary!I369)</f>
        <v>0</v>
      </c>
      <c r="J369" s="13">
        <f>IF(ActiveDatabase=Standby,Secondary!J369,Primary!J369)</f>
        <v>0</v>
      </c>
      <c r="K369" s="13">
        <f>IF(ActiveDatabase=Standby,Secondary!K369,Primary!K369)</f>
        <v>0</v>
      </c>
      <c r="L369" s="13">
        <f>IF(ActiveDatabase=Standby,Secondary!L369,Primary!L369)</f>
        <v>0</v>
      </c>
      <c r="M369" s="7" t="b">
        <f>IF(ActiveDatabase=Standby,Secondary!M369,Primary!M369)</f>
        <v>0</v>
      </c>
      <c r="N369" s="10">
        <f>IF(ActiveDatabase=Standby,Secondary!N369,Primary!N369)</f>
        <v>0</v>
      </c>
      <c r="O369" s="10">
        <f>IF(ActiveDatabase=Standby,Secondary!O369,Primary!O369)</f>
        <v>0</v>
      </c>
      <c r="P369" s="10">
        <f>IF(ActiveDatabase=Standby,Secondary!P369,Primary!P369)</f>
        <v>0</v>
      </c>
      <c r="Q369" s="6">
        <f>IF(ActiveDatabase=Standby,Secondary!Q369,Primary!Q369)</f>
        <v>0</v>
      </c>
      <c r="R369" s="18">
        <f>IF(ActiveDatabase=Standby,Secondary!R369,Primary!R369)</f>
        <v>0</v>
      </c>
      <c r="S369" s="19">
        <f>IF(ActiveDatabase=Standby,Secondary!S369,Primary!S369)</f>
        <v>0</v>
      </c>
      <c r="T369" s="10">
        <f>IF(ActiveDatabase=Standby,Secondary!T369,Primary!T369)</f>
        <v>0</v>
      </c>
      <c r="U369" s="10">
        <f>IF(ActiveDatabase=Standby,Secondary!U369,Primary!U369)</f>
        <v>0</v>
      </c>
      <c r="V369" s="10">
        <f>IF(ActiveDatabase=Standby,Secondary!V369,Primary!V369)</f>
        <v>0</v>
      </c>
      <c r="W369" s="6">
        <f>IF(ActiveDatabase=Standby,Secondary!W369,Primary!W369)</f>
        <v>0</v>
      </c>
      <c r="X369" s="6">
        <f>IF(ActiveDatabase=Standby,Secondary!X369,Primary!X369)</f>
        <v>0</v>
      </c>
      <c r="Y369" s="12">
        <f>IF(ActiveDatabase=Standby,Secondary!Y369,Primary!Y369)</f>
        <v>0</v>
      </c>
      <c r="Z369" s="12">
        <f>IF(ActiveDatabase=Standby,Secondary!Z369,Primary!Z369)</f>
        <v>0</v>
      </c>
      <c r="AA369" s="7">
        <f>IF(ActiveDatabase=Standby,Secondary!AA369,Primary!AA369)</f>
        <v>0</v>
      </c>
      <c r="AB369" s="12"/>
      <c r="AC369" s="6"/>
      <c r="AD369" s="6"/>
      <c r="AE369" s="7"/>
      <c r="AF369" s="7"/>
      <c r="AG369" s="7"/>
      <c r="AH369" s="7"/>
      <c r="AI369" s="7"/>
      <c r="AJ369" s="7"/>
      <c r="AK369" s="7"/>
      <c r="AL369" s="7"/>
      <c r="AM369" s="7"/>
      <c r="AN369" s="7"/>
      <c r="AO369" s="6"/>
      <c r="AP369" s="7"/>
      <c r="AQ369" s="7"/>
      <c r="AR369" s="6"/>
      <c r="AS369" s="7"/>
      <c r="AT369" s="7"/>
      <c r="AU369" s="7"/>
      <c r="AV369" s="7"/>
      <c r="AW369" s="7"/>
      <c r="AX369" s="7"/>
      <c r="AY369" s="7"/>
      <c r="AZ369" s="7"/>
      <c r="BA369" s="7"/>
      <c r="BB369" s="7"/>
      <c r="BC369" s="7"/>
      <c r="BD369" s="7"/>
      <c r="BE369" s="7"/>
      <c r="BF369" s="7"/>
      <c r="BG369" s="7"/>
    </row>
    <row r="370" customHeight="1" spans="1:59">
      <c r="A370" s="9" t="str">
        <f>IF(ActiveDatabase=Standby,Secondary!A370,Primary!A370)</f>
        <v>Hurston</v>
      </c>
      <c r="B370" s="5" t="str">
        <f>IF(ActiveDatabase=Standby,Secondary!B370,Primary!B370)</f>
        <v>Hurston 15</v>
      </c>
      <c r="C370" s="5" t="str">
        <f>IF(ActiveDatabase=Standby,Secondary!C370,Primary!C370)</f>
        <v>Hurston</v>
      </c>
      <c r="D370" s="5" t="str">
        <f>IF(ActiveDatabase=Standby,Secondary!D370,Primary!D370)</f>
        <v>Distribution Centers</v>
      </c>
      <c r="E370" s="6">
        <f>IF(ActiveDatabase=Standby,Secondary!E370,Primary!E370)</f>
        <v>0</v>
      </c>
      <c r="F370" s="10">
        <f>IF(ActiveDatabase=Standby,Secondary!F370,Primary!F370)</f>
        <v>0</v>
      </c>
      <c r="G370" s="10">
        <f>IF(ActiveDatabase=Standby,Secondary!G370,Primary!G370)</f>
        <v>0</v>
      </c>
      <c r="H370" s="10">
        <f>IF(ActiveDatabase=Standby,Secondary!H370,Primary!H370)</f>
        <v>0</v>
      </c>
      <c r="I370" s="13">
        <f>IF(ActiveDatabase=Standby,Secondary!I370,Primary!I370)</f>
        <v>0</v>
      </c>
      <c r="J370" s="13">
        <f>IF(ActiveDatabase=Standby,Secondary!J370,Primary!J370)</f>
        <v>0</v>
      </c>
      <c r="K370" s="13">
        <f>IF(ActiveDatabase=Standby,Secondary!K370,Primary!K370)</f>
        <v>0</v>
      </c>
      <c r="L370" s="13">
        <f>IF(ActiveDatabase=Standby,Secondary!L370,Primary!L370)</f>
        <v>0</v>
      </c>
      <c r="M370" s="7">
        <f>IF(ActiveDatabase=Standby,Secondary!M370,Primary!M370)</f>
        <v>0</v>
      </c>
      <c r="N370" s="10">
        <f>IF(ActiveDatabase=Standby,Secondary!N370,Primary!N370)</f>
        <v>0</v>
      </c>
      <c r="O370" s="10">
        <f>IF(ActiveDatabase=Standby,Secondary!O370,Primary!O370)</f>
        <v>0</v>
      </c>
      <c r="P370" s="10">
        <f>IF(ActiveDatabase=Standby,Secondary!P370,Primary!P370)</f>
        <v>0</v>
      </c>
      <c r="Q370" s="6">
        <f>IF(ActiveDatabase=Standby,Secondary!Q370,Primary!Q370)</f>
        <v>0</v>
      </c>
      <c r="R370" s="18">
        <f>IF(ActiveDatabase=Standby,Secondary!R370,Primary!R370)</f>
        <v>0</v>
      </c>
      <c r="S370" s="19">
        <f>IF(ActiveDatabase=Standby,Secondary!S370,Primary!S370)</f>
        <v>0</v>
      </c>
      <c r="T370" s="10">
        <f>IF(ActiveDatabase=Standby,Secondary!T370,Primary!T370)</f>
        <v>0</v>
      </c>
      <c r="U370" s="10">
        <f>IF(ActiveDatabase=Standby,Secondary!U370,Primary!U370)</f>
        <v>0</v>
      </c>
      <c r="V370" s="10">
        <f>IF(ActiveDatabase=Standby,Secondary!V370,Primary!V370)</f>
        <v>0</v>
      </c>
      <c r="W370" s="6">
        <f>IF(ActiveDatabase=Standby,Secondary!W370,Primary!W370)</f>
        <v>0</v>
      </c>
      <c r="X370" s="6">
        <f>IF(ActiveDatabase=Standby,Secondary!X370,Primary!X370)</f>
        <v>0</v>
      </c>
      <c r="Y370" s="12">
        <f>IF(ActiveDatabase=Standby,Secondary!Y370,Primary!Y370)</f>
        <v>0</v>
      </c>
      <c r="Z370" s="12">
        <f>IF(ActiveDatabase=Standby,Secondary!Z370,Primary!Z370)</f>
        <v>0</v>
      </c>
      <c r="AA370" s="7">
        <f>IF(ActiveDatabase=Standby,Secondary!AA370,Primary!AA370)</f>
        <v>0</v>
      </c>
      <c r="AB370" s="12"/>
      <c r="AC370" s="6"/>
      <c r="AD370" s="6"/>
      <c r="AE370" s="7"/>
      <c r="AF370" s="7"/>
      <c r="AG370" s="7"/>
      <c r="AH370" s="7"/>
      <c r="AI370" s="7"/>
      <c r="AJ370" s="7"/>
      <c r="AK370" s="7"/>
      <c r="AL370" s="7"/>
      <c r="AM370" s="7"/>
      <c r="AN370" s="7"/>
      <c r="AO370" s="6"/>
      <c r="AP370" s="7"/>
      <c r="AQ370" s="7"/>
      <c r="AR370" s="6"/>
      <c r="AS370" s="7"/>
      <c r="AT370" s="7"/>
      <c r="AU370" s="7"/>
      <c r="AV370" s="7"/>
      <c r="AW370" s="7"/>
      <c r="AX370" s="7"/>
      <c r="AY370" s="7"/>
      <c r="AZ370" s="7"/>
      <c r="BA370" s="7"/>
      <c r="BB370" s="7"/>
      <c r="BC370" s="7"/>
      <c r="BD370" s="7"/>
      <c r="BE370" s="7"/>
      <c r="BF370" s="7"/>
      <c r="BG370" s="7"/>
    </row>
    <row r="371" customHeight="1" spans="1:59">
      <c r="A371" s="9" t="str">
        <f>IF(ActiveDatabase=Standby,Secondary!A371,Primary!A371)</f>
        <v>Hurston 50</v>
      </c>
      <c r="B371" s="5" t="str">
        <f>IF(ActiveDatabase=Standby,Secondary!B371,Primary!B371)</f>
        <v>Hurston 16</v>
      </c>
      <c r="C371" s="5" t="str">
        <f>IF(ActiveDatabase=Standby,Secondary!C371,Primary!C371)</f>
        <v>Hurston 60</v>
      </c>
      <c r="D371" s="5" t="str">
        <f>IF(ActiveDatabase=Standby,Secondary!D371,Primary!D371)</f>
        <v>Covalex Distribution Centre S1DC06</v>
      </c>
      <c r="E371" s="6" t="str">
        <f>IF(ActiveDatabase=Standby,Secondary!E371,Primary!E371)</f>
        <v>S1DC06</v>
      </c>
      <c r="F371" s="10">
        <f>IF(ActiveDatabase=Standby,Secondary!F371,Primary!F371)</f>
        <v>742.846528982999</v>
      </c>
      <c r="G371" s="10">
        <f>IF(ActiveDatabase=Standby,Secondary!G371,Primary!G371)</f>
        <v>15.4800770909998</v>
      </c>
      <c r="H371" s="10">
        <f>IF(ActiveDatabase=Standby,Secondary!H371,Primary!H371)</f>
        <v>671.349065235999</v>
      </c>
      <c r="I371" s="13">
        <f>IF(ActiveDatabase=Standby,Secondary!I371,Primary!I371)</f>
        <v>0</v>
      </c>
      <c r="J371" s="13">
        <f>IF(ActiveDatabase=Standby,Secondary!J371,Primary!J371)</f>
        <v>0</v>
      </c>
      <c r="K371" s="13">
        <f>IF(ActiveDatabase=Standby,Secondary!K371,Primary!K371)</f>
        <v>0</v>
      </c>
      <c r="L371" s="13">
        <f>IF(ActiveDatabase=Standby,Secondary!L371,Primary!L371)</f>
        <v>0</v>
      </c>
      <c r="M371" s="7" t="b">
        <f>IF(ActiveDatabase=Standby,Secondary!M371,Primary!M371)</f>
        <v>1</v>
      </c>
      <c r="N371" s="10">
        <f>IF(ActiveDatabase=Standby,Secondary!N371,Primary!N371)</f>
        <v>0</v>
      </c>
      <c r="O371" s="10">
        <f>IF(ActiveDatabase=Standby,Secondary!O371,Primary!O371)</f>
        <v>0</v>
      </c>
      <c r="P371" s="10">
        <f>IF(ActiveDatabase=Standby,Secondary!P371,Primary!P371)</f>
        <v>0</v>
      </c>
      <c r="Q371" s="6">
        <f>IF(ActiveDatabase=Standby,Secondary!Q371,Primary!Q371)</f>
        <v>0</v>
      </c>
      <c r="R371" s="18">
        <f>IF(ActiveDatabase=Standby,Secondary!R371,Primary!R371)</f>
        <v>0</v>
      </c>
      <c r="S371" s="19">
        <f>IF(ActiveDatabase=Standby,Secondary!S371,Primary!S371)</f>
        <v>0</v>
      </c>
      <c r="T371" s="10">
        <f>IF(ActiveDatabase=Standby,Secondary!T371,Primary!T371)</f>
        <v>0</v>
      </c>
      <c r="U371" s="10">
        <f>IF(ActiveDatabase=Standby,Secondary!U371,Primary!U371)</f>
        <v>0</v>
      </c>
      <c r="V371" s="10">
        <f>IF(ActiveDatabase=Standby,Secondary!V371,Primary!V371)</f>
        <v>0</v>
      </c>
      <c r="W371" s="6">
        <f>IF(ActiveDatabase=Standby,Secondary!W371,Primary!W371)</f>
        <v>0</v>
      </c>
      <c r="X371" s="6">
        <f>IF(ActiveDatabase=Standby,Secondary!X371,Primary!X371)</f>
        <v>0</v>
      </c>
      <c r="Y371" s="12">
        <f>IF(ActiveDatabase=Standby,Secondary!Y371,Primary!Y371)</f>
        <v>0</v>
      </c>
      <c r="Z371" s="12">
        <f>IF(ActiveDatabase=Standby,Secondary!Z371,Primary!Z371)</f>
        <v>0</v>
      </c>
      <c r="AA371" s="7">
        <f>IF(ActiveDatabase=Standby,Secondary!AA371,Primary!AA371)</f>
        <v>0</v>
      </c>
      <c r="AB371" s="12"/>
      <c r="AC371" s="6"/>
      <c r="AD371" s="6"/>
      <c r="AE371" s="7"/>
      <c r="AF371" s="7"/>
      <c r="AG371" s="7"/>
      <c r="AH371" s="7"/>
      <c r="AI371" s="7"/>
      <c r="AJ371" s="7"/>
      <c r="AK371" s="7"/>
      <c r="AL371" s="7"/>
      <c r="AM371" s="7"/>
      <c r="AN371" s="7"/>
      <c r="AO371" s="6"/>
      <c r="AP371" s="7"/>
      <c r="AQ371" s="7"/>
      <c r="AR371" s="6"/>
      <c r="AS371" s="7"/>
      <c r="AT371" s="7"/>
      <c r="AU371" s="7"/>
      <c r="AV371" s="7"/>
      <c r="AW371" s="7"/>
      <c r="AX371" s="7"/>
      <c r="AY371" s="7"/>
      <c r="AZ371" s="7"/>
      <c r="BA371" s="7"/>
      <c r="BB371" s="7"/>
      <c r="BC371" s="7"/>
      <c r="BD371" s="7"/>
      <c r="BE371" s="7"/>
      <c r="BF371" s="7"/>
      <c r="BG371" s="7"/>
    </row>
    <row r="372" customHeight="1" spans="1:59">
      <c r="A372" s="9" t="str">
        <f>IF(ActiveDatabase=Standby,Secondary!A372,Primary!A372)</f>
        <v>Hurston 51</v>
      </c>
      <c r="B372" s="5" t="str">
        <f>IF(ActiveDatabase=Standby,Secondary!B372,Primary!B372)</f>
        <v>Hurston 17</v>
      </c>
      <c r="C372" s="5" t="str">
        <f>IF(ActiveDatabase=Standby,Secondary!C372,Primary!C372)</f>
        <v>Hurston 84</v>
      </c>
      <c r="D372" s="5" t="str">
        <f>IF(ActiveDatabase=Standby,Secondary!D372,Primary!D372)</f>
        <v>Dupree Industrial Manufacturing Facility</v>
      </c>
      <c r="E372" s="6" t="str">
        <f>IF(ActiveDatabase=Standby,Secondary!E372,Primary!E372)</f>
        <v>Dupree</v>
      </c>
      <c r="F372" s="10">
        <f>IF(ActiveDatabase=Standby,Secondary!F372,Primary!F372)</f>
        <v>239.425790888999</v>
      </c>
      <c r="G372" s="10">
        <f>IF(ActiveDatabase=Standby,Secondary!G372,Primary!G372)</f>
        <v>-969.806498161999</v>
      </c>
      <c r="H372" s="10">
        <f>IF(ActiveDatabase=Standby,Secondary!H372,Primary!H372)</f>
        <v>68.6351459579999</v>
      </c>
      <c r="I372" s="13">
        <f>IF(ActiveDatabase=Standby,Secondary!I372,Primary!I372)</f>
        <v>0</v>
      </c>
      <c r="J372" s="13">
        <f>IF(ActiveDatabase=Standby,Secondary!J372,Primary!J372)</f>
        <v>0</v>
      </c>
      <c r="K372" s="13">
        <f>IF(ActiveDatabase=Standby,Secondary!K372,Primary!K372)</f>
        <v>0</v>
      </c>
      <c r="L372" s="13">
        <f>IF(ActiveDatabase=Standby,Secondary!L372,Primary!L372)</f>
        <v>0</v>
      </c>
      <c r="M372" s="7" t="b">
        <f>IF(ActiveDatabase=Standby,Secondary!M372,Primary!M372)</f>
        <v>1</v>
      </c>
      <c r="N372" s="10">
        <f>IF(ActiveDatabase=Standby,Secondary!N372,Primary!N372)</f>
        <v>0</v>
      </c>
      <c r="O372" s="10">
        <f>IF(ActiveDatabase=Standby,Secondary!O372,Primary!O372)</f>
        <v>0</v>
      </c>
      <c r="P372" s="10">
        <f>IF(ActiveDatabase=Standby,Secondary!P372,Primary!P372)</f>
        <v>0</v>
      </c>
      <c r="Q372" s="6">
        <f>IF(ActiveDatabase=Standby,Secondary!Q372,Primary!Q372)</f>
        <v>0</v>
      </c>
      <c r="R372" s="18">
        <f>IF(ActiveDatabase=Standby,Secondary!R372,Primary!R372)</f>
        <v>0</v>
      </c>
      <c r="S372" s="19">
        <f>IF(ActiveDatabase=Standby,Secondary!S372,Primary!S372)</f>
        <v>0</v>
      </c>
      <c r="T372" s="10">
        <f>IF(ActiveDatabase=Standby,Secondary!T372,Primary!T372)</f>
        <v>0</v>
      </c>
      <c r="U372" s="10">
        <f>IF(ActiveDatabase=Standby,Secondary!U372,Primary!U372)</f>
        <v>0</v>
      </c>
      <c r="V372" s="10">
        <f>IF(ActiveDatabase=Standby,Secondary!V372,Primary!V372)</f>
        <v>0</v>
      </c>
      <c r="W372" s="6">
        <f>IF(ActiveDatabase=Standby,Secondary!W372,Primary!W372)</f>
        <v>0</v>
      </c>
      <c r="X372" s="6">
        <f>IF(ActiveDatabase=Standby,Secondary!X372,Primary!X372)</f>
        <v>0</v>
      </c>
      <c r="Y372" s="12">
        <f>IF(ActiveDatabase=Standby,Secondary!Y372,Primary!Y372)</f>
        <v>0</v>
      </c>
      <c r="Z372" s="12">
        <f>IF(ActiveDatabase=Standby,Secondary!Z372,Primary!Z372)</f>
        <v>0</v>
      </c>
      <c r="AA372" s="7">
        <f>IF(ActiveDatabase=Standby,Secondary!AA372,Primary!AA372)</f>
        <v>0</v>
      </c>
      <c r="AB372" s="12"/>
      <c r="AC372" s="6"/>
      <c r="AD372" s="6"/>
      <c r="AE372" s="7"/>
      <c r="AF372" s="7"/>
      <c r="AG372" s="7"/>
      <c r="AH372" s="7"/>
      <c r="AI372" s="7"/>
      <c r="AJ372" s="7"/>
      <c r="AK372" s="7"/>
      <c r="AL372" s="7"/>
      <c r="AM372" s="7"/>
      <c r="AN372" s="7"/>
      <c r="AO372" s="6"/>
      <c r="AP372" s="7"/>
      <c r="AQ372" s="7"/>
      <c r="AR372" s="6"/>
      <c r="AS372" s="7"/>
      <c r="AT372" s="7"/>
      <c r="AU372" s="7"/>
      <c r="AV372" s="7"/>
      <c r="AW372" s="7"/>
      <c r="AX372" s="7"/>
      <c r="AY372" s="7"/>
      <c r="AZ372" s="7"/>
      <c r="BA372" s="7"/>
      <c r="BB372" s="7"/>
      <c r="BC372" s="7"/>
      <c r="BD372" s="7"/>
      <c r="BE372" s="7"/>
      <c r="BF372" s="7"/>
      <c r="BG372" s="7"/>
    </row>
    <row r="373" customHeight="1" spans="1:59">
      <c r="A373" s="9" t="str">
        <f>IF(ActiveDatabase=Standby,Secondary!A373,Primary!A373)</f>
        <v>Hurston 52</v>
      </c>
      <c r="B373" s="5" t="str">
        <f>IF(ActiveDatabase=Standby,Secondary!B373,Primary!B373)</f>
        <v>Hurston 18</v>
      </c>
      <c r="C373" s="5" t="str">
        <f>IF(ActiveDatabase=Standby,Secondary!C373,Primary!C373)</f>
        <v>Hurston 112</v>
      </c>
      <c r="D373" s="5" t="str">
        <f>IF(ActiveDatabase=Standby,Secondary!D373,Primary!D373)</f>
        <v>Greycat Stanton I Production Complex-B</v>
      </c>
      <c r="E373" s="6" t="str">
        <f>IF(ActiveDatabase=Standby,Secondary!E373,Primary!E373)</f>
        <v>Greycat I PCB</v>
      </c>
      <c r="F373" s="10">
        <f>IF(ActiveDatabase=Standby,Secondary!F373,Primary!F373)</f>
        <v>-407.457039219</v>
      </c>
      <c r="G373" s="10">
        <f>IF(ActiveDatabase=Standby,Secondary!G373,Primary!G373)</f>
        <v>-656.296424811</v>
      </c>
      <c r="H373" s="10">
        <f>IF(ActiveDatabase=Standby,Secondary!H373,Primary!H373)</f>
        <v>636.321907940999</v>
      </c>
      <c r="I373" s="13">
        <f>IF(ActiveDatabase=Standby,Secondary!I373,Primary!I373)</f>
        <v>0</v>
      </c>
      <c r="J373" s="13">
        <f>IF(ActiveDatabase=Standby,Secondary!J373,Primary!J373)</f>
        <v>0</v>
      </c>
      <c r="K373" s="13">
        <f>IF(ActiveDatabase=Standby,Secondary!K373,Primary!K373)</f>
        <v>0</v>
      </c>
      <c r="L373" s="13">
        <f>IF(ActiveDatabase=Standby,Secondary!L373,Primary!L373)</f>
        <v>0</v>
      </c>
      <c r="M373" s="7" t="b">
        <f>IF(ActiveDatabase=Standby,Secondary!M373,Primary!M373)</f>
        <v>1</v>
      </c>
      <c r="N373" s="10">
        <f>IF(ActiveDatabase=Standby,Secondary!N373,Primary!N373)</f>
        <v>0</v>
      </c>
      <c r="O373" s="10">
        <f>IF(ActiveDatabase=Standby,Secondary!O373,Primary!O373)</f>
        <v>0</v>
      </c>
      <c r="P373" s="10">
        <f>IF(ActiveDatabase=Standby,Secondary!P373,Primary!P373)</f>
        <v>0</v>
      </c>
      <c r="Q373" s="6">
        <f>IF(ActiveDatabase=Standby,Secondary!Q373,Primary!Q373)</f>
        <v>0</v>
      </c>
      <c r="R373" s="18">
        <f>IF(ActiveDatabase=Standby,Secondary!R373,Primary!R373)</f>
        <v>0</v>
      </c>
      <c r="S373" s="19">
        <f>IF(ActiveDatabase=Standby,Secondary!S373,Primary!S373)</f>
        <v>0</v>
      </c>
      <c r="T373" s="10">
        <f>IF(ActiveDatabase=Standby,Secondary!T373,Primary!T373)</f>
        <v>0</v>
      </c>
      <c r="U373" s="10">
        <f>IF(ActiveDatabase=Standby,Secondary!U373,Primary!U373)</f>
        <v>0</v>
      </c>
      <c r="V373" s="10">
        <f>IF(ActiveDatabase=Standby,Secondary!V373,Primary!V373)</f>
        <v>0</v>
      </c>
      <c r="W373" s="6">
        <f>IF(ActiveDatabase=Standby,Secondary!W373,Primary!W373)</f>
        <v>0</v>
      </c>
      <c r="X373" s="6">
        <f>IF(ActiveDatabase=Standby,Secondary!X373,Primary!X373)</f>
        <v>0</v>
      </c>
      <c r="Y373" s="12">
        <f>IF(ActiveDatabase=Standby,Secondary!Y373,Primary!Y373)</f>
        <v>0</v>
      </c>
      <c r="Z373" s="12">
        <f>IF(ActiveDatabase=Standby,Secondary!Z373,Primary!Z373)</f>
        <v>0</v>
      </c>
      <c r="AA373" s="9">
        <f>IF(ActiveDatabase=Standby,Secondary!AA373,Primary!AA373)</f>
        <v>0</v>
      </c>
      <c r="AB373" s="12"/>
      <c r="AC373" s="6"/>
      <c r="AD373" s="6"/>
      <c r="AE373" s="7"/>
      <c r="AF373" s="7"/>
      <c r="AG373" s="7"/>
      <c r="AH373" s="7"/>
      <c r="AI373" s="7"/>
      <c r="AJ373" s="7"/>
      <c r="AK373" s="7"/>
      <c r="AL373" s="7"/>
      <c r="AM373" s="7"/>
      <c r="AN373" s="7"/>
      <c r="AO373" s="6"/>
      <c r="AP373" s="7"/>
      <c r="AQ373" s="7"/>
      <c r="AR373" s="6"/>
      <c r="AS373" s="7"/>
      <c r="AT373" s="7"/>
      <c r="AU373" s="7"/>
      <c r="AV373" s="7"/>
      <c r="AW373" s="7"/>
      <c r="AX373" s="7"/>
      <c r="AY373" s="7"/>
      <c r="AZ373" s="7"/>
      <c r="BA373" s="7"/>
      <c r="BB373" s="7"/>
      <c r="BC373" s="7"/>
      <c r="BD373" s="7"/>
      <c r="BE373" s="7"/>
      <c r="BF373" s="7"/>
      <c r="BG373" s="7"/>
    </row>
    <row r="374" customHeight="1" spans="1:59">
      <c r="A374" s="9" t="str">
        <f>IF(ActiveDatabase=Standby,Secondary!A374,Primary!A374)</f>
        <v>Hurston 53</v>
      </c>
      <c r="B374" s="5" t="str">
        <f>IF(ActiveDatabase=Standby,Secondary!B374,Primary!B374)</f>
        <v>Hurston 19</v>
      </c>
      <c r="C374" s="5" t="str">
        <f>IF(ActiveDatabase=Standby,Secondary!C374,Primary!C374)</f>
        <v>Hurston 21</v>
      </c>
      <c r="D374" s="5" t="str">
        <f>IF(ActiveDatabase=Standby,Secondary!D374,Primary!D374)</f>
        <v>HDPC-Cassillo</v>
      </c>
      <c r="E374" s="6" t="str">
        <f>IF(ActiveDatabase=Standby,Secondary!E374,Primary!E374)</f>
        <v>Cassillo</v>
      </c>
      <c r="F374" s="10">
        <f>IF(ActiveDatabase=Standby,Secondary!F374,Primary!F374)</f>
        <v>-789.715940114</v>
      </c>
      <c r="G374" s="10">
        <f>IF(ActiveDatabase=Standby,Secondary!G374,Primary!G374)</f>
        <v>615.354400685</v>
      </c>
      <c r="H374" s="10">
        <f>IF(ActiveDatabase=Standby,Secondary!H374,Primary!H374)</f>
        <v>-2.35308959899999</v>
      </c>
      <c r="I374" s="13">
        <f>IF(ActiveDatabase=Standby,Secondary!I374,Primary!I374)</f>
        <v>0</v>
      </c>
      <c r="J374" s="13">
        <f>IF(ActiveDatabase=Standby,Secondary!J374,Primary!J374)</f>
        <v>0</v>
      </c>
      <c r="K374" s="13">
        <f>IF(ActiveDatabase=Standby,Secondary!K374,Primary!K374)</f>
        <v>0</v>
      </c>
      <c r="L374" s="13">
        <f>IF(ActiveDatabase=Standby,Secondary!L374,Primary!L374)</f>
        <v>0</v>
      </c>
      <c r="M374" s="7" t="b">
        <f>IF(ActiveDatabase=Standby,Secondary!M374,Primary!M374)</f>
        <v>1</v>
      </c>
      <c r="N374" s="10">
        <f>IF(ActiveDatabase=Standby,Secondary!N374,Primary!N374)</f>
        <v>0</v>
      </c>
      <c r="O374" s="10">
        <f>IF(ActiveDatabase=Standby,Secondary!O374,Primary!O374)</f>
        <v>0</v>
      </c>
      <c r="P374" s="10">
        <f>IF(ActiveDatabase=Standby,Secondary!P374,Primary!P374)</f>
        <v>0</v>
      </c>
      <c r="Q374" s="6">
        <f>IF(ActiveDatabase=Standby,Secondary!Q374,Primary!Q374)</f>
        <v>0</v>
      </c>
      <c r="R374" s="18">
        <f>IF(ActiveDatabase=Standby,Secondary!R374,Primary!R374)</f>
        <v>0</v>
      </c>
      <c r="S374" s="19">
        <f>IF(ActiveDatabase=Standby,Secondary!S374,Primary!S374)</f>
        <v>0</v>
      </c>
      <c r="T374" s="10">
        <f>IF(ActiveDatabase=Standby,Secondary!T374,Primary!T374)</f>
        <v>0</v>
      </c>
      <c r="U374" s="10">
        <f>IF(ActiveDatabase=Standby,Secondary!U374,Primary!U374)</f>
        <v>0</v>
      </c>
      <c r="V374" s="10">
        <f>IF(ActiveDatabase=Standby,Secondary!V374,Primary!V374)</f>
        <v>0</v>
      </c>
      <c r="W374" s="6">
        <f>IF(ActiveDatabase=Standby,Secondary!W374,Primary!W374)</f>
        <v>0</v>
      </c>
      <c r="X374" s="6">
        <f>IF(ActiveDatabase=Standby,Secondary!X374,Primary!X374)</f>
        <v>0</v>
      </c>
      <c r="Y374" s="12">
        <f>IF(ActiveDatabase=Standby,Secondary!Y374,Primary!Y374)</f>
        <v>0</v>
      </c>
      <c r="Z374" s="12">
        <f>IF(ActiveDatabase=Standby,Secondary!Z374,Primary!Z374)</f>
        <v>0</v>
      </c>
      <c r="AA374" s="9">
        <f>IF(ActiveDatabase=Standby,Secondary!AA374,Primary!AA374)</f>
        <v>0</v>
      </c>
      <c r="AB374" s="12"/>
      <c r="AC374" s="6"/>
      <c r="AD374" s="6"/>
      <c r="AE374" s="7"/>
      <c r="AF374" s="7"/>
      <c r="AG374" s="7"/>
      <c r="AH374" s="7"/>
      <c r="AI374" s="7"/>
      <c r="AJ374" s="7"/>
      <c r="AK374" s="7"/>
      <c r="AL374" s="7"/>
      <c r="AM374" s="7"/>
      <c r="AN374" s="7"/>
      <c r="AO374" s="6"/>
      <c r="AP374" s="7"/>
      <c r="AQ374" s="7"/>
      <c r="AR374" s="6"/>
      <c r="AS374" s="7"/>
      <c r="AT374" s="7"/>
      <c r="AU374" s="7"/>
      <c r="AV374" s="7"/>
      <c r="AW374" s="7"/>
      <c r="AX374" s="7"/>
      <c r="AY374" s="7"/>
      <c r="AZ374" s="7"/>
      <c r="BA374" s="7"/>
      <c r="BB374" s="7"/>
      <c r="BC374" s="7"/>
      <c r="BD374" s="7"/>
      <c r="BE374" s="7"/>
      <c r="BF374" s="7"/>
      <c r="BG374" s="7"/>
    </row>
    <row r="375" customHeight="1" spans="1:59">
      <c r="A375" s="9" t="str">
        <f>IF(ActiveDatabase=Standby,Secondary!A375,Primary!A375)</f>
        <v>Hurston 54</v>
      </c>
      <c r="B375" s="5" t="str">
        <f>IF(ActiveDatabase=Standby,Secondary!B375,Primary!B375)</f>
        <v>Hurston 20</v>
      </c>
      <c r="C375" s="5" t="str">
        <f>IF(ActiveDatabase=Standby,Secondary!C375,Primary!C375)</f>
        <v>Hurston 53</v>
      </c>
      <c r="D375" s="5" t="str">
        <f>IF(ActiveDatabase=Standby,Secondary!D375,Primary!D375)</f>
        <v>HDPC-Farnesway</v>
      </c>
      <c r="E375" s="6" t="str">
        <f>IF(ActiveDatabase=Standby,Secondary!E375,Primary!E375)</f>
        <v>Farnesway</v>
      </c>
      <c r="F375" s="10">
        <f>IF(ActiveDatabase=Standby,Secondary!F375,Primary!F375)</f>
        <v>129.223337423</v>
      </c>
      <c r="G375" s="10">
        <f>IF(ActiveDatabase=Standby,Secondary!G375,Primary!G375)</f>
        <v>63.887560398</v>
      </c>
      <c r="H375" s="10">
        <f>IF(ActiveDatabase=Standby,Secondary!H375,Primary!H375)</f>
        <v>989.574572256</v>
      </c>
      <c r="I375" s="13">
        <f>IF(ActiveDatabase=Standby,Secondary!I375,Primary!I375)</f>
        <v>0</v>
      </c>
      <c r="J375" s="13">
        <f>IF(ActiveDatabase=Standby,Secondary!J375,Primary!J375)</f>
        <v>0</v>
      </c>
      <c r="K375" s="13">
        <f>IF(ActiveDatabase=Standby,Secondary!K375,Primary!K375)</f>
        <v>0</v>
      </c>
      <c r="L375" s="13">
        <f>IF(ActiveDatabase=Standby,Secondary!L375,Primary!L375)</f>
        <v>0</v>
      </c>
      <c r="M375" s="7" t="b">
        <f>IF(ActiveDatabase=Standby,Secondary!M375,Primary!M375)</f>
        <v>1</v>
      </c>
      <c r="N375" s="10">
        <f>IF(ActiveDatabase=Standby,Secondary!N375,Primary!N375)</f>
        <v>0</v>
      </c>
      <c r="O375" s="10">
        <f>IF(ActiveDatabase=Standby,Secondary!O375,Primary!O375)</f>
        <v>0</v>
      </c>
      <c r="P375" s="10">
        <f>IF(ActiveDatabase=Standby,Secondary!P375,Primary!P375)</f>
        <v>0</v>
      </c>
      <c r="Q375" s="6">
        <f>IF(ActiveDatabase=Standby,Secondary!Q375,Primary!Q375)</f>
        <v>0</v>
      </c>
      <c r="R375" s="18">
        <f>IF(ActiveDatabase=Standby,Secondary!R375,Primary!R375)</f>
        <v>0</v>
      </c>
      <c r="S375" s="19">
        <f>IF(ActiveDatabase=Standby,Secondary!S375,Primary!S375)</f>
        <v>0</v>
      </c>
      <c r="T375" s="10">
        <f>IF(ActiveDatabase=Standby,Secondary!T375,Primary!T375)</f>
        <v>0</v>
      </c>
      <c r="U375" s="10">
        <f>IF(ActiveDatabase=Standby,Secondary!U375,Primary!U375)</f>
        <v>0</v>
      </c>
      <c r="V375" s="10">
        <f>IF(ActiveDatabase=Standby,Secondary!V375,Primary!V375)</f>
        <v>0</v>
      </c>
      <c r="W375" s="6">
        <f>IF(ActiveDatabase=Standby,Secondary!W375,Primary!W375)</f>
        <v>0</v>
      </c>
      <c r="X375" s="6">
        <f>IF(ActiveDatabase=Standby,Secondary!X375,Primary!X375)</f>
        <v>0</v>
      </c>
      <c r="Y375" s="12">
        <f>IF(ActiveDatabase=Standby,Secondary!Y375,Primary!Y375)</f>
        <v>0</v>
      </c>
      <c r="Z375" s="12">
        <f>IF(ActiveDatabase=Standby,Secondary!Z375,Primary!Z375)</f>
        <v>0</v>
      </c>
      <c r="AA375" s="9">
        <f>IF(ActiveDatabase=Standby,Secondary!AA375,Primary!AA375)</f>
        <v>0</v>
      </c>
      <c r="AB375" s="12"/>
      <c r="AC375" s="6"/>
      <c r="AD375" s="6"/>
      <c r="AE375" s="7"/>
      <c r="AF375" s="7"/>
      <c r="AG375" s="7"/>
      <c r="AH375" s="7"/>
      <c r="AI375" s="7"/>
      <c r="AJ375" s="7"/>
      <c r="AK375" s="7"/>
      <c r="AL375" s="7"/>
      <c r="AM375" s="7"/>
      <c r="AN375" s="7"/>
      <c r="AO375" s="6"/>
      <c r="AP375" s="7"/>
      <c r="AQ375" s="7"/>
      <c r="AR375" s="6"/>
      <c r="AS375" s="7"/>
      <c r="AT375" s="7"/>
      <c r="AU375" s="7"/>
      <c r="AV375" s="7"/>
      <c r="AW375" s="7"/>
      <c r="AX375" s="7"/>
      <c r="AY375" s="7"/>
      <c r="AZ375" s="7"/>
      <c r="BA375" s="7"/>
      <c r="BB375" s="7"/>
      <c r="BC375" s="7"/>
      <c r="BD375" s="7"/>
      <c r="BE375" s="7"/>
      <c r="BF375" s="7"/>
      <c r="BG375" s="7"/>
    </row>
    <row r="376" customHeight="1" spans="1:59">
      <c r="A376" s="9" t="str">
        <f>IF(ActiveDatabase=Standby,Secondary!A376,Primary!A376)</f>
        <v>Hurston 55</v>
      </c>
      <c r="B376" s="5" t="str">
        <f>IF(ActiveDatabase=Standby,Secondary!B376,Primary!B376)</f>
        <v>Hurston 21</v>
      </c>
      <c r="C376" s="5" t="str">
        <f>IF(ActiveDatabase=Standby,Secondary!C376,Primary!C376)</f>
        <v>Hurston 97</v>
      </c>
      <c r="D376" s="5" t="str">
        <f>IF(ActiveDatabase=Standby,Secondary!D376,Primary!D376)</f>
        <v>Sakura Sun Magnolia Workcenter</v>
      </c>
      <c r="E376" s="6" t="str">
        <f>IF(ActiveDatabase=Standby,Secondary!E376,Primary!E376)</f>
        <v>Magnolia</v>
      </c>
      <c r="F376" s="10">
        <f>IF(ActiveDatabase=Standby,Secondary!F376,Primary!F376)</f>
        <v>-229.373108769999</v>
      </c>
      <c r="G376" s="10">
        <f>IF(ActiveDatabase=Standby,Secondary!G376,Primary!G376)</f>
        <v>-864.792873355</v>
      </c>
      <c r="H376" s="10">
        <f>IF(ActiveDatabase=Standby,Secondary!H376,Primary!H376)</f>
        <v>-446.960041887</v>
      </c>
      <c r="I376" s="13">
        <f>IF(ActiveDatabase=Standby,Secondary!I376,Primary!I376)</f>
        <v>0</v>
      </c>
      <c r="J376" s="13">
        <f>IF(ActiveDatabase=Standby,Secondary!J376,Primary!J376)</f>
        <v>0</v>
      </c>
      <c r="K376" s="13">
        <f>IF(ActiveDatabase=Standby,Secondary!K376,Primary!K376)</f>
        <v>0</v>
      </c>
      <c r="L376" s="13">
        <f>IF(ActiveDatabase=Standby,Secondary!L376,Primary!L376)</f>
        <v>0</v>
      </c>
      <c r="M376" s="7" t="b">
        <f>IF(ActiveDatabase=Standby,Secondary!M376,Primary!M376)</f>
        <v>1</v>
      </c>
      <c r="N376" s="10">
        <f>IF(ActiveDatabase=Standby,Secondary!N376,Primary!N376)</f>
        <v>0</v>
      </c>
      <c r="O376" s="10">
        <f>IF(ActiveDatabase=Standby,Secondary!O376,Primary!O376)</f>
        <v>0</v>
      </c>
      <c r="P376" s="10">
        <f>IF(ActiveDatabase=Standby,Secondary!P376,Primary!P376)</f>
        <v>0</v>
      </c>
      <c r="Q376" s="6">
        <f>IF(ActiveDatabase=Standby,Secondary!Q376,Primary!Q376)</f>
        <v>0</v>
      </c>
      <c r="R376" s="18">
        <f>IF(ActiveDatabase=Standby,Secondary!R376,Primary!R376)</f>
        <v>0</v>
      </c>
      <c r="S376" s="19">
        <f>IF(ActiveDatabase=Standby,Secondary!S376,Primary!S376)</f>
        <v>0</v>
      </c>
      <c r="T376" s="10">
        <f>IF(ActiveDatabase=Standby,Secondary!T376,Primary!T376)</f>
        <v>0</v>
      </c>
      <c r="U376" s="10">
        <f>IF(ActiveDatabase=Standby,Secondary!U376,Primary!U376)</f>
        <v>0</v>
      </c>
      <c r="V376" s="10">
        <f>IF(ActiveDatabase=Standby,Secondary!V376,Primary!V376)</f>
        <v>0</v>
      </c>
      <c r="W376" s="6">
        <f>IF(ActiveDatabase=Standby,Secondary!W376,Primary!W376)</f>
        <v>0</v>
      </c>
      <c r="X376" s="6">
        <f>IF(ActiveDatabase=Standby,Secondary!X376,Primary!X376)</f>
        <v>0</v>
      </c>
      <c r="Y376" s="12">
        <f>IF(ActiveDatabase=Standby,Secondary!Y376,Primary!Y376)</f>
        <v>0</v>
      </c>
      <c r="Z376" s="12">
        <f>IF(ActiveDatabase=Standby,Secondary!Z376,Primary!Z376)</f>
        <v>0</v>
      </c>
      <c r="AA376" s="9">
        <f>IF(ActiveDatabase=Standby,Secondary!AA376,Primary!AA376)</f>
        <v>0</v>
      </c>
      <c r="AB376" s="12"/>
      <c r="AC376" s="6"/>
      <c r="AD376" s="6"/>
      <c r="AE376" s="7"/>
      <c r="AF376" s="7"/>
      <c r="AG376" s="7"/>
      <c r="AH376" s="7"/>
      <c r="AI376" s="7"/>
      <c r="AJ376" s="7"/>
      <c r="AK376" s="7"/>
      <c r="AL376" s="7"/>
      <c r="AM376" s="7"/>
      <c r="AN376" s="7"/>
      <c r="AO376" s="6"/>
      <c r="AP376" s="7"/>
      <c r="AQ376" s="7"/>
      <c r="AR376" s="6"/>
      <c r="AS376" s="7"/>
      <c r="AT376" s="7"/>
      <c r="AU376" s="7"/>
      <c r="AV376" s="7"/>
      <c r="AW376" s="7"/>
      <c r="AX376" s="7"/>
      <c r="AY376" s="7"/>
      <c r="AZ376" s="7"/>
      <c r="BA376" s="7"/>
      <c r="BB376" s="7"/>
      <c r="BC376" s="7"/>
      <c r="BD376" s="7"/>
      <c r="BE376" s="7"/>
      <c r="BF376" s="7"/>
      <c r="BG376" s="7"/>
    </row>
    <row r="377" customHeight="1" spans="1:59">
      <c r="A377" s="9" t="str">
        <f>IF(ActiveDatabase=Standby,Secondary!A377,Primary!A377)</f>
        <v>Hurston</v>
      </c>
      <c r="B377" s="5" t="str">
        <f>IF(ActiveDatabase=Standby,Secondary!B377,Primary!B377)</f>
        <v>Hurston 23</v>
      </c>
      <c r="C377" s="5">
        <f>IF(ActiveDatabase=Standby,Secondary!C377,Primary!C377)</f>
        <v>0</v>
      </c>
      <c r="D377" s="5" t="str">
        <f>IF(ActiveDatabase=Standby,Secondary!D377,Primary!D377)</f>
        <v>Underground Bunker Facilities</v>
      </c>
      <c r="E377" s="6">
        <f>IF(ActiveDatabase=Standby,Secondary!E377,Primary!E377)</f>
        <v>0</v>
      </c>
      <c r="F377" s="10">
        <f>IF(ActiveDatabase=Standby,Secondary!F377,Primary!F377)</f>
        <v>0</v>
      </c>
      <c r="G377" s="10">
        <f>IF(ActiveDatabase=Standby,Secondary!G377,Primary!G377)</f>
        <v>0</v>
      </c>
      <c r="H377" s="10">
        <f>IF(ActiveDatabase=Standby,Secondary!H377,Primary!H377)</f>
        <v>0</v>
      </c>
      <c r="I377" s="13">
        <f>IF(ActiveDatabase=Standby,Secondary!I377,Primary!I377)</f>
        <v>0</v>
      </c>
      <c r="J377" s="13">
        <f>IF(ActiveDatabase=Standby,Secondary!J377,Primary!J377)</f>
        <v>0</v>
      </c>
      <c r="K377" s="13">
        <f>IF(ActiveDatabase=Standby,Secondary!K377,Primary!K377)</f>
        <v>0</v>
      </c>
      <c r="L377" s="13">
        <f>IF(ActiveDatabase=Standby,Secondary!L377,Primary!L377)</f>
        <v>0</v>
      </c>
      <c r="M377" s="7">
        <f>IF(ActiveDatabase=Standby,Secondary!M377,Primary!M377)</f>
        <v>0</v>
      </c>
      <c r="N377" s="10">
        <f>IF(ActiveDatabase=Standby,Secondary!N377,Primary!N377)</f>
        <v>0</v>
      </c>
      <c r="O377" s="10">
        <f>IF(ActiveDatabase=Standby,Secondary!O377,Primary!O377)</f>
        <v>0</v>
      </c>
      <c r="P377" s="10">
        <f>IF(ActiveDatabase=Standby,Secondary!P377,Primary!P377)</f>
        <v>0</v>
      </c>
      <c r="Q377" s="6">
        <f>IF(ActiveDatabase=Standby,Secondary!Q377,Primary!Q377)</f>
        <v>0</v>
      </c>
      <c r="R377" s="18">
        <f>IF(ActiveDatabase=Standby,Secondary!R377,Primary!R377)</f>
        <v>0</v>
      </c>
      <c r="S377" s="19">
        <f>IF(ActiveDatabase=Standby,Secondary!S377,Primary!S377)</f>
        <v>0</v>
      </c>
      <c r="T377" s="10">
        <f>IF(ActiveDatabase=Standby,Secondary!T377,Primary!T377)</f>
        <v>0</v>
      </c>
      <c r="U377" s="10">
        <f>IF(ActiveDatabase=Standby,Secondary!U377,Primary!U377)</f>
        <v>0</v>
      </c>
      <c r="V377" s="10">
        <f>IF(ActiveDatabase=Standby,Secondary!V377,Primary!V377)</f>
        <v>0</v>
      </c>
      <c r="W377" s="6">
        <f>IF(ActiveDatabase=Standby,Secondary!W377,Primary!W377)</f>
        <v>0</v>
      </c>
      <c r="X377" s="6">
        <f>IF(ActiveDatabase=Standby,Secondary!X377,Primary!X377)</f>
        <v>0</v>
      </c>
      <c r="Y377" s="12">
        <f>IF(ActiveDatabase=Standby,Secondary!Y377,Primary!Y377)</f>
        <v>0</v>
      </c>
      <c r="Z377" s="12">
        <f>IF(ActiveDatabase=Standby,Secondary!Z377,Primary!Z377)</f>
        <v>0</v>
      </c>
      <c r="AA377" s="9">
        <f>IF(ActiveDatabase=Standby,Secondary!AA377,Primary!AA377)</f>
        <v>0</v>
      </c>
      <c r="AB377" s="12"/>
      <c r="AC377" s="6"/>
      <c r="AD377" s="6"/>
      <c r="AE377" s="7"/>
      <c r="AF377" s="7"/>
      <c r="AG377" s="7"/>
      <c r="AH377" s="7"/>
      <c r="AI377" s="7"/>
      <c r="AJ377" s="7"/>
      <c r="AK377" s="7"/>
      <c r="AL377" s="7"/>
      <c r="AM377" s="7"/>
      <c r="AN377" s="7"/>
      <c r="AO377" s="6"/>
      <c r="AP377" s="7"/>
      <c r="AQ377" s="7"/>
      <c r="AR377" s="6"/>
      <c r="AS377" s="7"/>
      <c r="AT377" s="7"/>
      <c r="AU377" s="7"/>
      <c r="AV377" s="7"/>
      <c r="AW377" s="7"/>
      <c r="AX377" s="7"/>
      <c r="AY377" s="7"/>
      <c r="AZ377" s="7"/>
      <c r="BA377" s="7"/>
      <c r="BB377" s="7"/>
      <c r="BC377" s="7"/>
      <c r="BD377" s="7"/>
      <c r="BE377" s="7"/>
      <c r="BF377" s="7"/>
      <c r="BG377" s="7"/>
    </row>
    <row r="378" customHeight="1" spans="1:59">
      <c r="A378" s="9" t="str">
        <f>IF(ActiveDatabase=Standby,Secondary!A378,Primary!A378)</f>
        <v>Hurston 11</v>
      </c>
      <c r="B378" s="5" t="str">
        <f>IF(ActiveDatabase=Standby,Secondary!B378,Primary!B378)</f>
        <v>Hurston 24</v>
      </c>
      <c r="C378" s="5" t="str">
        <f>IF(ActiveDatabase=Standby,Secondary!C378,Primary!C378)</f>
        <v>Hurston 64</v>
      </c>
      <c r="D378" s="5" t="str">
        <f>IF(ActiveDatabase=Standby,Secondary!D378,Primary!D378)</f>
        <v>HDOF Palomar</v>
      </c>
      <c r="E378" s="6" t="str">
        <f>IF(ActiveDatabase=Standby,Secondary!E378,Primary!E378)</f>
        <v>Palomar</v>
      </c>
      <c r="F378" s="10">
        <f>IF(ActiveDatabase=Standby,Secondary!F378,Primary!F378)</f>
        <v>766.533002541</v>
      </c>
      <c r="G378" s="10">
        <f>IF(ActiveDatabase=Standby,Secondary!G378,Primary!G378)</f>
        <v>-74.214071085</v>
      </c>
      <c r="H378" s="10">
        <f>IF(ActiveDatabase=Standby,Secondary!H378,Primary!H378)</f>
        <v>-640.265339331</v>
      </c>
      <c r="I378" s="13">
        <f>IF(ActiveDatabase=Standby,Secondary!I378,Primary!I378)</f>
        <v>0</v>
      </c>
      <c r="J378" s="13">
        <f>IF(ActiveDatabase=Standby,Secondary!J378,Primary!J378)</f>
        <v>0</v>
      </c>
      <c r="K378" s="13">
        <f>IF(ActiveDatabase=Standby,Secondary!K378,Primary!K378)</f>
        <v>0</v>
      </c>
      <c r="L378" s="13">
        <f>IF(ActiveDatabase=Standby,Secondary!L378,Primary!L378)</f>
        <v>0</v>
      </c>
      <c r="M378" s="7" t="b">
        <f>IF(ActiveDatabase=Standby,Secondary!M378,Primary!M378)</f>
        <v>1</v>
      </c>
      <c r="N378" s="10">
        <f>IF(ActiveDatabase=Standby,Secondary!N378,Primary!N378)</f>
        <v>0</v>
      </c>
      <c r="O378" s="10">
        <f>IF(ActiveDatabase=Standby,Secondary!O378,Primary!O378)</f>
        <v>0</v>
      </c>
      <c r="P378" s="10">
        <f>IF(ActiveDatabase=Standby,Secondary!P378,Primary!P378)</f>
        <v>0</v>
      </c>
      <c r="Q378" s="6">
        <f>IF(ActiveDatabase=Standby,Secondary!Q378,Primary!Q378)</f>
        <v>0</v>
      </c>
      <c r="R378" s="18">
        <f>IF(ActiveDatabase=Standby,Secondary!R378,Primary!R378)</f>
        <v>0</v>
      </c>
      <c r="S378" s="19">
        <f>IF(ActiveDatabase=Standby,Secondary!S378,Primary!S378)</f>
        <v>0</v>
      </c>
      <c r="T378" s="10">
        <f>IF(ActiveDatabase=Standby,Secondary!T378,Primary!T378)</f>
        <v>0</v>
      </c>
      <c r="U378" s="10">
        <f>IF(ActiveDatabase=Standby,Secondary!U378,Primary!U378)</f>
        <v>0</v>
      </c>
      <c r="V378" s="10">
        <f>IF(ActiveDatabase=Standby,Secondary!V378,Primary!V378)</f>
        <v>0</v>
      </c>
      <c r="W378" s="6">
        <f>IF(ActiveDatabase=Standby,Secondary!W378,Primary!W378)</f>
        <v>0</v>
      </c>
      <c r="X378" s="6">
        <f>IF(ActiveDatabase=Standby,Secondary!X378,Primary!X378)</f>
        <v>0</v>
      </c>
      <c r="Y378" s="12">
        <f>IF(ActiveDatabase=Standby,Secondary!Y378,Primary!Y378)</f>
        <v>0</v>
      </c>
      <c r="Z378" s="12">
        <f>IF(ActiveDatabase=Standby,Secondary!Z378,Primary!Z378)</f>
        <v>0</v>
      </c>
      <c r="AA378" s="9">
        <f>IF(ActiveDatabase=Standby,Secondary!AA378,Primary!AA378)</f>
        <v>0</v>
      </c>
      <c r="AB378" s="12"/>
      <c r="AC378" s="6"/>
      <c r="AD378" s="6"/>
      <c r="AE378" s="7"/>
      <c r="AF378" s="7"/>
      <c r="AG378" s="7"/>
      <c r="AH378" s="7"/>
      <c r="AI378" s="7"/>
      <c r="AJ378" s="7"/>
      <c r="AK378" s="7"/>
      <c r="AL378" s="7"/>
      <c r="AM378" s="7"/>
      <c r="AN378" s="7"/>
      <c r="AO378" s="6"/>
      <c r="AP378" s="7"/>
      <c r="AQ378" s="7"/>
      <c r="AR378" s="6"/>
      <c r="AS378" s="7"/>
      <c r="AT378" s="7"/>
      <c r="AU378" s="7"/>
      <c r="AV378" s="7"/>
      <c r="AW378" s="7"/>
      <c r="AX378" s="7"/>
      <c r="AY378" s="7"/>
      <c r="AZ378" s="7"/>
      <c r="BA378" s="7"/>
      <c r="BB378" s="7"/>
      <c r="BC378" s="7"/>
      <c r="BD378" s="7"/>
      <c r="BE378" s="7"/>
      <c r="BF378" s="7"/>
      <c r="BG378" s="7"/>
    </row>
    <row r="379" customHeight="1" spans="1:59">
      <c r="A379" s="9" t="str">
        <f>IF(ActiveDatabase=Standby,Secondary!A379,Primary!A379)</f>
        <v>Hurston 12</v>
      </c>
      <c r="B379" s="5" t="str">
        <f>IF(ActiveDatabase=Standby,Secondary!B379,Primary!B379)</f>
        <v>Hurston 25</v>
      </c>
      <c r="C379" s="5" t="str">
        <f>IF(ActiveDatabase=Standby,Secondary!C379,Primary!C379)</f>
        <v>Hurston 99</v>
      </c>
      <c r="D379" s="5" t="str">
        <f>IF(ActiveDatabase=Standby,Secondary!D379,Primary!D379)</f>
        <v>HDSF Adlai</v>
      </c>
      <c r="E379" s="6" t="str">
        <f>IF(ActiveDatabase=Standby,Secondary!E379,Primary!E379)</f>
        <v>Adlai</v>
      </c>
      <c r="F379" s="10">
        <f>IF(ActiveDatabase=Standby,Secondary!F379,Primary!F379)</f>
        <v>-237.085942297</v>
      </c>
      <c r="G379" s="10">
        <f>IF(ActiveDatabase=Standby,Secondary!G379,Primary!G379)</f>
        <v>-810.782031927</v>
      </c>
      <c r="H379" s="10">
        <f>IF(ActiveDatabase=Standby,Secondary!H379,Primary!H379)</f>
        <v>537.793486058</v>
      </c>
      <c r="I379" s="13">
        <f>IF(ActiveDatabase=Standby,Secondary!I379,Primary!I379)</f>
        <v>0</v>
      </c>
      <c r="J379" s="13">
        <f>IF(ActiveDatabase=Standby,Secondary!J379,Primary!J379)</f>
        <v>0</v>
      </c>
      <c r="K379" s="13">
        <f>IF(ActiveDatabase=Standby,Secondary!K379,Primary!K379)</f>
        <v>0</v>
      </c>
      <c r="L379" s="13">
        <f>IF(ActiveDatabase=Standby,Secondary!L379,Primary!L379)</f>
        <v>0</v>
      </c>
      <c r="M379" s="7" t="b">
        <f>IF(ActiveDatabase=Standby,Secondary!M379,Primary!M379)</f>
        <v>1</v>
      </c>
      <c r="N379" s="10">
        <f>IF(ActiveDatabase=Standby,Secondary!N379,Primary!N379)</f>
        <v>0</v>
      </c>
      <c r="O379" s="10">
        <f>IF(ActiveDatabase=Standby,Secondary!O379,Primary!O379)</f>
        <v>0</v>
      </c>
      <c r="P379" s="10">
        <f>IF(ActiveDatabase=Standby,Secondary!P379,Primary!P379)</f>
        <v>0</v>
      </c>
      <c r="Q379" s="6">
        <f>IF(ActiveDatabase=Standby,Secondary!Q379,Primary!Q379)</f>
        <v>0</v>
      </c>
      <c r="R379" s="18">
        <f>IF(ActiveDatabase=Standby,Secondary!R379,Primary!R379)</f>
        <v>0</v>
      </c>
      <c r="S379" s="19">
        <f>IF(ActiveDatabase=Standby,Secondary!S379,Primary!S379)</f>
        <v>0</v>
      </c>
      <c r="T379" s="10">
        <f>IF(ActiveDatabase=Standby,Secondary!T379,Primary!T379)</f>
        <v>0</v>
      </c>
      <c r="U379" s="10">
        <f>IF(ActiveDatabase=Standby,Secondary!U379,Primary!U379)</f>
        <v>0</v>
      </c>
      <c r="V379" s="10">
        <f>IF(ActiveDatabase=Standby,Secondary!V379,Primary!V379)</f>
        <v>0</v>
      </c>
      <c r="W379" s="6">
        <f>IF(ActiveDatabase=Standby,Secondary!W379,Primary!W379)</f>
        <v>0</v>
      </c>
      <c r="X379" s="6">
        <f>IF(ActiveDatabase=Standby,Secondary!X379,Primary!X379)</f>
        <v>0</v>
      </c>
      <c r="Y379" s="12">
        <f>IF(ActiveDatabase=Standby,Secondary!Y379,Primary!Y379)</f>
        <v>0</v>
      </c>
      <c r="Z379" s="12">
        <f>IF(ActiveDatabase=Standby,Secondary!Z379,Primary!Z379)</f>
        <v>0</v>
      </c>
      <c r="AA379" s="9">
        <f>IF(ActiveDatabase=Standby,Secondary!AA379,Primary!AA379)</f>
        <v>0</v>
      </c>
      <c r="AB379" s="12"/>
      <c r="AC379" s="6"/>
      <c r="AD379" s="6"/>
      <c r="AE379" s="7"/>
      <c r="AF379" s="7"/>
      <c r="AG379" s="7"/>
      <c r="AH379" s="7"/>
      <c r="AI379" s="7"/>
      <c r="AJ379" s="7"/>
      <c r="AK379" s="7"/>
      <c r="AL379" s="7"/>
      <c r="AM379" s="7"/>
      <c r="AN379" s="7"/>
      <c r="AO379" s="6"/>
      <c r="AP379" s="7"/>
      <c r="AQ379" s="7"/>
      <c r="AR379" s="6"/>
      <c r="AS379" s="7"/>
      <c r="AT379" s="7"/>
      <c r="AU379" s="7"/>
      <c r="AV379" s="7"/>
      <c r="AW379" s="7"/>
      <c r="AX379" s="7"/>
      <c r="AY379" s="7"/>
      <c r="AZ379" s="7"/>
      <c r="BA379" s="7"/>
      <c r="BB379" s="7"/>
      <c r="BC379" s="7"/>
      <c r="BD379" s="7"/>
      <c r="BE379" s="7"/>
      <c r="BF379" s="7"/>
      <c r="BG379" s="7"/>
    </row>
    <row r="380" customHeight="1" spans="1:59">
      <c r="A380" s="9" t="str">
        <f>IF(ActiveDatabase=Standby,Secondary!A380,Primary!A380)</f>
        <v>Hurston 13</v>
      </c>
      <c r="B380" s="5" t="str">
        <f>IF(ActiveDatabase=Standby,Secondary!B380,Primary!B380)</f>
        <v>Hurston 26</v>
      </c>
      <c r="C380" s="5" t="str">
        <f>IF(ActiveDatabase=Standby,Secondary!C380,Primary!C380)</f>
        <v>Hurston 11</v>
      </c>
      <c r="D380" s="5" t="str">
        <f>IF(ActiveDatabase=Standby,Secondary!D380,Primary!D380)</f>
        <v>HDSF Barnabas</v>
      </c>
      <c r="E380" s="6" t="str">
        <f>IF(ActiveDatabase=Standby,Secondary!E380,Primary!E380)</f>
        <v>Barnabas</v>
      </c>
      <c r="F380" s="10">
        <f>IF(ActiveDatabase=Standby,Secondary!F380,Primary!F380)</f>
        <v>-895.942714199</v>
      </c>
      <c r="G380" s="10">
        <f>IF(ActiveDatabase=Standby,Secondary!G380,Primary!G380)</f>
        <v>365.596510088999</v>
      </c>
      <c r="H380" s="10">
        <f>IF(ActiveDatabase=Standby,Secondary!H380,Primary!H380)</f>
        <v>-252.263204159999</v>
      </c>
      <c r="I380" s="13">
        <f>IF(ActiveDatabase=Standby,Secondary!I380,Primary!I380)</f>
        <v>0</v>
      </c>
      <c r="J380" s="13">
        <f>IF(ActiveDatabase=Standby,Secondary!J380,Primary!J380)</f>
        <v>0</v>
      </c>
      <c r="K380" s="13">
        <f>IF(ActiveDatabase=Standby,Secondary!K380,Primary!K380)</f>
        <v>0</v>
      </c>
      <c r="L380" s="13">
        <f>IF(ActiveDatabase=Standby,Secondary!L380,Primary!L380)</f>
        <v>0</v>
      </c>
      <c r="M380" s="7" t="b">
        <f>IF(ActiveDatabase=Standby,Secondary!M380,Primary!M380)</f>
        <v>1</v>
      </c>
      <c r="N380" s="10">
        <f>IF(ActiveDatabase=Standby,Secondary!N380,Primary!N380)</f>
        <v>0</v>
      </c>
      <c r="O380" s="10">
        <f>IF(ActiveDatabase=Standby,Secondary!O380,Primary!O380)</f>
        <v>0</v>
      </c>
      <c r="P380" s="10">
        <f>IF(ActiveDatabase=Standby,Secondary!P380,Primary!P380)</f>
        <v>0</v>
      </c>
      <c r="Q380" s="6">
        <f>IF(ActiveDatabase=Standby,Secondary!Q380,Primary!Q380)</f>
        <v>0</v>
      </c>
      <c r="R380" s="18">
        <f>IF(ActiveDatabase=Standby,Secondary!R380,Primary!R380)</f>
        <v>0</v>
      </c>
      <c r="S380" s="19">
        <f>IF(ActiveDatabase=Standby,Secondary!S380,Primary!S380)</f>
        <v>0</v>
      </c>
      <c r="T380" s="10">
        <f>IF(ActiveDatabase=Standby,Secondary!T380,Primary!T380)</f>
        <v>0</v>
      </c>
      <c r="U380" s="10">
        <f>IF(ActiveDatabase=Standby,Secondary!U380,Primary!U380)</f>
        <v>0</v>
      </c>
      <c r="V380" s="10">
        <f>IF(ActiveDatabase=Standby,Secondary!V380,Primary!V380)</f>
        <v>0</v>
      </c>
      <c r="W380" s="6">
        <f>IF(ActiveDatabase=Standby,Secondary!W380,Primary!W380)</f>
        <v>0</v>
      </c>
      <c r="X380" s="6">
        <f>IF(ActiveDatabase=Standby,Secondary!X380,Primary!X380)</f>
        <v>0</v>
      </c>
      <c r="Y380" s="12">
        <f>IF(ActiveDatabase=Standby,Secondary!Y380,Primary!Y380)</f>
        <v>0</v>
      </c>
      <c r="Z380" s="12">
        <f>IF(ActiveDatabase=Standby,Secondary!Z380,Primary!Z380)</f>
        <v>0</v>
      </c>
      <c r="AA380" s="7">
        <f>IF(ActiveDatabase=Standby,Secondary!AA380,Primary!AA380)</f>
        <v>0</v>
      </c>
      <c r="AB380" s="12"/>
      <c r="AC380" s="6"/>
      <c r="AD380" s="6"/>
      <c r="AE380" s="7"/>
      <c r="AF380" s="7"/>
      <c r="AG380" s="7"/>
      <c r="AH380" s="7"/>
      <c r="AI380" s="7"/>
      <c r="AJ380" s="7"/>
      <c r="AK380" s="7"/>
      <c r="AL380" s="7"/>
      <c r="AM380" s="7"/>
      <c r="AN380" s="7"/>
      <c r="AO380" s="6"/>
      <c r="AP380" s="7"/>
      <c r="AQ380" s="7"/>
      <c r="AR380" s="6"/>
      <c r="AS380" s="7"/>
      <c r="AT380" s="7"/>
      <c r="AU380" s="7"/>
      <c r="AV380" s="7"/>
      <c r="AW380" s="7"/>
      <c r="AX380" s="7"/>
      <c r="AY380" s="7"/>
      <c r="AZ380" s="7"/>
      <c r="BA380" s="7"/>
      <c r="BB380" s="7"/>
      <c r="BC380" s="7"/>
      <c r="BD380" s="7"/>
      <c r="BE380" s="7"/>
      <c r="BF380" s="7"/>
      <c r="BG380" s="7"/>
    </row>
    <row r="381" customHeight="1" spans="1:59">
      <c r="A381" s="9" t="str">
        <f>IF(ActiveDatabase=Standby,Secondary!A381,Primary!A381)</f>
        <v>Hurston 14</v>
      </c>
      <c r="B381" s="5" t="str">
        <f>IF(ActiveDatabase=Standby,Secondary!B381,Primary!B381)</f>
        <v>Hurston 27</v>
      </c>
      <c r="C381" s="5" t="str">
        <f>IF(ActiveDatabase=Standby,Secondary!C381,Primary!C381)</f>
        <v>Hurston 26</v>
      </c>
      <c r="D381" s="5" t="str">
        <f>IF(ActiveDatabase=Standby,Secondary!D381,Primary!D381)</f>
        <v>HDSF Breckinridge</v>
      </c>
      <c r="E381" s="6" t="str">
        <f>IF(ActiveDatabase=Standby,Secondary!E381,Primary!E381)</f>
        <v>Breckinridge</v>
      </c>
      <c r="F381" s="10">
        <f>IF(ActiveDatabase=Standby,Secondary!F381,Primary!F381)</f>
        <v>-557.687652467999</v>
      </c>
      <c r="G381" s="10">
        <f>IF(ActiveDatabase=Standby,Secondary!G381,Primary!G381)</f>
        <v>680.562740695</v>
      </c>
      <c r="H381" s="10">
        <f>IF(ActiveDatabase=Standby,Secondary!H381,Primary!H381)</f>
        <v>-477.688169684</v>
      </c>
      <c r="I381" s="13">
        <f>IF(ActiveDatabase=Standby,Secondary!I381,Primary!I381)</f>
        <v>0</v>
      </c>
      <c r="J381" s="13">
        <f>IF(ActiveDatabase=Standby,Secondary!J381,Primary!J381)</f>
        <v>0</v>
      </c>
      <c r="K381" s="13">
        <f>IF(ActiveDatabase=Standby,Secondary!K381,Primary!K381)</f>
        <v>0</v>
      </c>
      <c r="L381" s="13">
        <f>IF(ActiveDatabase=Standby,Secondary!L381,Primary!L381)</f>
        <v>0</v>
      </c>
      <c r="M381" s="7" t="b">
        <f>IF(ActiveDatabase=Standby,Secondary!M381,Primary!M381)</f>
        <v>1</v>
      </c>
      <c r="N381" s="10">
        <f>IF(ActiveDatabase=Standby,Secondary!N381,Primary!N381)</f>
        <v>0</v>
      </c>
      <c r="O381" s="10">
        <f>IF(ActiveDatabase=Standby,Secondary!O381,Primary!O381)</f>
        <v>0</v>
      </c>
      <c r="P381" s="10">
        <f>IF(ActiveDatabase=Standby,Secondary!P381,Primary!P381)</f>
        <v>0</v>
      </c>
      <c r="Q381" s="6">
        <f>IF(ActiveDatabase=Standby,Secondary!Q381,Primary!Q381)</f>
        <v>0</v>
      </c>
      <c r="R381" s="18">
        <f>IF(ActiveDatabase=Standby,Secondary!R381,Primary!R381)</f>
        <v>0</v>
      </c>
      <c r="S381" s="19">
        <f>IF(ActiveDatabase=Standby,Secondary!S381,Primary!S381)</f>
        <v>0</v>
      </c>
      <c r="T381" s="10">
        <f>IF(ActiveDatabase=Standby,Secondary!T381,Primary!T381)</f>
        <v>0</v>
      </c>
      <c r="U381" s="10">
        <f>IF(ActiveDatabase=Standby,Secondary!U381,Primary!U381)</f>
        <v>0</v>
      </c>
      <c r="V381" s="10">
        <f>IF(ActiveDatabase=Standby,Secondary!V381,Primary!V381)</f>
        <v>0</v>
      </c>
      <c r="W381" s="6">
        <f>IF(ActiveDatabase=Standby,Secondary!W381,Primary!W381)</f>
        <v>0</v>
      </c>
      <c r="X381" s="6">
        <f>IF(ActiveDatabase=Standby,Secondary!X381,Primary!X381)</f>
        <v>0</v>
      </c>
      <c r="Y381" s="12">
        <f>IF(ActiveDatabase=Standby,Secondary!Y381,Primary!Y381)</f>
        <v>0</v>
      </c>
      <c r="Z381" s="12">
        <f>IF(ActiveDatabase=Standby,Secondary!Z381,Primary!Z381)</f>
        <v>0</v>
      </c>
      <c r="AA381" s="7">
        <f>IF(ActiveDatabase=Standby,Secondary!AA381,Primary!AA381)</f>
        <v>0</v>
      </c>
      <c r="AB381" s="12"/>
      <c r="AC381" s="6"/>
      <c r="AD381" s="6"/>
      <c r="AE381" s="7"/>
      <c r="AF381" s="7"/>
      <c r="AG381" s="7"/>
      <c r="AH381" s="7"/>
      <c r="AI381" s="7"/>
      <c r="AJ381" s="7"/>
      <c r="AK381" s="7"/>
      <c r="AL381" s="7"/>
      <c r="AM381" s="7"/>
      <c r="AN381" s="7"/>
      <c r="AO381" s="6"/>
      <c r="AP381" s="7"/>
      <c r="AQ381" s="7"/>
      <c r="AR381" s="6"/>
      <c r="AS381" s="7"/>
      <c r="AT381" s="7"/>
      <c r="AU381" s="7"/>
      <c r="AV381" s="7"/>
      <c r="AW381" s="7"/>
      <c r="AX381" s="7"/>
      <c r="AY381" s="7"/>
      <c r="AZ381" s="7"/>
      <c r="BA381" s="7"/>
      <c r="BB381" s="7"/>
      <c r="BC381" s="7"/>
      <c r="BD381" s="7"/>
      <c r="BE381" s="7"/>
      <c r="BF381" s="7"/>
      <c r="BG381" s="7"/>
    </row>
    <row r="382" customHeight="1" spans="1:59">
      <c r="A382" s="9" t="str">
        <f>IF(ActiveDatabase=Standby,Secondary!A382,Primary!A382)</f>
        <v>Hurston 15</v>
      </c>
      <c r="B382" s="5" t="str">
        <f>IF(ActiveDatabase=Standby,Secondary!B382,Primary!B382)</f>
        <v>Hurston 28</v>
      </c>
      <c r="C382" s="5" t="str">
        <f>IF(ActiveDatabase=Standby,Secondary!C382,Primary!C382)</f>
        <v>Hurston 54</v>
      </c>
      <c r="D382" s="5" t="str">
        <f>IF(ActiveDatabase=Standby,Secondary!D382,Primary!D382)</f>
        <v>HDSF Colfax</v>
      </c>
      <c r="E382" s="6" t="str">
        <f>IF(ActiveDatabase=Standby,Secondary!E382,Primary!E382)</f>
        <v>Colfax</v>
      </c>
      <c r="F382" s="10">
        <f>IF(ActiveDatabase=Standby,Secondary!F382,Primary!F382)</f>
        <v>902.219043824</v>
      </c>
      <c r="G382" s="10">
        <f>IF(ActiveDatabase=Standby,Secondary!G382,Primary!G382)</f>
        <v>383.909065915999</v>
      </c>
      <c r="H382" s="10">
        <f>IF(ActiveDatabase=Standby,Secondary!H382,Primary!H382)</f>
        <v>-203.813808098</v>
      </c>
      <c r="I382" s="13">
        <f>IF(ActiveDatabase=Standby,Secondary!I382,Primary!I382)</f>
        <v>0</v>
      </c>
      <c r="J382" s="13">
        <f>IF(ActiveDatabase=Standby,Secondary!J382,Primary!J382)</f>
        <v>0</v>
      </c>
      <c r="K382" s="13">
        <f>IF(ActiveDatabase=Standby,Secondary!K382,Primary!K382)</f>
        <v>0</v>
      </c>
      <c r="L382" s="13">
        <f>IF(ActiveDatabase=Standby,Secondary!L382,Primary!L382)</f>
        <v>0</v>
      </c>
      <c r="M382" s="7" t="b">
        <f>IF(ActiveDatabase=Standby,Secondary!M382,Primary!M382)</f>
        <v>1</v>
      </c>
      <c r="N382" s="10">
        <f>IF(ActiveDatabase=Standby,Secondary!N382,Primary!N382)</f>
        <v>0</v>
      </c>
      <c r="O382" s="10">
        <f>IF(ActiveDatabase=Standby,Secondary!O382,Primary!O382)</f>
        <v>0</v>
      </c>
      <c r="P382" s="10">
        <f>IF(ActiveDatabase=Standby,Secondary!P382,Primary!P382)</f>
        <v>0</v>
      </c>
      <c r="Q382" s="6">
        <f>IF(ActiveDatabase=Standby,Secondary!Q382,Primary!Q382)</f>
        <v>0</v>
      </c>
      <c r="R382" s="18">
        <f>IF(ActiveDatabase=Standby,Secondary!R382,Primary!R382)</f>
        <v>0</v>
      </c>
      <c r="S382" s="19">
        <f>IF(ActiveDatabase=Standby,Secondary!S382,Primary!S382)</f>
        <v>0</v>
      </c>
      <c r="T382" s="10">
        <f>IF(ActiveDatabase=Standby,Secondary!T382,Primary!T382)</f>
        <v>0</v>
      </c>
      <c r="U382" s="10">
        <f>IF(ActiveDatabase=Standby,Secondary!U382,Primary!U382)</f>
        <v>0</v>
      </c>
      <c r="V382" s="10">
        <f>IF(ActiveDatabase=Standby,Secondary!V382,Primary!V382)</f>
        <v>0</v>
      </c>
      <c r="W382" s="6">
        <f>IF(ActiveDatabase=Standby,Secondary!W382,Primary!W382)</f>
        <v>0</v>
      </c>
      <c r="X382" s="6">
        <f>IF(ActiveDatabase=Standby,Secondary!X382,Primary!X382)</f>
        <v>0</v>
      </c>
      <c r="Y382" s="12">
        <f>IF(ActiveDatabase=Standby,Secondary!Y382,Primary!Y382)</f>
        <v>0</v>
      </c>
      <c r="Z382" s="12">
        <f>IF(ActiveDatabase=Standby,Secondary!Z382,Primary!Z382)</f>
        <v>0</v>
      </c>
      <c r="AA382" s="7">
        <f>IF(ActiveDatabase=Standby,Secondary!AA382,Primary!AA382)</f>
        <v>0</v>
      </c>
      <c r="AB382" s="12"/>
      <c r="AC382" s="6"/>
      <c r="AD382" s="6"/>
      <c r="AE382" s="7"/>
      <c r="AF382" s="7"/>
      <c r="AG382" s="7"/>
      <c r="AH382" s="7"/>
      <c r="AI382" s="7"/>
      <c r="AJ382" s="7"/>
      <c r="AK382" s="7"/>
      <c r="AL382" s="7"/>
      <c r="AM382" s="7"/>
      <c r="AN382" s="7"/>
      <c r="AO382" s="6"/>
      <c r="AP382" s="7"/>
      <c r="AQ382" s="7"/>
      <c r="AR382" s="6"/>
      <c r="AS382" s="7"/>
      <c r="AT382" s="7"/>
      <c r="AU382" s="7"/>
      <c r="AV382" s="7"/>
      <c r="AW382" s="7"/>
      <c r="AX382" s="7"/>
      <c r="AY382" s="7"/>
      <c r="AZ382" s="7"/>
      <c r="BA382" s="7"/>
      <c r="BB382" s="7"/>
      <c r="BC382" s="7"/>
      <c r="BD382" s="7"/>
      <c r="BE382" s="7"/>
      <c r="BF382" s="7"/>
      <c r="BG382" s="7"/>
    </row>
    <row r="383" customHeight="1" spans="1:59">
      <c r="A383" s="9" t="str">
        <f>IF(ActiveDatabase=Standby,Secondary!A383,Primary!A383)</f>
        <v>Hurston 16</v>
      </c>
      <c r="B383" s="5" t="str">
        <f>IF(ActiveDatabase=Standby,Secondary!B383,Primary!B383)</f>
        <v>Hurston 29</v>
      </c>
      <c r="C383" s="5" t="str">
        <f>IF(ActiveDatabase=Standby,Secondary!C383,Primary!C383)</f>
        <v>Hurston 15</v>
      </c>
      <c r="D383" s="5" t="str">
        <f>IF(ActiveDatabase=Standby,Secondary!D383,Primary!D383)</f>
        <v>HDSF Damaris</v>
      </c>
      <c r="E383" s="6" t="str">
        <f>IF(ActiveDatabase=Standby,Secondary!E383,Primary!E383)</f>
        <v>Damaris</v>
      </c>
      <c r="F383" s="10">
        <f>IF(ActiveDatabase=Standby,Secondary!F383,Primary!F383)</f>
        <v>-898.569827507999</v>
      </c>
      <c r="G383" s="10">
        <f>IF(ActiveDatabase=Standby,Secondary!G383,Primary!G383)</f>
        <v>420.342659296</v>
      </c>
      <c r="H383" s="10">
        <f>IF(ActiveDatabase=Standby,Secondary!H383,Primary!H383)</f>
        <v>-142.011500043</v>
      </c>
      <c r="I383" s="13">
        <f>IF(ActiveDatabase=Standby,Secondary!I383,Primary!I383)</f>
        <v>0</v>
      </c>
      <c r="J383" s="13">
        <f>IF(ActiveDatabase=Standby,Secondary!J383,Primary!J383)</f>
        <v>0</v>
      </c>
      <c r="K383" s="13">
        <f>IF(ActiveDatabase=Standby,Secondary!K383,Primary!K383)</f>
        <v>0</v>
      </c>
      <c r="L383" s="13">
        <f>IF(ActiveDatabase=Standby,Secondary!L383,Primary!L383)</f>
        <v>0</v>
      </c>
      <c r="M383" s="7" t="b">
        <f>IF(ActiveDatabase=Standby,Secondary!M383,Primary!M383)</f>
        <v>1</v>
      </c>
      <c r="N383" s="10">
        <f>IF(ActiveDatabase=Standby,Secondary!N383,Primary!N383)</f>
        <v>0</v>
      </c>
      <c r="O383" s="10">
        <f>IF(ActiveDatabase=Standby,Secondary!O383,Primary!O383)</f>
        <v>0</v>
      </c>
      <c r="P383" s="10">
        <f>IF(ActiveDatabase=Standby,Secondary!P383,Primary!P383)</f>
        <v>0</v>
      </c>
      <c r="Q383" s="6">
        <f>IF(ActiveDatabase=Standby,Secondary!Q383,Primary!Q383)</f>
        <v>0</v>
      </c>
      <c r="R383" s="18">
        <f>IF(ActiveDatabase=Standby,Secondary!R383,Primary!R383)</f>
        <v>0</v>
      </c>
      <c r="S383" s="19">
        <f>IF(ActiveDatabase=Standby,Secondary!S383,Primary!S383)</f>
        <v>0</v>
      </c>
      <c r="T383" s="10">
        <f>IF(ActiveDatabase=Standby,Secondary!T383,Primary!T383)</f>
        <v>0</v>
      </c>
      <c r="U383" s="10">
        <f>IF(ActiveDatabase=Standby,Secondary!U383,Primary!U383)</f>
        <v>0</v>
      </c>
      <c r="V383" s="10">
        <f>IF(ActiveDatabase=Standby,Secondary!V383,Primary!V383)</f>
        <v>0</v>
      </c>
      <c r="W383" s="6">
        <f>IF(ActiveDatabase=Standby,Secondary!W383,Primary!W383)</f>
        <v>0</v>
      </c>
      <c r="X383" s="6">
        <f>IF(ActiveDatabase=Standby,Secondary!X383,Primary!X383)</f>
        <v>0</v>
      </c>
      <c r="Y383" s="12">
        <f>IF(ActiveDatabase=Standby,Secondary!Y383,Primary!Y383)</f>
        <v>0</v>
      </c>
      <c r="Z383" s="12">
        <f>IF(ActiveDatabase=Standby,Secondary!Z383,Primary!Z383)</f>
        <v>0</v>
      </c>
      <c r="AA383" s="7">
        <f>IF(ActiveDatabase=Standby,Secondary!AA383,Primary!AA383)</f>
        <v>0</v>
      </c>
      <c r="AB383" s="12"/>
      <c r="AC383" s="6"/>
      <c r="AD383" s="6"/>
      <c r="AE383" s="7"/>
      <c r="AF383" s="7"/>
      <c r="AG383" s="7"/>
      <c r="AH383" s="7"/>
      <c r="AI383" s="7"/>
      <c r="AJ383" s="7"/>
      <c r="AK383" s="7"/>
      <c r="AL383" s="7"/>
      <c r="AM383" s="7"/>
      <c r="AN383" s="7"/>
      <c r="AO383" s="6"/>
      <c r="AP383" s="7"/>
      <c r="AQ383" s="7"/>
      <c r="AR383" s="6"/>
      <c r="AS383" s="7"/>
      <c r="AT383" s="7"/>
      <c r="AU383" s="7"/>
      <c r="AV383" s="7"/>
      <c r="AW383" s="7"/>
      <c r="AX383" s="7"/>
      <c r="AY383" s="7"/>
      <c r="AZ383" s="7"/>
      <c r="BA383" s="7"/>
      <c r="BB383" s="7"/>
      <c r="BC383" s="7"/>
      <c r="BD383" s="7"/>
      <c r="BE383" s="7"/>
      <c r="BF383" s="7"/>
      <c r="BG383" s="7"/>
    </row>
    <row r="384" customHeight="1" spans="1:59">
      <c r="A384" s="9" t="str">
        <f>IF(ActiveDatabase=Standby,Secondary!A384,Primary!A384)</f>
        <v>Hurston 17</v>
      </c>
      <c r="B384" s="5" t="str">
        <f>IF(ActiveDatabase=Standby,Secondary!B384,Primary!B384)</f>
        <v>Hurston 30</v>
      </c>
      <c r="C384" s="5" t="str">
        <f>IF(ActiveDatabase=Standby,Secondary!C384,Primary!C384)</f>
        <v>Hurston 50</v>
      </c>
      <c r="D384" s="5" t="str">
        <f>IF(ActiveDatabase=Standby,Secondary!D384,Primary!D384)</f>
        <v>HDSF Elbridge</v>
      </c>
      <c r="E384" s="6" t="str">
        <f>IF(ActiveDatabase=Standby,Secondary!E384,Primary!E384)</f>
        <v>Elbridge</v>
      </c>
      <c r="F384" s="10">
        <f>IF(ActiveDatabase=Standby,Secondary!F384,Primary!F384)</f>
        <v>449.308674648999</v>
      </c>
      <c r="G384" s="10">
        <f>IF(ActiveDatabase=Standby,Secondary!G384,Primary!G384)</f>
        <v>838.693225365999</v>
      </c>
      <c r="H384" s="10">
        <f>IF(ActiveDatabase=Standby,Secondary!H384,Primary!H384)</f>
        <v>310.715060245</v>
      </c>
      <c r="I384" s="13">
        <f>IF(ActiveDatabase=Standby,Secondary!I384,Primary!I384)</f>
        <v>0</v>
      </c>
      <c r="J384" s="13">
        <f>IF(ActiveDatabase=Standby,Secondary!J384,Primary!J384)</f>
        <v>0</v>
      </c>
      <c r="K384" s="13">
        <f>IF(ActiveDatabase=Standby,Secondary!K384,Primary!K384)</f>
        <v>0</v>
      </c>
      <c r="L384" s="13">
        <f>IF(ActiveDatabase=Standby,Secondary!L384,Primary!L384)</f>
        <v>0</v>
      </c>
      <c r="M384" s="7" t="b">
        <f>IF(ActiveDatabase=Standby,Secondary!M384,Primary!M384)</f>
        <v>1</v>
      </c>
      <c r="N384" s="10">
        <f>IF(ActiveDatabase=Standby,Secondary!N384,Primary!N384)</f>
        <v>0</v>
      </c>
      <c r="O384" s="10">
        <f>IF(ActiveDatabase=Standby,Secondary!O384,Primary!O384)</f>
        <v>0</v>
      </c>
      <c r="P384" s="10">
        <f>IF(ActiveDatabase=Standby,Secondary!P384,Primary!P384)</f>
        <v>0</v>
      </c>
      <c r="Q384" s="6">
        <f>IF(ActiveDatabase=Standby,Secondary!Q384,Primary!Q384)</f>
        <v>0</v>
      </c>
      <c r="R384" s="18">
        <f>IF(ActiveDatabase=Standby,Secondary!R384,Primary!R384)</f>
        <v>0</v>
      </c>
      <c r="S384" s="19">
        <f>IF(ActiveDatabase=Standby,Secondary!S384,Primary!S384)</f>
        <v>0</v>
      </c>
      <c r="T384" s="10">
        <f>IF(ActiveDatabase=Standby,Secondary!T384,Primary!T384)</f>
        <v>0</v>
      </c>
      <c r="U384" s="10">
        <f>IF(ActiveDatabase=Standby,Secondary!U384,Primary!U384)</f>
        <v>0</v>
      </c>
      <c r="V384" s="10">
        <f>IF(ActiveDatabase=Standby,Secondary!V384,Primary!V384)</f>
        <v>0</v>
      </c>
      <c r="W384" s="6">
        <f>IF(ActiveDatabase=Standby,Secondary!W384,Primary!W384)</f>
        <v>0</v>
      </c>
      <c r="X384" s="6">
        <f>IF(ActiveDatabase=Standby,Secondary!X384,Primary!X384)</f>
        <v>0</v>
      </c>
      <c r="Y384" s="12">
        <f>IF(ActiveDatabase=Standby,Secondary!Y384,Primary!Y384)</f>
        <v>0</v>
      </c>
      <c r="Z384" s="12">
        <f>IF(ActiveDatabase=Standby,Secondary!Z384,Primary!Z384)</f>
        <v>0</v>
      </c>
      <c r="AA384" s="7">
        <f>IF(ActiveDatabase=Standby,Secondary!AA384,Primary!AA384)</f>
        <v>0</v>
      </c>
      <c r="AB384" s="12"/>
      <c r="AC384" s="6"/>
      <c r="AD384" s="6"/>
      <c r="AE384" s="7"/>
      <c r="AF384" s="7"/>
      <c r="AG384" s="7"/>
      <c r="AH384" s="7"/>
      <c r="AI384" s="7"/>
      <c r="AJ384" s="7"/>
      <c r="AK384" s="7"/>
      <c r="AL384" s="7"/>
      <c r="AM384" s="7"/>
      <c r="AN384" s="7"/>
      <c r="AO384" s="6"/>
      <c r="AP384" s="7"/>
      <c r="AQ384" s="7"/>
      <c r="AR384" s="6"/>
      <c r="AS384" s="7"/>
      <c r="AT384" s="7"/>
      <c r="AU384" s="7"/>
      <c r="AV384" s="7"/>
      <c r="AW384" s="7"/>
      <c r="AX384" s="7"/>
      <c r="AY384" s="7"/>
      <c r="AZ384" s="7"/>
      <c r="BA384" s="7"/>
      <c r="BB384" s="7"/>
      <c r="BC384" s="7"/>
      <c r="BD384" s="7"/>
      <c r="BE384" s="7"/>
      <c r="BF384" s="7"/>
      <c r="BG384" s="7"/>
    </row>
    <row r="385" customHeight="1" spans="1:59">
      <c r="A385" s="9" t="str">
        <f>IF(ActiveDatabase=Standby,Secondary!A385,Primary!A385)</f>
        <v>Hurston 18</v>
      </c>
      <c r="B385" s="5" t="str">
        <f>IF(ActiveDatabase=Standby,Secondary!B385,Primary!B385)</f>
        <v>Hurston 31</v>
      </c>
      <c r="C385" s="5" t="str">
        <f>IF(ActiveDatabase=Standby,Secondary!C385,Primary!C385)</f>
        <v>Hurston 89</v>
      </c>
      <c r="D385" s="5" t="str">
        <f>IF(ActiveDatabase=Standby,Secondary!D385,Primary!D385)</f>
        <v>HDSF Hendricks</v>
      </c>
      <c r="E385" s="6" t="str">
        <f>IF(ActiveDatabase=Standby,Secondary!E385,Primary!E385)</f>
        <v>Hendricks</v>
      </c>
      <c r="F385" s="10">
        <f>IF(ActiveDatabase=Standby,Secondary!F385,Primary!F385)</f>
        <v>63.6344680769999</v>
      </c>
      <c r="G385" s="10">
        <f>IF(ActiveDatabase=Standby,Secondary!G385,Primary!G385)</f>
        <v>-969.032517166999</v>
      </c>
      <c r="H385" s="10">
        <f>IF(ActiveDatabase=Standby,Secondary!H385,Primary!H385)</f>
        <v>-242.667407004</v>
      </c>
      <c r="I385" s="13">
        <f>IF(ActiveDatabase=Standby,Secondary!I385,Primary!I385)</f>
        <v>0</v>
      </c>
      <c r="J385" s="13">
        <f>IF(ActiveDatabase=Standby,Secondary!J385,Primary!J385)</f>
        <v>0</v>
      </c>
      <c r="K385" s="13">
        <f>IF(ActiveDatabase=Standby,Secondary!K385,Primary!K385)</f>
        <v>0</v>
      </c>
      <c r="L385" s="13">
        <f>IF(ActiveDatabase=Standby,Secondary!L385,Primary!L385)</f>
        <v>0</v>
      </c>
      <c r="M385" s="7" t="b">
        <f>IF(ActiveDatabase=Standby,Secondary!M385,Primary!M385)</f>
        <v>1</v>
      </c>
      <c r="N385" s="10">
        <f>IF(ActiveDatabase=Standby,Secondary!N385,Primary!N385)</f>
        <v>0</v>
      </c>
      <c r="O385" s="10">
        <f>IF(ActiveDatabase=Standby,Secondary!O385,Primary!O385)</f>
        <v>0</v>
      </c>
      <c r="P385" s="10">
        <f>IF(ActiveDatabase=Standby,Secondary!P385,Primary!P385)</f>
        <v>0</v>
      </c>
      <c r="Q385" s="6">
        <f>IF(ActiveDatabase=Standby,Secondary!Q385,Primary!Q385)</f>
        <v>0</v>
      </c>
      <c r="R385" s="18">
        <f>IF(ActiveDatabase=Standby,Secondary!R385,Primary!R385)</f>
        <v>0</v>
      </c>
      <c r="S385" s="19">
        <f>IF(ActiveDatabase=Standby,Secondary!S385,Primary!S385)</f>
        <v>0</v>
      </c>
      <c r="T385" s="10">
        <f>IF(ActiveDatabase=Standby,Secondary!T385,Primary!T385)</f>
        <v>0</v>
      </c>
      <c r="U385" s="10">
        <f>IF(ActiveDatabase=Standby,Secondary!U385,Primary!U385)</f>
        <v>0</v>
      </c>
      <c r="V385" s="10">
        <f>IF(ActiveDatabase=Standby,Secondary!V385,Primary!V385)</f>
        <v>0</v>
      </c>
      <c r="W385" s="6">
        <f>IF(ActiveDatabase=Standby,Secondary!W385,Primary!W385)</f>
        <v>0</v>
      </c>
      <c r="X385" s="6">
        <f>IF(ActiveDatabase=Standby,Secondary!X385,Primary!X385)</f>
        <v>0</v>
      </c>
      <c r="Y385" s="12">
        <f>IF(ActiveDatabase=Standby,Secondary!Y385,Primary!Y385)</f>
        <v>0</v>
      </c>
      <c r="Z385" s="12">
        <f>IF(ActiveDatabase=Standby,Secondary!Z385,Primary!Z385)</f>
        <v>0</v>
      </c>
      <c r="AA385" s="7">
        <f>IF(ActiveDatabase=Standby,Secondary!AA385,Primary!AA385)</f>
        <v>0</v>
      </c>
      <c r="AB385" s="12"/>
      <c r="AC385" s="6"/>
      <c r="AD385" s="6"/>
      <c r="AE385" s="7"/>
      <c r="AF385" s="7"/>
      <c r="AG385" s="7"/>
      <c r="AH385" s="7"/>
      <c r="AI385" s="7"/>
      <c r="AJ385" s="7"/>
      <c r="AK385" s="7"/>
      <c r="AL385" s="7"/>
      <c r="AM385" s="7"/>
      <c r="AN385" s="7"/>
      <c r="AO385" s="6"/>
      <c r="AP385" s="7"/>
      <c r="AQ385" s="7"/>
      <c r="AR385" s="6"/>
      <c r="AS385" s="7"/>
      <c r="AT385" s="7"/>
      <c r="AU385" s="7"/>
      <c r="AV385" s="7"/>
      <c r="AW385" s="7"/>
      <c r="AX385" s="7"/>
      <c r="AY385" s="7"/>
      <c r="AZ385" s="7"/>
      <c r="BA385" s="7"/>
      <c r="BB385" s="7"/>
      <c r="BC385" s="7"/>
      <c r="BD385" s="7"/>
      <c r="BE385" s="7"/>
      <c r="BF385" s="7"/>
      <c r="BG385" s="7"/>
    </row>
    <row r="386" customHeight="1" spans="1:59">
      <c r="A386" s="9" t="str">
        <f>IF(ActiveDatabase=Standby,Secondary!A386,Primary!A386)</f>
        <v>Hurston 19</v>
      </c>
      <c r="B386" s="5" t="str">
        <f>IF(ActiveDatabase=Standby,Secondary!B386,Primary!B386)</f>
        <v>Hurston 32</v>
      </c>
      <c r="C386" s="5" t="str">
        <f>IF(ActiveDatabase=Standby,Secondary!C386,Primary!C386)</f>
        <v>Hurston 135</v>
      </c>
      <c r="D386" s="5" t="str">
        <f>IF(ActiveDatabase=Standby,Secondary!D386,Primary!D386)</f>
        <v>HDSF Hiram</v>
      </c>
      <c r="E386" s="6" t="str">
        <f>IF(ActiveDatabase=Standby,Secondary!E386,Primary!E386)</f>
        <v>Hiram</v>
      </c>
      <c r="F386" s="10">
        <f>IF(ActiveDatabase=Standby,Secondary!F386,Primary!F386)</f>
        <v>-942.50480078</v>
      </c>
      <c r="G386" s="10">
        <f>IF(ActiveDatabase=Standby,Secondary!G386,Primary!G386)</f>
        <v>-317.019990258999</v>
      </c>
      <c r="H386" s="10">
        <f>IF(ActiveDatabase=Standby,Secondary!H386,Primary!H386)</f>
        <v>122.604948322</v>
      </c>
      <c r="I386" s="13">
        <f>IF(ActiveDatabase=Standby,Secondary!I386,Primary!I386)</f>
        <v>0</v>
      </c>
      <c r="J386" s="13">
        <f>IF(ActiveDatabase=Standby,Secondary!J386,Primary!J386)</f>
        <v>0</v>
      </c>
      <c r="K386" s="13">
        <f>IF(ActiveDatabase=Standby,Secondary!K386,Primary!K386)</f>
        <v>0</v>
      </c>
      <c r="L386" s="13">
        <f>IF(ActiveDatabase=Standby,Secondary!L386,Primary!L386)</f>
        <v>0</v>
      </c>
      <c r="M386" s="7" t="b">
        <f>IF(ActiveDatabase=Standby,Secondary!M386,Primary!M386)</f>
        <v>1</v>
      </c>
      <c r="N386" s="10">
        <f>IF(ActiveDatabase=Standby,Secondary!N386,Primary!N386)</f>
        <v>0</v>
      </c>
      <c r="O386" s="10">
        <f>IF(ActiveDatabase=Standby,Secondary!O386,Primary!O386)</f>
        <v>0</v>
      </c>
      <c r="P386" s="10">
        <f>IF(ActiveDatabase=Standby,Secondary!P386,Primary!P386)</f>
        <v>0</v>
      </c>
      <c r="Q386" s="6">
        <f>IF(ActiveDatabase=Standby,Secondary!Q386,Primary!Q386)</f>
        <v>0</v>
      </c>
      <c r="R386" s="18">
        <f>IF(ActiveDatabase=Standby,Secondary!R386,Primary!R386)</f>
        <v>0</v>
      </c>
      <c r="S386" s="19">
        <f>IF(ActiveDatabase=Standby,Secondary!S386,Primary!S386)</f>
        <v>0</v>
      </c>
      <c r="T386" s="10">
        <f>IF(ActiveDatabase=Standby,Secondary!T386,Primary!T386)</f>
        <v>0</v>
      </c>
      <c r="U386" s="10">
        <f>IF(ActiveDatabase=Standby,Secondary!U386,Primary!U386)</f>
        <v>0</v>
      </c>
      <c r="V386" s="10">
        <f>IF(ActiveDatabase=Standby,Secondary!V386,Primary!V386)</f>
        <v>0</v>
      </c>
      <c r="W386" s="6">
        <f>IF(ActiveDatabase=Standby,Secondary!W386,Primary!W386)</f>
        <v>0</v>
      </c>
      <c r="X386" s="6">
        <f>IF(ActiveDatabase=Standby,Secondary!X386,Primary!X386)</f>
        <v>0</v>
      </c>
      <c r="Y386" s="12">
        <f>IF(ActiveDatabase=Standby,Secondary!Y386,Primary!Y386)</f>
        <v>0</v>
      </c>
      <c r="Z386" s="12">
        <f>IF(ActiveDatabase=Standby,Secondary!Z386,Primary!Z386)</f>
        <v>0</v>
      </c>
      <c r="AA386" s="7">
        <f>IF(ActiveDatabase=Standby,Secondary!AA386,Primary!AA386)</f>
        <v>0</v>
      </c>
      <c r="AB386" s="12"/>
      <c r="AC386" s="6"/>
      <c r="AD386" s="6"/>
      <c r="AE386" s="7"/>
      <c r="AF386" s="7"/>
      <c r="AG386" s="7"/>
      <c r="AH386" s="7"/>
      <c r="AI386" s="7"/>
      <c r="AJ386" s="7"/>
      <c r="AK386" s="7"/>
      <c r="AL386" s="7"/>
      <c r="AM386" s="7"/>
      <c r="AN386" s="7"/>
      <c r="AO386" s="6"/>
      <c r="AP386" s="7"/>
      <c r="AQ386" s="7"/>
      <c r="AR386" s="6"/>
      <c r="AS386" s="7"/>
      <c r="AT386" s="7"/>
      <c r="AU386" s="7"/>
      <c r="AV386" s="7"/>
      <c r="AW386" s="7"/>
      <c r="AX386" s="7"/>
      <c r="AY386" s="7"/>
      <c r="AZ386" s="7"/>
      <c r="BA386" s="7"/>
      <c r="BB386" s="7"/>
      <c r="BC386" s="7"/>
      <c r="BD386" s="7"/>
      <c r="BE386" s="7"/>
      <c r="BF386" s="7"/>
      <c r="BG386" s="7"/>
    </row>
    <row r="387" customHeight="1" spans="1:59">
      <c r="A387" s="9" t="str">
        <f>IF(ActiveDatabase=Standby,Secondary!A387,Primary!A387)</f>
        <v>Hurston 20</v>
      </c>
      <c r="B387" s="5" t="str">
        <f>IF(ActiveDatabase=Standby,Secondary!B387,Primary!B387)</f>
        <v>Hurston 33</v>
      </c>
      <c r="C387" s="5" t="str">
        <f>IF(ActiveDatabase=Standby,Secondary!C387,Primary!C387)</f>
        <v>Hurston 30</v>
      </c>
      <c r="D387" s="5" t="str">
        <f>IF(ActiveDatabase=Standby,Secondary!D387,Primary!D387)</f>
        <v>HDSF Hobart</v>
      </c>
      <c r="E387" s="6" t="str">
        <f>IF(ActiveDatabase=Standby,Secondary!E387,Primary!E387)</f>
        <v>Hobart</v>
      </c>
      <c r="F387" s="10">
        <f>IF(ActiveDatabase=Standby,Secondary!F387,Primary!F387)</f>
        <v>-492.333174256</v>
      </c>
      <c r="G387" s="10">
        <f>IF(ActiveDatabase=Standby,Secondary!G387,Primary!G387)</f>
        <v>768.276004987</v>
      </c>
      <c r="H387" s="10">
        <f>IF(ActiveDatabase=Standby,Secondary!H387,Primary!H387)</f>
        <v>410.872614675</v>
      </c>
      <c r="I387" s="13">
        <f>IF(ActiveDatabase=Standby,Secondary!I387,Primary!I387)</f>
        <v>0</v>
      </c>
      <c r="J387" s="13">
        <f>IF(ActiveDatabase=Standby,Secondary!J387,Primary!J387)</f>
        <v>0</v>
      </c>
      <c r="K387" s="13">
        <f>IF(ActiveDatabase=Standby,Secondary!K387,Primary!K387)</f>
        <v>0</v>
      </c>
      <c r="L387" s="13">
        <f>IF(ActiveDatabase=Standby,Secondary!L387,Primary!L387)</f>
        <v>0</v>
      </c>
      <c r="M387" s="7" t="b">
        <f>IF(ActiveDatabase=Standby,Secondary!M387,Primary!M387)</f>
        <v>1</v>
      </c>
      <c r="N387" s="10">
        <f>IF(ActiveDatabase=Standby,Secondary!N387,Primary!N387)</f>
        <v>0</v>
      </c>
      <c r="O387" s="10">
        <f>IF(ActiveDatabase=Standby,Secondary!O387,Primary!O387)</f>
        <v>0</v>
      </c>
      <c r="P387" s="10">
        <f>IF(ActiveDatabase=Standby,Secondary!P387,Primary!P387)</f>
        <v>0</v>
      </c>
      <c r="Q387" s="6">
        <f>IF(ActiveDatabase=Standby,Secondary!Q387,Primary!Q387)</f>
        <v>0</v>
      </c>
      <c r="R387" s="18">
        <f>IF(ActiveDatabase=Standby,Secondary!R387,Primary!R387)</f>
        <v>0</v>
      </c>
      <c r="S387" s="19">
        <f>IF(ActiveDatabase=Standby,Secondary!S387,Primary!S387)</f>
        <v>0</v>
      </c>
      <c r="T387" s="10">
        <f>IF(ActiveDatabase=Standby,Secondary!T387,Primary!T387)</f>
        <v>0</v>
      </c>
      <c r="U387" s="10">
        <f>IF(ActiveDatabase=Standby,Secondary!U387,Primary!U387)</f>
        <v>0</v>
      </c>
      <c r="V387" s="10">
        <f>IF(ActiveDatabase=Standby,Secondary!V387,Primary!V387)</f>
        <v>0</v>
      </c>
      <c r="W387" s="6">
        <f>IF(ActiveDatabase=Standby,Secondary!W387,Primary!W387)</f>
        <v>0</v>
      </c>
      <c r="X387" s="6">
        <f>IF(ActiveDatabase=Standby,Secondary!X387,Primary!X387)</f>
        <v>0</v>
      </c>
      <c r="Y387" s="12">
        <f>IF(ActiveDatabase=Standby,Secondary!Y387,Primary!Y387)</f>
        <v>0</v>
      </c>
      <c r="Z387" s="12">
        <f>IF(ActiveDatabase=Standby,Secondary!Z387,Primary!Z387)</f>
        <v>0</v>
      </c>
      <c r="AA387" s="7">
        <f>IF(ActiveDatabase=Standby,Secondary!AA387,Primary!AA387)</f>
        <v>0</v>
      </c>
      <c r="AB387" s="12"/>
      <c r="AC387" s="6"/>
      <c r="AD387" s="6"/>
      <c r="AE387" s="7"/>
      <c r="AF387" s="7"/>
      <c r="AG387" s="7"/>
      <c r="AH387" s="7"/>
      <c r="AI387" s="7"/>
      <c r="AJ387" s="7"/>
      <c r="AK387" s="7"/>
      <c r="AL387" s="7"/>
      <c r="AM387" s="7"/>
      <c r="AN387" s="7"/>
      <c r="AO387" s="6"/>
      <c r="AP387" s="7"/>
      <c r="AQ387" s="7"/>
      <c r="AR387" s="6"/>
      <c r="AS387" s="7"/>
      <c r="AT387" s="7"/>
      <c r="AU387" s="7"/>
      <c r="AV387" s="7"/>
      <c r="AW387" s="7"/>
      <c r="AX387" s="7"/>
      <c r="AY387" s="7"/>
      <c r="AZ387" s="7"/>
      <c r="BA387" s="7"/>
      <c r="BB387" s="7"/>
      <c r="BC387" s="7"/>
      <c r="BD387" s="7"/>
      <c r="BE387" s="7"/>
      <c r="BF387" s="7"/>
      <c r="BG387" s="7"/>
    </row>
    <row r="388" customHeight="1" spans="1:59">
      <c r="A388" s="9" t="str">
        <f>IF(ActiveDatabase=Standby,Secondary!A388,Primary!A388)</f>
        <v>Hurston 21</v>
      </c>
      <c r="B388" s="5" t="str">
        <f>IF(ActiveDatabase=Standby,Secondary!B388,Primary!B388)</f>
        <v>Hurston 34</v>
      </c>
      <c r="C388" s="5" t="str">
        <f>IF(ActiveDatabase=Standby,Secondary!C388,Primary!C388)</f>
        <v>Hurston 120</v>
      </c>
      <c r="D388" s="5" t="str">
        <f>IF(ActiveDatabase=Standby,Secondary!D388,Primary!D388)</f>
        <v>HDSF Ishmael</v>
      </c>
      <c r="E388" s="6" t="str">
        <f>IF(ActiveDatabase=Standby,Secondary!E388,Primary!E388)</f>
        <v>Ishmael</v>
      </c>
      <c r="F388" s="10">
        <f>IF(ActiveDatabase=Standby,Secondary!F388,Primary!F388)</f>
        <v>-266.782918798</v>
      </c>
      <c r="G388" s="10">
        <f>IF(ActiveDatabase=Standby,Secondary!G388,Primary!G388)</f>
        <v>-158.616318066998</v>
      </c>
      <c r="H388" s="10">
        <f>IF(ActiveDatabase=Standby,Secondary!H388,Primary!H388)</f>
        <v>952.317890261</v>
      </c>
      <c r="I388" s="13">
        <f>IF(ActiveDatabase=Standby,Secondary!I388,Primary!I388)</f>
        <v>0</v>
      </c>
      <c r="J388" s="13">
        <f>IF(ActiveDatabase=Standby,Secondary!J388,Primary!J388)</f>
        <v>0</v>
      </c>
      <c r="K388" s="13">
        <f>IF(ActiveDatabase=Standby,Secondary!K388,Primary!K388)</f>
        <v>0</v>
      </c>
      <c r="L388" s="13">
        <f>IF(ActiveDatabase=Standby,Secondary!L388,Primary!L388)</f>
        <v>0</v>
      </c>
      <c r="M388" s="7" t="b">
        <f>IF(ActiveDatabase=Standby,Secondary!M388,Primary!M388)</f>
        <v>1</v>
      </c>
      <c r="N388" s="10">
        <f>IF(ActiveDatabase=Standby,Secondary!N388,Primary!N388)</f>
        <v>0</v>
      </c>
      <c r="O388" s="10">
        <f>IF(ActiveDatabase=Standby,Secondary!O388,Primary!O388)</f>
        <v>0</v>
      </c>
      <c r="P388" s="10">
        <f>IF(ActiveDatabase=Standby,Secondary!P388,Primary!P388)</f>
        <v>0</v>
      </c>
      <c r="Q388" s="6">
        <f>IF(ActiveDatabase=Standby,Secondary!Q388,Primary!Q388)</f>
        <v>0</v>
      </c>
      <c r="R388" s="18">
        <f>IF(ActiveDatabase=Standby,Secondary!R388,Primary!R388)</f>
        <v>0</v>
      </c>
      <c r="S388" s="19">
        <f>IF(ActiveDatabase=Standby,Secondary!S388,Primary!S388)</f>
        <v>0</v>
      </c>
      <c r="T388" s="10">
        <f>IF(ActiveDatabase=Standby,Secondary!T388,Primary!T388)</f>
        <v>0</v>
      </c>
      <c r="U388" s="10">
        <f>IF(ActiveDatabase=Standby,Secondary!U388,Primary!U388)</f>
        <v>0</v>
      </c>
      <c r="V388" s="10">
        <f>IF(ActiveDatabase=Standby,Secondary!V388,Primary!V388)</f>
        <v>0</v>
      </c>
      <c r="W388" s="6">
        <f>IF(ActiveDatabase=Standby,Secondary!W388,Primary!W388)</f>
        <v>0</v>
      </c>
      <c r="X388" s="6">
        <f>IF(ActiveDatabase=Standby,Secondary!X388,Primary!X388)</f>
        <v>0</v>
      </c>
      <c r="Y388" s="12">
        <f>IF(ActiveDatabase=Standby,Secondary!Y388,Primary!Y388)</f>
        <v>0</v>
      </c>
      <c r="Z388" s="12">
        <f>IF(ActiveDatabase=Standby,Secondary!Z388,Primary!Z388)</f>
        <v>0</v>
      </c>
      <c r="AA388" s="7">
        <f>IF(ActiveDatabase=Standby,Secondary!AA388,Primary!AA388)</f>
        <v>0</v>
      </c>
      <c r="AB388" s="12"/>
      <c r="AC388" s="6"/>
      <c r="AD388" s="6"/>
      <c r="AE388" s="7"/>
      <c r="AF388" s="7"/>
      <c r="AG388" s="7"/>
      <c r="AH388" s="7"/>
      <c r="AI388" s="7"/>
      <c r="AJ388" s="7"/>
      <c r="AK388" s="7"/>
      <c r="AL388" s="7"/>
      <c r="AM388" s="7"/>
      <c r="AN388" s="7"/>
      <c r="AO388" s="6"/>
      <c r="AP388" s="7"/>
      <c r="AQ388" s="7"/>
      <c r="AR388" s="6"/>
      <c r="AS388" s="7"/>
      <c r="AT388" s="7"/>
      <c r="AU388" s="7"/>
      <c r="AV388" s="7"/>
      <c r="AW388" s="7"/>
      <c r="AX388" s="7"/>
      <c r="AY388" s="7"/>
      <c r="AZ388" s="7"/>
      <c r="BA388" s="7"/>
      <c r="BB388" s="7"/>
      <c r="BC388" s="7"/>
      <c r="BD388" s="7"/>
      <c r="BE388" s="7"/>
      <c r="BF388" s="7"/>
      <c r="BG388" s="7"/>
    </row>
    <row r="389" customHeight="1" spans="1:59">
      <c r="A389" s="9" t="str">
        <f>IF(ActiveDatabase=Standby,Secondary!A389,Primary!A389)</f>
        <v>Hurston 22</v>
      </c>
      <c r="B389" s="5" t="str">
        <f>IF(ActiveDatabase=Standby,Secondary!B389,Primary!B389)</f>
        <v>Hurston 35</v>
      </c>
      <c r="C389" s="5" t="str">
        <f>IF(ActiveDatabase=Standby,Secondary!C389,Primary!C389)</f>
        <v>Hurston 19</v>
      </c>
      <c r="D389" s="5" t="str">
        <f>IF(ActiveDatabase=Standby,Secondary!D389,Primary!D389)</f>
        <v>HDSF Millerand</v>
      </c>
      <c r="E389" s="6" t="str">
        <f>IF(ActiveDatabase=Standby,Secondary!E389,Primary!E389)</f>
        <v>Millerand</v>
      </c>
      <c r="F389" s="10">
        <f>IF(ActiveDatabase=Standby,Secondary!F389,Primary!F389)</f>
        <v>-847.548727122999</v>
      </c>
      <c r="G389" s="10">
        <f>IF(ActiveDatabase=Standby,Secondary!G389,Primary!G389)</f>
        <v>517.449033126</v>
      </c>
      <c r="H389" s="10">
        <f>IF(ActiveDatabase=Standby,Secondary!H389,Primary!H389)</f>
        <v>127.617361477</v>
      </c>
      <c r="I389" s="13">
        <f>IF(ActiveDatabase=Standby,Secondary!I389,Primary!I389)</f>
        <v>0</v>
      </c>
      <c r="J389" s="13">
        <f>IF(ActiveDatabase=Standby,Secondary!J389,Primary!J389)</f>
        <v>0</v>
      </c>
      <c r="K389" s="13">
        <f>IF(ActiveDatabase=Standby,Secondary!K389,Primary!K389)</f>
        <v>0</v>
      </c>
      <c r="L389" s="13">
        <f>IF(ActiveDatabase=Standby,Secondary!L389,Primary!L389)</f>
        <v>0</v>
      </c>
      <c r="M389" s="7" t="b">
        <f>IF(ActiveDatabase=Standby,Secondary!M389,Primary!M389)</f>
        <v>1</v>
      </c>
      <c r="N389" s="10">
        <f>IF(ActiveDatabase=Standby,Secondary!N389,Primary!N389)</f>
        <v>0</v>
      </c>
      <c r="O389" s="10">
        <f>IF(ActiveDatabase=Standby,Secondary!O389,Primary!O389)</f>
        <v>0</v>
      </c>
      <c r="P389" s="10">
        <f>IF(ActiveDatabase=Standby,Secondary!P389,Primary!P389)</f>
        <v>0</v>
      </c>
      <c r="Q389" s="6">
        <f>IF(ActiveDatabase=Standby,Secondary!Q389,Primary!Q389)</f>
        <v>0</v>
      </c>
      <c r="R389" s="18">
        <f>IF(ActiveDatabase=Standby,Secondary!R389,Primary!R389)</f>
        <v>0</v>
      </c>
      <c r="S389" s="19">
        <f>IF(ActiveDatabase=Standby,Secondary!S389,Primary!S389)</f>
        <v>0</v>
      </c>
      <c r="T389" s="10">
        <f>IF(ActiveDatabase=Standby,Secondary!T389,Primary!T389)</f>
        <v>0</v>
      </c>
      <c r="U389" s="10">
        <f>IF(ActiveDatabase=Standby,Secondary!U389,Primary!U389)</f>
        <v>0</v>
      </c>
      <c r="V389" s="10">
        <f>IF(ActiveDatabase=Standby,Secondary!V389,Primary!V389)</f>
        <v>0</v>
      </c>
      <c r="W389" s="6">
        <f>IF(ActiveDatabase=Standby,Secondary!W389,Primary!W389)</f>
        <v>0</v>
      </c>
      <c r="X389" s="6">
        <f>IF(ActiveDatabase=Standby,Secondary!X389,Primary!X389)</f>
        <v>0</v>
      </c>
      <c r="Y389" s="12">
        <f>IF(ActiveDatabase=Standby,Secondary!Y389,Primary!Y389)</f>
        <v>0</v>
      </c>
      <c r="Z389" s="12">
        <f>IF(ActiveDatabase=Standby,Secondary!Z389,Primary!Z389)</f>
        <v>0</v>
      </c>
      <c r="AA389" s="7">
        <f>IF(ActiveDatabase=Standby,Secondary!AA389,Primary!AA389)</f>
        <v>0</v>
      </c>
      <c r="AB389" s="12"/>
      <c r="AC389" s="6"/>
      <c r="AD389" s="6"/>
      <c r="AE389" s="7"/>
      <c r="AF389" s="7"/>
      <c r="AG389" s="7"/>
      <c r="AH389" s="7"/>
      <c r="AI389" s="7"/>
      <c r="AJ389" s="7"/>
      <c r="AK389" s="7"/>
      <c r="AL389" s="7"/>
      <c r="AM389" s="7"/>
      <c r="AN389" s="7"/>
      <c r="AO389" s="6"/>
      <c r="AP389" s="7"/>
      <c r="AQ389" s="7"/>
      <c r="AR389" s="6"/>
      <c r="AS389" s="7"/>
      <c r="AT389" s="7"/>
      <c r="AU389" s="7"/>
      <c r="AV389" s="7"/>
      <c r="AW389" s="7"/>
      <c r="AX389" s="7"/>
      <c r="AY389" s="7"/>
      <c r="AZ389" s="7"/>
      <c r="BA389" s="7"/>
      <c r="BB389" s="7"/>
      <c r="BC389" s="7"/>
      <c r="BD389" s="7"/>
      <c r="BE389" s="7"/>
      <c r="BF389" s="7"/>
      <c r="BG389" s="7"/>
    </row>
    <row r="390" customHeight="1" spans="1:59">
      <c r="A390" s="9" t="str">
        <f>IF(ActiveDatabase=Standby,Secondary!A390,Primary!A390)</f>
        <v>Hurston 23</v>
      </c>
      <c r="B390" s="5" t="str">
        <f>IF(ActiveDatabase=Standby,Secondary!B390,Primary!B390)</f>
        <v>Hurston 36</v>
      </c>
      <c r="C390" s="5" t="str">
        <f>IF(ActiveDatabase=Standby,Secondary!C390,Primary!C390)</f>
        <v>Hurston 01</v>
      </c>
      <c r="D390" s="5" t="str">
        <f>IF(ActiveDatabase=Standby,Secondary!D390,Primary!D390)</f>
        <v>HDSF Rufus</v>
      </c>
      <c r="E390" s="6" t="str">
        <f>IF(ActiveDatabase=Standby,Secondary!E390,Primary!E390)</f>
        <v>Rufus</v>
      </c>
      <c r="F390" s="10">
        <f>IF(ActiveDatabase=Standby,Secondary!F390,Primary!F390)</f>
        <v>-64.679481473</v>
      </c>
      <c r="G390" s="10">
        <f>IF(ActiveDatabase=Standby,Secondary!G390,Primary!G390)</f>
        <v>11.412885198</v>
      </c>
      <c r="H390" s="10">
        <f>IF(ActiveDatabase=Standby,Secondary!H390,Primary!H390)</f>
        <v>-998.439679103999</v>
      </c>
      <c r="I390" s="13">
        <f>IF(ActiveDatabase=Standby,Secondary!I390,Primary!I390)</f>
        <v>0</v>
      </c>
      <c r="J390" s="13">
        <f>IF(ActiveDatabase=Standby,Secondary!J390,Primary!J390)</f>
        <v>0</v>
      </c>
      <c r="K390" s="13">
        <f>IF(ActiveDatabase=Standby,Secondary!K390,Primary!K390)</f>
        <v>0</v>
      </c>
      <c r="L390" s="13">
        <f>IF(ActiveDatabase=Standby,Secondary!L390,Primary!L390)</f>
        <v>0</v>
      </c>
      <c r="M390" s="7" t="b">
        <f>IF(ActiveDatabase=Standby,Secondary!M390,Primary!M390)</f>
        <v>1</v>
      </c>
      <c r="N390" s="10">
        <f>IF(ActiveDatabase=Standby,Secondary!N390,Primary!N390)</f>
        <v>0</v>
      </c>
      <c r="O390" s="10">
        <f>IF(ActiveDatabase=Standby,Secondary!O390,Primary!O390)</f>
        <v>0</v>
      </c>
      <c r="P390" s="10">
        <f>IF(ActiveDatabase=Standby,Secondary!P390,Primary!P390)</f>
        <v>0</v>
      </c>
      <c r="Q390" s="6">
        <f>IF(ActiveDatabase=Standby,Secondary!Q390,Primary!Q390)</f>
        <v>0</v>
      </c>
      <c r="R390" s="18">
        <f>IF(ActiveDatabase=Standby,Secondary!R390,Primary!R390)</f>
        <v>0</v>
      </c>
      <c r="S390" s="19">
        <f>IF(ActiveDatabase=Standby,Secondary!S390,Primary!S390)</f>
        <v>0</v>
      </c>
      <c r="T390" s="10">
        <f>IF(ActiveDatabase=Standby,Secondary!T390,Primary!T390)</f>
        <v>0</v>
      </c>
      <c r="U390" s="10">
        <f>IF(ActiveDatabase=Standby,Secondary!U390,Primary!U390)</f>
        <v>0</v>
      </c>
      <c r="V390" s="10">
        <f>IF(ActiveDatabase=Standby,Secondary!V390,Primary!V390)</f>
        <v>0</v>
      </c>
      <c r="W390" s="6">
        <f>IF(ActiveDatabase=Standby,Secondary!W390,Primary!W390)</f>
        <v>0</v>
      </c>
      <c r="X390" s="6">
        <f>IF(ActiveDatabase=Standby,Secondary!X390,Primary!X390)</f>
        <v>0</v>
      </c>
      <c r="Y390" s="12">
        <f>IF(ActiveDatabase=Standby,Secondary!Y390,Primary!Y390)</f>
        <v>0</v>
      </c>
      <c r="Z390" s="12">
        <f>IF(ActiveDatabase=Standby,Secondary!Z390,Primary!Z390)</f>
        <v>0</v>
      </c>
      <c r="AA390" s="7">
        <f>IF(ActiveDatabase=Standby,Secondary!AA390,Primary!AA390)</f>
        <v>0</v>
      </c>
      <c r="AB390" s="12"/>
      <c r="AC390" s="6"/>
      <c r="AD390" s="6"/>
      <c r="AE390" s="7"/>
      <c r="AF390" s="7"/>
      <c r="AG390" s="7"/>
      <c r="AH390" s="7"/>
      <c r="AI390" s="7"/>
      <c r="AJ390" s="7"/>
      <c r="AK390" s="7"/>
      <c r="AL390" s="7"/>
      <c r="AM390" s="7"/>
      <c r="AN390" s="7"/>
      <c r="AO390" s="6"/>
      <c r="AP390" s="7"/>
      <c r="AQ390" s="7"/>
      <c r="AR390" s="6"/>
      <c r="AS390" s="7"/>
      <c r="AT390" s="7"/>
      <c r="AU390" s="7"/>
      <c r="AV390" s="7"/>
      <c r="AW390" s="7"/>
      <c r="AX390" s="7"/>
      <c r="AY390" s="7"/>
      <c r="AZ390" s="7"/>
      <c r="BA390" s="7"/>
      <c r="BB390" s="7"/>
      <c r="BC390" s="7"/>
      <c r="BD390" s="7"/>
      <c r="BE390" s="7"/>
      <c r="BF390" s="7"/>
      <c r="BG390" s="7"/>
    </row>
    <row r="391" customHeight="1" spans="1:59">
      <c r="A391" s="9" t="str">
        <f>IF(ActiveDatabase=Standby,Secondary!A391,Primary!A391)</f>
        <v>Hurston 24</v>
      </c>
      <c r="B391" s="5" t="str">
        <f>IF(ActiveDatabase=Standby,Secondary!B391,Primary!B391)</f>
        <v>Hurston 37</v>
      </c>
      <c r="C391" s="5" t="str">
        <f>IF(ActiveDatabase=Standby,Secondary!C391,Primary!C391)</f>
        <v>Hurston 68</v>
      </c>
      <c r="D391" s="5" t="str">
        <f>IF(ActiveDatabase=Standby,Secondary!D391,Primary!D391)</f>
        <v>HDSF Sherman</v>
      </c>
      <c r="E391" s="6" t="str">
        <f>IF(ActiveDatabase=Standby,Secondary!E391,Primary!E391)</f>
        <v>Sherman</v>
      </c>
      <c r="F391" s="10">
        <f>IF(ActiveDatabase=Standby,Secondary!F391,Primary!F391)</f>
        <v>899.436124451</v>
      </c>
      <c r="G391" s="10">
        <f>IF(ActiveDatabase=Standby,Secondary!G391,Primary!G391)</f>
        <v>-406.041092470999</v>
      </c>
      <c r="H391" s="10">
        <f>IF(ActiveDatabase=Standby,Secondary!H391,Primary!H391)</f>
        <v>168.242993457</v>
      </c>
      <c r="I391" s="13">
        <f>IF(ActiveDatabase=Standby,Secondary!I391,Primary!I391)</f>
        <v>0</v>
      </c>
      <c r="J391" s="13">
        <f>IF(ActiveDatabase=Standby,Secondary!J391,Primary!J391)</f>
        <v>0</v>
      </c>
      <c r="K391" s="13">
        <f>IF(ActiveDatabase=Standby,Secondary!K391,Primary!K391)</f>
        <v>0</v>
      </c>
      <c r="L391" s="13">
        <f>IF(ActiveDatabase=Standby,Secondary!L391,Primary!L391)</f>
        <v>0</v>
      </c>
      <c r="M391" s="7" t="b">
        <f>IF(ActiveDatabase=Standby,Secondary!M391,Primary!M391)</f>
        <v>1</v>
      </c>
      <c r="N391" s="10">
        <f>IF(ActiveDatabase=Standby,Secondary!N391,Primary!N391)</f>
        <v>0</v>
      </c>
      <c r="O391" s="10">
        <f>IF(ActiveDatabase=Standby,Secondary!O391,Primary!O391)</f>
        <v>0</v>
      </c>
      <c r="P391" s="10">
        <f>IF(ActiveDatabase=Standby,Secondary!P391,Primary!P391)</f>
        <v>0</v>
      </c>
      <c r="Q391" s="6">
        <f>IF(ActiveDatabase=Standby,Secondary!Q391,Primary!Q391)</f>
        <v>0</v>
      </c>
      <c r="R391" s="18">
        <f>IF(ActiveDatabase=Standby,Secondary!R391,Primary!R391)</f>
        <v>0</v>
      </c>
      <c r="S391" s="19">
        <f>IF(ActiveDatabase=Standby,Secondary!S391,Primary!S391)</f>
        <v>0</v>
      </c>
      <c r="T391" s="10">
        <f>IF(ActiveDatabase=Standby,Secondary!T391,Primary!T391)</f>
        <v>0</v>
      </c>
      <c r="U391" s="10">
        <f>IF(ActiveDatabase=Standby,Secondary!U391,Primary!U391)</f>
        <v>0</v>
      </c>
      <c r="V391" s="10">
        <f>IF(ActiveDatabase=Standby,Secondary!V391,Primary!V391)</f>
        <v>0</v>
      </c>
      <c r="W391" s="6">
        <f>IF(ActiveDatabase=Standby,Secondary!W391,Primary!W391)</f>
        <v>0</v>
      </c>
      <c r="X391" s="6">
        <f>IF(ActiveDatabase=Standby,Secondary!X391,Primary!X391)</f>
        <v>0</v>
      </c>
      <c r="Y391" s="12">
        <f>IF(ActiveDatabase=Standby,Secondary!Y391,Primary!Y391)</f>
        <v>0</v>
      </c>
      <c r="Z391" s="12">
        <f>IF(ActiveDatabase=Standby,Secondary!Z391,Primary!Z391)</f>
        <v>0</v>
      </c>
      <c r="AA391" s="7">
        <f>IF(ActiveDatabase=Standby,Secondary!AA391,Primary!AA391)</f>
        <v>0</v>
      </c>
      <c r="AB391" s="12"/>
      <c r="AC391" s="6"/>
      <c r="AD391" s="6"/>
      <c r="AE391" s="7"/>
      <c r="AF391" s="7"/>
      <c r="AG391" s="7"/>
      <c r="AH391" s="7"/>
      <c r="AI391" s="7"/>
      <c r="AJ391" s="7"/>
      <c r="AK391" s="7"/>
      <c r="AL391" s="7"/>
      <c r="AM391" s="7"/>
      <c r="AN391" s="7"/>
      <c r="AO391" s="6"/>
      <c r="AP391" s="7"/>
      <c r="AQ391" s="7"/>
      <c r="AR391" s="6"/>
      <c r="AS391" s="7"/>
      <c r="AT391" s="7"/>
      <c r="AU391" s="7"/>
      <c r="AV391" s="7"/>
      <c r="AW391" s="7"/>
      <c r="AX391" s="7"/>
      <c r="AY391" s="7"/>
      <c r="AZ391" s="7"/>
      <c r="BA391" s="7"/>
      <c r="BB391" s="7"/>
      <c r="BC391" s="7"/>
      <c r="BD391" s="7"/>
      <c r="BE391" s="7"/>
      <c r="BF391" s="7"/>
      <c r="BG391" s="7"/>
    </row>
    <row r="392" customHeight="1" spans="1:59">
      <c r="A392" s="9" t="str">
        <f>IF(ActiveDatabase=Standby,Secondary!A392,Primary!A392)</f>
        <v>Hurston 25</v>
      </c>
      <c r="B392" s="5" t="str">
        <f>IF(ActiveDatabase=Standby,Secondary!B392,Primary!B392)</f>
        <v>Hurston 38</v>
      </c>
      <c r="C392" s="5" t="str">
        <f>IF(ActiveDatabase=Standby,Secondary!C392,Primary!C392)</f>
        <v>Hurston 87</v>
      </c>
      <c r="D392" s="5" t="str">
        <f>IF(ActiveDatabase=Standby,Secondary!D392,Primary!D392)</f>
        <v>HDSF Tamar</v>
      </c>
      <c r="E392" s="6" t="str">
        <f>IF(ActiveDatabase=Standby,Secondary!E392,Primary!E392)</f>
        <v>Tamar</v>
      </c>
      <c r="F392" s="10">
        <f>IF(ActiveDatabase=Standby,Secondary!F392,Primary!F392)</f>
        <v>121.291929324</v>
      </c>
      <c r="G392" s="10">
        <f>IF(ActiveDatabase=Standby,Secondary!G392,Primary!G392)</f>
        <v>-810.947790906999</v>
      </c>
      <c r="H392" s="10">
        <f>IF(ActiveDatabase=Standby,Secondary!H392,Primary!H392)</f>
        <v>-573.513272242999</v>
      </c>
      <c r="I392" s="13">
        <f>IF(ActiveDatabase=Standby,Secondary!I392,Primary!I392)</f>
        <v>0</v>
      </c>
      <c r="J392" s="13">
        <f>IF(ActiveDatabase=Standby,Secondary!J392,Primary!J392)</f>
        <v>0</v>
      </c>
      <c r="K392" s="13">
        <f>IF(ActiveDatabase=Standby,Secondary!K392,Primary!K392)</f>
        <v>0</v>
      </c>
      <c r="L392" s="13">
        <f>IF(ActiveDatabase=Standby,Secondary!L392,Primary!L392)</f>
        <v>0</v>
      </c>
      <c r="M392" s="7" t="b">
        <f>IF(ActiveDatabase=Standby,Secondary!M392,Primary!M392)</f>
        <v>1</v>
      </c>
      <c r="N392" s="10">
        <f>IF(ActiveDatabase=Standby,Secondary!N392,Primary!N392)</f>
        <v>0</v>
      </c>
      <c r="O392" s="10">
        <f>IF(ActiveDatabase=Standby,Secondary!O392,Primary!O392)</f>
        <v>0</v>
      </c>
      <c r="P392" s="10">
        <f>IF(ActiveDatabase=Standby,Secondary!P392,Primary!P392)</f>
        <v>0</v>
      </c>
      <c r="Q392" s="6">
        <f>IF(ActiveDatabase=Standby,Secondary!Q392,Primary!Q392)</f>
        <v>0</v>
      </c>
      <c r="R392" s="18">
        <f>IF(ActiveDatabase=Standby,Secondary!R392,Primary!R392)</f>
        <v>0</v>
      </c>
      <c r="S392" s="19">
        <f>IF(ActiveDatabase=Standby,Secondary!S392,Primary!S392)</f>
        <v>0</v>
      </c>
      <c r="T392" s="10">
        <f>IF(ActiveDatabase=Standby,Secondary!T392,Primary!T392)</f>
        <v>0</v>
      </c>
      <c r="U392" s="10">
        <f>IF(ActiveDatabase=Standby,Secondary!U392,Primary!U392)</f>
        <v>0</v>
      </c>
      <c r="V392" s="10">
        <f>IF(ActiveDatabase=Standby,Secondary!V392,Primary!V392)</f>
        <v>0</v>
      </c>
      <c r="W392" s="6">
        <f>IF(ActiveDatabase=Standby,Secondary!W392,Primary!W392)</f>
        <v>0</v>
      </c>
      <c r="X392" s="6">
        <f>IF(ActiveDatabase=Standby,Secondary!X392,Primary!X392)</f>
        <v>0</v>
      </c>
      <c r="Y392" s="12">
        <f>IF(ActiveDatabase=Standby,Secondary!Y392,Primary!Y392)</f>
        <v>0</v>
      </c>
      <c r="Z392" s="12">
        <f>IF(ActiveDatabase=Standby,Secondary!Z392,Primary!Z392)</f>
        <v>0</v>
      </c>
      <c r="AA392" s="7">
        <f>IF(ActiveDatabase=Standby,Secondary!AA392,Primary!AA392)</f>
        <v>0</v>
      </c>
      <c r="AB392" s="12"/>
      <c r="AC392" s="6"/>
      <c r="AD392" s="6"/>
      <c r="AE392" s="7"/>
      <c r="AF392" s="7"/>
      <c r="AG392" s="7"/>
      <c r="AH392" s="7"/>
      <c r="AI392" s="7"/>
      <c r="AJ392" s="7"/>
      <c r="AK392" s="7"/>
      <c r="AL392" s="7"/>
      <c r="AM392" s="7"/>
      <c r="AN392" s="7"/>
      <c r="AO392" s="6"/>
      <c r="AP392" s="7"/>
      <c r="AQ392" s="7"/>
      <c r="AR392" s="6"/>
      <c r="AS392" s="7"/>
      <c r="AT392" s="7"/>
      <c r="AU392" s="7"/>
      <c r="AV392" s="7"/>
      <c r="AW392" s="7"/>
      <c r="AX392" s="7"/>
      <c r="AY392" s="7"/>
      <c r="AZ392" s="7"/>
      <c r="BA392" s="7"/>
      <c r="BB392" s="7"/>
      <c r="BC392" s="7"/>
      <c r="BD392" s="7"/>
      <c r="BE392" s="7"/>
      <c r="BF392" s="7"/>
      <c r="BG392" s="7"/>
    </row>
    <row r="393" customHeight="1" spans="1:59">
      <c r="A393" s="9" t="str">
        <f>IF(ActiveDatabase=Standby,Secondary!A393,Primary!A393)</f>
        <v>Hurston 26</v>
      </c>
      <c r="B393" s="5" t="str">
        <f>IF(ActiveDatabase=Standby,Secondary!B393,Primary!B393)</f>
        <v>Hurston 39</v>
      </c>
      <c r="C393" s="5" t="str">
        <f>IF(ActiveDatabase=Standby,Secondary!C393,Primary!C393)</f>
        <v>Hurston 48</v>
      </c>
      <c r="D393" s="5" t="str">
        <f>IF(ActiveDatabase=Standby,Secondary!D393,Primary!D393)</f>
        <v>HDSF Tompkins</v>
      </c>
      <c r="E393" s="6" t="str">
        <f>IF(ActiveDatabase=Standby,Secondary!E393,Primary!E393)</f>
        <v>Tompkins</v>
      </c>
      <c r="F393" s="10">
        <f>IF(ActiveDatabase=Standby,Secondary!F393,Primary!F393)</f>
        <v>374.81964019</v>
      </c>
      <c r="G393" s="10">
        <f>IF(ActiveDatabase=Standby,Secondary!G393,Primary!G393)</f>
        <v>724.628067004999</v>
      </c>
      <c r="H393" s="10">
        <f>IF(ActiveDatabase=Standby,Secondary!H393,Primary!H393)</f>
        <v>579.686381474999</v>
      </c>
      <c r="I393" s="13">
        <f>IF(ActiveDatabase=Standby,Secondary!I393,Primary!I393)</f>
        <v>0</v>
      </c>
      <c r="J393" s="13">
        <f>IF(ActiveDatabase=Standby,Secondary!J393,Primary!J393)</f>
        <v>0</v>
      </c>
      <c r="K393" s="13">
        <f>IF(ActiveDatabase=Standby,Secondary!K393,Primary!K393)</f>
        <v>0</v>
      </c>
      <c r="L393" s="13">
        <f>IF(ActiveDatabase=Standby,Secondary!L393,Primary!L393)</f>
        <v>0</v>
      </c>
      <c r="M393" s="7" t="b">
        <f>IF(ActiveDatabase=Standby,Secondary!M393,Primary!M393)</f>
        <v>1</v>
      </c>
      <c r="N393" s="10">
        <f>IF(ActiveDatabase=Standby,Secondary!N393,Primary!N393)</f>
        <v>0</v>
      </c>
      <c r="O393" s="10">
        <f>IF(ActiveDatabase=Standby,Secondary!O393,Primary!O393)</f>
        <v>0</v>
      </c>
      <c r="P393" s="10">
        <f>IF(ActiveDatabase=Standby,Secondary!P393,Primary!P393)</f>
        <v>0</v>
      </c>
      <c r="Q393" s="6">
        <f>IF(ActiveDatabase=Standby,Secondary!Q393,Primary!Q393)</f>
        <v>0</v>
      </c>
      <c r="R393" s="18">
        <f>IF(ActiveDatabase=Standby,Secondary!R393,Primary!R393)</f>
        <v>0</v>
      </c>
      <c r="S393" s="19">
        <f>IF(ActiveDatabase=Standby,Secondary!S393,Primary!S393)</f>
        <v>0</v>
      </c>
      <c r="T393" s="10">
        <f>IF(ActiveDatabase=Standby,Secondary!T393,Primary!T393)</f>
        <v>0</v>
      </c>
      <c r="U393" s="10">
        <f>IF(ActiveDatabase=Standby,Secondary!U393,Primary!U393)</f>
        <v>0</v>
      </c>
      <c r="V393" s="10">
        <f>IF(ActiveDatabase=Standby,Secondary!V393,Primary!V393)</f>
        <v>0</v>
      </c>
      <c r="W393" s="6">
        <f>IF(ActiveDatabase=Standby,Secondary!W393,Primary!W393)</f>
        <v>0</v>
      </c>
      <c r="X393" s="6">
        <f>IF(ActiveDatabase=Standby,Secondary!X393,Primary!X393)</f>
        <v>0</v>
      </c>
      <c r="Y393" s="12">
        <f>IF(ActiveDatabase=Standby,Secondary!Y393,Primary!Y393)</f>
        <v>0</v>
      </c>
      <c r="Z393" s="12">
        <f>IF(ActiveDatabase=Standby,Secondary!Z393,Primary!Z393)</f>
        <v>0</v>
      </c>
      <c r="AA393" s="7">
        <f>IF(ActiveDatabase=Standby,Secondary!AA393,Primary!AA393)</f>
        <v>0</v>
      </c>
      <c r="AB393" s="12"/>
      <c r="AC393" s="6"/>
      <c r="AD393" s="6"/>
      <c r="AE393" s="7"/>
      <c r="AF393" s="7"/>
      <c r="AG393" s="7"/>
      <c r="AH393" s="7"/>
      <c r="AI393" s="7"/>
      <c r="AJ393" s="7"/>
      <c r="AK393" s="7"/>
      <c r="AL393" s="7"/>
      <c r="AM393" s="7"/>
      <c r="AN393" s="7"/>
      <c r="AO393" s="6"/>
      <c r="AP393" s="7"/>
      <c r="AQ393" s="7"/>
      <c r="AR393" s="6"/>
      <c r="AS393" s="7"/>
      <c r="AT393" s="7"/>
      <c r="AU393" s="7"/>
      <c r="AV393" s="7"/>
      <c r="AW393" s="7"/>
      <c r="AX393" s="7"/>
      <c r="AY393" s="7"/>
      <c r="AZ393" s="7"/>
      <c r="BA393" s="7"/>
      <c r="BB393" s="7"/>
      <c r="BC393" s="7"/>
      <c r="BD393" s="7"/>
      <c r="BE393" s="7"/>
      <c r="BF393" s="7"/>
      <c r="BG393" s="7"/>
    </row>
    <row r="394" customHeight="1" spans="1:59">
      <c r="A394" s="9" t="str">
        <f>IF(ActiveDatabase=Standby,Secondary!A394,Primary!A394)</f>
        <v>Hurston 27</v>
      </c>
      <c r="B394" s="5" t="str">
        <f>IF(ActiveDatabase=Standby,Secondary!B394,Primary!B394)</f>
        <v>Hurston 40</v>
      </c>
      <c r="C394" s="5" t="str">
        <f>IF(ActiveDatabase=Standby,Secondary!C394,Primary!C394)</f>
        <v>Hurston 51</v>
      </c>
      <c r="D394" s="5" t="str">
        <f>IF(ActiveDatabase=Standby,Secondary!D394,Primary!D394)</f>
        <v>HDSF Zacharias</v>
      </c>
      <c r="E394" s="6" t="str">
        <f>IF(ActiveDatabase=Standby,Secondary!E394,Primary!E394)</f>
        <v>Zacharias</v>
      </c>
      <c r="F394" s="10">
        <f>IF(ActiveDatabase=Standby,Secondary!F394,Primary!F394)</f>
        <v>249.461995597</v>
      </c>
      <c r="G394" s="10">
        <f>IF(ActiveDatabase=Standby,Secondary!G394,Primary!G394)</f>
        <v>398.476580305</v>
      </c>
      <c r="H394" s="10">
        <f>IF(ActiveDatabase=Standby,Secondary!H394,Primary!H394)</f>
        <v>-884.879397192999</v>
      </c>
      <c r="I394" s="13">
        <f>IF(ActiveDatabase=Standby,Secondary!I394,Primary!I394)</f>
        <v>0</v>
      </c>
      <c r="J394" s="13">
        <f>IF(ActiveDatabase=Standby,Secondary!J394,Primary!J394)</f>
        <v>0</v>
      </c>
      <c r="K394" s="13">
        <f>IF(ActiveDatabase=Standby,Secondary!K394,Primary!K394)</f>
        <v>0</v>
      </c>
      <c r="L394" s="13">
        <f>IF(ActiveDatabase=Standby,Secondary!L394,Primary!L394)</f>
        <v>0</v>
      </c>
      <c r="M394" s="7" t="b">
        <f>IF(ActiveDatabase=Standby,Secondary!M394,Primary!M394)</f>
        <v>1</v>
      </c>
      <c r="N394" s="10">
        <f>IF(ActiveDatabase=Standby,Secondary!N394,Primary!N394)</f>
        <v>0</v>
      </c>
      <c r="O394" s="10">
        <f>IF(ActiveDatabase=Standby,Secondary!O394,Primary!O394)</f>
        <v>0</v>
      </c>
      <c r="P394" s="10">
        <f>IF(ActiveDatabase=Standby,Secondary!P394,Primary!P394)</f>
        <v>0</v>
      </c>
      <c r="Q394" s="6">
        <f>IF(ActiveDatabase=Standby,Secondary!Q394,Primary!Q394)</f>
        <v>0</v>
      </c>
      <c r="R394" s="18">
        <f>IF(ActiveDatabase=Standby,Secondary!R394,Primary!R394)</f>
        <v>0</v>
      </c>
      <c r="S394" s="19">
        <f>IF(ActiveDatabase=Standby,Secondary!S394,Primary!S394)</f>
        <v>0</v>
      </c>
      <c r="T394" s="10">
        <f>IF(ActiveDatabase=Standby,Secondary!T394,Primary!T394)</f>
        <v>0</v>
      </c>
      <c r="U394" s="10">
        <f>IF(ActiveDatabase=Standby,Secondary!U394,Primary!U394)</f>
        <v>0</v>
      </c>
      <c r="V394" s="10">
        <f>IF(ActiveDatabase=Standby,Secondary!V394,Primary!V394)</f>
        <v>0</v>
      </c>
      <c r="W394" s="6">
        <f>IF(ActiveDatabase=Standby,Secondary!W394,Primary!W394)</f>
        <v>0</v>
      </c>
      <c r="X394" s="6">
        <f>IF(ActiveDatabase=Standby,Secondary!X394,Primary!X394)</f>
        <v>0</v>
      </c>
      <c r="Y394" s="12">
        <f>IF(ActiveDatabase=Standby,Secondary!Y394,Primary!Y394)</f>
        <v>0</v>
      </c>
      <c r="Z394" s="12">
        <f>IF(ActiveDatabase=Standby,Secondary!Z394,Primary!Z394)</f>
        <v>0</v>
      </c>
      <c r="AA394" s="7">
        <f>IF(ActiveDatabase=Standby,Secondary!AA394,Primary!AA394)</f>
        <v>0</v>
      </c>
      <c r="AB394" s="12"/>
      <c r="AC394" s="6"/>
      <c r="AD394" s="6"/>
      <c r="AE394" s="7"/>
      <c r="AF394" s="7"/>
      <c r="AG394" s="7"/>
      <c r="AH394" s="7"/>
      <c r="AI394" s="7"/>
      <c r="AJ394" s="7"/>
      <c r="AK394" s="7"/>
      <c r="AL394" s="7"/>
      <c r="AM394" s="7"/>
      <c r="AN394" s="7"/>
      <c r="AO394" s="6"/>
      <c r="AP394" s="7"/>
      <c r="AQ394" s="7"/>
      <c r="AR394" s="6"/>
      <c r="AS394" s="7"/>
      <c r="AT394" s="7"/>
      <c r="AU394" s="7"/>
      <c r="AV394" s="7"/>
      <c r="AW394" s="7"/>
      <c r="AX394" s="7"/>
      <c r="AY394" s="7"/>
      <c r="AZ394" s="7"/>
      <c r="BA394" s="7"/>
      <c r="BB394" s="7"/>
      <c r="BC394" s="7"/>
      <c r="BD394" s="7"/>
      <c r="BE394" s="7"/>
      <c r="BF394" s="7"/>
      <c r="BG394" s="7"/>
    </row>
    <row r="395" customHeight="1" spans="1:59">
      <c r="A395" s="9" t="str">
        <f>IF(ActiveDatabase=Standby,Secondary!A395,Primary!A395)</f>
        <v>Hurston</v>
      </c>
      <c r="B395" s="5" t="str">
        <f>IF(ActiveDatabase=Standby,Secondary!B395,Primary!B395)</f>
        <v>Hurston 42</v>
      </c>
      <c r="C395" s="5">
        <f>IF(ActiveDatabase=Standby,Secondary!C395,Primary!C395)</f>
        <v>0</v>
      </c>
      <c r="D395" s="5" t="str">
        <f>IF(ActiveDatabase=Standby,Secondary!D395,Primary!D395)</f>
        <v>Racetracks</v>
      </c>
      <c r="E395" s="6">
        <f>IF(ActiveDatabase=Standby,Secondary!E395,Primary!E395)</f>
        <v>0</v>
      </c>
      <c r="F395" s="10">
        <f>IF(ActiveDatabase=Standby,Secondary!F395,Primary!F395)</f>
        <v>0</v>
      </c>
      <c r="G395" s="10">
        <f>IF(ActiveDatabase=Standby,Secondary!G395,Primary!G395)</f>
        <v>0</v>
      </c>
      <c r="H395" s="10">
        <f>IF(ActiveDatabase=Standby,Secondary!H395,Primary!H395)</f>
        <v>0</v>
      </c>
      <c r="I395" s="13">
        <f>IF(ActiveDatabase=Standby,Secondary!I395,Primary!I395)</f>
        <v>0</v>
      </c>
      <c r="J395" s="13">
        <f>IF(ActiveDatabase=Standby,Secondary!J395,Primary!J395)</f>
        <v>0</v>
      </c>
      <c r="K395" s="13">
        <f>IF(ActiveDatabase=Standby,Secondary!K395,Primary!K395)</f>
        <v>0</v>
      </c>
      <c r="L395" s="13">
        <f>IF(ActiveDatabase=Standby,Secondary!L395,Primary!L395)</f>
        <v>0</v>
      </c>
      <c r="M395" s="7">
        <f>IF(ActiveDatabase=Standby,Secondary!M395,Primary!M395)</f>
        <v>0</v>
      </c>
      <c r="N395" s="10">
        <f>IF(ActiveDatabase=Standby,Secondary!N395,Primary!N395)</f>
        <v>0</v>
      </c>
      <c r="O395" s="10">
        <f>IF(ActiveDatabase=Standby,Secondary!O395,Primary!O395)</f>
        <v>0</v>
      </c>
      <c r="P395" s="10">
        <f>IF(ActiveDatabase=Standby,Secondary!P395,Primary!P395)</f>
        <v>0</v>
      </c>
      <c r="Q395" s="6">
        <f>IF(ActiveDatabase=Standby,Secondary!Q395,Primary!Q395)</f>
        <v>0</v>
      </c>
      <c r="R395" s="18">
        <f>IF(ActiveDatabase=Standby,Secondary!R395,Primary!R395)</f>
        <v>0</v>
      </c>
      <c r="S395" s="19">
        <f>IF(ActiveDatabase=Standby,Secondary!S395,Primary!S395)</f>
        <v>0</v>
      </c>
      <c r="T395" s="10">
        <f>IF(ActiveDatabase=Standby,Secondary!T395,Primary!T395)</f>
        <v>0</v>
      </c>
      <c r="U395" s="10">
        <f>IF(ActiveDatabase=Standby,Secondary!U395,Primary!U395)</f>
        <v>0</v>
      </c>
      <c r="V395" s="10">
        <f>IF(ActiveDatabase=Standby,Secondary!V395,Primary!V395)</f>
        <v>0</v>
      </c>
      <c r="W395" s="6">
        <f>IF(ActiveDatabase=Standby,Secondary!W395,Primary!W395)</f>
        <v>0</v>
      </c>
      <c r="X395" s="6">
        <f>IF(ActiveDatabase=Standby,Secondary!X395,Primary!X395)</f>
        <v>0</v>
      </c>
      <c r="Y395" s="12">
        <f>IF(ActiveDatabase=Standby,Secondary!Y395,Primary!Y395)</f>
        <v>0</v>
      </c>
      <c r="Z395" s="12">
        <f>IF(ActiveDatabase=Standby,Secondary!Z395,Primary!Z395)</f>
        <v>0</v>
      </c>
      <c r="AA395" s="7">
        <f>IF(ActiveDatabase=Standby,Secondary!AA395,Primary!AA395)</f>
        <v>0</v>
      </c>
      <c r="AB395" s="12"/>
      <c r="AC395" s="6"/>
      <c r="AD395" s="6"/>
      <c r="AE395" s="7"/>
      <c r="AF395" s="7"/>
      <c r="AG395" s="7"/>
      <c r="AH395" s="7"/>
      <c r="AI395" s="7"/>
      <c r="AJ395" s="7"/>
      <c r="AK395" s="7"/>
      <c r="AL395" s="7"/>
      <c r="AM395" s="7"/>
      <c r="AN395" s="7"/>
      <c r="AO395" s="6"/>
      <c r="AP395" s="7"/>
      <c r="AQ395" s="7"/>
      <c r="AR395" s="6"/>
      <c r="AS395" s="7"/>
      <c r="AT395" s="7"/>
      <c r="AU395" s="7"/>
      <c r="AV395" s="7"/>
      <c r="AW395" s="7"/>
      <c r="AX395" s="7"/>
      <c r="AY395" s="7"/>
      <c r="AZ395" s="7"/>
      <c r="BA395" s="7"/>
      <c r="BB395" s="7"/>
      <c r="BC395" s="7"/>
      <c r="BD395" s="7"/>
      <c r="BE395" s="7"/>
      <c r="BF395" s="7"/>
      <c r="BG395" s="7"/>
    </row>
    <row r="396" customHeight="1" spans="1:59">
      <c r="A396" s="9" t="str">
        <f>IF(ActiveDatabase=Standby,Secondary!A396,Primary!A396)</f>
        <v>Hurston 31</v>
      </c>
      <c r="B396" s="5" t="str">
        <f>IF(ActiveDatabase=Standby,Secondary!B396,Primary!B396)</f>
        <v>Hurston 43</v>
      </c>
      <c r="C396" s="5" t="str">
        <f>IF(ActiveDatabase=Standby,Secondary!C396,Primary!C396)</f>
        <v>Hurston 107</v>
      </c>
      <c r="D396" s="5" t="str">
        <f>IF(ActiveDatabase=Standby,Secondary!D396,Primary!D396)</f>
        <v>Lorville Outskirts</v>
      </c>
      <c r="E396" s="6" t="str">
        <f>IF(ActiveDatabase=Standby,Secondary!E396,Primary!E396)</f>
        <v>Outskirts</v>
      </c>
      <c r="F396" s="10">
        <f>IF(ActiveDatabase=Standby,Secondary!F396,Primary!F396)</f>
        <v>-333.544</v>
      </c>
      <c r="G396" s="10">
        <f>IF(ActiveDatabase=Standby,Secondary!G396,Primary!G396)</f>
        <v>-748.656</v>
      </c>
      <c r="H396" s="10">
        <f>IF(ActiveDatabase=Standby,Secondary!H396,Primary!H396)</f>
        <v>574.408</v>
      </c>
      <c r="I396" s="13">
        <f>IF(ActiveDatabase=Standby,Secondary!I396,Primary!I396)</f>
        <v>0</v>
      </c>
      <c r="J396" s="13">
        <f>IF(ActiveDatabase=Standby,Secondary!J396,Primary!J396)</f>
        <v>0</v>
      </c>
      <c r="K396" s="13">
        <f>IF(ActiveDatabase=Standby,Secondary!K396,Primary!K396)</f>
        <v>0</v>
      </c>
      <c r="L396" s="13">
        <f>IF(ActiveDatabase=Standby,Secondary!L396,Primary!L396)</f>
        <v>0</v>
      </c>
      <c r="M396" s="7" t="b">
        <f>IF(ActiveDatabase=Standby,Secondary!M396,Primary!M396)</f>
        <v>0</v>
      </c>
      <c r="N396" s="10">
        <f>IF(ActiveDatabase=Standby,Secondary!N396,Primary!N396)</f>
        <v>0</v>
      </c>
      <c r="O396" s="10">
        <f>IF(ActiveDatabase=Standby,Secondary!O396,Primary!O396)</f>
        <v>0</v>
      </c>
      <c r="P396" s="10">
        <f>IF(ActiveDatabase=Standby,Secondary!P396,Primary!P396)</f>
        <v>0</v>
      </c>
      <c r="Q396" s="6">
        <f>IF(ActiveDatabase=Standby,Secondary!Q396,Primary!Q396)</f>
        <v>0</v>
      </c>
      <c r="R396" s="18">
        <f>IF(ActiveDatabase=Standby,Secondary!R396,Primary!R396)</f>
        <v>0</v>
      </c>
      <c r="S396" s="19">
        <f>IF(ActiveDatabase=Standby,Secondary!S396,Primary!S396)</f>
        <v>0</v>
      </c>
      <c r="T396" s="10">
        <f>IF(ActiveDatabase=Standby,Secondary!T396,Primary!T396)</f>
        <v>0</v>
      </c>
      <c r="U396" s="10">
        <f>IF(ActiveDatabase=Standby,Secondary!U396,Primary!U396)</f>
        <v>0</v>
      </c>
      <c r="V396" s="10">
        <f>IF(ActiveDatabase=Standby,Secondary!V396,Primary!V396)</f>
        <v>0</v>
      </c>
      <c r="W396" s="6">
        <f>IF(ActiveDatabase=Standby,Secondary!W396,Primary!W396)</f>
        <v>0</v>
      </c>
      <c r="X396" s="6">
        <f>IF(ActiveDatabase=Standby,Secondary!X396,Primary!X396)</f>
        <v>0</v>
      </c>
      <c r="Y396" s="12">
        <f>IF(ActiveDatabase=Standby,Secondary!Y396,Primary!Y396)</f>
        <v>0</v>
      </c>
      <c r="Z396" s="12">
        <f>IF(ActiveDatabase=Standby,Secondary!Z396,Primary!Z396)</f>
        <v>0</v>
      </c>
      <c r="AA396" s="7">
        <f>IF(ActiveDatabase=Standby,Secondary!AA396,Primary!AA396)</f>
        <v>0</v>
      </c>
      <c r="AB396" s="12"/>
      <c r="AC396" s="6"/>
      <c r="AD396" s="6"/>
      <c r="AE396" s="7"/>
      <c r="AF396" s="7"/>
      <c r="AG396" s="7"/>
      <c r="AH396" s="7"/>
      <c r="AI396" s="7"/>
      <c r="AJ396" s="7"/>
      <c r="AK396" s="7"/>
      <c r="AL396" s="7"/>
      <c r="AM396" s="7"/>
      <c r="AN396" s="7"/>
      <c r="AO396" s="6"/>
      <c r="AP396" s="7"/>
      <c r="AQ396" s="7"/>
      <c r="AR396" s="6"/>
      <c r="AS396" s="7"/>
      <c r="AT396" s="7"/>
      <c r="AU396" s="7"/>
      <c r="AV396" s="7"/>
      <c r="AW396" s="7"/>
      <c r="AX396" s="7"/>
      <c r="AY396" s="7"/>
      <c r="AZ396" s="7"/>
      <c r="BA396" s="7"/>
      <c r="BB396" s="7"/>
      <c r="BC396" s="7"/>
      <c r="BD396" s="7"/>
      <c r="BE396" s="7"/>
      <c r="BF396" s="7"/>
      <c r="BG396" s="7"/>
    </row>
    <row r="397" customHeight="1" spans="1:59">
      <c r="A397" s="9" t="str">
        <f>IF(ActiveDatabase=Standby,Secondary!A397,Primary!A397)</f>
        <v>Hurston</v>
      </c>
      <c r="B397" s="5" t="str">
        <f>IF(ActiveDatabase=Standby,Secondary!B397,Primary!B397)</f>
        <v>Hurston 45</v>
      </c>
      <c r="C397" s="5">
        <f>IF(ActiveDatabase=Standby,Secondary!C397,Primary!C397)</f>
        <v>0</v>
      </c>
      <c r="D397" s="5" t="str">
        <f>IF(ActiveDatabase=Standby,Secondary!D397,Primary!D397)</f>
        <v>Settlements</v>
      </c>
      <c r="E397" s="6">
        <f>IF(ActiveDatabase=Standby,Secondary!E397,Primary!E397)</f>
        <v>0</v>
      </c>
      <c r="F397" s="10">
        <f>IF(ActiveDatabase=Standby,Secondary!F397,Primary!F397)</f>
        <v>0</v>
      </c>
      <c r="G397" s="10">
        <f>IF(ActiveDatabase=Standby,Secondary!G397,Primary!G397)</f>
        <v>0</v>
      </c>
      <c r="H397" s="10">
        <f>IF(ActiveDatabase=Standby,Secondary!H397,Primary!H397)</f>
        <v>0</v>
      </c>
      <c r="I397" s="13">
        <f>IF(ActiveDatabase=Standby,Secondary!I397,Primary!I397)</f>
        <v>0</v>
      </c>
      <c r="J397" s="13">
        <f>IF(ActiveDatabase=Standby,Secondary!J397,Primary!J397)</f>
        <v>0</v>
      </c>
      <c r="K397" s="13">
        <f>IF(ActiveDatabase=Standby,Secondary!K397,Primary!K397)</f>
        <v>0</v>
      </c>
      <c r="L397" s="13">
        <f>IF(ActiveDatabase=Standby,Secondary!L397,Primary!L397)</f>
        <v>0</v>
      </c>
      <c r="M397" s="7">
        <f>IF(ActiveDatabase=Standby,Secondary!M397,Primary!M397)</f>
        <v>0</v>
      </c>
      <c r="N397" s="10">
        <f>IF(ActiveDatabase=Standby,Secondary!N397,Primary!N397)</f>
        <v>0</v>
      </c>
      <c r="O397" s="10">
        <f>IF(ActiveDatabase=Standby,Secondary!O397,Primary!O397)</f>
        <v>0</v>
      </c>
      <c r="P397" s="10">
        <f>IF(ActiveDatabase=Standby,Secondary!P397,Primary!P397)</f>
        <v>0</v>
      </c>
      <c r="Q397" s="6">
        <f>IF(ActiveDatabase=Standby,Secondary!Q397,Primary!Q397)</f>
        <v>0</v>
      </c>
      <c r="R397" s="18">
        <f>IF(ActiveDatabase=Standby,Secondary!R397,Primary!R397)</f>
        <v>0</v>
      </c>
      <c r="S397" s="19">
        <f>IF(ActiveDatabase=Standby,Secondary!S397,Primary!S397)</f>
        <v>0</v>
      </c>
      <c r="T397" s="10">
        <f>IF(ActiveDatabase=Standby,Secondary!T397,Primary!T397)</f>
        <v>0</v>
      </c>
      <c r="U397" s="10">
        <f>IF(ActiveDatabase=Standby,Secondary!U397,Primary!U397)</f>
        <v>0</v>
      </c>
      <c r="V397" s="10">
        <f>IF(ActiveDatabase=Standby,Secondary!V397,Primary!V397)</f>
        <v>0</v>
      </c>
      <c r="W397" s="6">
        <f>IF(ActiveDatabase=Standby,Secondary!W397,Primary!W397)</f>
        <v>0</v>
      </c>
      <c r="X397" s="6">
        <f>IF(ActiveDatabase=Standby,Secondary!X397,Primary!X397)</f>
        <v>0</v>
      </c>
      <c r="Y397" s="12">
        <f>IF(ActiveDatabase=Standby,Secondary!Y397,Primary!Y397)</f>
        <v>0</v>
      </c>
      <c r="Z397" s="12">
        <f>IF(ActiveDatabase=Standby,Secondary!Z397,Primary!Z397)</f>
        <v>0</v>
      </c>
      <c r="AA397" s="7">
        <f>IF(ActiveDatabase=Standby,Secondary!AA397,Primary!AA397)</f>
        <v>0</v>
      </c>
      <c r="AB397" s="12"/>
      <c r="AC397" s="6"/>
      <c r="AD397" s="6"/>
      <c r="AE397" s="7"/>
      <c r="AF397" s="7"/>
      <c r="AG397" s="7"/>
      <c r="AH397" s="7"/>
      <c r="AI397" s="7"/>
      <c r="AJ397" s="7"/>
      <c r="AK397" s="7"/>
      <c r="AL397" s="7"/>
      <c r="AM397" s="7"/>
      <c r="AN397" s="7"/>
      <c r="AO397" s="6"/>
      <c r="AP397" s="7"/>
      <c r="AQ397" s="7"/>
      <c r="AR397" s="6"/>
      <c r="AS397" s="7"/>
      <c r="AT397" s="7"/>
      <c r="AU397" s="7"/>
      <c r="AV397" s="7"/>
      <c r="AW397" s="7"/>
      <c r="AX397" s="7"/>
      <c r="AY397" s="7"/>
      <c r="AZ397" s="7"/>
      <c r="BA397" s="7"/>
      <c r="BB397" s="7"/>
      <c r="BC397" s="7"/>
      <c r="BD397" s="7"/>
      <c r="BE397" s="7"/>
      <c r="BF397" s="7"/>
      <c r="BG397" s="7"/>
    </row>
    <row r="398" customHeight="1" spans="1:59">
      <c r="A398" s="9" t="str">
        <f>IF(ActiveDatabase=Standby,Secondary!A398,Primary!A398)</f>
        <v>Hurston 34</v>
      </c>
      <c r="B398" s="5" t="str">
        <f>IF(ActiveDatabase=Standby,Secondary!B398,Primary!B398)</f>
        <v>Hurston 48</v>
      </c>
      <c r="C398" s="5" t="str">
        <f>IF(ActiveDatabase=Standby,Secondary!C398,Primary!C398)</f>
        <v>Hurston 122</v>
      </c>
      <c r="D398" s="5" t="str">
        <f>IF(ActiveDatabase=Standby,Secondary!D398,Primary!D398)</f>
        <v>Ludlow (Garage Town)</v>
      </c>
      <c r="E398" s="6" t="str">
        <f>IF(ActiveDatabase=Standby,Secondary!E398,Primary!E398)</f>
        <v>Ludlow</v>
      </c>
      <c r="F398" s="10">
        <f>IF(ActiveDatabase=Standby,Secondary!F398,Primary!F398)</f>
        <v>-878.668126952999</v>
      </c>
      <c r="G398" s="10">
        <f>IF(ActiveDatabase=Standby,Secondary!G398,Primary!G398)</f>
        <v>-467.858016385999</v>
      </c>
      <c r="H398" s="10">
        <f>IF(ActiveDatabase=Standby,Secondary!H398,Primary!H398)</f>
        <v>111.09062672</v>
      </c>
      <c r="I398" s="13">
        <f>IF(ActiveDatabase=Standby,Secondary!I398,Primary!I398)</f>
        <v>0</v>
      </c>
      <c r="J398" s="13">
        <f>IF(ActiveDatabase=Standby,Secondary!J398,Primary!J398)</f>
        <v>0</v>
      </c>
      <c r="K398" s="13">
        <f>IF(ActiveDatabase=Standby,Secondary!K398,Primary!K398)</f>
        <v>0</v>
      </c>
      <c r="L398" s="13">
        <f>IF(ActiveDatabase=Standby,Secondary!L398,Primary!L398)</f>
        <v>0</v>
      </c>
      <c r="M398" s="7" t="b">
        <f>IF(ActiveDatabase=Standby,Secondary!M398,Primary!M398)</f>
        <v>1</v>
      </c>
      <c r="N398" s="10">
        <f>IF(ActiveDatabase=Standby,Secondary!N398,Primary!N398)</f>
        <v>0</v>
      </c>
      <c r="O398" s="10">
        <f>IF(ActiveDatabase=Standby,Secondary!O398,Primary!O398)</f>
        <v>0</v>
      </c>
      <c r="P398" s="10">
        <f>IF(ActiveDatabase=Standby,Secondary!P398,Primary!P398)</f>
        <v>0</v>
      </c>
      <c r="Q398" s="6">
        <f>IF(ActiveDatabase=Standby,Secondary!Q398,Primary!Q398)</f>
        <v>0</v>
      </c>
      <c r="R398" s="18">
        <f>IF(ActiveDatabase=Standby,Secondary!R398,Primary!R398)</f>
        <v>0</v>
      </c>
      <c r="S398" s="19">
        <f>IF(ActiveDatabase=Standby,Secondary!S398,Primary!S398)</f>
        <v>0</v>
      </c>
      <c r="T398" s="10">
        <f>IF(ActiveDatabase=Standby,Secondary!T398,Primary!T398)</f>
        <v>0</v>
      </c>
      <c r="U398" s="10">
        <f>IF(ActiveDatabase=Standby,Secondary!U398,Primary!U398)</f>
        <v>0</v>
      </c>
      <c r="V398" s="10">
        <f>IF(ActiveDatabase=Standby,Secondary!V398,Primary!V398)</f>
        <v>0</v>
      </c>
      <c r="W398" s="6">
        <f>IF(ActiveDatabase=Standby,Secondary!W398,Primary!W398)</f>
        <v>0</v>
      </c>
      <c r="X398" s="6">
        <f>IF(ActiveDatabase=Standby,Secondary!X398,Primary!X398)</f>
        <v>0</v>
      </c>
      <c r="Y398" s="12">
        <f>IF(ActiveDatabase=Standby,Secondary!Y398,Primary!Y398)</f>
        <v>0</v>
      </c>
      <c r="Z398" s="12">
        <f>IF(ActiveDatabase=Standby,Secondary!Z398,Primary!Z398)</f>
        <v>0</v>
      </c>
      <c r="AA398" s="7">
        <f>IF(ActiveDatabase=Standby,Secondary!AA398,Primary!AA398)</f>
        <v>0</v>
      </c>
      <c r="AB398" s="12"/>
      <c r="AC398" s="6"/>
      <c r="AD398" s="6"/>
      <c r="AE398" s="7"/>
      <c r="AF398" s="7"/>
      <c r="AG398" s="7"/>
      <c r="AH398" s="7"/>
      <c r="AI398" s="7"/>
      <c r="AJ398" s="7"/>
      <c r="AK398" s="7"/>
      <c r="AL398" s="7"/>
      <c r="AM398" s="7"/>
      <c r="AN398" s="7"/>
      <c r="AO398" s="6"/>
      <c r="AP398" s="7"/>
      <c r="AQ398" s="7"/>
      <c r="AR398" s="6"/>
      <c r="AS398" s="7"/>
      <c r="AT398" s="7"/>
      <c r="AU398" s="7"/>
      <c r="AV398" s="7"/>
      <c r="AW398" s="7"/>
      <c r="AX398" s="7"/>
      <c r="AY398" s="7"/>
      <c r="AZ398" s="7"/>
      <c r="BA398" s="7"/>
      <c r="BB398" s="7"/>
      <c r="BC398" s="7"/>
      <c r="BD398" s="7"/>
      <c r="BE398" s="7"/>
      <c r="BF398" s="7"/>
      <c r="BG398" s="7"/>
    </row>
    <row r="399" customHeight="1" spans="1:59">
      <c r="A399" s="9" t="str">
        <f>IF(ActiveDatabase=Standby,Secondary!A399,Primary!A399)</f>
        <v>Hurston 33</v>
      </c>
      <c r="B399" s="5" t="str">
        <f>IF(ActiveDatabase=Standby,Secondary!B399,Primary!B399)</f>
        <v>Hurston 47</v>
      </c>
      <c r="C399" s="5" t="str">
        <f>IF(ActiveDatabase=Standby,Secondary!C399,Primary!C399)</f>
        <v>Hurston 116</v>
      </c>
      <c r="D399" s="5" t="str">
        <f>IF(ActiveDatabase=Standby,Secondary!D399,Primary!D399)</f>
        <v>Finn's Folly (Hydrona Farm)</v>
      </c>
      <c r="E399" s="6" t="str">
        <f>IF(ActiveDatabase=Standby,Secondary!E399,Primary!E399)</f>
        <v>Finn's</v>
      </c>
      <c r="F399" s="10">
        <f>IF(ActiveDatabase=Standby,Secondary!F399,Primary!F399)</f>
        <v>-196.592317898999</v>
      </c>
      <c r="G399" s="10">
        <f>IF(ActiveDatabase=Standby,Secondary!G399,Primary!G399)</f>
        <v>-197.870934748</v>
      </c>
      <c r="H399" s="10">
        <f>IF(ActiveDatabase=Standby,Secondary!H399,Primary!H399)</f>
        <v>961.998923773</v>
      </c>
      <c r="I399" s="13">
        <f>IF(ActiveDatabase=Standby,Secondary!I399,Primary!I399)</f>
        <v>0</v>
      </c>
      <c r="J399" s="13">
        <f>IF(ActiveDatabase=Standby,Secondary!J399,Primary!J399)</f>
        <v>0</v>
      </c>
      <c r="K399" s="13">
        <f>IF(ActiveDatabase=Standby,Secondary!K399,Primary!K399)</f>
        <v>0</v>
      </c>
      <c r="L399" s="13">
        <f>IF(ActiveDatabase=Standby,Secondary!L399,Primary!L399)</f>
        <v>0</v>
      </c>
      <c r="M399" s="7" t="b">
        <f>IF(ActiveDatabase=Standby,Secondary!M399,Primary!M399)</f>
        <v>0</v>
      </c>
      <c r="N399" s="10">
        <f>IF(ActiveDatabase=Standby,Secondary!N399,Primary!N399)</f>
        <v>0</v>
      </c>
      <c r="O399" s="10">
        <f>IF(ActiveDatabase=Standby,Secondary!O399,Primary!O399)</f>
        <v>0</v>
      </c>
      <c r="P399" s="10">
        <f>IF(ActiveDatabase=Standby,Secondary!P399,Primary!P399)</f>
        <v>0</v>
      </c>
      <c r="Q399" s="6">
        <f>IF(ActiveDatabase=Standby,Secondary!Q399,Primary!Q399)</f>
        <v>0</v>
      </c>
      <c r="R399" s="18">
        <f>IF(ActiveDatabase=Standby,Secondary!R399,Primary!R399)</f>
        <v>0</v>
      </c>
      <c r="S399" s="19">
        <f>IF(ActiveDatabase=Standby,Secondary!S399,Primary!S399)</f>
        <v>0</v>
      </c>
      <c r="T399" s="10">
        <f>IF(ActiveDatabase=Standby,Secondary!T399,Primary!T399)</f>
        <v>0</v>
      </c>
      <c r="U399" s="10">
        <f>IF(ActiveDatabase=Standby,Secondary!U399,Primary!U399)</f>
        <v>0</v>
      </c>
      <c r="V399" s="10">
        <f>IF(ActiveDatabase=Standby,Secondary!V399,Primary!V399)</f>
        <v>0</v>
      </c>
      <c r="W399" s="6">
        <f>IF(ActiveDatabase=Standby,Secondary!W399,Primary!W399)</f>
        <v>0</v>
      </c>
      <c r="X399" s="6">
        <f>IF(ActiveDatabase=Standby,Secondary!X399,Primary!X399)</f>
        <v>0</v>
      </c>
      <c r="Y399" s="12">
        <f>IF(ActiveDatabase=Standby,Secondary!Y399,Primary!Y399)</f>
        <v>0</v>
      </c>
      <c r="Z399" s="12">
        <f>IF(ActiveDatabase=Standby,Secondary!Z399,Primary!Z399)</f>
        <v>0</v>
      </c>
      <c r="AA399" s="7">
        <f>IF(ActiveDatabase=Standby,Secondary!AA399,Primary!AA399)</f>
        <v>0</v>
      </c>
      <c r="AB399" s="12"/>
      <c r="AC399" s="6"/>
      <c r="AD399" s="6"/>
      <c r="AE399" s="7"/>
      <c r="AF399" s="7"/>
      <c r="AG399" s="7"/>
      <c r="AH399" s="7"/>
      <c r="AI399" s="7"/>
      <c r="AJ399" s="7"/>
      <c r="AK399" s="7"/>
      <c r="AL399" s="7"/>
      <c r="AM399" s="7"/>
      <c r="AN399" s="7"/>
      <c r="AO399" s="6"/>
      <c r="AP399" s="7"/>
      <c r="AQ399" s="7"/>
      <c r="AR399" s="6"/>
      <c r="AS399" s="7"/>
      <c r="AT399" s="7"/>
      <c r="AU399" s="7"/>
      <c r="AV399" s="7"/>
      <c r="AW399" s="7"/>
      <c r="AX399" s="7"/>
      <c r="AY399" s="7"/>
      <c r="AZ399" s="7"/>
      <c r="BA399" s="7"/>
      <c r="BB399" s="7"/>
      <c r="BC399" s="7"/>
      <c r="BD399" s="7"/>
      <c r="BE399" s="7"/>
      <c r="BF399" s="7"/>
      <c r="BG399" s="7"/>
    </row>
    <row r="400" customHeight="1" spans="1:59">
      <c r="A400" s="9" t="str">
        <f>IF(ActiveDatabase=Standby,Secondary!A400,Primary!A400)</f>
        <v>Hurston 36</v>
      </c>
      <c r="B400" s="5" t="str">
        <f>IF(ActiveDatabase=Standby,Secondary!B400,Primary!B400)</f>
        <v>Hurston 50</v>
      </c>
      <c r="C400" s="5" t="str">
        <f>IF(ActiveDatabase=Standby,Secondary!C400,Primary!C400)</f>
        <v>Hurston 09</v>
      </c>
      <c r="D400" s="5" t="str">
        <f>IF(ActiveDatabase=Standby,Secondary!D400,Primary!D400)</f>
        <v>Picker's Field</v>
      </c>
      <c r="E400" s="6" t="str">
        <f>IF(ActiveDatabase=Standby,Secondary!E400,Primary!E400)</f>
        <v>Picker's</v>
      </c>
      <c r="F400" s="10">
        <f>IF(ActiveDatabase=Standby,Secondary!F400,Primary!F400)</f>
        <v>-679.766214981</v>
      </c>
      <c r="G400" s="10">
        <f>IF(ActiveDatabase=Standby,Secondary!G400,Primary!G400)</f>
        <v>262.265674172999</v>
      </c>
      <c r="H400" s="10">
        <f>IF(ActiveDatabase=Standby,Secondary!H400,Primary!H400)</f>
        <v>-686.080061534999</v>
      </c>
      <c r="I400" s="13">
        <f>IF(ActiveDatabase=Standby,Secondary!I400,Primary!I400)</f>
        <v>0</v>
      </c>
      <c r="J400" s="13">
        <f>IF(ActiveDatabase=Standby,Secondary!J400,Primary!J400)</f>
        <v>0</v>
      </c>
      <c r="K400" s="13">
        <f>IF(ActiveDatabase=Standby,Secondary!K400,Primary!K400)</f>
        <v>0</v>
      </c>
      <c r="L400" s="13">
        <f>IF(ActiveDatabase=Standby,Secondary!L400,Primary!L400)</f>
        <v>0</v>
      </c>
      <c r="M400" s="7" t="b">
        <f>IF(ActiveDatabase=Standby,Secondary!M400,Primary!M400)</f>
        <v>1</v>
      </c>
      <c r="N400" s="10">
        <f>IF(ActiveDatabase=Standby,Secondary!N400,Primary!N400)</f>
        <v>0</v>
      </c>
      <c r="O400" s="10">
        <f>IF(ActiveDatabase=Standby,Secondary!O400,Primary!O400)</f>
        <v>0</v>
      </c>
      <c r="P400" s="10">
        <f>IF(ActiveDatabase=Standby,Secondary!P400,Primary!P400)</f>
        <v>0</v>
      </c>
      <c r="Q400" s="6">
        <f>IF(ActiveDatabase=Standby,Secondary!Q400,Primary!Q400)</f>
        <v>0</v>
      </c>
      <c r="R400" s="18">
        <f>IF(ActiveDatabase=Standby,Secondary!R400,Primary!R400)</f>
        <v>0</v>
      </c>
      <c r="S400" s="19">
        <f>IF(ActiveDatabase=Standby,Secondary!S400,Primary!S400)</f>
        <v>0</v>
      </c>
      <c r="T400" s="10">
        <f>IF(ActiveDatabase=Standby,Secondary!T400,Primary!T400)</f>
        <v>0</v>
      </c>
      <c r="U400" s="10">
        <f>IF(ActiveDatabase=Standby,Secondary!U400,Primary!U400)</f>
        <v>0</v>
      </c>
      <c r="V400" s="10">
        <f>IF(ActiveDatabase=Standby,Secondary!V400,Primary!V400)</f>
        <v>0</v>
      </c>
      <c r="W400" s="6">
        <f>IF(ActiveDatabase=Standby,Secondary!W400,Primary!W400)</f>
        <v>0</v>
      </c>
      <c r="X400" s="6">
        <f>IF(ActiveDatabase=Standby,Secondary!X400,Primary!X400)</f>
        <v>0</v>
      </c>
      <c r="Y400" s="12">
        <f>IF(ActiveDatabase=Standby,Secondary!Y400,Primary!Y400)</f>
        <v>0</v>
      </c>
      <c r="Z400" s="12">
        <f>IF(ActiveDatabase=Standby,Secondary!Z400,Primary!Z400)</f>
        <v>0</v>
      </c>
      <c r="AA400" s="7">
        <f>IF(ActiveDatabase=Standby,Secondary!AA400,Primary!AA400)</f>
        <v>0</v>
      </c>
      <c r="AB400" s="12"/>
      <c r="AC400" s="6"/>
      <c r="AD400" s="6"/>
      <c r="AE400" s="7"/>
      <c r="AF400" s="7"/>
      <c r="AG400" s="7"/>
      <c r="AH400" s="7"/>
      <c r="AI400" s="7"/>
      <c r="AJ400" s="7"/>
      <c r="AK400" s="7"/>
      <c r="AL400" s="7"/>
      <c r="AM400" s="7"/>
      <c r="AN400" s="7"/>
      <c r="AO400" s="6"/>
      <c r="AP400" s="7"/>
      <c r="AQ400" s="7"/>
      <c r="AR400" s="6"/>
      <c r="AS400" s="7"/>
      <c r="AT400" s="7"/>
      <c r="AU400" s="7"/>
      <c r="AV400" s="7"/>
      <c r="AW400" s="7"/>
      <c r="AX400" s="7"/>
      <c r="AY400" s="7"/>
      <c r="AZ400" s="7"/>
      <c r="BA400" s="7"/>
      <c r="BB400" s="7"/>
      <c r="BC400" s="7"/>
      <c r="BD400" s="7"/>
      <c r="BE400" s="7"/>
      <c r="BF400" s="7"/>
      <c r="BG400" s="7"/>
    </row>
    <row r="401" customHeight="1" spans="1:59">
      <c r="A401" s="9" t="str">
        <f>IF(ActiveDatabase=Standby,Secondary!A401,Primary!A401)</f>
        <v>Hurston 35</v>
      </c>
      <c r="B401" s="5" t="str">
        <f>IF(ActiveDatabase=Standby,Secondary!B401,Primary!B401)</f>
        <v>Hurston 49</v>
      </c>
      <c r="C401" s="5" t="str">
        <f>IF(ActiveDatabase=Standby,Secondary!C401,Primary!C401)</f>
        <v>Hurston 22</v>
      </c>
      <c r="D401" s="5" t="str">
        <f>IF(ActiveDatabase=Standby,Secondary!D401,Primary!D401)</f>
        <v>Maker's Point (Wire City)</v>
      </c>
      <c r="E401" s="6" t="str">
        <f>IF(ActiveDatabase=Standby,Secondary!E401,Primary!E401)</f>
        <v>Maker's</v>
      </c>
      <c r="F401" s="10">
        <f>IF(ActiveDatabase=Standby,Secondary!F401,Primary!F401)</f>
        <v>-154.007217781</v>
      </c>
      <c r="G401" s="10">
        <f>IF(ActiveDatabase=Standby,Secondary!G401,Primary!G401)</f>
        <v>128.324546170999</v>
      </c>
      <c r="H401" s="10">
        <f>IF(ActiveDatabase=Standby,Secondary!H401,Primary!H401)</f>
        <v>979.766026532</v>
      </c>
      <c r="I401" s="13">
        <f>IF(ActiveDatabase=Standby,Secondary!I401,Primary!I401)</f>
        <v>0</v>
      </c>
      <c r="J401" s="13">
        <f>IF(ActiveDatabase=Standby,Secondary!J401,Primary!J401)</f>
        <v>0</v>
      </c>
      <c r="K401" s="13">
        <f>IF(ActiveDatabase=Standby,Secondary!K401,Primary!K401)</f>
        <v>0</v>
      </c>
      <c r="L401" s="13">
        <f>IF(ActiveDatabase=Standby,Secondary!L401,Primary!L401)</f>
        <v>0</v>
      </c>
      <c r="M401" s="7" t="b">
        <f>IF(ActiveDatabase=Standby,Secondary!M401,Primary!M401)</f>
        <v>1</v>
      </c>
      <c r="N401" s="10">
        <f>IF(ActiveDatabase=Standby,Secondary!N401,Primary!N401)</f>
        <v>0</v>
      </c>
      <c r="O401" s="10">
        <f>IF(ActiveDatabase=Standby,Secondary!O401,Primary!O401)</f>
        <v>0</v>
      </c>
      <c r="P401" s="10">
        <f>IF(ActiveDatabase=Standby,Secondary!P401,Primary!P401)</f>
        <v>0</v>
      </c>
      <c r="Q401" s="6">
        <f>IF(ActiveDatabase=Standby,Secondary!Q401,Primary!Q401)</f>
        <v>0</v>
      </c>
      <c r="R401" s="18">
        <f>IF(ActiveDatabase=Standby,Secondary!R401,Primary!R401)</f>
        <v>0</v>
      </c>
      <c r="S401" s="19">
        <f>IF(ActiveDatabase=Standby,Secondary!S401,Primary!S401)</f>
        <v>0</v>
      </c>
      <c r="T401" s="10">
        <f>IF(ActiveDatabase=Standby,Secondary!T401,Primary!T401)</f>
        <v>0</v>
      </c>
      <c r="U401" s="10">
        <f>IF(ActiveDatabase=Standby,Secondary!U401,Primary!U401)</f>
        <v>0</v>
      </c>
      <c r="V401" s="10">
        <f>IF(ActiveDatabase=Standby,Secondary!V401,Primary!V401)</f>
        <v>0</v>
      </c>
      <c r="W401" s="6">
        <f>IF(ActiveDatabase=Standby,Secondary!W401,Primary!W401)</f>
        <v>0</v>
      </c>
      <c r="X401" s="6">
        <f>IF(ActiveDatabase=Standby,Secondary!X401,Primary!X401)</f>
        <v>0</v>
      </c>
      <c r="Y401" s="12">
        <f>IF(ActiveDatabase=Standby,Secondary!Y401,Primary!Y401)</f>
        <v>0</v>
      </c>
      <c r="Z401" s="12">
        <f>IF(ActiveDatabase=Standby,Secondary!Z401,Primary!Z401)</f>
        <v>0</v>
      </c>
      <c r="AA401" s="7">
        <f>IF(ActiveDatabase=Standby,Secondary!AA401,Primary!AA401)</f>
        <v>0</v>
      </c>
      <c r="AB401" s="12"/>
      <c r="AC401" s="6"/>
      <c r="AD401" s="6"/>
      <c r="AE401" s="7"/>
      <c r="AF401" s="7"/>
      <c r="AG401" s="7"/>
      <c r="AH401" s="7"/>
      <c r="AI401" s="7"/>
      <c r="AJ401" s="7"/>
      <c r="AK401" s="7"/>
      <c r="AL401" s="7"/>
      <c r="AM401" s="7"/>
      <c r="AN401" s="7"/>
      <c r="AO401" s="6"/>
      <c r="AP401" s="7"/>
      <c r="AQ401" s="7"/>
      <c r="AR401" s="6"/>
      <c r="AS401" s="7"/>
      <c r="AT401" s="7"/>
      <c r="AU401" s="7"/>
      <c r="AV401" s="7"/>
      <c r="AW401" s="7"/>
      <c r="AX401" s="7"/>
      <c r="AY401" s="7"/>
      <c r="AZ401" s="7"/>
      <c r="BA401" s="7"/>
      <c r="BB401" s="7"/>
      <c r="BC401" s="7"/>
      <c r="BD401" s="7"/>
      <c r="BE401" s="7"/>
      <c r="BF401" s="7"/>
      <c r="BG401" s="7"/>
    </row>
    <row r="402" customHeight="1" spans="1:59">
      <c r="A402" s="9" t="str">
        <f>IF(ActiveDatabase=Standby,Secondary!A402,Primary!A402)</f>
        <v>Hurston 39</v>
      </c>
      <c r="B402" s="5" t="str">
        <f>IF(ActiveDatabase=Standby,Secondary!B402,Primary!B402)</f>
        <v>Hurston 53</v>
      </c>
      <c r="C402" s="5" t="str">
        <f>IF(ActiveDatabase=Standby,Secondary!C402,Primary!C402)</f>
        <v>Hurston 77</v>
      </c>
      <c r="D402" s="5" t="str">
        <f>IF(ActiveDatabase=Standby,Secondary!D402,Primary!D402)</f>
        <v>Zephyr (Windmill)</v>
      </c>
      <c r="E402" s="6" t="str">
        <f>IF(ActiveDatabase=Standby,Secondary!E402,Primary!E402)</f>
        <v>Zephyr</v>
      </c>
      <c r="F402" s="10">
        <f>IF(ActiveDatabase=Standby,Secondary!F402,Primary!F402)</f>
        <v>108.159996413</v>
      </c>
      <c r="G402" s="10">
        <f>IF(ActiveDatabase=Standby,Secondary!G402,Primary!G402)</f>
        <v>-133.661614184</v>
      </c>
      <c r="H402" s="10">
        <f>IF(ActiveDatabase=Standby,Secondary!H402,Primary!H402)</f>
        <v>986.694257507</v>
      </c>
      <c r="I402" s="13">
        <f>IF(ActiveDatabase=Standby,Secondary!I402,Primary!I402)</f>
        <v>0</v>
      </c>
      <c r="J402" s="13">
        <f>IF(ActiveDatabase=Standby,Secondary!J402,Primary!J402)</f>
        <v>0</v>
      </c>
      <c r="K402" s="13">
        <f>IF(ActiveDatabase=Standby,Secondary!K402,Primary!K402)</f>
        <v>0</v>
      </c>
      <c r="L402" s="13">
        <f>IF(ActiveDatabase=Standby,Secondary!L402,Primary!L402)</f>
        <v>0</v>
      </c>
      <c r="M402" s="7" t="b">
        <f>IF(ActiveDatabase=Standby,Secondary!M402,Primary!M402)</f>
        <v>1</v>
      </c>
      <c r="N402" s="10">
        <f>IF(ActiveDatabase=Standby,Secondary!N402,Primary!N402)</f>
        <v>0</v>
      </c>
      <c r="O402" s="10">
        <f>IF(ActiveDatabase=Standby,Secondary!O402,Primary!O402)</f>
        <v>0</v>
      </c>
      <c r="P402" s="10">
        <f>IF(ActiveDatabase=Standby,Secondary!P402,Primary!P402)</f>
        <v>0</v>
      </c>
      <c r="Q402" s="6">
        <f>IF(ActiveDatabase=Standby,Secondary!Q402,Primary!Q402)</f>
        <v>0</v>
      </c>
      <c r="R402" s="18">
        <f>IF(ActiveDatabase=Standby,Secondary!R402,Primary!R402)</f>
        <v>0</v>
      </c>
      <c r="S402" s="19">
        <f>IF(ActiveDatabase=Standby,Secondary!S402,Primary!S402)</f>
        <v>0</v>
      </c>
      <c r="T402" s="10">
        <f>IF(ActiveDatabase=Standby,Secondary!T402,Primary!T402)</f>
        <v>0</v>
      </c>
      <c r="U402" s="10">
        <f>IF(ActiveDatabase=Standby,Secondary!U402,Primary!U402)</f>
        <v>0</v>
      </c>
      <c r="V402" s="10">
        <f>IF(ActiveDatabase=Standby,Secondary!V402,Primary!V402)</f>
        <v>0</v>
      </c>
      <c r="W402" s="6">
        <f>IF(ActiveDatabase=Standby,Secondary!W402,Primary!W402)</f>
        <v>0</v>
      </c>
      <c r="X402" s="6">
        <f>IF(ActiveDatabase=Standby,Secondary!X402,Primary!X402)</f>
        <v>0</v>
      </c>
      <c r="Y402" s="12">
        <f>IF(ActiveDatabase=Standby,Secondary!Y402,Primary!Y402)</f>
        <v>0</v>
      </c>
      <c r="Z402" s="12">
        <f>IF(ActiveDatabase=Standby,Secondary!Z402,Primary!Z402)</f>
        <v>0</v>
      </c>
      <c r="AA402" s="7">
        <f>IF(ActiveDatabase=Standby,Secondary!AA402,Primary!AA402)</f>
        <v>0</v>
      </c>
      <c r="AB402" s="12"/>
      <c r="AC402" s="6"/>
      <c r="AD402" s="6"/>
      <c r="AE402" s="7"/>
      <c r="AF402" s="7"/>
      <c r="AG402" s="7"/>
      <c r="AH402" s="7"/>
      <c r="AI402" s="7"/>
      <c r="AJ402" s="7"/>
      <c r="AK402" s="7"/>
      <c r="AL402" s="7"/>
      <c r="AM402" s="7"/>
      <c r="AN402" s="7"/>
      <c r="AO402" s="6"/>
      <c r="AP402" s="7"/>
      <c r="AQ402" s="7"/>
      <c r="AR402" s="6"/>
      <c r="AS402" s="7"/>
      <c r="AT402" s="7"/>
      <c r="AU402" s="7"/>
      <c r="AV402" s="7"/>
      <c r="AW402" s="7"/>
      <c r="AX402" s="7"/>
      <c r="AY402" s="7"/>
      <c r="AZ402" s="7"/>
      <c r="BA402" s="7"/>
      <c r="BB402" s="7"/>
      <c r="BC402" s="7"/>
      <c r="BD402" s="7"/>
      <c r="BE402" s="7"/>
      <c r="BF402" s="7"/>
      <c r="BG402" s="7"/>
    </row>
    <row r="403" customHeight="1" spans="1:59">
      <c r="A403" s="9" t="str">
        <f>IF(ActiveDatabase=Standby,Secondary!A403,Primary!A403)</f>
        <v>Hurston 37</v>
      </c>
      <c r="B403" s="5" t="str">
        <f>IF(ActiveDatabase=Standby,Secondary!B403,Primary!B403)</f>
        <v>Hurston 51</v>
      </c>
      <c r="C403" s="5" t="str">
        <f>IF(ActiveDatabase=Standby,Secondary!C403,Primary!C403)</f>
        <v>Hurston 79</v>
      </c>
      <c r="D403" s="5" t="str">
        <f>IF(ActiveDatabase=Standby,Secondary!D403,Primary!D403)</f>
        <v>Rappel</v>
      </c>
      <c r="E403" s="6" t="str">
        <f>IF(ActiveDatabase=Standby,Secondary!E403,Primary!E403)</f>
        <v>Rappel</v>
      </c>
      <c r="F403" s="10">
        <f>IF(ActiveDatabase=Standby,Secondary!F403,Primary!F403)</f>
        <v>352.952127274999</v>
      </c>
      <c r="G403" s="10">
        <f>IF(ActiveDatabase=Standby,Secondary!G403,Primary!G403)</f>
        <v>-661.889742396999</v>
      </c>
      <c r="H403" s="10">
        <f>IF(ActiveDatabase=Standby,Secondary!H403,Primary!H403)</f>
        <v>663.889093976999</v>
      </c>
      <c r="I403" s="13">
        <f>IF(ActiveDatabase=Standby,Secondary!I403,Primary!I403)</f>
        <v>0</v>
      </c>
      <c r="J403" s="13">
        <f>IF(ActiveDatabase=Standby,Secondary!J403,Primary!J403)</f>
        <v>0</v>
      </c>
      <c r="K403" s="13">
        <f>IF(ActiveDatabase=Standby,Secondary!K403,Primary!K403)</f>
        <v>0</v>
      </c>
      <c r="L403" s="13">
        <f>IF(ActiveDatabase=Standby,Secondary!L403,Primary!L403)</f>
        <v>0</v>
      </c>
      <c r="M403" s="7" t="b">
        <f>IF(ActiveDatabase=Standby,Secondary!M403,Primary!M403)</f>
        <v>1</v>
      </c>
      <c r="N403" s="10">
        <f>IF(ActiveDatabase=Standby,Secondary!N403,Primary!N403)</f>
        <v>0</v>
      </c>
      <c r="O403" s="10">
        <f>IF(ActiveDatabase=Standby,Secondary!O403,Primary!O403)</f>
        <v>0</v>
      </c>
      <c r="P403" s="10">
        <f>IF(ActiveDatabase=Standby,Secondary!P403,Primary!P403)</f>
        <v>0</v>
      </c>
      <c r="Q403" s="6">
        <f>IF(ActiveDatabase=Standby,Secondary!Q403,Primary!Q403)</f>
        <v>0</v>
      </c>
      <c r="R403" s="18">
        <f>IF(ActiveDatabase=Standby,Secondary!R403,Primary!R403)</f>
        <v>0</v>
      </c>
      <c r="S403" s="19">
        <f>IF(ActiveDatabase=Standby,Secondary!S403,Primary!S403)</f>
        <v>0</v>
      </c>
      <c r="T403" s="10">
        <f>IF(ActiveDatabase=Standby,Secondary!T403,Primary!T403)</f>
        <v>0</v>
      </c>
      <c r="U403" s="10">
        <f>IF(ActiveDatabase=Standby,Secondary!U403,Primary!U403)</f>
        <v>0</v>
      </c>
      <c r="V403" s="10">
        <f>IF(ActiveDatabase=Standby,Secondary!V403,Primary!V403)</f>
        <v>0</v>
      </c>
      <c r="W403" s="6">
        <f>IF(ActiveDatabase=Standby,Secondary!W403,Primary!W403)</f>
        <v>0</v>
      </c>
      <c r="X403" s="6">
        <f>IF(ActiveDatabase=Standby,Secondary!X403,Primary!X403)</f>
        <v>0</v>
      </c>
      <c r="Y403" s="12">
        <f>IF(ActiveDatabase=Standby,Secondary!Y403,Primary!Y403)</f>
        <v>0</v>
      </c>
      <c r="Z403" s="12">
        <f>IF(ActiveDatabase=Standby,Secondary!Z403,Primary!Z403)</f>
        <v>0</v>
      </c>
      <c r="AA403" s="7">
        <f>IF(ActiveDatabase=Standby,Secondary!AA403,Primary!AA403)</f>
        <v>0</v>
      </c>
      <c r="AB403" s="12"/>
      <c r="AC403" s="6"/>
      <c r="AD403" s="6"/>
      <c r="AE403" s="7"/>
      <c r="AF403" s="7"/>
      <c r="AG403" s="7"/>
      <c r="AH403" s="7"/>
      <c r="AI403" s="7"/>
      <c r="AJ403" s="7"/>
      <c r="AK403" s="7"/>
      <c r="AL403" s="7"/>
      <c r="AM403" s="7"/>
      <c r="AN403" s="7"/>
      <c r="AO403" s="6"/>
      <c r="AP403" s="7"/>
      <c r="AQ403" s="7"/>
      <c r="AR403" s="6"/>
      <c r="AS403" s="7"/>
      <c r="AT403" s="7"/>
      <c r="AU403" s="7"/>
      <c r="AV403" s="7"/>
      <c r="AW403" s="7"/>
      <c r="AX403" s="7"/>
      <c r="AY403" s="7"/>
      <c r="AZ403" s="7"/>
      <c r="BA403" s="7"/>
      <c r="BB403" s="7"/>
      <c r="BC403" s="7"/>
      <c r="BD403" s="7"/>
      <c r="BE403" s="7"/>
      <c r="BF403" s="7"/>
      <c r="BG403" s="7"/>
    </row>
    <row r="404" customHeight="1" spans="1:59">
      <c r="A404" s="9" t="str">
        <f>IF(ActiveDatabase=Standby,Secondary!A404,Primary!A404)</f>
        <v>Hurston 32</v>
      </c>
      <c r="B404" s="5" t="str">
        <f>IF(ActiveDatabase=Standby,Secondary!B404,Primary!B404)</f>
        <v>Hurston 46</v>
      </c>
      <c r="C404" s="5" t="str">
        <f>IF(ActiveDatabase=Standby,Secondary!C404,Primary!C404)</f>
        <v>Hurston 129</v>
      </c>
      <c r="D404" s="5" t="str">
        <f>IF(ActiveDatabase=Standby,Secondary!D404,Primary!D404)</f>
        <v>Cutter's Rig (Ocean Forge)</v>
      </c>
      <c r="E404" s="6" t="str">
        <f>IF(ActiveDatabase=Standby,Secondary!E404,Primary!E404)</f>
        <v>Cutter's</v>
      </c>
      <c r="F404" s="10">
        <f>IF(ActiveDatabase=Standby,Secondary!F404,Primary!F404)</f>
        <v>-455.118837038</v>
      </c>
      <c r="G404" s="10">
        <f>IF(ActiveDatabase=Standby,Secondary!G404,Primary!G404)</f>
        <v>-200.496928163</v>
      </c>
      <c r="H404" s="10">
        <f>IF(ActiveDatabase=Standby,Secondary!H404,Primary!H404)</f>
        <v>867.564004635</v>
      </c>
      <c r="I404" s="13">
        <f>IF(ActiveDatabase=Standby,Secondary!I404,Primary!I404)</f>
        <v>0</v>
      </c>
      <c r="J404" s="13">
        <f>IF(ActiveDatabase=Standby,Secondary!J404,Primary!J404)</f>
        <v>0</v>
      </c>
      <c r="K404" s="13">
        <f>IF(ActiveDatabase=Standby,Secondary!K404,Primary!K404)</f>
        <v>0</v>
      </c>
      <c r="L404" s="13">
        <f>IF(ActiveDatabase=Standby,Secondary!L404,Primary!L404)</f>
        <v>0</v>
      </c>
      <c r="M404" s="7" t="b">
        <f>IF(ActiveDatabase=Standby,Secondary!M404,Primary!M404)</f>
        <v>0</v>
      </c>
      <c r="N404" s="10">
        <f>IF(ActiveDatabase=Standby,Secondary!N404,Primary!N404)</f>
        <v>0</v>
      </c>
      <c r="O404" s="10">
        <f>IF(ActiveDatabase=Standby,Secondary!O404,Primary!O404)</f>
        <v>0</v>
      </c>
      <c r="P404" s="10">
        <f>IF(ActiveDatabase=Standby,Secondary!P404,Primary!P404)</f>
        <v>0</v>
      </c>
      <c r="Q404" s="6">
        <f>IF(ActiveDatabase=Standby,Secondary!Q404,Primary!Q404)</f>
        <v>0</v>
      </c>
      <c r="R404" s="18">
        <f>IF(ActiveDatabase=Standby,Secondary!R404,Primary!R404)</f>
        <v>0</v>
      </c>
      <c r="S404" s="19">
        <f>IF(ActiveDatabase=Standby,Secondary!S404,Primary!S404)</f>
        <v>0</v>
      </c>
      <c r="T404" s="10">
        <f>IF(ActiveDatabase=Standby,Secondary!T404,Primary!T404)</f>
        <v>0</v>
      </c>
      <c r="U404" s="10">
        <f>IF(ActiveDatabase=Standby,Secondary!U404,Primary!U404)</f>
        <v>0</v>
      </c>
      <c r="V404" s="10">
        <f>IF(ActiveDatabase=Standby,Secondary!V404,Primary!V404)</f>
        <v>0</v>
      </c>
      <c r="W404" s="6">
        <f>IF(ActiveDatabase=Standby,Secondary!W404,Primary!W404)</f>
        <v>0</v>
      </c>
      <c r="X404" s="6">
        <f>IF(ActiveDatabase=Standby,Secondary!X404,Primary!X404)</f>
        <v>0</v>
      </c>
      <c r="Y404" s="12">
        <f>IF(ActiveDatabase=Standby,Secondary!Y404,Primary!Y404)</f>
        <v>0</v>
      </c>
      <c r="Z404" s="12">
        <f>IF(ActiveDatabase=Standby,Secondary!Z404,Primary!Z404)</f>
        <v>0</v>
      </c>
      <c r="AA404" s="7">
        <f>IF(ActiveDatabase=Standby,Secondary!AA404,Primary!AA404)</f>
        <v>0</v>
      </c>
      <c r="AB404" s="12"/>
      <c r="AC404" s="6"/>
      <c r="AD404" s="6"/>
      <c r="AE404" s="7"/>
      <c r="AF404" s="7"/>
      <c r="AG404" s="7"/>
      <c r="AH404" s="7"/>
      <c r="AI404" s="7"/>
      <c r="AJ404" s="7"/>
      <c r="AK404" s="7"/>
      <c r="AL404" s="7"/>
      <c r="AM404" s="7"/>
      <c r="AN404" s="7"/>
      <c r="AO404" s="6"/>
      <c r="AP404" s="7"/>
      <c r="AQ404" s="7"/>
      <c r="AR404" s="6"/>
      <c r="AS404" s="7"/>
      <c r="AT404" s="7"/>
      <c r="AU404" s="7"/>
      <c r="AV404" s="7"/>
      <c r="AW404" s="7"/>
      <c r="AX404" s="7"/>
      <c r="AY404" s="7"/>
      <c r="AZ404" s="7"/>
      <c r="BA404" s="7"/>
      <c r="BB404" s="7"/>
      <c r="BC404" s="7"/>
      <c r="BD404" s="7"/>
      <c r="BE404" s="7"/>
      <c r="BF404" s="7"/>
      <c r="BG404" s="7"/>
    </row>
    <row r="405" customHeight="1" spans="1:59">
      <c r="A405" s="9" t="str">
        <f>IF(ActiveDatabase=Standby,Secondary!A405,Primary!A405)</f>
        <v>Hurston 38</v>
      </c>
      <c r="B405" s="5" t="str">
        <f>IF(ActiveDatabase=Standby,Secondary!B405,Primary!B405)</f>
        <v>Hurston 52</v>
      </c>
      <c r="C405" s="5" t="str">
        <f>IF(ActiveDatabase=Standby,Secondary!C405,Primary!C405)</f>
        <v>Hurston 127</v>
      </c>
      <c r="D405" s="5" t="str">
        <f>IF(ActiveDatabase=Standby,Secondary!D405,Primary!D405)</f>
        <v>Weeping Cove (Calypso Island)</v>
      </c>
      <c r="E405" s="6" t="str">
        <f>IF(ActiveDatabase=Standby,Secondary!E405,Primary!E405)</f>
        <v>Weeping</v>
      </c>
      <c r="F405" s="10">
        <f>IF(ActiveDatabase=Standby,Secondary!F405,Primary!F405)</f>
        <v>-455.402779451999</v>
      </c>
      <c r="G405" s="10">
        <f>IF(ActiveDatabase=Standby,Secondary!G405,Primary!G405)</f>
        <v>-202.816335427</v>
      </c>
      <c r="H405" s="10">
        <f>IF(ActiveDatabase=Standby,Secondary!H405,Primary!H405)</f>
        <v>866.880872573</v>
      </c>
      <c r="I405" s="13">
        <f>IF(ActiveDatabase=Standby,Secondary!I405,Primary!I405)</f>
        <v>0</v>
      </c>
      <c r="J405" s="13">
        <f>IF(ActiveDatabase=Standby,Secondary!J405,Primary!J405)</f>
        <v>0</v>
      </c>
      <c r="K405" s="13">
        <f>IF(ActiveDatabase=Standby,Secondary!K405,Primary!K405)</f>
        <v>0</v>
      </c>
      <c r="L405" s="13">
        <f>IF(ActiveDatabase=Standby,Secondary!L405,Primary!L405)</f>
        <v>0</v>
      </c>
      <c r="M405" s="7" t="b">
        <f>IF(ActiveDatabase=Standby,Secondary!M405,Primary!M405)</f>
        <v>1</v>
      </c>
      <c r="N405" s="10">
        <f>IF(ActiveDatabase=Standby,Secondary!N405,Primary!N405)</f>
        <v>0</v>
      </c>
      <c r="O405" s="10">
        <f>IF(ActiveDatabase=Standby,Secondary!O405,Primary!O405)</f>
        <v>0</v>
      </c>
      <c r="P405" s="10">
        <f>IF(ActiveDatabase=Standby,Secondary!P405,Primary!P405)</f>
        <v>0</v>
      </c>
      <c r="Q405" s="6">
        <f>IF(ActiveDatabase=Standby,Secondary!Q405,Primary!Q405)</f>
        <v>0</v>
      </c>
      <c r="R405" s="18">
        <f>IF(ActiveDatabase=Standby,Secondary!R405,Primary!R405)</f>
        <v>0</v>
      </c>
      <c r="S405" s="19">
        <f>IF(ActiveDatabase=Standby,Secondary!S405,Primary!S405)</f>
        <v>0</v>
      </c>
      <c r="T405" s="10">
        <f>IF(ActiveDatabase=Standby,Secondary!T405,Primary!T405)</f>
        <v>0</v>
      </c>
      <c r="U405" s="10">
        <f>IF(ActiveDatabase=Standby,Secondary!U405,Primary!U405)</f>
        <v>0</v>
      </c>
      <c r="V405" s="10">
        <f>IF(ActiveDatabase=Standby,Secondary!V405,Primary!V405)</f>
        <v>0</v>
      </c>
      <c r="W405" s="6">
        <f>IF(ActiveDatabase=Standby,Secondary!W405,Primary!W405)</f>
        <v>0</v>
      </c>
      <c r="X405" s="6">
        <f>IF(ActiveDatabase=Standby,Secondary!X405,Primary!X405)</f>
        <v>0</v>
      </c>
      <c r="Y405" s="12">
        <f>IF(ActiveDatabase=Standby,Secondary!Y405,Primary!Y405)</f>
        <v>0</v>
      </c>
      <c r="Z405" s="12">
        <f>IF(ActiveDatabase=Standby,Secondary!Z405,Primary!Z405)</f>
        <v>0</v>
      </c>
      <c r="AA405" s="7">
        <f>IF(ActiveDatabase=Standby,Secondary!AA405,Primary!AA405)</f>
        <v>0</v>
      </c>
      <c r="AB405" s="12"/>
      <c r="AC405" s="6"/>
      <c r="AD405" s="6"/>
      <c r="AE405" s="7"/>
      <c r="AF405" s="7"/>
      <c r="AG405" s="7"/>
      <c r="AH405" s="7"/>
      <c r="AI405" s="7"/>
      <c r="AJ405" s="7"/>
      <c r="AK405" s="7"/>
      <c r="AL405" s="7"/>
      <c r="AM405" s="7"/>
      <c r="AN405" s="7"/>
      <c r="AO405" s="6"/>
      <c r="AP405" s="7"/>
      <c r="AQ405" s="7"/>
      <c r="AR405" s="6"/>
      <c r="AS405" s="7"/>
      <c r="AT405" s="7"/>
      <c r="AU405" s="7"/>
      <c r="AV405" s="7"/>
      <c r="AW405" s="7"/>
      <c r="AX405" s="7"/>
      <c r="AY405" s="7"/>
      <c r="AZ405" s="7"/>
      <c r="BA405" s="7"/>
      <c r="BB405" s="7"/>
      <c r="BC405" s="7"/>
      <c r="BD405" s="7"/>
      <c r="BE405" s="7"/>
      <c r="BF405" s="7"/>
      <c r="BG405" s="7"/>
    </row>
    <row r="406" customHeight="1" spans="1:59">
      <c r="A406" s="9" t="str">
        <f>IF(ActiveDatabase=Standby,Secondary!A406,Primary!A406)</f>
        <v>Hurston 42</v>
      </c>
      <c r="B406" s="5" t="str">
        <f>IF(ActiveDatabase=Standby,Secondary!B406,Primary!B406)</f>
        <v>Hurston 56</v>
      </c>
      <c r="C406" s="5" t="str">
        <f>IF(ActiveDatabase=Standby,Secondary!C406,Primary!C406)</f>
        <v>Hurston 104</v>
      </c>
      <c r="D406" s="5" t="str">
        <f>IF(ActiveDatabase=Standby,Secondary!D406,Primary!D406)</f>
        <v>Settlement 12M</v>
      </c>
      <c r="E406" s="6" t="str">
        <f>IF(ActiveDatabase=Standby,Secondary!E406,Primary!E406)</f>
        <v>Settlement 12M</v>
      </c>
      <c r="F406" s="10">
        <f>IF(ActiveDatabase=Standby,Secondary!F406,Primary!F406)</f>
        <v>-376.125298255999</v>
      </c>
      <c r="G406" s="10">
        <f>IF(ActiveDatabase=Standby,Secondary!G406,Primary!G406)</f>
        <v>-926.123112576</v>
      </c>
      <c r="H406" s="10">
        <f>IF(ActiveDatabase=Standby,Secondary!H406,Primary!H406)</f>
        <v>-28.807383935</v>
      </c>
      <c r="I406" s="13">
        <f>IF(ActiveDatabase=Standby,Secondary!I406,Primary!I406)</f>
        <v>0</v>
      </c>
      <c r="J406" s="13">
        <f>IF(ActiveDatabase=Standby,Secondary!J406,Primary!J406)</f>
        <v>0</v>
      </c>
      <c r="K406" s="13">
        <f>IF(ActiveDatabase=Standby,Secondary!K406,Primary!K406)</f>
        <v>0</v>
      </c>
      <c r="L406" s="13">
        <f>IF(ActiveDatabase=Standby,Secondary!L406,Primary!L406)</f>
        <v>0</v>
      </c>
      <c r="M406" s="7" t="b">
        <f>IF(ActiveDatabase=Standby,Secondary!M406,Primary!M406)</f>
        <v>0</v>
      </c>
      <c r="N406" s="10">
        <f>IF(ActiveDatabase=Standby,Secondary!N406,Primary!N406)</f>
        <v>0</v>
      </c>
      <c r="O406" s="10">
        <f>IF(ActiveDatabase=Standby,Secondary!O406,Primary!O406)</f>
        <v>0</v>
      </c>
      <c r="P406" s="10">
        <f>IF(ActiveDatabase=Standby,Secondary!P406,Primary!P406)</f>
        <v>0</v>
      </c>
      <c r="Q406" s="6">
        <f>IF(ActiveDatabase=Standby,Secondary!Q406,Primary!Q406)</f>
        <v>0</v>
      </c>
      <c r="R406" s="18">
        <f>IF(ActiveDatabase=Standby,Secondary!R406,Primary!R406)</f>
        <v>0</v>
      </c>
      <c r="S406" s="19">
        <f>IF(ActiveDatabase=Standby,Secondary!S406,Primary!S406)</f>
        <v>0</v>
      </c>
      <c r="T406" s="10">
        <f>IF(ActiveDatabase=Standby,Secondary!T406,Primary!T406)</f>
        <v>0</v>
      </c>
      <c r="U406" s="10">
        <f>IF(ActiveDatabase=Standby,Secondary!U406,Primary!U406)</f>
        <v>0</v>
      </c>
      <c r="V406" s="10">
        <f>IF(ActiveDatabase=Standby,Secondary!V406,Primary!V406)</f>
        <v>0</v>
      </c>
      <c r="W406" s="6">
        <f>IF(ActiveDatabase=Standby,Secondary!W406,Primary!W406)</f>
        <v>0</v>
      </c>
      <c r="X406" s="6">
        <f>IF(ActiveDatabase=Standby,Secondary!X406,Primary!X406)</f>
        <v>0</v>
      </c>
      <c r="Y406" s="12">
        <f>IF(ActiveDatabase=Standby,Secondary!Y406,Primary!Y406)</f>
        <v>0</v>
      </c>
      <c r="Z406" s="12">
        <f>IF(ActiveDatabase=Standby,Secondary!Z406,Primary!Z406)</f>
        <v>0</v>
      </c>
      <c r="AA406" s="7">
        <f>IF(ActiveDatabase=Standby,Secondary!AA406,Primary!AA406)</f>
        <v>0</v>
      </c>
      <c r="AB406" s="12"/>
      <c r="AC406" s="6"/>
      <c r="AD406" s="6"/>
      <c r="AE406" s="7"/>
      <c r="AF406" s="7"/>
      <c r="AG406" s="7"/>
      <c r="AH406" s="7"/>
      <c r="AI406" s="7"/>
      <c r="AJ406" s="7"/>
      <c r="AK406" s="7"/>
      <c r="AL406" s="7"/>
      <c r="AM406" s="7"/>
      <c r="AN406" s="7"/>
      <c r="AO406" s="6"/>
      <c r="AP406" s="7"/>
      <c r="AQ406" s="7"/>
      <c r="AR406" s="6"/>
      <c r="AS406" s="7"/>
      <c r="AT406" s="7"/>
      <c r="AU406" s="7"/>
      <c r="AV406" s="7"/>
      <c r="AW406" s="7"/>
      <c r="AX406" s="7"/>
      <c r="AY406" s="7"/>
      <c r="AZ406" s="7"/>
      <c r="BA406" s="7"/>
      <c r="BB406" s="7"/>
      <c r="BC406" s="7"/>
      <c r="BD406" s="7"/>
      <c r="BE406" s="7"/>
      <c r="BF406" s="7"/>
      <c r="BG406" s="7"/>
    </row>
    <row r="407" customHeight="1" spans="1:59">
      <c r="A407" s="9" t="str">
        <f>IF(ActiveDatabase=Standby,Secondary!A407,Primary!A407)</f>
        <v>Hurston 40</v>
      </c>
      <c r="B407" s="5" t="str">
        <f>IF(ActiveDatabase=Standby,Secondary!B407,Primary!B407)</f>
        <v>Hurston 54</v>
      </c>
      <c r="C407" s="5" t="str">
        <f>IF(ActiveDatabase=Standby,Secondary!C407,Primary!C407)</f>
        <v>Hurston 108</v>
      </c>
      <c r="D407" s="5" t="str">
        <f>IF(ActiveDatabase=Standby,Secondary!D407,Primary!D407)</f>
        <v>Settlement 11S</v>
      </c>
      <c r="E407" s="6" t="str">
        <f>IF(ActiveDatabase=Standby,Secondary!E407,Primary!E407)</f>
        <v>Settlement 11S</v>
      </c>
      <c r="F407" s="10">
        <f>IF(ActiveDatabase=Standby,Secondary!F407,Primary!F407)</f>
        <v>-344.067370539999</v>
      </c>
      <c r="G407" s="10">
        <f>IF(ActiveDatabase=Standby,Secondary!G407,Primary!G407)</f>
        <v>-740.903740990999</v>
      </c>
      <c r="H407" s="10">
        <f>IF(ActiveDatabase=Standby,Secondary!H407,Primary!H407)</f>
        <v>578.997345137999</v>
      </c>
      <c r="I407" s="13">
        <f>IF(ActiveDatabase=Standby,Secondary!I407,Primary!I407)</f>
        <v>0</v>
      </c>
      <c r="J407" s="13">
        <f>IF(ActiveDatabase=Standby,Secondary!J407,Primary!J407)</f>
        <v>0</v>
      </c>
      <c r="K407" s="13">
        <f>IF(ActiveDatabase=Standby,Secondary!K407,Primary!K407)</f>
        <v>0</v>
      </c>
      <c r="L407" s="13">
        <f>IF(ActiveDatabase=Standby,Secondary!L407,Primary!L407)</f>
        <v>0</v>
      </c>
      <c r="M407" s="7" t="b">
        <f>IF(ActiveDatabase=Standby,Secondary!M407,Primary!M407)</f>
        <v>0</v>
      </c>
      <c r="N407" s="10">
        <f>IF(ActiveDatabase=Standby,Secondary!N407,Primary!N407)</f>
        <v>0</v>
      </c>
      <c r="O407" s="10">
        <f>IF(ActiveDatabase=Standby,Secondary!O407,Primary!O407)</f>
        <v>0</v>
      </c>
      <c r="P407" s="10">
        <f>IF(ActiveDatabase=Standby,Secondary!P407,Primary!P407)</f>
        <v>0</v>
      </c>
      <c r="Q407" s="6">
        <f>IF(ActiveDatabase=Standby,Secondary!Q407,Primary!Q407)</f>
        <v>0</v>
      </c>
      <c r="R407" s="18">
        <f>IF(ActiveDatabase=Standby,Secondary!R407,Primary!R407)</f>
        <v>0</v>
      </c>
      <c r="S407" s="19">
        <f>IF(ActiveDatabase=Standby,Secondary!S407,Primary!S407)</f>
        <v>0</v>
      </c>
      <c r="T407" s="10">
        <f>IF(ActiveDatabase=Standby,Secondary!T407,Primary!T407)</f>
        <v>0</v>
      </c>
      <c r="U407" s="10">
        <f>IF(ActiveDatabase=Standby,Secondary!U407,Primary!U407)</f>
        <v>0</v>
      </c>
      <c r="V407" s="10">
        <f>IF(ActiveDatabase=Standby,Secondary!V407,Primary!V407)</f>
        <v>0</v>
      </c>
      <c r="W407" s="6">
        <f>IF(ActiveDatabase=Standby,Secondary!W407,Primary!W407)</f>
        <v>0</v>
      </c>
      <c r="X407" s="6">
        <f>IF(ActiveDatabase=Standby,Secondary!X407,Primary!X407)</f>
        <v>0</v>
      </c>
      <c r="Y407" s="12">
        <f>IF(ActiveDatabase=Standby,Secondary!Y407,Primary!Y407)</f>
        <v>0</v>
      </c>
      <c r="Z407" s="12">
        <f>IF(ActiveDatabase=Standby,Secondary!Z407,Primary!Z407)</f>
        <v>0</v>
      </c>
      <c r="AA407" s="7">
        <f>IF(ActiveDatabase=Standby,Secondary!AA407,Primary!AA407)</f>
        <v>0</v>
      </c>
      <c r="AB407" s="12"/>
      <c r="AC407" s="6"/>
      <c r="AD407" s="6"/>
      <c r="AE407" s="7"/>
      <c r="AF407" s="7"/>
      <c r="AG407" s="7"/>
      <c r="AH407" s="7"/>
      <c r="AI407" s="7"/>
      <c r="AJ407" s="7"/>
      <c r="AK407" s="7"/>
      <c r="AL407" s="7"/>
      <c r="AM407" s="7"/>
      <c r="AN407" s="7"/>
      <c r="AO407" s="6"/>
      <c r="AP407" s="7"/>
      <c r="AQ407" s="7"/>
      <c r="AR407" s="6"/>
      <c r="AS407" s="7"/>
      <c r="AT407" s="7"/>
      <c r="AU407" s="7"/>
      <c r="AV407" s="7"/>
      <c r="AW407" s="7"/>
      <c r="AX407" s="7"/>
      <c r="AY407" s="7"/>
      <c r="AZ407" s="7"/>
      <c r="BA407" s="7"/>
      <c r="BB407" s="7"/>
      <c r="BC407" s="7"/>
      <c r="BD407" s="7"/>
      <c r="BE407" s="7"/>
      <c r="BF407" s="7"/>
      <c r="BG407" s="7"/>
    </row>
    <row r="408" customHeight="1" spans="1:59">
      <c r="A408" s="9" t="str">
        <f>IF(ActiveDatabase=Standby,Secondary!A408,Primary!A408)</f>
        <v>Hurston 49</v>
      </c>
      <c r="B408" s="5" t="str">
        <f>IF(ActiveDatabase=Standby,Secondary!B408,Primary!B408)</f>
        <v>Hurston 63</v>
      </c>
      <c r="C408" s="5" t="str">
        <f>IF(ActiveDatabase=Standby,Secondary!C408,Primary!C408)</f>
        <v>Hurston 123</v>
      </c>
      <c r="D408" s="5" t="str">
        <f>IF(ActiveDatabase=Standby,Secondary!D408,Primary!D408)</f>
        <v>Settlement YZJ</v>
      </c>
      <c r="E408" s="6" t="str">
        <f>IF(ActiveDatabase=Standby,Secondary!E408,Primary!E408)</f>
        <v>Settlement YZJ</v>
      </c>
      <c r="F408" s="10">
        <f>IF(ActiveDatabase=Standby,Secondary!F408,Primary!F408)</f>
        <v>-144.837925752</v>
      </c>
      <c r="G408" s="10">
        <f>IF(ActiveDatabase=Standby,Secondary!G408,Primary!G408)</f>
        <v>-72.704227957</v>
      </c>
      <c r="H408" s="10">
        <f>IF(ActiveDatabase=Standby,Secondary!H408,Primary!H408)</f>
        <v>987.322571282</v>
      </c>
      <c r="I408" s="13">
        <f>IF(ActiveDatabase=Standby,Secondary!I408,Primary!I408)</f>
        <v>0</v>
      </c>
      <c r="J408" s="13">
        <f>IF(ActiveDatabase=Standby,Secondary!J408,Primary!J408)</f>
        <v>0</v>
      </c>
      <c r="K408" s="13">
        <f>IF(ActiveDatabase=Standby,Secondary!K408,Primary!K408)</f>
        <v>0</v>
      </c>
      <c r="L408" s="13">
        <f>IF(ActiveDatabase=Standby,Secondary!L408,Primary!L408)</f>
        <v>0</v>
      </c>
      <c r="M408" s="7" t="b">
        <f>IF(ActiveDatabase=Standby,Secondary!M408,Primary!M408)</f>
        <v>0</v>
      </c>
      <c r="N408" s="10">
        <f>IF(ActiveDatabase=Standby,Secondary!N408,Primary!N408)</f>
        <v>0</v>
      </c>
      <c r="O408" s="10">
        <f>IF(ActiveDatabase=Standby,Secondary!O408,Primary!O408)</f>
        <v>0</v>
      </c>
      <c r="P408" s="10">
        <f>IF(ActiveDatabase=Standby,Secondary!P408,Primary!P408)</f>
        <v>0</v>
      </c>
      <c r="Q408" s="6">
        <f>IF(ActiveDatabase=Standby,Secondary!Q408,Primary!Q408)</f>
        <v>0</v>
      </c>
      <c r="R408" s="18">
        <f>IF(ActiveDatabase=Standby,Secondary!R408,Primary!R408)</f>
        <v>0</v>
      </c>
      <c r="S408" s="19">
        <f>IF(ActiveDatabase=Standby,Secondary!S408,Primary!S408)</f>
        <v>0</v>
      </c>
      <c r="T408" s="10">
        <f>IF(ActiveDatabase=Standby,Secondary!T408,Primary!T408)</f>
        <v>0</v>
      </c>
      <c r="U408" s="10">
        <f>IF(ActiveDatabase=Standby,Secondary!U408,Primary!U408)</f>
        <v>0</v>
      </c>
      <c r="V408" s="10">
        <f>IF(ActiveDatabase=Standby,Secondary!V408,Primary!V408)</f>
        <v>0</v>
      </c>
      <c r="W408" s="6">
        <f>IF(ActiveDatabase=Standby,Secondary!W408,Primary!W408)</f>
        <v>0</v>
      </c>
      <c r="X408" s="6">
        <f>IF(ActiveDatabase=Standby,Secondary!X408,Primary!X408)</f>
        <v>0</v>
      </c>
      <c r="Y408" s="12">
        <f>IF(ActiveDatabase=Standby,Secondary!Y408,Primary!Y408)</f>
        <v>0</v>
      </c>
      <c r="Z408" s="12">
        <f>IF(ActiveDatabase=Standby,Secondary!Z408,Primary!Z408)</f>
        <v>0</v>
      </c>
      <c r="AA408" s="7">
        <f>IF(ActiveDatabase=Standby,Secondary!AA408,Primary!AA408)</f>
        <v>0</v>
      </c>
      <c r="AB408" s="12"/>
      <c r="AC408" s="6"/>
      <c r="AD408" s="6"/>
      <c r="AE408" s="7"/>
      <c r="AF408" s="7"/>
      <c r="AG408" s="7"/>
      <c r="AH408" s="7"/>
      <c r="AI408" s="7"/>
      <c r="AJ408" s="7"/>
      <c r="AK408" s="7"/>
      <c r="AL408" s="7"/>
      <c r="AM408" s="7"/>
      <c r="AN408" s="7"/>
      <c r="AO408" s="6"/>
      <c r="AP408" s="7"/>
      <c r="AQ408" s="7"/>
      <c r="AR408" s="6"/>
      <c r="AS408" s="7"/>
      <c r="AT408" s="7"/>
      <c r="AU408" s="7"/>
      <c r="AV408" s="7"/>
      <c r="AW408" s="7"/>
      <c r="AX408" s="7"/>
      <c r="AY408" s="7"/>
      <c r="AZ408" s="7"/>
      <c r="BA408" s="7"/>
      <c r="BB408" s="7"/>
      <c r="BC408" s="7"/>
      <c r="BD408" s="7"/>
      <c r="BE408" s="7"/>
      <c r="BF408" s="7"/>
      <c r="BG408" s="7"/>
    </row>
    <row r="409" customHeight="1" spans="1:59">
      <c r="A409" s="9" t="str">
        <f>IF(ActiveDatabase=Standby,Secondary!A409,Primary!A409)</f>
        <v>Hurston 47</v>
      </c>
      <c r="B409" s="5" t="str">
        <f>IF(ActiveDatabase=Standby,Secondary!B409,Primary!B409)</f>
        <v>Hurston 61</v>
      </c>
      <c r="C409" s="5" t="str">
        <f>IF(ActiveDatabase=Standby,Secondary!C409,Primary!C409)</f>
        <v>Hurston 34</v>
      </c>
      <c r="D409" s="5" t="str">
        <f>IF(ActiveDatabase=Standby,Secondary!D409,Primary!D409)</f>
        <v>Settlement 49U</v>
      </c>
      <c r="E409" s="6" t="str">
        <f>IF(ActiveDatabase=Standby,Secondary!E409,Primary!E409)</f>
        <v>Settlement 49U</v>
      </c>
      <c r="F409" s="10">
        <f>IF(ActiveDatabase=Standby,Secondary!F409,Primary!F409)</f>
        <v>-229.885843969</v>
      </c>
      <c r="G409" s="10">
        <f>IF(ActiveDatabase=Standby,Secondary!G409,Primary!G409)</f>
        <v>577.236715269</v>
      </c>
      <c r="H409" s="10">
        <f>IF(ActiveDatabase=Standby,Secondary!H409,Primary!H409)</f>
        <v>785.122629446999</v>
      </c>
      <c r="I409" s="13">
        <f>IF(ActiveDatabase=Standby,Secondary!I409,Primary!I409)</f>
        <v>0</v>
      </c>
      <c r="J409" s="13">
        <f>IF(ActiveDatabase=Standby,Secondary!J409,Primary!J409)</f>
        <v>0</v>
      </c>
      <c r="K409" s="13">
        <f>IF(ActiveDatabase=Standby,Secondary!K409,Primary!K409)</f>
        <v>0</v>
      </c>
      <c r="L409" s="13">
        <f>IF(ActiveDatabase=Standby,Secondary!L409,Primary!L409)</f>
        <v>0</v>
      </c>
      <c r="M409" s="7" t="b">
        <f>IF(ActiveDatabase=Standby,Secondary!M409,Primary!M409)</f>
        <v>0</v>
      </c>
      <c r="N409" s="10">
        <f>IF(ActiveDatabase=Standby,Secondary!N409,Primary!N409)</f>
        <v>0</v>
      </c>
      <c r="O409" s="10">
        <f>IF(ActiveDatabase=Standby,Secondary!O409,Primary!O409)</f>
        <v>0</v>
      </c>
      <c r="P409" s="10">
        <f>IF(ActiveDatabase=Standby,Secondary!P409,Primary!P409)</f>
        <v>0</v>
      </c>
      <c r="Q409" s="6">
        <f>IF(ActiveDatabase=Standby,Secondary!Q409,Primary!Q409)</f>
        <v>0</v>
      </c>
      <c r="R409" s="18">
        <f>IF(ActiveDatabase=Standby,Secondary!R409,Primary!R409)</f>
        <v>0</v>
      </c>
      <c r="S409" s="19">
        <f>IF(ActiveDatabase=Standby,Secondary!S409,Primary!S409)</f>
        <v>0</v>
      </c>
      <c r="T409" s="10">
        <f>IF(ActiveDatabase=Standby,Secondary!T409,Primary!T409)</f>
        <v>0</v>
      </c>
      <c r="U409" s="10">
        <f>IF(ActiveDatabase=Standby,Secondary!U409,Primary!U409)</f>
        <v>0</v>
      </c>
      <c r="V409" s="10">
        <f>IF(ActiveDatabase=Standby,Secondary!V409,Primary!V409)</f>
        <v>0</v>
      </c>
      <c r="W409" s="6">
        <f>IF(ActiveDatabase=Standby,Secondary!W409,Primary!W409)</f>
        <v>0</v>
      </c>
      <c r="X409" s="6">
        <f>IF(ActiveDatabase=Standby,Secondary!X409,Primary!X409)</f>
        <v>0</v>
      </c>
      <c r="Y409" s="12">
        <f>IF(ActiveDatabase=Standby,Secondary!Y409,Primary!Y409)</f>
        <v>0</v>
      </c>
      <c r="Z409" s="12">
        <f>IF(ActiveDatabase=Standby,Secondary!Z409,Primary!Z409)</f>
        <v>0</v>
      </c>
      <c r="AA409" s="7">
        <f>IF(ActiveDatabase=Standby,Secondary!AA409,Primary!AA409)</f>
        <v>0</v>
      </c>
      <c r="AB409" s="12"/>
      <c r="AC409" s="6"/>
      <c r="AD409" s="6"/>
      <c r="AE409" s="7"/>
      <c r="AF409" s="7"/>
      <c r="AG409" s="7"/>
      <c r="AH409" s="7"/>
      <c r="AI409" s="7"/>
      <c r="AJ409" s="7"/>
      <c r="AK409" s="7"/>
      <c r="AL409" s="7"/>
      <c r="AM409" s="7"/>
      <c r="AN409" s="7"/>
      <c r="AO409" s="6"/>
      <c r="AP409" s="7"/>
      <c r="AQ409" s="7"/>
      <c r="AR409" s="6"/>
      <c r="AS409" s="7"/>
      <c r="AT409" s="7"/>
      <c r="AU409" s="7"/>
      <c r="AV409" s="7"/>
      <c r="AW409" s="7"/>
      <c r="AX409" s="7"/>
      <c r="AY409" s="7"/>
      <c r="AZ409" s="7"/>
      <c r="BA409" s="7"/>
      <c r="BB409" s="7"/>
      <c r="BC409" s="7"/>
      <c r="BD409" s="7"/>
      <c r="BE409" s="7"/>
      <c r="BF409" s="7"/>
      <c r="BG409" s="7"/>
    </row>
    <row r="410" customHeight="1" spans="1:59">
      <c r="A410" s="9" t="str">
        <f>IF(ActiveDatabase=Standby,Secondary!A410,Primary!A410)</f>
        <v>Hurston 45</v>
      </c>
      <c r="B410" s="5" t="str">
        <f>IF(ActiveDatabase=Standby,Secondary!B410,Primary!B410)</f>
        <v>Hurston 59</v>
      </c>
      <c r="C410" s="5" t="str">
        <f>IF(ActiveDatabase=Standby,Secondary!C410,Primary!C410)</f>
        <v>Hurston 37</v>
      </c>
      <c r="D410" s="5" t="str">
        <f>IF(ActiveDatabase=Standby,Secondary!D410,Primary!D410)</f>
        <v>Settlement 48M</v>
      </c>
      <c r="E410" s="6" t="str">
        <f>IF(ActiveDatabase=Standby,Secondary!E410,Primary!E410)</f>
        <v>Settlement 48M</v>
      </c>
      <c r="F410" s="10">
        <f>IF(ActiveDatabase=Standby,Secondary!F410,Primary!F410)</f>
        <v>-260.957335614999</v>
      </c>
      <c r="G410" s="10">
        <f>IF(ActiveDatabase=Standby,Secondary!G410,Primary!G410)</f>
        <v>965.66159417</v>
      </c>
      <c r="H410" s="10">
        <f>IF(ActiveDatabase=Standby,Secondary!H410,Primary!H410)</f>
        <v>-51.847418499</v>
      </c>
      <c r="I410" s="13">
        <f>IF(ActiveDatabase=Standby,Secondary!I410,Primary!I410)</f>
        <v>0</v>
      </c>
      <c r="J410" s="13">
        <f>IF(ActiveDatabase=Standby,Secondary!J410,Primary!J410)</f>
        <v>0</v>
      </c>
      <c r="K410" s="13">
        <f>IF(ActiveDatabase=Standby,Secondary!K410,Primary!K410)</f>
        <v>0</v>
      </c>
      <c r="L410" s="13">
        <f>IF(ActiveDatabase=Standby,Secondary!L410,Primary!L410)</f>
        <v>0</v>
      </c>
      <c r="M410" s="7" t="b">
        <f>IF(ActiveDatabase=Standby,Secondary!M410,Primary!M410)</f>
        <v>0</v>
      </c>
      <c r="N410" s="10">
        <f>IF(ActiveDatabase=Standby,Secondary!N410,Primary!N410)</f>
        <v>0</v>
      </c>
      <c r="O410" s="10">
        <f>IF(ActiveDatabase=Standby,Secondary!O410,Primary!O410)</f>
        <v>0</v>
      </c>
      <c r="P410" s="10">
        <f>IF(ActiveDatabase=Standby,Secondary!P410,Primary!P410)</f>
        <v>0</v>
      </c>
      <c r="Q410" s="6">
        <f>IF(ActiveDatabase=Standby,Secondary!Q410,Primary!Q410)</f>
        <v>0</v>
      </c>
      <c r="R410" s="18">
        <f>IF(ActiveDatabase=Standby,Secondary!R410,Primary!R410)</f>
        <v>0</v>
      </c>
      <c r="S410" s="19">
        <f>IF(ActiveDatabase=Standby,Secondary!S410,Primary!S410)</f>
        <v>0</v>
      </c>
      <c r="T410" s="10">
        <f>IF(ActiveDatabase=Standby,Secondary!T410,Primary!T410)</f>
        <v>0</v>
      </c>
      <c r="U410" s="10">
        <f>IF(ActiveDatabase=Standby,Secondary!U410,Primary!U410)</f>
        <v>0</v>
      </c>
      <c r="V410" s="10">
        <f>IF(ActiveDatabase=Standby,Secondary!V410,Primary!V410)</f>
        <v>0</v>
      </c>
      <c r="W410" s="6">
        <f>IF(ActiveDatabase=Standby,Secondary!W410,Primary!W410)</f>
        <v>0</v>
      </c>
      <c r="X410" s="6">
        <f>IF(ActiveDatabase=Standby,Secondary!X410,Primary!X410)</f>
        <v>0</v>
      </c>
      <c r="Y410" s="12">
        <f>IF(ActiveDatabase=Standby,Secondary!Y410,Primary!Y410)</f>
        <v>0</v>
      </c>
      <c r="Z410" s="12">
        <f>IF(ActiveDatabase=Standby,Secondary!Z410,Primary!Z410)</f>
        <v>0</v>
      </c>
      <c r="AA410" s="7">
        <f>IF(ActiveDatabase=Standby,Secondary!AA410,Primary!AA410)</f>
        <v>0</v>
      </c>
      <c r="AB410" s="12"/>
      <c r="AC410" s="6"/>
      <c r="AD410" s="6"/>
      <c r="AE410" s="7"/>
      <c r="AF410" s="7"/>
      <c r="AG410" s="7"/>
      <c r="AH410" s="7"/>
      <c r="AI410" s="7"/>
      <c r="AJ410" s="7"/>
      <c r="AK410" s="7"/>
      <c r="AL410" s="7"/>
      <c r="AM410" s="7"/>
      <c r="AN410" s="7"/>
      <c r="AO410" s="6"/>
      <c r="AP410" s="7"/>
      <c r="AQ410" s="7"/>
      <c r="AR410" s="6"/>
      <c r="AS410" s="7"/>
      <c r="AT410" s="7"/>
      <c r="AU410" s="7"/>
      <c r="AV410" s="7"/>
      <c r="AW410" s="7"/>
      <c r="AX410" s="7"/>
      <c r="AY410" s="7"/>
      <c r="AZ410" s="7"/>
      <c r="BA410" s="7"/>
      <c r="BB410" s="7"/>
      <c r="BC410" s="7"/>
      <c r="BD410" s="7"/>
      <c r="BE410" s="7"/>
      <c r="BF410" s="7"/>
      <c r="BG410" s="7"/>
    </row>
    <row r="411" customHeight="1" spans="1:59">
      <c r="A411" s="9" t="str">
        <f>IF(ActiveDatabase=Standby,Secondary!A411,Primary!A411)</f>
        <v>Hurston 46</v>
      </c>
      <c r="B411" s="5" t="str">
        <f>IF(ActiveDatabase=Standby,Secondary!B411,Primary!B411)</f>
        <v>Hurston 60</v>
      </c>
      <c r="C411" s="5" t="str">
        <f>IF(ActiveDatabase=Standby,Secondary!C411,Primary!C411)</f>
        <v>Hurston 35</v>
      </c>
      <c r="D411" s="5" t="str">
        <f>IF(ActiveDatabase=Standby,Secondary!D411,Primary!D411)</f>
        <v>Settlement 49L</v>
      </c>
      <c r="E411" s="6" t="str">
        <f>IF(ActiveDatabase=Standby,Secondary!E411,Primary!E411)</f>
        <v>Settlement 49L</v>
      </c>
      <c r="F411" s="10">
        <f>IF(ActiveDatabase=Standby,Secondary!F411,Primary!F411)</f>
        <v>-346.936093791</v>
      </c>
      <c r="G411" s="10">
        <f>IF(ActiveDatabase=Standby,Secondary!G411,Primary!G411)</f>
        <v>913.507725299</v>
      </c>
      <c r="H411" s="10">
        <f>IF(ActiveDatabase=Standby,Secondary!H411,Primary!H411)</f>
        <v>-213.325494582</v>
      </c>
      <c r="I411" s="13">
        <f>IF(ActiveDatabase=Standby,Secondary!I411,Primary!I411)</f>
        <v>0</v>
      </c>
      <c r="J411" s="13">
        <f>IF(ActiveDatabase=Standby,Secondary!J411,Primary!J411)</f>
        <v>0</v>
      </c>
      <c r="K411" s="13">
        <f>IF(ActiveDatabase=Standby,Secondary!K411,Primary!K411)</f>
        <v>0</v>
      </c>
      <c r="L411" s="13">
        <f>IF(ActiveDatabase=Standby,Secondary!L411,Primary!L411)</f>
        <v>0</v>
      </c>
      <c r="M411" s="7" t="b">
        <f>IF(ActiveDatabase=Standby,Secondary!M411,Primary!M411)</f>
        <v>0</v>
      </c>
      <c r="N411" s="10">
        <f>IF(ActiveDatabase=Standby,Secondary!N411,Primary!N411)</f>
        <v>0</v>
      </c>
      <c r="O411" s="10">
        <f>IF(ActiveDatabase=Standby,Secondary!O411,Primary!O411)</f>
        <v>0</v>
      </c>
      <c r="P411" s="10">
        <f>IF(ActiveDatabase=Standby,Secondary!P411,Primary!P411)</f>
        <v>0</v>
      </c>
      <c r="Q411" s="6">
        <f>IF(ActiveDatabase=Standby,Secondary!Q411,Primary!Q411)</f>
        <v>0</v>
      </c>
      <c r="R411" s="18">
        <f>IF(ActiveDatabase=Standby,Secondary!R411,Primary!R411)</f>
        <v>0</v>
      </c>
      <c r="S411" s="19">
        <f>IF(ActiveDatabase=Standby,Secondary!S411,Primary!S411)</f>
        <v>0</v>
      </c>
      <c r="T411" s="10">
        <f>IF(ActiveDatabase=Standby,Secondary!T411,Primary!T411)</f>
        <v>0</v>
      </c>
      <c r="U411" s="10">
        <f>IF(ActiveDatabase=Standby,Secondary!U411,Primary!U411)</f>
        <v>0</v>
      </c>
      <c r="V411" s="10">
        <f>IF(ActiveDatabase=Standby,Secondary!V411,Primary!V411)</f>
        <v>0</v>
      </c>
      <c r="W411" s="6">
        <f>IF(ActiveDatabase=Standby,Secondary!W411,Primary!W411)</f>
        <v>0</v>
      </c>
      <c r="X411" s="6">
        <f>IF(ActiveDatabase=Standby,Secondary!X411,Primary!X411)</f>
        <v>0</v>
      </c>
      <c r="Y411" s="12">
        <f>IF(ActiveDatabase=Standby,Secondary!Y411,Primary!Y411)</f>
        <v>0</v>
      </c>
      <c r="Z411" s="12">
        <f>IF(ActiveDatabase=Standby,Secondary!Z411,Primary!Z411)</f>
        <v>0</v>
      </c>
      <c r="AA411" s="7">
        <f>IF(ActiveDatabase=Standby,Secondary!AA411,Primary!AA411)</f>
        <v>0</v>
      </c>
      <c r="AB411" s="12"/>
      <c r="AC411" s="6"/>
      <c r="AD411" s="6"/>
      <c r="AE411" s="7"/>
      <c r="AF411" s="7"/>
      <c r="AG411" s="7"/>
      <c r="AH411" s="7"/>
      <c r="AI411" s="7"/>
      <c r="AJ411" s="7"/>
      <c r="AK411" s="7"/>
      <c r="AL411" s="7"/>
      <c r="AM411" s="7"/>
      <c r="AN411" s="7"/>
      <c r="AO411" s="6"/>
      <c r="AP411" s="7"/>
      <c r="AQ411" s="7"/>
      <c r="AR411" s="6"/>
      <c r="AS411" s="7"/>
      <c r="AT411" s="7"/>
      <c r="AU411" s="7"/>
      <c r="AV411" s="7"/>
      <c r="AW411" s="7"/>
      <c r="AX411" s="7"/>
      <c r="AY411" s="7"/>
      <c r="AZ411" s="7"/>
      <c r="BA411" s="7"/>
      <c r="BB411" s="7"/>
      <c r="BC411" s="7"/>
      <c r="BD411" s="7"/>
      <c r="BE411" s="7"/>
      <c r="BF411" s="7"/>
      <c r="BG411" s="7"/>
    </row>
    <row r="412" customHeight="1" spans="1:59">
      <c r="A412" s="9" t="str">
        <f>IF(ActiveDatabase=Standby,Secondary!A412,Primary!A412)</f>
        <v>Hurston 43</v>
      </c>
      <c r="B412" s="5" t="str">
        <f>IF(ActiveDatabase=Standby,Secondary!B412,Primary!B412)</f>
        <v>Hurston 57</v>
      </c>
      <c r="C412" s="5" t="str">
        <f>IF(ActiveDatabase=Standby,Secondary!C412,Primary!C412)</f>
        <v>Hurston 101</v>
      </c>
      <c r="D412" s="5" t="str">
        <f>IF(ActiveDatabase=Standby,Secondary!D412,Primary!D412)</f>
        <v>Settlement 12S</v>
      </c>
      <c r="E412" s="6" t="str">
        <f>IF(ActiveDatabase=Standby,Secondary!E412,Primary!E412)</f>
        <v>Settlement 12S</v>
      </c>
      <c r="F412" s="10">
        <f>IF(ActiveDatabase=Standby,Secondary!F412,Primary!F412)</f>
        <v>-278.801491893</v>
      </c>
      <c r="G412" s="10">
        <f>IF(ActiveDatabase=Standby,Secondary!G412,Primary!G412)</f>
        <v>-767.755981969999</v>
      </c>
      <c r="H412" s="10">
        <f>IF(ActiveDatabase=Standby,Secondary!H412,Primary!H412)</f>
        <v>576.913754636</v>
      </c>
      <c r="I412" s="13">
        <f>IF(ActiveDatabase=Standby,Secondary!I412,Primary!I412)</f>
        <v>0</v>
      </c>
      <c r="J412" s="13">
        <f>IF(ActiveDatabase=Standby,Secondary!J412,Primary!J412)</f>
        <v>0</v>
      </c>
      <c r="K412" s="13">
        <f>IF(ActiveDatabase=Standby,Secondary!K412,Primary!K412)</f>
        <v>0</v>
      </c>
      <c r="L412" s="13">
        <f>IF(ActiveDatabase=Standby,Secondary!L412,Primary!L412)</f>
        <v>0</v>
      </c>
      <c r="M412" s="7" t="b">
        <f>IF(ActiveDatabase=Standby,Secondary!M412,Primary!M412)</f>
        <v>0</v>
      </c>
      <c r="N412" s="10">
        <f>IF(ActiveDatabase=Standby,Secondary!N412,Primary!N412)</f>
        <v>0</v>
      </c>
      <c r="O412" s="10">
        <f>IF(ActiveDatabase=Standby,Secondary!O412,Primary!O412)</f>
        <v>0</v>
      </c>
      <c r="P412" s="10">
        <f>IF(ActiveDatabase=Standby,Secondary!P412,Primary!P412)</f>
        <v>0</v>
      </c>
      <c r="Q412" s="6">
        <f>IF(ActiveDatabase=Standby,Secondary!Q412,Primary!Q412)</f>
        <v>0</v>
      </c>
      <c r="R412" s="18">
        <f>IF(ActiveDatabase=Standby,Secondary!R412,Primary!R412)</f>
        <v>0</v>
      </c>
      <c r="S412" s="19">
        <f>IF(ActiveDatabase=Standby,Secondary!S412,Primary!S412)</f>
        <v>0</v>
      </c>
      <c r="T412" s="10">
        <f>IF(ActiveDatabase=Standby,Secondary!T412,Primary!T412)</f>
        <v>0</v>
      </c>
      <c r="U412" s="10">
        <f>IF(ActiveDatabase=Standby,Secondary!U412,Primary!U412)</f>
        <v>0</v>
      </c>
      <c r="V412" s="10">
        <f>IF(ActiveDatabase=Standby,Secondary!V412,Primary!V412)</f>
        <v>0</v>
      </c>
      <c r="W412" s="6">
        <f>IF(ActiveDatabase=Standby,Secondary!W412,Primary!W412)</f>
        <v>0</v>
      </c>
      <c r="X412" s="6">
        <f>IF(ActiveDatabase=Standby,Secondary!X412,Primary!X412)</f>
        <v>0</v>
      </c>
      <c r="Y412" s="12">
        <f>IF(ActiveDatabase=Standby,Secondary!Y412,Primary!Y412)</f>
        <v>0</v>
      </c>
      <c r="Z412" s="12">
        <f>IF(ActiveDatabase=Standby,Secondary!Z412,Primary!Z412)</f>
        <v>0</v>
      </c>
      <c r="AA412" s="7">
        <f>IF(ActiveDatabase=Standby,Secondary!AA412,Primary!AA412)</f>
        <v>0</v>
      </c>
      <c r="AB412" s="12"/>
      <c r="AC412" s="6"/>
      <c r="AD412" s="6"/>
      <c r="AE412" s="7"/>
      <c r="AF412" s="7"/>
      <c r="AG412" s="7"/>
      <c r="AH412" s="7"/>
      <c r="AI412" s="7"/>
      <c r="AJ412" s="7"/>
      <c r="AK412" s="7"/>
      <c r="AL412" s="7"/>
      <c r="AM412" s="7"/>
      <c r="AN412" s="7"/>
      <c r="AO412" s="6"/>
      <c r="AP412" s="7"/>
      <c r="AQ412" s="7"/>
      <c r="AR412" s="6"/>
      <c r="AS412" s="7"/>
      <c r="AT412" s="7"/>
      <c r="AU412" s="7"/>
      <c r="AV412" s="7"/>
      <c r="AW412" s="7"/>
      <c r="AX412" s="7"/>
      <c r="AY412" s="7"/>
      <c r="AZ412" s="7"/>
      <c r="BA412" s="7"/>
      <c r="BB412" s="7"/>
      <c r="BC412" s="7"/>
      <c r="BD412" s="7"/>
      <c r="BE412" s="7"/>
      <c r="BF412" s="7"/>
      <c r="BG412" s="7"/>
    </row>
    <row r="413" customHeight="1" spans="1:59">
      <c r="A413" s="9" t="str">
        <f>IF(ActiveDatabase=Standby,Secondary!A413,Primary!A413)</f>
        <v>Hurston 41</v>
      </c>
      <c r="B413" s="5" t="str">
        <f>IF(ActiveDatabase=Standby,Secondary!B413,Primary!B413)</f>
        <v>Hurston 55</v>
      </c>
      <c r="C413" s="5" t="str">
        <f>IF(ActiveDatabase=Standby,Secondary!C413,Primary!C413)</f>
        <v>Hurston 110</v>
      </c>
      <c r="D413" s="5" t="str">
        <f>IF(ActiveDatabase=Standby,Secondary!D413,Primary!D413)</f>
        <v>Settlement 11T</v>
      </c>
      <c r="E413" s="6" t="str">
        <f>IF(ActiveDatabase=Standby,Secondary!E413,Primary!E413)</f>
        <v>Settlement 11T</v>
      </c>
      <c r="F413" s="10">
        <f>IF(ActiveDatabase=Standby,Secondary!F413,Primary!F413)</f>
        <v>-336.118238292999</v>
      </c>
      <c r="G413" s="10">
        <f>IF(ActiveDatabase=Standby,Secondary!G413,Primary!G413)</f>
        <v>-656.521948713</v>
      </c>
      <c r="H413" s="10">
        <f>IF(ActiveDatabase=Standby,Secondary!H413,Primary!H413)</f>
        <v>675.284818246999</v>
      </c>
      <c r="I413" s="13">
        <f>IF(ActiveDatabase=Standby,Secondary!I413,Primary!I413)</f>
        <v>0</v>
      </c>
      <c r="J413" s="13">
        <f>IF(ActiveDatabase=Standby,Secondary!J413,Primary!J413)</f>
        <v>0</v>
      </c>
      <c r="K413" s="13">
        <f>IF(ActiveDatabase=Standby,Secondary!K413,Primary!K413)</f>
        <v>0</v>
      </c>
      <c r="L413" s="13">
        <f>IF(ActiveDatabase=Standby,Secondary!L413,Primary!L413)</f>
        <v>0</v>
      </c>
      <c r="M413" s="7" t="b">
        <f>IF(ActiveDatabase=Standby,Secondary!M413,Primary!M413)</f>
        <v>0</v>
      </c>
      <c r="N413" s="10">
        <f>IF(ActiveDatabase=Standby,Secondary!N413,Primary!N413)</f>
        <v>0</v>
      </c>
      <c r="O413" s="10">
        <f>IF(ActiveDatabase=Standby,Secondary!O413,Primary!O413)</f>
        <v>0</v>
      </c>
      <c r="P413" s="10">
        <f>IF(ActiveDatabase=Standby,Secondary!P413,Primary!P413)</f>
        <v>0</v>
      </c>
      <c r="Q413" s="6">
        <f>IF(ActiveDatabase=Standby,Secondary!Q413,Primary!Q413)</f>
        <v>0</v>
      </c>
      <c r="R413" s="18">
        <f>IF(ActiveDatabase=Standby,Secondary!R413,Primary!R413)</f>
        <v>0</v>
      </c>
      <c r="S413" s="19">
        <f>IF(ActiveDatabase=Standby,Secondary!S413,Primary!S413)</f>
        <v>0</v>
      </c>
      <c r="T413" s="10">
        <f>IF(ActiveDatabase=Standby,Secondary!T413,Primary!T413)</f>
        <v>0</v>
      </c>
      <c r="U413" s="10">
        <f>IF(ActiveDatabase=Standby,Secondary!U413,Primary!U413)</f>
        <v>0</v>
      </c>
      <c r="V413" s="10">
        <f>IF(ActiveDatabase=Standby,Secondary!V413,Primary!V413)</f>
        <v>0</v>
      </c>
      <c r="W413" s="6">
        <f>IF(ActiveDatabase=Standby,Secondary!W413,Primary!W413)</f>
        <v>0</v>
      </c>
      <c r="X413" s="6">
        <f>IF(ActiveDatabase=Standby,Secondary!X413,Primary!X413)</f>
        <v>0</v>
      </c>
      <c r="Y413" s="12">
        <f>IF(ActiveDatabase=Standby,Secondary!Y413,Primary!Y413)</f>
        <v>0</v>
      </c>
      <c r="Z413" s="12">
        <f>IF(ActiveDatabase=Standby,Secondary!Z413,Primary!Z413)</f>
        <v>0</v>
      </c>
      <c r="AA413" s="7">
        <f>IF(ActiveDatabase=Standby,Secondary!AA413,Primary!AA413)</f>
        <v>0</v>
      </c>
      <c r="AB413" s="12"/>
      <c r="AC413" s="6"/>
      <c r="AD413" s="6"/>
      <c r="AE413" s="7"/>
      <c r="AF413" s="7"/>
      <c r="AG413" s="7"/>
      <c r="AH413" s="7"/>
      <c r="AI413" s="7"/>
      <c r="AJ413" s="7"/>
      <c r="AK413" s="7"/>
      <c r="AL413" s="7"/>
      <c r="AM413" s="7"/>
      <c r="AN413" s="7"/>
      <c r="AO413" s="6"/>
      <c r="AP413" s="7"/>
      <c r="AQ413" s="7"/>
      <c r="AR413" s="6"/>
      <c r="AS413" s="7"/>
      <c r="AT413" s="7"/>
      <c r="AU413" s="7"/>
      <c r="AV413" s="7"/>
      <c r="AW413" s="7"/>
      <c r="AX413" s="7"/>
      <c r="AY413" s="7"/>
      <c r="AZ413" s="7"/>
      <c r="BA413" s="7"/>
      <c r="BB413" s="7"/>
      <c r="BC413" s="7"/>
      <c r="BD413" s="7"/>
      <c r="BE413" s="7"/>
      <c r="BF413" s="7"/>
      <c r="BG413" s="7"/>
    </row>
    <row r="414" customHeight="1" spans="1:59">
      <c r="A414" s="9" t="str">
        <f>IF(ActiveDatabase=Standby,Secondary!A414,Primary!A414)</f>
        <v>Hurston 48</v>
      </c>
      <c r="B414" s="5" t="str">
        <f>IF(ActiveDatabase=Standby,Secondary!B414,Primary!B414)</f>
        <v>Hurston 62</v>
      </c>
      <c r="C414" s="5" t="str">
        <f>IF(ActiveDatabase=Standby,Secondary!C414,Primary!C414)</f>
        <v>Hurston 98</v>
      </c>
      <c r="D414" s="5" t="str">
        <f>IF(ActiveDatabase=Standby,Secondary!D414,Primary!D414)</f>
        <v>Settlement YZH</v>
      </c>
      <c r="E414" s="6" t="str">
        <f>IF(ActiveDatabase=Standby,Secondary!E414,Primary!E414)</f>
        <v>Settlement YZH</v>
      </c>
      <c r="F414" s="10">
        <f>IF(ActiveDatabase=Standby,Secondary!F414,Primary!F414)</f>
        <v>-15.838245482</v>
      </c>
      <c r="G414" s="10">
        <f>IF(ActiveDatabase=Standby,Secondary!G414,Primary!G414)</f>
        <v>-58.197017392</v>
      </c>
      <c r="H414" s="10">
        <f>IF(ActiveDatabase=Standby,Secondary!H414,Primary!H414)</f>
        <v>998.864905909999</v>
      </c>
      <c r="I414" s="13">
        <f>IF(ActiveDatabase=Standby,Secondary!I414,Primary!I414)</f>
        <v>0</v>
      </c>
      <c r="J414" s="13">
        <f>IF(ActiveDatabase=Standby,Secondary!J414,Primary!J414)</f>
        <v>0</v>
      </c>
      <c r="K414" s="13">
        <f>IF(ActiveDatabase=Standby,Secondary!K414,Primary!K414)</f>
        <v>0</v>
      </c>
      <c r="L414" s="13">
        <f>IF(ActiveDatabase=Standby,Secondary!L414,Primary!L414)</f>
        <v>0</v>
      </c>
      <c r="M414" s="7" t="b">
        <f>IF(ActiveDatabase=Standby,Secondary!M414,Primary!M414)</f>
        <v>0</v>
      </c>
      <c r="N414" s="10">
        <f>IF(ActiveDatabase=Standby,Secondary!N414,Primary!N414)</f>
        <v>0</v>
      </c>
      <c r="O414" s="10">
        <f>IF(ActiveDatabase=Standby,Secondary!O414,Primary!O414)</f>
        <v>0</v>
      </c>
      <c r="P414" s="10">
        <f>IF(ActiveDatabase=Standby,Secondary!P414,Primary!P414)</f>
        <v>0</v>
      </c>
      <c r="Q414" s="6">
        <f>IF(ActiveDatabase=Standby,Secondary!Q414,Primary!Q414)</f>
        <v>0</v>
      </c>
      <c r="R414" s="18">
        <f>IF(ActiveDatabase=Standby,Secondary!R414,Primary!R414)</f>
        <v>0</v>
      </c>
      <c r="S414" s="19">
        <f>IF(ActiveDatabase=Standby,Secondary!S414,Primary!S414)</f>
        <v>0</v>
      </c>
      <c r="T414" s="10">
        <f>IF(ActiveDatabase=Standby,Secondary!T414,Primary!T414)</f>
        <v>0</v>
      </c>
      <c r="U414" s="10">
        <f>IF(ActiveDatabase=Standby,Secondary!U414,Primary!U414)</f>
        <v>0</v>
      </c>
      <c r="V414" s="10">
        <f>IF(ActiveDatabase=Standby,Secondary!V414,Primary!V414)</f>
        <v>0</v>
      </c>
      <c r="W414" s="6">
        <f>IF(ActiveDatabase=Standby,Secondary!W414,Primary!W414)</f>
        <v>0</v>
      </c>
      <c r="X414" s="6">
        <f>IF(ActiveDatabase=Standby,Secondary!X414,Primary!X414)</f>
        <v>0</v>
      </c>
      <c r="Y414" s="12">
        <f>IF(ActiveDatabase=Standby,Secondary!Y414,Primary!Y414)</f>
        <v>0</v>
      </c>
      <c r="Z414" s="12">
        <f>IF(ActiveDatabase=Standby,Secondary!Z414,Primary!Z414)</f>
        <v>0</v>
      </c>
      <c r="AA414" s="7">
        <f>IF(ActiveDatabase=Standby,Secondary!AA414,Primary!AA414)</f>
        <v>0</v>
      </c>
      <c r="AB414" s="12"/>
      <c r="AC414" s="6"/>
      <c r="AD414" s="6"/>
      <c r="AE414" s="7"/>
      <c r="AF414" s="7"/>
      <c r="AG414" s="7"/>
      <c r="AH414" s="7"/>
      <c r="AI414" s="7"/>
      <c r="AJ414" s="7"/>
      <c r="AK414" s="7"/>
      <c r="AL414" s="7"/>
      <c r="AM414" s="7"/>
      <c r="AN414" s="7"/>
      <c r="AO414" s="6"/>
      <c r="AP414" s="7"/>
      <c r="AQ414" s="7"/>
      <c r="AR414" s="6"/>
      <c r="AS414" s="7"/>
      <c r="AT414" s="7"/>
      <c r="AU414" s="7"/>
      <c r="AV414" s="7"/>
      <c r="AW414" s="7"/>
      <c r="AX414" s="7"/>
      <c r="AY414" s="7"/>
      <c r="AZ414" s="7"/>
      <c r="BA414" s="7"/>
      <c r="BB414" s="7"/>
      <c r="BC414" s="7"/>
      <c r="BD414" s="7"/>
      <c r="BE414" s="7"/>
      <c r="BF414" s="7"/>
      <c r="BG414" s="7"/>
    </row>
    <row r="415" customHeight="1" spans="1:59">
      <c r="A415" s="9" t="str">
        <f>IF(ActiveDatabase=Standby,Secondary!A415,Primary!A415)</f>
        <v>Hurston 44</v>
      </c>
      <c r="B415" s="5" t="str">
        <f>IF(ActiveDatabase=Standby,Secondary!B415,Primary!B415)</f>
        <v>Hurston 58</v>
      </c>
      <c r="C415" s="5" t="str">
        <f>IF(ActiveDatabase=Standby,Secondary!C415,Primary!C415)</f>
        <v>Hurston 76</v>
      </c>
      <c r="D415" s="5" t="str">
        <f>IF(ActiveDatabase=Standby,Secondary!D415,Primary!D415)</f>
        <v>Settlement 22W</v>
      </c>
      <c r="E415" s="6" t="str">
        <f>IF(ActiveDatabase=Standby,Secondary!E415,Primary!E415)</f>
        <v>Settlement 22W</v>
      </c>
      <c r="F415" s="10">
        <f>IF(ActiveDatabase=Standby,Secondary!F415,Primary!F415)</f>
        <v>253.237282275</v>
      </c>
      <c r="G415" s="10">
        <f>IF(ActiveDatabase=Standby,Secondary!G415,Primary!G415)</f>
        <v>-308.347106473</v>
      </c>
      <c r="H415" s="10">
        <f>IF(ActiveDatabase=Standby,Secondary!H415,Primary!H415)</f>
        <v>918.208869798999</v>
      </c>
      <c r="I415" s="13">
        <f>IF(ActiveDatabase=Standby,Secondary!I415,Primary!I415)</f>
        <v>0</v>
      </c>
      <c r="J415" s="13">
        <f>IF(ActiveDatabase=Standby,Secondary!J415,Primary!J415)</f>
        <v>0</v>
      </c>
      <c r="K415" s="13">
        <f>IF(ActiveDatabase=Standby,Secondary!K415,Primary!K415)</f>
        <v>0</v>
      </c>
      <c r="L415" s="13">
        <f>IF(ActiveDatabase=Standby,Secondary!L415,Primary!L415)</f>
        <v>0</v>
      </c>
      <c r="M415" s="7" t="b">
        <f>IF(ActiveDatabase=Standby,Secondary!M415,Primary!M415)</f>
        <v>0</v>
      </c>
      <c r="N415" s="10">
        <f>IF(ActiveDatabase=Standby,Secondary!N415,Primary!N415)</f>
        <v>0</v>
      </c>
      <c r="O415" s="10">
        <f>IF(ActiveDatabase=Standby,Secondary!O415,Primary!O415)</f>
        <v>0</v>
      </c>
      <c r="P415" s="10">
        <f>IF(ActiveDatabase=Standby,Secondary!P415,Primary!P415)</f>
        <v>0</v>
      </c>
      <c r="Q415" s="6">
        <f>IF(ActiveDatabase=Standby,Secondary!Q415,Primary!Q415)</f>
        <v>0</v>
      </c>
      <c r="R415" s="18">
        <f>IF(ActiveDatabase=Standby,Secondary!R415,Primary!R415)</f>
        <v>0</v>
      </c>
      <c r="S415" s="19">
        <f>IF(ActiveDatabase=Standby,Secondary!S415,Primary!S415)</f>
        <v>0</v>
      </c>
      <c r="T415" s="10">
        <f>IF(ActiveDatabase=Standby,Secondary!T415,Primary!T415)</f>
        <v>0</v>
      </c>
      <c r="U415" s="10">
        <f>IF(ActiveDatabase=Standby,Secondary!U415,Primary!U415)</f>
        <v>0</v>
      </c>
      <c r="V415" s="10">
        <f>IF(ActiveDatabase=Standby,Secondary!V415,Primary!V415)</f>
        <v>0</v>
      </c>
      <c r="W415" s="6">
        <f>IF(ActiveDatabase=Standby,Secondary!W415,Primary!W415)</f>
        <v>0</v>
      </c>
      <c r="X415" s="6">
        <f>IF(ActiveDatabase=Standby,Secondary!X415,Primary!X415)</f>
        <v>0</v>
      </c>
      <c r="Y415" s="12">
        <f>IF(ActiveDatabase=Standby,Secondary!Y415,Primary!Y415)</f>
        <v>0</v>
      </c>
      <c r="Z415" s="12">
        <f>IF(ActiveDatabase=Standby,Secondary!Z415,Primary!Z415)</f>
        <v>0</v>
      </c>
      <c r="AA415" s="7">
        <f>IF(ActiveDatabase=Standby,Secondary!AA415,Primary!AA415)</f>
        <v>0</v>
      </c>
      <c r="AB415" s="12"/>
      <c r="AC415" s="6"/>
      <c r="AD415" s="6"/>
      <c r="AE415" s="7"/>
      <c r="AF415" s="7"/>
      <c r="AG415" s="7"/>
      <c r="AH415" s="7"/>
      <c r="AI415" s="7"/>
      <c r="AJ415" s="7"/>
      <c r="AK415" s="7"/>
      <c r="AL415" s="7"/>
      <c r="AM415" s="7"/>
      <c r="AN415" s="7"/>
      <c r="AO415" s="6"/>
      <c r="AP415" s="7"/>
      <c r="AQ415" s="7"/>
      <c r="AR415" s="6"/>
      <c r="AS415" s="7"/>
      <c r="AT415" s="7"/>
      <c r="AU415" s="7"/>
      <c r="AV415" s="7"/>
      <c r="AW415" s="7"/>
      <c r="AX415" s="7"/>
      <c r="AY415" s="7"/>
      <c r="AZ415" s="7"/>
      <c r="BA415" s="7"/>
      <c r="BB415" s="7"/>
      <c r="BC415" s="7"/>
      <c r="BD415" s="7"/>
      <c r="BE415" s="7"/>
      <c r="BF415" s="7"/>
      <c r="BG415" s="7"/>
    </row>
    <row r="416" customHeight="1" spans="1:59">
      <c r="A416" s="9" t="str">
        <f>IF(ActiveDatabase=Standby,Secondary!A416,Primary!A416)</f>
        <v>Hurston</v>
      </c>
      <c r="B416" s="5" t="str">
        <f>IF(ActiveDatabase=Standby,Secondary!B416,Primary!B416)</f>
        <v>Hurston 65</v>
      </c>
      <c r="C416" s="5">
        <f>IF(ActiveDatabase=Standby,Secondary!C416,Primary!C416)</f>
        <v>0</v>
      </c>
      <c r="D416" s="5" t="str">
        <f>IF(ActiveDatabase=Standby,Secondary!D416,Primary!D416)</f>
        <v>Caves</v>
      </c>
      <c r="E416" s="6">
        <f>IF(ActiveDatabase=Standby,Secondary!E416,Primary!E416)</f>
        <v>0</v>
      </c>
      <c r="F416" s="10">
        <f>IF(ActiveDatabase=Standby,Secondary!F416,Primary!F416)</f>
        <v>0</v>
      </c>
      <c r="G416" s="10">
        <f>IF(ActiveDatabase=Standby,Secondary!G416,Primary!G416)</f>
        <v>0</v>
      </c>
      <c r="H416" s="10">
        <f>IF(ActiveDatabase=Standby,Secondary!H416,Primary!H416)</f>
        <v>0</v>
      </c>
      <c r="I416" s="13">
        <f>IF(ActiveDatabase=Standby,Secondary!I416,Primary!I416)</f>
        <v>0</v>
      </c>
      <c r="J416" s="13">
        <f>IF(ActiveDatabase=Standby,Secondary!J416,Primary!J416)</f>
        <v>0</v>
      </c>
      <c r="K416" s="13">
        <f>IF(ActiveDatabase=Standby,Secondary!K416,Primary!K416)</f>
        <v>0</v>
      </c>
      <c r="L416" s="13">
        <f>IF(ActiveDatabase=Standby,Secondary!L416,Primary!L416)</f>
        <v>0</v>
      </c>
      <c r="M416" s="7">
        <f>IF(ActiveDatabase=Standby,Secondary!M416,Primary!M416)</f>
        <v>0</v>
      </c>
      <c r="N416" s="10">
        <f>IF(ActiveDatabase=Standby,Secondary!N416,Primary!N416)</f>
        <v>0</v>
      </c>
      <c r="O416" s="10">
        <f>IF(ActiveDatabase=Standby,Secondary!O416,Primary!O416)</f>
        <v>0</v>
      </c>
      <c r="P416" s="10">
        <f>IF(ActiveDatabase=Standby,Secondary!P416,Primary!P416)</f>
        <v>0</v>
      </c>
      <c r="Q416" s="6">
        <f>IF(ActiveDatabase=Standby,Secondary!Q416,Primary!Q416)</f>
        <v>0</v>
      </c>
      <c r="R416" s="18">
        <f>IF(ActiveDatabase=Standby,Secondary!R416,Primary!R416)</f>
        <v>0</v>
      </c>
      <c r="S416" s="19">
        <f>IF(ActiveDatabase=Standby,Secondary!S416,Primary!S416)</f>
        <v>0</v>
      </c>
      <c r="T416" s="10">
        <f>IF(ActiveDatabase=Standby,Secondary!T416,Primary!T416)</f>
        <v>0</v>
      </c>
      <c r="U416" s="10">
        <f>IF(ActiveDatabase=Standby,Secondary!U416,Primary!U416)</f>
        <v>0</v>
      </c>
      <c r="V416" s="10">
        <f>IF(ActiveDatabase=Standby,Secondary!V416,Primary!V416)</f>
        <v>0</v>
      </c>
      <c r="W416" s="6">
        <f>IF(ActiveDatabase=Standby,Secondary!W416,Primary!W416)</f>
        <v>0</v>
      </c>
      <c r="X416" s="6">
        <f>IF(ActiveDatabase=Standby,Secondary!X416,Primary!X416)</f>
        <v>0</v>
      </c>
      <c r="Y416" s="12">
        <f>IF(ActiveDatabase=Standby,Secondary!Y416,Primary!Y416)</f>
        <v>0</v>
      </c>
      <c r="Z416" s="12">
        <f>IF(ActiveDatabase=Standby,Secondary!Z416,Primary!Z416)</f>
        <v>0</v>
      </c>
      <c r="AA416" s="7">
        <f>IF(ActiveDatabase=Standby,Secondary!AA416,Primary!AA416)</f>
        <v>0</v>
      </c>
      <c r="AB416" s="12"/>
      <c r="AC416" s="6"/>
      <c r="AD416" s="6"/>
      <c r="AE416" s="7"/>
      <c r="AF416" s="7"/>
      <c r="AG416" s="7"/>
      <c r="AH416" s="7"/>
      <c r="AI416" s="7"/>
      <c r="AJ416" s="7"/>
      <c r="AK416" s="7"/>
      <c r="AL416" s="7"/>
      <c r="AM416" s="7"/>
      <c r="AN416" s="7"/>
      <c r="AO416" s="6"/>
      <c r="AP416" s="7"/>
      <c r="AQ416" s="7"/>
      <c r="AR416" s="6"/>
      <c r="AS416" s="7"/>
      <c r="AT416" s="7"/>
      <c r="AU416" s="7"/>
      <c r="AV416" s="7"/>
      <c r="AW416" s="7"/>
      <c r="AX416" s="7"/>
      <c r="AY416" s="7"/>
      <c r="AZ416" s="7"/>
      <c r="BA416" s="7"/>
      <c r="BB416" s="7"/>
      <c r="BC416" s="7"/>
      <c r="BD416" s="7"/>
      <c r="BE416" s="7"/>
      <c r="BF416" s="7"/>
      <c r="BG416" s="7"/>
    </row>
    <row r="417" customHeight="1" spans="1:59">
      <c r="A417" s="9" t="str">
        <f>IF(ActiveDatabase=Standby,Secondary!A417,Primary!A417)</f>
        <v>Hurston 28</v>
      </c>
      <c r="B417" s="5" t="str">
        <f>IF(ActiveDatabase=Standby,Secondary!B417,Primary!B417)</f>
        <v>Hurston 66</v>
      </c>
      <c r="C417" s="5" t="str">
        <f>IF(ActiveDatabase=Standby,Secondary!C417,Primary!C417)</f>
        <v>Hurston 96</v>
      </c>
      <c r="D417" s="5" t="str">
        <f>IF(ActiveDatabase=Standby,Secondary!D417,Primary!D417)</f>
        <v>HDES Calthrope (NA)</v>
      </c>
      <c r="E417" s="6" t="str">
        <f>IF(ActiveDatabase=Standby,Secondary!E417,Primary!E417)</f>
        <v>Calthrope</v>
      </c>
      <c r="F417" s="10">
        <f>IF(ActiveDatabase=Standby,Secondary!F417,Primary!F417)</f>
        <v>-203.375715764643</v>
      </c>
      <c r="G417" s="10">
        <f>IF(ActiveDatabase=Standby,Secondary!G417,Primary!G417)</f>
        <v>-806.580488160186</v>
      </c>
      <c r="H417" s="10">
        <f>IF(ActiveDatabase=Standby,Secondary!H417,Primary!H417)</f>
        <v>557.779366812343</v>
      </c>
      <c r="I417" s="13">
        <f>IF(ActiveDatabase=Standby,Secondary!I417,Primary!I417)</f>
        <v>0</v>
      </c>
      <c r="J417" s="13">
        <f>IF(ActiveDatabase=Standby,Secondary!J417,Primary!J417)</f>
        <v>0</v>
      </c>
      <c r="K417" s="13">
        <f>IF(ActiveDatabase=Standby,Secondary!K417,Primary!K417)</f>
        <v>0</v>
      </c>
      <c r="L417" s="13">
        <f>IF(ActiveDatabase=Standby,Secondary!L417,Primary!L417)</f>
        <v>0</v>
      </c>
      <c r="M417" s="7" t="b">
        <f>IF(ActiveDatabase=Standby,Secondary!M417,Primary!M417)</f>
        <v>1</v>
      </c>
      <c r="N417" s="10">
        <f>IF(ActiveDatabase=Standby,Secondary!N417,Primary!N417)</f>
        <v>0</v>
      </c>
      <c r="O417" s="10">
        <f>IF(ActiveDatabase=Standby,Secondary!O417,Primary!O417)</f>
        <v>0</v>
      </c>
      <c r="P417" s="10">
        <f>IF(ActiveDatabase=Standby,Secondary!P417,Primary!P417)</f>
        <v>0</v>
      </c>
      <c r="Q417" s="6">
        <f>IF(ActiveDatabase=Standby,Secondary!Q417,Primary!Q417)</f>
        <v>0</v>
      </c>
      <c r="R417" s="18">
        <f>IF(ActiveDatabase=Standby,Secondary!R417,Primary!R417)</f>
        <v>0</v>
      </c>
      <c r="S417" s="19">
        <f>IF(ActiveDatabase=Standby,Secondary!S417,Primary!S417)</f>
        <v>0</v>
      </c>
      <c r="T417" s="10">
        <f>IF(ActiveDatabase=Standby,Secondary!T417,Primary!T417)</f>
        <v>0</v>
      </c>
      <c r="U417" s="10">
        <f>IF(ActiveDatabase=Standby,Secondary!U417,Primary!U417)</f>
        <v>0</v>
      </c>
      <c r="V417" s="10">
        <f>IF(ActiveDatabase=Standby,Secondary!V417,Primary!V417)</f>
        <v>0</v>
      </c>
      <c r="W417" s="6">
        <f>IF(ActiveDatabase=Standby,Secondary!W417,Primary!W417)</f>
        <v>0</v>
      </c>
      <c r="X417" s="6">
        <f>IF(ActiveDatabase=Standby,Secondary!X417,Primary!X417)</f>
        <v>0</v>
      </c>
      <c r="Y417" s="12">
        <f>IF(ActiveDatabase=Standby,Secondary!Y417,Primary!Y417)</f>
        <v>0</v>
      </c>
      <c r="Z417" s="12">
        <f>IF(ActiveDatabase=Standby,Secondary!Z417,Primary!Z417)</f>
        <v>0</v>
      </c>
      <c r="AA417" s="7">
        <f>IF(ActiveDatabase=Standby,Secondary!AA417,Primary!AA417)</f>
        <v>0</v>
      </c>
      <c r="AB417" s="12"/>
      <c r="AC417" s="6"/>
      <c r="AD417" s="6"/>
      <c r="AE417" s="7"/>
      <c r="AF417" s="7"/>
      <c r="AG417" s="7"/>
      <c r="AH417" s="7"/>
      <c r="AI417" s="7"/>
      <c r="AJ417" s="7"/>
      <c r="AK417" s="7"/>
      <c r="AL417" s="7"/>
      <c r="AM417" s="7"/>
      <c r="AN417" s="7"/>
      <c r="AO417" s="6"/>
      <c r="AP417" s="7"/>
      <c r="AQ417" s="7"/>
      <c r="AR417" s="6"/>
      <c r="AS417" s="7"/>
      <c r="AT417" s="7"/>
      <c r="AU417" s="7"/>
      <c r="AV417" s="7"/>
      <c r="AW417" s="7"/>
      <c r="AX417" s="7"/>
      <c r="AY417" s="7"/>
      <c r="AZ417" s="7"/>
      <c r="BA417" s="7"/>
      <c r="BB417" s="7"/>
      <c r="BC417" s="7"/>
      <c r="BD417" s="7"/>
      <c r="BE417" s="7"/>
      <c r="BF417" s="7"/>
      <c r="BG417" s="7"/>
    </row>
    <row r="418" customHeight="1" spans="1:59">
      <c r="A418" s="9" t="str">
        <f>IF(ActiveDatabase=Standby,Secondary!A418,Primary!A418)</f>
        <v>Hurston 57</v>
      </c>
      <c r="B418" s="5" t="str">
        <f>IF(ActiveDatabase=Standby,Secondary!B418,Primary!B418)</f>
        <v>Hurston 68</v>
      </c>
      <c r="C418" s="5" t="str">
        <f>IF(ActiveDatabase=Standby,Secondary!C418,Primary!C418)</f>
        <v>Hurston 102</v>
      </c>
      <c r="D418" s="5" t="str">
        <f>IF(ActiveDatabase=Standby,Secondary!D418,Primary!D418)</f>
        <v>Rock Cave 12R</v>
      </c>
      <c r="E418" s="6" t="str">
        <f>IF(ActiveDatabase=Standby,Secondary!E418,Primary!E418)</f>
        <v>RCave 12R</v>
      </c>
      <c r="F418" s="10">
        <f>IF(ActiveDatabase=Standby,Secondary!F418,Primary!F418)</f>
        <v>-303.624473397106</v>
      </c>
      <c r="G418" s="10">
        <f>IF(ActiveDatabase=Standby,Secondary!G418,Primary!G418)</f>
        <v>-801.386262265569</v>
      </c>
      <c r="H418" s="10">
        <f>IF(ActiveDatabase=Standby,Secondary!H418,Primary!H418)</f>
        <v>518.049476678975</v>
      </c>
      <c r="I418" s="13">
        <f>IF(ActiveDatabase=Standby,Secondary!I418,Primary!I418)</f>
        <v>0</v>
      </c>
      <c r="J418" s="13">
        <f>IF(ActiveDatabase=Standby,Secondary!J418,Primary!J418)</f>
        <v>0</v>
      </c>
      <c r="K418" s="13">
        <f>IF(ActiveDatabase=Standby,Secondary!K418,Primary!K418)</f>
        <v>0</v>
      </c>
      <c r="L418" s="13">
        <f>IF(ActiveDatabase=Standby,Secondary!L418,Primary!L418)</f>
        <v>0</v>
      </c>
      <c r="M418" s="7" t="b">
        <f>IF(ActiveDatabase=Standby,Secondary!M418,Primary!M418)</f>
        <v>0</v>
      </c>
      <c r="N418" s="10">
        <f>IF(ActiveDatabase=Standby,Secondary!N418,Primary!N418)</f>
        <v>0</v>
      </c>
      <c r="O418" s="10">
        <f>IF(ActiveDatabase=Standby,Secondary!O418,Primary!O418)</f>
        <v>0</v>
      </c>
      <c r="P418" s="10">
        <f>IF(ActiveDatabase=Standby,Secondary!P418,Primary!P418)</f>
        <v>0</v>
      </c>
      <c r="Q418" s="6">
        <f>IF(ActiveDatabase=Standby,Secondary!Q418,Primary!Q418)</f>
        <v>0</v>
      </c>
      <c r="R418" s="18">
        <f>IF(ActiveDatabase=Standby,Secondary!R418,Primary!R418)</f>
        <v>0</v>
      </c>
      <c r="S418" s="19">
        <f>IF(ActiveDatabase=Standby,Secondary!S418,Primary!S418)</f>
        <v>0</v>
      </c>
      <c r="T418" s="10">
        <f>IF(ActiveDatabase=Standby,Secondary!T418,Primary!T418)</f>
        <v>0</v>
      </c>
      <c r="U418" s="10">
        <f>IF(ActiveDatabase=Standby,Secondary!U418,Primary!U418)</f>
        <v>0</v>
      </c>
      <c r="V418" s="10">
        <f>IF(ActiveDatabase=Standby,Secondary!V418,Primary!V418)</f>
        <v>0</v>
      </c>
      <c r="W418" s="6">
        <f>IF(ActiveDatabase=Standby,Secondary!W418,Primary!W418)</f>
        <v>0</v>
      </c>
      <c r="X418" s="6">
        <f>IF(ActiveDatabase=Standby,Secondary!X418,Primary!X418)</f>
        <v>0</v>
      </c>
      <c r="Y418" s="12">
        <f>IF(ActiveDatabase=Standby,Secondary!Y418,Primary!Y418)</f>
        <v>0</v>
      </c>
      <c r="Z418" s="12">
        <f>IF(ActiveDatabase=Standby,Secondary!Z418,Primary!Z418)</f>
        <v>0</v>
      </c>
      <c r="AA418" s="7">
        <f>IF(ActiveDatabase=Standby,Secondary!AA418,Primary!AA418)</f>
        <v>0</v>
      </c>
      <c r="AB418" s="12"/>
      <c r="AC418" s="6"/>
      <c r="AD418" s="6"/>
      <c r="AE418" s="7"/>
      <c r="AF418" s="7"/>
      <c r="AG418" s="7"/>
      <c r="AH418" s="7"/>
      <c r="AI418" s="7"/>
      <c r="AJ418" s="7"/>
      <c r="AK418" s="7"/>
      <c r="AL418" s="7"/>
      <c r="AM418" s="7"/>
      <c r="AN418" s="7"/>
      <c r="AO418" s="6"/>
      <c r="AP418" s="7"/>
      <c r="AQ418" s="7"/>
      <c r="AR418" s="6"/>
      <c r="AS418" s="7"/>
      <c r="AT418" s="7"/>
      <c r="AU418" s="7"/>
      <c r="AV418" s="7"/>
      <c r="AW418" s="7"/>
      <c r="AX418" s="7"/>
      <c r="AY418" s="7"/>
      <c r="AZ418" s="7"/>
      <c r="BA418" s="7"/>
      <c r="BB418" s="7"/>
      <c r="BC418" s="7"/>
      <c r="BD418" s="7"/>
      <c r="BE418" s="7"/>
      <c r="BF418" s="7"/>
      <c r="BG418" s="7"/>
    </row>
    <row r="419" customHeight="1" spans="1:59">
      <c r="A419" s="9" t="str">
        <f>IF(ActiveDatabase=Standby,Secondary!A419,Primary!A419)</f>
        <v>Hurston 56</v>
      </c>
      <c r="B419" s="5" t="str">
        <f>IF(ActiveDatabase=Standby,Secondary!B419,Primary!B419)</f>
        <v>Hurston 67</v>
      </c>
      <c r="C419" s="5" t="str">
        <f>IF(ActiveDatabase=Standby,Secondary!C419,Primary!C419)</f>
        <v>Hurston 109</v>
      </c>
      <c r="D419" s="5" t="str">
        <f>IF(ActiveDatabase=Standby,Secondary!D419,Primary!D419)</f>
        <v>Rock Cave 11S</v>
      </c>
      <c r="E419" s="6" t="str">
        <f>IF(ActiveDatabase=Standby,Secondary!E419,Primary!E419)</f>
        <v>RCave 11S</v>
      </c>
      <c r="F419" s="10">
        <f>IF(ActiveDatabase=Standby,Secondary!F419,Primary!F419)</f>
        <v>-357.90625459</v>
      </c>
      <c r="G419" s="10">
        <f>IF(ActiveDatabase=Standby,Secondary!G419,Primary!G419)</f>
        <v>-743.793261158999</v>
      </c>
      <c r="H419" s="10">
        <f>IF(ActiveDatabase=Standby,Secondary!H419,Primary!H419)</f>
        <v>565.642281711</v>
      </c>
      <c r="I419" s="13">
        <f>IF(ActiveDatabase=Standby,Secondary!I419,Primary!I419)</f>
        <v>0</v>
      </c>
      <c r="J419" s="13">
        <f>IF(ActiveDatabase=Standby,Secondary!J419,Primary!J419)</f>
        <v>0</v>
      </c>
      <c r="K419" s="13">
        <f>IF(ActiveDatabase=Standby,Secondary!K419,Primary!K419)</f>
        <v>0</v>
      </c>
      <c r="L419" s="13">
        <f>IF(ActiveDatabase=Standby,Secondary!L419,Primary!L419)</f>
        <v>0</v>
      </c>
      <c r="M419" s="7" t="b">
        <f>IF(ActiveDatabase=Standby,Secondary!M419,Primary!M419)</f>
        <v>0</v>
      </c>
      <c r="N419" s="10">
        <f>IF(ActiveDatabase=Standby,Secondary!N419,Primary!N419)</f>
        <v>0</v>
      </c>
      <c r="O419" s="10">
        <f>IF(ActiveDatabase=Standby,Secondary!O419,Primary!O419)</f>
        <v>0</v>
      </c>
      <c r="P419" s="10">
        <f>IF(ActiveDatabase=Standby,Secondary!P419,Primary!P419)</f>
        <v>0</v>
      </c>
      <c r="Q419" s="6">
        <f>IF(ActiveDatabase=Standby,Secondary!Q419,Primary!Q419)</f>
        <v>0</v>
      </c>
      <c r="R419" s="18">
        <f>IF(ActiveDatabase=Standby,Secondary!R419,Primary!R419)</f>
        <v>0</v>
      </c>
      <c r="S419" s="19">
        <f>IF(ActiveDatabase=Standby,Secondary!S419,Primary!S419)</f>
        <v>0</v>
      </c>
      <c r="T419" s="10">
        <f>IF(ActiveDatabase=Standby,Secondary!T419,Primary!T419)</f>
        <v>0</v>
      </c>
      <c r="U419" s="10">
        <f>IF(ActiveDatabase=Standby,Secondary!U419,Primary!U419)</f>
        <v>0</v>
      </c>
      <c r="V419" s="10">
        <f>IF(ActiveDatabase=Standby,Secondary!V419,Primary!V419)</f>
        <v>0</v>
      </c>
      <c r="W419" s="6">
        <f>IF(ActiveDatabase=Standby,Secondary!W419,Primary!W419)</f>
        <v>0</v>
      </c>
      <c r="X419" s="6">
        <f>IF(ActiveDatabase=Standby,Secondary!X419,Primary!X419)</f>
        <v>0</v>
      </c>
      <c r="Y419" s="12">
        <f>IF(ActiveDatabase=Standby,Secondary!Y419,Primary!Y419)</f>
        <v>0</v>
      </c>
      <c r="Z419" s="12">
        <f>IF(ActiveDatabase=Standby,Secondary!Z419,Primary!Z419)</f>
        <v>0</v>
      </c>
      <c r="AA419" s="7">
        <f>IF(ActiveDatabase=Standby,Secondary!AA419,Primary!AA419)</f>
        <v>0</v>
      </c>
      <c r="AB419" s="12"/>
      <c r="AC419" s="6"/>
      <c r="AD419" s="6"/>
      <c r="AE419" s="7"/>
      <c r="AF419" s="7"/>
      <c r="AG419" s="7"/>
      <c r="AH419" s="7"/>
      <c r="AI419" s="7"/>
      <c r="AJ419" s="7"/>
      <c r="AK419" s="7"/>
      <c r="AL419" s="7"/>
      <c r="AM419" s="7"/>
      <c r="AN419" s="7"/>
      <c r="AO419" s="6"/>
      <c r="AP419" s="7"/>
      <c r="AQ419" s="7"/>
      <c r="AR419" s="6"/>
      <c r="AS419" s="7"/>
      <c r="AT419" s="7"/>
      <c r="AU419" s="7"/>
      <c r="AV419" s="7"/>
      <c r="AW419" s="7"/>
      <c r="AX419" s="7"/>
      <c r="AY419" s="7"/>
      <c r="AZ419" s="7"/>
      <c r="BA419" s="7"/>
      <c r="BB419" s="7"/>
      <c r="BC419" s="7"/>
      <c r="BD419" s="7"/>
      <c r="BE419" s="7"/>
      <c r="BF419" s="7"/>
      <c r="BG419" s="7"/>
    </row>
    <row r="420" customHeight="1" spans="1:59">
      <c r="A420" s="9" t="str">
        <f>IF(ActiveDatabase=Standby,Secondary!A420,Primary!A420)</f>
        <v>Hurston 60</v>
      </c>
      <c r="B420" s="5" t="str">
        <f>IF(ActiveDatabase=Standby,Secondary!B420,Primary!B420)</f>
        <v>Hurston 71</v>
      </c>
      <c r="C420" s="5" t="str">
        <f>IF(ActiveDatabase=Standby,Secondary!C420,Primary!C420)</f>
        <v>Hurston 131</v>
      </c>
      <c r="D420" s="5" t="str">
        <f>IF(ActiveDatabase=Standby,Secondary!D420,Primary!D420)</f>
        <v>Rock Cave YZJ</v>
      </c>
      <c r="E420" s="6" t="str">
        <f>IF(ActiveDatabase=Standby,Secondary!E420,Primary!E420)</f>
        <v>RCave YZJ</v>
      </c>
      <c r="F420" s="10">
        <f>IF(ActiveDatabase=Standby,Secondary!F420,Primary!F420)</f>
        <v>-160.052543673265</v>
      </c>
      <c r="G420" s="10">
        <f>IF(ActiveDatabase=Standby,Secondary!G420,Primary!G420)</f>
        <v>-65.455377596863</v>
      </c>
      <c r="H420" s="10">
        <f>IF(ActiveDatabase=Standby,Secondary!H420,Primary!H420)</f>
        <v>985.626167783267</v>
      </c>
      <c r="I420" s="13">
        <f>IF(ActiveDatabase=Standby,Secondary!I420,Primary!I420)</f>
        <v>0</v>
      </c>
      <c r="J420" s="13">
        <f>IF(ActiveDatabase=Standby,Secondary!J420,Primary!J420)</f>
        <v>0</v>
      </c>
      <c r="K420" s="13">
        <f>IF(ActiveDatabase=Standby,Secondary!K420,Primary!K420)</f>
        <v>0</v>
      </c>
      <c r="L420" s="13">
        <f>IF(ActiveDatabase=Standby,Secondary!L420,Primary!L420)</f>
        <v>0</v>
      </c>
      <c r="M420" s="7" t="b">
        <f>IF(ActiveDatabase=Standby,Secondary!M420,Primary!M420)</f>
        <v>0</v>
      </c>
      <c r="N420" s="10">
        <f>IF(ActiveDatabase=Standby,Secondary!N420,Primary!N420)</f>
        <v>0</v>
      </c>
      <c r="O420" s="10">
        <f>IF(ActiveDatabase=Standby,Secondary!O420,Primary!O420)</f>
        <v>0</v>
      </c>
      <c r="P420" s="10">
        <f>IF(ActiveDatabase=Standby,Secondary!P420,Primary!P420)</f>
        <v>0</v>
      </c>
      <c r="Q420" s="6">
        <f>IF(ActiveDatabase=Standby,Secondary!Q420,Primary!Q420)</f>
        <v>0</v>
      </c>
      <c r="R420" s="18">
        <f>IF(ActiveDatabase=Standby,Secondary!R420,Primary!R420)</f>
        <v>0</v>
      </c>
      <c r="S420" s="19">
        <f>IF(ActiveDatabase=Standby,Secondary!S420,Primary!S420)</f>
        <v>0</v>
      </c>
      <c r="T420" s="10">
        <f>IF(ActiveDatabase=Standby,Secondary!T420,Primary!T420)</f>
        <v>0</v>
      </c>
      <c r="U420" s="10">
        <f>IF(ActiveDatabase=Standby,Secondary!U420,Primary!U420)</f>
        <v>0</v>
      </c>
      <c r="V420" s="10">
        <f>IF(ActiveDatabase=Standby,Secondary!V420,Primary!V420)</f>
        <v>0</v>
      </c>
      <c r="W420" s="6">
        <f>IF(ActiveDatabase=Standby,Secondary!W420,Primary!W420)</f>
        <v>0</v>
      </c>
      <c r="X420" s="6">
        <f>IF(ActiveDatabase=Standby,Secondary!X420,Primary!X420)</f>
        <v>0</v>
      </c>
      <c r="Y420" s="12">
        <f>IF(ActiveDatabase=Standby,Secondary!Y420,Primary!Y420)</f>
        <v>0</v>
      </c>
      <c r="Z420" s="12">
        <f>IF(ActiveDatabase=Standby,Secondary!Z420,Primary!Z420)</f>
        <v>0</v>
      </c>
      <c r="AA420" s="7">
        <f>IF(ActiveDatabase=Standby,Secondary!AA420,Primary!AA420)</f>
        <v>0</v>
      </c>
      <c r="AB420" s="12"/>
      <c r="AC420" s="6"/>
      <c r="AD420" s="6"/>
      <c r="AE420" s="7"/>
      <c r="AF420" s="7"/>
      <c r="AG420" s="7"/>
      <c r="AH420" s="7"/>
      <c r="AI420" s="7"/>
      <c r="AJ420" s="7"/>
      <c r="AK420" s="7"/>
      <c r="AL420" s="7"/>
      <c r="AM420" s="7"/>
      <c r="AN420" s="7"/>
      <c r="AO420" s="6"/>
      <c r="AP420" s="7"/>
      <c r="AQ420" s="7"/>
      <c r="AR420" s="6"/>
      <c r="AS420" s="7"/>
      <c r="AT420" s="7"/>
      <c r="AU420" s="7"/>
      <c r="AV420" s="7"/>
      <c r="AW420" s="7"/>
      <c r="AX420" s="7"/>
      <c r="AY420" s="7"/>
      <c r="AZ420" s="7"/>
      <c r="BA420" s="7"/>
      <c r="BB420" s="7"/>
      <c r="BC420" s="7"/>
      <c r="BD420" s="7"/>
      <c r="BE420" s="7"/>
      <c r="BF420" s="7"/>
      <c r="BG420" s="7"/>
    </row>
    <row r="421" customHeight="1" spans="1:59">
      <c r="A421" s="9" t="str">
        <f>IF(ActiveDatabase=Standby,Secondary!A421,Primary!A421)</f>
        <v>Hurston 59</v>
      </c>
      <c r="B421" s="5" t="str">
        <f>IF(ActiveDatabase=Standby,Secondary!B421,Primary!B421)</f>
        <v>Hurston 70</v>
      </c>
      <c r="C421" s="5" t="str">
        <f>IF(ActiveDatabase=Standby,Secondary!C421,Primary!C421)</f>
        <v>Hurston 04</v>
      </c>
      <c r="D421" s="5" t="str">
        <f>IF(ActiveDatabase=Standby,Secondary!D421,Primary!D421)</f>
        <v>Rock Cave 57L</v>
      </c>
      <c r="E421" s="6" t="str">
        <f>IF(ActiveDatabase=Standby,Secondary!E421,Primary!E421)</f>
        <v>RCave 57L</v>
      </c>
      <c r="F421" s="10">
        <f>IF(ActiveDatabase=Standby,Secondary!F421,Primary!F421)</f>
        <v>-928.267806341676</v>
      </c>
      <c r="G421" s="10">
        <f>IF(ActiveDatabase=Standby,Secondary!G421,Primary!G421)</f>
        <v>318.894747884385</v>
      </c>
      <c r="H421" s="10">
        <f>IF(ActiveDatabase=Standby,Secondary!H421,Primary!H421)</f>
        <v>-203.465686150165</v>
      </c>
      <c r="I421" s="13">
        <f>IF(ActiveDatabase=Standby,Secondary!I421,Primary!I421)</f>
        <v>0</v>
      </c>
      <c r="J421" s="13">
        <f>IF(ActiveDatabase=Standby,Secondary!J421,Primary!J421)</f>
        <v>0</v>
      </c>
      <c r="K421" s="13">
        <f>IF(ActiveDatabase=Standby,Secondary!K421,Primary!K421)</f>
        <v>0</v>
      </c>
      <c r="L421" s="13">
        <f>IF(ActiveDatabase=Standby,Secondary!L421,Primary!L421)</f>
        <v>0</v>
      </c>
      <c r="M421" s="7" t="b">
        <f>IF(ActiveDatabase=Standby,Secondary!M421,Primary!M421)</f>
        <v>0</v>
      </c>
      <c r="N421" s="10">
        <f>IF(ActiveDatabase=Standby,Secondary!N421,Primary!N421)</f>
        <v>0</v>
      </c>
      <c r="O421" s="10">
        <f>IF(ActiveDatabase=Standby,Secondary!O421,Primary!O421)</f>
        <v>0</v>
      </c>
      <c r="P421" s="10">
        <f>IF(ActiveDatabase=Standby,Secondary!P421,Primary!P421)</f>
        <v>0</v>
      </c>
      <c r="Q421" s="6">
        <f>IF(ActiveDatabase=Standby,Secondary!Q421,Primary!Q421)</f>
        <v>0</v>
      </c>
      <c r="R421" s="18">
        <f>IF(ActiveDatabase=Standby,Secondary!R421,Primary!R421)</f>
        <v>0</v>
      </c>
      <c r="S421" s="19">
        <f>IF(ActiveDatabase=Standby,Secondary!S421,Primary!S421)</f>
        <v>0</v>
      </c>
      <c r="T421" s="10">
        <f>IF(ActiveDatabase=Standby,Secondary!T421,Primary!T421)</f>
        <v>0</v>
      </c>
      <c r="U421" s="10">
        <f>IF(ActiveDatabase=Standby,Secondary!U421,Primary!U421)</f>
        <v>0</v>
      </c>
      <c r="V421" s="10">
        <f>IF(ActiveDatabase=Standby,Secondary!V421,Primary!V421)</f>
        <v>0</v>
      </c>
      <c r="W421" s="6">
        <f>IF(ActiveDatabase=Standby,Secondary!W421,Primary!W421)</f>
        <v>0</v>
      </c>
      <c r="X421" s="6">
        <f>IF(ActiveDatabase=Standby,Secondary!X421,Primary!X421)</f>
        <v>0</v>
      </c>
      <c r="Y421" s="12">
        <f>IF(ActiveDatabase=Standby,Secondary!Y421,Primary!Y421)</f>
        <v>0</v>
      </c>
      <c r="Z421" s="12">
        <f>IF(ActiveDatabase=Standby,Secondary!Z421,Primary!Z421)</f>
        <v>0</v>
      </c>
      <c r="AA421" s="7">
        <f>IF(ActiveDatabase=Standby,Secondary!AA421,Primary!AA421)</f>
        <v>0</v>
      </c>
      <c r="AB421" s="12"/>
      <c r="AC421" s="6"/>
      <c r="AD421" s="6"/>
      <c r="AE421" s="7"/>
      <c r="AF421" s="7"/>
      <c r="AG421" s="7"/>
      <c r="AH421" s="7"/>
      <c r="AI421" s="7"/>
      <c r="AJ421" s="7"/>
      <c r="AK421" s="7"/>
      <c r="AL421" s="7"/>
      <c r="AM421" s="7"/>
      <c r="AN421" s="7"/>
      <c r="AO421" s="6"/>
      <c r="AP421" s="7"/>
      <c r="AQ421" s="7"/>
      <c r="AR421" s="6"/>
      <c r="AS421" s="7"/>
      <c r="AT421" s="7"/>
      <c r="AU421" s="7"/>
      <c r="AV421" s="7"/>
      <c r="AW421" s="7"/>
      <c r="AX421" s="7"/>
      <c r="AY421" s="7"/>
      <c r="AZ421" s="7"/>
      <c r="BA421" s="7"/>
      <c r="BB421" s="7"/>
      <c r="BC421" s="7"/>
      <c r="BD421" s="7"/>
      <c r="BE421" s="7"/>
      <c r="BF421" s="7"/>
      <c r="BG421" s="7"/>
    </row>
    <row r="422" customHeight="1" spans="1:59">
      <c r="A422" s="9" t="str">
        <f>IF(ActiveDatabase=Standby,Secondary!A422,Primary!A422)</f>
        <v>Hurston 58</v>
      </c>
      <c r="B422" s="5" t="str">
        <f>IF(ActiveDatabase=Standby,Secondary!B422,Primary!B422)</f>
        <v>Hurston 69</v>
      </c>
      <c r="C422" s="5" t="str">
        <f>IF(ActiveDatabase=Standby,Secondary!C422,Primary!C422)</f>
        <v>Hurston 10</v>
      </c>
      <c r="D422" s="5" t="str">
        <f>IF(ActiveDatabase=Standby,Secondary!D422,Primary!D422)</f>
        <v>Rock Cave 47K</v>
      </c>
      <c r="E422" s="6" t="str">
        <f>IF(ActiveDatabase=Standby,Secondary!E422,Primary!E422)</f>
        <v>RCave 47K</v>
      </c>
      <c r="F422" s="10">
        <f>IF(ActiveDatabase=Standby,Secondary!F422,Primary!F422)</f>
        <v>-869.987709621116</v>
      </c>
      <c r="G422" s="10">
        <f>IF(ActiveDatabase=Standby,Secondary!G422,Primary!G422)</f>
        <v>336.529071056901</v>
      </c>
      <c r="H422" s="10">
        <f>IF(ActiveDatabase=Standby,Secondary!H422,Primary!H422)</f>
        <v>-360.42535291451</v>
      </c>
      <c r="I422" s="13">
        <f>IF(ActiveDatabase=Standby,Secondary!I422,Primary!I422)</f>
        <v>0</v>
      </c>
      <c r="J422" s="13">
        <f>IF(ActiveDatabase=Standby,Secondary!J422,Primary!J422)</f>
        <v>0</v>
      </c>
      <c r="K422" s="13">
        <f>IF(ActiveDatabase=Standby,Secondary!K422,Primary!K422)</f>
        <v>0</v>
      </c>
      <c r="L422" s="13">
        <f>IF(ActiveDatabase=Standby,Secondary!L422,Primary!L422)</f>
        <v>0</v>
      </c>
      <c r="M422" s="7" t="b">
        <f>IF(ActiveDatabase=Standby,Secondary!M422,Primary!M422)</f>
        <v>0</v>
      </c>
      <c r="N422" s="10">
        <f>IF(ActiveDatabase=Standby,Secondary!N422,Primary!N422)</f>
        <v>0</v>
      </c>
      <c r="O422" s="10">
        <f>IF(ActiveDatabase=Standby,Secondary!O422,Primary!O422)</f>
        <v>0</v>
      </c>
      <c r="P422" s="10">
        <f>IF(ActiveDatabase=Standby,Secondary!P422,Primary!P422)</f>
        <v>0</v>
      </c>
      <c r="Q422" s="6">
        <f>IF(ActiveDatabase=Standby,Secondary!Q422,Primary!Q422)</f>
        <v>0</v>
      </c>
      <c r="R422" s="18">
        <f>IF(ActiveDatabase=Standby,Secondary!R422,Primary!R422)</f>
        <v>0</v>
      </c>
      <c r="S422" s="19">
        <f>IF(ActiveDatabase=Standby,Secondary!S422,Primary!S422)</f>
        <v>0</v>
      </c>
      <c r="T422" s="10">
        <f>IF(ActiveDatabase=Standby,Secondary!T422,Primary!T422)</f>
        <v>0</v>
      </c>
      <c r="U422" s="10">
        <f>IF(ActiveDatabase=Standby,Secondary!U422,Primary!U422)</f>
        <v>0</v>
      </c>
      <c r="V422" s="10">
        <f>IF(ActiveDatabase=Standby,Secondary!V422,Primary!V422)</f>
        <v>0</v>
      </c>
      <c r="W422" s="6">
        <f>IF(ActiveDatabase=Standby,Secondary!W422,Primary!W422)</f>
        <v>0</v>
      </c>
      <c r="X422" s="6">
        <f>IF(ActiveDatabase=Standby,Secondary!X422,Primary!X422)</f>
        <v>0</v>
      </c>
      <c r="Y422" s="12">
        <f>IF(ActiveDatabase=Standby,Secondary!Y422,Primary!Y422)</f>
        <v>0</v>
      </c>
      <c r="Z422" s="12">
        <f>IF(ActiveDatabase=Standby,Secondary!Z422,Primary!Z422)</f>
        <v>0</v>
      </c>
      <c r="AA422" s="7">
        <f>IF(ActiveDatabase=Standby,Secondary!AA422,Primary!AA422)</f>
        <v>0</v>
      </c>
      <c r="AB422" s="12"/>
      <c r="AC422" s="6"/>
      <c r="AD422" s="6"/>
      <c r="AE422" s="7"/>
      <c r="AF422" s="7"/>
      <c r="AG422" s="7"/>
      <c r="AH422" s="7"/>
      <c r="AI422" s="7"/>
      <c r="AJ422" s="7"/>
      <c r="AK422" s="7"/>
      <c r="AL422" s="7"/>
      <c r="AM422" s="7"/>
      <c r="AN422" s="7"/>
      <c r="AO422" s="6"/>
      <c r="AP422" s="7"/>
      <c r="AQ422" s="7"/>
      <c r="AR422" s="6"/>
      <c r="AS422" s="7"/>
      <c r="AT422" s="7"/>
      <c r="AU422" s="7"/>
      <c r="AV422" s="7"/>
      <c r="AW422" s="7"/>
      <c r="AX422" s="7"/>
      <c r="AY422" s="7"/>
      <c r="AZ422" s="7"/>
      <c r="BA422" s="7"/>
      <c r="BB422" s="7"/>
      <c r="BC422" s="7"/>
      <c r="BD422" s="7"/>
      <c r="BE422" s="7"/>
      <c r="BF422" s="7"/>
      <c r="BG422" s="7"/>
    </row>
    <row r="423" customHeight="1" spans="1:59">
      <c r="A423" s="9" t="str">
        <f>IF(ActiveDatabase=Standby,Secondary!A423,Primary!A423)</f>
        <v>Hurston 83</v>
      </c>
      <c r="B423" s="5" t="str">
        <f>IF(ActiveDatabase=Standby,Secondary!B423,Primary!B423)</f>
        <v>Hurston 94</v>
      </c>
      <c r="C423" s="5" t="str">
        <f>IF(ActiveDatabase=Standby,Secondary!C423,Primary!C423)</f>
        <v>Hurston 31</v>
      </c>
      <c r="D423" s="5" t="str">
        <f>IF(ActiveDatabase=Standby,Secondary!D423,Primary!D423)</f>
        <v>Sand Cave 49X-A45</v>
      </c>
      <c r="E423" s="6" t="str">
        <f>IF(ActiveDatabase=Standby,Secondary!E423,Primary!E423)</f>
        <v>SCave 49XA45</v>
      </c>
      <c r="F423" s="10">
        <f>IF(ActiveDatabase=Standby,Secondary!F423,Primary!F423)</f>
        <v>-79.938672851</v>
      </c>
      <c r="G423" s="10">
        <f>IF(ActiveDatabase=Standby,Secondary!G423,Primary!G423)</f>
        <v>189.230195991999</v>
      </c>
      <c r="H423" s="10">
        <f>IF(ActiveDatabase=Standby,Secondary!H423,Primary!H423)</f>
        <v>979.794018777</v>
      </c>
      <c r="I423" s="13">
        <f>IF(ActiveDatabase=Standby,Secondary!I423,Primary!I423)</f>
        <v>0</v>
      </c>
      <c r="J423" s="13">
        <f>IF(ActiveDatabase=Standby,Secondary!J423,Primary!J423)</f>
        <v>0</v>
      </c>
      <c r="K423" s="13">
        <f>IF(ActiveDatabase=Standby,Secondary!K423,Primary!K423)</f>
        <v>0</v>
      </c>
      <c r="L423" s="13">
        <f>IF(ActiveDatabase=Standby,Secondary!L423,Primary!L423)</f>
        <v>0</v>
      </c>
      <c r="M423" s="7" t="b">
        <f>IF(ActiveDatabase=Standby,Secondary!M423,Primary!M423)</f>
        <v>0</v>
      </c>
      <c r="N423" s="10">
        <f>IF(ActiveDatabase=Standby,Secondary!N423,Primary!N423)</f>
        <v>0</v>
      </c>
      <c r="O423" s="10">
        <f>IF(ActiveDatabase=Standby,Secondary!O423,Primary!O423)</f>
        <v>0</v>
      </c>
      <c r="P423" s="10">
        <f>IF(ActiveDatabase=Standby,Secondary!P423,Primary!P423)</f>
        <v>0</v>
      </c>
      <c r="Q423" s="6">
        <f>IF(ActiveDatabase=Standby,Secondary!Q423,Primary!Q423)</f>
        <v>0</v>
      </c>
      <c r="R423" s="18">
        <f>IF(ActiveDatabase=Standby,Secondary!R423,Primary!R423)</f>
        <v>0</v>
      </c>
      <c r="S423" s="19">
        <f>IF(ActiveDatabase=Standby,Secondary!S423,Primary!S423)</f>
        <v>0</v>
      </c>
      <c r="T423" s="10">
        <f>IF(ActiveDatabase=Standby,Secondary!T423,Primary!T423)</f>
        <v>0</v>
      </c>
      <c r="U423" s="10">
        <f>IF(ActiveDatabase=Standby,Secondary!U423,Primary!U423)</f>
        <v>0</v>
      </c>
      <c r="V423" s="10">
        <f>IF(ActiveDatabase=Standby,Secondary!V423,Primary!V423)</f>
        <v>0</v>
      </c>
      <c r="W423" s="6">
        <f>IF(ActiveDatabase=Standby,Secondary!W423,Primary!W423)</f>
        <v>0</v>
      </c>
      <c r="X423" s="6">
        <f>IF(ActiveDatabase=Standby,Secondary!X423,Primary!X423)</f>
        <v>0</v>
      </c>
      <c r="Y423" s="12">
        <f>IF(ActiveDatabase=Standby,Secondary!Y423,Primary!Y423)</f>
        <v>0</v>
      </c>
      <c r="Z423" s="12">
        <f>IF(ActiveDatabase=Standby,Secondary!Z423,Primary!Z423)</f>
        <v>0</v>
      </c>
      <c r="AA423" s="7">
        <f>IF(ActiveDatabase=Standby,Secondary!AA423,Primary!AA423)</f>
        <v>0</v>
      </c>
      <c r="AB423" s="12"/>
      <c r="AC423" s="6"/>
      <c r="AD423" s="6"/>
      <c r="AE423" s="7"/>
      <c r="AF423" s="7"/>
      <c r="AG423" s="7"/>
      <c r="AH423" s="7"/>
      <c r="AI423" s="7"/>
      <c r="AJ423" s="7"/>
      <c r="AK423" s="7"/>
      <c r="AL423" s="7"/>
      <c r="AM423" s="7"/>
      <c r="AN423" s="7"/>
      <c r="AO423" s="6"/>
      <c r="AP423" s="7"/>
      <c r="AQ423" s="7"/>
      <c r="AR423" s="6"/>
      <c r="AS423" s="7"/>
      <c r="AT423" s="7"/>
      <c r="AU423" s="7"/>
      <c r="AV423" s="7"/>
      <c r="AW423" s="7"/>
      <c r="AX423" s="7"/>
      <c r="AY423" s="7"/>
      <c r="AZ423" s="7"/>
      <c r="BA423" s="7"/>
      <c r="BB423" s="7"/>
      <c r="BC423" s="7"/>
      <c r="BD423" s="7"/>
      <c r="BE423" s="7"/>
      <c r="BF423" s="7"/>
      <c r="BG423" s="7"/>
    </row>
    <row r="424" customHeight="1" spans="1:59">
      <c r="A424" s="9" t="str">
        <f>IF(ActiveDatabase=Standby,Secondary!A424,Primary!A424)</f>
        <v>Hurston 82</v>
      </c>
      <c r="B424" s="5" t="str">
        <f>IF(ActiveDatabase=Standby,Secondary!B424,Primary!B424)</f>
        <v>Hurston 93</v>
      </c>
      <c r="C424" s="5" t="str">
        <f>IF(ActiveDatabase=Standby,Secondary!C424,Primary!C424)</f>
        <v>Hurston 32</v>
      </c>
      <c r="D424" s="5" t="str">
        <f>IF(ActiveDatabase=Standby,Secondary!D424,Primary!D424)</f>
        <v>Sand Cave 49X-A32</v>
      </c>
      <c r="E424" s="6" t="str">
        <f>IF(ActiveDatabase=Standby,Secondary!E424,Primary!E424)</f>
        <v>SCave 49XA32</v>
      </c>
      <c r="F424" s="10">
        <f>IF(ActiveDatabase=Standby,Secondary!F424,Primary!F424)</f>
        <v>-78.77868374</v>
      </c>
      <c r="G424" s="10">
        <f>IF(ActiveDatabase=Standby,Secondary!G424,Primary!G424)</f>
        <v>188.725818445999</v>
      </c>
      <c r="H424" s="10">
        <f>IF(ActiveDatabase=Standby,Secondary!H424,Primary!H424)</f>
        <v>980.013852102</v>
      </c>
      <c r="I424" s="13">
        <f>IF(ActiveDatabase=Standby,Secondary!I424,Primary!I424)</f>
        <v>0</v>
      </c>
      <c r="J424" s="13">
        <f>IF(ActiveDatabase=Standby,Secondary!J424,Primary!J424)</f>
        <v>0</v>
      </c>
      <c r="K424" s="13">
        <f>IF(ActiveDatabase=Standby,Secondary!K424,Primary!K424)</f>
        <v>0</v>
      </c>
      <c r="L424" s="13">
        <f>IF(ActiveDatabase=Standby,Secondary!L424,Primary!L424)</f>
        <v>0</v>
      </c>
      <c r="M424" s="7" t="b">
        <f>IF(ActiveDatabase=Standby,Secondary!M424,Primary!M424)</f>
        <v>0</v>
      </c>
      <c r="N424" s="10">
        <f>IF(ActiveDatabase=Standby,Secondary!N424,Primary!N424)</f>
        <v>0</v>
      </c>
      <c r="O424" s="10">
        <f>IF(ActiveDatabase=Standby,Secondary!O424,Primary!O424)</f>
        <v>0</v>
      </c>
      <c r="P424" s="10">
        <f>IF(ActiveDatabase=Standby,Secondary!P424,Primary!P424)</f>
        <v>0</v>
      </c>
      <c r="Q424" s="6">
        <f>IF(ActiveDatabase=Standby,Secondary!Q424,Primary!Q424)</f>
        <v>0</v>
      </c>
      <c r="R424" s="18">
        <f>IF(ActiveDatabase=Standby,Secondary!R424,Primary!R424)</f>
        <v>0</v>
      </c>
      <c r="S424" s="19">
        <f>IF(ActiveDatabase=Standby,Secondary!S424,Primary!S424)</f>
        <v>0</v>
      </c>
      <c r="T424" s="10">
        <f>IF(ActiveDatabase=Standby,Secondary!T424,Primary!T424)</f>
        <v>0</v>
      </c>
      <c r="U424" s="10">
        <f>IF(ActiveDatabase=Standby,Secondary!U424,Primary!U424)</f>
        <v>0</v>
      </c>
      <c r="V424" s="10">
        <f>IF(ActiveDatabase=Standby,Secondary!V424,Primary!V424)</f>
        <v>0</v>
      </c>
      <c r="W424" s="6">
        <f>IF(ActiveDatabase=Standby,Secondary!W424,Primary!W424)</f>
        <v>0</v>
      </c>
      <c r="X424" s="6">
        <f>IF(ActiveDatabase=Standby,Secondary!X424,Primary!X424)</f>
        <v>0</v>
      </c>
      <c r="Y424" s="12">
        <f>IF(ActiveDatabase=Standby,Secondary!Y424,Primary!Y424)</f>
        <v>0</v>
      </c>
      <c r="Z424" s="12">
        <f>IF(ActiveDatabase=Standby,Secondary!Z424,Primary!Z424)</f>
        <v>0</v>
      </c>
      <c r="AA424" s="7">
        <f>IF(ActiveDatabase=Standby,Secondary!AA424,Primary!AA424)</f>
        <v>0</v>
      </c>
      <c r="AB424" s="12"/>
      <c r="AC424" s="6"/>
      <c r="AD424" s="6"/>
      <c r="AE424" s="7"/>
      <c r="AF424" s="7"/>
      <c r="AG424" s="7"/>
      <c r="AH424" s="7"/>
      <c r="AI424" s="7"/>
      <c r="AJ424" s="7"/>
      <c r="AK424" s="7"/>
      <c r="AL424" s="7"/>
      <c r="AM424" s="7"/>
      <c r="AN424" s="7"/>
      <c r="AO424" s="6"/>
      <c r="AP424" s="7"/>
      <c r="AQ424" s="7"/>
      <c r="AR424" s="6"/>
      <c r="AS424" s="7"/>
      <c r="AT424" s="7"/>
      <c r="AU424" s="7"/>
      <c r="AV424" s="7"/>
      <c r="AW424" s="7"/>
      <c r="AX424" s="7"/>
      <c r="AY424" s="7"/>
      <c r="AZ424" s="7"/>
      <c r="BA424" s="7"/>
      <c r="BB424" s="7"/>
      <c r="BC424" s="7"/>
      <c r="BD424" s="7"/>
      <c r="BE424" s="7"/>
      <c r="BF424" s="7"/>
      <c r="BG424" s="7"/>
    </row>
    <row r="425" customHeight="1" spans="1:59">
      <c r="A425" s="9" t="str">
        <f>IF(ActiveDatabase=Standby,Secondary!A425,Primary!A425)</f>
        <v>Hurston 87</v>
      </c>
      <c r="B425" s="5" t="str">
        <f>IF(ActiveDatabase=Standby,Secondary!B425,Primary!B425)</f>
        <v>Hurston 98</v>
      </c>
      <c r="C425" s="5" t="str">
        <f>IF(ActiveDatabase=Standby,Secondary!C425,Primary!C425)</f>
        <v>Hurston 23</v>
      </c>
      <c r="D425" s="5" t="str">
        <f>IF(ActiveDatabase=Standby,Secondary!D425,Primary!D425)</f>
        <v>Sand Cave 54U</v>
      </c>
      <c r="E425" s="6" t="str">
        <f>IF(ActiveDatabase=Standby,Secondary!E425,Primary!E425)</f>
        <v>SCave 54U</v>
      </c>
      <c r="F425" s="10">
        <f>IF(ActiveDatabase=Standby,Secondary!F425,Primary!F425)</f>
        <v>-441.716375540999</v>
      </c>
      <c r="G425" s="10">
        <f>IF(ActiveDatabase=Standby,Secondary!G425,Primary!G425)</f>
        <v>371.455504676999</v>
      </c>
      <c r="H425" s="10">
        <f>IF(ActiveDatabase=Standby,Secondary!H425,Primary!H425)</f>
        <v>820.406932059</v>
      </c>
      <c r="I425" s="13">
        <f>IF(ActiveDatabase=Standby,Secondary!I425,Primary!I425)</f>
        <v>0</v>
      </c>
      <c r="J425" s="13">
        <f>IF(ActiveDatabase=Standby,Secondary!J425,Primary!J425)</f>
        <v>0</v>
      </c>
      <c r="K425" s="13">
        <f>IF(ActiveDatabase=Standby,Secondary!K425,Primary!K425)</f>
        <v>0</v>
      </c>
      <c r="L425" s="13">
        <f>IF(ActiveDatabase=Standby,Secondary!L425,Primary!L425)</f>
        <v>0</v>
      </c>
      <c r="M425" s="7" t="b">
        <f>IF(ActiveDatabase=Standby,Secondary!M425,Primary!M425)</f>
        <v>0</v>
      </c>
      <c r="N425" s="10">
        <f>IF(ActiveDatabase=Standby,Secondary!N425,Primary!N425)</f>
        <v>0</v>
      </c>
      <c r="O425" s="10">
        <f>IF(ActiveDatabase=Standby,Secondary!O425,Primary!O425)</f>
        <v>0</v>
      </c>
      <c r="P425" s="10">
        <f>IF(ActiveDatabase=Standby,Secondary!P425,Primary!P425)</f>
        <v>0</v>
      </c>
      <c r="Q425" s="6">
        <f>IF(ActiveDatabase=Standby,Secondary!Q425,Primary!Q425)</f>
        <v>0</v>
      </c>
      <c r="R425" s="18">
        <f>IF(ActiveDatabase=Standby,Secondary!R425,Primary!R425)</f>
        <v>0</v>
      </c>
      <c r="S425" s="19">
        <f>IF(ActiveDatabase=Standby,Secondary!S425,Primary!S425)</f>
        <v>0</v>
      </c>
      <c r="T425" s="10">
        <f>IF(ActiveDatabase=Standby,Secondary!T425,Primary!T425)</f>
        <v>0</v>
      </c>
      <c r="U425" s="10">
        <f>IF(ActiveDatabase=Standby,Secondary!U425,Primary!U425)</f>
        <v>0</v>
      </c>
      <c r="V425" s="10">
        <f>IF(ActiveDatabase=Standby,Secondary!V425,Primary!V425)</f>
        <v>0</v>
      </c>
      <c r="W425" s="6">
        <f>IF(ActiveDatabase=Standby,Secondary!W425,Primary!W425)</f>
        <v>0</v>
      </c>
      <c r="X425" s="6">
        <f>IF(ActiveDatabase=Standby,Secondary!X425,Primary!X425)</f>
        <v>0</v>
      </c>
      <c r="Y425" s="12">
        <f>IF(ActiveDatabase=Standby,Secondary!Y425,Primary!Y425)</f>
        <v>0</v>
      </c>
      <c r="Z425" s="12">
        <f>IF(ActiveDatabase=Standby,Secondary!Z425,Primary!Z425)</f>
        <v>0</v>
      </c>
      <c r="AA425" s="9">
        <f>IF(ActiveDatabase=Standby,Secondary!AA425,Primary!AA425)</f>
        <v>0</v>
      </c>
      <c r="AB425" s="12"/>
      <c r="AC425" s="6"/>
      <c r="AD425" s="6"/>
      <c r="AE425" s="7"/>
      <c r="AF425" s="7"/>
      <c r="AG425" s="7"/>
      <c r="AH425" s="7"/>
      <c r="AI425" s="7"/>
      <c r="AJ425" s="7"/>
      <c r="AK425" s="7"/>
      <c r="AL425" s="7"/>
      <c r="AM425" s="7"/>
      <c r="AN425" s="7"/>
      <c r="AO425" s="6"/>
      <c r="AP425" s="7"/>
      <c r="AQ425" s="7"/>
      <c r="AR425" s="6"/>
      <c r="AS425" s="7"/>
      <c r="AT425" s="7"/>
      <c r="AU425" s="7"/>
      <c r="AV425" s="7"/>
      <c r="AW425" s="7"/>
      <c r="AX425" s="7"/>
      <c r="AY425" s="7"/>
      <c r="AZ425" s="7"/>
      <c r="BA425" s="7"/>
      <c r="BB425" s="7"/>
      <c r="BC425" s="7"/>
      <c r="BD425" s="7"/>
      <c r="BE425" s="7"/>
      <c r="BF425" s="7"/>
      <c r="BG425" s="7"/>
    </row>
    <row r="426" customHeight="1" spans="1:59">
      <c r="A426" s="9" t="str">
        <f>IF(ActiveDatabase=Standby,Secondary!A426,Primary!A426)</f>
        <v>Hurston 85</v>
      </c>
      <c r="B426" s="5" t="str">
        <f>IF(ActiveDatabase=Standby,Secondary!B426,Primary!B426)</f>
        <v>Hurston 96</v>
      </c>
      <c r="C426" s="5" t="str">
        <f>IF(ActiveDatabase=Standby,Secondary!C426,Primary!C426)</f>
        <v>Hurston 25</v>
      </c>
      <c r="D426" s="5" t="str">
        <f>IF(ActiveDatabase=Standby,Secondary!D426,Primary!D426)</f>
        <v>Sand Cave 53U-626</v>
      </c>
      <c r="E426" s="6" t="str">
        <f>IF(ActiveDatabase=Standby,Secondary!E426,Primary!E426)</f>
        <v>SCave 53U626</v>
      </c>
      <c r="F426" s="10">
        <f>IF(ActiveDatabase=Standby,Secondary!F426,Primary!F426)</f>
        <v>-406.401612001999</v>
      </c>
      <c r="G426" s="10">
        <f>IF(ActiveDatabase=Standby,Secondary!G426,Primary!G426)</f>
        <v>437.568293760999</v>
      </c>
      <c r="H426" s="10">
        <f>IF(ActiveDatabase=Standby,Secondary!H426,Primary!H426)</f>
        <v>805.355942028</v>
      </c>
      <c r="I426" s="13">
        <f>IF(ActiveDatabase=Standby,Secondary!I426,Primary!I426)</f>
        <v>0</v>
      </c>
      <c r="J426" s="13">
        <f>IF(ActiveDatabase=Standby,Secondary!J426,Primary!J426)</f>
        <v>0</v>
      </c>
      <c r="K426" s="13">
        <f>IF(ActiveDatabase=Standby,Secondary!K426,Primary!K426)</f>
        <v>0</v>
      </c>
      <c r="L426" s="13">
        <f>IF(ActiveDatabase=Standby,Secondary!L426,Primary!L426)</f>
        <v>0</v>
      </c>
      <c r="M426" s="7" t="b">
        <f>IF(ActiveDatabase=Standby,Secondary!M426,Primary!M426)</f>
        <v>0</v>
      </c>
      <c r="N426" s="10">
        <f>IF(ActiveDatabase=Standby,Secondary!N426,Primary!N426)</f>
        <v>0</v>
      </c>
      <c r="O426" s="10">
        <f>IF(ActiveDatabase=Standby,Secondary!O426,Primary!O426)</f>
        <v>0</v>
      </c>
      <c r="P426" s="10">
        <f>IF(ActiveDatabase=Standby,Secondary!P426,Primary!P426)</f>
        <v>0</v>
      </c>
      <c r="Q426" s="6">
        <f>IF(ActiveDatabase=Standby,Secondary!Q426,Primary!Q426)</f>
        <v>0</v>
      </c>
      <c r="R426" s="18">
        <f>IF(ActiveDatabase=Standby,Secondary!R426,Primary!R426)</f>
        <v>0</v>
      </c>
      <c r="S426" s="19">
        <f>IF(ActiveDatabase=Standby,Secondary!S426,Primary!S426)</f>
        <v>0</v>
      </c>
      <c r="T426" s="10">
        <f>IF(ActiveDatabase=Standby,Secondary!T426,Primary!T426)</f>
        <v>0</v>
      </c>
      <c r="U426" s="10">
        <f>IF(ActiveDatabase=Standby,Secondary!U426,Primary!U426)</f>
        <v>0</v>
      </c>
      <c r="V426" s="10">
        <f>IF(ActiveDatabase=Standby,Secondary!V426,Primary!V426)</f>
        <v>0</v>
      </c>
      <c r="W426" s="6">
        <f>IF(ActiveDatabase=Standby,Secondary!W426,Primary!W426)</f>
        <v>0</v>
      </c>
      <c r="X426" s="6">
        <f>IF(ActiveDatabase=Standby,Secondary!X426,Primary!X426)</f>
        <v>0</v>
      </c>
      <c r="Y426" s="12">
        <f>IF(ActiveDatabase=Standby,Secondary!Y426,Primary!Y426)</f>
        <v>0</v>
      </c>
      <c r="Z426" s="12">
        <f>IF(ActiveDatabase=Standby,Secondary!Z426,Primary!Z426)</f>
        <v>0</v>
      </c>
      <c r="AA426" s="9">
        <f>IF(ActiveDatabase=Standby,Secondary!AA426,Primary!AA426)</f>
        <v>0</v>
      </c>
      <c r="AB426" s="12"/>
      <c r="AC426" s="6"/>
      <c r="AD426" s="6"/>
      <c r="AE426" s="7"/>
      <c r="AF426" s="7"/>
      <c r="AG426" s="7"/>
      <c r="AH426" s="7"/>
      <c r="AI426" s="7"/>
      <c r="AJ426" s="7"/>
      <c r="AK426" s="7"/>
      <c r="AL426" s="7"/>
      <c r="AM426" s="7"/>
      <c r="AN426" s="7"/>
      <c r="AO426" s="6"/>
      <c r="AP426" s="7"/>
      <c r="AQ426" s="7"/>
      <c r="AR426" s="6"/>
      <c r="AS426" s="7"/>
      <c r="AT426" s="7"/>
      <c r="AU426" s="7"/>
      <c r="AV426" s="7"/>
      <c r="AW426" s="7"/>
      <c r="AX426" s="7"/>
      <c r="AY426" s="7"/>
      <c r="AZ426" s="7"/>
      <c r="BA426" s="7"/>
      <c r="BB426" s="7"/>
      <c r="BC426" s="7"/>
      <c r="BD426" s="7"/>
      <c r="BE426" s="7"/>
      <c r="BF426" s="7"/>
      <c r="BG426" s="7"/>
    </row>
    <row r="427" customHeight="1" spans="1:59">
      <c r="A427" s="9" t="str">
        <f>IF(ActiveDatabase=Standby,Secondary!A427,Primary!A427)</f>
        <v>Hurston 84</v>
      </c>
      <c r="B427" s="5" t="str">
        <f>IF(ActiveDatabase=Standby,Secondary!B427,Primary!B427)</f>
        <v>Hurston 95</v>
      </c>
      <c r="C427" s="5" t="str">
        <f>IF(ActiveDatabase=Standby,Secondary!C427,Primary!C427)</f>
        <v>Hurston 27</v>
      </c>
      <c r="D427" s="5" t="str">
        <f>IF(ActiveDatabase=Standby,Secondary!D427,Primary!D427)</f>
        <v>Sand Cave 52U</v>
      </c>
      <c r="E427" s="6" t="str">
        <f>IF(ActiveDatabase=Standby,Secondary!E427,Primary!E427)</f>
        <v>SCave52U</v>
      </c>
      <c r="F427" s="10">
        <f>IF(ActiveDatabase=Standby,Secondary!F427,Primary!F427)</f>
        <v>-366.14367517</v>
      </c>
      <c r="G427" s="10">
        <f>IF(ActiveDatabase=Standby,Secondary!G427,Primary!G427)</f>
        <v>458.664253</v>
      </c>
      <c r="H427" s="10">
        <f>IF(ActiveDatabase=Standby,Secondary!H427,Primary!H427)</f>
        <v>812.630320905999</v>
      </c>
      <c r="I427" s="13">
        <f>IF(ActiveDatabase=Standby,Secondary!I427,Primary!I427)</f>
        <v>0</v>
      </c>
      <c r="J427" s="13">
        <f>IF(ActiveDatabase=Standby,Secondary!J427,Primary!J427)</f>
        <v>0</v>
      </c>
      <c r="K427" s="13">
        <f>IF(ActiveDatabase=Standby,Secondary!K427,Primary!K427)</f>
        <v>0</v>
      </c>
      <c r="L427" s="13">
        <f>IF(ActiveDatabase=Standby,Secondary!L427,Primary!L427)</f>
        <v>0</v>
      </c>
      <c r="M427" s="7" t="b">
        <f>IF(ActiveDatabase=Standby,Secondary!M427,Primary!M427)</f>
        <v>0</v>
      </c>
      <c r="N427" s="10">
        <f>IF(ActiveDatabase=Standby,Secondary!N427,Primary!N427)</f>
        <v>0</v>
      </c>
      <c r="O427" s="10">
        <f>IF(ActiveDatabase=Standby,Secondary!O427,Primary!O427)</f>
        <v>0</v>
      </c>
      <c r="P427" s="10">
        <f>IF(ActiveDatabase=Standby,Secondary!P427,Primary!P427)</f>
        <v>0</v>
      </c>
      <c r="Q427" s="6">
        <f>IF(ActiveDatabase=Standby,Secondary!Q427,Primary!Q427)</f>
        <v>0</v>
      </c>
      <c r="R427" s="18">
        <f>IF(ActiveDatabase=Standby,Secondary!R427,Primary!R427)</f>
        <v>0</v>
      </c>
      <c r="S427" s="19">
        <f>IF(ActiveDatabase=Standby,Secondary!S427,Primary!S427)</f>
        <v>0</v>
      </c>
      <c r="T427" s="10">
        <f>IF(ActiveDatabase=Standby,Secondary!T427,Primary!T427)</f>
        <v>0</v>
      </c>
      <c r="U427" s="10">
        <f>IF(ActiveDatabase=Standby,Secondary!U427,Primary!U427)</f>
        <v>0</v>
      </c>
      <c r="V427" s="10">
        <f>IF(ActiveDatabase=Standby,Secondary!V427,Primary!V427)</f>
        <v>0</v>
      </c>
      <c r="W427" s="6">
        <f>IF(ActiveDatabase=Standby,Secondary!W427,Primary!W427)</f>
        <v>0</v>
      </c>
      <c r="X427" s="6">
        <f>IF(ActiveDatabase=Standby,Secondary!X427,Primary!X427)</f>
        <v>0</v>
      </c>
      <c r="Y427" s="12">
        <f>IF(ActiveDatabase=Standby,Secondary!Y427,Primary!Y427)</f>
        <v>0</v>
      </c>
      <c r="Z427" s="12">
        <f>IF(ActiveDatabase=Standby,Secondary!Z427,Primary!Z427)</f>
        <v>0</v>
      </c>
      <c r="AA427" s="9">
        <f>IF(ActiveDatabase=Standby,Secondary!AA427,Primary!AA427)</f>
        <v>0</v>
      </c>
      <c r="AB427" s="12"/>
      <c r="AC427" s="6"/>
      <c r="AD427" s="6"/>
      <c r="AE427" s="7"/>
      <c r="AF427" s="7"/>
      <c r="AG427" s="7"/>
      <c r="AH427" s="7"/>
      <c r="AI427" s="7"/>
      <c r="AJ427" s="7"/>
      <c r="AK427" s="7"/>
      <c r="AL427" s="7"/>
      <c r="AM427" s="7"/>
      <c r="AN427" s="7"/>
      <c r="AO427" s="6"/>
      <c r="AP427" s="7"/>
      <c r="AQ427" s="7"/>
      <c r="AR427" s="6"/>
      <c r="AS427" s="7"/>
      <c r="AT427" s="7"/>
      <c r="AU427" s="7"/>
      <c r="AV427" s="7"/>
      <c r="AW427" s="7"/>
      <c r="AX427" s="7"/>
      <c r="AY427" s="7"/>
      <c r="AZ427" s="7"/>
      <c r="BA427" s="7"/>
      <c r="BB427" s="7"/>
      <c r="BC427" s="7"/>
      <c r="BD427" s="7"/>
      <c r="BE427" s="7"/>
      <c r="BF427" s="7"/>
      <c r="BG427" s="7"/>
    </row>
    <row r="428" customHeight="1" spans="1:59">
      <c r="A428" s="9" t="str">
        <f>IF(ActiveDatabase=Standby,Secondary!A428,Primary!A428)</f>
        <v>Hurston 86</v>
      </c>
      <c r="B428" s="5" t="str">
        <f>IF(ActiveDatabase=Standby,Secondary!B428,Primary!B428)</f>
        <v>Hurston 97</v>
      </c>
      <c r="C428" s="5" t="str">
        <f>IF(ActiveDatabase=Standby,Secondary!C428,Primary!C428)</f>
        <v>Hurston 24</v>
      </c>
      <c r="D428" s="5" t="str">
        <f>IF(ActiveDatabase=Standby,Secondary!D428,Primary!D428)</f>
        <v>Sand Cave 53U-628</v>
      </c>
      <c r="E428" s="6" t="str">
        <f>IF(ActiveDatabase=Standby,Secondary!E428,Primary!E428)</f>
        <v>SCave 53U628</v>
      </c>
      <c r="F428" s="10">
        <f>IF(ActiveDatabase=Standby,Secondary!F428,Primary!F428)</f>
        <v>-396.852967305</v>
      </c>
      <c r="G428" s="10">
        <f>IF(ActiveDatabase=Standby,Secondary!G428,Primary!G428)</f>
        <v>413.032028465999</v>
      </c>
      <c r="H428" s="10">
        <f>IF(ActiveDatabase=Standby,Secondary!H428,Primary!H428)</f>
        <v>823.481253126999</v>
      </c>
      <c r="I428" s="13">
        <f>IF(ActiveDatabase=Standby,Secondary!I428,Primary!I428)</f>
        <v>0</v>
      </c>
      <c r="J428" s="13">
        <f>IF(ActiveDatabase=Standby,Secondary!J428,Primary!J428)</f>
        <v>0</v>
      </c>
      <c r="K428" s="13">
        <f>IF(ActiveDatabase=Standby,Secondary!K428,Primary!K428)</f>
        <v>0</v>
      </c>
      <c r="L428" s="13">
        <f>IF(ActiveDatabase=Standby,Secondary!L428,Primary!L428)</f>
        <v>0</v>
      </c>
      <c r="M428" s="7" t="b">
        <f>IF(ActiveDatabase=Standby,Secondary!M428,Primary!M428)</f>
        <v>0</v>
      </c>
      <c r="N428" s="10">
        <f>IF(ActiveDatabase=Standby,Secondary!N428,Primary!N428)</f>
        <v>0</v>
      </c>
      <c r="O428" s="10">
        <f>IF(ActiveDatabase=Standby,Secondary!O428,Primary!O428)</f>
        <v>0</v>
      </c>
      <c r="P428" s="10">
        <f>IF(ActiveDatabase=Standby,Secondary!P428,Primary!P428)</f>
        <v>0</v>
      </c>
      <c r="Q428" s="6">
        <f>IF(ActiveDatabase=Standby,Secondary!Q428,Primary!Q428)</f>
        <v>0</v>
      </c>
      <c r="R428" s="18">
        <f>IF(ActiveDatabase=Standby,Secondary!R428,Primary!R428)</f>
        <v>0</v>
      </c>
      <c r="S428" s="19">
        <f>IF(ActiveDatabase=Standby,Secondary!S428,Primary!S428)</f>
        <v>0</v>
      </c>
      <c r="T428" s="10">
        <f>IF(ActiveDatabase=Standby,Secondary!T428,Primary!T428)</f>
        <v>0</v>
      </c>
      <c r="U428" s="10">
        <f>IF(ActiveDatabase=Standby,Secondary!U428,Primary!U428)</f>
        <v>0</v>
      </c>
      <c r="V428" s="10">
        <f>IF(ActiveDatabase=Standby,Secondary!V428,Primary!V428)</f>
        <v>0</v>
      </c>
      <c r="W428" s="6">
        <f>IF(ActiveDatabase=Standby,Secondary!W428,Primary!W428)</f>
        <v>0</v>
      </c>
      <c r="X428" s="6">
        <f>IF(ActiveDatabase=Standby,Secondary!X428,Primary!X428)</f>
        <v>0</v>
      </c>
      <c r="Y428" s="12">
        <f>IF(ActiveDatabase=Standby,Secondary!Y428,Primary!Y428)</f>
        <v>0</v>
      </c>
      <c r="Z428" s="12">
        <f>IF(ActiveDatabase=Standby,Secondary!Z428,Primary!Z428)</f>
        <v>0</v>
      </c>
      <c r="AA428" s="9">
        <f>IF(ActiveDatabase=Standby,Secondary!AA428,Primary!AA428)</f>
        <v>0</v>
      </c>
      <c r="AB428" s="12"/>
      <c r="AC428" s="6"/>
      <c r="AD428" s="6"/>
      <c r="AE428" s="7"/>
      <c r="AF428" s="7"/>
      <c r="AG428" s="7"/>
      <c r="AH428" s="7"/>
      <c r="AI428" s="7"/>
      <c r="AJ428" s="7"/>
      <c r="AK428" s="7"/>
      <c r="AL428" s="7"/>
      <c r="AM428" s="7"/>
      <c r="AN428" s="7"/>
      <c r="AO428" s="6"/>
      <c r="AP428" s="7"/>
      <c r="AQ428" s="7"/>
      <c r="AR428" s="6"/>
      <c r="AS428" s="7"/>
      <c r="AT428" s="7"/>
      <c r="AU428" s="7"/>
      <c r="AV428" s="7"/>
      <c r="AW428" s="7"/>
      <c r="AX428" s="7"/>
      <c r="AY428" s="7"/>
      <c r="AZ428" s="7"/>
      <c r="BA428" s="7"/>
      <c r="BB428" s="7"/>
      <c r="BC428" s="7"/>
      <c r="BD428" s="7"/>
      <c r="BE428" s="7"/>
      <c r="BF428" s="7"/>
      <c r="BG428" s="7"/>
    </row>
    <row r="429" customHeight="1" spans="1:59">
      <c r="A429" s="9" t="str">
        <f>IF(ActiveDatabase=Standby,Secondary!A429,Primary!A429)</f>
        <v>Hurston 79</v>
      </c>
      <c r="B429" s="5" t="str">
        <f>IF(ActiveDatabase=Standby,Secondary!B429,Primary!B429)</f>
        <v>Hurston 90</v>
      </c>
      <c r="C429" s="5" t="str">
        <f>IF(ActiveDatabase=Standby,Secondary!C429,Primary!C429)</f>
        <v>Hurston 41</v>
      </c>
      <c r="D429" s="5" t="str">
        <f>IF(ActiveDatabase=Standby,Secondary!D429,Primary!D429)</f>
        <v>Sand Cave 46X</v>
      </c>
      <c r="E429" s="6" t="str">
        <f>IF(ActiveDatabase=Standby,Secondary!E429,Primary!E429)</f>
        <v>SCave 46X</v>
      </c>
      <c r="F429" s="10">
        <f>IF(ActiveDatabase=Standby,Secondary!F429,Primary!F429)</f>
        <v>-9.459687717</v>
      </c>
      <c r="G429" s="10">
        <f>IF(ActiveDatabase=Standby,Secondary!G429,Primary!G429)</f>
        <v>241.671366906</v>
      </c>
      <c r="H429" s="10">
        <f>IF(ActiveDatabase=Standby,Secondary!H429,Primary!H429)</f>
        <v>971.777101883</v>
      </c>
      <c r="I429" s="13">
        <f>IF(ActiveDatabase=Standby,Secondary!I429,Primary!I429)</f>
        <v>0</v>
      </c>
      <c r="J429" s="13">
        <f>IF(ActiveDatabase=Standby,Secondary!J429,Primary!J429)</f>
        <v>0</v>
      </c>
      <c r="K429" s="13">
        <f>IF(ActiveDatabase=Standby,Secondary!K429,Primary!K429)</f>
        <v>0</v>
      </c>
      <c r="L429" s="13">
        <f>IF(ActiveDatabase=Standby,Secondary!L429,Primary!L429)</f>
        <v>0</v>
      </c>
      <c r="M429" s="7" t="b">
        <f>IF(ActiveDatabase=Standby,Secondary!M429,Primary!M429)</f>
        <v>0</v>
      </c>
      <c r="N429" s="10">
        <f>IF(ActiveDatabase=Standby,Secondary!N429,Primary!N429)</f>
        <v>0</v>
      </c>
      <c r="O429" s="10">
        <f>IF(ActiveDatabase=Standby,Secondary!O429,Primary!O429)</f>
        <v>0</v>
      </c>
      <c r="P429" s="10">
        <f>IF(ActiveDatabase=Standby,Secondary!P429,Primary!P429)</f>
        <v>0</v>
      </c>
      <c r="Q429" s="6">
        <f>IF(ActiveDatabase=Standby,Secondary!Q429,Primary!Q429)</f>
        <v>0</v>
      </c>
      <c r="R429" s="18">
        <f>IF(ActiveDatabase=Standby,Secondary!R429,Primary!R429)</f>
        <v>0</v>
      </c>
      <c r="S429" s="19">
        <f>IF(ActiveDatabase=Standby,Secondary!S429,Primary!S429)</f>
        <v>0</v>
      </c>
      <c r="T429" s="10">
        <f>IF(ActiveDatabase=Standby,Secondary!T429,Primary!T429)</f>
        <v>0</v>
      </c>
      <c r="U429" s="10">
        <f>IF(ActiveDatabase=Standby,Secondary!U429,Primary!U429)</f>
        <v>0</v>
      </c>
      <c r="V429" s="10">
        <f>IF(ActiveDatabase=Standby,Secondary!V429,Primary!V429)</f>
        <v>0</v>
      </c>
      <c r="W429" s="6">
        <f>IF(ActiveDatabase=Standby,Secondary!W429,Primary!W429)</f>
        <v>0</v>
      </c>
      <c r="X429" s="6">
        <f>IF(ActiveDatabase=Standby,Secondary!X429,Primary!X429)</f>
        <v>0</v>
      </c>
      <c r="Y429" s="12">
        <f>IF(ActiveDatabase=Standby,Secondary!Y429,Primary!Y429)</f>
        <v>0</v>
      </c>
      <c r="Z429" s="12">
        <f>IF(ActiveDatabase=Standby,Secondary!Z429,Primary!Z429)</f>
        <v>0</v>
      </c>
      <c r="AA429" s="9">
        <f>IF(ActiveDatabase=Standby,Secondary!AA429,Primary!AA429)</f>
        <v>0</v>
      </c>
      <c r="AB429" s="12"/>
      <c r="AC429" s="6"/>
      <c r="AD429" s="6"/>
      <c r="AE429" s="7"/>
      <c r="AF429" s="7"/>
      <c r="AG429" s="7"/>
      <c r="AH429" s="7"/>
      <c r="AI429" s="7"/>
      <c r="AJ429" s="7"/>
      <c r="AK429" s="7"/>
      <c r="AL429" s="7"/>
      <c r="AM429" s="7"/>
      <c r="AN429" s="7"/>
      <c r="AO429" s="6"/>
      <c r="AP429" s="7"/>
      <c r="AQ429" s="7"/>
      <c r="AR429" s="6"/>
      <c r="AS429" s="7"/>
      <c r="AT429" s="7"/>
      <c r="AU429" s="7"/>
      <c r="AV429" s="7"/>
      <c r="AW429" s="7"/>
      <c r="AX429" s="7"/>
      <c r="AY429" s="7"/>
      <c r="AZ429" s="7"/>
      <c r="BA429" s="7"/>
      <c r="BB429" s="7"/>
      <c r="BC429" s="7"/>
      <c r="BD429" s="7"/>
      <c r="BE429" s="7"/>
      <c r="BF429" s="7"/>
      <c r="BG429" s="7"/>
    </row>
    <row r="430" customHeight="1" spans="1:59">
      <c r="A430" s="9" t="str">
        <f>IF(ActiveDatabase=Standby,Secondary!A430,Primary!A430)</f>
        <v>Hurston 77</v>
      </c>
      <c r="B430" s="5" t="str">
        <f>IF(ActiveDatabase=Standby,Secondary!B430,Primary!B430)</f>
        <v>Hurston 88</v>
      </c>
      <c r="C430" s="5" t="str">
        <f>IF(ActiveDatabase=Standby,Secondary!C430,Primary!C430)</f>
        <v>Hurston 45</v>
      </c>
      <c r="D430" s="5" t="str">
        <f>IF(ActiveDatabase=Standby,Secondary!D430,Primary!D430)</f>
        <v>Sand Cave 43X</v>
      </c>
      <c r="E430" s="6" t="str">
        <f>IF(ActiveDatabase=Standby,Secondary!E430,Primary!E430)</f>
        <v>SCave 43X</v>
      </c>
      <c r="F430" s="10">
        <f>IF(ActiveDatabase=Standby,Secondary!F430,Primary!F430)</f>
        <v>70.552605949</v>
      </c>
      <c r="G430" s="10">
        <f>IF(ActiveDatabase=Standby,Secondary!G430,Primary!G430)</f>
        <v>293.567991793999</v>
      </c>
      <c r="H430" s="10">
        <f>IF(ActiveDatabase=Standby,Secondary!H430,Primary!H430)</f>
        <v>954.973817405999</v>
      </c>
      <c r="I430" s="13">
        <f>IF(ActiveDatabase=Standby,Secondary!I430,Primary!I430)</f>
        <v>0</v>
      </c>
      <c r="J430" s="13">
        <f>IF(ActiveDatabase=Standby,Secondary!J430,Primary!J430)</f>
        <v>0</v>
      </c>
      <c r="K430" s="13">
        <f>IF(ActiveDatabase=Standby,Secondary!K430,Primary!K430)</f>
        <v>0</v>
      </c>
      <c r="L430" s="13">
        <f>IF(ActiveDatabase=Standby,Secondary!L430,Primary!L430)</f>
        <v>0</v>
      </c>
      <c r="M430" s="7" t="b">
        <f>IF(ActiveDatabase=Standby,Secondary!M430,Primary!M430)</f>
        <v>0</v>
      </c>
      <c r="N430" s="10">
        <f>IF(ActiveDatabase=Standby,Secondary!N430,Primary!N430)</f>
        <v>0</v>
      </c>
      <c r="O430" s="10">
        <f>IF(ActiveDatabase=Standby,Secondary!O430,Primary!O430)</f>
        <v>0</v>
      </c>
      <c r="P430" s="10">
        <f>IF(ActiveDatabase=Standby,Secondary!P430,Primary!P430)</f>
        <v>0</v>
      </c>
      <c r="Q430" s="6">
        <f>IF(ActiveDatabase=Standby,Secondary!Q430,Primary!Q430)</f>
        <v>0</v>
      </c>
      <c r="R430" s="18">
        <f>IF(ActiveDatabase=Standby,Secondary!R430,Primary!R430)</f>
        <v>0</v>
      </c>
      <c r="S430" s="19">
        <f>IF(ActiveDatabase=Standby,Secondary!S430,Primary!S430)</f>
        <v>0</v>
      </c>
      <c r="T430" s="10">
        <f>IF(ActiveDatabase=Standby,Secondary!T430,Primary!T430)</f>
        <v>0</v>
      </c>
      <c r="U430" s="10">
        <f>IF(ActiveDatabase=Standby,Secondary!U430,Primary!U430)</f>
        <v>0</v>
      </c>
      <c r="V430" s="10">
        <f>IF(ActiveDatabase=Standby,Secondary!V430,Primary!V430)</f>
        <v>0</v>
      </c>
      <c r="W430" s="6">
        <f>IF(ActiveDatabase=Standby,Secondary!W430,Primary!W430)</f>
        <v>0</v>
      </c>
      <c r="X430" s="6">
        <f>IF(ActiveDatabase=Standby,Secondary!X430,Primary!X430)</f>
        <v>0</v>
      </c>
      <c r="Y430" s="12">
        <f>IF(ActiveDatabase=Standby,Secondary!Y430,Primary!Y430)</f>
        <v>0</v>
      </c>
      <c r="Z430" s="12">
        <f>IF(ActiveDatabase=Standby,Secondary!Z430,Primary!Z430)</f>
        <v>0</v>
      </c>
      <c r="AA430" s="9">
        <f>IF(ActiveDatabase=Standby,Secondary!AA430,Primary!AA430)</f>
        <v>0</v>
      </c>
      <c r="AB430" s="12"/>
      <c r="AC430" s="6"/>
      <c r="AD430" s="6"/>
      <c r="AE430" s="7"/>
      <c r="AF430" s="7"/>
      <c r="AG430" s="7"/>
      <c r="AH430" s="7"/>
      <c r="AI430" s="7"/>
      <c r="AJ430" s="7"/>
      <c r="AK430" s="7"/>
      <c r="AL430" s="7"/>
      <c r="AM430" s="7"/>
      <c r="AN430" s="7"/>
      <c r="AO430" s="6"/>
      <c r="AP430" s="7"/>
      <c r="AQ430" s="7"/>
      <c r="AR430" s="6"/>
      <c r="AS430" s="7"/>
      <c r="AT430" s="7"/>
      <c r="AU430" s="7"/>
      <c r="AV430" s="7"/>
      <c r="AW430" s="7"/>
      <c r="AX430" s="7"/>
      <c r="AY430" s="7"/>
      <c r="AZ430" s="7"/>
      <c r="BA430" s="7"/>
      <c r="BB430" s="7"/>
      <c r="BC430" s="7"/>
      <c r="BD430" s="7"/>
      <c r="BE430" s="7"/>
      <c r="BF430" s="7"/>
      <c r="BG430" s="7"/>
    </row>
    <row r="431" customHeight="1" spans="1:59">
      <c r="A431" s="9" t="str">
        <f>IF(ActiveDatabase=Standby,Secondary!A431,Primary!A431)</f>
        <v>Hurston 76</v>
      </c>
      <c r="B431" s="5" t="str">
        <f>IF(ActiveDatabase=Standby,Secondary!B431,Primary!B431)</f>
        <v>Hurston 87</v>
      </c>
      <c r="C431" s="5" t="str">
        <f>IF(ActiveDatabase=Standby,Secondary!C431,Primary!C431)</f>
        <v>Hurston 47</v>
      </c>
      <c r="D431" s="5" t="str">
        <f>IF(ActiveDatabase=Standby,Secondary!D431,Primary!D431)</f>
        <v>Sand Cave 41X</v>
      </c>
      <c r="E431" s="6" t="str">
        <f>IF(ActiveDatabase=Standby,Secondary!E431,Primary!E431)</f>
        <v>SCave 41X</v>
      </c>
      <c r="F431" s="10">
        <f>IF(ActiveDatabase=Standby,Secondary!F431,Primary!F431)</f>
        <v>120.337904209</v>
      </c>
      <c r="G431" s="10">
        <f>IF(ActiveDatabase=Standby,Secondary!G431,Primary!G431)</f>
        <v>238.563777850999</v>
      </c>
      <c r="H431" s="10">
        <f>IF(ActiveDatabase=Standby,Secondary!H431,Primary!H431)</f>
        <v>965.219300428</v>
      </c>
      <c r="I431" s="13">
        <f>IF(ActiveDatabase=Standby,Secondary!I431,Primary!I431)</f>
        <v>0</v>
      </c>
      <c r="J431" s="13">
        <f>IF(ActiveDatabase=Standby,Secondary!J431,Primary!J431)</f>
        <v>0</v>
      </c>
      <c r="K431" s="13">
        <f>IF(ActiveDatabase=Standby,Secondary!K431,Primary!K431)</f>
        <v>0</v>
      </c>
      <c r="L431" s="13">
        <f>IF(ActiveDatabase=Standby,Secondary!L431,Primary!L431)</f>
        <v>0</v>
      </c>
      <c r="M431" s="7" t="b">
        <f>IF(ActiveDatabase=Standby,Secondary!M431,Primary!M431)</f>
        <v>0</v>
      </c>
      <c r="N431" s="10">
        <f>IF(ActiveDatabase=Standby,Secondary!N431,Primary!N431)</f>
        <v>0</v>
      </c>
      <c r="O431" s="10">
        <f>IF(ActiveDatabase=Standby,Secondary!O431,Primary!O431)</f>
        <v>0</v>
      </c>
      <c r="P431" s="10">
        <f>IF(ActiveDatabase=Standby,Secondary!P431,Primary!P431)</f>
        <v>0</v>
      </c>
      <c r="Q431" s="6">
        <f>IF(ActiveDatabase=Standby,Secondary!Q431,Primary!Q431)</f>
        <v>0</v>
      </c>
      <c r="R431" s="18">
        <f>IF(ActiveDatabase=Standby,Secondary!R431,Primary!R431)</f>
        <v>0</v>
      </c>
      <c r="S431" s="19">
        <f>IF(ActiveDatabase=Standby,Secondary!S431,Primary!S431)</f>
        <v>0</v>
      </c>
      <c r="T431" s="10">
        <f>IF(ActiveDatabase=Standby,Secondary!T431,Primary!T431)</f>
        <v>0</v>
      </c>
      <c r="U431" s="10">
        <f>IF(ActiveDatabase=Standby,Secondary!U431,Primary!U431)</f>
        <v>0</v>
      </c>
      <c r="V431" s="10">
        <f>IF(ActiveDatabase=Standby,Secondary!V431,Primary!V431)</f>
        <v>0</v>
      </c>
      <c r="W431" s="6">
        <f>IF(ActiveDatabase=Standby,Secondary!W431,Primary!W431)</f>
        <v>0</v>
      </c>
      <c r="X431" s="6">
        <f>IF(ActiveDatabase=Standby,Secondary!X431,Primary!X431)</f>
        <v>0</v>
      </c>
      <c r="Y431" s="12">
        <f>IF(ActiveDatabase=Standby,Secondary!Y431,Primary!Y431)</f>
        <v>0</v>
      </c>
      <c r="Z431" s="12">
        <f>IF(ActiveDatabase=Standby,Secondary!Z431,Primary!Z431)</f>
        <v>0</v>
      </c>
      <c r="AA431" s="6">
        <f>IF(ActiveDatabase=Standby,Secondary!AA431,Primary!AA431)</f>
        <v>0</v>
      </c>
      <c r="AB431" s="12"/>
      <c r="AC431" s="6"/>
      <c r="AD431" s="6"/>
      <c r="AE431" s="7"/>
      <c r="AF431" s="7"/>
      <c r="AG431" s="7"/>
      <c r="AH431" s="7"/>
      <c r="AI431" s="7"/>
      <c r="AJ431" s="7"/>
      <c r="AK431" s="7"/>
      <c r="AL431" s="7"/>
      <c r="AM431" s="7"/>
      <c r="AN431" s="7"/>
      <c r="AO431" s="6"/>
      <c r="AP431" s="7"/>
      <c r="AQ431" s="7"/>
      <c r="AR431" s="6"/>
      <c r="AS431" s="6"/>
      <c r="AT431" s="6"/>
      <c r="AU431" s="6"/>
      <c r="AV431" s="6"/>
      <c r="AW431" s="6"/>
      <c r="AX431" s="6"/>
      <c r="AY431" s="6"/>
      <c r="AZ431" s="6"/>
      <c r="BA431" s="6"/>
      <c r="BB431" s="6"/>
      <c r="BC431" s="6"/>
      <c r="BD431" s="6"/>
      <c r="BE431" s="6"/>
      <c r="BF431" s="6"/>
      <c r="BG431" s="6"/>
    </row>
    <row r="432" customHeight="1" spans="1:59">
      <c r="A432" s="9" t="str">
        <f>IF(ActiveDatabase=Standby,Secondary!A432,Primary!A432)</f>
        <v>Hurston 80</v>
      </c>
      <c r="B432" s="5" t="str">
        <f>IF(ActiveDatabase=Standby,Secondary!B432,Primary!B432)</f>
        <v>Hurston 91</v>
      </c>
      <c r="C432" s="5" t="str">
        <f>IF(ActiveDatabase=Standby,Secondary!C432,Primary!C432)</f>
        <v>Hurston 36</v>
      </c>
      <c r="D432" s="5" t="str">
        <f>IF(ActiveDatabase=Standby,Secondary!D432,Primary!D432)</f>
        <v>Sand Cave 48X</v>
      </c>
      <c r="E432" s="6" t="str">
        <f>IF(ActiveDatabase=Standby,Secondary!E432,Primary!E432)</f>
        <v>SCave 48X</v>
      </c>
      <c r="F432" s="10">
        <f>IF(ActiveDatabase=Standby,Secondary!F432,Primary!F432)</f>
        <v>-87.599420411</v>
      </c>
      <c r="G432" s="10">
        <f>IF(ActiveDatabase=Standby,Secondary!G432,Primary!G432)</f>
        <v>293.723277944999</v>
      </c>
      <c r="H432" s="10">
        <f>IF(ActiveDatabase=Standby,Secondary!H432,Primary!H432)</f>
        <v>952.970791394</v>
      </c>
      <c r="I432" s="13">
        <f>IF(ActiveDatabase=Standby,Secondary!I432,Primary!I432)</f>
        <v>0</v>
      </c>
      <c r="J432" s="13">
        <f>IF(ActiveDatabase=Standby,Secondary!J432,Primary!J432)</f>
        <v>0</v>
      </c>
      <c r="K432" s="13">
        <f>IF(ActiveDatabase=Standby,Secondary!K432,Primary!K432)</f>
        <v>0</v>
      </c>
      <c r="L432" s="13">
        <f>IF(ActiveDatabase=Standby,Secondary!L432,Primary!L432)</f>
        <v>0</v>
      </c>
      <c r="M432" s="7" t="b">
        <f>IF(ActiveDatabase=Standby,Secondary!M432,Primary!M432)</f>
        <v>0</v>
      </c>
      <c r="N432" s="10">
        <f>IF(ActiveDatabase=Standby,Secondary!N432,Primary!N432)</f>
        <v>0</v>
      </c>
      <c r="O432" s="10">
        <f>IF(ActiveDatabase=Standby,Secondary!O432,Primary!O432)</f>
        <v>0</v>
      </c>
      <c r="P432" s="10">
        <f>IF(ActiveDatabase=Standby,Secondary!P432,Primary!P432)</f>
        <v>0</v>
      </c>
      <c r="Q432" s="6">
        <f>IF(ActiveDatabase=Standby,Secondary!Q432,Primary!Q432)</f>
        <v>0</v>
      </c>
      <c r="R432" s="18">
        <f>IF(ActiveDatabase=Standby,Secondary!R432,Primary!R432)</f>
        <v>0</v>
      </c>
      <c r="S432" s="19">
        <f>IF(ActiveDatabase=Standby,Secondary!S432,Primary!S432)</f>
        <v>0</v>
      </c>
      <c r="T432" s="10">
        <f>IF(ActiveDatabase=Standby,Secondary!T432,Primary!T432)</f>
        <v>0</v>
      </c>
      <c r="U432" s="10">
        <f>IF(ActiveDatabase=Standby,Secondary!U432,Primary!U432)</f>
        <v>0</v>
      </c>
      <c r="V432" s="10">
        <f>IF(ActiveDatabase=Standby,Secondary!V432,Primary!V432)</f>
        <v>0</v>
      </c>
      <c r="W432" s="6">
        <f>IF(ActiveDatabase=Standby,Secondary!W432,Primary!W432)</f>
        <v>0</v>
      </c>
      <c r="X432" s="6">
        <f>IF(ActiveDatabase=Standby,Secondary!X432,Primary!X432)</f>
        <v>0</v>
      </c>
      <c r="Y432" s="12">
        <f>IF(ActiveDatabase=Standby,Secondary!Y432,Primary!Y432)</f>
        <v>0</v>
      </c>
      <c r="Z432" s="12">
        <f>IF(ActiveDatabase=Standby,Secondary!Z432,Primary!Z432)</f>
        <v>0</v>
      </c>
      <c r="AA432" s="6">
        <f>IF(ActiveDatabase=Standby,Secondary!AA432,Primary!AA432)</f>
        <v>0</v>
      </c>
      <c r="AB432" s="12"/>
      <c r="AC432" s="6"/>
      <c r="AD432" s="6"/>
      <c r="AE432" s="7"/>
      <c r="AF432" s="7"/>
      <c r="AG432" s="7"/>
      <c r="AH432" s="7"/>
      <c r="AI432" s="7"/>
      <c r="AJ432" s="7"/>
      <c r="AK432" s="7"/>
      <c r="AL432" s="7"/>
      <c r="AM432" s="7"/>
      <c r="AN432" s="7"/>
      <c r="AO432" s="6"/>
      <c r="AP432" s="7"/>
      <c r="AQ432" s="7"/>
      <c r="AR432" s="6"/>
      <c r="AS432" s="6"/>
      <c r="AT432" s="6"/>
      <c r="AU432" s="6"/>
      <c r="AV432" s="6"/>
      <c r="AW432" s="6"/>
      <c r="AX432" s="6"/>
      <c r="AY432" s="6"/>
      <c r="AZ432" s="6"/>
      <c r="BA432" s="6"/>
      <c r="BB432" s="6"/>
      <c r="BC432" s="6"/>
      <c r="BD432" s="6"/>
      <c r="BE432" s="6"/>
      <c r="BF432" s="6"/>
      <c r="BG432" s="6"/>
    </row>
    <row r="433" customHeight="1" spans="1:59">
      <c r="A433" s="9" t="str">
        <f>IF(ActiveDatabase=Standby,Secondary!A433,Primary!A433)</f>
        <v>Hurston 90</v>
      </c>
      <c r="B433" s="5" t="str">
        <f>IF(ActiveDatabase=Standby,Secondary!B433,Primary!B433)</f>
        <v>Hurston 101</v>
      </c>
      <c r="C433" s="5" t="str">
        <f>IF(ActiveDatabase=Standby,Secondary!C433,Primary!C433)</f>
        <v>Hurston 12</v>
      </c>
      <c r="D433" s="5" t="str">
        <f>IF(ActiveDatabase=Standby,Secondary!D433,Primary!D433)</f>
        <v>Sand Cave 57W</v>
      </c>
      <c r="E433" s="6" t="str">
        <f>IF(ActiveDatabase=Standby,Secondary!E433,Primary!E433)</f>
        <v>SCave 57W</v>
      </c>
      <c r="F433" s="10">
        <f>IF(ActiveDatabase=Standby,Secondary!F433,Primary!F433)</f>
        <v>-287.103006337</v>
      </c>
      <c r="G433" s="10">
        <f>IF(ActiveDatabase=Standby,Secondary!G433,Primary!G433)</f>
        <v>123.925804508</v>
      </c>
      <c r="H433" s="10">
        <f>IF(ActiveDatabase=Standby,Secondary!H433,Primary!H433)</f>
        <v>951.130505877</v>
      </c>
      <c r="I433" s="13">
        <f>IF(ActiveDatabase=Standby,Secondary!I433,Primary!I433)</f>
        <v>0</v>
      </c>
      <c r="J433" s="13">
        <f>IF(ActiveDatabase=Standby,Secondary!J433,Primary!J433)</f>
        <v>0</v>
      </c>
      <c r="K433" s="13">
        <f>IF(ActiveDatabase=Standby,Secondary!K433,Primary!K433)</f>
        <v>0</v>
      </c>
      <c r="L433" s="13">
        <f>IF(ActiveDatabase=Standby,Secondary!L433,Primary!L433)</f>
        <v>0</v>
      </c>
      <c r="M433" s="7" t="b">
        <f>IF(ActiveDatabase=Standby,Secondary!M433,Primary!M433)</f>
        <v>0</v>
      </c>
      <c r="N433" s="10">
        <f>IF(ActiveDatabase=Standby,Secondary!N433,Primary!N433)</f>
        <v>0</v>
      </c>
      <c r="O433" s="10">
        <f>IF(ActiveDatabase=Standby,Secondary!O433,Primary!O433)</f>
        <v>0</v>
      </c>
      <c r="P433" s="10">
        <f>IF(ActiveDatabase=Standby,Secondary!P433,Primary!P433)</f>
        <v>0</v>
      </c>
      <c r="Q433" s="6">
        <f>IF(ActiveDatabase=Standby,Secondary!Q433,Primary!Q433)</f>
        <v>0</v>
      </c>
      <c r="R433" s="18">
        <f>IF(ActiveDatabase=Standby,Secondary!R433,Primary!R433)</f>
        <v>0</v>
      </c>
      <c r="S433" s="19">
        <f>IF(ActiveDatabase=Standby,Secondary!S433,Primary!S433)</f>
        <v>0</v>
      </c>
      <c r="T433" s="10">
        <f>IF(ActiveDatabase=Standby,Secondary!T433,Primary!T433)</f>
        <v>0</v>
      </c>
      <c r="U433" s="10">
        <f>IF(ActiveDatabase=Standby,Secondary!U433,Primary!U433)</f>
        <v>0</v>
      </c>
      <c r="V433" s="10">
        <f>IF(ActiveDatabase=Standby,Secondary!V433,Primary!V433)</f>
        <v>0</v>
      </c>
      <c r="W433" s="6">
        <f>IF(ActiveDatabase=Standby,Secondary!W433,Primary!W433)</f>
        <v>0</v>
      </c>
      <c r="X433" s="6">
        <f>IF(ActiveDatabase=Standby,Secondary!X433,Primary!X433)</f>
        <v>0</v>
      </c>
      <c r="Y433" s="12">
        <f>IF(ActiveDatabase=Standby,Secondary!Y433,Primary!Y433)</f>
        <v>0</v>
      </c>
      <c r="Z433" s="12">
        <f>IF(ActiveDatabase=Standby,Secondary!Z433,Primary!Z433)</f>
        <v>0</v>
      </c>
      <c r="AA433" s="6">
        <f>IF(ActiveDatabase=Standby,Secondary!AA433,Primary!AA433)</f>
        <v>0</v>
      </c>
      <c r="AB433" s="12"/>
      <c r="AC433" s="6"/>
      <c r="AD433" s="6"/>
      <c r="AE433" s="7"/>
      <c r="AF433" s="7"/>
      <c r="AG433" s="7"/>
      <c r="AH433" s="7"/>
      <c r="AI433" s="7"/>
      <c r="AJ433" s="7"/>
      <c r="AK433" s="7"/>
      <c r="AL433" s="7"/>
      <c r="AM433" s="7"/>
      <c r="AN433" s="7"/>
      <c r="AO433" s="6"/>
      <c r="AP433" s="7"/>
      <c r="AQ433" s="7"/>
      <c r="AR433" s="6"/>
      <c r="AS433" s="6"/>
      <c r="AT433" s="6"/>
      <c r="AU433" s="6"/>
      <c r="AV433" s="6"/>
      <c r="AW433" s="6"/>
      <c r="AX433" s="6"/>
      <c r="AY433" s="6"/>
      <c r="AZ433" s="6"/>
      <c r="BA433" s="6"/>
      <c r="BB433" s="6"/>
      <c r="BC433" s="6"/>
      <c r="BD433" s="6"/>
      <c r="BE433" s="6"/>
      <c r="BF433" s="6"/>
      <c r="BG433" s="6"/>
    </row>
    <row r="434" customHeight="1" spans="1:59">
      <c r="A434" s="9" t="str">
        <f>IF(ActiveDatabase=Standby,Secondary!A434,Primary!A434)</f>
        <v>Hurston 64</v>
      </c>
      <c r="B434" s="5" t="str">
        <f>IF(ActiveDatabase=Standby,Secondary!B434,Primary!B434)</f>
        <v>Hurston 75</v>
      </c>
      <c r="C434" s="5" t="str">
        <f>IF(ActiveDatabase=Standby,Secondary!C434,Primary!C434)</f>
        <v>Hurston 137</v>
      </c>
      <c r="D434" s="5" t="str">
        <f>IF(ActiveDatabase=Standby,Secondary!D434,Primary!D434)</f>
        <v>Sand Cave 03X</v>
      </c>
      <c r="E434" s="6" t="str">
        <f>IF(ActiveDatabase=Standby,Secondary!E434,Primary!E434)</f>
        <v>SCave 03X</v>
      </c>
      <c r="F434" s="10">
        <f>IF(ActiveDatabase=Standby,Secondary!F434,Primary!F434)</f>
        <v>-265.775056288</v>
      </c>
      <c r="G434" s="10">
        <f>IF(ActiveDatabase=Standby,Secondary!G434,Primary!G434)</f>
        <v>-62.213743923</v>
      </c>
      <c r="H434" s="10">
        <f>IF(ActiveDatabase=Standby,Secondary!H434,Primary!H434)</f>
        <v>963.270862750999</v>
      </c>
      <c r="I434" s="13">
        <f>IF(ActiveDatabase=Standby,Secondary!I434,Primary!I434)</f>
        <v>0</v>
      </c>
      <c r="J434" s="13">
        <f>IF(ActiveDatabase=Standby,Secondary!J434,Primary!J434)</f>
        <v>0</v>
      </c>
      <c r="K434" s="13">
        <f>IF(ActiveDatabase=Standby,Secondary!K434,Primary!K434)</f>
        <v>0</v>
      </c>
      <c r="L434" s="13">
        <f>IF(ActiveDatabase=Standby,Secondary!L434,Primary!L434)</f>
        <v>0</v>
      </c>
      <c r="M434" s="7" t="b">
        <f>IF(ActiveDatabase=Standby,Secondary!M434,Primary!M434)</f>
        <v>0</v>
      </c>
      <c r="N434" s="10">
        <f>IF(ActiveDatabase=Standby,Secondary!N434,Primary!N434)</f>
        <v>0</v>
      </c>
      <c r="O434" s="10">
        <f>IF(ActiveDatabase=Standby,Secondary!O434,Primary!O434)</f>
        <v>0</v>
      </c>
      <c r="P434" s="10">
        <f>IF(ActiveDatabase=Standby,Secondary!P434,Primary!P434)</f>
        <v>0</v>
      </c>
      <c r="Q434" s="6">
        <f>IF(ActiveDatabase=Standby,Secondary!Q434,Primary!Q434)</f>
        <v>0</v>
      </c>
      <c r="R434" s="18">
        <f>IF(ActiveDatabase=Standby,Secondary!R434,Primary!R434)</f>
        <v>0</v>
      </c>
      <c r="S434" s="19">
        <f>IF(ActiveDatabase=Standby,Secondary!S434,Primary!S434)</f>
        <v>0</v>
      </c>
      <c r="T434" s="10">
        <f>IF(ActiveDatabase=Standby,Secondary!T434,Primary!T434)</f>
        <v>0</v>
      </c>
      <c r="U434" s="10">
        <f>IF(ActiveDatabase=Standby,Secondary!U434,Primary!U434)</f>
        <v>0</v>
      </c>
      <c r="V434" s="10">
        <f>IF(ActiveDatabase=Standby,Secondary!V434,Primary!V434)</f>
        <v>0</v>
      </c>
      <c r="W434" s="6">
        <f>IF(ActiveDatabase=Standby,Secondary!W434,Primary!W434)</f>
        <v>0</v>
      </c>
      <c r="X434" s="6">
        <f>IF(ActiveDatabase=Standby,Secondary!X434,Primary!X434)</f>
        <v>0</v>
      </c>
      <c r="Y434" s="12">
        <f>IF(ActiveDatabase=Standby,Secondary!Y434,Primary!Y434)</f>
        <v>0</v>
      </c>
      <c r="Z434" s="12">
        <f>IF(ActiveDatabase=Standby,Secondary!Z434,Primary!Z434)</f>
        <v>0</v>
      </c>
      <c r="AA434" s="6">
        <f>IF(ActiveDatabase=Standby,Secondary!AA434,Primary!AA434)</f>
        <v>0</v>
      </c>
      <c r="AB434" s="12"/>
      <c r="AC434" s="6"/>
      <c r="AD434" s="6"/>
      <c r="AE434" s="7"/>
      <c r="AF434" s="7"/>
      <c r="AG434" s="7"/>
      <c r="AH434" s="7"/>
      <c r="AI434" s="7"/>
      <c r="AJ434" s="7"/>
      <c r="AK434" s="7"/>
      <c r="AL434" s="7"/>
      <c r="AM434" s="7"/>
      <c r="AN434" s="7"/>
      <c r="AO434" s="6"/>
      <c r="AP434" s="7"/>
      <c r="AQ434" s="7"/>
      <c r="AR434" s="6"/>
      <c r="AS434" s="6"/>
      <c r="AT434" s="6"/>
      <c r="AU434" s="6"/>
      <c r="AV434" s="6"/>
      <c r="AW434" s="6"/>
      <c r="AX434" s="6"/>
      <c r="AY434" s="6"/>
      <c r="AZ434" s="6"/>
      <c r="BA434" s="6"/>
      <c r="BB434" s="6"/>
      <c r="BC434" s="6"/>
      <c r="BD434" s="6"/>
      <c r="BE434" s="6"/>
      <c r="BF434" s="6"/>
      <c r="BG434" s="6"/>
    </row>
    <row r="435" customHeight="1" spans="1:59">
      <c r="A435" s="9" t="str">
        <f>IF(ActiveDatabase=Standby,Secondary!A435,Primary!A435)</f>
        <v>Hurston 65</v>
      </c>
      <c r="B435" s="5" t="str">
        <f>IF(ActiveDatabase=Standby,Secondary!B435,Primary!B435)</f>
        <v>Hurston 76</v>
      </c>
      <c r="C435" s="5" t="str">
        <f>IF(ActiveDatabase=Standby,Secondary!C435,Primary!C435)</f>
        <v>Hurston 94</v>
      </c>
      <c r="D435" s="5" t="str">
        <f>IF(ActiveDatabase=Standby,Secondary!D435,Primary!D435)</f>
        <v>Sand Cave 15W</v>
      </c>
      <c r="E435" s="6" t="str">
        <f>IF(ActiveDatabase=Standby,Secondary!E435,Primary!E435)</f>
        <v>SCave 15W</v>
      </c>
      <c r="F435" s="10">
        <f>IF(ActiveDatabase=Standby,Secondary!F435,Primary!F435)</f>
        <v>-28.933841547</v>
      </c>
      <c r="G435" s="10">
        <f>IF(ActiveDatabase=Standby,Secondary!G435,Primary!G435)</f>
        <v>-339.176690449999</v>
      </c>
      <c r="H435" s="10">
        <f>IF(ActiveDatabase=Standby,Secondary!H435,Primary!H435)</f>
        <v>941.984584319</v>
      </c>
      <c r="I435" s="13">
        <f>IF(ActiveDatabase=Standby,Secondary!I435,Primary!I435)</f>
        <v>0</v>
      </c>
      <c r="J435" s="13">
        <f>IF(ActiveDatabase=Standby,Secondary!J435,Primary!J435)</f>
        <v>0</v>
      </c>
      <c r="K435" s="13">
        <f>IF(ActiveDatabase=Standby,Secondary!K435,Primary!K435)</f>
        <v>0</v>
      </c>
      <c r="L435" s="13">
        <f>IF(ActiveDatabase=Standby,Secondary!L435,Primary!L435)</f>
        <v>0</v>
      </c>
      <c r="M435" s="7" t="b">
        <f>IF(ActiveDatabase=Standby,Secondary!M435,Primary!M435)</f>
        <v>0</v>
      </c>
      <c r="N435" s="10">
        <f>IF(ActiveDatabase=Standby,Secondary!N435,Primary!N435)</f>
        <v>0</v>
      </c>
      <c r="O435" s="10">
        <f>IF(ActiveDatabase=Standby,Secondary!O435,Primary!O435)</f>
        <v>0</v>
      </c>
      <c r="P435" s="10">
        <f>IF(ActiveDatabase=Standby,Secondary!P435,Primary!P435)</f>
        <v>0</v>
      </c>
      <c r="Q435" s="6">
        <f>IF(ActiveDatabase=Standby,Secondary!Q435,Primary!Q435)</f>
        <v>0</v>
      </c>
      <c r="R435" s="18">
        <f>IF(ActiveDatabase=Standby,Secondary!R435,Primary!R435)</f>
        <v>0</v>
      </c>
      <c r="S435" s="19">
        <f>IF(ActiveDatabase=Standby,Secondary!S435,Primary!S435)</f>
        <v>0</v>
      </c>
      <c r="T435" s="10">
        <f>IF(ActiveDatabase=Standby,Secondary!T435,Primary!T435)</f>
        <v>0</v>
      </c>
      <c r="U435" s="10">
        <f>IF(ActiveDatabase=Standby,Secondary!U435,Primary!U435)</f>
        <v>0</v>
      </c>
      <c r="V435" s="10">
        <f>IF(ActiveDatabase=Standby,Secondary!V435,Primary!V435)</f>
        <v>0</v>
      </c>
      <c r="W435" s="6">
        <f>IF(ActiveDatabase=Standby,Secondary!W435,Primary!W435)</f>
        <v>0</v>
      </c>
      <c r="X435" s="6">
        <f>IF(ActiveDatabase=Standby,Secondary!X435,Primary!X435)</f>
        <v>0</v>
      </c>
      <c r="Y435" s="12">
        <f>IF(ActiveDatabase=Standby,Secondary!Y435,Primary!Y435)</f>
        <v>0</v>
      </c>
      <c r="Z435" s="12">
        <f>IF(ActiveDatabase=Standby,Secondary!Z435,Primary!Z435)</f>
        <v>0</v>
      </c>
      <c r="AA435" s="6">
        <f>IF(ActiveDatabase=Standby,Secondary!AA435,Primary!AA435)</f>
        <v>0</v>
      </c>
      <c r="AB435" s="12"/>
      <c r="AC435" s="6"/>
      <c r="AD435" s="6"/>
      <c r="AE435" s="7"/>
      <c r="AF435" s="7"/>
      <c r="AG435" s="7"/>
      <c r="AH435" s="7"/>
      <c r="AI435" s="7"/>
      <c r="AJ435" s="7"/>
      <c r="AK435" s="7"/>
      <c r="AL435" s="7"/>
      <c r="AM435" s="7"/>
      <c r="AN435" s="7"/>
      <c r="AO435" s="6"/>
      <c r="AP435" s="7"/>
      <c r="AQ435" s="7"/>
      <c r="AR435" s="6"/>
      <c r="AS435" s="6"/>
      <c r="AT435" s="6"/>
      <c r="AU435" s="6"/>
      <c r="AV435" s="6"/>
      <c r="AW435" s="6"/>
      <c r="AX435" s="6"/>
      <c r="AY435" s="6"/>
      <c r="AZ435" s="6"/>
      <c r="BA435" s="6"/>
      <c r="BB435" s="6"/>
      <c r="BC435" s="6"/>
      <c r="BD435" s="6"/>
      <c r="BE435" s="6"/>
      <c r="BF435" s="6"/>
      <c r="BG435" s="6"/>
    </row>
    <row r="436" customHeight="1" spans="1:59">
      <c r="A436" s="9" t="str">
        <f>IF(ActiveDatabase=Standby,Secondary!A436,Primary!A436)</f>
        <v>Hurston 68</v>
      </c>
      <c r="B436" s="5" t="str">
        <f>IF(ActiveDatabase=Standby,Secondary!B436,Primary!B436)</f>
        <v>Hurston 79</v>
      </c>
      <c r="C436" s="5" t="str">
        <f>IF(ActiveDatabase=Standby,Secondary!C436,Primary!C436)</f>
        <v>Hurston 80</v>
      </c>
      <c r="D436" s="5" t="str">
        <f>IF(ActiveDatabase=Standby,Secondary!D436,Primary!D436)</f>
        <v>Sand Cave 19X</v>
      </c>
      <c r="E436" s="6" t="str">
        <f>IF(ActiveDatabase=Standby,Secondary!E436,Primary!E436)</f>
        <v>SCave 19X</v>
      </c>
      <c r="F436" s="10">
        <f>IF(ActiveDatabase=Standby,Secondary!F436,Primary!F436)</f>
        <v>82.106039072</v>
      </c>
      <c r="G436" s="10">
        <f>IF(ActiveDatabase=Standby,Secondary!G436,Primary!G436)</f>
        <v>-199.090526111</v>
      </c>
      <c r="H436" s="10">
        <f>IF(ActiveDatabase=Standby,Secondary!H436,Primary!H436)</f>
        <v>977.406854823</v>
      </c>
      <c r="I436" s="13">
        <f>IF(ActiveDatabase=Standby,Secondary!I436,Primary!I436)</f>
        <v>0</v>
      </c>
      <c r="J436" s="13">
        <f>IF(ActiveDatabase=Standby,Secondary!J436,Primary!J436)</f>
        <v>0</v>
      </c>
      <c r="K436" s="13">
        <f>IF(ActiveDatabase=Standby,Secondary!K436,Primary!K436)</f>
        <v>0</v>
      </c>
      <c r="L436" s="13">
        <f>IF(ActiveDatabase=Standby,Secondary!L436,Primary!L436)</f>
        <v>0</v>
      </c>
      <c r="M436" s="7" t="b">
        <f>IF(ActiveDatabase=Standby,Secondary!M436,Primary!M436)</f>
        <v>0</v>
      </c>
      <c r="N436" s="10">
        <f>IF(ActiveDatabase=Standby,Secondary!N436,Primary!N436)</f>
        <v>0</v>
      </c>
      <c r="O436" s="10">
        <f>IF(ActiveDatabase=Standby,Secondary!O436,Primary!O436)</f>
        <v>0</v>
      </c>
      <c r="P436" s="10">
        <f>IF(ActiveDatabase=Standby,Secondary!P436,Primary!P436)</f>
        <v>0</v>
      </c>
      <c r="Q436" s="6">
        <f>IF(ActiveDatabase=Standby,Secondary!Q436,Primary!Q436)</f>
        <v>0</v>
      </c>
      <c r="R436" s="18">
        <f>IF(ActiveDatabase=Standby,Secondary!R436,Primary!R436)</f>
        <v>0</v>
      </c>
      <c r="S436" s="19">
        <f>IF(ActiveDatabase=Standby,Secondary!S436,Primary!S436)</f>
        <v>0</v>
      </c>
      <c r="T436" s="10">
        <f>IF(ActiveDatabase=Standby,Secondary!T436,Primary!T436)</f>
        <v>0</v>
      </c>
      <c r="U436" s="10">
        <f>IF(ActiveDatabase=Standby,Secondary!U436,Primary!U436)</f>
        <v>0</v>
      </c>
      <c r="V436" s="10">
        <f>IF(ActiveDatabase=Standby,Secondary!V436,Primary!V436)</f>
        <v>0</v>
      </c>
      <c r="W436" s="6">
        <f>IF(ActiveDatabase=Standby,Secondary!W436,Primary!W436)</f>
        <v>0</v>
      </c>
      <c r="X436" s="6">
        <f>IF(ActiveDatabase=Standby,Secondary!X436,Primary!X436)</f>
        <v>0</v>
      </c>
      <c r="Y436" s="12">
        <f>IF(ActiveDatabase=Standby,Secondary!Y436,Primary!Y436)</f>
        <v>0</v>
      </c>
      <c r="Z436" s="12">
        <f>IF(ActiveDatabase=Standby,Secondary!Z436,Primary!Z436)</f>
        <v>0</v>
      </c>
      <c r="AA436" s="6">
        <f>IF(ActiveDatabase=Standby,Secondary!AA436,Primary!AA436)</f>
        <v>0</v>
      </c>
      <c r="AB436" s="12"/>
      <c r="AC436" s="6"/>
      <c r="AD436" s="6"/>
      <c r="AE436" s="7"/>
      <c r="AF436" s="7"/>
      <c r="AG436" s="7"/>
      <c r="AH436" s="7"/>
      <c r="AI436" s="7"/>
      <c r="AJ436" s="7"/>
      <c r="AK436" s="7"/>
      <c r="AL436" s="7"/>
      <c r="AM436" s="7"/>
      <c r="AN436" s="7"/>
      <c r="AO436" s="6"/>
      <c r="AP436" s="7"/>
      <c r="AQ436" s="7"/>
      <c r="AR436" s="6"/>
      <c r="AS436" s="6"/>
      <c r="AT436" s="6"/>
      <c r="AU436" s="6"/>
      <c r="AV436" s="6"/>
      <c r="AW436" s="6"/>
      <c r="AX436" s="6"/>
      <c r="AY436" s="6"/>
      <c r="AZ436" s="6"/>
      <c r="BA436" s="6"/>
      <c r="BB436" s="6"/>
      <c r="BC436" s="6"/>
      <c r="BD436" s="6"/>
      <c r="BE436" s="6"/>
      <c r="BF436" s="6"/>
      <c r="BG436" s="6"/>
    </row>
    <row r="437" customHeight="1" spans="1:59">
      <c r="A437" s="9" t="str">
        <f>IF(ActiveDatabase=Standby,Secondary!A437,Primary!A437)</f>
        <v>Hurston 98</v>
      </c>
      <c r="B437" s="5" t="str">
        <f>IF(ActiveDatabase=Standby,Secondary!B437,Primary!B437)</f>
        <v>Hurston 109</v>
      </c>
      <c r="C437" s="5" t="str">
        <f>IF(ActiveDatabase=Standby,Secondary!C437,Primary!C437)</f>
        <v>Hurston 65</v>
      </c>
      <c r="D437" s="5" t="str">
        <f>IF(ActiveDatabase=Standby,Secondary!D437,Primary!D437)</f>
        <v>Sand Cave YZG</v>
      </c>
      <c r="E437" s="6" t="str">
        <f>IF(ActiveDatabase=Standby,Secondary!E437,Primary!E437)</f>
        <v>SCave YZG</v>
      </c>
      <c r="F437" s="10">
        <f>IF(ActiveDatabase=Standby,Secondary!F437,Primary!F437)</f>
        <v>16.622661212</v>
      </c>
      <c r="G437" s="10">
        <f>IF(ActiveDatabase=Standby,Secondary!G437,Primary!G437)</f>
        <v>-3.800833878</v>
      </c>
      <c r="H437" s="10">
        <f>IF(ActiveDatabase=Standby,Secondary!H437,Primary!H437)</f>
        <v>1000.353432317</v>
      </c>
      <c r="I437" s="13">
        <f>IF(ActiveDatabase=Standby,Secondary!I437,Primary!I437)</f>
        <v>0</v>
      </c>
      <c r="J437" s="13">
        <f>IF(ActiveDatabase=Standby,Secondary!J437,Primary!J437)</f>
        <v>0</v>
      </c>
      <c r="K437" s="13">
        <f>IF(ActiveDatabase=Standby,Secondary!K437,Primary!K437)</f>
        <v>0</v>
      </c>
      <c r="L437" s="13">
        <f>IF(ActiveDatabase=Standby,Secondary!L437,Primary!L437)</f>
        <v>0</v>
      </c>
      <c r="M437" s="7" t="b">
        <f>IF(ActiveDatabase=Standby,Secondary!M437,Primary!M437)</f>
        <v>0</v>
      </c>
      <c r="N437" s="10">
        <f>IF(ActiveDatabase=Standby,Secondary!N437,Primary!N437)</f>
        <v>0</v>
      </c>
      <c r="O437" s="10">
        <f>IF(ActiveDatabase=Standby,Secondary!O437,Primary!O437)</f>
        <v>0</v>
      </c>
      <c r="P437" s="10">
        <f>IF(ActiveDatabase=Standby,Secondary!P437,Primary!P437)</f>
        <v>0</v>
      </c>
      <c r="Q437" s="6">
        <f>IF(ActiveDatabase=Standby,Secondary!Q437,Primary!Q437)</f>
        <v>0</v>
      </c>
      <c r="R437" s="18">
        <f>IF(ActiveDatabase=Standby,Secondary!R437,Primary!R437)</f>
        <v>0</v>
      </c>
      <c r="S437" s="19">
        <f>IF(ActiveDatabase=Standby,Secondary!S437,Primary!S437)</f>
        <v>0</v>
      </c>
      <c r="T437" s="10">
        <f>IF(ActiveDatabase=Standby,Secondary!T437,Primary!T437)</f>
        <v>0</v>
      </c>
      <c r="U437" s="10">
        <f>IF(ActiveDatabase=Standby,Secondary!U437,Primary!U437)</f>
        <v>0</v>
      </c>
      <c r="V437" s="10">
        <f>IF(ActiveDatabase=Standby,Secondary!V437,Primary!V437)</f>
        <v>0</v>
      </c>
      <c r="W437" s="6">
        <f>IF(ActiveDatabase=Standby,Secondary!W437,Primary!W437)</f>
        <v>0</v>
      </c>
      <c r="X437" s="6">
        <f>IF(ActiveDatabase=Standby,Secondary!X437,Primary!X437)</f>
        <v>0</v>
      </c>
      <c r="Y437" s="12">
        <f>IF(ActiveDatabase=Standby,Secondary!Y437,Primary!Y437)</f>
        <v>0</v>
      </c>
      <c r="Z437" s="12">
        <f>IF(ActiveDatabase=Standby,Secondary!Z437,Primary!Z437)</f>
        <v>0</v>
      </c>
      <c r="AA437" s="6">
        <f>IF(ActiveDatabase=Standby,Secondary!AA437,Primary!AA437)</f>
        <v>0</v>
      </c>
      <c r="AB437" s="12"/>
      <c r="AC437" s="6"/>
      <c r="AD437" s="6"/>
      <c r="AE437" s="7"/>
      <c r="AF437" s="7"/>
      <c r="AG437" s="7"/>
      <c r="AH437" s="7"/>
      <c r="AI437" s="7"/>
      <c r="AJ437" s="7"/>
      <c r="AK437" s="7"/>
      <c r="AL437" s="7"/>
      <c r="AM437" s="7"/>
      <c r="AN437" s="7"/>
      <c r="AO437" s="6"/>
      <c r="AP437" s="7"/>
      <c r="AQ437" s="7"/>
      <c r="AR437" s="6"/>
      <c r="AS437" s="6"/>
      <c r="AT437" s="6"/>
      <c r="AU437" s="6"/>
      <c r="AV437" s="6"/>
      <c r="AW437" s="6"/>
      <c r="AX437" s="6"/>
      <c r="AY437" s="6"/>
      <c r="AZ437" s="6"/>
      <c r="BA437" s="6"/>
      <c r="BB437" s="6"/>
      <c r="BC437" s="6"/>
      <c r="BD437" s="6"/>
      <c r="BE437" s="6"/>
      <c r="BF437" s="6"/>
      <c r="BG437" s="6"/>
    </row>
    <row r="438" customHeight="1" spans="1:59">
      <c r="A438" s="9" t="str">
        <f>IF(ActiveDatabase=Standby,Secondary!A438,Primary!A438)</f>
        <v>Hurston 72</v>
      </c>
      <c r="B438" s="5" t="str">
        <f>IF(ActiveDatabase=Standby,Secondary!B438,Primary!B438)</f>
        <v>Hurston 83</v>
      </c>
      <c r="C438" s="5" t="str">
        <f>IF(ActiveDatabase=Standby,Secondary!C438,Primary!C438)</f>
        <v>Hurston 67</v>
      </c>
      <c r="D438" s="5" t="str">
        <f>IF(ActiveDatabase=Standby,Secondary!D438,Primary!D438)</f>
        <v>Sand Cave 27W-313</v>
      </c>
      <c r="E438" s="6" t="str">
        <f>IF(ActiveDatabase=Standby,Secondary!E438,Primary!E438)</f>
        <v>SCave 27W313</v>
      </c>
      <c r="F438" s="10">
        <f>IF(ActiveDatabase=Standby,Secondary!F438,Primary!F438)</f>
        <v>386.884924296999</v>
      </c>
      <c r="G438" s="10">
        <f>IF(ActiveDatabase=Standby,Secondary!G438,Primary!G438)</f>
        <v>-171.16821919</v>
      </c>
      <c r="H438" s="10">
        <f>IF(ActiveDatabase=Standby,Secondary!H438,Primary!H438)</f>
        <v>906.751049966</v>
      </c>
      <c r="I438" s="13">
        <f>IF(ActiveDatabase=Standby,Secondary!I438,Primary!I438)</f>
        <v>0</v>
      </c>
      <c r="J438" s="13">
        <f>IF(ActiveDatabase=Standby,Secondary!J438,Primary!J438)</f>
        <v>0</v>
      </c>
      <c r="K438" s="13">
        <f>IF(ActiveDatabase=Standby,Secondary!K438,Primary!K438)</f>
        <v>0</v>
      </c>
      <c r="L438" s="13">
        <f>IF(ActiveDatabase=Standby,Secondary!L438,Primary!L438)</f>
        <v>0</v>
      </c>
      <c r="M438" s="7" t="b">
        <f>IF(ActiveDatabase=Standby,Secondary!M438,Primary!M438)</f>
        <v>0</v>
      </c>
      <c r="N438" s="10">
        <f>IF(ActiveDatabase=Standby,Secondary!N438,Primary!N438)</f>
        <v>0</v>
      </c>
      <c r="O438" s="10">
        <f>IF(ActiveDatabase=Standby,Secondary!O438,Primary!O438)</f>
        <v>0</v>
      </c>
      <c r="P438" s="10">
        <f>IF(ActiveDatabase=Standby,Secondary!P438,Primary!P438)</f>
        <v>0</v>
      </c>
      <c r="Q438" s="6">
        <f>IF(ActiveDatabase=Standby,Secondary!Q438,Primary!Q438)</f>
        <v>0</v>
      </c>
      <c r="R438" s="18">
        <f>IF(ActiveDatabase=Standby,Secondary!R438,Primary!R438)</f>
        <v>0</v>
      </c>
      <c r="S438" s="19">
        <f>IF(ActiveDatabase=Standby,Secondary!S438,Primary!S438)</f>
        <v>0</v>
      </c>
      <c r="T438" s="10">
        <f>IF(ActiveDatabase=Standby,Secondary!T438,Primary!T438)</f>
        <v>0</v>
      </c>
      <c r="U438" s="10">
        <f>IF(ActiveDatabase=Standby,Secondary!U438,Primary!U438)</f>
        <v>0</v>
      </c>
      <c r="V438" s="10">
        <f>IF(ActiveDatabase=Standby,Secondary!V438,Primary!V438)</f>
        <v>0</v>
      </c>
      <c r="W438" s="6">
        <f>IF(ActiveDatabase=Standby,Secondary!W438,Primary!W438)</f>
        <v>0</v>
      </c>
      <c r="X438" s="6">
        <f>IF(ActiveDatabase=Standby,Secondary!X438,Primary!X438)</f>
        <v>0</v>
      </c>
      <c r="Y438" s="12">
        <f>IF(ActiveDatabase=Standby,Secondary!Y438,Primary!Y438)</f>
        <v>0</v>
      </c>
      <c r="Z438" s="12">
        <f>IF(ActiveDatabase=Standby,Secondary!Z438,Primary!Z438)</f>
        <v>0</v>
      </c>
      <c r="AA438" s="6">
        <f>IF(ActiveDatabase=Standby,Secondary!AA438,Primary!AA438)</f>
        <v>0</v>
      </c>
      <c r="AB438" s="12"/>
      <c r="AC438" s="6"/>
      <c r="AD438" s="6"/>
      <c r="AE438" s="7"/>
      <c r="AF438" s="7"/>
      <c r="AG438" s="7"/>
      <c r="AH438" s="7"/>
      <c r="AI438" s="7"/>
      <c r="AJ438" s="7"/>
      <c r="AK438" s="7"/>
      <c r="AL438" s="7"/>
      <c r="AM438" s="7"/>
      <c r="AN438" s="7"/>
      <c r="AO438" s="6"/>
      <c r="AP438" s="7"/>
      <c r="AQ438" s="7"/>
      <c r="AR438" s="6"/>
      <c r="AS438" s="6"/>
      <c r="AT438" s="6"/>
      <c r="AU438" s="6"/>
      <c r="AV438" s="6"/>
      <c r="AW438" s="6"/>
      <c r="AX438" s="6"/>
      <c r="AY438" s="6"/>
      <c r="AZ438" s="6"/>
      <c r="BA438" s="6"/>
      <c r="BB438" s="6"/>
      <c r="BC438" s="6"/>
      <c r="BD438" s="6"/>
      <c r="BE438" s="6"/>
      <c r="BF438" s="6"/>
      <c r="BG438" s="6"/>
    </row>
    <row r="439" customHeight="1" spans="1:59">
      <c r="A439" s="9" t="str">
        <f>IF(ActiveDatabase=Standby,Secondary!A439,Primary!A439)</f>
        <v>Hurston 73</v>
      </c>
      <c r="B439" s="5" t="str">
        <f>IF(ActiveDatabase=Standby,Secondary!B439,Primary!B439)</f>
        <v>Hurston 84</v>
      </c>
      <c r="C439" s="5" t="str">
        <f>IF(ActiveDatabase=Standby,Secondary!C439,Primary!C439)</f>
        <v>Hurston 66</v>
      </c>
      <c r="D439" s="5" t="str">
        <f>IF(ActiveDatabase=Standby,Secondary!D439,Primary!D439)</f>
        <v>Sand Cave 27W-321</v>
      </c>
      <c r="E439" s="6" t="str">
        <f>IF(ActiveDatabase=Standby,Secondary!E439,Primary!E439)</f>
        <v>SCave 27W321</v>
      </c>
      <c r="F439" s="10">
        <f>IF(ActiveDatabase=Standby,Secondary!F439,Primary!F439)</f>
        <v>329.14290133</v>
      </c>
      <c r="G439" s="10">
        <f>IF(ActiveDatabase=Standby,Secondary!G439,Primary!G439)</f>
        <v>-119.73823564</v>
      </c>
      <c r="H439" s="10">
        <f>IF(ActiveDatabase=Standby,Secondary!H439,Primary!H439)</f>
        <v>937.285202529</v>
      </c>
      <c r="I439" s="13">
        <f>IF(ActiveDatabase=Standby,Secondary!I439,Primary!I439)</f>
        <v>0</v>
      </c>
      <c r="J439" s="13">
        <f>IF(ActiveDatabase=Standby,Secondary!J439,Primary!J439)</f>
        <v>0</v>
      </c>
      <c r="K439" s="13">
        <f>IF(ActiveDatabase=Standby,Secondary!K439,Primary!K439)</f>
        <v>0</v>
      </c>
      <c r="L439" s="13">
        <f>IF(ActiveDatabase=Standby,Secondary!L439,Primary!L439)</f>
        <v>0</v>
      </c>
      <c r="M439" s="7" t="b">
        <f>IF(ActiveDatabase=Standby,Secondary!M439,Primary!M439)</f>
        <v>0</v>
      </c>
      <c r="N439" s="10">
        <f>IF(ActiveDatabase=Standby,Secondary!N439,Primary!N439)</f>
        <v>0</v>
      </c>
      <c r="O439" s="10">
        <f>IF(ActiveDatabase=Standby,Secondary!O439,Primary!O439)</f>
        <v>0</v>
      </c>
      <c r="P439" s="10">
        <f>IF(ActiveDatabase=Standby,Secondary!P439,Primary!P439)</f>
        <v>0</v>
      </c>
      <c r="Q439" s="6">
        <f>IF(ActiveDatabase=Standby,Secondary!Q439,Primary!Q439)</f>
        <v>0</v>
      </c>
      <c r="R439" s="18">
        <f>IF(ActiveDatabase=Standby,Secondary!R439,Primary!R439)</f>
        <v>0</v>
      </c>
      <c r="S439" s="19">
        <f>IF(ActiveDatabase=Standby,Secondary!S439,Primary!S439)</f>
        <v>0</v>
      </c>
      <c r="T439" s="10">
        <f>IF(ActiveDatabase=Standby,Secondary!T439,Primary!T439)</f>
        <v>0</v>
      </c>
      <c r="U439" s="10">
        <f>IF(ActiveDatabase=Standby,Secondary!U439,Primary!U439)</f>
        <v>0</v>
      </c>
      <c r="V439" s="10">
        <f>IF(ActiveDatabase=Standby,Secondary!V439,Primary!V439)</f>
        <v>0</v>
      </c>
      <c r="W439" s="6">
        <f>IF(ActiveDatabase=Standby,Secondary!W439,Primary!W439)</f>
        <v>0</v>
      </c>
      <c r="X439" s="6">
        <f>IF(ActiveDatabase=Standby,Secondary!X439,Primary!X439)</f>
        <v>0</v>
      </c>
      <c r="Y439" s="12">
        <f>IF(ActiveDatabase=Standby,Secondary!Y439,Primary!Y439)</f>
        <v>0</v>
      </c>
      <c r="Z439" s="12">
        <f>IF(ActiveDatabase=Standby,Secondary!Z439,Primary!Z439)</f>
        <v>0</v>
      </c>
      <c r="AA439" s="7">
        <f>IF(ActiveDatabase=Standby,Secondary!AA439,Primary!AA439)</f>
        <v>0</v>
      </c>
      <c r="AB439" s="12"/>
      <c r="AC439" s="6"/>
      <c r="AD439" s="6"/>
      <c r="AE439" s="7"/>
      <c r="AF439" s="7"/>
      <c r="AG439" s="7"/>
      <c r="AH439" s="7"/>
      <c r="AI439" s="7"/>
      <c r="AJ439" s="7"/>
      <c r="AK439" s="7"/>
      <c r="AL439" s="7"/>
      <c r="AM439" s="7"/>
      <c r="AN439" s="7"/>
      <c r="AO439" s="6"/>
      <c r="AP439" s="7"/>
      <c r="AQ439" s="7"/>
      <c r="AR439" s="6"/>
      <c r="AS439" s="7"/>
      <c r="AT439" s="7"/>
      <c r="AU439" s="7"/>
      <c r="AV439" s="7"/>
      <c r="AW439" s="7"/>
      <c r="AX439" s="7"/>
      <c r="AY439" s="7"/>
      <c r="AZ439" s="7"/>
      <c r="BA439" s="7"/>
      <c r="BB439" s="7"/>
      <c r="BC439" s="7"/>
      <c r="BD439" s="7"/>
      <c r="BE439" s="7"/>
      <c r="BF439" s="7"/>
      <c r="BG439" s="7"/>
    </row>
    <row r="440" customHeight="1" spans="1:59">
      <c r="A440" s="9" t="str">
        <f>IF(ActiveDatabase=Standby,Secondary!A440,Primary!A440)</f>
        <v>Hurston 75</v>
      </c>
      <c r="B440" s="5" t="str">
        <f>IF(ActiveDatabase=Standby,Secondary!B440,Primary!B440)</f>
        <v>Hurston 86</v>
      </c>
      <c r="C440" s="5" t="str">
        <f>IF(ActiveDatabase=Standby,Secondary!C440,Primary!C440)</f>
        <v>Hurston 55</v>
      </c>
      <c r="D440" s="5" t="str">
        <f>IF(ActiveDatabase=Standby,Secondary!D440,Primary!D440)</f>
        <v>Sand Cave 33W</v>
      </c>
      <c r="E440" s="6" t="str">
        <f>IF(ActiveDatabase=Standby,Secondary!E440,Primary!E440)</f>
        <v>SCave 33W</v>
      </c>
      <c r="F440" s="10">
        <f>IF(ActiveDatabase=Standby,Secondary!F440,Primary!F440)</f>
        <v>348.136810870999</v>
      </c>
      <c r="G440" s="10">
        <f>IF(ActiveDatabase=Standby,Secondary!G440,Primary!G440)</f>
        <v>109.396246604</v>
      </c>
      <c r="H440" s="10">
        <f>IF(ActiveDatabase=Standby,Secondary!H440,Primary!H440)</f>
        <v>931.296088543</v>
      </c>
      <c r="I440" s="13">
        <f>IF(ActiveDatabase=Standby,Secondary!I440,Primary!I440)</f>
        <v>0</v>
      </c>
      <c r="J440" s="13">
        <f>IF(ActiveDatabase=Standby,Secondary!J440,Primary!J440)</f>
        <v>0</v>
      </c>
      <c r="K440" s="13">
        <f>IF(ActiveDatabase=Standby,Secondary!K440,Primary!K440)</f>
        <v>0</v>
      </c>
      <c r="L440" s="13">
        <f>IF(ActiveDatabase=Standby,Secondary!L440,Primary!L440)</f>
        <v>0</v>
      </c>
      <c r="M440" s="7" t="b">
        <f>IF(ActiveDatabase=Standby,Secondary!M440,Primary!M440)</f>
        <v>0</v>
      </c>
      <c r="N440" s="10">
        <f>IF(ActiveDatabase=Standby,Secondary!N440,Primary!N440)</f>
        <v>0</v>
      </c>
      <c r="O440" s="10">
        <f>IF(ActiveDatabase=Standby,Secondary!O440,Primary!O440)</f>
        <v>0</v>
      </c>
      <c r="P440" s="10">
        <f>IF(ActiveDatabase=Standby,Secondary!P440,Primary!P440)</f>
        <v>0</v>
      </c>
      <c r="Q440" s="6">
        <f>IF(ActiveDatabase=Standby,Secondary!Q440,Primary!Q440)</f>
        <v>0</v>
      </c>
      <c r="R440" s="18">
        <f>IF(ActiveDatabase=Standby,Secondary!R440,Primary!R440)</f>
        <v>0</v>
      </c>
      <c r="S440" s="19">
        <f>IF(ActiveDatabase=Standby,Secondary!S440,Primary!S440)</f>
        <v>0</v>
      </c>
      <c r="T440" s="10">
        <f>IF(ActiveDatabase=Standby,Secondary!T440,Primary!T440)</f>
        <v>0</v>
      </c>
      <c r="U440" s="10">
        <f>IF(ActiveDatabase=Standby,Secondary!U440,Primary!U440)</f>
        <v>0</v>
      </c>
      <c r="V440" s="10">
        <f>IF(ActiveDatabase=Standby,Secondary!V440,Primary!V440)</f>
        <v>0</v>
      </c>
      <c r="W440" s="6">
        <f>IF(ActiveDatabase=Standby,Secondary!W440,Primary!W440)</f>
        <v>0</v>
      </c>
      <c r="X440" s="6">
        <f>IF(ActiveDatabase=Standby,Secondary!X440,Primary!X440)</f>
        <v>0</v>
      </c>
      <c r="Y440" s="12">
        <f>IF(ActiveDatabase=Standby,Secondary!Y440,Primary!Y440)</f>
        <v>0</v>
      </c>
      <c r="Z440" s="12">
        <f>IF(ActiveDatabase=Standby,Secondary!Z440,Primary!Z440)</f>
        <v>0</v>
      </c>
      <c r="AA440" s="7">
        <f>IF(ActiveDatabase=Standby,Secondary!AA440,Primary!AA440)</f>
        <v>0</v>
      </c>
      <c r="AB440" s="12"/>
      <c r="AC440" s="6"/>
      <c r="AD440" s="6"/>
      <c r="AE440" s="7"/>
      <c r="AF440" s="7"/>
      <c r="AG440" s="7"/>
      <c r="AH440" s="7"/>
      <c r="AI440" s="7"/>
      <c r="AJ440" s="7"/>
      <c r="AK440" s="7"/>
      <c r="AL440" s="7"/>
      <c r="AM440" s="7"/>
      <c r="AN440" s="7"/>
      <c r="AO440" s="6"/>
      <c r="AP440" s="7"/>
      <c r="AQ440" s="7"/>
      <c r="AR440" s="6"/>
      <c r="AS440" s="7"/>
      <c r="AT440" s="7"/>
      <c r="AU440" s="7"/>
      <c r="AV440" s="7"/>
      <c r="AW440" s="7"/>
      <c r="AX440" s="7"/>
      <c r="AY440" s="7"/>
      <c r="AZ440" s="7"/>
      <c r="BA440" s="7"/>
      <c r="BB440" s="7"/>
      <c r="BC440" s="7"/>
      <c r="BD440" s="7"/>
      <c r="BE440" s="7"/>
      <c r="BF440" s="7"/>
      <c r="BG440" s="7"/>
    </row>
    <row r="441" customHeight="1" spans="1:59">
      <c r="A441" s="9" t="str">
        <f>IF(ActiveDatabase=Standby,Secondary!A441,Primary!A441)</f>
        <v>Hurston 74</v>
      </c>
      <c r="B441" s="5" t="str">
        <f>IF(ActiveDatabase=Standby,Secondary!B441,Primary!B441)</f>
        <v>Hurston 85</v>
      </c>
      <c r="C441" s="5" t="str">
        <f>IF(ActiveDatabase=Standby,Secondary!C441,Primary!C441)</f>
        <v>Hurston 59</v>
      </c>
      <c r="D441" s="5" t="str">
        <f>IF(ActiveDatabase=Standby,Secondary!D441,Primary!D441)</f>
        <v>Sand Cave 31V</v>
      </c>
      <c r="E441" s="6" t="str">
        <f>IF(ActiveDatabase=Standby,Secondary!E441,Primary!E441)</f>
        <v>SCave 31V</v>
      </c>
      <c r="F441" s="10">
        <f>IF(ActiveDatabase=Standby,Secondary!F441,Primary!F441)</f>
        <v>536.059921703999</v>
      </c>
      <c r="G441" s="10">
        <f>IF(ActiveDatabase=Standby,Secondary!G441,Primary!G441)</f>
        <v>28.137676132</v>
      </c>
      <c r="H441" s="10">
        <f>IF(ActiveDatabase=Standby,Secondary!H441,Primary!H441)</f>
        <v>846.224206118999</v>
      </c>
      <c r="I441" s="13">
        <f>IF(ActiveDatabase=Standby,Secondary!I441,Primary!I441)</f>
        <v>0</v>
      </c>
      <c r="J441" s="13">
        <f>IF(ActiveDatabase=Standby,Secondary!J441,Primary!J441)</f>
        <v>0</v>
      </c>
      <c r="K441" s="13">
        <f>IF(ActiveDatabase=Standby,Secondary!K441,Primary!K441)</f>
        <v>0</v>
      </c>
      <c r="L441" s="13">
        <f>IF(ActiveDatabase=Standby,Secondary!L441,Primary!L441)</f>
        <v>0</v>
      </c>
      <c r="M441" s="7" t="b">
        <f>IF(ActiveDatabase=Standby,Secondary!M441,Primary!M441)</f>
        <v>0</v>
      </c>
      <c r="N441" s="10">
        <f>IF(ActiveDatabase=Standby,Secondary!N441,Primary!N441)</f>
        <v>0</v>
      </c>
      <c r="O441" s="10">
        <f>IF(ActiveDatabase=Standby,Secondary!O441,Primary!O441)</f>
        <v>0</v>
      </c>
      <c r="P441" s="10">
        <f>IF(ActiveDatabase=Standby,Secondary!P441,Primary!P441)</f>
        <v>0</v>
      </c>
      <c r="Q441" s="6">
        <f>IF(ActiveDatabase=Standby,Secondary!Q441,Primary!Q441)</f>
        <v>0</v>
      </c>
      <c r="R441" s="18">
        <f>IF(ActiveDatabase=Standby,Secondary!R441,Primary!R441)</f>
        <v>0</v>
      </c>
      <c r="S441" s="19">
        <f>IF(ActiveDatabase=Standby,Secondary!S441,Primary!S441)</f>
        <v>0</v>
      </c>
      <c r="T441" s="10">
        <f>IF(ActiveDatabase=Standby,Secondary!T441,Primary!T441)</f>
        <v>0</v>
      </c>
      <c r="U441" s="10">
        <f>IF(ActiveDatabase=Standby,Secondary!U441,Primary!U441)</f>
        <v>0</v>
      </c>
      <c r="V441" s="10">
        <f>IF(ActiveDatabase=Standby,Secondary!V441,Primary!V441)</f>
        <v>0</v>
      </c>
      <c r="W441" s="6">
        <f>IF(ActiveDatabase=Standby,Secondary!W441,Primary!W441)</f>
        <v>0</v>
      </c>
      <c r="X441" s="6">
        <f>IF(ActiveDatabase=Standby,Secondary!X441,Primary!X441)</f>
        <v>0</v>
      </c>
      <c r="Y441" s="12">
        <f>IF(ActiveDatabase=Standby,Secondary!Y441,Primary!Y441)</f>
        <v>0</v>
      </c>
      <c r="Z441" s="12">
        <f>IF(ActiveDatabase=Standby,Secondary!Z441,Primary!Z441)</f>
        <v>0</v>
      </c>
      <c r="AA441" s="7">
        <f>IF(ActiveDatabase=Standby,Secondary!AA441,Primary!AA441)</f>
        <v>0</v>
      </c>
      <c r="AB441" s="12"/>
      <c r="AC441" s="6"/>
      <c r="AD441" s="6"/>
      <c r="AE441" s="7"/>
      <c r="AF441" s="7"/>
      <c r="AG441" s="7"/>
      <c r="AH441" s="7"/>
      <c r="AI441" s="7"/>
      <c r="AJ441" s="7"/>
      <c r="AK441" s="7"/>
      <c r="AL441" s="7"/>
      <c r="AM441" s="7"/>
      <c r="AN441" s="7"/>
      <c r="AO441" s="6"/>
      <c r="AP441" s="7"/>
      <c r="AQ441" s="7"/>
      <c r="AR441" s="6"/>
      <c r="AS441" s="7"/>
      <c r="AT441" s="7"/>
      <c r="AU441" s="7"/>
      <c r="AV441" s="7"/>
      <c r="AW441" s="7"/>
      <c r="AX441" s="7"/>
      <c r="AY441" s="7"/>
      <c r="AZ441" s="7"/>
      <c r="BA441" s="7"/>
      <c r="BB441" s="7"/>
      <c r="BC441" s="7"/>
      <c r="BD441" s="7"/>
      <c r="BE441" s="7"/>
      <c r="BF441" s="7"/>
      <c r="BG441" s="7"/>
    </row>
    <row r="442" customHeight="1" spans="1:59">
      <c r="A442" s="9" t="str">
        <f>IF(ActiveDatabase=Standby,Secondary!A442,Primary!A442)</f>
        <v>Hurston 61</v>
      </c>
      <c r="B442" s="5" t="str">
        <f>IF(ActiveDatabase=Standby,Secondary!B442,Primary!B442)</f>
        <v>Hurston 72</v>
      </c>
      <c r="C442" s="5" t="str">
        <f>IF(ActiveDatabase=Standby,Secondary!C442,Primary!C442)</f>
        <v>Hurston 144</v>
      </c>
      <c r="D442" s="5" t="str">
        <f>IF(ActiveDatabase=Standby,Secondary!D442,Primary!D442)</f>
        <v>Sand Cave 01E</v>
      </c>
      <c r="E442" s="6" t="str">
        <f>IF(ActiveDatabase=Standby,Secondary!E442,Primary!E442)</f>
        <v>SCave 01E</v>
      </c>
      <c r="F442" s="10">
        <f>IF(ActiveDatabase=Standby,Secondary!F442,Primary!F442)</f>
        <v>-532.079143725999</v>
      </c>
      <c r="G442" s="10">
        <f>IF(ActiveDatabase=Standby,Secondary!G442,Primary!G442)</f>
        <v>-12.082034834</v>
      </c>
      <c r="H442" s="10">
        <f>IF(ActiveDatabase=Standby,Secondary!H442,Primary!H442)</f>
        <v>-847.177765661</v>
      </c>
      <c r="I442" s="13">
        <f>IF(ActiveDatabase=Standby,Secondary!I442,Primary!I442)</f>
        <v>0</v>
      </c>
      <c r="J442" s="13">
        <f>IF(ActiveDatabase=Standby,Secondary!J442,Primary!J442)</f>
        <v>0</v>
      </c>
      <c r="K442" s="13">
        <f>IF(ActiveDatabase=Standby,Secondary!K442,Primary!K442)</f>
        <v>0</v>
      </c>
      <c r="L442" s="13">
        <f>IF(ActiveDatabase=Standby,Secondary!L442,Primary!L442)</f>
        <v>0</v>
      </c>
      <c r="M442" s="7" t="b">
        <f>IF(ActiveDatabase=Standby,Secondary!M442,Primary!M442)</f>
        <v>0</v>
      </c>
      <c r="N442" s="10">
        <f>IF(ActiveDatabase=Standby,Secondary!N442,Primary!N442)</f>
        <v>0</v>
      </c>
      <c r="O442" s="10">
        <f>IF(ActiveDatabase=Standby,Secondary!O442,Primary!O442)</f>
        <v>0</v>
      </c>
      <c r="P442" s="10">
        <f>IF(ActiveDatabase=Standby,Secondary!P442,Primary!P442)</f>
        <v>0</v>
      </c>
      <c r="Q442" s="6">
        <f>IF(ActiveDatabase=Standby,Secondary!Q442,Primary!Q442)</f>
        <v>0</v>
      </c>
      <c r="R442" s="18">
        <f>IF(ActiveDatabase=Standby,Secondary!R442,Primary!R442)</f>
        <v>0</v>
      </c>
      <c r="S442" s="19">
        <f>IF(ActiveDatabase=Standby,Secondary!S442,Primary!S442)</f>
        <v>0</v>
      </c>
      <c r="T442" s="10">
        <f>IF(ActiveDatabase=Standby,Secondary!T442,Primary!T442)</f>
        <v>0</v>
      </c>
      <c r="U442" s="10">
        <f>IF(ActiveDatabase=Standby,Secondary!U442,Primary!U442)</f>
        <v>0</v>
      </c>
      <c r="V442" s="10">
        <f>IF(ActiveDatabase=Standby,Secondary!V442,Primary!V442)</f>
        <v>0</v>
      </c>
      <c r="W442" s="6">
        <f>IF(ActiveDatabase=Standby,Secondary!W442,Primary!W442)</f>
        <v>0</v>
      </c>
      <c r="X442" s="6">
        <f>IF(ActiveDatabase=Standby,Secondary!X442,Primary!X442)</f>
        <v>0</v>
      </c>
      <c r="Y442" s="12">
        <f>IF(ActiveDatabase=Standby,Secondary!Y442,Primary!Y442)</f>
        <v>0</v>
      </c>
      <c r="Z442" s="12">
        <f>IF(ActiveDatabase=Standby,Secondary!Z442,Primary!Z442)</f>
        <v>0</v>
      </c>
      <c r="AA442" s="7">
        <f>IF(ActiveDatabase=Standby,Secondary!AA442,Primary!AA442)</f>
        <v>0</v>
      </c>
      <c r="AB442" s="12"/>
      <c r="AC442" s="6"/>
      <c r="AD442" s="6"/>
      <c r="AE442" s="7"/>
      <c r="AF442" s="7"/>
      <c r="AG442" s="7"/>
      <c r="AH442" s="7"/>
      <c r="AI442" s="7"/>
      <c r="AJ442" s="7"/>
      <c r="AK442" s="7"/>
      <c r="AL442" s="7"/>
      <c r="AM442" s="7"/>
      <c r="AN442" s="7"/>
      <c r="AO442" s="6"/>
      <c r="AP442" s="7"/>
      <c r="AQ442" s="7"/>
      <c r="AR442" s="6"/>
      <c r="AS442" s="7"/>
      <c r="AT442" s="7"/>
      <c r="AU442" s="7"/>
      <c r="AV442" s="7"/>
      <c r="AW442" s="7"/>
      <c r="AX442" s="7"/>
      <c r="AY442" s="7"/>
      <c r="AZ442" s="7"/>
      <c r="BA442" s="7"/>
      <c r="BB442" s="7"/>
      <c r="BC442" s="7"/>
      <c r="BD442" s="7"/>
      <c r="BE442" s="7"/>
      <c r="BF442" s="7"/>
      <c r="BG442" s="7"/>
    </row>
    <row r="443" customHeight="1" spans="1:59">
      <c r="A443" s="9" t="str">
        <f>IF(ActiveDatabase=Standby,Secondary!A443,Primary!A443)</f>
        <v>Hurston 62</v>
      </c>
      <c r="B443" s="5" t="str">
        <f>IF(ActiveDatabase=Standby,Secondary!B443,Primary!B443)</f>
        <v>Hurston 73</v>
      </c>
      <c r="C443" s="5" t="str">
        <f>IF(ActiveDatabase=Standby,Secondary!C443,Primary!C443)</f>
        <v>Hurston 139</v>
      </c>
      <c r="D443" s="5" t="str">
        <f>IF(ActiveDatabase=Standby,Secondary!D443,Primary!D443)</f>
        <v>Sand Cave 02F</v>
      </c>
      <c r="E443" s="6" t="str">
        <f>IF(ActiveDatabase=Standby,Secondary!E443,Primary!E443)</f>
        <v>SCave 02F</v>
      </c>
      <c r="F443" s="10">
        <f>IF(ActiveDatabase=Standby,Secondary!F443,Primary!F443)</f>
        <v>-555.732503435999</v>
      </c>
      <c r="G443" s="10">
        <f>IF(ActiveDatabase=Standby,Secondary!G443,Primary!G443)</f>
        <v>-85.987056638</v>
      </c>
      <c r="H443" s="10">
        <f>IF(ActiveDatabase=Standby,Secondary!H443,Primary!H443)</f>
        <v>-827.053505721</v>
      </c>
      <c r="I443" s="13">
        <f>IF(ActiveDatabase=Standby,Secondary!I443,Primary!I443)</f>
        <v>0</v>
      </c>
      <c r="J443" s="13">
        <f>IF(ActiveDatabase=Standby,Secondary!J443,Primary!J443)</f>
        <v>0</v>
      </c>
      <c r="K443" s="13">
        <f>IF(ActiveDatabase=Standby,Secondary!K443,Primary!K443)</f>
        <v>0</v>
      </c>
      <c r="L443" s="13">
        <f>IF(ActiveDatabase=Standby,Secondary!L443,Primary!L443)</f>
        <v>0</v>
      </c>
      <c r="M443" s="7" t="b">
        <f>IF(ActiveDatabase=Standby,Secondary!M443,Primary!M443)</f>
        <v>0</v>
      </c>
      <c r="N443" s="10">
        <f>IF(ActiveDatabase=Standby,Secondary!N443,Primary!N443)</f>
        <v>0</v>
      </c>
      <c r="O443" s="10">
        <f>IF(ActiveDatabase=Standby,Secondary!O443,Primary!O443)</f>
        <v>0</v>
      </c>
      <c r="P443" s="10">
        <f>IF(ActiveDatabase=Standby,Secondary!P443,Primary!P443)</f>
        <v>0</v>
      </c>
      <c r="Q443" s="6">
        <f>IF(ActiveDatabase=Standby,Secondary!Q443,Primary!Q443)</f>
        <v>0</v>
      </c>
      <c r="R443" s="18">
        <f>IF(ActiveDatabase=Standby,Secondary!R443,Primary!R443)</f>
        <v>0</v>
      </c>
      <c r="S443" s="19">
        <f>IF(ActiveDatabase=Standby,Secondary!S443,Primary!S443)</f>
        <v>0</v>
      </c>
      <c r="T443" s="10">
        <f>IF(ActiveDatabase=Standby,Secondary!T443,Primary!T443)</f>
        <v>0</v>
      </c>
      <c r="U443" s="10">
        <f>IF(ActiveDatabase=Standby,Secondary!U443,Primary!U443)</f>
        <v>0</v>
      </c>
      <c r="V443" s="10">
        <f>IF(ActiveDatabase=Standby,Secondary!V443,Primary!V443)</f>
        <v>0</v>
      </c>
      <c r="W443" s="6">
        <f>IF(ActiveDatabase=Standby,Secondary!W443,Primary!W443)</f>
        <v>0</v>
      </c>
      <c r="X443" s="6">
        <f>IF(ActiveDatabase=Standby,Secondary!X443,Primary!X443)</f>
        <v>0</v>
      </c>
      <c r="Y443" s="12">
        <f>IF(ActiveDatabase=Standby,Secondary!Y443,Primary!Y443)</f>
        <v>0</v>
      </c>
      <c r="Z443" s="12">
        <f>IF(ActiveDatabase=Standby,Secondary!Z443,Primary!Z443)</f>
        <v>0</v>
      </c>
      <c r="AA443" s="7">
        <f>IF(ActiveDatabase=Standby,Secondary!AA443,Primary!AA443)</f>
        <v>0</v>
      </c>
      <c r="AB443" s="12"/>
      <c r="AC443" s="6"/>
      <c r="AD443" s="6"/>
      <c r="AE443" s="7"/>
      <c r="AF443" s="7"/>
      <c r="AG443" s="7"/>
      <c r="AH443" s="7"/>
      <c r="AI443" s="7"/>
      <c r="AJ443" s="7"/>
      <c r="AK443" s="7"/>
      <c r="AL443" s="7"/>
      <c r="AM443" s="7"/>
      <c r="AN443" s="7"/>
      <c r="AO443" s="6"/>
      <c r="AP443" s="7"/>
      <c r="AQ443" s="7"/>
      <c r="AR443" s="6"/>
      <c r="AS443" s="7"/>
      <c r="AT443" s="7"/>
      <c r="AU443" s="7"/>
      <c r="AV443" s="7"/>
      <c r="AW443" s="7"/>
      <c r="AX443" s="7"/>
      <c r="AY443" s="7"/>
      <c r="AZ443" s="7"/>
      <c r="BA443" s="7"/>
      <c r="BB443" s="7"/>
      <c r="BC443" s="7"/>
      <c r="BD443" s="7"/>
      <c r="BE443" s="7"/>
      <c r="BF443" s="7"/>
      <c r="BG443" s="7"/>
    </row>
    <row r="444" customHeight="1" spans="1:59">
      <c r="A444" s="9" t="str">
        <f>IF(ActiveDatabase=Standby,Secondary!A444,Primary!A444)</f>
        <v>Hurston 63</v>
      </c>
      <c r="B444" s="5" t="str">
        <f>IF(ActiveDatabase=Standby,Secondary!B444,Primary!B444)</f>
        <v>Hurston 74</v>
      </c>
      <c r="C444" s="5" t="str">
        <f>IF(ActiveDatabase=Standby,Secondary!C444,Primary!C444)</f>
        <v>Hurston 136</v>
      </c>
      <c r="D444" s="5" t="str">
        <f>IF(ActiveDatabase=Standby,Secondary!D444,Primary!D444)</f>
        <v>Sand Cave 03E</v>
      </c>
      <c r="E444" s="6" t="str">
        <f>IF(ActiveDatabase=Standby,Secondary!E444,Primary!E444)</f>
        <v>SCave 03E</v>
      </c>
      <c r="F444" s="10">
        <f>IF(ActiveDatabase=Standby,Secondary!F444,Primary!F444)</f>
        <v>-514.419831155</v>
      </c>
      <c r="G444" s="10">
        <f>IF(ActiveDatabase=Standby,Secondary!G444,Primary!G444)</f>
        <v>-161.129671272</v>
      </c>
      <c r="H444" s="10">
        <f>IF(ActiveDatabase=Standby,Secondary!H444,Primary!H444)</f>
        <v>-843.348712338999</v>
      </c>
      <c r="I444" s="13">
        <f>IF(ActiveDatabase=Standby,Secondary!I444,Primary!I444)</f>
        <v>0</v>
      </c>
      <c r="J444" s="13">
        <f>IF(ActiveDatabase=Standby,Secondary!J444,Primary!J444)</f>
        <v>0</v>
      </c>
      <c r="K444" s="13">
        <f>IF(ActiveDatabase=Standby,Secondary!K444,Primary!K444)</f>
        <v>0</v>
      </c>
      <c r="L444" s="13">
        <f>IF(ActiveDatabase=Standby,Secondary!L444,Primary!L444)</f>
        <v>0</v>
      </c>
      <c r="M444" s="7" t="b">
        <f>IF(ActiveDatabase=Standby,Secondary!M444,Primary!M444)</f>
        <v>0</v>
      </c>
      <c r="N444" s="10">
        <f>IF(ActiveDatabase=Standby,Secondary!N444,Primary!N444)</f>
        <v>0</v>
      </c>
      <c r="O444" s="10">
        <f>IF(ActiveDatabase=Standby,Secondary!O444,Primary!O444)</f>
        <v>0</v>
      </c>
      <c r="P444" s="10">
        <f>IF(ActiveDatabase=Standby,Secondary!P444,Primary!P444)</f>
        <v>0</v>
      </c>
      <c r="Q444" s="6">
        <f>IF(ActiveDatabase=Standby,Secondary!Q444,Primary!Q444)</f>
        <v>0</v>
      </c>
      <c r="R444" s="18">
        <f>IF(ActiveDatabase=Standby,Secondary!R444,Primary!R444)</f>
        <v>0</v>
      </c>
      <c r="S444" s="19">
        <f>IF(ActiveDatabase=Standby,Secondary!S444,Primary!S444)</f>
        <v>0</v>
      </c>
      <c r="T444" s="10">
        <f>IF(ActiveDatabase=Standby,Secondary!T444,Primary!T444)</f>
        <v>0</v>
      </c>
      <c r="U444" s="10">
        <f>IF(ActiveDatabase=Standby,Secondary!U444,Primary!U444)</f>
        <v>0</v>
      </c>
      <c r="V444" s="10">
        <f>IF(ActiveDatabase=Standby,Secondary!V444,Primary!V444)</f>
        <v>0</v>
      </c>
      <c r="W444" s="6">
        <f>IF(ActiveDatabase=Standby,Secondary!W444,Primary!W444)</f>
        <v>0</v>
      </c>
      <c r="X444" s="6">
        <f>IF(ActiveDatabase=Standby,Secondary!X444,Primary!X444)</f>
        <v>0</v>
      </c>
      <c r="Y444" s="12">
        <f>IF(ActiveDatabase=Standby,Secondary!Y444,Primary!Y444)</f>
        <v>0</v>
      </c>
      <c r="Z444" s="12">
        <f>IF(ActiveDatabase=Standby,Secondary!Z444,Primary!Z444)</f>
        <v>0</v>
      </c>
      <c r="AA444" s="7">
        <f>IF(ActiveDatabase=Standby,Secondary!AA444,Primary!AA444)</f>
        <v>0</v>
      </c>
      <c r="AB444" s="12"/>
      <c r="AC444" s="6"/>
      <c r="AD444" s="6"/>
      <c r="AE444" s="7"/>
      <c r="AF444" s="7"/>
      <c r="AG444" s="7"/>
      <c r="AH444" s="7"/>
      <c r="AI444" s="7"/>
      <c r="AJ444" s="7"/>
      <c r="AK444" s="7"/>
      <c r="AL444" s="7"/>
      <c r="AM444" s="7"/>
      <c r="AN444" s="7"/>
      <c r="AO444" s="6"/>
      <c r="AP444" s="7"/>
      <c r="AQ444" s="7"/>
      <c r="AR444" s="6"/>
      <c r="AS444" s="7"/>
      <c r="AT444" s="7"/>
      <c r="AU444" s="7"/>
      <c r="AV444" s="7"/>
      <c r="AW444" s="7"/>
      <c r="AX444" s="7"/>
      <c r="AY444" s="7"/>
      <c r="AZ444" s="7"/>
      <c r="BA444" s="7"/>
      <c r="BB444" s="7"/>
      <c r="BC444" s="7"/>
      <c r="BD444" s="7"/>
      <c r="BE444" s="7"/>
      <c r="BF444" s="7"/>
      <c r="BG444" s="7"/>
    </row>
    <row r="445" customHeight="1" spans="1:59">
      <c r="A445" s="9" t="str">
        <f>IF(ActiveDatabase=Standby,Secondary!A445,Primary!A445)</f>
        <v>Hurston 69</v>
      </c>
      <c r="B445" s="5" t="str">
        <f>IF(ActiveDatabase=Standby,Secondary!B445,Primary!B445)</f>
        <v>Hurston 80</v>
      </c>
      <c r="C445" s="5" t="str">
        <f>IF(ActiveDatabase=Standby,Secondary!C445,Primary!C445)</f>
        <v>Hurston 78</v>
      </c>
      <c r="D445" s="5" t="str">
        <f>IF(ActiveDatabase=Standby,Secondary!D445,Primary!D445)</f>
        <v>Sand Cave 21C</v>
      </c>
      <c r="E445" s="6" t="str">
        <f>IF(ActiveDatabase=Standby,Secondary!E445,Primary!E445)</f>
        <v>SCave 21C</v>
      </c>
      <c r="F445" s="10">
        <f>IF(ActiveDatabase=Standby,Secondary!F445,Primary!F445)</f>
        <v>113.787649588</v>
      </c>
      <c r="G445" s="10">
        <f>IF(ActiveDatabase=Standby,Secondary!G445,Primary!G445)</f>
        <v>-189.120526909</v>
      </c>
      <c r="H445" s="10">
        <f>IF(ActiveDatabase=Standby,Secondary!H445,Primary!H445)</f>
        <v>-975.768721535</v>
      </c>
      <c r="I445" s="13">
        <f>IF(ActiveDatabase=Standby,Secondary!I445,Primary!I445)</f>
        <v>0</v>
      </c>
      <c r="J445" s="13">
        <f>IF(ActiveDatabase=Standby,Secondary!J445,Primary!J445)</f>
        <v>0</v>
      </c>
      <c r="K445" s="13">
        <f>IF(ActiveDatabase=Standby,Secondary!K445,Primary!K445)</f>
        <v>0</v>
      </c>
      <c r="L445" s="13">
        <f>IF(ActiveDatabase=Standby,Secondary!L445,Primary!L445)</f>
        <v>0</v>
      </c>
      <c r="M445" s="7" t="b">
        <f>IF(ActiveDatabase=Standby,Secondary!M445,Primary!M445)</f>
        <v>0</v>
      </c>
      <c r="N445" s="10">
        <f>IF(ActiveDatabase=Standby,Secondary!N445,Primary!N445)</f>
        <v>0</v>
      </c>
      <c r="O445" s="10">
        <f>IF(ActiveDatabase=Standby,Secondary!O445,Primary!O445)</f>
        <v>0</v>
      </c>
      <c r="P445" s="10">
        <f>IF(ActiveDatabase=Standby,Secondary!P445,Primary!P445)</f>
        <v>0</v>
      </c>
      <c r="Q445" s="6">
        <f>IF(ActiveDatabase=Standby,Secondary!Q445,Primary!Q445)</f>
        <v>0</v>
      </c>
      <c r="R445" s="18">
        <f>IF(ActiveDatabase=Standby,Secondary!R445,Primary!R445)</f>
        <v>0</v>
      </c>
      <c r="S445" s="19">
        <f>IF(ActiveDatabase=Standby,Secondary!S445,Primary!S445)</f>
        <v>0</v>
      </c>
      <c r="T445" s="10">
        <f>IF(ActiveDatabase=Standby,Secondary!T445,Primary!T445)</f>
        <v>0</v>
      </c>
      <c r="U445" s="10">
        <f>IF(ActiveDatabase=Standby,Secondary!U445,Primary!U445)</f>
        <v>0</v>
      </c>
      <c r="V445" s="10">
        <f>IF(ActiveDatabase=Standby,Secondary!V445,Primary!V445)</f>
        <v>0</v>
      </c>
      <c r="W445" s="6">
        <f>IF(ActiveDatabase=Standby,Secondary!W445,Primary!W445)</f>
        <v>0</v>
      </c>
      <c r="X445" s="6">
        <f>IF(ActiveDatabase=Standby,Secondary!X445,Primary!X445)</f>
        <v>0</v>
      </c>
      <c r="Y445" s="12">
        <f>IF(ActiveDatabase=Standby,Secondary!Y445,Primary!Y445)</f>
        <v>0</v>
      </c>
      <c r="Z445" s="12">
        <f>IF(ActiveDatabase=Standby,Secondary!Z445,Primary!Z445)</f>
        <v>0</v>
      </c>
      <c r="AA445" s="7">
        <f>IF(ActiveDatabase=Standby,Secondary!AA445,Primary!AA445)</f>
        <v>0</v>
      </c>
      <c r="AB445" s="12"/>
      <c r="AC445" s="6"/>
      <c r="AD445" s="6"/>
      <c r="AE445" s="7"/>
      <c r="AF445" s="7"/>
      <c r="AG445" s="7"/>
      <c r="AH445" s="7"/>
      <c r="AI445" s="7"/>
      <c r="AJ445" s="7"/>
      <c r="AK445" s="7"/>
      <c r="AL445" s="7"/>
      <c r="AM445" s="7"/>
      <c r="AN445" s="7"/>
      <c r="AO445" s="6"/>
      <c r="AP445" s="7"/>
      <c r="AQ445" s="7"/>
      <c r="AR445" s="6"/>
      <c r="AS445" s="7"/>
      <c r="AT445" s="7"/>
      <c r="AU445" s="7"/>
      <c r="AV445" s="7"/>
      <c r="AW445" s="7"/>
      <c r="AX445" s="7"/>
      <c r="AY445" s="7"/>
      <c r="AZ445" s="7"/>
      <c r="BA445" s="7"/>
      <c r="BB445" s="7"/>
      <c r="BC445" s="7"/>
      <c r="BD445" s="7"/>
      <c r="BE445" s="7"/>
      <c r="BF445" s="7"/>
      <c r="BG445" s="7"/>
    </row>
    <row r="446" customHeight="1" spans="1:59">
      <c r="A446" s="9" t="str">
        <f>IF(ActiveDatabase=Standby,Secondary!A446,Primary!A446)</f>
        <v>Hurston 94</v>
      </c>
      <c r="B446" s="5" t="str">
        <f>IF(ActiveDatabase=Standby,Secondary!B446,Primary!B446)</f>
        <v>Hurston 105</v>
      </c>
      <c r="C446" s="5" t="str">
        <f>IF(ActiveDatabase=Standby,Secondary!C446,Primary!C446)</f>
        <v>Hurston 82</v>
      </c>
      <c r="D446" s="5" t="str">
        <f>IF(ActiveDatabase=Standby,Secondary!D446,Primary!D446)</f>
        <v>Sand Cave AZN-222</v>
      </c>
      <c r="E446" s="6" t="str">
        <f>IF(ActiveDatabase=Standby,Secondary!E446,Primary!E446)</f>
        <v>SCave AZN222</v>
      </c>
      <c r="F446" s="10">
        <f>IF(ActiveDatabase=Standby,Secondary!F446,Primary!F446)</f>
        <v>33.033586149</v>
      </c>
      <c r="G446" s="10">
        <f>IF(ActiveDatabase=Standby,Secondary!G446,Primary!G446)</f>
        <v>-87.20907589</v>
      </c>
      <c r="H446" s="10">
        <f>IF(ActiveDatabase=Standby,Secondary!H446,Primary!H446)</f>
        <v>-996.452588091999</v>
      </c>
      <c r="I446" s="13">
        <f>IF(ActiveDatabase=Standby,Secondary!I446,Primary!I446)</f>
        <v>0</v>
      </c>
      <c r="J446" s="13">
        <f>IF(ActiveDatabase=Standby,Secondary!J446,Primary!J446)</f>
        <v>0</v>
      </c>
      <c r="K446" s="13">
        <f>IF(ActiveDatabase=Standby,Secondary!K446,Primary!K446)</f>
        <v>0</v>
      </c>
      <c r="L446" s="13">
        <f>IF(ActiveDatabase=Standby,Secondary!L446,Primary!L446)</f>
        <v>0</v>
      </c>
      <c r="M446" s="7" t="b">
        <f>IF(ActiveDatabase=Standby,Secondary!M446,Primary!M446)</f>
        <v>0</v>
      </c>
      <c r="N446" s="10">
        <f>IF(ActiveDatabase=Standby,Secondary!N446,Primary!N446)</f>
        <v>0</v>
      </c>
      <c r="O446" s="10">
        <f>IF(ActiveDatabase=Standby,Secondary!O446,Primary!O446)</f>
        <v>0</v>
      </c>
      <c r="P446" s="10">
        <f>IF(ActiveDatabase=Standby,Secondary!P446,Primary!P446)</f>
        <v>0</v>
      </c>
      <c r="Q446" s="6">
        <f>IF(ActiveDatabase=Standby,Secondary!Q446,Primary!Q446)</f>
        <v>0</v>
      </c>
      <c r="R446" s="18">
        <f>IF(ActiveDatabase=Standby,Secondary!R446,Primary!R446)</f>
        <v>0</v>
      </c>
      <c r="S446" s="19">
        <f>IF(ActiveDatabase=Standby,Secondary!S446,Primary!S446)</f>
        <v>0</v>
      </c>
      <c r="T446" s="10">
        <f>IF(ActiveDatabase=Standby,Secondary!T446,Primary!T446)</f>
        <v>0</v>
      </c>
      <c r="U446" s="10">
        <f>IF(ActiveDatabase=Standby,Secondary!U446,Primary!U446)</f>
        <v>0</v>
      </c>
      <c r="V446" s="10">
        <f>IF(ActiveDatabase=Standby,Secondary!V446,Primary!V446)</f>
        <v>0</v>
      </c>
      <c r="W446" s="6">
        <f>IF(ActiveDatabase=Standby,Secondary!W446,Primary!W446)</f>
        <v>0</v>
      </c>
      <c r="X446" s="6">
        <f>IF(ActiveDatabase=Standby,Secondary!X446,Primary!X446)</f>
        <v>0</v>
      </c>
      <c r="Y446" s="12">
        <f>IF(ActiveDatabase=Standby,Secondary!Y446,Primary!Y446)</f>
        <v>0</v>
      </c>
      <c r="Z446" s="12">
        <f>IF(ActiveDatabase=Standby,Secondary!Z446,Primary!Z446)</f>
        <v>0</v>
      </c>
      <c r="AA446" s="7">
        <f>IF(ActiveDatabase=Standby,Secondary!AA446,Primary!AA446)</f>
        <v>0</v>
      </c>
      <c r="AB446" s="12"/>
      <c r="AC446" s="6"/>
      <c r="AD446" s="6"/>
      <c r="AE446" s="7"/>
      <c r="AF446" s="7"/>
      <c r="AG446" s="7"/>
      <c r="AH446" s="7"/>
      <c r="AI446" s="7"/>
      <c r="AJ446" s="7"/>
      <c r="AK446" s="7"/>
      <c r="AL446" s="7"/>
      <c r="AM446" s="7"/>
      <c r="AN446" s="7"/>
      <c r="AO446" s="6"/>
      <c r="AP446" s="7"/>
      <c r="AQ446" s="7"/>
      <c r="AR446" s="6"/>
      <c r="AS446" s="7"/>
      <c r="AT446" s="7"/>
      <c r="AU446" s="7"/>
      <c r="AV446" s="7"/>
      <c r="AW446" s="7"/>
      <c r="AX446" s="7"/>
      <c r="AY446" s="7"/>
      <c r="AZ446" s="7"/>
      <c r="BA446" s="7"/>
      <c r="BB446" s="7"/>
      <c r="BC446" s="7"/>
      <c r="BD446" s="7"/>
      <c r="BE446" s="7"/>
      <c r="BF446" s="7"/>
      <c r="BG446" s="7"/>
    </row>
    <row r="447" customHeight="1" spans="1:59">
      <c r="A447" s="9" t="str">
        <f>IF(ActiveDatabase=Standby,Secondary!A447,Primary!A447)</f>
        <v>Hurston 66</v>
      </c>
      <c r="B447" s="5" t="str">
        <f>IF(ActiveDatabase=Standby,Secondary!B447,Primary!B447)</f>
        <v>Hurston 77</v>
      </c>
      <c r="C447" s="5" t="str">
        <f>IF(ActiveDatabase=Standby,Secondary!C447,Primary!C447)</f>
        <v>Hurston 88</v>
      </c>
      <c r="D447" s="5" t="str">
        <f>IF(ActiveDatabase=Standby,Secondary!D447,Primary!D447)</f>
        <v>Sand Cave 17D</v>
      </c>
      <c r="E447" s="6" t="str">
        <f>IF(ActiveDatabase=Standby,Secondary!E447,Primary!E447)</f>
        <v>SCave 17D</v>
      </c>
      <c r="F447" s="10">
        <f>IF(ActiveDatabase=Standby,Secondary!F447,Primary!F447)</f>
        <v>56.011697258</v>
      </c>
      <c r="G447" s="10">
        <f>IF(ActiveDatabase=Standby,Secondary!G447,Primary!G447)</f>
        <v>-419.681120143999</v>
      </c>
      <c r="H447" s="10">
        <f>IF(ActiveDatabase=Standby,Secondary!H447,Primary!H447)</f>
        <v>-906.073720212999</v>
      </c>
      <c r="I447" s="13">
        <f>IF(ActiveDatabase=Standby,Secondary!I447,Primary!I447)</f>
        <v>0</v>
      </c>
      <c r="J447" s="13">
        <f>IF(ActiveDatabase=Standby,Secondary!J447,Primary!J447)</f>
        <v>0</v>
      </c>
      <c r="K447" s="13">
        <f>IF(ActiveDatabase=Standby,Secondary!K447,Primary!K447)</f>
        <v>0</v>
      </c>
      <c r="L447" s="13">
        <f>IF(ActiveDatabase=Standby,Secondary!L447,Primary!L447)</f>
        <v>0</v>
      </c>
      <c r="M447" s="7" t="b">
        <f>IF(ActiveDatabase=Standby,Secondary!M447,Primary!M447)</f>
        <v>0</v>
      </c>
      <c r="N447" s="10">
        <f>IF(ActiveDatabase=Standby,Secondary!N447,Primary!N447)</f>
        <v>0</v>
      </c>
      <c r="O447" s="10">
        <f>IF(ActiveDatabase=Standby,Secondary!O447,Primary!O447)</f>
        <v>0</v>
      </c>
      <c r="P447" s="10">
        <f>IF(ActiveDatabase=Standby,Secondary!P447,Primary!P447)</f>
        <v>0</v>
      </c>
      <c r="Q447" s="6">
        <f>IF(ActiveDatabase=Standby,Secondary!Q447,Primary!Q447)</f>
        <v>0</v>
      </c>
      <c r="R447" s="18">
        <f>IF(ActiveDatabase=Standby,Secondary!R447,Primary!R447)</f>
        <v>0</v>
      </c>
      <c r="S447" s="19">
        <f>IF(ActiveDatabase=Standby,Secondary!S447,Primary!S447)</f>
        <v>0</v>
      </c>
      <c r="T447" s="10">
        <f>IF(ActiveDatabase=Standby,Secondary!T447,Primary!T447)</f>
        <v>0</v>
      </c>
      <c r="U447" s="10">
        <f>IF(ActiveDatabase=Standby,Secondary!U447,Primary!U447)</f>
        <v>0</v>
      </c>
      <c r="V447" s="10">
        <f>IF(ActiveDatabase=Standby,Secondary!V447,Primary!V447)</f>
        <v>0</v>
      </c>
      <c r="W447" s="6">
        <f>IF(ActiveDatabase=Standby,Secondary!W447,Primary!W447)</f>
        <v>0</v>
      </c>
      <c r="X447" s="6">
        <f>IF(ActiveDatabase=Standby,Secondary!X447,Primary!X447)</f>
        <v>0</v>
      </c>
      <c r="Y447" s="12">
        <f>IF(ActiveDatabase=Standby,Secondary!Y447,Primary!Y447)</f>
        <v>0</v>
      </c>
      <c r="Z447" s="12">
        <f>IF(ActiveDatabase=Standby,Secondary!Z447,Primary!Z447)</f>
        <v>0</v>
      </c>
      <c r="AA447" s="7">
        <f>IF(ActiveDatabase=Standby,Secondary!AA447,Primary!AA447)</f>
        <v>0</v>
      </c>
      <c r="AB447" s="12"/>
      <c r="AC447" s="6"/>
      <c r="AD447" s="6"/>
      <c r="AE447" s="7"/>
      <c r="AF447" s="7"/>
      <c r="AG447" s="7"/>
      <c r="AH447" s="7"/>
      <c r="AI447" s="7"/>
      <c r="AJ447" s="7"/>
      <c r="AK447" s="7"/>
      <c r="AL447" s="7"/>
      <c r="AM447" s="7"/>
      <c r="AN447" s="7"/>
      <c r="AO447" s="6"/>
      <c r="AP447" s="7"/>
      <c r="AQ447" s="7"/>
      <c r="AR447" s="6"/>
      <c r="AS447" s="7"/>
      <c r="AT447" s="7"/>
      <c r="AU447" s="7"/>
      <c r="AV447" s="7"/>
      <c r="AW447" s="7"/>
      <c r="AX447" s="7"/>
      <c r="AY447" s="7"/>
      <c r="AZ447" s="7"/>
      <c r="BA447" s="7"/>
      <c r="BB447" s="7"/>
      <c r="BC447" s="7"/>
      <c r="BD447" s="7"/>
      <c r="BE447" s="7"/>
      <c r="BF447" s="7"/>
      <c r="BG447" s="7"/>
    </row>
    <row r="448" customHeight="1" spans="1:59">
      <c r="A448" s="9" t="str">
        <f>IF(ActiveDatabase=Standby,Secondary!A448,Primary!A448)</f>
        <v>Hurston 70</v>
      </c>
      <c r="B448" s="5" t="str">
        <f>IF(ActiveDatabase=Standby,Secondary!B448,Primary!B448)</f>
        <v>Hurston 81</v>
      </c>
      <c r="C448" s="5" t="str">
        <f>IF(ActiveDatabase=Standby,Secondary!C448,Primary!C448)</f>
        <v>Hurston 75</v>
      </c>
      <c r="D448" s="5" t="str">
        <f>IF(ActiveDatabase=Standby,Secondary!D448,Primary!D448)</f>
        <v>Sand Cave 22C</v>
      </c>
      <c r="E448" s="6" t="str">
        <f>IF(ActiveDatabase=Standby,Secondary!E448,Primary!E448)</f>
        <v>SCave 22C</v>
      </c>
      <c r="F448" s="10">
        <f>IF(ActiveDatabase=Standby,Secondary!F448,Primary!F448)</f>
        <v>177.789736452</v>
      </c>
      <c r="G448" s="10">
        <f>IF(ActiveDatabase=Standby,Secondary!G448,Primary!G448)</f>
        <v>-197.562773141999</v>
      </c>
      <c r="H448" s="10">
        <f>IF(ActiveDatabase=Standby,Secondary!H448,Primary!H448)</f>
        <v>-964.301017320999</v>
      </c>
      <c r="I448" s="13">
        <f>IF(ActiveDatabase=Standby,Secondary!I448,Primary!I448)</f>
        <v>0</v>
      </c>
      <c r="J448" s="13">
        <f>IF(ActiveDatabase=Standby,Secondary!J448,Primary!J448)</f>
        <v>0</v>
      </c>
      <c r="K448" s="13">
        <f>IF(ActiveDatabase=Standby,Secondary!K448,Primary!K448)</f>
        <v>0</v>
      </c>
      <c r="L448" s="13">
        <f>IF(ActiveDatabase=Standby,Secondary!L448,Primary!L448)</f>
        <v>0</v>
      </c>
      <c r="M448" s="7" t="b">
        <f>IF(ActiveDatabase=Standby,Secondary!M448,Primary!M448)</f>
        <v>0</v>
      </c>
      <c r="N448" s="10">
        <f>IF(ActiveDatabase=Standby,Secondary!N448,Primary!N448)</f>
        <v>0</v>
      </c>
      <c r="O448" s="10">
        <f>IF(ActiveDatabase=Standby,Secondary!O448,Primary!O448)</f>
        <v>0</v>
      </c>
      <c r="P448" s="10">
        <f>IF(ActiveDatabase=Standby,Secondary!P448,Primary!P448)</f>
        <v>0</v>
      </c>
      <c r="Q448" s="6">
        <f>IF(ActiveDatabase=Standby,Secondary!Q448,Primary!Q448)</f>
        <v>0</v>
      </c>
      <c r="R448" s="18">
        <f>IF(ActiveDatabase=Standby,Secondary!R448,Primary!R448)</f>
        <v>0</v>
      </c>
      <c r="S448" s="19">
        <f>IF(ActiveDatabase=Standby,Secondary!S448,Primary!S448)</f>
        <v>0</v>
      </c>
      <c r="T448" s="10">
        <f>IF(ActiveDatabase=Standby,Secondary!T448,Primary!T448)</f>
        <v>0</v>
      </c>
      <c r="U448" s="10">
        <f>IF(ActiveDatabase=Standby,Secondary!U448,Primary!U448)</f>
        <v>0</v>
      </c>
      <c r="V448" s="10">
        <f>IF(ActiveDatabase=Standby,Secondary!V448,Primary!V448)</f>
        <v>0</v>
      </c>
      <c r="W448" s="6">
        <f>IF(ActiveDatabase=Standby,Secondary!W448,Primary!W448)</f>
        <v>0</v>
      </c>
      <c r="X448" s="6">
        <f>IF(ActiveDatabase=Standby,Secondary!X448,Primary!X448)</f>
        <v>0</v>
      </c>
      <c r="Y448" s="12">
        <f>IF(ActiveDatabase=Standby,Secondary!Y448,Primary!Y448)</f>
        <v>0</v>
      </c>
      <c r="Z448" s="12">
        <f>IF(ActiveDatabase=Standby,Secondary!Z448,Primary!Z448)</f>
        <v>0</v>
      </c>
      <c r="AA448" s="7">
        <f>IF(ActiveDatabase=Standby,Secondary!AA448,Primary!AA448)</f>
        <v>0</v>
      </c>
      <c r="AB448" s="12"/>
      <c r="AC448" s="6"/>
      <c r="AD448" s="6"/>
      <c r="AE448" s="7"/>
      <c r="AF448" s="7"/>
      <c r="AG448" s="7"/>
      <c r="AH448" s="7"/>
      <c r="AI448" s="7"/>
      <c r="AJ448" s="7"/>
      <c r="AK448" s="7"/>
      <c r="AL448" s="7"/>
      <c r="AM448" s="7"/>
      <c r="AN448" s="7"/>
      <c r="AO448" s="6"/>
      <c r="AP448" s="7"/>
      <c r="AQ448" s="7"/>
      <c r="AR448" s="6"/>
      <c r="AS448" s="7"/>
      <c r="AT448" s="7"/>
      <c r="AU448" s="7"/>
      <c r="AV448" s="7"/>
      <c r="AW448" s="7"/>
      <c r="AX448" s="7"/>
      <c r="AY448" s="7"/>
      <c r="AZ448" s="7"/>
      <c r="BA448" s="7"/>
      <c r="BB448" s="7"/>
      <c r="BC448" s="7"/>
      <c r="BD448" s="7"/>
      <c r="BE448" s="7"/>
      <c r="BF448" s="7"/>
      <c r="BG448" s="7"/>
    </row>
    <row r="449" customHeight="1" spans="1:59">
      <c r="A449" s="9" t="str">
        <f>IF(ActiveDatabase=Standby,Secondary!A449,Primary!A449)</f>
        <v>Hurston 78</v>
      </c>
      <c r="B449" s="5" t="str">
        <f>IF(ActiveDatabase=Standby,Secondary!B449,Primary!B449)</f>
        <v>Hurston 89</v>
      </c>
      <c r="C449" s="5" t="str">
        <f>IF(ActiveDatabase=Standby,Secondary!C449,Primary!C449)</f>
        <v>Hurston 44</v>
      </c>
      <c r="D449" s="5" t="str">
        <f>IF(ActiveDatabase=Standby,Secondary!D449,Primary!D449)</f>
        <v>Sand Cave 44C</v>
      </c>
      <c r="E449" s="6" t="str">
        <f>IF(ActiveDatabase=Standby,Secondary!E449,Primary!E449)</f>
        <v>SCave 44C</v>
      </c>
      <c r="F449" s="10">
        <f>IF(ActiveDatabase=Standby,Secondary!F449,Primary!F449)</f>
        <v>36.134929091</v>
      </c>
      <c r="G449" s="10">
        <f>IF(ActiveDatabase=Standby,Secondary!G449,Primary!G449)</f>
        <v>218.316956689999</v>
      </c>
      <c r="H449" s="10">
        <f>IF(ActiveDatabase=Standby,Secondary!H449,Primary!H449)</f>
        <v>-976.071235063</v>
      </c>
      <c r="I449" s="13">
        <f>IF(ActiveDatabase=Standby,Secondary!I449,Primary!I449)</f>
        <v>0</v>
      </c>
      <c r="J449" s="13">
        <f>IF(ActiveDatabase=Standby,Secondary!J449,Primary!J449)</f>
        <v>0</v>
      </c>
      <c r="K449" s="13">
        <f>IF(ActiveDatabase=Standby,Secondary!K449,Primary!K449)</f>
        <v>0</v>
      </c>
      <c r="L449" s="13">
        <f>IF(ActiveDatabase=Standby,Secondary!L449,Primary!L449)</f>
        <v>0</v>
      </c>
      <c r="M449" s="7" t="b">
        <f>IF(ActiveDatabase=Standby,Secondary!M449,Primary!M449)</f>
        <v>0</v>
      </c>
      <c r="N449" s="10">
        <f>IF(ActiveDatabase=Standby,Secondary!N449,Primary!N449)</f>
        <v>0</v>
      </c>
      <c r="O449" s="10">
        <f>IF(ActiveDatabase=Standby,Secondary!O449,Primary!O449)</f>
        <v>0</v>
      </c>
      <c r="P449" s="10">
        <f>IF(ActiveDatabase=Standby,Secondary!P449,Primary!P449)</f>
        <v>0</v>
      </c>
      <c r="Q449" s="6">
        <f>IF(ActiveDatabase=Standby,Secondary!Q449,Primary!Q449)</f>
        <v>0</v>
      </c>
      <c r="R449" s="18">
        <f>IF(ActiveDatabase=Standby,Secondary!R449,Primary!R449)</f>
        <v>0</v>
      </c>
      <c r="S449" s="19">
        <f>IF(ActiveDatabase=Standby,Secondary!S449,Primary!S449)</f>
        <v>0</v>
      </c>
      <c r="T449" s="10">
        <f>IF(ActiveDatabase=Standby,Secondary!T449,Primary!T449)</f>
        <v>0</v>
      </c>
      <c r="U449" s="10">
        <f>IF(ActiveDatabase=Standby,Secondary!U449,Primary!U449)</f>
        <v>0</v>
      </c>
      <c r="V449" s="10">
        <f>IF(ActiveDatabase=Standby,Secondary!V449,Primary!V449)</f>
        <v>0</v>
      </c>
      <c r="W449" s="6">
        <f>IF(ActiveDatabase=Standby,Secondary!W449,Primary!W449)</f>
        <v>0</v>
      </c>
      <c r="X449" s="6">
        <f>IF(ActiveDatabase=Standby,Secondary!X449,Primary!X449)</f>
        <v>0</v>
      </c>
      <c r="Y449" s="12">
        <f>IF(ActiveDatabase=Standby,Secondary!Y449,Primary!Y449)</f>
        <v>0</v>
      </c>
      <c r="Z449" s="12">
        <f>IF(ActiveDatabase=Standby,Secondary!Z449,Primary!Z449)</f>
        <v>0</v>
      </c>
      <c r="AA449" s="7">
        <f>IF(ActiveDatabase=Standby,Secondary!AA449,Primary!AA449)</f>
        <v>0</v>
      </c>
      <c r="AB449" s="12"/>
      <c r="AC449" s="6"/>
      <c r="AD449" s="6"/>
      <c r="AE449" s="7"/>
      <c r="AF449" s="7"/>
      <c r="AG449" s="7"/>
      <c r="AH449" s="7"/>
      <c r="AI449" s="7"/>
      <c r="AJ449" s="7"/>
      <c r="AK449" s="7"/>
      <c r="AL449" s="7"/>
      <c r="AM449" s="7"/>
      <c r="AN449" s="7"/>
      <c r="AO449" s="6"/>
      <c r="AP449" s="7"/>
      <c r="AQ449" s="7"/>
      <c r="AR449" s="6"/>
      <c r="AS449" s="7"/>
      <c r="AT449" s="7"/>
      <c r="AU449" s="7"/>
      <c r="AV449" s="7"/>
      <c r="AW449" s="7"/>
      <c r="AX449" s="7"/>
      <c r="AY449" s="7"/>
      <c r="AZ449" s="7"/>
      <c r="BA449" s="7"/>
      <c r="BB449" s="7"/>
      <c r="BC449" s="7"/>
      <c r="BD449" s="7"/>
      <c r="BE449" s="7"/>
      <c r="BF449" s="7"/>
      <c r="BG449" s="7"/>
    </row>
    <row r="450" customHeight="1" spans="1:59">
      <c r="A450" s="9" t="str">
        <f>IF(ActiveDatabase=Standby,Secondary!A450,Primary!A450)</f>
        <v>Hurston 91</v>
      </c>
      <c r="B450" s="5" t="str">
        <f>IF(ActiveDatabase=Standby,Secondary!B450,Primary!B450)</f>
        <v>Hurston 102</v>
      </c>
      <c r="C450" s="5" t="str">
        <f>IF(ActiveDatabase=Standby,Secondary!C450,Primary!C450)</f>
        <v>Hurston 114</v>
      </c>
      <c r="D450" s="5" t="str">
        <f>IF(ActiveDatabase=Standby,Secondary!D450,Primary!D450)</f>
        <v>Sand Cave AZM</v>
      </c>
      <c r="E450" s="6" t="str">
        <f>IF(ActiveDatabase=Standby,Secondary!E450,Primary!E450)</f>
        <v>SCave AZM</v>
      </c>
      <c r="F450" s="10">
        <f>IF(ActiveDatabase=Standby,Secondary!F450,Primary!F450)</f>
        <v>-68.344524743</v>
      </c>
      <c r="G450" s="10">
        <f>IF(ActiveDatabase=Standby,Secondary!G450,Primary!G450)</f>
        <v>-78.164666191</v>
      </c>
      <c r="H450" s="10">
        <f>IF(ActiveDatabase=Standby,Secondary!H450,Primary!H450)</f>
        <v>-996.640330847</v>
      </c>
      <c r="I450" s="13">
        <f>IF(ActiveDatabase=Standby,Secondary!I450,Primary!I450)</f>
        <v>0</v>
      </c>
      <c r="J450" s="13">
        <f>IF(ActiveDatabase=Standby,Secondary!J450,Primary!J450)</f>
        <v>0</v>
      </c>
      <c r="K450" s="13">
        <f>IF(ActiveDatabase=Standby,Secondary!K450,Primary!K450)</f>
        <v>0</v>
      </c>
      <c r="L450" s="13">
        <f>IF(ActiveDatabase=Standby,Secondary!L450,Primary!L450)</f>
        <v>0</v>
      </c>
      <c r="M450" s="7" t="b">
        <f>IF(ActiveDatabase=Standby,Secondary!M450,Primary!M450)</f>
        <v>0</v>
      </c>
      <c r="N450" s="10">
        <f>IF(ActiveDatabase=Standby,Secondary!N450,Primary!N450)</f>
        <v>0</v>
      </c>
      <c r="O450" s="10">
        <f>IF(ActiveDatabase=Standby,Secondary!O450,Primary!O450)</f>
        <v>0</v>
      </c>
      <c r="P450" s="10">
        <f>IF(ActiveDatabase=Standby,Secondary!P450,Primary!P450)</f>
        <v>0</v>
      </c>
      <c r="Q450" s="6">
        <f>IF(ActiveDatabase=Standby,Secondary!Q450,Primary!Q450)</f>
        <v>0</v>
      </c>
      <c r="R450" s="18">
        <f>IF(ActiveDatabase=Standby,Secondary!R450,Primary!R450)</f>
        <v>0</v>
      </c>
      <c r="S450" s="19">
        <f>IF(ActiveDatabase=Standby,Secondary!S450,Primary!S450)</f>
        <v>0</v>
      </c>
      <c r="T450" s="10">
        <f>IF(ActiveDatabase=Standby,Secondary!T450,Primary!T450)</f>
        <v>0</v>
      </c>
      <c r="U450" s="10">
        <f>IF(ActiveDatabase=Standby,Secondary!U450,Primary!U450)</f>
        <v>0</v>
      </c>
      <c r="V450" s="10">
        <f>IF(ActiveDatabase=Standby,Secondary!V450,Primary!V450)</f>
        <v>0</v>
      </c>
      <c r="W450" s="6">
        <f>IF(ActiveDatabase=Standby,Secondary!W450,Primary!W450)</f>
        <v>0</v>
      </c>
      <c r="X450" s="6">
        <f>IF(ActiveDatabase=Standby,Secondary!X450,Primary!X450)</f>
        <v>0</v>
      </c>
      <c r="Y450" s="12">
        <f>IF(ActiveDatabase=Standby,Secondary!Y450,Primary!Y450)</f>
        <v>0</v>
      </c>
      <c r="Z450" s="12">
        <f>IF(ActiveDatabase=Standby,Secondary!Z450,Primary!Z450)</f>
        <v>0</v>
      </c>
      <c r="AA450" s="7">
        <f>IF(ActiveDatabase=Standby,Secondary!AA450,Primary!AA450)</f>
        <v>0</v>
      </c>
      <c r="AB450" s="12"/>
      <c r="AC450" s="6"/>
      <c r="AD450" s="6"/>
      <c r="AE450" s="7"/>
      <c r="AF450" s="7"/>
      <c r="AG450" s="7"/>
      <c r="AH450" s="7"/>
      <c r="AI450" s="7"/>
      <c r="AJ450" s="7"/>
      <c r="AK450" s="7"/>
      <c r="AL450" s="7"/>
      <c r="AM450" s="7"/>
      <c r="AN450" s="7"/>
      <c r="AO450" s="6"/>
      <c r="AP450" s="7"/>
      <c r="AQ450" s="7"/>
      <c r="AR450" s="6"/>
      <c r="AS450" s="7"/>
      <c r="AT450" s="7"/>
      <c r="AU450" s="7"/>
      <c r="AV450" s="7"/>
      <c r="AW450" s="7"/>
      <c r="AX450" s="7"/>
      <c r="AY450" s="7"/>
      <c r="AZ450" s="7"/>
      <c r="BA450" s="7"/>
      <c r="BB450" s="7"/>
      <c r="BC450" s="7"/>
      <c r="BD450" s="7"/>
      <c r="BE450" s="7"/>
      <c r="BF450" s="7"/>
      <c r="BG450" s="7"/>
    </row>
    <row r="451" customHeight="1" spans="1:59">
      <c r="A451" s="9" t="str">
        <f>IF(ActiveDatabase=Standby,Secondary!A451,Primary!A451)</f>
        <v>Hurston 89</v>
      </c>
      <c r="B451" s="5" t="str">
        <f>IF(ActiveDatabase=Standby,Secondary!B451,Primary!B451)</f>
        <v>Hurston 100</v>
      </c>
      <c r="C451" s="5" t="str">
        <f>IF(ActiveDatabase=Standby,Secondary!C451,Primary!C451)</f>
        <v>Hurston 17</v>
      </c>
      <c r="D451" s="5" t="str">
        <f>IF(ActiveDatabase=Standby,Secondary!D451,Primary!D451)</f>
        <v>Sand Cave 56D</v>
      </c>
      <c r="E451" s="6" t="str">
        <f>IF(ActiveDatabase=Standby,Secondary!E451,Primary!E451)</f>
        <v>SCave 56D</v>
      </c>
      <c r="F451" s="10">
        <f>IF(ActiveDatabase=Standby,Secondary!F451,Primary!F451)</f>
        <v>-360.868465495</v>
      </c>
      <c r="G451" s="10">
        <f>IF(ActiveDatabase=Standby,Secondary!G451,Primary!G451)</f>
        <v>201.304712765</v>
      </c>
      <c r="H451" s="10">
        <f>IF(ActiveDatabase=Standby,Secondary!H451,Primary!H451)</f>
        <v>-912.248201083999</v>
      </c>
      <c r="I451" s="13">
        <f>IF(ActiveDatabase=Standby,Secondary!I451,Primary!I451)</f>
        <v>0</v>
      </c>
      <c r="J451" s="13">
        <f>IF(ActiveDatabase=Standby,Secondary!J451,Primary!J451)</f>
        <v>0</v>
      </c>
      <c r="K451" s="13">
        <f>IF(ActiveDatabase=Standby,Secondary!K451,Primary!K451)</f>
        <v>0</v>
      </c>
      <c r="L451" s="13">
        <f>IF(ActiveDatabase=Standby,Secondary!L451,Primary!L451)</f>
        <v>0</v>
      </c>
      <c r="M451" s="7" t="b">
        <f>IF(ActiveDatabase=Standby,Secondary!M451,Primary!M451)</f>
        <v>0</v>
      </c>
      <c r="N451" s="10">
        <f>IF(ActiveDatabase=Standby,Secondary!N451,Primary!N451)</f>
        <v>0</v>
      </c>
      <c r="O451" s="10">
        <f>IF(ActiveDatabase=Standby,Secondary!O451,Primary!O451)</f>
        <v>0</v>
      </c>
      <c r="P451" s="10">
        <f>IF(ActiveDatabase=Standby,Secondary!P451,Primary!P451)</f>
        <v>0</v>
      </c>
      <c r="Q451" s="6">
        <f>IF(ActiveDatabase=Standby,Secondary!Q451,Primary!Q451)</f>
        <v>0</v>
      </c>
      <c r="R451" s="18">
        <f>IF(ActiveDatabase=Standby,Secondary!R451,Primary!R451)</f>
        <v>0</v>
      </c>
      <c r="S451" s="19">
        <f>IF(ActiveDatabase=Standby,Secondary!S451,Primary!S451)</f>
        <v>0</v>
      </c>
      <c r="T451" s="10">
        <f>IF(ActiveDatabase=Standby,Secondary!T451,Primary!T451)</f>
        <v>0</v>
      </c>
      <c r="U451" s="10">
        <f>IF(ActiveDatabase=Standby,Secondary!U451,Primary!U451)</f>
        <v>0</v>
      </c>
      <c r="V451" s="10">
        <f>IF(ActiveDatabase=Standby,Secondary!V451,Primary!V451)</f>
        <v>0</v>
      </c>
      <c r="W451" s="6">
        <f>IF(ActiveDatabase=Standby,Secondary!W451,Primary!W451)</f>
        <v>0</v>
      </c>
      <c r="X451" s="6">
        <f>IF(ActiveDatabase=Standby,Secondary!X451,Primary!X451)</f>
        <v>0</v>
      </c>
      <c r="Y451" s="12">
        <f>IF(ActiveDatabase=Standby,Secondary!Y451,Primary!Y451)</f>
        <v>0</v>
      </c>
      <c r="Z451" s="12">
        <f>IF(ActiveDatabase=Standby,Secondary!Z451,Primary!Z451)</f>
        <v>0</v>
      </c>
      <c r="AA451" s="7">
        <f>IF(ActiveDatabase=Standby,Secondary!AA451,Primary!AA451)</f>
        <v>0</v>
      </c>
      <c r="AB451" s="12"/>
      <c r="AC451" s="6"/>
      <c r="AD451" s="6"/>
      <c r="AE451" s="7"/>
      <c r="AF451" s="7"/>
      <c r="AG451" s="7"/>
      <c r="AH451" s="7"/>
      <c r="AI451" s="7"/>
      <c r="AJ451" s="7"/>
      <c r="AK451" s="7"/>
      <c r="AL451" s="7"/>
      <c r="AM451" s="7"/>
      <c r="AN451" s="7"/>
      <c r="AO451" s="6"/>
      <c r="AP451" s="7"/>
      <c r="AQ451" s="7"/>
      <c r="AR451" s="6"/>
      <c r="AS451" s="7"/>
      <c r="AT451" s="7"/>
      <c r="AU451" s="7"/>
      <c r="AV451" s="7"/>
      <c r="AW451" s="7"/>
      <c r="AX451" s="7"/>
      <c r="AY451" s="7"/>
      <c r="AZ451" s="7"/>
      <c r="BA451" s="7"/>
      <c r="BB451" s="7"/>
      <c r="BC451" s="7"/>
      <c r="BD451" s="7"/>
      <c r="BE451" s="7"/>
      <c r="BF451" s="7"/>
      <c r="BG451" s="7"/>
    </row>
    <row r="452" customHeight="1" spans="1:59">
      <c r="A452" s="9" t="str">
        <f>IF(ActiveDatabase=Standby,Secondary!A452,Primary!A452)</f>
        <v>Hurston 88</v>
      </c>
      <c r="B452" s="5" t="str">
        <f>IF(ActiveDatabase=Standby,Secondary!B452,Primary!B452)</f>
        <v>Hurston 99</v>
      </c>
      <c r="C452" s="5" t="str">
        <f>IF(ActiveDatabase=Standby,Secondary!C452,Primary!C452)</f>
        <v>Hurston 20</v>
      </c>
      <c r="D452" s="5" t="str">
        <f>IF(ActiveDatabase=Standby,Secondary!D452,Primary!D452)</f>
        <v>Sand Cave 55D</v>
      </c>
      <c r="E452" s="6" t="str">
        <f>IF(ActiveDatabase=Standby,Secondary!E452,Primary!E452)</f>
        <v>SCave 55D</v>
      </c>
      <c r="F452" s="10">
        <f>IF(ActiveDatabase=Standby,Secondary!F452,Primary!F452)</f>
        <v>-354.400339344999</v>
      </c>
      <c r="G452" s="10">
        <f>IF(ActiveDatabase=Standby,Secondary!G452,Primary!G452)</f>
        <v>230.589646842999</v>
      </c>
      <c r="H452" s="10">
        <f>IF(ActiveDatabase=Standby,Secondary!H452,Primary!H452)</f>
        <v>-907.316955919999</v>
      </c>
      <c r="I452" s="13">
        <f>IF(ActiveDatabase=Standby,Secondary!I452,Primary!I452)</f>
        <v>0</v>
      </c>
      <c r="J452" s="13">
        <f>IF(ActiveDatabase=Standby,Secondary!J452,Primary!J452)</f>
        <v>0</v>
      </c>
      <c r="K452" s="13">
        <f>IF(ActiveDatabase=Standby,Secondary!K452,Primary!K452)</f>
        <v>0</v>
      </c>
      <c r="L452" s="13">
        <f>IF(ActiveDatabase=Standby,Secondary!L452,Primary!L452)</f>
        <v>0</v>
      </c>
      <c r="M452" s="7" t="b">
        <f>IF(ActiveDatabase=Standby,Secondary!M452,Primary!M452)</f>
        <v>0</v>
      </c>
      <c r="N452" s="10">
        <f>IF(ActiveDatabase=Standby,Secondary!N452,Primary!N452)</f>
        <v>0</v>
      </c>
      <c r="O452" s="10">
        <f>IF(ActiveDatabase=Standby,Secondary!O452,Primary!O452)</f>
        <v>0</v>
      </c>
      <c r="P452" s="10">
        <f>IF(ActiveDatabase=Standby,Secondary!P452,Primary!P452)</f>
        <v>0</v>
      </c>
      <c r="Q452" s="6">
        <f>IF(ActiveDatabase=Standby,Secondary!Q452,Primary!Q452)</f>
        <v>0</v>
      </c>
      <c r="R452" s="18">
        <f>IF(ActiveDatabase=Standby,Secondary!R452,Primary!R452)</f>
        <v>0</v>
      </c>
      <c r="S452" s="19">
        <f>IF(ActiveDatabase=Standby,Secondary!S452,Primary!S452)</f>
        <v>0</v>
      </c>
      <c r="T452" s="10">
        <f>IF(ActiveDatabase=Standby,Secondary!T452,Primary!T452)</f>
        <v>0</v>
      </c>
      <c r="U452" s="10">
        <f>IF(ActiveDatabase=Standby,Secondary!U452,Primary!U452)</f>
        <v>0</v>
      </c>
      <c r="V452" s="10">
        <f>IF(ActiveDatabase=Standby,Secondary!V452,Primary!V452)</f>
        <v>0</v>
      </c>
      <c r="W452" s="6">
        <f>IF(ActiveDatabase=Standby,Secondary!W452,Primary!W452)</f>
        <v>0</v>
      </c>
      <c r="X452" s="6">
        <f>IF(ActiveDatabase=Standby,Secondary!X452,Primary!X452)</f>
        <v>0</v>
      </c>
      <c r="Y452" s="12">
        <f>IF(ActiveDatabase=Standby,Secondary!Y452,Primary!Y452)</f>
        <v>0</v>
      </c>
      <c r="Z452" s="12">
        <f>IF(ActiveDatabase=Standby,Secondary!Z452,Primary!Z452)</f>
        <v>0</v>
      </c>
      <c r="AA452" s="7">
        <f>IF(ActiveDatabase=Standby,Secondary!AA452,Primary!AA452)</f>
        <v>0</v>
      </c>
      <c r="AB452" s="12"/>
      <c r="AC452" s="6"/>
      <c r="AD452" s="6"/>
      <c r="AE452" s="7"/>
      <c r="AF452" s="7"/>
      <c r="AG452" s="7"/>
      <c r="AH452" s="7"/>
      <c r="AI452" s="7"/>
      <c r="AJ452" s="7"/>
      <c r="AK452" s="7"/>
      <c r="AL452" s="7"/>
      <c r="AM452" s="7"/>
      <c r="AN452" s="7"/>
      <c r="AO452" s="6"/>
      <c r="AP452" s="7"/>
      <c r="AQ452" s="7"/>
      <c r="AR452" s="6"/>
      <c r="AS452" s="7"/>
      <c r="AT452" s="7"/>
      <c r="AU452" s="7"/>
      <c r="AV452" s="7"/>
      <c r="AW452" s="7"/>
      <c r="AX452" s="7"/>
      <c r="AY452" s="7"/>
      <c r="AZ452" s="7"/>
      <c r="BA452" s="7"/>
      <c r="BB452" s="7"/>
      <c r="BC452" s="7"/>
      <c r="BD452" s="7"/>
      <c r="BE452" s="7"/>
      <c r="BF452" s="7"/>
      <c r="BG452" s="7"/>
    </row>
    <row r="453" customHeight="1" spans="1:59">
      <c r="A453" s="9" t="str">
        <f>IF(ActiveDatabase=Standby,Secondary!A453,Primary!A453)</f>
        <v>Hurston 81</v>
      </c>
      <c r="B453" s="5" t="str">
        <f>IF(ActiveDatabase=Standby,Secondary!B453,Primary!B453)</f>
        <v>Hurston 92</v>
      </c>
      <c r="C453" s="5" t="str">
        <f>IF(ActiveDatabase=Standby,Secondary!C453,Primary!C453)</f>
        <v>Hurston 33</v>
      </c>
      <c r="D453" s="5" t="str">
        <f>IF(ActiveDatabase=Standby,Secondary!D453,Primary!D453)</f>
        <v>Sand Cave 49D</v>
      </c>
      <c r="E453" s="6" t="str">
        <f>IF(ActiveDatabase=Standby,Secondary!E453,Primary!E453)</f>
        <v>SCave 49D</v>
      </c>
      <c r="F453" s="10">
        <f>IF(ActiveDatabase=Standby,Secondary!F453,Primary!F453)</f>
        <v>-119.644923536</v>
      </c>
      <c r="G453" s="10">
        <f>IF(ActiveDatabase=Standby,Secondary!G453,Primary!G453)</f>
        <v>293.534638668</v>
      </c>
      <c r="H453" s="10">
        <f>IF(ActiveDatabase=Standby,Secondary!H453,Primary!H453)</f>
        <v>-949.420487929999</v>
      </c>
      <c r="I453" s="13">
        <f>IF(ActiveDatabase=Standby,Secondary!I453,Primary!I453)</f>
        <v>0</v>
      </c>
      <c r="J453" s="13">
        <f>IF(ActiveDatabase=Standby,Secondary!J453,Primary!J453)</f>
        <v>0</v>
      </c>
      <c r="K453" s="13">
        <f>IF(ActiveDatabase=Standby,Secondary!K453,Primary!K453)</f>
        <v>0</v>
      </c>
      <c r="L453" s="13">
        <f>IF(ActiveDatabase=Standby,Secondary!L453,Primary!L453)</f>
        <v>0</v>
      </c>
      <c r="M453" s="7" t="b">
        <f>IF(ActiveDatabase=Standby,Secondary!M453,Primary!M453)</f>
        <v>0</v>
      </c>
      <c r="N453" s="10">
        <f>IF(ActiveDatabase=Standby,Secondary!N453,Primary!N453)</f>
        <v>0</v>
      </c>
      <c r="O453" s="10">
        <f>IF(ActiveDatabase=Standby,Secondary!O453,Primary!O453)</f>
        <v>0</v>
      </c>
      <c r="P453" s="10">
        <f>IF(ActiveDatabase=Standby,Secondary!P453,Primary!P453)</f>
        <v>0</v>
      </c>
      <c r="Q453" s="6">
        <f>IF(ActiveDatabase=Standby,Secondary!Q453,Primary!Q453)</f>
        <v>0</v>
      </c>
      <c r="R453" s="18">
        <f>IF(ActiveDatabase=Standby,Secondary!R453,Primary!R453)</f>
        <v>0</v>
      </c>
      <c r="S453" s="19">
        <f>IF(ActiveDatabase=Standby,Secondary!S453,Primary!S453)</f>
        <v>0</v>
      </c>
      <c r="T453" s="10">
        <f>IF(ActiveDatabase=Standby,Secondary!T453,Primary!T453)</f>
        <v>0</v>
      </c>
      <c r="U453" s="10">
        <f>IF(ActiveDatabase=Standby,Secondary!U453,Primary!U453)</f>
        <v>0</v>
      </c>
      <c r="V453" s="10">
        <f>IF(ActiveDatabase=Standby,Secondary!V453,Primary!V453)</f>
        <v>0</v>
      </c>
      <c r="W453" s="6">
        <f>IF(ActiveDatabase=Standby,Secondary!W453,Primary!W453)</f>
        <v>0</v>
      </c>
      <c r="X453" s="6">
        <f>IF(ActiveDatabase=Standby,Secondary!X453,Primary!X453)</f>
        <v>0</v>
      </c>
      <c r="Y453" s="12">
        <f>IF(ActiveDatabase=Standby,Secondary!Y453,Primary!Y453)</f>
        <v>0</v>
      </c>
      <c r="Z453" s="12">
        <f>IF(ActiveDatabase=Standby,Secondary!Z453,Primary!Z453)</f>
        <v>0</v>
      </c>
      <c r="AA453" s="7">
        <f>IF(ActiveDatabase=Standby,Secondary!AA453,Primary!AA453)</f>
        <v>0</v>
      </c>
      <c r="AB453" s="12"/>
      <c r="AC453" s="6"/>
      <c r="AD453" s="6"/>
      <c r="AE453" s="7"/>
      <c r="AF453" s="7"/>
      <c r="AG453" s="7"/>
      <c r="AH453" s="7"/>
      <c r="AI453" s="7"/>
      <c r="AJ453" s="7"/>
      <c r="AK453" s="7"/>
      <c r="AL453" s="7"/>
      <c r="AM453" s="7"/>
      <c r="AN453" s="7"/>
      <c r="AO453" s="6"/>
      <c r="AP453" s="7"/>
      <c r="AQ453" s="7"/>
      <c r="AR453" s="6"/>
      <c r="AS453" s="7"/>
      <c r="AT453" s="7"/>
      <c r="AU453" s="7"/>
      <c r="AV453" s="7"/>
      <c r="AW453" s="7"/>
      <c r="AX453" s="7"/>
      <c r="AY453" s="7"/>
      <c r="AZ453" s="7"/>
      <c r="BA453" s="7"/>
      <c r="BB453" s="7"/>
      <c r="BC453" s="7"/>
      <c r="BD453" s="7"/>
      <c r="BE453" s="7"/>
      <c r="BF453" s="7"/>
      <c r="BG453" s="7"/>
    </row>
    <row r="454" customHeight="1" spans="1:59">
      <c r="A454" s="9" t="str">
        <f>IF(ActiveDatabase=Standby,Secondary!A454,Primary!A454)</f>
        <v>Hurston 71</v>
      </c>
      <c r="B454" s="5" t="str">
        <f>IF(ActiveDatabase=Standby,Secondary!B454,Primary!B454)</f>
        <v>Hurston 82</v>
      </c>
      <c r="C454" s="5" t="str">
        <f>IF(ActiveDatabase=Standby,Secondary!C454,Primary!C454)</f>
        <v>Hurston 70</v>
      </c>
      <c r="D454" s="5" t="str">
        <f>IF(ActiveDatabase=Standby,Secondary!D454,Primary!D454)</f>
        <v>Sand Cave 26C</v>
      </c>
      <c r="E454" s="6" t="str">
        <f>IF(ActiveDatabase=Standby,Secondary!E454,Primary!E454)</f>
        <v>SCave 26C</v>
      </c>
      <c r="F454" s="10">
        <f>IF(ActiveDatabase=Standby,Secondary!F454,Primary!F454)</f>
        <v>153.296024222999</v>
      </c>
      <c r="G454" s="10">
        <f>IF(ActiveDatabase=Standby,Secondary!G454,Primary!G454)</f>
        <v>-86.865282051</v>
      </c>
      <c r="H454" s="10">
        <f>IF(ActiveDatabase=Standby,Secondary!H454,Primary!H454)</f>
        <v>-985.508011107</v>
      </c>
      <c r="I454" s="13">
        <f>IF(ActiveDatabase=Standby,Secondary!I454,Primary!I454)</f>
        <v>0</v>
      </c>
      <c r="J454" s="13">
        <f>IF(ActiveDatabase=Standby,Secondary!J454,Primary!J454)</f>
        <v>0</v>
      </c>
      <c r="K454" s="13">
        <f>IF(ActiveDatabase=Standby,Secondary!K454,Primary!K454)</f>
        <v>0</v>
      </c>
      <c r="L454" s="13">
        <f>IF(ActiveDatabase=Standby,Secondary!L454,Primary!L454)</f>
        <v>0</v>
      </c>
      <c r="M454" s="7" t="b">
        <f>IF(ActiveDatabase=Standby,Secondary!M454,Primary!M454)</f>
        <v>0</v>
      </c>
      <c r="N454" s="10">
        <f>IF(ActiveDatabase=Standby,Secondary!N454,Primary!N454)</f>
        <v>0</v>
      </c>
      <c r="O454" s="10">
        <f>IF(ActiveDatabase=Standby,Secondary!O454,Primary!O454)</f>
        <v>0</v>
      </c>
      <c r="P454" s="10">
        <f>IF(ActiveDatabase=Standby,Secondary!P454,Primary!P454)</f>
        <v>0</v>
      </c>
      <c r="Q454" s="6">
        <f>IF(ActiveDatabase=Standby,Secondary!Q454,Primary!Q454)</f>
        <v>0</v>
      </c>
      <c r="R454" s="18">
        <f>IF(ActiveDatabase=Standby,Secondary!R454,Primary!R454)</f>
        <v>0</v>
      </c>
      <c r="S454" s="19">
        <f>IF(ActiveDatabase=Standby,Secondary!S454,Primary!S454)</f>
        <v>0</v>
      </c>
      <c r="T454" s="10">
        <f>IF(ActiveDatabase=Standby,Secondary!T454,Primary!T454)</f>
        <v>0</v>
      </c>
      <c r="U454" s="10">
        <f>IF(ActiveDatabase=Standby,Secondary!U454,Primary!U454)</f>
        <v>0</v>
      </c>
      <c r="V454" s="10">
        <f>IF(ActiveDatabase=Standby,Secondary!V454,Primary!V454)</f>
        <v>0</v>
      </c>
      <c r="W454" s="6">
        <f>IF(ActiveDatabase=Standby,Secondary!W454,Primary!W454)</f>
        <v>0</v>
      </c>
      <c r="X454" s="6">
        <f>IF(ActiveDatabase=Standby,Secondary!X454,Primary!X454)</f>
        <v>0</v>
      </c>
      <c r="Y454" s="12">
        <f>IF(ActiveDatabase=Standby,Secondary!Y454,Primary!Y454)</f>
        <v>0</v>
      </c>
      <c r="Z454" s="12">
        <f>IF(ActiveDatabase=Standby,Secondary!Z454,Primary!Z454)</f>
        <v>0</v>
      </c>
      <c r="AA454" s="7">
        <f>IF(ActiveDatabase=Standby,Secondary!AA454,Primary!AA454)</f>
        <v>0</v>
      </c>
      <c r="AB454" s="12"/>
      <c r="AC454" s="6"/>
      <c r="AD454" s="6"/>
      <c r="AE454" s="7"/>
      <c r="AF454" s="7"/>
      <c r="AG454" s="7"/>
      <c r="AH454" s="7"/>
      <c r="AI454" s="7"/>
      <c r="AJ454" s="7"/>
      <c r="AK454" s="7"/>
      <c r="AL454" s="7"/>
      <c r="AM454" s="7"/>
      <c r="AN454" s="7"/>
      <c r="AO454" s="6"/>
      <c r="AP454" s="7"/>
      <c r="AQ454" s="7"/>
      <c r="AR454" s="6"/>
      <c r="AS454" s="7"/>
      <c r="AT454" s="7"/>
      <c r="AU454" s="7"/>
      <c r="AV454" s="7"/>
      <c r="AW454" s="7"/>
      <c r="AX454" s="7"/>
      <c r="AY454" s="7"/>
      <c r="AZ454" s="7"/>
      <c r="BA454" s="7"/>
      <c r="BB454" s="7"/>
      <c r="BC454" s="7"/>
      <c r="BD454" s="7"/>
      <c r="BE454" s="7"/>
      <c r="BF454" s="7"/>
      <c r="BG454" s="7"/>
    </row>
    <row r="455" customHeight="1" spans="1:59">
      <c r="A455" s="9" t="str">
        <f>IF(ActiveDatabase=Standby,Secondary!A455,Primary!A455)</f>
        <v>Hurston 92</v>
      </c>
      <c r="B455" s="5" t="str">
        <f>IF(ActiveDatabase=Standby,Secondary!B455,Primary!B455)</f>
        <v>Hurston 103</v>
      </c>
      <c r="C455" s="5" t="str">
        <f>IF(ActiveDatabase=Standby,Secondary!C455,Primary!C455)</f>
        <v>Hurston 86</v>
      </c>
      <c r="D455" s="5" t="str">
        <f>IF(ActiveDatabase=Standby,Secondary!D455,Primary!D455)</f>
        <v>Sand Cave AZN-200</v>
      </c>
      <c r="E455" s="6" t="str">
        <f>IF(ActiveDatabase=Standby,Secondary!E455,Primary!E455)</f>
        <v>SCave AZN200</v>
      </c>
      <c r="F455" s="10">
        <f>IF(ActiveDatabase=Standby,Secondary!F455,Primary!F455)</f>
        <v>3.396660426</v>
      </c>
      <c r="G455" s="10">
        <f>IF(ActiveDatabase=Standby,Secondary!G455,Primary!G455)</f>
        <v>-20.294459174</v>
      </c>
      <c r="H455" s="10">
        <f>IF(ActiveDatabase=Standby,Secondary!H455,Primary!H455)</f>
        <v>-1000.285944215</v>
      </c>
      <c r="I455" s="13">
        <f>IF(ActiveDatabase=Standby,Secondary!I455,Primary!I455)</f>
        <v>0</v>
      </c>
      <c r="J455" s="13">
        <f>IF(ActiveDatabase=Standby,Secondary!J455,Primary!J455)</f>
        <v>0</v>
      </c>
      <c r="K455" s="13">
        <f>IF(ActiveDatabase=Standby,Secondary!K455,Primary!K455)</f>
        <v>0</v>
      </c>
      <c r="L455" s="13">
        <f>IF(ActiveDatabase=Standby,Secondary!L455,Primary!L455)</f>
        <v>0</v>
      </c>
      <c r="M455" s="7" t="b">
        <f>IF(ActiveDatabase=Standby,Secondary!M455,Primary!M455)</f>
        <v>0</v>
      </c>
      <c r="N455" s="10">
        <f>IF(ActiveDatabase=Standby,Secondary!N455,Primary!N455)</f>
        <v>0</v>
      </c>
      <c r="O455" s="10">
        <f>IF(ActiveDatabase=Standby,Secondary!O455,Primary!O455)</f>
        <v>0</v>
      </c>
      <c r="P455" s="10">
        <f>IF(ActiveDatabase=Standby,Secondary!P455,Primary!P455)</f>
        <v>0</v>
      </c>
      <c r="Q455" s="6">
        <f>IF(ActiveDatabase=Standby,Secondary!Q455,Primary!Q455)</f>
        <v>0</v>
      </c>
      <c r="R455" s="18">
        <f>IF(ActiveDatabase=Standby,Secondary!R455,Primary!R455)</f>
        <v>0</v>
      </c>
      <c r="S455" s="19">
        <f>IF(ActiveDatabase=Standby,Secondary!S455,Primary!S455)</f>
        <v>0</v>
      </c>
      <c r="T455" s="10">
        <f>IF(ActiveDatabase=Standby,Secondary!T455,Primary!T455)</f>
        <v>0</v>
      </c>
      <c r="U455" s="10">
        <f>IF(ActiveDatabase=Standby,Secondary!U455,Primary!U455)</f>
        <v>0</v>
      </c>
      <c r="V455" s="10">
        <f>IF(ActiveDatabase=Standby,Secondary!V455,Primary!V455)</f>
        <v>0</v>
      </c>
      <c r="W455" s="6">
        <f>IF(ActiveDatabase=Standby,Secondary!W455,Primary!W455)</f>
        <v>0</v>
      </c>
      <c r="X455" s="6">
        <f>IF(ActiveDatabase=Standby,Secondary!X455,Primary!X455)</f>
        <v>0</v>
      </c>
      <c r="Y455" s="12">
        <f>IF(ActiveDatabase=Standby,Secondary!Y455,Primary!Y455)</f>
        <v>0</v>
      </c>
      <c r="Z455" s="12">
        <f>IF(ActiveDatabase=Standby,Secondary!Z455,Primary!Z455)</f>
        <v>0</v>
      </c>
      <c r="AA455" s="23">
        <f>IF(ActiveDatabase=Standby,Secondary!AA455,Primary!AA455)</f>
        <v>0</v>
      </c>
      <c r="AB455" s="12"/>
      <c r="AC455" s="6"/>
      <c r="AD455" s="6"/>
      <c r="AE455" s="7"/>
      <c r="AF455" s="7"/>
      <c r="AG455" s="7"/>
      <c r="AH455" s="7"/>
      <c r="AI455" s="7"/>
      <c r="AJ455" s="7"/>
      <c r="AK455" s="7"/>
      <c r="AL455" s="7"/>
      <c r="AM455" s="7"/>
      <c r="AN455" s="7"/>
      <c r="AO455" s="6"/>
      <c r="AP455" s="7"/>
      <c r="AQ455" s="7"/>
      <c r="AR455" s="6"/>
      <c r="AS455" s="23"/>
      <c r="AT455" s="23"/>
      <c r="AU455" s="23"/>
      <c r="AV455" s="23"/>
      <c r="AW455" s="23"/>
      <c r="AX455" s="23"/>
      <c r="AY455" s="23"/>
      <c r="AZ455" s="23"/>
      <c r="BA455" s="23"/>
      <c r="BB455" s="23"/>
      <c r="BC455" s="23"/>
      <c r="BD455" s="23"/>
      <c r="BE455" s="23"/>
      <c r="BF455" s="23"/>
      <c r="BG455" s="23"/>
    </row>
    <row r="456" customHeight="1" spans="1:59">
      <c r="A456" s="9" t="str">
        <f>IF(ActiveDatabase=Standby,Secondary!A456,Primary!A456)</f>
        <v>Hurston 93</v>
      </c>
      <c r="B456" s="5" t="str">
        <f>IF(ActiveDatabase=Standby,Secondary!B456,Primary!B456)</f>
        <v>Hurston 104</v>
      </c>
      <c r="C456" s="5" t="str">
        <f>IF(ActiveDatabase=Standby,Secondary!C456,Primary!C456)</f>
        <v>Hurston 85</v>
      </c>
      <c r="D456" s="5" t="str">
        <f>IF(ActiveDatabase=Standby,Secondary!D456,Primary!D456)</f>
        <v>Sand Cave AZN-208</v>
      </c>
      <c r="E456" s="6" t="str">
        <f>IF(ActiveDatabase=Standby,Secondary!E456,Primary!E456)</f>
        <v>SCave AZN208</v>
      </c>
      <c r="F456" s="10">
        <f>IF(ActiveDatabase=Standby,Secondary!F456,Primary!F456)</f>
        <v>9.327399858</v>
      </c>
      <c r="G456" s="10">
        <f>IF(ActiveDatabase=Standby,Secondary!G456,Primary!G456)</f>
        <v>-38.798153614</v>
      </c>
      <c r="H456" s="10">
        <f>IF(ActiveDatabase=Standby,Secondary!H456,Primary!H456)</f>
        <v>-999.704683212999</v>
      </c>
      <c r="I456" s="13">
        <f>IF(ActiveDatabase=Standby,Secondary!I456,Primary!I456)</f>
        <v>0</v>
      </c>
      <c r="J456" s="13">
        <f>IF(ActiveDatabase=Standby,Secondary!J456,Primary!J456)</f>
        <v>0</v>
      </c>
      <c r="K456" s="13">
        <f>IF(ActiveDatabase=Standby,Secondary!K456,Primary!K456)</f>
        <v>0</v>
      </c>
      <c r="L456" s="13">
        <f>IF(ActiveDatabase=Standby,Secondary!L456,Primary!L456)</f>
        <v>0</v>
      </c>
      <c r="M456" s="7" t="b">
        <f>IF(ActiveDatabase=Standby,Secondary!M456,Primary!M456)</f>
        <v>0</v>
      </c>
      <c r="N456" s="10">
        <f>IF(ActiveDatabase=Standby,Secondary!N456,Primary!N456)</f>
        <v>0</v>
      </c>
      <c r="O456" s="10">
        <f>IF(ActiveDatabase=Standby,Secondary!O456,Primary!O456)</f>
        <v>0</v>
      </c>
      <c r="P456" s="10">
        <f>IF(ActiveDatabase=Standby,Secondary!P456,Primary!P456)</f>
        <v>0</v>
      </c>
      <c r="Q456" s="6">
        <f>IF(ActiveDatabase=Standby,Secondary!Q456,Primary!Q456)</f>
        <v>0</v>
      </c>
      <c r="R456" s="18">
        <f>IF(ActiveDatabase=Standby,Secondary!R456,Primary!R456)</f>
        <v>0</v>
      </c>
      <c r="S456" s="19">
        <f>IF(ActiveDatabase=Standby,Secondary!S456,Primary!S456)</f>
        <v>0</v>
      </c>
      <c r="T456" s="10">
        <f>IF(ActiveDatabase=Standby,Secondary!T456,Primary!T456)</f>
        <v>0</v>
      </c>
      <c r="U456" s="10">
        <f>IF(ActiveDatabase=Standby,Secondary!U456,Primary!U456)</f>
        <v>0</v>
      </c>
      <c r="V456" s="10">
        <f>IF(ActiveDatabase=Standby,Secondary!V456,Primary!V456)</f>
        <v>0</v>
      </c>
      <c r="W456" s="6">
        <f>IF(ActiveDatabase=Standby,Secondary!W456,Primary!W456)</f>
        <v>0</v>
      </c>
      <c r="X456" s="6">
        <f>IF(ActiveDatabase=Standby,Secondary!X456,Primary!X456)</f>
        <v>0</v>
      </c>
      <c r="Y456" s="12">
        <f>IF(ActiveDatabase=Standby,Secondary!Y456,Primary!Y456)</f>
        <v>0</v>
      </c>
      <c r="Z456" s="12">
        <f>IF(ActiveDatabase=Standby,Secondary!Z456,Primary!Z456)</f>
        <v>0</v>
      </c>
      <c r="AA456" s="23">
        <f>IF(ActiveDatabase=Standby,Secondary!AA456,Primary!AA456)</f>
        <v>0</v>
      </c>
      <c r="AB456" s="12"/>
      <c r="AC456" s="6"/>
      <c r="AD456" s="6"/>
      <c r="AE456" s="7"/>
      <c r="AF456" s="7"/>
      <c r="AG456" s="7"/>
      <c r="AH456" s="7"/>
      <c r="AI456" s="7"/>
      <c r="AJ456" s="7"/>
      <c r="AK456" s="7"/>
      <c r="AL456" s="7"/>
      <c r="AM456" s="7"/>
      <c r="AN456" s="7"/>
      <c r="AO456" s="6"/>
      <c r="AP456" s="7"/>
      <c r="AQ456" s="7"/>
      <c r="AR456" s="6"/>
      <c r="AS456" s="23"/>
      <c r="AT456" s="23"/>
      <c r="AU456" s="23"/>
      <c r="AV456" s="23"/>
      <c r="AW456" s="23"/>
      <c r="AX456" s="23"/>
      <c r="AY456" s="23"/>
      <c r="AZ456" s="23"/>
      <c r="BA456" s="23"/>
      <c r="BB456" s="23"/>
      <c r="BC456" s="23"/>
      <c r="BD456" s="23"/>
      <c r="BE456" s="23"/>
      <c r="BF456" s="23"/>
      <c r="BG456" s="23"/>
    </row>
    <row r="457" customHeight="1" spans="1:59">
      <c r="A457" s="9" t="str">
        <f>IF(ActiveDatabase=Standby,Secondary!A457,Primary!A457)</f>
        <v>Hurston 96</v>
      </c>
      <c r="B457" s="5" t="str">
        <f>IF(ActiveDatabase=Standby,Secondary!B457,Primary!B457)</f>
        <v>Hurston 107</v>
      </c>
      <c r="C457" s="5" t="str">
        <f>IF(ActiveDatabase=Standby,Secondary!C457,Primary!C457)</f>
        <v>Hurston 38</v>
      </c>
      <c r="D457" s="5" t="str">
        <f>IF(ActiveDatabase=Standby,Secondary!D457,Primary!D457)</f>
        <v>Sand Cave BAM</v>
      </c>
      <c r="E457" s="6" t="str">
        <f>IF(ActiveDatabase=Standby,Secondary!E457,Primary!E457)</f>
        <v>SCave BAM</v>
      </c>
      <c r="F457" s="10">
        <f>IF(ActiveDatabase=Standby,Secondary!F457,Primary!F457)</f>
        <v>-6.55264179</v>
      </c>
      <c r="G457" s="10">
        <f>IF(ActiveDatabase=Standby,Secondary!G457,Primary!G457)</f>
        <v>62.506591939</v>
      </c>
      <c r="H457" s="10">
        <f>IF(ActiveDatabase=Standby,Secondary!H457,Primary!H457)</f>
        <v>-998.502425011</v>
      </c>
      <c r="I457" s="13">
        <f>IF(ActiveDatabase=Standby,Secondary!I457,Primary!I457)</f>
        <v>0</v>
      </c>
      <c r="J457" s="13">
        <f>IF(ActiveDatabase=Standby,Secondary!J457,Primary!J457)</f>
        <v>0</v>
      </c>
      <c r="K457" s="13">
        <f>IF(ActiveDatabase=Standby,Secondary!K457,Primary!K457)</f>
        <v>0</v>
      </c>
      <c r="L457" s="13">
        <f>IF(ActiveDatabase=Standby,Secondary!L457,Primary!L457)</f>
        <v>0</v>
      </c>
      <c r="M457" s="7" t="b">
        <f>IF(ActiveDatabase=Standby,Secondary!M457,Primary!M457)</f>
        <v>0</v>
      </c>
      <c r="N457" s="10">
        <f>IF(ActiveDatabase=Standby,Secondary!N457,Primary!N457)</f>
        <v>0</v>
      </c>
      <c r="O457" s="10">
        <f>IF(ActiveDatabase=Standby,Secondary!O457,Primary!O457)</f>
        <v>0</v>
      </c>
      <c r="P457" s="10">
        <f>IF(ActiveDatabase=Standby,Secondary!P457,Primary!P457)</f>
        <v>0</v>
      </c>
      <c r="Q457" s="6">
        <f>IF(ActiveDatabase=Standby,Secondary!Q457,Primary!Q457)</f>
        <v>0</v>
      </c>
      <c r="R457" s="18">
        <f>IF(ActiveDatabase=Standby,Secondary!R457,Primary!R457)</f>
        <v>0</v>
      </c>
      <c r="S457" s="19">
        <f>IF(ActiveDatabase=Standby,Secondary!S457,Primary!S457)</f>
        <v>0</v>
      </c>
      <c r="T457" s="10">
        <f>IF(ActiveDatabase=Standby,Secondary!T457,Primary!T457)</f>
        <v>0</v>
      </c>
      <c r="U457" s="10">
        <f>IF(ActiveDatabase=Standby,Secondary!U457,Primary!U457)</f>
        <v>0</v>
      </c>
      <c r="V457" s="10">
        <f>IF(ActiveDatabase=Standby,Secondary!V457,Primary!V457)</f>
        <v>0</v>
      </c>
      <c r="W457" s="6">
        <f>IF(ActiveDatabase=Standby,Secondary!W457,Primary!W457)</f>
        <v>0</v>
      </c>
      <c r="X457" s="6">
        <f>IF(ActiveDatabase=Standby,Secondary!X457,Primary!X457)</f>
        <v>0</v>
      </c>
      <c r="Y457" s="12">
        <f>IF(ActiveDatabase=Standby,Secondary!Y457,Primary!Y457)</f>
        <v>0</v>
      </c>
      <c r="Z457" s="12">
        <f>IF(ActiveDatabase=Standby,Secondary!Z457,Primary!Z457)</f>
        <v>0</v>
      </c>
      <c r="AA457" s="7">
        <f>IF(ActiveDatabase=Standby,Secondary!AA457,Primary!AA457)</f>
        <v>0</v>
      </c>
      <c r="AB457" s="12"/>
      <c r="AC457" s="6"/>
      <c r="AD457" s="6"/>
      <c r="AE457" s="7"/>
      <c r="AF457" s="7"/>
      <c r="AG457" s="7"/>
      <c r="AH457" s="7"/>
      <c r="AI457" s="7"/>
      <c r="AJ457" s="7"/>
      <c r="AK457" s="7"/>
      <c r="AL457" s="7"/>
      <c r="AM457" s="7"/>
      <c r="AN457" s="7"/>
      <c r="AO457" s="6"/>
      <c r="AP457" s="7"/>
      <c r="AQ457" s="7"/>
      <c r="AR457" s="6"/>
      <c r="AS457" s="7"/>
      <c r="AT457" s="7"/>
      <c r="AU457" s="7"/>
      <c r="AV457" s="7"/>
      <c r="AW457" s="7"/>
      <c r="AX457" s="7"/>
      <c r="AY457" s="7"/>
      <c r="AZ457" s="7"/>
      <c r="BA457" s="7"/>
      <c r="BB457" s="7"/>
      <c r="BC457" s="7"/>
      <c r="BD457" s="7"/>
      <c r="BE457" s="7"/>
      <c r="BF457" s="7"/>
      <c r="BG457" s="7"/>
    </row>
    <row r="458" customHeight="1" spans="1:59">
      <c r="A458" s="9" t="str">
        <f>IF(ActiveDatabase=Standby,Secondary!A458,Primary!A458)</f>
        <v>Hurston 97</v>
      </c>
      <c r="B458" s="5" t="str">
        <f>IF(ActiveDatabase=Standby,Secondary!B458,Primary!B458)</f>
        <v>Hurston 108</v>
      </c>
      <c r="C458" s="5" t="str">
        <f>IF(ActiveDatabase=Standby,Secondary!C458,Primary!C458)</f>
        <v>Hurston 58</v>
      </c>
      <c r="D458" s="5" t="str">
        <f>IF(ActiveDatabase=Standby,Secondary!D458,Primary!D458)</f>
        <v>Sand Cave BAN</v>
      </c>
      <c r="E458" s="6" t="str">
        <f>IF(ActiveDatabase=Standby,Secondary!E458,Primary!E458)</f>
        <v>SCave BAN</v>
      </c>
      <c r="F458" s="10">
        <f>IF(ActiveDatabase=Standby,Secondary!F458,Primary!F458)</f>
        <v>100.201785122999</v>
      </c>
      <c r="G458" s="10">
        <f>IF(ActiveDatabase=Standby,Secondary!G458,Primary!G458)</f>
        <v>8.47903302</v>
      </c>
      <c r="H458" s="10">
        <f>IF(ActiveDatabase=Standby,Secondary!H458,Primary!H458)</f>
        <v>-995.842686381999</v>
      </c>
      <c r="I458" s="13">
        <f>IF(ActiveDatabase=Standby,Secondary!I458,Primary!I458)</f>
        <v>0</v>
      </c>
      <c r="J458" s="13">
        <f>IF(ActiveDatabase=Standby,Secondary!J458,Primary!J458)</f>
        <v>0</v>
      </c>
      <c r="K458" s="13">
        <f>IF(ActiveDatabase=Standby,Secondary!K458,Primary!K458)</f>
        <v>0</v>
      </c>
      <c r="L458" s="13">
        <f>IF(ActiveDatabase=Standby,Secondary!L458,Primary!L458)</f>
        <v>0</v>
      </c>
      <c r="M458" s="7" t="b">
        <f>IF(ActiveDatabase=Standby,Secondary!M458,Primary!M458)</f>
        <v>0</v>
      </c>
      <c r="N458" s="10">
        <f>IF(ActiveDatabase=Standby,Secondary!N458,Primary!N458)</f>
        <v>0</v>
      </c>
      <c r="O458" s="10">
        <f>IF(ActiveDatabase=Standby,Secondary!O458,Primary!O458)</f>
        <v>0</v>
      </c>
      <c r="P458" s="10">
        <f>IF(ActiveDatabase=Standby,Secondary!P458,Primary!P458)</f>
        <v>0</v>
      </c>
      <c r="Q458" s="6">
        <f>IF(ActiveDatabase=Standby,Secondary!Q458,Primary!Q458)</f>
        <v>0</v>
      </c>
      <c r="R458" s="18">
        <f>IF(ActiveDatabase=Standby,Secondary!R458,Primary!R458)</f>
        <v>0</v>
      </c>
      <c r="S458" s="19">
        <f>IF(ActiveDatabase=Standby,Secondary!S458,Primary!S458)</f>
        <v>0</v>
      </c>
      <c r="T458" s="10">
        <f>IF(ActiveDatabase=Standby,Secondary!T458,Primary!T458)</f>
        <v>0</v>
      </c>
      <c r="U458" s="10">
        <f>IF(ActiveDatabase=Standby,Secondary!U458,Primary!U458)</f>
        <v>0</v>
      </c>
      <c r="V458" s="10">
        <f>IF(ActiveDatabase=Standby,Secondary!V458,Primary!V458)</f>
        <v>0</v>
      </c>
      <c r="W458" s="6">
        <f>IF(ActiveDatabase=Standby,Secondary!W458,Primary!W458)</f>
        <v>0</v>
      </c>
      <c r="X458" s="6">
        <f>IF(ActiveDatabase=Standby,Secondary!X458,Primary!X458)</f>
        <v>0</v>
      </c>
      <c r="Y458" s="12">
        <f>IF(ActiveDatabase=Standby,Secondary!Y458,Primary!Y458)</f>
        <v>0</v>
      </c>
      <c r="Z458" s="12">
        <f>IF(ActiveDatabase=Standby,Secondary!Z458,Primary!Z458)</f>
        <v>0</v>
      </c>
      <c r="AA458" s="7">
        <f>IF(ActiveDatabase=Standby,Secondary!AA458,Primary!AA458)</f>
        <v>0</v>
      </c>
      <c r="AB458" s="12"/>
      <c r="AC458" s="6"/>
      <c r="AD458" s="6"/>
      <c r="AE458" s="7"/>
      <c r="AF458" s="7"/>
      <c r="AG458" s="7"/>
      <c r="AH458" s="7"/>
      <c r="AI458" s="7"/>
      <c r="AJ458" s="7"/>
      <c r="AK458" s="7"/>
      <c r="AL458" s="7"/>
      <c r="AM458" s="7"/>
      <c r="AN458" s="7"/>
      <c r="AO458" s="6"/>
      <c r="AP458" s="7"/>
      <c r="AQ458" s="7"/>
      <c r="AR458" s="6"/>
      <c r="AS458" s="7"/>
      <c r="AT458" s="7"/>
      <c r="AU458" s="7"/>
      <c r="AV458" s="7"/>
      <c r="AW458" s="7"/>
      <c r="AX458" s="7"/>
      <c r="AY458" s="7"/>
      <c r="AZ458" s="7"/>
      <c r="BA458" s="7"/>
      <c r="BB458" s="7"/>
      <c r="BC458" s="7"/>
      <c r="BD458" s="7"/>
      <c r="BE458" s="7"/>
      <c r="BF458" s="7"/>
      <c r="BG458" s="7"/>
    </row>
    <row r="459" customHeight="1" spans="1:59">
      <c r="A459" s="9" t="str">
        <f>IF(ActiveDatabase=Standby,Secondary!A459,Primary!A459)</f>
        <v>Hurston 95</v>
      </c>
      <c r="B459" s="5" t="str">
        <f>IF(ActiveDatabase=Standby,Secondary!B459,Primary!B459)</f>
        <v>Hurston 106</v>
      </c>
      <c r="C459" s="5" t="str">
        <f>IF(ActiveDatabase=Standby,Secondary!C459,Primary!C459)</f>
        <v>Hurston 69</v>
      </c>
      <c r="D459" s="5" t="str">
        <f>IF(ActiveDatabase=Standby,Secondary!D459,Primary!D459)</f>
        <v>Sand Cave AZN-307</v>
      </c>
      <c r="E459" s="6" t="str">
        <f>IF(ActiveDatabase=Standby,Secondary!E459,Primary!E459)</f>
        <v>SCave AZN-307</v>
      </c>
      <c r="F459" s="10">
        <f>IF(ActiveDatabase=Standby,Secondary!F459,Primary!F459)</f>
        <v>87.843186725</v>
      </c>
      <c r="G459" s="10">
        <f>IF(ActiveDatabase=Standby,Secondary!G459,Primary!G459)</f>
        <v>-43.81691266</v>
      </c>
      <c r="H459" s="10">
        <f>IF(ActiveDatabase=Standby,Secondary!H459,Primary!H459)</f>
        <v>-996.015868871</v>
      </c>
      <c r="I459" s="13">
        <f>IF(ActiveDatabase=Standby,Secondary!I459,Primary!I459)</f>
        <v>0</v>
      </c>
      <c r="J459" s="13">
        <f>IF(ActiveDatabase=Standby,Secondary!J459,Primary!J459)</f>
        <v>0</v>
      </c>
      <c r="K459" s="13">
        <f>IF(ActiveDatabase=Standby,Secondary!K459,Primary!K459)</f>
        <v>0</v>
      </c>
      <c r="L459" s="13">
        <f>IF(ActiveDatabase=Standby,Secondary!L459,Primary!L459)</f>
        <v>0</v>
      </c>
      <c r="M459" s="7" t="b">
        <f>IF(ActiveDatabase=Standby,Secondary!M459,Primary!M459)</f>
        <v>0</v>
      </c>
      <c r="N459" s="10">
        <f>IF(ActiveDatabase=Standby,Secondary!N459,Primary!N459)</f>
        <v>0</v>
      </c>
      <c r="O459" s="10">
        <f>IF(ActiveDatabase=Standby,Secondary!O459,Primary!O459)</f>
        <v>0</v>
      </c>
      <c r="P459" s="10">
        <f>IF(ActiveDatabase=Standby,Secondary!P459,Primary!P459)</f>
        <v>0</v>
      </c>
      <c r="Q459" s="6">
        <f>IF(ActiveDatabase=Standby,Secondary!Q459,Primary!Q459)</f>
        <v>0</v>
      </c>
      <c r="R459" s="18">
        <f>IF(ActiveDatabase=Standby,Secondary!R459,Primary!R459)</f>
        <v>0</v>
      </c>
      <c r="S459" s="19">
        <f>IF(ActiveDatabase=Standby,Secondary!S459,Primary!S459)</f>
        <v>0</v>
      </c>
      <c r="T459" s="10">
        <f>IF(ActiveDatabase=Standby,Secondary!T459,Primary!T459)</f>
        <v>0</v>
      </c>
      <c r="U459" s="10">
        <f>IF(ActiveDatabase=Standby,Secondary!U459,Primary!U459)</f>
        <v>0</v>
      </c>
      <c r="V459" s="10">
        <f>IF(ActiveDatabase=Standby,Secondary!V459,Primary!V459)</f>
        <v>0</v>
      </c>
      <c r="W459" s="6">
        <f>IF(ActiveDatabase=Standby,Secondary!W459,Primary!W459)</f>
        <v>0</v>
      </c>
      <c r="X459" s="6">
        <f>IF(ActiveDatabase=Standby,Secondary!X459,Primary!X459)</f>
        <v>0</v>
      </c>
      <c r="Y459" s="12">
        <f>IF(ActiveDatabase=Standby,Secondary!Y459,Primary!Y459)</f>
        <v>0</v>
      </c>
      <c r="Z459" s="12">
        <f>IF(ActiveDatabase=Standby,Secondary!Z459,Primary!Z459)</f>
        <v>0</v>
      </c>
      <c r="AA459" s="7">
        <f>IF(ActiveDatabase=Standby,Secondary!AA459,Primary!AA459)</f>
        <v>0</v>
      </c>
      <c r="AB459" s="12"/>
      <c r="AC459" s="6"/>
      <c r="AD459" s="6"/>
      <c r="AE459" s="7"/>
      <c r="AF459" s="7"/>
      <c r="AG459" s="7"/>
      <c r="AH459" s="7"/>
      <c r="AI459" s="7"/>
      <c r="AJ459" s="7"/>
      <c r="AK459" s="7"/>
      <c r="AL459" s="7"/>
      <c r="AM459" s="7"/>
      <c r="AN459" s="7"/>
      <c r="AO459" s="6"/>
      <c r="AP459" s="7"/>
      <c r="AQ459" s="7"/>
      <c r="AR459" s="6"/>
      <c r="AS459" s="7"/>
      <c r="AT459" s="7"/>
      <c r="AU459" s="7"/>
      <c r="AV459" s="7"/>
      <c r="AW459" s="7"/>
      <c r="AX459" s="7"/>
      <c r="AY459" s="7"/>
      <c r="AZ459" s="7"/>
      <c r="BA459" s="7"/>
      <c r="BB459" s="7"/>
      <c r="BC459" s="7"/>
      <c r="BD459" s="7"/>
      <c r="BE459" s="7"/>
      <c r="BF459" s="7"/>
      <c r="BG459" s="7"/>
    </row>
    <row r="460" customHeight="1" spans="1:59">
      <c r="A460" s="9" t="str">
        <f>IF(ActiveDatabase=Standby,Secondary!A460,Primary!A460)</f>
        <v>Hurston 67</v>
      </c>
      <c r="B460" s="5" t="str">
        <f>IF(ActiveDatabase=Standby,Secondary!B460,Primary!B460)</f>
        <v>Hurston 78</v>
      </c>
      <c r="C460" s="5" t="str">
        <f>IF(ActiveDatabase=Standby,Secondary!C460,Primary!C460)</f>
        <v>Hurston 83</v>
      </c>
      <c r="D460" s="5" t="str">
        <f>IF(ActiveDatabase=Standby,Secondary!D460,Primary!D460)</f>
        <v>Sand Cave 19C</v>
      </c>
      <c r="E460" s="6" t="str">
        <f>IF(ActiveDatabase=Standby,Secondary!E460,Primary!E460)</f>
        <v>SCave 19C</v>
      </c>
      <c r="F460" s="10">
        <f>IF(ActiveDatabase=Standby,Secondary!F460,Primary!F460)</f>
        <v>68.700863505</v>
      </c>
      <c r="G460" s="10">
        <f>IF(ActiveDatabase=Standby,Secondary!G460,Primary!G460)</f>
        <v>-207.762859078999</v>
      </c>
      <c r="H460" s="10">
        <f>IF(ActiveDatabase=Standby,Secondary!H460,Primary!H460)</f>
        <v>-976.382750581</v>
      </c>
      <c r="I460" s="13">
        <f>IF(ActiveDatabase=Standby,Secondary!I460,Primary!I460)</f>
        <v>0</v>
      </c>
      <c r="J460" s="13">
        <f>IF(ActiveDatabase=Standby,Secondary!J460,Primary!J460)</f>
        <v>0</v>
      </c>
      <c r="K460" s="13">
        <f>IF(ActiveDatabase=Standby,Secondary!K460,Primary!K460)</f>
        <v>0</v>
      </c>
      <c r="L460" s="13">
        <f>IF(ActiveDatabase=Standby,Secondary!L460,Primary!L460)</f>
        <v>0</v>
      </c>
      <c r="M460" s="7" t="b">
        <f>IF(ActiveDatabase=Standby,Secondary!M460,Primary!M460)</f>
        <v>0</v>
      </c>
      <c r="N460" s="10">
        <f>IF(ActiveDatabase=Standby,Secondary!N460,Primary!N460)</f>
        <v>0</v>
      </c>
      <c r="O460" s="10">
        <f>IF(ActiveDatabase=Standby,Secondary!O460,Primary!O460)</f>
        <v>0</v>
      </c>
      <c r="P460" s="10">
        <f>IF(ActiveDatabase=Standby,Secondary!P460,Primary!P460)</f>
        <v>0</v>
      </c>
      <c r="Q460" s="6">
        <f>IF(ActiveDatabase=Standby,Secondary!Q460,Primary!Q460)</f>
        <v>0</v>
      </c>
      <c r="R460" s="18">
        <f>IF(ActiveDatabase=Standby,Secondary!R460,Primary!R460)</f>
        <v>0</v>
      </c>
      <c r="S460" s="19">
        <f>IF(ActiveDatabase=Standby,Secondary!S460,Primary!S460)</f>
        <v>0</v>
      </c>
      <c r="T460" s="10">
        <f>IF(ActiveDatabase=Standby,Secondary!T460,Primary!T460)</f>
        <v>0</v>
      </c>
      <c r="U460" s="10">
        <f>IF(ActiveDatabase=Standby,Secondary!U460,Primary!U460)</f>
        <v>0</v>
      </c>
      <c r="V460" s="10">
        <f>IF(ActiveDatabase=Standby,Secondary!V460,Primary!V460)</f>
        <v>0</v>
      </c>
      <c r="W460" s="6">
        <f>IF(ActiveDatabase=Standby,Secondary!W460,Primary!W460)</f>
        <v>0</v>
      </c>
      <c r="X460" s="6">
        <f>IF(ActiveDatabase=Standby,Secondary!X460,Primary!X460)</f>
        <v>0</v>
      </c>
      <c r="Y460" s="12">
        <f>IF(ActiveDatabase=Standby,Secondary!Y460,Primary!Y460)</f>
        <v>0</v>
      </c>
      <c r="Z460" s="12">
        <f>IF(ActiveDatabase=Standby,Secondary!Z460,Primary!Z460)</f>
        <v>0</v>
      </c>
      <c r="AA460" s="7">
        <f>IF(ActiveDatabase=Standby,Secondary!AA460,Primary!AA460)</f>
        <v>0</v>
      </c>
      <c r="AB460" s="12"/>
      <c r="AC460" s="6"/>
      <c r="AD460" s="6"/>
      <c r="AE460" s="7"/>
      <c r="AF460" s="7"/>
      <c r="AG460" s="7"/>
      <c r="AH460" s="7"/>
      <c r="AI460" s="7"/>
      <c r="AJ460" s="7"/>
      <c r="AK460" s="7"/>
      <c r="AL460" s="7"/>
      <c r="AM460" s="7"/>
      <c r="AN460" s="7"/>
      <c r="AO460" s="6"/>
      <c r="AP460" s="7"/>
      <c r="AQ460" s="7"/>
      <c r="AR460" s="6"/>
      <c r="AS460" s="7"/>
      <c r="AT460" s="7"/>
      <c r="AU460" s="7"/>
      <c r="AV460" s="7"/>
      <c r="AW460" s="7"/>
      <c r="AX460" s="7"/>
      <c r="AY460" s="7"/>
      <c r="AZ460" s="7"/>
      <c r="BA460" s="7"/>
      <c r="BB460" s="7"/>
      <c r="BC460" s="7"/>
      <c r="BD460" s="7"/>
      <c r="BE460" s="7"/>
      <c r="BF460" s="7"/>
      <c r="BG460" s="7"/>
    </row>
    <row r="461" customHeight="1" spans="1:59">
      <c r="A461" s="9" t="str">
        <f>IF(ActiveDatabase=Standby,Secondary!A461,Primary!A461)</f>
        <v>Hurston</v>
      </c>
      <c r="B461" s="5" t="str">
        <f>IF(ActiveDatabase=Standby,Secondary!B461,Primary!B461)</f>
        <v>Hurston 111</v>
      </c>
      <c r="C461" s="5">
        <f>IF(ActiveDatabase=Standby,Secondary!C461,Primary!C461)</f>
        <v>0</v>
      </c>
      <c r="D461" s="5" t="str">
        <f>IF(ActiveDatabase=Standby,Secondary!D461,Primary!D461)</f>
        <v>Wrecks</v>
      </c>
      <c r="E461" s="6">
        <f>IF(ActiveDatabase=Standby,Secondary!E461,Primary!E461)</f>
        <v>0</v>
      </c>
      <c r="F461" s="10">
        <f>IF(ActiveDatabase=Standby,Secondary!F461,Primary!F461)</f>
        <v>0</v>
      </c>
      <c r="G461" s="10">
        <f>IF(ActiveDatabase=Standby,Secondary!G461,Primary!G461)</f>
        <v>0</v>
      </c>
      <c r="H461" s="10">
        <f>IF(ActiveDatabase=Standby,Secondary!H461,Primary!H461)</f>
        <v>0</v>
      </c>
      <c r="I461" s="13">
        <f>IF(ActiveDatabase=Standby,Secondary!I461,Primary!I461)</f>
        <v>0</v>
      </c>
      <c r="J461" s="13">
        <f>IF(ActiveDatabase=Standby,Secondary!J461,Primary!J461)</f>
        <v>0</v>
      </c>
      <c r="K461" s="13">
        <f>IF(ActiveDatabase=Standby,Secondary!K461,Primary!K461)</f>
        <v>0</v>
      </c>
      <c r="L461" s="13">
        <f>IF(ActiveDatabase=Standby,Secondary!L461,Primary!L461)</f>
        <v>0</v>
      </c>
      <c r="M461" s="7">
        <f>IF(ActiveDatabase=Standby,Secondary!M461,Primary!M461)</f>
        <v>0</v>
      </c>
      <c r="N461" s="10">
        <f>IF(ActiveDatabase=Standby,Secondary!N461,Primary!N461)</f>
        <v>0</v>
      </c>
      <c r="O461" s="10">
        <f>IF(ActiveDatabase=Standby,Secondary!O461,Primary!O461)</f>
        <v>0</v>
      </c>
      <c r="P461" s="10">
        <f>IF(ActiveDatabase=Standby,Secondary!P461,Primary!P461)</f>
        <v>0</v>
      </c>
      <c r="Q461" s="6">
        <f>IF(ActiveDatabase=Standby,Secondary!Q461,Primary!Q461)</f>
        <v>0</v>
      </c>
      <c r="R461" s="18">
        <f>IF(ActiveDatabase=Standby,Secondary!R461,Primary!R461)</f>
        <v>0</v>
      </c>
      <c r="S461" s="19">
        <f>IF(ActiveDatabase=Standby,Secondary!S461,Primary!S461)</f>
        <v>0</v>
      </c>
      <c r="T461" s="10">
        <f>IF(ActiveDatabase=Standby,Secondary!T461,Primary!T461)</f>
        <v>0</v>
      </c>
      <c r="U461" s="10">
        <f>IF(ActiveDatabase=Standby,Secondary!U461,Primary!U461)</f>
        <v>0</v>
      </c>
      <c r="V461" s="10">
        <f>IF(ActiveDatabase=Standby,Secondary!V461,Primary!V461)</f>
        <v>0</v>
      </c>
      <c r="W461" s="6">
        <f>IF(ActiveDatabase=Standby,Secondary!W461,Primary!W461)</f>
        <v>0</v>
      </c>
      <c r="X461" s="6">
        <f>IF(ActiveDatabase=Standby,Secondary!X461,Primary!X461)</f>
        <v>0</v>
      </c>
      <c r="Y461" s="12">
        <f>IF(ActiveDatabase=Standby,Secondary!Y461,Primary!Y461)</f>
        <v>0</v>
      </c>
      <c r="Z461" s="12">
        <f>IF(ActiveDatabase=Standby,Secondary!Z461,Primary!Z461)</f>
        <v>0</v>
      </c>
      <c r="AA461" s="7">
        <f>IF(ActiveDatabase=Standby,Secondary!AA461,Primary!AA461)</f>
        <v>0</v>
      </c>
      <c r="AB461" s="12"/>
      <c r="AC461" s="6"/>
      <c r="AD461" s="6"/>
      <c r="AE461" s="7"/>
      <c r="AF461" s="7"/>
      <c r="AG461" s="7"/>
      <c r="AH461" s="7"/>
      <c r="AI461" s="7"/>
      <c r="AJ461" s="7"/>
      <c r="AK461" s="7"/>
      <c r="AL461" s="7"/>
      <c r="AM461" s="7"/>
      <c r="AN461" s="7"/>
      <c r="AO461" s="6"/>
      <c r="AP461" s="7"/>
      <c r="AQ461" s="7"/>
      <c r="AR461" s="6"/>
      <c r="AS461" s="7"/>
      <c r="AT461" s="7"/>
      <c r="AU461" s="7"/>
      <c r="AV461" s="7"/>
      <c r="AW461" s="7"/>
      <c r="AX461" s="7"/>
      <c r="AY461" s="7"/>
      <c r="AZ461" s="7"/>
      <c r="BA461" s="7"/>
      <c r="BB461" s="7"/>
      <c r="BC461" s="7"/>
      <c r="BD461" s="7"/>
      <c r="BE461" s="7"/>
      <c r="BF461" s="7"/>
      <c r="BG461" s="7"/>
    </row>
    <row r="462" customHeight="1" spans="1:59">
      <c r="A462" s="9" t="str">
        <f>IF(ActiveDatabase=Standby,Secondary!A462,Primary!A462)</f>
        <v>Hurston 101</v>
      </c>
      <c r="B462" s="5" t="str">
        <f>IF(ActiveDatabase=Standby,Secondary!B462,Primary!B462)</f>
        <v>Hurston 114</v>
      </c>
      <c r="C462" s="5" t="str">
        <f>IF(ActiveDatabase=Standby,Secondary!C462,Primary!C462)</f>
        <v>Hurston 93</v>
      </c>
      <c r="D462" s="5" t="str">
        <f>IF(ActiveDatabase=Standby,Secondary!D462,Primary!D462)</f>
        <v>Caterpillar Wreck 15P</v>
      </c>
      <c r="E462" s="6" t="str">
        <f>IF(ActiveDatabase=Standby,Secondary!E462,Primary!E462)</f>
        <v>Caterpillar 15P</v>
      </c>
      <c r="F462" s="10">
        <f>IF(ActiveDatabase=Standby,Secondary!F462,Primary!F462)</f>
        <v>-44.66930563068</v>
      </c>
      <c r="G462" s="10">
        <f>IF(ActiveDatabase=Standby,Secondary!G462,Primary!G462)</f>
        <v>-971.5736455145</v>
      </c>
      <c r="H462" s="10">
        <f>IF(ActiveDatabase=Standby,Secondary!H462,Primary!H462)</f>
        <v>232.540911160035</v>
      </c>
      <c r="I462" s="13">
        <f>IF(ActiveDatabase=Standby,Secondary!I462,Primary!I462)</f>
        <v>0</v>
      </c>
      <c r="J462" s="13">
        <f>IF(ActiveDatabase=Standby,Secondary!J462,Primary!J462)</f>
        <v>0</v>
      </c>
      <c r="K462" s="13">
        <f>IF(ActiveDatabase=Standby,Secondary!K462,Primary!K462)</f>
        <v>0</v>
      </c>
      <c r="L462" s="13">
        <f>IF(ActiveDatabase=Standby,Secondary!L462,Primary!L462)</f>
        <v>0</v>
      </c>
      <c r="M462" s="7" t="b">
        <f>IF(ActiveDatabase=Standby,Secondary!M462,Primary!M462)</f>
        <v>0</v>
      </c>
      <c r="N462" s="10">
        <f>IF(ActiveDatabase=Standby,Secondary!N462,Primary!N462)</f>
        <v>0</v>
      </c>
      <c r="O462" s="10">
        <f>IF(ActiveDatabase=Standby,Secondary!O462,Primary!O462)</f>
        <v>0</v>
      </c>
      <c r="P462" s="10">
        <f>IF(ActiveDatabase=Standby,Secondary!P462,Primary!P462)</f>
        <v>0</v>
      </c>
      <c r="Q462" s="6">
        <f>IF(ActiveDatabase=Standby,Secondary!Q462,Primary!Q462)</f>
        <v>0</v>
      </c>
      <c r="R462" s="18">
        <f>IF(ActiveDatabase=Standby,Secondary!R462,Primary!R462)</f>
        <v>0</v>
      </c>
      <c r="S462" s="19">
        <f>IF(ActiveDatabase=Standby,Secondary!S462,Primary!S462)</f>
        <v>0</v>
      </c>
      <c r="T462" s="10">
        <f>IF(ActiveDatabase=Standby,Secondary!T462,Primary!T462)</f>
        <v>0</v>
      </c>
      <c r="U462" s="10">
        <f>IF(ActiveDatabase=Standby,Secondary!U462,Primary!U462)</f>
        <v>0</v>
      </c>
      <c r="V462" s="10">
        <f>IF(ActiveDatabase=Standby,Secondary!V462,Primary!V462)</f>
        <v>0</v>
      </c>
      <c r="W462" s="6">
        <f>IF(ActiveDatabase=Standby,Secondary!W462,Primary!W462)</f>
        <v>0</v>
      </c>
      <c r="X462" s="6">
        <f>IF(ActiveDatabase=Standby,Secondary!X462,Primary!X462)</f>
        <v>0</v>
      </c>
      <c r="Y462" s="12">
        <f>IF(ActiveDatabase=Standby,Secondary!Y462,Primary!Y462)</f>
        <v>0</v>
      </c>
      <c r="Z462" s="12">
        <f>IF(ActiveDatabase=Standby,Secondary!Z462,Primary!Z462)</f>
        <v>0</v>
      </c>
      <c r="AA462" s="7">
        <f>IF(ActiveDatabase=Standby,Secondary!AA462,Primary!AA462)</f>
        <v>0</v>
      </c>
      <c r="AB462" s="12"/>
      <c r="AC462" s="6"/>
      <c r="AD462" s="6"/>
      <c r="AE462" s="7"/>
      <c r="AF462" s="7"/>
      <c r="AG462" s="7"/>
      <c r="AH462" s="7"/>
      <c r="AI462" s="7"/>
      <c r="AJ462" s="7"/>
      <c r="AK462" s="7"/>
      <c r="AL462" s="7"/>
      <c r="AM462" s="7"/>
      <c r="AN462" s="7"/>
      <c r="AO462" s="6"/>
      <c r="AP462" s="7"/>
      <c r="AQ462" s="7"/>
      <c r="AR462" s="6"/>
      <c r="AS462" s="7"/>
      <c r="AT462" s="7"/>
      <c r="AU462" s="7"/>
      <c r="AV462" s="7"/>
      <c r="AW462" s="7"/>
      <c r="AX462" s="7"/>
      <c r="AY462" s="7"/>
      <c r="AZ462" s="7"/>
      <c r="BA462" s="7"/>
      <c r="BB462" s="7"/>
      <c r="BC462" s="7"/>
      <c r="BD462" s="7"/>
      <c r="BE462" s="7"/>
      <c r="BF462" s="7"/>
      <c r="BG462" s="7"/>
    </row>
    <row r="463" customHeight="1" spans="1:59">
      <c r="A463" s="9" t="str">
        <f>IF(ActiveDatabase=Standby,Secondary!A463,Primary!A463)</f>
        <v>Hurston 100</v>
      </c>
      <c r="B463" s="5" t="str">
        <f>IF(ActiveDatabase=Standby,Secondary!B463,Primary!B463)</f>
        <v>Hurston 113</v>
      </c>
      <c r="C463" s="5" t="str">
        <f>IF(ActiveDatabase=Standby,Secondary!C463,Primary!C463)</f>
        <v>Hurston 115</v>
      </c>
      <c r="D463" s="5" t="str">
        <f>IF(ActiveDatabase=Standby,Secondary!D463,Primary!D463)</f>
        <v>Caterpillar Wreck 08L</v>
      </c>
      <c r="E463" s="6" t="str">
        <f>IF(ActiveDatabase=Standby,Secondary!E463,Primary!E463)</f>
        <v>Caterpillar 08L</v>
      </c>
      <c r="F463" s="10">
        <f>IF(ActiveDatabase=Standby,Secondary!F463,Primary!F463)</f>
        <v>-653.836064629597</v>
      </c>
      <c r="G463" s="10">
        <f>IF(ActiveDatabase=Standby,Secondary!G463,Primary!G463)</f>
        <v>-717.664502337491</v>
      </c>
      <c r="H463" s="10">
        <f>IF(ActiveDatabase=Standby,Secondary!H463,Primary!H463)</f>
        <v>-245.715641425315</v>
      </c>
      <c r="I463" s="13">
        <f>IF(ActiveDatabase=Standby,Secondary!I463,Primary!I463)</f>
        <v>0</v>
      </c>
      <c r="J463" s="13">
        <f>IF(ActiveDatabase=Standby,Secondary!J463,Primary!J463)</f>
        <v>0</v>
      </c>
      <c r="K463" s="13">
        <f>IF(ActiveDatabase=Standby,Secondary!K463,Primary!K463)</f>
        <v>0</v>
      </c>
      <c r="L463" s="13">
        <f>IF(ActiveDatabase=Standby,Secondary!L463,Primary!L463)</f>
        <v>0</v>
      </c>
      <c r="M463" s="7" t="b">
        <f>IF(ActiveDatabase=Standby,Secondary!M463,Primary!M463)</f>
        <v>0</v>
      </c>
      <c r="N463" s="10">
        <f>IF(ActiveDatabase=Standby,Secondary!N463,Primary!N463)</f>
        <v>0</v>
      </c>
      <c r="O463" s="10">
        <f>IF(ActiveDatabase=Standby,Secondary!O463,Primary!O463)</f>
        <v>0</v>
      </c>
      <c r="P463" s="10">
        <f>IF(ActiveDatabase=Standby,Secondary!P463,Primary!P463)</f>
        <v>0</v>
      </c>
      <c r="Q463" s="6">
        <f>IF(ActiveDatabase=Standby,Secondary!Q463,Primary!Q463)</f>
        <v>0</v>
      </c>
      <c r="R463" s="18">
        <f>IF(ActiveDatabase=Standby,Secondary!R463,Primary!R463)</f>
        <v>0</v>
      </c>
      <c r="S463" s="19">
        <f>IF(ActiveDatabase=Standby,Secondary!S463,Primary!S463)</f>
        <v>0</v>
      </c>
      <c r="T463" s="10">
        <f>IF(ActiveDatabase=Standby,Secondary!T463,Primary!T463)</f>
        <v>0</v>
      </c>
      <c r="U463" s="10">
        <f>IF(ActiveDatabase=Standby,Secondary!U463,Primary!U463)</f>
        <v>0</v>
      </c>
      <c r="V463" s="10">
        <f>IF(ActiveDatabase=Standby,Secondary!V463,Primary!V463)</f>
        <v>0</v>
      </c>
      <c r="W463" s="6">
        <f>IF(ActiveDatabase=Standby,Secondary!W463,Primary!W463)</f>
        <v>0</v>
      </c>
      <c r="X463" s="6">
        <f>IF(ActiveDatabase=Standby,Secondary!X463,Primary!X463)</f>
        <v>0</v>
      </c>
      <c r="Y463" s="12">
        <f>IF(ActiveDatabase=Standby,Secondary!Y463,Primary!Y463)</f>
        <v>0</v>
      </c>
      <c r="Z463" s="12">
        <f>IF(ActiveDatabase=Standby,Secondary!Z463,Primary!Z463)</f>
        <v>0</v>
      </c>
      <c r="AA463" s="7">
        <f>IF(ActiveDatabase=Standby,Secondary!AA463,Primary!AA463)</f>
        <v>0</v>
      </c>
      <c r="AB463" s="12"/>
      <c r="AC463" s="6"/>
      <c r="AD463" s="6"/>
      <c r="AE463" s="7"/>
      <c r="AF463" s="7"/>
      <c r="AG463" s="7"/>
      <c r="AH463" s="7"/>
      <c r="AI463" s="7"/>
      <c r="AJ463" s="7"/>
      <c r="AK463" s="7"/>
      <c r="AL463" s="7"/>
      <c r="AM463" s="7"/>
      <c r="AN463" s="7"/>
      <c r="AO463" s="6"/>
      <c r="AP463" s="7"/>
      <c r="AQ463" s="7"/>
      <c r="AR463" s="6"/>
      <c r="AS463" s="7"/>
      <c r="AT463" s="7"/>
      <c r="AU463" s="7"/>
      <c r="AV463" s="7"/>
      <c r="AW463" s="7"/>
      <c r="AX463" s="7"/>
      <c r="AY463" s="7"/>
      <c r="AZ463" s="7"/>
      <c r="BA463" s="7"/>
      <c r="BB463" s="7"/>
      <c r="BC463" s="7"/>
      <c r="BD463" s="7"/>
      <c r="BE463" s="7"/>
      <c r="BF463" s="7"/>
      <c r="BG463" s="7"/>
    </row>
    <row r="464" customHeight="1" spans="1:59">
      <c r="A464" s="9" t="str">
        <f>IF(ActiveDatabase=Standby,Secondary!A464,Primary!A464)</f>
        <v>Hurston 102</v>
      </c>
      <c r="B464" s="5" t="str">
        <f>IF(ActiveDatabase=Standby,Secondary!B464,Primary!B464)</f>
        <v>Hurston 115</v>
      </c>
      <c r="C464" s="5" t="str">
        <f>IF(ActiveDatabase=Standby,Secondary!C464,Primary!C464)</f>
        <v>Hurston 52</v>
      </c>
      <c r="D464" s="5" t="str">
        <f>IF(ActiveDatabase=Standby,Secondary!D464,Primary!D464)</f>
        <v>Caterpillar Wreck 38K</v>
      </c>
      <c r="E464" s="6" t="str">
        <f>IF(ActiveDatabase=Standby,Secondary!E464,Primary!E464)</f>
        <v>Caterpillar 38K</v>
      </c>
      <c r="F464" s="10">
        <f>IF(ActiveDatabase=Standby,Secondary!F464,Primary!F464)</f>
        <v>646.06156703725</v>
      </c>
      <c r="G464" s="10">
        <f>IF(ActiveDatabase=Standby,Secondary!G464,Primary!G464)</f>
        <v>649.616754562218</v>
      </c>
      <c r="H464" s="10">
        <f>IF(ActiveDatabase=Standby,Secondary!H464,Primary!H464)</f>
        <v>-404.153627838346</v>
      </c>
      <c r="I464" s="13">
        <f>IF(ActiveDatabase=Standby,Secondary!I464,Primary!I464)</f>
        <v>0</v>
      </c>
      <c r="J464" s="13">
        <f>IF(ActiveDatabase=Standby,Secondary!J464,Primary!J464)</f>
        <v>0</v>
      </c>
      <c r="K464" s="13">
        <f>IF(ActiveDatabase=Standby,Secondary!K464,Primary!K464)</f>
        <v>0</v>
      </c>
      <c r="L464" s="13">
        <f>IF(ActiveDatabase=Standby,Secondary!L464,Primary!L464)</f>
        <v>0</v>
      </c>
      <c r="M464" s="7" t="b">
        <f>IF(ActiveDatabase=Standby,Secondary!M464,Primary!M464)</f>
        <v>0</v>
      </c>
      <c r="N464" s="10">
        <f>IF(ActiveDatabase=Standby,Secondary!N464,Primary!N464)</f>
        <v>0</v>
      </c>
      <c r="O464" s="10">
        <f>IF(ActiveDatabase=Standby,Secondary!O464,Primary!O464)</f>
        <v>0</v>
      </c>
      <c r="P464" s="10">
        <f>IF(ActiveDatabase=Standby,Secondary!P464,Primary!P464)</f>
        <v>0</v>
      </c>
      <c r="Q464" s="6">
        <f>IF(ActiveDatabase=Standby,Secondary!Q464,Primary!Q464)</f>
        <v>0</v>
      </c>
      <c r="R464" s="18">
        <f>IF(ActiveDatabase=Standby,Secondary!R464,Primary!R464)</f>
        <v>0</v>
      </c>
      <c r="S464" s="19">
        <f>IF(ActiveDatabase=Standby,Secondary!S464,Primary!S464)</f>
        <v>0</v>
      </c>
      <c r="T464" s="10">
        <f>IF(ActiveDatabase=Standby,Secondary!T464,Primary!T464)</f>
        <v>0</v>
      </c>
      <c r="U464" s="10">
        <f>IF(ActiveDatabase=Standby,Secondary!U464,Primary!U464)</f>
        <v>0</v>
      </c>
      <c r="V464" s="10">
        <f>IF(ActiveDatabase=Standby,Secondary!V464,Primary!V464)</f>
        <v>0</v>
      </c>
      <c r="W464" s="6">
        <f>IF(ActiveDatabase=Standby,Secondary!W464,Primary!W464)</f>
        <v>0</v>
      </c>
      <c r="X464" s="6">
        <f>IF(ActiveDatabase=Standby,Secondary!X464,Primary!X464)</f>
        <v>0</v>
      </c>
      <c r="Y464" s="12">
        <f>IF(ActiveDatabase=Standby,Secondary!Y464,Primary!Y464)</f>
        <v>0</v>
      </c>
      <c r="Z464" s="12">
        <f>IF(ActiveDatabase=Standby,Secondary!Z464,Primary!Z464)</f>
        <v>0</v>
      </c>
      <c r="AA464" s="7">
        <f>IF(ActiveDatabase=Standby,Secondary!AA464,Primary!AA464)</f>
        <v>0</v>
      </c>
      <c r="AB464" s="12"/>
      <c r="AC464" s="6"/>
      <c r="AD464" s="6"/>
      <c r="AE464" s="7"/>
      <c r="AF464" s="7"/>
      <c r="AG464" s="7"/>
      <c r="AH464" s="7"/>
      <c r="AI464" s="7"/>
      <c r="AJ464" s="7"/>
      <c r="AK464" s="7"/>
      <c r="AL464" s="7"/>
      <c r="AM464" s="7"/>
      <c r="AN464" s="7"/>
      <c r="AO464" s="6"/>
      <c r="AP464" s="7"/>
      <c r="AQ464" s="7"/>
      <c r="AR464" s="6"/>
      <c r="AS464" s="7"/>
      <c r="AT464" s="7"/>
      <c r="AU464" s="7"/>
      <c r="AV464" s="7"/>
      <c r="AW464" s="7"/>
      <c r="AX464" s="7"/>
      <c r="AY464" s="7"/>
      <c r="AZ464" s="7"/>
      <c r="BA464" s="7"/>
      <c r="BB464" s="7"/>
      <c r="BC464" s="7"/>
      <c r="BD464" s="7"/>
      <c r="BE464" s="7"/>
      <c r="BF464" s="7"/>
      <c r="BG464" s="7"/>
    </row>
    <row r="465" customHeight="1" spans="1:59">
      <c r="A465" s="9" t="str">
        <f>IF(ActiveDatabase=Standby,Secondary!A465,Primary!A465)</f>
        <v>Hurston 99</v>
      </c>
      <c r="B465" s="5" t="str">
        <f>IF(ActiveDatabase=Standby,Secondary!B465,Primary!B465)</f>
        <v>Hurston 112</v>
      </c>
      <c r="C465" s="5" t="str">
        <f>IF(ActiveDatabase=Standby,Secondary!C465,Primary!C465)</f>
        <v>Hurston 133</v>
      </c>
      <c r="D465" s="5" t="str">
        <f>IF(ActiveDatabase=Standby,Secondary!D465,Primary!D465)</f>
        <v>Caterpillar Wreck 04J</v>
      </c>
      <c r="E465" s="6" t="str">
        <f>IF(ActiveDatabase=Standby,Secondary!E465,Primary!E465)</f>
        <v>Caterpillar 04J</v>
      </c>
      <c r="F465" s="10">
        <f>IF(ActiveDatabase=Standby,Secondary!F465,Primary!F465)</f>
        <v>-815.733205656471</v>
      </c>
      <c r="G465" s="10">
        <f>IF(ActiveDatabase=Standby,Secondary!G465,Primary!G465)</f>
        <v>-287.103725140313</v>
      </c>
      <c r="H465" s="10">
        <f>IF(ActiveDatabase=Standby,Secondary!H465,Primary!H465)</f>
        <v>-503.888823715484</v>
      </c>
      <c r="I465" s="13">
        <f>IF(ActiveDatabase=Standby,Secondary!I465,Primary!I465)</f>
        <v>0</v>
      </c>
      <c r="J465" s="13">
        <f>IF(ActiveDatabase=Standby,Secondary!J465,Primary!J465)</f>
        <v>0</v>
      </c>
      <c r="K465" s="13">
        <f>IF(ActiveDatabase=Standby,Secondary!K465,Primary!K465)</f>
        <v>0</v>
      </c>
      <c r="L465" s="13">
        <f>IF(ActiveDatabase=Standby,Secondary!L465,Primary!L465)</f>
        <v>0</v>
      </c>
      <c r="M465" s="7" t="b">
        <f>IF(ActiveDatabase=Standby,Secondary!M465,Primary!M465)</f>
        <v>0</v>
      </c>
      <c r="N465" s="10">
        <f>IF(ActiveDatabase=Standby,Secondary!N465,Primary!N465)</f>
        <v>0</v>
      </c>
      <c r="O465" s="10">
        <f>IF(ActiveDatabase=Standby,Secondary!O465,Primary!O465)</f>
        <v>0</v>
      </c>
      <c r="P465" s="10">
        <f>IF(ActiveDatabase=Standby,Secondary!P465,Primary!P465)</f>
        <v>0</v>
      </c>
      <c r="Q465" s="6">
        <f>IF(ActiveDatabase=Standby,Secondary!Q465,Primary!Q465)</f>
        <v>0</v>
      </c>
      <c r="R465" s="18">
        <f>IF(ActiveDatabase=Standby,Secondary!R465,Primary!R465)</f>
        <v>0</v>
      </c>
      <c r="S465" s="19">
        <f>IF(ActiveDatabase=Standby,Secondary!S465,Primary!S465)</f>
        <v>0</v>
      </c>
      <c r="T465" s="10">
        <f>IF(ActiveDatabase=Standby,Secondary!T465,Primary!T465)</f>
        <v>0</v>
      </c>
      <c r="U465" s="10">
        <f>IF(ActiveDatabase=Standby,Secondary!U465,Primary!U465)</f>
        <v>0</v>
      </c>
      <c r="V465" s="10">
        <f>IF(ActiveDatabase=Standby,Secondary!V465,Primary!V465)</f>
        <v>0</v>
      </c>
      <c r="W465" s="6">
        <f>IF(ActiveDatabase=Standby,Secondary!W465,Primary!W465)</f>
        <v>0</v>
      </c>
      <c r="X465" s="6">
        <f>IF(ActiveDatabase=Standby,Secondary!X465,Primary!X465)</f>
        <v>0</v>
      </c>
      <c r="Y465" s="12">
        <f>IF(ActiveDatabase=Standby,Secondary!Y465,Primary!Y465)</f>
        <v>0</v>
      </c>
      <c r="Z465" s="12">
        <f>IF(ActiveDatabase=Standby,Secondary!Z465,Primary!Z465)</f>
        <v>0</v>
      </c>
      <c r="AA465" s="7">
        <f>IF(ActiveDatabase=Standby,Secondary!AA465,Primary!AA465)</f>
        <v>0</v>
      </c>
      <c r="AB465" s="12"/>
      <c r="AC465" s="6"/>
      <c r="AD465" s="6"/>
      <c r="AE465" s="7"/>
      <c r="AF465" s="7"/>
      <c r="AG465" s="7"/>
      <c r="AH465" s="7"/>
      <c r="AI465" s="7"/>
      <c r="AJ465" s="7"/>
      <c r="AK465" s="7"/>
      <c r="AL465" s="7"/>
      <c r="AM465" s="7"/>
      <c r="AN465" s="7"/>
      <c r="AO465" s="6"/>
      <c r="AP465" s="7"/>
      <c r="AQ465" s="7"/>
      <c r="AR465" s="6"/>
      <c r="AS465" s="7"/>
      <c r="AT465" s="7"/>
      <c r="AU465" s="7"/>
      <c r="AV465" s="7"/>
      <c r="AW465" s="7"/>
      <c r="AX465" s="7"/>
      <c r="AY465" s="7"/>
      <c r="AZ465" s="7"/>
      <c r="BA465" s="7"/>
      <c r="BB465" s="7"/>
      <c r="BC465" s="7"/>
      <c r="BD465" s="7"/>
      <c r="BE465" s="7"/>
      <c r="BF465" s="7"/>
      <c r="BG465" s="7"/>
    </row>
    <row r="466" customHeight="1" spans="1:59">
      <c r="A466" s="9" t="str">
        <f>IF(ActiveDatabase=Standby,Secondary!A466,Primary!A466)</f>
        <v>Hurston 106</v>
      </c>
      <c r="B466" s="5" t="str">
        <f>IF(ActiveDatabase=Standby,Secondary!B466,Primary!B466)</f>
        <v>Hurston 119</v>
      </c>
      <c r="C466" s="5" t="str">
        <f>IF(ActiveDatabase=Standby,Secondary!C466,Primary!C466)</f>
        <v>Hurston 08</v>
      </c>
      <c r="D466" s="5" t="str">
        <f>IF(ActiveDatabase=Standby,Secondary!D466,Primary!D466)</f>
        <v>Constellation Wreck 57T</v>
      </c>
      <c r="E466" s="6" t="str">
        <f>IF(ActiveDatabase=Standby,Secondary!E466,Primary!E466)</f>
        <v>Constellation 57T</v>
      </c>
      <c r="F466" s="10">
        <f>IF(ActiveDatabase=Standby,Secondary!F466,Primary!F466)</f>
        <v>-699.893436651905</v>
      </c>
      <c r="G466" s="10">
        <f>IF(ActiveDatabase=Standby,Secondary!G466,Primary!G466)</f>
        <v>264.863687179051</v>
      </c>
      <c r="H466" s="10">
        <f>IF(ActiveDatabase=Standby,Secondary!H466,Primary!H466)</f>
        <v>663.971311695433</v>
      </c>
      <c r="I466" s="13">
        <f>IF(ActiveDatabase=Standby,Secondary!I466,Primary!I466)</f>
        <v>0</v>
      </c>
      <c r="J466" s="13">
        <f>IF(ActiveDatabase=Standby,Secondary!J466,Primary!J466)</f>
        <v>0</v>
      </c>
      <c r="K466" s="13">
        <f>IF(ActiveDatabase=Standby,Secondary!K466,Primary!K466)</f>
        <v>0</v>
      </c>
      <c r="L466" s="13">
        <f>IF(ActiveDatabase=Standby,Secondary!L466,Primary!L466)</f>
        <v>0</v>
      </c>
      <c r="M466" s="7" t="b">
        <f>IF(ActiveDatabase=Standby,Secondary!M466,Primary!M466)</f>
        <v>0</v>
      </c>
      <c r="N466" s="10">
        <f>IF(ActiveDatabase=Standby,Secondary!N466,Primary!N466)</f>
        <v>0</v>
      </c>
      <c r="O466" s="10">
        <f>IF(ActiveDatabase=Standby,Secondary!O466,Primary!O466)</f>
        <v>0</v>
      </c>
      <c r="P466" s="10">
        <f>IF(ActiveDatabase=Standby,Secondary!P466,Primary!P466)</f>
        <v>0</v>
      </c>
      <c r="Q466" s="6">
        <f>IF(ActiveDatabase=Standby,Secondary!Q466,Primary!Q466)</f>
        <v>0</v>
      </c>
      <c r="R466" s="18">
        <f>IF(ActiveDatabase=Standby,Secondary!R466,Primary!R466)</f>
        <v>0</v>
      </c>
      <c r="S466" s="19">
        <f>IF(ActiveDatabase=Standby,Secondary!S466,Primary!S466)</f>
        <v>0</v>
      </c>
      <c r="T466" s="10">
        <f>IF(ActiveDatabase=Standby,Secondary!T466,Primary!T466)</f>
        <v>0</v>
      </c>
      <c r="U466" s="10">
        <f>IF(ActiveDatabase=Standby,Secondary!U466,Primary!U466)</f>
        <v>0</v>
      </c>
      <c r="V466" s="10">
        <f>IF(ActiveDatabase=Standby,Secondary!V466,Primary!V466)</f>
        <v>0</v>
      </c>
      <c r="W466" s="6">
        <f>IF(ActiveDatabase=Standby,Secondary!W466,Primary!W466)</f>
        <v>0</v>
      </c>
      <c r="X466" s="6">
        <f>IF(ActiveDatabase=Standby,Secondary!X466,Primary!X466)</f>
        <v>0</v>
      </c>
      <c r="Y466" s="12">
        <f>IF(ActiveDatabase=Standby,Secondary!Y466,Primary!Y466)</f>
        <v>0</v>
      </c>
      <c r="Z466" s="12">
        <f>IF(ActiveDatabase=Standby,Secondary!Z466,Primary!Z466)</f>
        <v>0</v>
      </c>
      <c r="AA466" s="7">
        <f>IF(ActiveDatabase=Standby,Secondary!AA466,Primary!AA466)</f>
        <v>0</v>
      </c>
      <c r="AB466" s="12"/>
      <c r="AC466" s="6"/>
      <c r="AD466" s="6"/>
      <c r="AE466" s="7"/>
      <c r="AF466" s="7"/>
      <c r="AG466" s="7"/>
      <c r="AH466" s="7"/>
      <c r="AI466" s="7"/>
      <c r="AJ466" s="7"/>
      <c r="AK466" s="7"/>
      <c r="AL466" s="7"/>
      <c r="AM466" s="7"/>
      <c r="AN466" s="7"/>
      <c r="AO466" s="6"/>
      <c r="AP466" s="7"/>
      <c r="AQ466" s="7"/>
      <c r="AR466" s="6"/>
      <c r="AS466" s="7"/>
      <c r="AT466" s="7"/>
      <c r="AU466" s="7"/>
      <c r="AV466" s="7"/>
      <c r="AW466" s="7"/>
      <c r="AX466" s="7"/>
      <c r="AY466" s="7"/>
      <c r="AZ466" s="7"/>
      <c r="BA466" s="7"/>
      <c r="BB466" s="7"/>
      <c r="BC466" s="7"/>
      <c r="BD466" s="7"/>
      <c r="BE466" s="7"/>
      <c r="BF466" s="7"/>
      <c r="BG466" s="7"/>
    </row>
    <row r="467" customHeight="1" spans="1:59">
      <c r="A467" s="9" t="str">
        <f>IF(ActiveDatabase=Standby,Secondary!A467,Primary!A467)</f>
        <v>Hurston 104</v>
      </c>
      <c r="B467" s="5" t="str">
        <f>IF(ActiveDatabase=Standby,Secondary!B467,Primary!B467)</f>
        <v>Hurston 117</v>
      </c>
      <c r="C467" s="5" t="str">
        <f>IF(ActiveDatabase=Standby,Secondary!C467,Primary!C467)</f>
        <v>Hurston 81</v>
      </c>
      <c r="D467" s="5" t="str">
        <f>IF(ActiveDatabase=Standby,Secondary!D467,Primary!D467)</f>
        <v>Constellation Wreck 19K</v>
      </c>
      <c r="E467" s="6" t="str">
        <f>IF(ActiveDatabase=Standby,Secondary!E467,Primary!E467)</f>
        <v>Constellation 19K</v>
      </c>
      <c r="F467" s="10">
        <f>IF(ActiveDatabase=Standby,Secondary!F467,Primary!F467)</f>
        <v>359.032124048129</v>
      </c>
      <c r="G467" s="10">
        <f>IF(ActiveDatabase=Standby,Secondary!G467,Primary!G467)</f>
        <v>-881.816060162119</v>
      </c>
      <c r="H467" s="10">
        <f>IF(ActiveDatabase=Standby,Secondary!H467,Primary!H467)</f>
        <v>-308.451999182228</v>
      </c>
      <c r="I467" s="13">
        <f>IF(ActiveDatabase=Standby,Secondary!I467,Primary!I467)</f>
        <v>0</v>
      </c>
      <c r="J467" s="13">
        <f>IF(ActiveDatabase=Standby,Secondary!J467,Primary!J467)</f>
        <v>0</v>
      </c>
      <c r="K467" s="13">
        <f>IF(ActiveDatabase=Standby,Secondary!K467,Primary!K467)</f>
        <v>0</v>
      </c>
      <c r="L467" s="13">
        <f>IF(ActiveDatabase=Standby,Secondary!L467,Primary!L467)</f>
        <v>0</v>
      </c>
      <c r="M467" s="7" t="b">
        <f>IF(ActiveDatabase=Standby,Secondary!M467,Primary!M467)</f>
        <v>0</v>
      </c>
      <c r="N467" s="10">
        <f>IF(ActiveDatabase=Standby,Secondary!N467,Primary!N467)</f>
        <v>0</v>
      </c>
      <c r="O467" s="10">
        <f>IF(ActiveDatabase=Standby,Secondary!O467,Primary!O467)</f>
        <v>0</v>
      </c>
      <c r="P467" s="10">
        <f>IF(ActiveDatabase=Standby,Secondary!P467,Primary!P467)</f>
        <v>0</v>
      </c>
      <c r="Q467" s="6">
        <f>IF(ActiveDatabase=Standby,Secondary!Q467,Primary!Q467)</f>
        <v>0</v>
      </c>
      <c r="R467" s="18">
        <f>IF(ActiveDatabase=Standby,Secondary!R467,Primary!R467)</f>
        <v>0</v>
      </c>
      <c r="S467" s="19">
        <f>IF(ActiveDatabase=Standby,Secondary!S467,Primary!S467)</f>
        <v>0</v>
      </c>
      <c r="T467" s="10">
        <f>IF(ActiveDatabase=Standby,Secondary!T467,Primary!T467)</f>
        <v>0</v>
      </c>
      <c r="U467" s="10">
        <f>IF(ActiveDatabase=Standby,Secondary!U467,Primary!U467)</f>
        <v>0</v>
      </c>
      <c r="V467" s="10">
        <f>IF(ActiveDatabase=Standby,Secondary!V467,Primary!V467)</f>
        <v>0</v>
      </c>
      <c r="W467" s="6">
        <f>IF(ActiveDatabase=Standby,Secondary!W467,Primary!W467)</f>
        <v>0</v>
      </c>
      <c r="X467" s="6">
        <f>IF(ActiveDatabase=Standby,Secondary!X467,Primary!X467)</f>
        <v>0</v>
      </c>
      <c r="Y467" s="12">
        <f>IF(ActiveDatabase=Standby,Secondary!Y467,Primary!Y467)</f>
        <v>0</v>
      </c>
      <c r="Z467" s="12">
        <f>IF(ActiveDatabase=Standby,Secondary!Z467,Primary!Z467)</f>
        <v>0</v>
      </c>
      <c r="AA467" s="7">
        <f>IF(ActiveDatabase=Standby,Secondary!AA467,Primary!AA467)</f>
        <v>0</v>
      </c>
      <c r="AB467" s="12"/>
      <c r="AC467" s="6"/>
      <c r="AD467" s="6"/>
      <c r="AE467" s="7"/>
      <c r="AF467" s="7"/>
      <c r="AG467" s="7"/>
      <c r="AH467" s="7"/>
      <c r="AI467" s="7"/>
      <c r="AJ467" s="7"/>
      <c r="AK467" s="7"/>
      <c r="AL467" s="7"/>
      <c r="AM467" s="7"/>
      <c r="AN467" s="7"/>
      <c r="AO467" s="6"/>
      <c r="AP467" s="7"/>
      <c r="AQ467" s="7"/>
      <c r="AR467" s="6"/>
      <c r="AS467" s="7"/>
      <c r="AT467" s="7"/>
      <c r="AU467" s="7"/>
      <c r="AV467" s="7"/>
      <c r="AW467" s="7"/>
      <c r="AX467" s="7"/>
      <c r="AY467" s="7"/>
      <c r="AZ467" s="7"/>
      <c r="BA467" s="7"/>
      <c r="BB467" s="7"/>
      <c r="BC467" s="7"/>
      <c r="BD467" s="7"/>
      <c r="BE467" s="7"/>
      <c r="BF467" s="7"/>
      <c r="BG467" s="7"/>
    </row>
    <row r="468" customHeight="1" spans="1:59">
      <c r="A468" s="9" t="str">
        <f>IF(ActiveDatabase=Standby,Secondary!A468,Primary!A468)</f>
        <v>Hurston 103</v>
      </c>
      <c r="B468" s="5" t="str">
        <f>IF(ActiveDatabase=Standby,Secondary!B468,Primary!B468)</f>
        <v>Hurston 116</v>
      </c>
      <c r="C468" s="5" t="str">
        <f>IF(ActiveDatabase=Standby,Secondary!C468,Primary!C468)</f>
        <v>Hurston 95</v>
      </c>
      <c r="D468" s="5" t="str">
        <f>IF(ActiveDatabase=Standby,Secondary!D468,Primary!D468)</f>
        <v>Constellation Wreck 14J</v>
      </c>
      <c r="E468" s="6" t="str">
        <f>IF(ActiveDatabase=Standby,Secondary!E468,Primary!E468)</f>
        <v>Constellation 14J</v>
      </c>
      <c r="F468" s="10">
        <f>IF(ActiveDatabase=Standby,Secondary!F468,Primary!F468)</f>
        <v>-131.882323481838</v>
      </c>
      <c r="G468" s="10">
        <f>IF(ActiveDatabase=Standby,Secondary!G468,Primary!G468)</f>
        <v>-882.095406444197</v>
      </c>
      <c r="H468" s="10">
        <f>IF(ActiveDatabase=Standby,Secondary!H468,Primary!H468)</f>
        <v>-452.240015328052</v>
      </c>
      <c r="I468" s="13">
        <f>IF(ActiveDatabase=Standby,Secondary!I468,Primary!I468)</f>
        <v>0</v>
      </c>
      <c r="J468" s="13">
        <f>IF(ActiveDatabase=Standby,Secondary!J468,Primary!J468)</f>
        <v>0</v>
      </c>
      <c r="K468" s="13">
        <f>IF(ActiveDatabase=Standby,Secondary!K468,Primary!K468)</f>
        <v>0</v>
      </c>
      <c r="L468" s="13">
        <f>IF(ActiveDatabase=Standby,Secondary!L468,Primary!L468)</f>
        <v>0</v>
      </c>
      <c r="M468" s="7" t="b">
        <f>IF(ActiveDatabase=Standby,Secondary!M468,Primary!M468)</f>
        <v>0</v>
      </c>
      <c r="N468" s="10">
        <f>IF(ActiveDatabase=Standby,Secondary!N468,Primary!N468)</f>
        <v>0</v>
      </c>
      <c r="O468" s="10">
        <f>IF(ActiveDatabase=Standby,Secondary!O468,Primary!O468)</f>
        <v>0</v>
      </c>
      <c r="P468" s="10">
        <f>IF(ActiveDatabase=Standby,Secondary!P468,Primary!P468)</f>
        <v>0</v>
      </c>
      <c r="Q468" s="6">
        <f>IF(ActiveDatabase=Standby,Secondary!Q468,Primary!Q468)</f>
        <v>0</v>
      </c>
      <c r="R468" s="18">
        <f>IF(ActiveDatabase=Standby,Secondary!R468,Primary!R468)</f>
        <v>0</v>
      </c>
      <c r="S468" s="19">
        <f>IF(ActiveDatabase=Standby,Secondary!S468,Primary!S468)</f>
        <v>0</v>
      </c>
      <c r="T468" s="10">
        <f>IF(ActiveDatabase=Standby,Secondary!T468,Primary!T468)</f>
        <v>0</v>
      </c>
      <c r="U468" s="10">
        <f>IF(ActiveDatabase=Standby,Secondary!U468,Primary!U468)</f>
        <v>0</v>
      </c>
      <c r="V468" s="10">
        <f>IF(ActiveDatabase=Standby,Secondary!V468,Primary!V468)</f>
        <v>0</v>
      </c>
      <c r="W468" s="6">
        <f>IF(ActiveDatabase=Standby,Secondary!W468,Primary!W468)</f>
        <v>0</v>
      </c>
      <c r="X468" s="6">
        <f>IF(ActiveDatabase=Standby,Secondary!X468,Primary!X468)</f>
        <v>0</v>
      </c>
      <c r="Y468" s="12">
        <f>IF(ActiveDatabase=Standby,Secondary!Y468,Primary!Y468)</f>
        <v>0</v>
      </c>
      <c r="Z468" s="12">
        <f>IF(ActiveDatabase=Standby,Secondary!Z468,Primary!Z468)</f>
        <v>0</v>
      </c>
      <c r="AA468" s="7">
        <f>IF(ActiveDatabase=Standby,Secondary!AA468,Primary!AA468)</f>
        <v>0</v>
      </c>
      <c r="AB468" s="12"/>
      <c r="AC468" s="6"/>
      <c r="AD468" s="6"/>
      <c r="AE468" s="7"/>
      <c r="AF468" s="7"/>
      <c r="AG468" s="7"/>
      <c r="AH468" s="7"/>
      <c r="AI468" s="7"/>
      <c r="AJ468" s="7"/>
      <c r="AK468" s="7"/>
      <c r="AL468" s="7"/>
      <c r="AM468" s="7"/>
      <c r="AN468" s="7"/>
      <c r="AO468" s="6"/>
      <c r="AP468" s="7"/>
      <c r="AQ468" s="7"/>
      <c r="AR468" s="6"/>
      <c r="AS468" s="7"/>
      <c r="AT468" s="7"/>
      <c r="AU468" s="7"/>
      <c r="AV468" s="7"/>
      <c r="AW468" s="7"/>
      <c r="AX468" s="7"/>
      <c r="AY468" s="7"/>
      <c r="AZ468" s="7"/>
      <c r="BA468" s="7"/>
      <c r="BB468" s="7"/>
      <c r="BC468" s="7"/>
      <c r="BD468" s="7"/>
      <c r="BE468" s="7"/>
      <c r="BF468" s="7"/>
      <c r="BG468" s="7"/>
    </row>
    <row r="469" customHeight="1" spans="1:59">
      <c r="A469" s="9" t="str">
        <f>IF(ActiveDatabase=Standby,Secondary!A469,Primary!A469)</f>
        <v>Hurston 105</v>
      </c>
      <c r="B469" s="5" t="str">
        <f>IF(ActiveDatabase=Standby,Secondary!B469,Primary!B469)</f>
        <v>Hurston 118</v>
      </c>
      <c r="C469" s="5" t="str">
        <f>IF(ActiveDatabase=Standby,Secondary!C469,Primary!C469)</f>
        <v>Hurston 39</v>
      </c>
      <c r="D469" s="5" t="str">
        <f>IF(ActiveDatabase=Standby,Secondary!D469,Primary!D469)</f>
        <v>Constellation Wreck 46J</v>
      </c>
      <c r="E469" s="6" t="str">
        <f>IF(ActiveDatabase=Standby,Secondary!E469,Primary!E469)</f>
        <v>Constellation 46J</v>
      </c>
      <c r="F469" s="10">
        <f>IF(ActiveDatabase=Standby,Secondary!F469,Primary!F469)</f>
        <v>-63.743360739971</v>
      </c>
      <c r="G469" s="10">
        <f>IF(ActiveDatabase=Standby,Secondary!G469,Primary!G469)</f>
        <v>873.126143696719</v>
      </c>
      <c r="H469" s="10">
        <f>IF(ActiveDatabase=Standby,Secondary!H469,Primary!H469)</f>
        <v>-486.42035416598</v>
      </c>
      <c r="I469" s="13">
        <f>IF(ActiveDatabase=Standby,Secondary!I469,Primary!I469)</f>
        <v>0</v>
      </c>
      <c r="J469" s="13">
        <f>IF(ActiveDatabase=Standby,Secondary!J469,Primary!J469)</f>
        <v>0</v>
      </c>
      <c r="K469" s="13">
        <f>IF(ActiveDatabase=Standby,Secondary!K469,Primary!K469)</f>
        <v>0</v>
      </c>
      <c r="L469" s="13">
        <f>IF(ActiveDatabase=Standby,Secondary!L469,Primary!L469)</f>
        <v>0</v>
      </c>
      <c r="M469" s="7" t="b">
        <f>IF(ActiveDatabase=Standby,Secondary!M469,Primary!M469)</f>
        <v>0</v>
      </c>
      <c r="N469" s="10">
        <f>IF(ActiveDatabase=Standby,Secondary!N469,Primary!N469)</f>
        <v>0</v>
      </c>
      <c r="O469" s="10">
        <f>IF(ActiveDatabase=Standby,Secondary!O469,Primary!O469)</f>
        <v>0</v>
      </c>
      <c r="P469" s="10">
        <f>IF(ActiveDatabase=Standby,Secondary!P469,Primary!P469)</f>
        <v>0</v>
      </c>
      <c r="Q469" s="6">
        <f>IF(ActiveDatabase=Standby,Secondary!Q469,Primary!Q469)</f>
        <v>0</v>
      </c>
      <c r="R469" s="18">
        <f>IF(ActiveDatabase=Standby,Secondary!R469,Primary!R469)</f>
        <v>0</v>
      </c>
      <c r="S469" s="19">
        <f>IF(ActiveDatabase=Standby,Secondary!S469,Primary!S469)</f>
        <v>0</v>
      </c>
      <c r="T469" s="10">
        <f>IF(ActiveDatabase=Standby,Secondary!T469,Primary!T469)</f>
        <v>0</v>
      </c>
      <c r="U469" s="10">
        <f>IF(ActiveDatabase=Standby,Secondary!U469,Primary!U469)</f>
        <v>0</v>
      </c>
      <c r="V469" s="10">
        <f>IF(ActiveDatabase=Standby,Secondary!V469,Primary!V469)</f>
        <v>0</v>
      </c>
      <c r="W469" s="6">
        <f>IF(ActiveDatabase=Standby,Secondary!W469,Primary!W469)</f>
        <v>0</v>
      </c>
      <c r="X469" s="6">
        <f>IF(ActiveDatabase=Standby,Secondary!X469,Primary!X469)</f>
        <v>0</v>
      </c>
      <c r="Y469" s="12">
        <f>IF(ActiveDatabase=Standby,Secondary!Y469,Primary!Y469)</f>
        <v>0</v>
      </c>
      <c r="Z469" s="12">
        <f>IF(ActiveDatabase=Standby,Secondary!Z469,Primary!Z469)</f>
        <v>0</v>
      </c>
      <c r="AA469" s="7">
        <f>IF(ActiveDatabase=Standby,Secondary!AA469,Primary!AA469)</f>
        <v>0</v>
      </c>
      <c r="AB469" s="12"/>
      <c r="AC469" s="6"/>
      <c r="AD469" s="6"/>
      <c r="AE469" s="7"/>
      <c r="AF469" s="7"/>
      <c r="AG469" s="7"/>
      <c r="AH469" s="7"/>
      <c r="AI469" s="7"/>
      <c r="AJ469" s="7"/>
      <c r="AK469" s="7"/>
      <c r="AL469" s="7"/>
      <c r="AM469" s="7"/>
      <c r="AN469" s="7"/>
      <c r="AO469" s="6"/>
      <c r="AP469" s="7"/>
      <c r="AQ469" s="7"/>
      <c r="AR469" s="6"/>
      <c r="AS469" s="7"/>
      <c r="AT469" s="7"/>
      <c r="AU469" s="7"/>
      <c r="AV469" s="7"/>
      <c r="AW469" s="7"/>
      <c r="AX469" s="7"/>
      <c r="AY469" s="7"/>
      <c r="AZ469" s="7"/>
      <c r="BA469" s="7"/>
      <c r="BB469" s="7"/>
      <c r="BC469" s="7"/>
      <c r="BD469" s="7"/>
      <c r="BE469" s="7"/>
      <c r="BF469" s="7"/>
      <c r="BG469" s="7"/>
    </row>
    <row r="470" customHeight="1" spans="1:59">
      <c r="A470" s="9" t="str">
        <f>IF(ActiveDatabase=Standby,Secondary!A470,Primary!A470)</f>
        <v>Hurston 108</v>
      </c>
      <c r="B470" s="5" t="str">
        <f>IF(ActiveDatabase=Standby,Secondary!B470,Primary!B470)</f>
        <v>Hurston 121</v>
      </c>
      <c r="C470" s="5" t="str">
        <f>IF(ActiveDatabase=Standby,Secondary!C470,Primary!C470)</f>
        <v>Hurston 132</v>
      </c>
      <c r="D470" s="5" t="str">
        <f>IF(ActiveDatabase=Standby,Secondary!D470,Primary!D470)</f>
        <v>Cutlass Wreck 04T</v>
      </c>
      <c r="E470" s="6" t="str">
        <f>IF(ActiveDatabase=Standby,Secondary!E470,Primary!E470)</f>
        <v>Cutlass 04T</v>
      </c>
      <c r="F470" s="10">
        <f>IF(ActiveDatabase=Standby,Secondary!F470,Primary!F470)</f>
        <v>-667.749930954357</v>
      </c>
      <c r="G470" s="10">
        <f>IF(ActiveDatabase=Standby,Secondary!G470,Primary!G470)</f>
        <v>-271.843434835245</v>
      </c>
      <c r="H470" s="10">
        <f>IF(ActiveDatabase=Standby,Secondary!H470,Primary!H470)</f>
        <v>694.431805692807</v>
      </c>
      <c r="I470" s="13">
        <f>IF(ActiveDatabase=Standby,Secondary!I470,Primary!I470)</f>
        <v>0</v>
      </c>
      <c r="J470" s="13">
        <f>IF(ActiveDatabase=Standby,Secondary!J470,Primary!J470)</f>
        <v>0</v>
      </c>
      <c r="K470" s="13">
        <f>IF(ActiveDatabase=Standby,Secondary!K470,Primary!K470)</f>
        <v>0</v>
      </c>
      <c r="L470" s="13">
        <f>IF(ActiveDatabase=Standby,Secondary!L470,Primary!L470)</f>
        <v>0</v>
      </c>
      <c r="M470" s="7" t="b">
        <f>IF(ActiveDatabase=Standby,Secondary!M470,Primary!M470)</f>
        <v>0</v>
      </c>
      <c r="N470" s="10">
        <f>IF(ActiveDatabase=Standby,Secondary!N470,Primary!N470)</f>
        <v>0</v>
      </c>
      <c r="O470" s="10">
        <f>IF(ActiveDatabase=Standby,Secondary!O470,Primary!O470)</f>
        <v>0</v>
      </c>
      <c r="P470" s="10">
        <f>IF(ActiveDatabase=Standby,Secondary!P470,Primary!P470)</f>
        <v>0</v>
      </c>
      <c r="Q470" s="6">
        <f>IF(ActiveDatabase=Standby,Secondary!Q470,Primary!Q470)</f>
        <v>0</v>
      </c>
      <c r="R470" s="18">
        <f>IF(ActiveDatabase=Standby,Secondary!R470,Primary!R470)</f>
        <v>0</v>
      </c>
      <c r="S470" s="19">
        <f>IF(ActiveDatabase=Standby,Secondary!S470,Primary!S470)</f>
        <v>0</v>
      </c>
      <c r="T470" s="10">
        <f>IF(ActiveDatabase=Standby,Secondary!T470,Primary!T470)</f>
        <v>0</v>
      </c>
      <c r="U470" s="10">
        <f>IF(ActiveDatabase=Standby,Secondary!U470,Primary!U470)</f>
        <v>0</v>
      </c>
      <c r="V470" s="10">
        <f>IF(ActiveDatabase=Standby,Secondary!V470,Primary!V470)</f>
        <v>0</v>
      </c>
      <c r="W470" s="6">
        <f>IF(ActiveDatabase=Standby,Secondary!W470,Primary!W470)</f>
        <v>0</v>
      </c>
      <c r="X470" s="6">
        <f>IF(ActiveDatabase=Standby,Secondary!X470,Primary!X470)</f>
        <v>0</v>
      </c>
      <c r="Y470" s="12">
        <f>IF(ActiveDatabase=Standby,Secondary!Y470,Primary!Y470)</f>
        <v>0</v>
      </c>
      <c r="Z470" s="12">
        <f>IF(ActiveDatabase=Standby,Secondary!Z470,Primary!Z470)</f>
        <v>0</v>
      </c>
      <c r="AA470" s="7">
        <f>IF(ActiveDatabase=Standby,Secondary!AA470,Primary!AA470)</f>
        <v>0</v>
      </c>
      <c r="AB470" s="12"/>
      <c r="AC470" s="6"/>
      <c r="AD470" s="6"/>
      <c r="AE470" s="7"/>
      <c r="AF470" s="7"/>
      <c r="AG470" s="7"/>
      <c r="AH470" s="7"/>
      <c r="AI470" s="7"/>
      <c r="AJ470" s="7"/>
      <c r="AK470" s="7"/>
      <c r="AL470" s="7"/>
      <c r="AM470" s="7"/>
      <c r="AN470" s="7"/>
      <c r="AO470" s="6"/>
      <c r="AP470" s="7"/>
      <c r="AQ470" s="7"/>
      <c r="AR470" s="6"/>
      <c r="AS470" s="7"/>
      <c r="AT470" s="7"/>
      <c r="AU470" s="7"/>
      <c r="AV470" s="7"/>
      <c r="AW470" s="7"/>
      <c r="AX470" s="7"/>
      <c r="AY470" s="7"/>
      <c r="AZ470" s="7"/>
      <c r="BA470" s="7"/>
      <c r="BB470" s="7"/>
      <c r="BC470" s="7"/>
      <c r="BD470" s="7"/>
      <c r="BE470" s="7"/>
      <c r="BF470" s="7"/>
      <c r="BG470" s="7"/>
    </row>
    <row r="471" customHeight="1" spans="1:59">
      <c r="A471" s="9" t="str">
        <f>IF(ActiveDatabase=Standby,Secondary!A471,Primary!A471)</f>
        <v>Hurston 107</v>
      </c>
      <c r="B471" s="5" t="str">
        <f>IF(ActiveDatabase=Standby,Secondary!B471,Primary!B471)</f>
        <v>Hurston 120</v>
      </c>
      <c r="C471" s="5" t="str">
        <f>IF(ActiveDatabase=Standby,Secondary!C471,Primary!C471)</f>
        <v>Hurston 143</v>
      </c>
      <c r="D471" s="5" t="str">
        <f>IF(ActiveDatabase=Standby,Secondary!D471,Primary!D471)</f>
        <v>Cutlass Wreck 01H</v>
      </c>
      <c r="E471" s="6" t="str">
        <f>IF(ActiveDatabase=Standby,Secondary!E471,Primary!E471)</f>
        <v>Cutlass 01H</v>
      </c>
      <c r="F471" s="10">
        <f>IF(ActiveDatabase=Standby,Secondary!F471,Primary!F471)</f>
        <v>-833.060995850064</v>
      </c>
      <c r="G471" s="10">
        <f>IF(ActiveDatabase=Standby,Secondary!G471,Primary!G471)</f>
        <v>-68.423523096645</v>
      </c>
      <c r="H471" s="10">
        <f>IF(ActiveDatabase=Standby,Secondary!H471,Primary!H471)</f>
        <v>-550.783434756244</v>
      </c>
      <c r="I471" s="13">
        <f>IF(ActiveDatabase=Standby,Secondary!I471,Primary!I471)</f>
        <v>0</v>
      </c>
      <c r="J471" s="13">
        <f>IF(ActiveDatabase=Standby,Secondary!J471,Primary!J471)</f>
        <v>0</v>
      </c>
      <c r="K471" s="13">
        <f>IF(ActiveDatabase=Standby,Secondary!K471,Primary!K471)</f>
        <v>0</v>
      </c>
      <c r="L471" s="13">
        <f>IF(ActiveDatabase=Standby,Secondary!L471,Primary!L471)</f>
        <v>0</v>
      </c>
      <c r="M471" s="7" t="b">
        <f>IF(ActiveDatabase=Standby,Secondary!M471,Primary!M471)</f>
        <v>0</v>
      </c>
      <c r="N471" s="10">
        <f>IF(ActiveDatabase=Standby,Secondary!N471,Primary!N471)</f>
        <v>0</v>
      </c>
      <c r="O471" s="10">
        <f>IF(ActiveDatabase=Standby,Secondary!O471,Primary!O471)</f>
        <v>0</v>
      </c>
      <c r="P471" s="10">
        <f>IF(ActiveDatabase=Standby,Secondary!P471,Primary!P471)</f>
        <v>0</v>
      </c>
      <c r="Q471" s="6">
        <f>IF(ActiveDatabase=Standby,Secondary!Q471,Primary!Q471)</f>
        <v>0</v>
      </c>
      <c r="R471" s="18">
        <f>IF(ActiveDatabase=Standby,Secondary!R471,Primary!R471)</f>
        <v>0</v>
      </c>
      <c r="S471" s="19">
        <f>IF(ActiveDatabase=Standby,Secondary!S471,Primary!S471)</f>
        <v>0</v>
      </c>
      <c r="T471" s="10">
        <f>IF(ActiveDatabase=Standby,Secondary!T471,Primary!T471)</f>
        <v>0</v>
      </c>
      <c r="U471" s="10">
        <f>IF(ActiveDatabase=Standby,Secondary!U471,Primary!U471)</f>
        <v>0</v>
      </c>
      <c r="V471" s="10">
        <f>IF(ActiveDatabase=Standby,Secondary!V471,Primary!V471)</f>
        <v>0</v>
      </c>
      <c r="W471" s="6">
        <f>IF(ActiveDatabase=Standby,Secondary!W471,Primary!W471)</f>
        <v>0</v>
      </c>
      <c r="X471" s="6">
        <f>IF(ActiveDatabase=Standby,Secondary!X471,Primary!X471)</f>
        <v>0</v>
      </c>
      <c r="Y471" s="12">
        <f>IF(ActiveDatabase=Standby,Secondary!Y471,Primary!Y471)</f>
        <v>0</v>
      </c>
      <c r="Z471" s="12">
        <f>IF(ActiveDatabase=Standby,Secondary!Z471,Primary!Z471)</f>
        <v>0</v>
      </c>
      <c r="AA471" s="7">
        <f>IF(ActiveDatabase=Standby,Secondary!AA471,Primary!AA471)</f>
        <v>0</v>
      </c>
      <c r="AB471" s="12"/>
      <c r="AC471" s="6"/>
      <c r="AD471" s="6"/>
      <c r="AE471" s="7"/>
      <c r="AF471" s="7"/>
      <c r="AG471" s="7"/>
      <c r="AH471" s="7"/>
      <c r="AI471" s="7"/>
      <c r="AJ471" s="7"/>
      <c r="AK471" s="7"/>
      <c r="AL471" s="7"/>
      <c r="AM471" s="7"/>
      <c r="AN471" s="7"/>
      <c r="AO471" s="6"/>
      <c r="AP471" s="7"/>
      <c r="AQ471" s="7"/>
      <c r="AR471" s="6"/>
      <c r="AS471" s="7"/>
      <c r="AT471" s="7"/>
      <c r="AU471" s="7"/>
      <c r="AV471" s="7"/>
      <c r="AW471" s="7"/>
      <c r="AX471" s="7"/>
      <c r="AY471" s="7"/>
      <c r="AZ471" s="7"/>
      <c r="BA471" s="7"/>
      <c r="BB471" s="7"/>
      <c r="BC471" s="7"/>
      <c r="BD471" s="7"/>
      <c r="BE471" s="7"/>
      <c r="BF471" s="7"/>
      <c r="BG471" s="7"/>
    </row>
    <row r="472" customHeight="1" spans="1:59">
      <c r="A472" s="9" t="str">
        <f>IF(ActiveDatabase=Standby,Secondary!A472,Primary!A472)</f>
        <v>Hurston 110</v>
      </c>
      <c r="B472" s="5" t="str">
        <f>IF(ActiveDatabase=Standby,Secondary!B472,Primary!B472)</f>
        <v>Hurston 123</v>
      </c>
      <c r="C472" s="5" t="str">
        <f>IF(ActiveDatabase=Standby,Secondary!C472,Primary!C472)</f>
        <v>Hurston 16</v>
      </c>
      <c r="D472" s="5" t="str">
        <f>IF(ActiveDatabase=Standby,Secondary!D472,Primary!D472)</f>
        <v>Cutlass Wreck 56F</v>
      </c>
      <c r="E472" s="6" t="str">
        <f>IF(ActiveDatabase=Standby,Secondary!E472,Primary!E472)</f>
        <v>Cutlass 56F</v>
      </c>
      <c r="F472" s="10">
        <f>IF(ActiveDatabase=Standby,Secondary!F472,Primary!F472)</f>
        <v>-569.720995957476</v>
      </c>
      <c r="G472" s="10">
        <f>IF(ActiveDatabase=Standby,Secondary!G472,Primary!G472)</f>
        <v>306.214935327215</v>
      </c>
      <c r="H472" s="10">
        <f>IF(ActiveDatabase=Standby,Secondary!H472,Primary!H472)</f>
        <v>-764.709744573911</v>
      </c>
      <c r="I472" s="13">
        <f>IF(ActiveDatabase=Standby,Secondary!I472,Primary!I472)</f>
        <v>0</v>
      </c>
      <c r="J472" s="13">
        <f>IF(ActiveDatabase=Standby,Secondary!J472,Primary!J472)</f>
        <v>0</v>
      </c>
      <c r="K472" s="13">
        <f>IF(ActiveDatabase=Standby,Secondary!K472,Primary!K472)</f>
        <v>0</v>
      </c>
      <c r="L472" s="13">
        <f>IF(ActiveDatabase=Standby,Secondary!L472,Primary!L472)</f>
        <v>0</v>
      </c>
      <c r="M472" s="7" t="b">
        <f>IF(ActiveDatabase=Standby,Secondary!M472,Primary!M472)</f>
        <v>0</v>
      </c>
      <c r="N472" s="10">
        <f>IF(ActiveDatabase=Standby,Secondary!N472,Primary!N472)</f>
        <v>0</v>
      </c>
      <c r="O472" s="10">
        <f>IF(ActiveDatabase=Standby,Secondary!O472,Primary!O472)</f>
        <v>0</v>
      </c>
      <c r="P472" s="10">
        <f>IF(ActiveDatabase=Standby,Secondary!P472,Primary!P472)</f>
        <v>0</v>
      </c>
      <c r="Q472" s="6">
        <f>IF(ActiveDatabase=Standby,Secondary!Q472,Primary!Q472)</f>
        <v>0</v>
      </c>
      <c r="R472" s="18">
        <f>IF(ActiveDatabase=Standby,Secondary!R472,Primary!R472)</f>
        <v>0</v>
      </c>
      <c r="S472" s="19">
        <f>IF(ActiveDatabase=Standby,Secondary!S472,Primary!S472)</f>
        <v>0</v>
      </c>
      <c r="T472" s="10">
        <f>IF(ActiveDatabase=Standby,Secondary!T472,Primary!T472)</f>
        <v>0</v>
      </c>
      <c r="U472" s="10">
        <f>IF(ActiveDatabase=Standby,Secondary!U472,Primary!U472)</f>
        <v>0</v>
      </c>
      <c r="V472" s="10">
        <f>IF(ActiveDatabase=Standby,Secondary!V472,Primary!V472)</f>
        <v>0</v>
      </c>
      <c r="W472" s="6">
        <f>IF(ActiveDatabase=Standby,Secondary!W472,Primary!W472)</f>
        <v>0</v>
      </c>
      <c r="X472" s="6">
        <f>IF(ActiveDatabase=Standby,Secondary!X472,Primary!X472)</f>
        <v>0</v>
      </c>
      <c r="Y472" s="12">
        <f>IF(ActiveDatabase=Standby,Secondary!Y472,Primary!Y472)</f>
        <v>0</v>
      </c>
      <c r="Z472" s="12">
        <f>IF(ActiveDatabase=Standby,Secondary!Z472,Primary!Z472)</f>
        <v>0</v>
      </c>
      <c r="AA472" s="9">
        <f>IF(ActiveDatabase=Standby,Secondary!AA472,Primary!AA472)</f>
        <v>0</v>
      </c>
      <c r="AB472" s="12"/>
      <c r="AC472" s="6"/>
      <c r="AD472" s="6"/>
      <c r="AE472" s="7"/>
      <c r="AF472" s="7"/>
      <c r="AG472" s="7"/>
      <c r="AH472" s="7"/>
      <c r="AI472" s="7"/>
      <c r="AJ472" s="7"/>
      <c r="AK472" s="7"/>
      <c r="AL472" s="7"/>
      <c r="AM472" s="7"/>
      <c r="AN472" s="7"/>
      <c r="AO472" s="6"/>
      <c r="AP472" s="7"/>
      <c r="AQ472" s="7"/>
      <c r="AR472" s="6"/>
      <c r="AS472" s="7"/>
      <c r="AT472" s="7"/>
      <c r="AU472" s="7"/>
      <c r="AV472" s="7"/>
      <c r="AW472" s="7"/>
      <c r="AX472" s="7"/>
      <c r="AY472" s="7"/>
      <c r="AZ472" s="7"/>
      <c r="BA472" s="7"/>
      <c r="BB472" s="7"/>
      <c r="BC472" s="7"/>
      <c r="BD472" s="7"/>
      <c r="BE472" s="7"/>
      <c r="BF472" s="7"/>
      <c r="BG472" s="7"/>
    </row>
    <row r="473" customHeight="1" spans="1:59">
      <c r="A473" s="9" t="str">
        <f>IF(ActiveDatabase=Standby,Secondary!A473,Primary!A473)</f>
        <v>Hurston 109</v>
      </c>
      <c r="B473" s="5" t="str">
        <f>IF(ActiveDatabase=Standby,Secondary!B473,Primary!B473)</f>
        <v>Hurston 122</v>
      </c>
      <c r="C473" s="5" t="str">
        <f>IF(ActiveDatabase=Standby,Secondary!C473,Primary!C473)</f>
        <v>Hurston 73</v>
      </c>
      <c r="D473" s="5" t="str">
        <f>IF(ActiveDatabase=Standby,Secondary!D473,Primary!D473)</f>
        <v>Cutlass Wreck 23D</v>
      </c>
      <c r="E473" s="6" t="str">
        <f>IF(ActiveDatabase=Standby,Secondary!E473,Primary!E473)</f>
        <v>Cutlass 23D</v>
      </c>
      <c r="F473" s="10">
        <f>IF(ActiveDatabase=Standby,Secondary!F473,Primary!F473)</f>
        <v>261.157210994944</v>
      </c>
      <c r="G473" s="10">
        <f>IF(ActiveDatabase=Standby,Secondary!G473,Primary!G473)</f>
        <v>-269.430429499271</v>
      </c>
      <c r="H473" s="10">
        <f>IF(ActiveDatabase=Standby,Secondary!H473,Primary!H473)</f>
        <v>-928.880347416925</v>
      </c>
      <c r="I473" s="13">
        <f>IF(ActiveDatabase=Standby,Secondary!I473,Primary!I473)</f>
        <v>0</v>
      </c>
      <c r="J473" s="13">
        <f>IF(ActiveDatabase=Standby,Secondary!J473,Primary!J473)</f>
        <v>0</v>
      </c>
      <c r="K473" s="13">
        <f>IF(ActiveDatabase=Standby,Secondary!K473,Primary!K473)</f>
        <v>0</v>
      </c>
      <c r="L473" s="13">
        <f>IF(ActiveDatabase=Standby,Secondary!L473,Primary!L473)</f>
        <v>0</v>
      </c>
      <c r="M473" s="7" t="b">
        <f>IF(ActiveDatabase=Standby,Secondary!M473,Primary!M473)</f>
        <v>0</v>
      </c>
      <c r="N473" s="10">
        <f>IF(ActiveDatabase=Standby,Secondary!N473,Primary!N473)</f>
        <v>0</v>
      </c>
      <c r="O473" s="10">
        <f>IF(ActiveDatabase=Standby,Secondary!O473,Primary!O473)</f>
        <v>0</v>
      </c>
      <c r="P473" s="10">
        <f>IF(ActiveDatabase=Standby,Secondary!P473,Primary!P473)</f>
        <v>0</v>
      </c>
      <c r="Q473" s="6">
        <f>IF(ActiveDatabase=Standby,Secondary!Q473,Primary!Q473)</f>
        <v>0</v>
      </c>
      <c r="R473" s="18">
        <f>IF(ActiveDatabase=Standby,Secondary!R473,Primary!R473)</f>
        <v>0</v>
      </c>
      <c r="S473" s="19">
        <f>IF(ActiveDatabase=Standby,Secondary!S473,Primary!S473)</f>
        <v>0</v>
      </c>
      <c r="T473" s="10">
        <f>IF(ActiveDatabase=Standby,Secondary!T473,Primary!T473)</f>
        <v>0</v>
      </c>
      <c r="U473" s="10">
        <f>IF(ActiveDatabase=Standby,Secondary!U473,Primary!U473)</f>
        <v>0</v>
      </c>
      <c r="V473" s="10">
        <f>IF(ActiveDatabase=Standby,Secondary!V473,Primary!V473)</f>
        <v>0</v>
      </c>
      <c r="W473" s="6">
        <f>IF(ActiveDatabase=Standby,Secondary!W473,Primary!W473)</f>
        <v>0</v>
      </c>
      <c r="X473" s="6">
        <f>IF(ActiveDatabase=Standby,Secondary!X473,Primary!X473)</f>
        <v>0</v>
      </c>
      <c r="Y473" s="12">
        <f>IF(ActiveDatabase=Standby,Secondary!Y473,Primary!Y473)</f>
        <v>0</v>
      </c>
      <c r="Z473" s="12">
        <f>IF(ActiveDatabase=Standby,Secondary!Z473,Primary!Z473)</f>
        <v>0</v>
      </c>
      <c r="AA473" s="9">
        <f>IF(ActiveDatabase=Standby,Secondary!AA473,Primary!AA473)</f>
        <v>0</v>
      </c>
      <c r="AB473" s="12"/>
      <c r="AC473" s="6"/>
      <c r="AD473" s="6"/>
      <c r="AE473" s="7"/>
      <c r="AF473" s="7"/>
      <c r="AG473" s="7"/>
      <c r="AH473" s="7"/>
      <c r="AI473" s="7"/>
      <c r="AJ473" s="7"/>
      <c r="AK473" s="7"/>
      <c r="AL473" s="7"/>
      <c r="AM473" s="7"/>
      <c r="AN473" s="7"/>
      <c r="AO473" s="6"/>
      <c r="AP473" s="7"/>
      <c r="AQ473" s="7"/>
      <c r="AR473" s="6"/>
      <c r="AS473" s="7"/>
      <c r="AT473" s="7"/>
      <c r="AU473" s="7"/>
      <c r="AV473" s="7"/>
      <c r="AW473" s="7"/>
      <c r="AX473" s="7"/>
      <c r="AY473" s="7"/>
      <c r="AZ473" s="7"/>
      <c r="BA473" s="7"/>
      <c r="BB473" s="7"/>
      <c r="BC473" s="7"/>
      <c r="BD473" s="7"/>
      <c r="BE473" s="7"/>
      <c r="BF473" s="7"/>
      <c r="BG473" s="7"/>
    </row>
    <row r="474" customHeight="1" spans="1:59">
      <c r="A474" s="9" t="str">
        <f>IF(ActiveDatabase=Standby,Secondary!A474,Primary!A474)</f>
        <v>Hurston 111</v>
      </c>
      <c r="B474" s="5" t="str">
        <f>IF(ActiveDatabase=Standby,Secondary!B474,Primary!B474)</f>
        <v>Hurston 124</v>
      </c>
      <c r="C474" s="5" t="str">
        <f>IF(ActiveDatabase=Standby,Secondary!C474,Primary!C474)</f>
        <v>Hurston 74</v>
      </c>
      <c r="D474" s="5" t="str">
        <f>IF(ActiveDatabase=Standby,Secondary!D474,Primary!D474)</f>
        <v>Freelancer Wreck 23N</v>
      </c>
      <c r="E474" s="6" t="str">
        <f>IF(ActiveDatabase=Standby,Secondary!E474,Primary!E474)</f>
        <v>Freelancer 23N</v>
      </c>
      <c r="F474" s="10">
        <f>IF(ActiveDatabase=Standby,Secondary!F474,Primary!F474)</f>
        <v>674.898444088304</v>
      </c>
      <c r="G474" s="10">
        <f>IF(ActiveDatabase=Standby,Secondary!G474,Primary!G474)</f>
        <v>-737.051382195036</v>
      </c>
      <c r="H474" s="10">
        <f>IF(ActiveDatabase=Standby,Secondary!H474,Primary!H474)</f>
        <v>45.595855913853</v>
      </c>
      <c r="I474" s="13">
        <f>IF(ActiveDatabase=Standby,Secondary!I474,Primary!I474)</f>
        <v>0</v>
      </c>
      <c r="J474" s="13">
        <f>IF(ActiveDatabase=Standby,Secondary!J474,Primary!J474)</f>
        <v>0</v>
      </c>
      <c r="K474" s="13">
        <f>IF(ActiveDatabase=Standby,Secondary!K474,Primary!K474)</f>
        <v>0</v>
      </c>
      <c r="L474" s="13">
        <f>IF(ActiveDatabase=Standby,Secondary!L474,Primary!L474)</f>
        <v>0</v>
      </c>
      <c r="M474" s="7" t="b">
        <f>IF(ActiveDatabase=Standby,Secondary!M474,Primary!M474)</f>
        <v>0</v>
      </c>
      <c r="N474" s="10">
        <f>IF(ActiveDatabase=Standby,Secondary!N474,Primary!N474)</f>
        <v>0</v>
      </c>
      <c r="O474" s="10">
        <f>IF(ActiveDatabase=Standby,Secondary!O474,Primary!O474)</f>
        <v>0</v>
      </c>
      <c r="P474" s="10">
        <f>IF(ActiveDatabase=Standby,Secondary!P474,Primary!P474)</f>
        <v>0</v>
      </c>
      <c r="Q474" s="6">
        <f>IF(ActiveDatabase=Standby,Secondary!Q474,Primary!Q474)</f>
        <v>0</v>
      </c>
      <c r="R474" s="18">
        <f>IF(ActiveDatabase=Standby,Secondary!R474,Primary!R474)</f>
        <v>0</v>
      </c>
      <c r="S474" s="19">
        <f>IF(ActiveDatabase=Standby,Secondary!S474,Primary!S474)</f>
        <v>0</v>
      </c>
      <c r="T474" s="10">
        <f>IF(ActiveDatabase=Standby,Secondary!T474,Primary!T474)</f>
        <v>0</v>
      </c>
      <c r="U474" s="10">
        <f>IF(ActiveDatabase=Standby,Secondary!U474,Primary!U474)</f>
        <v>0</v>
      </c>
      <c r="V474" s="10">
        <f>IF(ActiveDatabase=Standby,Secondary!V474,Primary!V474)</f>
        <v>0</v>
      </c>
      <c r="W474" s="6">
        <f>IF(ActiveDatabase=Standby,Secondary!W474,Primary!W474)</f>
        <v>0</v>
      </c>
      <c r="X474" s="6">
        <f>IF(ActiveDatabase=Standby,Secondary!X474,Primary!X474)</f>
        <v>0</v>
      </c>
      <c r="Y474" s="12">
        <f>IF(ActiveDatabase=Standby,Secondary!Y474,Primary!Y474)</f>
        <v>0</v>
      </c>
      <c r="Z474" s="12">
        <f>IF(ActiveDatabase=Standby,Secondary!Z474,Primary!Z474)</f>
        <v>0</v>
      </c>
      <c r="AA474" s="9">
        <f>IF(ActiveDatabase=Standby,Secondary!AA474,Primary!AA474)</f>
        <v>0</v>
      </c>
      <c r="AB474" s="12"/>
      <c r="AC474" s="6"/>
      <c r="AD474" s="6"/>
      <c r="AE474" s="7"/>
      <c r="AF474" s="7"/>
      <c r="AG474" s="7"/>
      <c r="AH474" s="7"/>
      <c r="AI474" s="7"/>
      <c r="AJ474" s="7"/>
      <c r="AK474" s="7"/>
      <c r="AL474" s="7"/>
      <c r="AM474" s="7"/>
      <c r="AN474" s="7"/>
      <c r="AO474" s="6"/>
      <c r="AP474" s="7"/>
      <c r="AQ474" s="7"/>
      <c r="AR474" s="6"/>
      <c r="AS474" s="7"/>
      <c r="AT474" s="7"/>
      <c r="AU474" s="7"/>
      <c r="AV474" s="7"/>
      <c r="AW474" s="7"/>
      <c r="AX474" s="7"/>
      <c r="AY474" s="7"/>
      <c r="AZ474" s="7"/>
      <c r="BA474" s="7"/>
      <c r="BB474" s="7"/>
      <c r="BC474" s="7"/>
      <c r="BD474" s="7"/>
      <c r="BE474" s="7"/>
      <c r="BF474" s="7"/>
      <c r="BG474" s="7"/>
    </row>
    <row r="475" customHeight="1" spans="1:59">
      <c r="A475" s="9" t="str">
        <f>IF(ActiveDatabase=Standby,Secondary!A475,Primary!A475)</f>
        <v>Hurston 112</v>
      </c>
      <c r="B475" s="5" t="str">
        <f>IF(ActiveDatabase=Standby,Secondary!B475,Primary!B475)</f>
        <v>Hurston 125</v>
      </c>
      <c r="C475" s="5" t="str">
        <f>IF(ActiveDatabase=Standby,Secondary!C475,Primary!C475)</f>
        <v>Hurston 56</v>
      </c>
      <c r="D475" s="5" t="str">
        <f>IF(ActiveDatabase=Standby,Secondary!D475,Primary!D475)</f>
        <v>Freelancer Wreck 31P</v>
      </c>
      <c r="E475" s="6" t="str">
        <f>IF(ActiveDatabase=Standby,Secondary!E475,Primary!E475)</f>
        <v>Freelancer 31P</v>
      </c>
      <c r="F475" s="10">
        <f>IF(ActiveDatabase=Standby,Secondary!F475,Primary!F475)</f>
        <v>977.427298894356</v>
      </c>
      <c r="G475" s="10">
        <f>IF(ActiveDatabase=Standby,Secondary!G475,Primary!G475)</f>
        <v>90.199903316372</v>
      </c>
      <c r="H475" s="10">
        <f>IF(ActiveDatabase=Standby,Secondary!H475,Primary!H475)</f>
        <v>197.997584262001</v>
      </c>
      <c r="I475" s="13">
        <f>IF(ActiveDatabase=Standby,Secondary!I475,Primary!I475)</f>
        <v>0</v>
      </c>
      <c r="J475" s="13">
        <f>IF(ActiveDatabase=Standby,Secondary!J475,Primary!J475)</f>
        <v>0</v>
      </c>
      <c r="K475" s="13">
        <f>IF(ActiveDatabase=Standby,Secondary!K475,Primary!K475)</f>
        <v>0</v>
      </c>
      <c r="L475" s="13">
        <f>IF(ActiveDatabase=Standby,Secondary!L475,Primary!L475)</f>
        <v>0</v>
      </c>
      <c r="M475" s="7" t="b">
        <f>IF(ActiveDatabase=Standby,Secondary!M475,Primary!M475)</f>
        <v>0</v>
      </c>
      <c r="N475" s="10">
        <f>IF(ActiveDatabase=Standby,Secondary!N475,Primary!N475)</f>
        <v>0</v>
      </c>
      <c r="O475" s="10">
        <f>IF(ActiveDatabase=Standby,Secondary!O475,Primary!O475)</f>
        <v>0</v>
      </c>
      <c r="P475" s="10">
        <f>IF(ActiveDatabase=Standby,Secondary!P475,Primary!P475)</f>
        <v>0</v>
      </c>
      <c r="Q475" s="6">
        <f>IF(ActiveDatabase=Standby,Secondary!Q475,Primary!Q475)</f>
        <v>0</v>
      </c>
      <c r="R475" s="18">
        <f>IF(ActiveDatabase=Standby,Secondary!R475,Primary!R475)</f>
        <v>0</v>
      </c>
      <c r="S475" s="19">
        <f>IF(ActiveDatabase=Standby,Secondary!S475,Primary!S475)</f>
        <v>0</v>
      </c>
      <c r="T475" s="10">
        <f>IF(ActiveDatabase=Standby,Secondary!T475,Primary!T475)</f>
        <v>0</v>
      </c>
      <c r="U475" s="10">
        <f>IF(ActiveDatabase=Standby,Secondary!U475,Primary!U475)</f>
        <v>0</v>
      </c>
      <c r="V475" s="10">
        <f>IF(ActiveDatabase=Standby,Secondary!V475,Primary!V475)</f>
        <v>0</v>
      </c>
      <c r="W475" s="6">
        <f>IF(ActiveDatabase=Standby,Secondary!W475,Primary!W475)</f>
        <v>0</v>
      </c>
      <c r="X475" s="6">
        <f>IF(ActiveDatabase=Standby,Secondary!X475,Primary!X475)</f>
        <v>0</v>
      </c>
      <c r="Y475" s="12">
        <f>IF(ActiveDatabase=Standby,Secondary!Y475,Primary!Y475)</f>
        <v>0</v>
      </c>
      <c r="Z475" s="12">
        <f>IF(ActiveDatabase=Standby,Secondary!Z475,Primary!Z475)</f>
        <v>0</v>
      </c>
      <c r="AA475" s="9">
        <f>IF(ActiveDatabase=Standby,Secondary!AA475,Primary!AA475)</f>
        <v>0</v>
      </c>
      <c r="AB475" s="12"/>
      <c r="AC475" s="6"/>
      <c r="AD475" s="6"/>
      <c r="AE475" s="7"/>
      <c r="AF475" s="7"/>
      <c r="AG475" s="7"/>
      <c r="AH475" s="7"/>
      <c r="AI475" s="7"/>
      <c r="AJ475" s="7"/>
      <c r="AK475" s="7"/>
      <c r="AL475" s="7"/>
      <c r="AM475" s="7"/>
      <c r="AN475" s="7"/>
      <c r="AO475" s="6"/>
      <c r="AP475" s="7"/>
      <c r="AQ475" s="7"/>
      <c r="AR475" s="6"/>
      <c r="AS475" s="7"/>
      <c r="AT475" s="7"/>
      <c r="AU475" s="7"/>
      <c r="AV475" s="7"/>
      <c r="AW475" s="7"/>
      <c r="AX475" s="7"/>
      <c r="AY475" s="7"/>
      <c r="AZ475" s="7"/>
      <c r="BA475" s="7"/>
      <c r="BB475" s="7"/>
      <c r="BC475" s="7"/>
      <c r="BD475" s="7"/>
      <c r="BE475" s="7"/>
      <c r="BF475" s="7"/>
      <c r="BG475" s="7"/>
    </row>
    <row r="476" customHeight="1" spans="1:59">
      <c r="A476" s="9" t="str">
        <f>IF(ActiveDatabase=Standby,Secondary!A476,Primary!A476)</f>
        <v>Hurston 113</v>
      </c>
      <c r="B476" s="5" t="str">
        <f>IF(ActiveDatabase=Standby,Secondary!B476,Primary!B476)</f>
        <v>Hurston 126</v>
      </c>
      <c r="C476" s="5" t="str">
        <f>IF(ActiveDatabase=Standby,Secondary!C476,Primary!C476)</f>
        <v>Hurston 28</v>
      </c>
      <c r="D476" s="5" t="str">
        <f>IF(ActiveDatabase=Standby,Secondary!D476,Primary!D476)</f>
        <v>Freelancer Wreck 52J</v>
      </c>
      <c r="E476" s="6" t="str">
        <f>IF(ActiveDatabase=Standby,Secondary!E476,Primary!E476)</f>
        <v>Freelancer 52J</v>
      </c>
      <c r="F476" s="10">
        <f>IF(ActiveDatabase=Standby,Secondary!F476,Primary!F476)</f>
        <v>-550.09605621299</v>
      </c>
      <c r="G476" s="10">
        <f>IF(ActiveDatabase=Standby,Secondary!G476,Primary!G476)</f>
        <v>706.821054421791</v>
      </c>
      <c r="H476" s="10">
        <f>IF(ActiveDatabase=Standby,Secondary!H476,Primary!H476)</f>
        <v>-446.533994896594</v>
      </c>
      <c r="I476" s="13">
        <f>IF(ActiveDatabase=Standby,Secondary!I476,Primary!I476)</f>
        <v>0</v>
      </c>
      <c r="J476" s="13">
        <f>IF(ActiveDatabase=Standby,Secondary!J476,Primary!J476)</f>
        <v>0</v>
      </c>
      <c r="K476" s="13">
        <f>IF(ActiveDatabase=Standby,Secondary!K476,Primary!K476)</f>
        <v>0</v>
      </c>
      <c r="L476" s="13">
        <f>IF(ActiveDatabase=Standby,Secondary!L476,Primary!L476)</f>
        <v>0</v>
      </c>
      <c r="M476" s="7" t="b">
        <f>IF(ActiveDatabase=Standby,Secondary!M476,Primary!M476)</f>
        <v>0</v>
      </c>
      <c r="N476" s="10">
        <f>IF(ActiveDatabase=Standby,Secondary!N476,Primary!N476)</f>
        <v>0</v>
      </c>
      <c r="O476" s="10">
        <f>IF(ActiveDatabase=Standby,Secondary!O476,Primary!O476)</f>
        <v>0</v>
      </c>
      <c r="P476" s="10">
        <f>IF(ActiveDatabase=Standby,Secondary!P476,Primary!P476)</f>
        <v>0</v>
      </c>
      <c r="Q476" s="6">
        <f>IF(ActiveDatabase=Standby,Secondary!Q476,Primary!Q476)</f>
        <v>0</v>
      </c>
      <c r="R476" s="18">
        <f>IF(ActiveDatabase=Standby,Secondary!R476,Primary!R476)</f>
        <v>0</v>
      </c>
      <c r="S476" s="19">
        <f>IF(ActiveDatabase=Standby,Secondary!S476,Primary!S476)</f>
        <v>0</v>
      </c>
      <c r="T476" s="10">
        <f>IF(ActiveDatabase=Standby,Secondary!T476,Primary!T476)</f>
        <v>0</v>
      </c>
      <c r="U476" s="10">
        <f>IF(ActiveDatabase=Standby,Secondary!U476,Primary!U476)</f>
        <v>0</v>
      </c>
      <c r="V476" s="10">
        <f>IF(ActiveDatabase=Standby,Secondary!V476,Primary!V476)</f>
        <v>0</v>
      </c>
      <c r="W476" s="6">
        <f>IF(ActiveDatabase=Standby,Secondary!W476,Primary!W476)</f>
        <v>0</v>
      </c>
      <c r="X476" s="6">
        <f>IF(ActiveDatabase=Standby,Secondary!X476,Primary!X476)</f>
        <v>0</v>
      </c>
      <c r="Y476" s="12">
        <f>IF(ActiveDatabase=Standby,Secondary!Y476,Primary!Y476)</f>
        <v>0</v>
      </c>
      <c r="Z476" s="12">
        <f>IF(ActiveDatabase=Standby,Secondary!Z476,Primary!Z476)</f>
        <v>0</v>
      </c>
      <c r="AA476" s="9">
        <f>IF(ActiveDatabase=Standby,Secondary!AA476,Primary!AA476)</f>
        <v>0</v>
      </c>
      <c r="AB476" s="12"/>
      <c r="AC476" s="6"/>
      <c r="AD476" s="6"/>
      <c r="AE476" s="7"/>
      <c r="AF476" s="7"/>
      <c r="AG476" s="7"/>
      <c r="AH476" s="7"/>
      <c r="AI476" s="7"/>
      <c r="AJ476" s="7"/>
      <c r="AK476" s="7"/>
      <c r="AL476" s="7"/>
      <c r="AM476" s="7"/>
      <c r="AN476" s="7"/>
      <c r="AO476" s="6"/>
      <c r="AP476" s="7"/>
      <c r="AQ476" s="7"/>
      <c r="AR476" s="6"/>
      <c r="AS476" s="7"/>
      <c r="AT476" s="7"/>
      <c r="AU476" s="7"/>
      <c r="AV476" s="7"/>
      <c r="AW476" s="7"/>
      <c r="AX476" s="7"/>
      <c r="AY476" s="7"/>
      <c r="AZ476" s="7"/>
      <c r="BA476" s="7"/>
      <c r="BB476" s="7"/>
      <c r="BC476" s="7"/>
      <c r="BD476" s="7"/>
      <c r="BE476" s="7"/>
      <c r="BF476" s="7"/>
      <c r="BG476" s="7"/>
    </row>
    <row r="477" customHeight="1" spans="1:59">
      <c r="A477" s="9" t="str">
        <f>IF(ActiveDatabase=Standby,Secondary!A477,Primary!A477)</f>
        <v>Hurston 114</v>
      </c>
      <c r="B477" s="5" t="str">
        <f>IF(ActiveDatabase=Standby,Secondary!B477,Primary!B477)</f>
        <v>Hurston 127</v>
      </c>
      <c r="C477" s="5" t="str">
        <f>IF(ActiveDatabase=Standby,Secondary!C477,Primary!C477)</f>
        <v>Hurston 05</v>
      </c>
      <c r="D477" s="5" t="str">
        <f>IF(ActiveDatabase=Standby,Secondary!D477,Primary!D477)</f>
        <v>Freelancer Wreck 57J</v>
      </c>
      <c r="E477" s="6" t="str">
        <f>IF(ActiveDatabase=Standby,Secondary!E477,Primary!E477)</f>
        <v>Freelancer 57J</v>
      </c>
      <c r="F477" s="10">
        <f>IF(ActiveDatabase=Standby,Secondary!F477,Primary!F477)</f>
        <v>-832.045659655999</v>
      </c>
      <c r="G477" s="10">
        <f>IF(ActiveDatabase=Standby,Secondary!G477,Primary!G477)</f>
        <v>293.107272149</v>
      </c>
      <c r="H477" s="10">
        <f>IF(ActiveDatabase=Standby,Secondary!H477,Primary!H477)</f>
        <v>-471.019837445</v>
      </c>
      <c r="I477" s="13">
        <f>IF(ActiveDatabase=Standby,Secondary!I477,Primary!I477)</f>
        <v>0</v>
      </c>
      <c r="J477" s="13">
        <f>IF(ActiveDatabase=Standby,Secondary!J477,Primary!J477)</f>
        <v>0</v>
      </c>
      <c r="K477" s="13">
        <f>IF(ActiveDatabase=Standby,Secondary!K477,Primary!K477)</f>
        <v>0</v>
      </c>
      <c r="L477" s="13">
        <f>IF(ActiveDatabase=Standby,Secondary!L477,Primary!L477)</f>
        <v>0</v>
      </c>
      <c r="M477" s="7" t="b">
        <f>IF(ActiveDatabase=Standby,Secondary!M477,Primary!M477)</f>
        <v>0</v>
      </c>
      <c r="N477" s="10">
        <f>IF(ActiveDatabase=Standby,Secondary!N477,Primary!N477)</f>
        <v>0</v>
      </c>
      <c r="O477" s="10">
        <f>IF(ActiveDatabase=Standby,Secondary!O477,Primary!O477)</f>
        <v>0</v>
      </c>
      <c r="P477" s="10">
        <f>IF(ActiveDatabase=Standby,Secondary!P477,Primary!P477)</f>
        <v>0</v>
      </c>
      <c r="Q477" s="6">
        <f>IF(ActiveDatabase=Standby,Secondary!Q477,Primary!Q477)</f>
        <v>0</v>
      </c>
      <c r="R477" s="18">
        <f>IF(ActiveDatabase=Standby,Secondary!R477,Primary!R477)</f>
        <v>0</v>
      </c>
      <c r="S477" s="19">
        <f>IF(ActiveDatabase=Standby,Secondary!S477,Primary!S477)</f>
        <v>0</v>
      </c>
      <c r="T477" s="10">
        <f>IF(ActiveDatabase=Standby,Secondary!T477,Primary!T477)</f>
        <v>0</v>
      </c>
      <c r="U477" s="10">
        <f>IF(ActiveDatabase=Standby,Secondary!U477,Primary!U477)</f>
        <v>0</v>
      </c>
      <c r="V477" s="10">
        <f>IF(ActiveDatabase=Standby,Secondary!V477,Primary!V477)</f>
        <v>0</v>
      </c>
      <c r="W477" s="6">
        <f>IF(ActiveDatabase=Standby,Secondary!W477,Primary!W477)</f>
        <v>0</v>
      </c>
      <c r="X477" s="6">
        <f>IF(ActiveDatabase=Standby,Secondary!X477,Primary!X477)</f>
        <v>0</v>
      </c>
      <c r="Y477" s="12">
        <f>IF(ActiveDatabase=Standby,Secondary!Y477,Primary!Y477)</f>
        <v>0</v>
      </c>
      <c r="Z477" s="12">
        <f>IF(ActiveDatabase=Standby,Secondary!Z477,Primary!Z477)</f>
        <v>0</v>
      </c>
      <c r="AA477" s="9">
        <f>IF(ActiveDatabase=Standby,Secondary!AA477,Primary!AA477)</f>
        <v>0</v>
      </c>
      <c r="AB477" s="12"/>
      <c r="AC477" s="6"/>
      <c r="AD477" s="6"/>
      <c r="AE477" s="7"/>
      <c r="AF477" s="7"/>
      <c r="AG477" s="7"/>
      <c r="AH477" s="7"/>
      <c r="AI477" s="7"/>
      <c r="AJ477" s="7"/>
      <c r="AK477" s="7"/>
      <c r="AL477" s="7"/>
      <c r="AM477" s="7"/>
      <c r="AN477" s="7"/>
      <c r="AO477" s="6"/>
      <c r="AP477" s="7"/>
      <c r="AQ477" s="7"/>
      <c r="AR477" s="6"/>
      <c r="AS477" s="7"/>
      <c r="AT477" s="7"/>
      <c r="AU477" s="7"/>
      <c r="AV477" s="7"/>
      <c r="AW477" s="7"/>
      <c r="AX477" s="7"/>
      <c r="AY477" s="7"/>
      <c r="AZ477" s="7"/>
      <c r="BA477" s="7"/>
      <c r="BB477" s="7"/>
      <c r="BC477" s="7"/>
      <c r="BD477" s="7"/>
      <c r="BE477" s="7"/>
      <c r="BF477" s="7"/>
      <c r="BG477" s="7"/>
    </row>
    <row r="478" customHeight="1" spans="1:59">
      <c r="A478" s="9" t="str">
        <f>IF(ActiveDatabase=Standby,Secondary!A478,Primary!A478)</f>
        <v>Hurston 117</v>
      </c>
      <c r="B478" s="5" t="str">
        <f>IF(ActiveDatabase=Standby,Secondary!B478,Primary!B478)</f>
        <v>Hurston 130</v>
      </c>
      <c r="C478" s="5" t="str">
        <f>IF(ActiveDatabase=Standby,Secondary!C478,Primary!C478)</f>
        <v>Hurston 49</v>
      </c>
      <c r="D478" s="5" t="str">
        <f>IF(ActiveDatabase=Standby,Secondary!D478,Primary!D478)</f>
        <v>Satellite Wreck 41P</v>
      </c>
      <c r="E478" s="6" t="str">
        <f>IF(ActiveDatabase=Standby,Secondary!E478,Primary!E478)</f>
        <v>Satellite 41P</v>
      </c>
      <c r="F478" s="10">
        <f>IF(ActiveDatabase=Standby,Secondary!F478,Primary!F478)</f>
        <v>457.265069843448</v>
      </c>
      <c r="G478" s="10">
        <f>IF(ActiveDatabase=Standby,Secondary!G478,Primary!G478)</f>
        <v>876.042326568802</v>
      </c>
      <c r="H478" s="10">
        <f>IF(ActiveDatabase=Standby,Secondary!H478,Primary!H478)</f>
        <v>158.397096293778</v>
      </c>
      <c r="I478" s="13">
        <f>IF(ActiveDatabase=Standby,Secondary!I478,Primary!I478)</f>
        <v>0</v>
      </c>
      <c r="J478" s="13">
        <f>IF(ActiveDatabase=Standby,Secondary!J478,Primary!J478)</f>
        <v>0</v>
      </c>
      <c r="K478" s="13">
        <f>IF(ActiveDatabase=Standby,Secondary!K478,Primary!K478)</f>
        <v>0</v>
      </c>
      <c r="L478" s="13">
        <f>IF(ActiveDatabase=Standby,Secondary!L478,Primary!L478)</f>
        <v>0</v>
      </c>
      <c r="M478" s="7" t="b">
        <f>IF(ActiveDatabase=Standby,Secondary!M478,Primary!M478)</f>
        <v>0</v>
      </c>
      <c r="N478" s="10">
        <f>IF(ActiveDatabase=Standby,Secondary!N478,Primary!N478)</f>
        <v>0</v>
      </c>
      <c r="O478" s="10">
        <f>IF(ActiveDatabase=Standby,Secondary!O478,Primary!O478)</f>
        <v>0</v>
      </c>
      <c r="P478" s="10">
        <f>IF(ActiveDatabase=Standby,Secondary!P478,Primary!P478)</f>
        <v>0</v>
      </c>
      <c r="Q478" s="6">
        <f>IF(ActiveDatabase=Standby,Secondary!Q478,Primary!Q478)</f>
        <v>0</v>
      </c>
      <c r="R478" s="18">
        <f>IF(ActiveDatabase=Standby,Secondary!R478,Primary!R478)</f>
        <v>0</v>
      </c>
      <c r="S478" s="19">
        <f>IF(ActiveDatabase=Standby,Secondary!S478,Primary!S478)</f>
        <v>0</v>
      </c>
      <c r="T478" s="10">
        <f>IF(ActiveDatabase=Standby,Secondary!T478,Primary!T478)</f>
        <v>0</v>
      </c>
      <c r="U478" s="10">
        <f>IF(ActiveDatabase=Standby,Secondary!U478,Primary!U478)</f>
        <v>0</v>
      </c>
      <c r="V478" s="10">
        <f>IF(ActiveDatabase=Standby,Secondary!V478,Primary!V478)</f>
        <v>0</v>
      </c>
      <c r="W478" s="6">
        <f>IF(ActiveDatabase=Standby,Secondary!W478,Primary!W478)</f>
        <v>0</v>
      </c>
      <c r="X478" s="6">
        <f>IF(ActiveDatabase=Standby,Secondary!X478,Primary!X478)</f>
        <v>0</v>
      </c>
      <c r="Y478" s="12">
        <f>IF(ActiveDatabase=Standby,Secondary!Y478,Primary!Y478)</f>
        <v>0</v>
      </c>
      <c r="Z478" s="12">
        <f>IF(ActiveDatabase=Standby,Secondary!Z478,Primary!Z478)</f>
        <v>0</v>
      </c>
      <c r="AA478" s="9">
        <f>IF(ActiveDatabase=Standby,Secondary!AA478,Primary!AA478)</f>
        <v>0</v>
      </c>
      <c r="AB478" s="12"/>
      <c r="AC478" s="6"/>
      <c r="AD478" s="6"/>
      <c r="AE478" s="7"/>
      <c r="AF478" s="7"/>
      <c r="AG478" s="7"/>
      <c r="AH478" s="7"/>
      <c r="AI478" s="7"/>
      <c r="AJ478" s="7"/>
      <c r="AK478" s="7"/>
      <c r="AL478" s="7"/>
      <c r="AM478" s="7"/>
      <c r="AN478" s="7"/>
      <c r="AO478" s="6"/>
      <c r="AP478" s="7"/>
      <c r="AQ478" s="7"/>
      <c r="AR478" s="6"/>
      <c r="AS478" s="7"/>
      <c r="AT478" s="7"/>
      <c r="AU478" s="7"/>
      <c r="AV478" s="7"/>
      <c r="AW478" s="7"/>
      <c r="AX478" s="7"/>
      <c r="AY478" s="7"/>
      <c r="AZ478" s="7"/>
      <c r="BA478" s="7"/>
      <c r="BB478" s="7"/>
      <c r="BC478" s="7"/>
      <c r="BD478" s="7"/>
      <c r="BE478" s="7"/>
      <c r="BF478" s="7"/>
      <c r="BG478" s="7"/>
    </row>
    <row r="479" customHeight="1" spans="1:59">
      <c r="A479" s="9" t="str">
        <f>IF(ActiveDatabase=Standby,Secondary!A479,Primary!A479)</f>
        <v>Hurston 115</v>
      </c>
      <c r="B479" s="5" t="str">
        <f>IF(ActiveDatabase=Standby,Secondary!B479,Primary!B479)</f>
        <v>Hurston 128</v>
      </c>
      <c r="C479" s="5" t="str">
        <f>IF(ActiveDatabase=Standby,Secondary!C479,Primary!C479)</f>
        <v>Hurston 100</v>
      </c>
      <c r="D479" s="5" t="str">
        <f>IF(ActiveDatabase=Standby,Secondary!D479,Primary!D479)</f>
        <v>Satellite Wreck 13S</v>
      </c>
      <c r="E479" s="6" t="str">
        <f>IF(ActiveDatabase=Standby,Secondary!E479,Primary!E479)</f>
        <v>Satellite 13S</v>
      </c>
      <c r="F479" s="10">
        <f>IF(ActiveDatabase=Standby,Secondary!F479,Primary!F479)</f>
        <v>-237.426758431438</v>
      </c>
      <c r="G479" s="10">
        <f>IF(ActiveDatabase=Standby,Secondary!G479,Primary!G479)</f>
        <v>-782.590601289051</v>
      </c>
      <c r="H479" s="10">
        <f>IF(ActiveDatabase=Standby,Secondary!H479,Primary!H479)</f>
        <v>577.771982494651</v>
      </c>
      <c r="I479" s="13">
        <f>IF(ActiveDatabase=Standby,Secondary!I479,Primary!I479)</f>
        <v>0</v>
      </c>
      <c r="J479" s="13">
        <f>IF(ActiveDatabase=Standby,Secondary!J479,Primary!J479)</f>
        <v>0</v>
      </c>
      <c r="K479" s="13">
        <f>IF(ActiveDatabase=Standby,Secondary!K479,Primary!K479)</f>
        <v>0</v>
      </c>
      <c r="L479" s="13">
        <f>IF(ActiveDatabase=Standby,Secondary!L479,Primary!L479)</f>
        <v>0</v>
      </c>
      <c r="M479" s="7" t="b">
        <f>IF(ActiveDatabase=Standby,Secondary!M479,Primary!M479)</f>
        <v>0</v>
      </c>
      <c r="N479" s="10">
        <f>IF(ActiveDatabase=Standby,Secondary!N479,Primary!N479)</f>
        <v>0</v>
      </c>
      <c r="O479" s="10">
        <f>IF(ActiveDatabase=Standby,Secondary!O479,Primary!O479)</f>
        <v>0</v>
      </c>
      <c r="P479" s="10">
        <f>IF(ActiveDatabase=Standby,Secondary!P479,Primary!P479)</f>
        <v>0</v>
      </c>
      <c r="Q479" s="6">
        <f>IF(ActiveDatabase=Standby,Secondary!Q479,Primary!Q479)</f>
        <v>0</v>
      </c>
      <c r="R479" s="18">
        <f>IF(ActiveDatabase=Standby,Secondary!R479,Primary!R479)</f>
        <v>0</v>
      </c>
      <c r="S479" s="19">
        <f>IF(ActiveDatabase=Standby,Secondary!S479,Primary!S479)</f>
        <v>0</v>
      </c>
      <c r="T479" s="10">
        <f>IF(ActiveDatabase=Standby,Secondary!T479,Primary!T479)</f>
        <v>0</v>
      </c>
      <c r="U479" s="10">
        <f>IF(ActiveDatabase=Standby,Secondary!U479,Primary!U479)</f>
        <v>0</v>
      </c>
      <c r="V479" s="10">
        <f>IF(ActiveDatabase=Standby,Secondary!V479,Primary!V479)</f>
        <v>0</v>
      </c>
      <c r="W479" s="6">
        <f>IF(ActiveDatabase=Standby,Secondary!W479,Primary!W479)</f>
        <v>0</v>
      </c>
      <c r="X479" s="6">
        <f>IF(ActiveDatabase=Standby,Secondary!X479,Primary!X479)</f>
        <v>0</v>
      </c>
      <c r="Y479" s="12">
        <f>IF(ActiveDatabase=Standby,Secondary!Y479,Primary!Y479)</f>
        <v>0</v>
      </c>
      <c r="Z479" s="12">
        <f>IF(ActiveDatabase=Standby,Secondary!Z479,Primary!Z479)</f>
        <v>0</v>
      </c>
      <c r="AA479" s="7">
        <f>IF(ActiveDatabase=Standby,Secondary!AA479,Primary!AA479)</f>
        <v>0</v>
      </c>
      <c r="AB479" s="12"/>
      <c r="AC479" s="6"/>
      <c r="AD479" s="6"/>
      <c r="AE479" s="7"/>
      <c r="AF479" s="7"/>
      <c r="AG479" s="7"/>
      <c r="AH479" s="7"/>
      <c r="AI479" s="7"/>
      <c r="AJ479" s="7"/>
      <c r="AK479" s="7"/>
      <c r="AL479" s="7"/>
      <c r="AM479" s="7"/>
      <c r="AN479" s="7"/>
      <c r="AO479" s="6"/>
      <c r="AP479" s="7"/>
      <c r="AQ479" s="7"/>
      <c r="AR479" s="6"/>
      <c r="AS479" s="7"/>
      <c r="AT479" s="7"/>
      <c r="AU479" s="7"/>
      <c r="AV479" s="7"/>
      <c r="AW479" s="7"/>
      <c r="AX479" s="7"/>
      <c r="AY479" s="7"/>
      <c r="AZ479" s="7"/>
      <c r="BA479" s="7"/>
      <c r="BB479" s="7"/>
      <c r="BC479" s="7"/>
      <c r="BD479" s="7"/>
      <c r="BE479" s="7"/>
      <c r="BF479" s="7"/>
      <c r="BG479" s="7"/>
    </row>
    <row r="480" customHeight="1" spans="1:59">
      <c r="A480" s="9" t="str">
        <f>IF(ActiveDatabase=Standby,Secondary!A480,Primary!A480)</f>
        <v>Hurston 116</v>
      </c>
      <c r="B480" s="5" t="str">
        <f>IF(ActiveDatabase=Standby,Secondary!B480,Primary!B480)</f>
        <v>Hurston 129</v>
      </c>
      <c r="C480" s="5" t="str">
        <f>IF(ActiveDatabase=Standby,Secondary!C480,Primary!C480)</f>
        <v>Hurston 90</v>
      </c>
      <c r="D480" s="5" t="str">
        <f>IF(ActiveDatabase=Standby,Secondary!D480,Primary!D480)</f>
        <v>Satellite Wreck 16T</v>
      </c>
      <c r="E480" s="6" t="str">
        <f>IF(ActiveDatabase=Standby,Secondary!E480,Primary!E480)</f>
        <v>Satellite 16T</v>
      </c>
      <c r="F480" s="10">
        <f>IF(ActiveDatabase=Standby,Secondary!F480,Primary!F480)</f>
        <v>26.262546407085</v>
      </c>
      <c r="G480" s="10">
        <f>IF(ActiveDatabase=Standby,Secondary!G480,Primary!G480)</f>
        <v>-763.129423903463</v>
      </c>
      <c r="H480" s="10">
        <f>IF(ActiveDatabase=Standby,Secondary!H480,Primary!H480)</f>
        <v>646.047925989482</v>
      </c>
      <c r="I480" s="13">
        <f>IF(ActiveDatabase=Standby,Secondary!I480,Primary!I480)</f>
        <v>0</v>
      </c>
      <c r="J480" s="13">
        <f>IF(ActiveDatabase=Standby,Secondary!J480,Primary!J480)</f>
        <v>0</v>
      </c>
      <c r="K480" s="13">
        <f>IF(ActiveDatabase=Standby,Secondary!K480,Primary!K480)</f>
        <v>0</v>
      </c>
      <c r="L480" s="13">
        <f>IF(ActiveDatabase=Standby,Secondary!L480,Primary!L480)</f>
        <v>0</v>
      </c>
      <c r="M480" s="7" t="b">
        <f>IF(ActiveDatabase=Standby,Secondary!M480,Primary!M480)</f>
        <v>0</v>
      </c>
      <c r="N480" s="10">
        <f>IF(ActiveDatabase=Standby,Secondary!N480,Primary!N480)</f>
        <v>0</v>
      </c>
      <c r="O480" s="10">
        <f>IF(ActiveDatabase=Standby,Secondary!O480,Primary!O480)</f>
        <v>0</v>
      </c>
      <c r="P480" s="10">
        <f>IF(ActiveDatabase=Standby,Secondary!P480,Primary!P480)</f>
        <v>0</v>
      </c>
      <c r="Q480" s="6">
        <f>IF(ActiveDatabase=Standby,Secondary!Q480,Primary!Q480)</f>
        <v>0</v>
      </c>
      <c r="R480" s="18">
        <f>IF(ActiveDatabase=Standby,Secondary!R480,Primary!R480)</f>
        <v>0</v>
      </c>
      <c r="S480" s="19">
        <f>IF(ActiveDatabase=Standby,Secondary!S480,Primary!S480)</f>
        <v>0</v>
      </c>
      <c r="T480" s="10">
        <f>IF(ActiveDatabase=Standby,Secondary!T480,Primary!T480)</f>
        <v>0</v>
      </c>
      <c r="U480" s="10">
        <f>IF(ActiveDatabase=Standby,Secondary!U480,Primary!U480)</f>
        <v>0</v>
      </c>
      <c r="V480" s="10">
        <f>IF(ActiveDatabase=Standby,Secondary!V480,Primary!V480)</f>
        <v>0</v>
      </c>
      <c r="W480" s="6">
        <f>IF(ActiveDatabase=Standby,Secondary!W480,Primary!W480)</f>
        <v>0</v>
      </c>
      <c r="X480" s="6">
        <f>IF(ActiveDatabase=Standby,Secondary!X480,Primary!X480)</f>
        <v>0</v>
      </c>
      <c r="Y480" s="12">
        <f>IF(ActiveDatabase=Standby,Secondary!Y480,Primary!Y480)</f>
        <v>0</v>
      </c>
      <c r="Z480" s="12">
        <f>IF(ActiveDatabase=Standby,Secondary!Z480,Primary!Z480)</f>
        <v>0</v>
      </c>
      <c r="AA480" s="7">
        <f>IF(ActiveDatabase=Standby,Secondary!AA480,Primary!AA480)</f>
        <v>0</v>
      </c>
      <c r="AB480" s="12"/>
      <c r="AC480" s="6"/>
      <c r="AD480" s="6"/>
      <c r="AE480" s="7"/>
      <c r="AF480" s="7"/>
      <c r="AG480" s="7"/>
      <c r="AH480" s="7"/>
      <c r="AI480" s="7"/>
      <c r="AJ480" s="7"/>
      <c r="AK480" s="7"/>
      <c r="AL480" s="7"/>
      <c r="AM480" s="7"/>
      <c r="AN480" s="7"/>
      <c r="AO480" s="6"/>
      <c r="AP480" s="7"/>
      <c r="AQ480" s="7"/>
      <c r="AR480" s="6"/>
      <c r="AS480" s="7"/>
      <c r="AT480" s="7"/>
      <c r="AU480" s="7"/>
      <c r="AV480" s="7"/>
      <c r="AW480" s="7"/>
      <c r="AX480" s="7"/>
      <c r="AY480" s="7"/>
      <c r="AZ480" s="7"/>
      <c r="BA480" s="7"/>
      <c r="BB480" s="7"/>
      <c r="BC480" s="7"/>
      <c r="BD480" s="7"/>
      <c r="BE480" s="7"/>
      <c r="BF480" s="7"/>
      <c r="BG480" s="7"/>
    </row>
    <row r="481" customHeight="1" spans="1:59">
      <c r="A481" s="9" t="str">
        <f>IF(ActiveDatabase=Standby,Secondary!A481,Primary!A481)</f>
        <v>Hurston 118</v>
      </c>
      <c r="B481" s="5" t="str">
        <f>IF(ActiveDatabase=Standby,Secondary!B481,Primary!B481)</f>
        <v>Hurston 131</v>
      </c>
      <c r="C481" s="5" t="str">
        <f>IF(ActiveDatabase=Standby,Secondary!C481,Primary!C481)</f>
        <v>Hurston 18</v>
      </c>
      <c r="D481" s="5" t="str">
        <f>IF(ActiveDatabase=Standby,Secondary!D481,Primary!D481)</f>
        <v>Satellite Wreck 55L</v>
      </c>
      <c r="E481" s="6" t="str">
        <f>IF(ActiveDatabase=Standby,Secondary!E481,Primary!E481)</f>
        <v>Satellite 55L</v>
      </c>
      <c r="F481" s="10">
        <f>IF(ActiveDatabase=Standby,Secondary!F481,Primary!F481)</f>
        <v>-846.764854496787</v>
      </c>
      <c r="G481" s="10">
        <f>IF(ActiveDatabase=Standby,Secondary!G481,Primary!G481)</f>
        <v>501.396269109399</v>
      </c>
      <c r="H481" s="10">
        <f>IF(ActiveDatabase=Standby,Secondary!H481,Primary!H481)</f>
        <v>-178.919526917716</v>
      </c>
      <c r="I481" s="13">
        <f>IF(ActiveDatabase=Standby,Secondary!I481,Primary!I481)</f>
        <v>0</v>
      </c>
      <c r="J481" s="13">
        <f>IF(ActiveDatabase=Standby,Secondary!J481,Primary!J481)</f>
        <v>0</v>
      </c>
      <c r="K481" s="13">
        <f>IF(ActiveDatabase=Standby,Secondary!K481,Primary!K481)</f>
        <v>0</v>
      </c>
      <c r="L481" s="13">
        <f>IF(ActiveDatabase=Standby,Secondary!L481,Primary!L481)</f>
        <v>0</v>
      </c>
      <c r="M481" s="7" t="b">
        <f>IF(ActiveDatabase=Standby,Secondary!M481,Primary!M481)</f>
        <v>0</v>
      </c>
      <c r="N481" s="10">
        <f>IF(ActiveDatabase=Standby,Secondary!N481,Primary!N481)</f>
        <v>0</v>
      </c>
      <c r="O481" s="10">
        <f>IF(ActiveDatabase=Standby,Secondary!O481,Primary!O481)</f>
        <v>0</v>
      </c>
      <c r="P481" s="10">
        <f>IF(ActiveDatabase=Standby,Secondary!P481,Primary!P481)</f>
        <v>0</v>
      </c>
      <c r="Q481" s="6">
        <f>IF(ActiveDatabase=Standby,Secondary!Q481,Primary!Q481)</f>
        <v>0</v>
      </c>
      <c r="R481" s="18">
        <f>IF(ActiveDatabase=Standby,Secondary!R481,Primary!R481)</f>
        <v>0</v>
      </c>
      <c r="S481" s="19">
        <f>IF(ActiveDatabase=Standby,Secondary!S481,Primary!S481)</f>
        <v>0</v>
      </c>
      <c r="T481" s="10">
        <f>IF(ActiveDatabase=Standby,Secondary!T481,Primary!T481)</f>
        <v>0</v>
      </c>
      <c r="U481" s="10">
        <f>IF(ActiveDatabase=Standby,Secondary!U481,Primary!U481)</f>
        <v>0</v>
      </c>
      <c r="V481" s="10">
        <f>IF(ActiveDatabase=Standby,Secondary!V481,Primary!V481)</f>
        <v>0</v>
      </c>
      <c r="W481" s="6">
        <f>IF(ActiveDatabase=Standby,Secondary!W481,Primary!W481)</f>
        <v>0</v>
      </c>
      <c r="X481" s="6">
        <f>IF(ActiveDatabase=Standby,Secondary!X481,Primary!X481)</f>
        <v>0</v>
      </c>
      <c r="Y481" s="12">
        <f>IF(ActiveDatabase=Standby,Secondary!Y481,Primary!Y481)</f>
        <v>0</v>
      </c>
      <c r="Z481" s="12">
        <f>IF(ActiveDatabase=Standby,Secondary!Z481,Primary!Z481)</f>
        <v>0</v>
      </c>
      <c r="AA481" s="7">
        <f>IF(ActiveDatabase=Standby,Secondary!AA481,Primary!AA481)</f>
        <v>0</v>
      </c>
      <c r="AB481" s="12"/>
      <c r="AC481" s="6"/>
      <c r="AD481" s="6"/>
      <c r="AE481" s="7"/>
      <c r="AF481" s="7"/>
      <c r="AG481" s="7"/>
      <c r="AH481" s="7"/>
      <c r="AI481" s="7"/>
      <c r="AJ481" s="7"/>
      <c r="AK481" s="7"/>
      <c r="AL481" s="7"/>
      <c r="AM481" s="7"/>
      <c r="AN481" s="7"/>
      <c r="AO481" s="6"/>
      <c r="AP481" s="7"/>
      <c r="AQ481" s="7"/>
      <c r="AR481" s="6"/>
      <c r="AS481" s="7"/>
      <c r="AT481" s="7"/>
      <c r="AU481" s="7"/>
      <c r="AV481" s="7"/>
      <c r="AW481" s="7"/>
      <c r="AX481" s="7"/>
      <c r="AY481" s="7"/>
      <c r="AZ481" s="7"/>
      <c r="BA481" s="7"/>
      <c r="BB481" s="7"/>
      <c r="BC481" s="7"/>
      <c r="BD481" s="7"/>
      <c r="BE481" s="7"/>
      <c r="BF481" s="7"/>
      <c r="BG481" s="7"/>
    </row>
    <row r="482" customHeight="1" spans="1:59">
      <c r="A482" s="9" t="str">
        <f>IF(ActiveDatabase=Standby,Secondary!A482,Primary!A482)</f>
        <v>Hurston 121</v>
      </c>
      <c r="B482" s="5" t="str">
        <f>IF(ActiveDatabase=Standby,Secondary!B482,Primary!B482)</f>
        <v>Hurston 134</v>
      </c>
      <c r="C482" s="5" t="str">
        <f>IF(ActiveDatabase=Standby,Secondary!C482,Primary!C482)</f>
        <v>Hurston 29</v>
      </c>
      <c r="D482" s="5" t="str">
        <f>IF(ActiveDatabase=Standby,Secondary!D482,Primary!D482)</f>
        <v>Starfarer Wreck 52P</v>
      </c>
      <c r="E482" s="6" t="str">
        <f>IF(ActiveDatabase=Standby,Secondary!E482,Primary!E482)</f>
        <v>Starfarer 52P</v>
      </c>
      <c r="F482" s="10">
        <f>IF(ActiveDatabase=Standby,Secondary!F482,Primary!F482)</f>
        <v>-591.697059325445</v>
      </c>
      <c r="G482" s="10">
        <f>IF(ActiveDatabase=Standby,Secondary!G482,Primary!G482)</f>
        <v>779.84299581601</v>
      </c>
      <c r="H482" s="10">
        <f>IF(ActiveDatabase=Standby,Secondary!H482,Primary!H482)</f>
        <v>210.275498871836</v>
      </c>
      <c r="I482" s="13">
        <f>IF(ActiveDatabase=Standby,Secondary!I482,Primary!I482)</f>
        <v>0</v>
      </c>
      <c r="J482" s="13">
        <f>IF(ActiveDatabase=Standby,Secondary!J482,Primary!J482)</f>
        <v>0</v>
      </c>
      <c r="K482" s="13">
        <f>IF(ActiveDatabase=Standby,Secondary!K482,Primary!K482)</f>
        <v>0</v>
      </c>
      <c r="L482" s="13">
        <f>IF(ActiveDatabase=Standby,Secondary!L482,Primary!L482)</f>
        <v>0</v>
      </c>
      <c r="M482" s="7" t="b">
        <f>IF(ActiveDatabase=Standby,Secondary!M482,Primary!M482)</f>
        <v>0</v>
      </c>
      <c r="N482" s="10">
        <f>IF(ActiveDatabase=Standby,Secondary!N482,Primary!N482)</f>
        <v>0</v>
      </c>
      <c r="O482" s="10">
        <f>IF(ActiveDatabase=Standby,Secondary!O482,Primary!O482)</f>
        <v>0</v>
      </c>
      <c r="P482" s="10">
        <f>IF(ActiveDatabase=Standby,Secondary!P482,Primary!P482)</f>
        <v>0</v>
      </c>
      <c r="Q482" s="6">
        <f>IF(ActiveDatabase=Standby,Secondary!Q482,Primary!Q482)</f>
        <v>0</v>
      </c>
      <c r="R482" s="18">
        <f>IF(ActiveDatabase=Standby,Secondary!R482,Primary!R482)</f>
        <v>0</v>
      </c>
      <c r="S482" s="19">
        <f>IF(ActiveDatabase=Standby,Secondary!S482,Primary!S482)</f>
        <v>0</v>
      </c>
      <c r="T482" s="10">
        <f>IF(ActiveDatabase=Standby,Secondary!T482,Primary!T482)</f>
        <v>0</v>
      </c>
      <c r="U482" s="10">
        <f>IF(ActiveDatabase=Standby,Secondary!U482,Primary!U482)</f>
        <v>0</v>
      </c>
      <c r="V482" s="10">
        <f>IF(ActiveDatabase=Standby,Secondary!V482,Primary!V482)</f>
        <v>0</v>
      </c>
      <c r="W482" s="6">
        <f>IF(ActiveDatabase=Standby,Secondary!W482,Primary!W482)</f>
        <v>0</v>
      </c>
      <c r="X482" s="6">
        <f>IF(ActiveDatabase=Standby,Secondary!X482,Primary!X482)</f>
        <v>0</v>
      </c>
      <c r="Y482" s="12">
        <f>IF(ActiveDatabase=Standby,Secondary!Y482,Primary!Y482)</f>
        <v>0</v>
      </c>
      <c r="Z482" s="12">
        <f>IF(ActiveDatabase=Standby,Secondary!Z482,Primary!Z482)</f>
        <v>0</v>
      </c>
      <c r="AA482" s="7">
        <f>IF(ActiveDatabase=Standby,Secondary!AA482,Primary!AA482)</f>
        <v>0</v>
      </c>
      <c r="AB482" s="12"/>
      <c r="AC482" s="6"/>
      <c r="AD482" s="6"/>
      <c r="AE482" s="7"/>
      <c r="AF482" s="7"/>
      <c r="AG482" s="7"/>
      <c r="AH482" s="7"/>
      <c r="AI482" s="7"/>
      <c r="AJ482" s="7"/>
      <c r="AK482" s="7"/>
      <c r="AL482" s="7"/>
      <c r="AM482" s="7"/>
      <c r="AN482" s="7"/>
      <c r="AO482" s="6"/>
      <c r="AP482" s="7"/>
      <c r="AQ482" s="7"/>
      <c r="AR482" s="6"/>
      <c r="AS482" s="7"/>
      <c r="AT482" s="7"/>
      <c r="AU482" s="7"/>
      <c r="AV482" s="7"/>
      <c r="AW482" s="7"/>
      <c r="AX482" s="7"/>
      <c r="AY482" s="7"/>
      <c r="AZ482" s="7"/>
      <c r="BA482" s="7"/>
      <c r="BB482" s="7"/>
      <c r="BC482" s="7"/>
      <c r="BD482" s="7"/>
      <c r="BE482" s="7"/>
      <c r="BF482" s="7"/>
      <c r="BG482" s="7"/>
    </row>
    <row r="483" customHeight="1" spans="1:59">
      <c r="A483" s="9" t="str">
        <f>IF(ActiveDatabase=Standby,Secondary!A483,Primary!A483)</f>
        <v>Hurston 120</v>
      </c>
      <c r="B483" s="5" t="str">
        <f>IF(ActiveDatabase=Standby,Secondary!B483,Primary!B483)</f>
        <v>Hurston 133</v>
      </c>
      <c r="C483" s="5" t="str">
        <f>IF(ActiveDatabase=Standby,Secondary!C483,Primary!C483)</f>
        <v>Hurston 61</v>
      </c>
      <c r="D483" s="5" t="str">
        <f>IF(ActiveDatabase=Standby,Secondary!D483,Primary!D483)</f>
        <v>Starfarer Wreck 31S</v>
      </c>
      <c r="E483" s="6" t="str">
        <f>IF(ActiveDatabase=Standby,Secondary!E483,Primary!E483)</f>
        <v>Starfarer 31S</v>
      </c>
      <c r="F483" s="10">
        <f>IF(ActiveDatabase=Standby,Secondary!F483,Primary!F483)</f>
        <v>774.787931697828</v>
      </c>
      <c r="G483" s="10">
        <f>IF(ActiveDatabase=Standby,Secondary!G483,Primary!G483)</f>
        <v>8.140294372633</v>
      </c>
      <c r="H483" s="10">
        <f>IF(ActiveDatabase=Standby,Secondary!H483,Primary!H483)</f>
        <v>633.956307752477</v>
      </c>
      <c r="I483" s="13">
        <f>IF(ActiveDatabase=Standby,Secondary!I483,Primary!I483)</f>
        <v>0</v>
      </c>
      <c r="J483" s="13">
        <f>IF(ActiveDatabase=Standby,Secondary!J483,Primary!J483)</f>
        <v>0</v>
      </c>
      <c r="K483" s="13">
        <f>IF(ActiveDatabase=Standby,Secondary!K483,Primary!K483)</f>
        <v>0</v>
      </c>
      <c r="L483" s="13">
        <f>IF(ActiveDatabase=Standby,Secondary!L483,Primary!L483)</f>
        <v>0</v>
      </c>
      <c r="M483" s="7" t="b">
        <f>IF(ActiveDatabase=Standby,Secondary!M483,Primary!M483)</f>
        <v>0</v>
      </c>
      <c r="N483" s="10">
        <f>IF(ActiveDatabase=Standby,Secondary!N483,Primary!N483)</f>
        <v>0</v>
      </c>
      <c r="O483" s="10">
        <f>IF(ActiveDatabase=Standby,Secondary!O483,Primary!O483)</f>
        <v>0</v>
      </c>
      <c r="P483" s="10">
        <f>IF(ActiveDatabase=Standby,Secondary!P483,Primary!P483)</f>
        <v>0</v>
      </c>
      <c r="Q483" s="6">
        <f>IF(ActiveDatabase=Standby,Secondary!Q483,Primary!Q483)</f>
        <v>0</v>
      </c>
      <c r="R483" s="18">
        <f>IF(ActiveDatabase=Standby,Secondary!R483,Primary!R483)</f>
        <v>0</v>
      </c>
      <c r="S483" s="19">
        <f>IF(ActiveDatabase=Standby,Secondary!S483,Primary!S483)</f>
        <v>0</v>
      </c>
      <c r="T483" s="10">
        <f>IF(ActiveDatabase=Standby,Secondary!T483,Primary!T483)</f>
        <v>0</v>
      </c>
      <c r="U483" s="10">
        <f>IF(ActiveDatabase=Standby,Secondary!U483,Primary!U483)</f>
        <v>0</v>
      </c>
      <c r="V483" s="10">
        <f>IF(ActiveDatabase=Standby,Secondary!V483,Primary!V483)</f>
        <v>0</v>
      </c>
      <c r="W483" s="6">
        <f>IF(ActiveDatabase=Standby,Secondary!W483,Primary!W483)</f>
        <v>0</v>
      </c>
      <c r="X483" s="6">
        <f>IF(ActiveDatabase=Standby,Secondary!X483,Primary!X483)</f>
        <v>0</v>
      </c>
      <c r="Y483" s="12">
        <f>IF(ActiveDatabase=Standby,Secondary!Y483,Primary!Y483)</f>
        <v>0</v>
      </c>
      <c r="Z483" s="12">
        <f>IF(ActiveDatabase=Standby,Secondary!Z483,Primary!Z483)</f>
        <v>0</v>
      </c>
      <c r="AA483" s="7">
        <f>IF(ActiveDatabase=Standby,Secondary!AA483,Primary!AA483)</f>
        <v>0</v>
      </c>
      <c r="AB483" s="12"/>
      <c r="AC483" s="6"/>
      <c r="AD483" s="6"/>
      <c r="AE483" s="7"/>
      <c r="AF483" s="7"/>
      <c r="AG483" s="7"/>
      <c r="AH483" s="7"/>
      <c r="AI483" s="7"/>
      <c r="AJ483" s="7"/>
      <c r="AK483" s="7"/>
      <c r="AL483" s="7"/>
      <c r="AM483" s="7"/>
      <c r="AN483" s="7"/>
      <c r="AO483" s="6"/>
      <c r="AP483" s="7"/>
      <c r="AQ483" s="7"/>
      <c r="AR483" s="6"/>
      <c r="AS483" s="7"/>
      <c r="AT483" s="7"/>
      <c r="AU483" s="7"/>
      <c r="AV483" s="7"/>
      <c r="AW483" s="7"/>
      <c r="AX483" s="7"/>
      <c r="AY483" s="7"/>
      <c r="AZ483" s="7"/>
      <c r="BA483" s="7"/>
      <c r="BB483" s="7"/>
      <c r="BC483" s="7"/>
      <c r="BD483" s="7"/>
      <c r="BE483" s="7"/>
      <c r="BF483" s="7"/>
      <c r="BG483" s="7"/>
    </row>
    <row r="484" customHeight="1" spans="1:59">
      <c r="A484" s="9" t="str">
        <f>IF(ActiveDatabase=Standby,Secondary!A484,Primary!A484)</f>
        <v>Hurston 122</v>
      </c>
      <c r="B484" s="5" t="str">
        <f>IF(ActiveDatabase=Standby,Secondary!B484,Primary!B484)</f>
        <v>Hurston 135</v>
      </c>
      <c r="C484" s="5" t="str">
        <f>IF(ActiveDatabase=Standby,Secondary!C484,Primary!C484)</f>
        <v>Hurston 02</v>
      </c>
      <c r="D484" s="5" t="str">
        <f>IF(ActiveDatabase=Standby,Secondary!D484,Primary!D484)</f>
        <v>Starfarer Wreck 58L</v>
      </c>
      <c r="E484" s="6" t="str">
        <f>IF(ActiveDatabase=Standby,Secondary!E484,Primary!E484)</f>
        <v>Starfarer 58L</v>
      </c>
      <c r="F484" s="10">
        <f>IF(ActiveDatabase=Standby,Secondary!F484,Primary!F484)</f>
        <v>-950.244058998478</v>
      </c>
      <c r="G484" s="10">
        <f>IF(ActiveDatabase=Standby,Secondary!G484,Primary!G484)</f>
        <v>276.429530231394</v>
      </c>
      <c r="H484" s="10">
        <f>IF(ActiveDatabase=Standby,Secondary!H484,Primary!H484)</f>
        <v>-152.586921312737</v>
      </c>
      <c r="I484" s="13">
        <f>IF(ActiveDatabase=Standby,Secondary!I484,Primary!I484)</f>
        <v>0</v>
      </c>
      <c r="J484" s="13">
        <f>IF(ActiveDatabase=Standby,Secondary!J484,Primary!J484)</f>
        <v>0</v>
      </c>
      <c r="K484" s="13">
        <f>IF(ActiveDatabase=Standby,Secondary!K484,Primary!K484)</f>
        <v>0</v>
      </c>
      <c r="L484" s="13">
        <f>IF(ActiveDatabase=Standby,Secondary!L484,Primary!L484)</f>
        <v>0</v>
      </c>
      <c r="M484" s="7" t="b">
        <f>IF(ActiveDatabase=Standby,Secondary!M484,Primary!M484)</f>
        <v>0</v>
      </c>
      <c r="N484" s="10">
        <f>IF(ActiveDatabase=Standby,Secondary!N484,Primary!N484)</f>
        <v>0</v>
      </c>
      <c r="O484" s="10">
        <f>IF(ActiveDatabase=Standby,Secondary!O484,Primary!O484)</f>
        <v>0</v>
      </c>
      <c r="P484" s="10">
        <f>IF(ActiveDatabase=Standby,Secondary!P484,Primary!P484)</f>
        <v>0</v>
      </c>
      <c r="Q484" s="6">
        <f>IF(ActiveDatabase=Standby,Secondary!Q484,Primary!Q484)</f>
        <v>0</v>
      </c>
      <c r="R484" s="18">
        <f>IF(ActiveDatabase=Standby,Secondary!R484,Primary!R484)</f>
        <v>0</v>
      </c>
      <c r="S484" s="19">
        <f>IF(ActiveDatabase=Standby,Secondary!S484,Primary!S484)</f>
        <v>0</v>
      </c>
      <c r="T484" s="10">
        <f>IF(ActiveDatabase=Standby,Secondary!T484,Primary!T484)</f>
        <v>0</v>
      </c>
      <c r="U484" s="10">
        <f>IF(ActiveDatabase=Standby,Secondary!U484,Primary!U484)</f>
        <v>0</v>
      </c>
      <c r="V484" s="10">
        <f>IF(ActiveDatabase=Standby,Secondary!V484,Primary!V484)</f>
        <v>0</v>
      </c>
      <c r="W484" s="6">
        <f>IF(ActiveDatabase=Standby,Secondary!W484,Primary!W484)</f>
        <v>0</v>
      </c>
      <c r="X484" s="6">
        <f>IF(ActiveDatabase=Standby,Secondary!X484,Primary!X484)</f>
        <v>0</v>
      </c>
      <c r="Y484" s="12">
        <f>IF(ActiveDatabase=Standby,Secondary!Y484,Primary!Y484)</f>
        <v>0</v>
      </c>
      <c r="Z484" s="12">
        <f>IF(ActiveDatabase=Standby,Secondary!Z484,Primary!Z484)</f>
        <v>0</v>
      </c>
      <c r="AA484" s="7">
        <f>IF(ActiveDatabase=Standby,Secondary!AA484,Primary!AA484)</f>
        <v>0</v>
      </c>
      <c r="AB484" s="12"/>
      <c r="AC484" s="6"/>
      <c r="AD484" s="6"/>
      <c r="AE484" s="7"/>
      <c r="AF484" s="7"/>
      <c r="AG484" s="7"/>
      <c r="AH484" s="7"/>
      <c r="AI484" s="7"/>
      <c r="AJ484" s="7"/>
      <c r="AK484" s="7"/>
      <c r="AL484" s="7"/>
      <c r="AM484" s="7"/>
      <c r="AN484" s="7"/>
      <c r="AO484" s="6"/>
      <c r="AP484" s="7"/>
      <c r="AQ484" s="7"/>
      <c r="AR484" s="6"/>
      <c r="AS484" s="7"/>
      <c r="AT484" s="7"/>
      <c r="AU484" s="7"/>
      <c r="AV484" s="7"/>
      <c r="AW484" s="7"/>
      <c r="AX484" s="7"/>
      <c r="AY484" s="7"/>
      <c r="AZ484" s="7"/>
      <c r="BA484" s="7"/>
      <c r="BB484" s="7"/>
      <c r="BC484" s="7"/>
      <c r="BD484" s="7"/>
      <c r="BE484" s="7"/>
      <c r="BF484" s="7"/>
      <c r="BG484" s="7"/>
    </row>
    <row r="485" customHeight="1" spans="1:59">
      <c r="A485" s="9" t="str">
        <f>IF(ActiveDatabase=Standby,Secondary!A485,Primary!A485)</f>
        <v>Hurston 119</v>
      </c>
      <c r="B485" s="5" t="str">
        <f>IF(ActiveDatabase=Standby,Secondary!B485,Primary!B485)</f>
        <v>Hurston 132</v>
      </c>
      <c r="C485" s="5" t="str">
        <f>IF(ActiveDatabase=Standby,Secondary!C485,Primary!C485)</f>
        <v>Hurston 63</v>
      </c>
      <c r="D485" s="5" t="str">
        <f>IF(ActiveDatabase=Standby,Secondary!D485,Primary!D485)</f>
        <v>Starfarer Wreck 30L</v>
      </c>
      <c r="E485" s="6" t="str">
        <f>IF(ActiveDatabase=Standby,Secondary!E485,Primary!E485)</f>
        <v>Starfarer 30L</v>
      </c>
      <c r="F485" s="10">
        <f>IF(ActiveDatabase=Standby,Secondary!F485,Primary!F485)</f>
        <v>979.863794954941</v>
      </c>
      <c r="G485" s="10">
        <f>IF(ActiveDatabase=Standby,Secondary!G485,Primary!G485)</f>
        <v>-47.468799931292</v>
      </c>
      <c r="H485" s="10">
        <f>IF(ActiveDatabase=Standby,Secondary!H485,Primary!H485)</f>
        <v>-193.947371527254</v>
      </c>
      <c r="I485" s="13">
        <f>IF(ActiveDatabase=Standby,Secondary!I485,Primary!I485)</f>
        <v>0</v>
      </c>
      <c r="J485" s="13">
        <f>IF(ActiveDatabase=Standby,Secondary!J485,Primary!J485)</f>
        <v>0</v>
      </c>
      <c r="K485" s="13">
        <f>IF(ActiveDatabase=Standby,Secondary!K485,Primary!K485)</f>
        <v>0</v>
      </c>
      <c r="L485" s="13">
        <f>IF(ActiveDatabase=Standby,Secondary!L485,Primary!L485)</f>
        <v>0</v>
      </c>
      <c r="M485" s="7" t="b">
        <f>IF(ActiveDatabase=Standby,Secondary!M485,Primary!M485)</f>
        <v>0</v>
      </c>
      <c r="N485" s="10">
        <f>IF(ActiveDatabase=Standby,Secondary!N485,Primary!N485)</f>
        <v>0</v>
      </c>
      <c r="O485" s="10">
        <f>IF(ActiveDatabase=Standby,Secondary!O485,Primary!O485)</f>
        <v>0</v>
      </c>
      <c r="P485" s="10">
        <f>IF(ActiveDatabase=Standby,Secondary!P485,Primary!P485)</f>
        <v>0</v>
      </c>
      <c r="Q485" s="6">
        <f>IF(ActiveDatabase=Standby,Secondary!Q485,Primary!Q485)</f>
        <v>0</v>
      </c>
      <c r="R485" s="18">
        <f>IF(ActiveDatabase=Standby,Secondary!R485,Primary!R485)</f>
        <v>0</v>
      </c>
      <c r="S485" s="19">
        <f>IF(ActiveDatabase=Standby,Secondary!S485,Primary!S485)</f>
        <v>0</v>
      </c>
      <c r="T485" s="10">
        <f>IF(ActiveDatabase=Standby,Secondary!T485,Primary!T485)</f>
        <v>0</v>
      </c>
      <c r="U485" s="10">
        <f>IF(ActiveDatabase=Standby,Secondary!U485,Primary!U485)</f>
        <v>0</v>
      </c>
      <c r="V485" s="10">
        <f>IF(ActiveDatabase=Standby,Secondary!V485,Primary!V485)</f>
        <v>0</v>
      </c>
      <c r="W485" s="6">
        <f>IF(ActiveDatabase=Standby,Secondary!W485,Primary!W485)</f>
        <v>0</v>
      </c>
      <c r="X485" s="6">
        <f>IF(ActiveDatabase=Standby,Secondary!X485,Primary!X485)</f>
        <v>0</v>
      </c>
      <c r="Y485" s="12">
        <f>IF(ActiveDatabase=Standby,Secondary!Y485,Primary!Y485)</f>
        <v>0</v>
      </c>
      <c r="Z485" s="12">
        <f>IF(ActiveDatabase=Standby,Secondary!Z485,Primary!Z485)</f>
        <v>0</v>
      </c>
      <c r="AA485" s="7">
        <f>IF(ActiveDatabase=Standby,Secondary!AA485,Primary!AA485)</f>
        <v>0</v>
      </c>
      <c r="AB485" s="12"/>
      <c r="AC485" s="6"/>
      <c r="AD485" s="6"/>
      <c r="AE485" s="7"/>
      <c r="AF485" s="7"/>
      <c r="AG485" s="7"/>
      <c r="AH485" s="7"/>
      <c r="AI485" s="7"/>
      <c r="AJ485" s="7"/>
      <c r="AK485" s="7"/>
      <c r="AL485" s="7"/>
      <c r="AM485" s="7"/>
      <c r="AN485" s="7"/>
      <c r="AO485" s="6"/>
      <c r="AP485" s="7"/>
      <c r="AQ485" s="7"/>
      <c r="AR485" s="6"/>
      <c r="AS485" s="7"/>
      <c r="AT485" s="7"/>
      <c r="AU485" s="7"/>
      <c r="AV485" s="7"/>
      <c r="AW485" s="7"/>
      <c r="AX485" s="7"/>
      <c r="AY485" s="7"/>
      <c r="AZ485" s="7"/>
      <c r="BA485" s="7"/>
      <c r="BB485" s="7"/>
      <c r="BC485" s="7"/>
      <c r="BD485" s="7"/>
      <c r="BE485" s="7"/>
      <c r="BF485" s="7"/>
      <c r="BG485" s="7"/>
    </row>
    <row r="486" customHeight="1" spans="1:59">
      <c r="A486" s="9" t="str">
        <f>IF(ActiveDatabase=Standby,Secondary!A486,Primary!A486)</f>
        <v>Hurston</v>
      </c>
      <c r="B486" s="5" t="str">
        <f>IF(ActiveDatabase=Standby,Secondary!B486,Primary!B486)</f>
        <v>Hurston 137</v>
      </c>
      <c r="C486" s="5">
        <f>IF(ActiveDatabase=Standby,Secondary!C486,Primary!C486)</f>
        <v>0</v>
      </c>
      <c r="D486" s="5" t="str">
        <f>IF(ActiveDatabase=Standby,Secondary!D486,Primary!D486)</f>
        <v>Comm Array</v>
      </c>
      <c r="E486" s="6">
        <f>IF(ActiveDatabase=Standby,Secondary!E486,Primary!E486)</f>
        <v>0</v>
      </c>
      <c r="F486" s="10">
        <f>IF(ActiveDatabase=Standby,Secondary!F486,Primary!F486)</f>
        <v>0</v>
      </c>
      <c r="G486" s="10">
        <f>IF(ActiveDatabase=Standby,Secondary!G486,Primary!G486)</f>
        <v>0</v>
      </c>
      <c r="H486" s="10">
        <f>IF(ActiveDatabase=Standby,Secondary!H486,Primary!H486)</f>
        <v>0</v>
      </c>
      <c r="I486" s="13">
        <f>IF(ActiveDatabase=Standby,Secondary!I486,Primary!I486)</f>
        <v>0</v>
      </c>
      <c r="J486" s="13">
        <f>IF(ActiveDatabase=Standby,Secondary!J486,Primary!J486)</f>
        <v>0</v>
      </c>
      <c r="K486" s="13">
        <f>IF(ActiveDatabase=Standby,Secondary!K486,Primary!K486)</f>
        <v>0</v>
      </c>
      <c r="L486" s="13">
        <f>IF(ActiveDatabase=Standby,Secondary!L486,Primary!L486)</f>
        <v>0</v>
      </c>
      <c r="M486" s="7">
        <f>IF(ActiveDatabase=Standby,Secondary!M486,Primary!M486)</f>
        <v>0</v>
      </c>
      <c r="N486" s="10">
        <f>IF(ActiveDatabase=Standby,Secondary!N486,Primary!N486)</f>
        <v>0</v>
      </c>
      <c r="O486" s="10">
        <f>IF(ActiveDatabase=Standby,Secondary!O486,Primary!O486)</f>
        <v>0</v>
      </c>
      <c r="P486" s="10">
        <f>IF(ActiveDatabase=Standby,Secondary!P486,Primary!P486)</f>
        <v>0</v>
      </c>
      <c r="Q486" s="6">
        <f>IF(ActiveDatabase=Standby,Secondary!Q486,Primary!Q486)</f>
        <v>0</v>
      </c>
      <c r="R486" s="18">
        <f>IF(ActiveDatabase=Standby,Secondary!R486,Primary!R486)</f>
        <v>0</v>
      </c>
      <c r="S486" s="19">
        <f>IF(ActiveDatabase=Standby,Secondary!S486,Primary!S486)</f>
        <v>0</v>
      </c>
      <c r="T486" s="10">
        <f>IF(ActiveDatabase=Standby,Secondary!T486,Primary!T486)</f>
        <v>0</v>
      </c>
      <c r="U486" s="10">
        <f>IF(ActiveDatabase=Standby,Secondary!U486,Primary!U486)</f>
        <v>0</v>
      </c>
      <c r="V486" s="10">
        <f>IF(ActiveDatabase=Standby,Secondary!V486,Primary!V486)</f>
        <v>0</v>
      </c>
      <c r="W486" s="6">
        <f>IF(ActiveDatabase=Standby,Secondary!W486,Primary!W486)</f>
        <v>0</v>
      </c>
      <c r="X486" s="6">
        <f>IF(ActiveDatabase=Standby,Secondary!X486,Primary!X486)</f>
        <v>0</v>
      </c>
      <c r="Y486" s="12">
        <f>IF(ActiveDatabase=Standby,Secondary!Y486,Primary!Y486)</f>
        <v>0</v>
      </c>
      <c r="Z486" s="12">
        <f>IF(ActiveDatabase=Standby,Secondary!Z486,Primary!Z486)</f>
        <v>0</v>
      </c>
      <c r="AA486" s="7">
        <f>IF(ActiveDatabase=Standby,Secondary!AA486,Primary!AA486)</f>
        <v>0</v>
      </c>
      <c r="AB486" s="12"/>
      <c r="AC486" s="6"/>
      <c r="AD486" s="6"/>
      <c r="AE486" s="7"/>
      <c r="AF486" s="7"/>
      <c r="AG486" s="7"/>
      <c r="AH486" s="7"/>
      <c r="AI486" s="7"/>
      <c r="AJ486" s="7"/>
      <c r="AK486" s="7"/>
      <c r="AL486" s="7"/>
      <c r="AM486" s="7"/>
      <c r="AN486" s="7"/>
      <c r="AO486" s="6"/>
      <c r="AP486" s="7"/>
      <c r="AQ486" s="7"/>
      <c r="AR486" s="6"/>
      <c r="AS486" s="7"/>
      <c r="AT486" s="7"/>
      <c r="AU486" s="7"/>
      <c r="AV486" s="7"/>
      <c r="AW486" s="7"/>
      <c r="AX486" s="7"/>
      <c r="AY486" s="7"/>
      <c r="AZ486" s="7"/>
      <c r="BA486" s="7"/>
      <c r="BB486" s="7"/>
      <c r="BC486" s="7"/>
      <c r="BD486" s="7"/>
      <c r="BE486" s="7"/>
      <c r="BF486" s="7"/>
      <c r="BG486" s="7"/>
    </row>
    <row r="487" customHeight="1" spans="1:59">
      <c r="A487" s="9" t="str">
        <f>IF(ActiveDatabase=Standby,Secondary!A487,Primary!A487)</f>
        <v>Hurston 29</v>
      </c>
      <c r="B487" s="5" t="str">
        <f>IF(ActiveDatabase=Standby,Secondary!B487,Primary!B487)</f>
        <v>Hurston 138</v>
      </c>
      <c r="C487" s="5" t="str">
        <f>IF(ActiveDatabase=Standby,Secondary!C487,Primary!C487)</f>
        <v>Hurston 71</v>
      </c>
      <c r="D487" s="5" t="str">
        <f>IF(ActiveDatabase=Standby,Secondary!D487,Primary!D487)</f>
        <v>Comm Array ST1-61</v>
      </c>
      <c r="E487" s="6" t="str">
        <f>IF(ActiveDatabase=Standby,Secondary!E487,Primary!E487)</f>
        <v>ST1-61</v>
      </c>
      <c r="F487" s="10">
        <f>IF(ActiveDatabase=Standby,Secondary!F487,Primary!F487)</f>
        <v>919.253447999954</v>
      </c>
      <c r="G487" s="10">
        <f>IF(ActiveDatabase=Standby,Secondary!G487,Primary!G487)</f>
        <v>-771.345408289</v>
      </c>
      <c r="H487" s="10">
        <f>IF(ActiveDatabase=Standby,Secondary!H487,Primary!H487)</f>
        <v>24</v>
      </c>
      <c r="I487" s="13">
        <f>IF(ActiveDatabase=Standby,Secondary!I487,Primary!I487)</f>
        <v>0</v>
      </c>
      <c r="J487" s="13">
        <f>IF(ActiveDatabase=Standby,Secondary!J487,Primary!J487)</f>
        <v>0</v>
      </c>
      <c r="K487" s="13">
        <f>IF(ActiveDatabase=Standby,Secondary!K487,Primary!K487)</f>
        <v>0</v>
      </c>
      <c r="L487" s="13">
        <f>IF(ActiveDatabase=Standby,Secondary!L487,Primary!L487)</f>
        <v>0</v>
      </c>
      <c r="M487" s="7" t="b">
        <f>IF(ActiveDatabase=Standby,Secondary!M487,Primary!M487)</f>
        <v>1</v>
      </c>
      <c r="N487" s="10">
        <f>IF(ActiveDatabase=Standby,Secondary!N487,Primary!N487)</f>
        <v>0</v>
      </c>
      <c r="O487" s="10">
        <f>IF(ActiveDatabase=Standby,Secondary!O487,Primary!O487)</f>
        <v>0</v>
      </c>
      <c r="P487" s="10">
        <f>IF(ActiveDatabase=Standby,Secondary!P487,Primary!P487)</f>
        <v>0</v>
      </c>
      <c r="Q487" s="6">
        <f>IF(ActiveDatabase=Standby,Secondary!Q487,Primary!Q487)</f>
        <v>0</v>
      </c>
      <c r="R487" s="18">
        <f>IF(ActiveDatabase=Standby,Secondary!R487,Primary!R487)</f>
        <v>0</v>
      </c>
      <c r="S487" s="19">
        <f>IF(ActiveDatabase=Standby,Secondary!S487,Primary!S487)</f>
        <v>0</v>
      </c>
      <c r="T487" s="10">
        <f>IF(ActiveDatabase=Standby,Secondary!T487,Primary!T487)</f>
        <v>0</v>
      </c>
      <c r="U487" s="10">
        <f>IF(ActiveDatabase=Standby,Secondary!U487,Primary!U487)</f>
        <v>0</v>
      </c>
      <c r="V487" s="10">
        <f>IF(ActiveDatabase=Standby,Secondary!V487,Primary!V487)</f>
        <v>0</v>
      </c>
      <c r="W487" s="6">
        <f>IF(ActiveDatabase=Standby,Secondary!W487,Primary!W487)</f>
        <v>0</v>
      </c>
      <c r="X487" s="6">
        <f>IF(ActiveDatabase=Standby,Secondary!X487,Primary!X487)</f>
        <v>0</v>
      </c>
      <c r="Y487" s="12">
        <f>IF(ActiveDatabase=Standby,Secondary!Y487,Primary!Y487)</f>
        <v>0</v>
      </c>
      <c r="Z487" s="12">
        <f>IF(ActiveDatabase=Standby,Secondary!Z487,Primary!Z487)</f>
        <v>0</v>
      </c>
      <c r="AA487" s="7">
        <f>IF(ActiveDatabase=Standby,Secondary!AA487,Primary!AA487)</f>
        <v>0</v>
      </c>
      <c r="AB487" s="12"/>
      <c r="AC487" s="6"/>
      <c r="AD487" s="6"/>
      <c r="AE487" s="7"/>
      <c r="AF487" s="7"/>
      <c r="AG487" s="7"/>
      <c r="AH487" s="7"/>
      <c r="AI487" s="7"/>
      <c r="AJ487" s="7"/>
      <c r="AK487" s="7"/>
      <c r="AL487" s="7"/>
      <c r="AM487" s="7"/>
      <c r="AN487" s="7"/>
      <c r="AO487" s="6"/>
      <c r="AP487" s="7"/>
      <c r="AQ487" s="7"/>
      <c r="AR487" s="6"/>
      <c r="AS487" s="7"/>
      <c r="AT487" s="7"/>
      <c r="AU487" s="7"/>
      <c r="AV487" s="7"/>
      <c r="AW487" s="7"/>
      <c r="AX487" s="7"/>
      <c r="AY487" s="7"/>
      <c r="AZ487" s="7"/>
      <c r="BA487" s="7"/>
      <c r="BB487" s="7"/>
      <c r="BC487" s="7"/>
      <c r="BD487" s="7"/>
      <c r="BE487" s="7"/>
      <c r="BF487" s="7"/>
      <c r="BG487" s="7"/>
    </row>
    <row r="488" customHeight="1" spans="1:59">
      <c r="A488" s="9" t="str">
        <f>IF(ActiveDatabase=Standby,Secondary!A488,Primary!A488)</f>
        <v>Hurston</v>
      </c>
      <c r="B488" s="5" t="str">
        <f>IF(ActiveDatabase=Standby,Secondary!B488,Primary!B488)</f>
        <v>Hurston 140</v>
      </c>
      <c r="C488" s="5">
        <f>IF(ActiveDatabase=Standby,Secondary!C488,Primary!C488)</f>
        <v>0</v>
      </c>
      <c r="D488" s="5" t="str">
        <f>IF(ActiveDatabase=Standby,Secondary!D488,Primary!D488)</f>
        <v>Rivers</v>
      </c>
      <c r="E488" s="6">
        <f>IF(ActiveDatabase=Standby,Secondary!E488,Primary!E488)</f>
        <v>0</v>
      </c>
      <c r="F488" s="10">
        <f>IF(ActiveDatabase=Standby,Secondary!F488,Primary!F488)</f>
        <v>0</v>
      </c>
      <c r="G488" s="10">
        <f>IF(ActiveDatabase=Standby,Secondary!G488,Primary!G488)</f>
        <v>0</v>
      </c>
      <c r="H488" s="10">
        <f>IF(ActiveDatabase=Standby,Secondary!H488,Primary!H488)</f>
        <v>0</v>
      </c>
      <c r="I488" s="13">
        <f>IF(ActiveDatabase=Standby,Secondary!I488,Primary!I488)</f>
        <v>0</v>
      </c>
      <c r="J488" s="13">
        <f>IF(ActiveDatabase=Standby,Secondary!J488,Primary!J488)</f>
        <v>0</v>
      </c>
      <c r="K488" s="13">
        <f>IF(ActiveDatabase=Standby,Secondary!K488,Primary!K488)</f>
        <v>0</v>
      </c>
      <c r="L488" s="13">
        <f>IF(ActiveDatabase=Standby,Secondary!L488,Primary!L488)</f>
        <v>0</v>
      </c>
      <c r="M488" s="7">
        <f>IF(ActiveDatabase=Standby,Secondary!M488,Primary!M488)</f>
        <v>0</v>
      </c>
      <c r="N488" s="10">
        <f>IF(ActiveDatabase=Standby,Secondary!N488,Primary!N488)</f>
        <v>0</v>
      </c>
      <c r="O488" s="10">
        <f>IF(ActiveDatabase=Standby,Secondary!O488,Primary!O488)</f>
        <v>0</v>
      </c>
      <c r="P488" s="10">
        <f>IF(ActiveDatabase=Standby,Secondary!P488,Primary!P488)</f>
        <v>0</v>
      </c>
      <c r="Q488" s="6">
        <f>IF(ActiveDatabase=Standby,Secondary!Q488,Primary!Q488)</f>
        <v>0</v>
      </c>
      <c r="R488" s="18">
        <f>IF(ActiveDatabase=Standby,Secondary!R488,Primary!R488)</f>
        <v>0</v>
      </c>
      <c r="S488" s="19">
        <f>IF(ActiveDatabase=Standby,Secondary!S488,Primary!S488)</f>
        <v>0</v>
      </c>
      <c r="T488" s="10">
        <f>IF(ActiveDatabase=Standby,Secondary!T488,Primary!T488)</f>
        <v>0</v>
      </c>
      <c r="U488" s="10">
        <f>IF(ActiveDatabase=Standby,Secondary!U488,Primary!U488)</f>
        <v>0</v>
      </c>
      <c r="V488" s="10">
        <f>IF(ActiveDatabase=Standby,Secondary!V488,Primary!V488)</f>
        <v>0</v>
      </c>
      <c r="W488" s="6">
        <f>IF(ActiveDatabase=Standby,Secondary!W488,Primary!W488)</f>
        <v>0</v>
      </c>
      <c r="X488" s="6">
        <f>IF(ActiveDatabase=Standby,Secondary!X488,Primary!X488)</f>
        <v>0</v>
      </c>
      <c r="Y488" s="12">
        <f>IF(ActiveDatabase=Standby,Secondary!Y488,Primary!Y488)</f>
        <v>0</v>
      </c>
      <c r="Z488" s="12">
        <f>IF(ActiveDatabase=Standby,Secondary!Z488,Primary!Z488)</f>
        <v>0</v>
      </c>
      <c r="AA488" s="7">
        <f>IF(ActiveDatabase=Standby,Secondary!AA488,Primary!AA488)</f>
        <v>0</v>
      </c>
      <c r="AB488" s="12"/>
      <c r="AC488" s="6"/>
      <c r="AD488" s="6"/>
      <c r="AE488" s="7"/>
      <c r="AF488" s="7"/>
      <c r="AG488" s="7"/>
      <c r="AH488" s="7"/>
      <c r="AI488" s="7"/>
      <c r="AJ488" s="7"/>
      <c r="AK488" s="7"/>
      <c r="AL488" s="7"/>
      <c r="AM488" s="7"/>
      <c r="AN488" s="7"/>
      <c r="AO488" s="6"/>
      <c r="AP488" s="7"/>
      <c r="AQ488" s="7"/>
      <c r="AR488" s="6"/>
      <c r="AS488" s="7"/>
      <c r="AT488" s="7"/>
      <c r="AU488" s="7"/>
      <c r="AV488" s="7"/>
      <c r="AW488" s="7"/>
      <c r="AX488" s="7"/>
      <c r="AY488" s="7"/>
      <c r="AZ488" s="7"/>
      <c r="BA488" s="7"/>
      <c r="BB488" s="7"/>
      <c r="BC488" s="7"/>
      <c r="BD488" s="7"/>
      <c r="BE488" s="7"/>
      <c r="BF488" s="7"/>
      <c r="BG488" s="7"/>
    </row>
    <row r="489" customHeight="1" spans="1:59">
      <c r="A489" s="9" t="str">
        <f>IF(ActiveDatabase=Standby,Secondary!A489,Primary!A489)</f>
        <v>Hurston 139</v>
      </c>
      <c r="B489" s="5" t="str">
        <f>IF(ActiveDatabase=Standby,Secondary!B489,Primary!B489)</f>
        <v>Hurston 157</v>
      </c>
      <c r="C489" s="5" t="str">
        <f>IF(ActiveDatabase=Standby,Secondary!C489,Primary!C489)</f>
        <v>Hurston 06</v>
      </c>
      <c r="D489" s="5" t="str">
        <f>IF(ActiveDatabase=Standby,Secondary!D489,Primary!D489)</f>
        <v>River 57M</v>
      </c>
      <c r="E489" s="6" t="str">
        <f>IF(ActiveDatabase=Standby,Secondary!E489,Primary!E489)</f>
        <v>River 57M</v>
      </c>
      <c r="F489" s="10">
        <f>IF(ActiveDatabase=Standby,Secondary!F489,Primary!F489)</f>
        <v>-941.47293753583</v>
      </c>
      <c r="G489" s="10">
        <f>IF(ActiveDatabase=Standby,Secondary!G489,Primary!G489)</f>
        <v>339.55637006903</v>
      </c>
      <c r="H489" s="10">
        <f>IF(ActiveDatabase=Standby,Secondary!H489,Primary!H489)</f>
        <v>-37.63138641525</v>
      </c>
      <c r="I489" s="13">
        <f>IF(ActiveDatabase=Standby,Secondary!I489,Primary!I489)</f>
        <v>0</v>
      </c>
      <c r="J489" s="13">
        <f>IF(ActiveDatabase=Standby,Secondary!J489,Primary!J489)</f>
        <v>0</v>
      </c>
      <c r="K489" s="13">
        <f>IF(ActiveDatabase=Standby,Secondary!K489,Primary!K489)</f>
        <v>0</v>
      </c>
      <c r="L489" s="13">
        <f>IF(ActiveDatabase=Standby,Secondary!L489,Primary!L489)</f>
        <v>0</v>
      </c>
      <c r="M489" s="7" t="b">
        <f>IF(ActiveDatabase=Standby,Secondary!M489,Primary!M489)</f>
        <v>0</v>
      </c>
      <c r="N489" s="10">
        <f>IF(ActiveDatabase=Standby,Secondary!N489,Primary!N489)</f>
        <v>0</v>
      </c>
      <c r="O489" s="10">
        <f>IF(ActiveDatabase=Standby,Secondary!O489,Primary!O489)</f>
        <v>0</v>
      </c>
      <c r="P489" s="10">
        <f>IF(ActiveDatabase=Standby,Secondary!P489,Primary!P489)</f>
        <v>0</v>
      </c>
      <c r="Q489" s="6">
        <f>IF(ActiveDatabase=Standby,Secondary!Q489,Primary!Q489)</f>
        <v>0</v>
      </c>
      <c r="R489" s="18">
        <f>IF(ActiveDatabase=Standby,Secondary!R489,Primary!R489)</f>
        <v>0</v>
      </c>
      <c r="S489" s="19">
        <f>IF(ActiveDatabase=Standby,Secondary!S489,Primary!S489)</f>
        <v>0</v>
      </c>
      <c r="T489" s="10">
        <f>IF(ActiveDatabase=Standby,Secondary!T489,Primary!T489)</f>
        <v>0</v>
      </c>
      <c r="U489" s="10">
        <f>IF(ActiveDatabase=Standby,Secondary!U489,Primary!U489)</f>
        <v>0</v>
      </c>
      <c r="V489" s="10">
        <f>IF(ActiveDatabase=Standby,Secondary!V489,Primary!V489)</f>
        <v>0</v>
      </c>
      <c r="W489" s="6">
        <f>IF(ActiveDatabase=Standby,Secondary!W489,Primary!W489)</f>
        <v>0</v>
      </c>
      <c r="X489" s="6">
        <f>IF(ActiveDatabase=Standby,Secondary!X489,Primary!X489)</f>
        <v>0</v>
      </c>
      <c r="Y489" s="12">
        <f>IF(ActiveDatabase=Standby,Secondary!Y489,Primary!Y489)</f>
        <v>0</v>
      </c>
      <c r="Z489" s="12">
        <f>IF(ActiveDatabase=Standby,Secondary!Z489,Primary!Z489)</f>
        <v>0</v>
      </c>
      <c r="AA489" s="7">
        <f>IF(ActiveDatabase=Standby,Secondary!AA489,Primary!AA489)</f>
        <v>0</v>
      </c>
      <c r="AB489" s="12"/>
      <c r="AC489" s="6"/>
      <c r="AD489" s="6"/>
      <c r="AE489" s="7"/>
      <c r="AF489" s="7"/>
      <c r="AG489" s="7"/>
      <c r="AH489" s="7"/>
      <c r="AI489" s="7"/>
      <c r="AJ489" s="7"/>
      <c r="AK489" s="7"/>
      <c r="AL489" s="7"/>
      <c r="AM489" s="7"/>
      <c r="AN489" s="7"/>
      <c r="AO489" s="6"/>
      <c r="AP489" s="7"/>
      <c r="AQ489" s="7"/>
      <c r="AR489" s="6"/>
      <c r="AS489" s="7"/>
      <c r="AT489" s="7"/>
      <c r="AU489" s="7"/>
      <c r="AV489" s="7"/>
      <c r="AW489" s="7"/>
      <c r="AX489" s="7"/>
      <c r="AY489" s="7"/>
      <c r="AZ489" s="7"/>
      <c r="BA489" s="7"/>
      <c r="BB489" s="7"/>
      <c r="BC489" s="7"/>
      <c r="BD489" s="7"/>
      <c r="BE489" s="7"/>
      <c r="BF489" s="7"/>
      <c r="BG489" s="7"/>
    </row>
    <row r="490" customHeight="1" spans="1:59">
      <c r="A490" s="9" t="str">
        <f>IF(ActiveDatabase=Standby,Secondary!A490,Primary!A490)</f>
        <v>Hurston 128</v>
      </c>
      <c r="B490" s="5" t="str">
        <f>IF(ActiveDatabase=Standby,Secondary!B490,Primary!B490)</f>
        <v>Hurston 146</v>
      </c>
      <c r="C490" s="5" t="str">
        <f>IF(ActiveDatabase=Standby,Secondary!C490,Primary!C490)</f>
        <v>Hurston 128</v>
      </c>
      <c r="D490" s="5" t="str">
        <f>IF(ActiveDatabase=Standby,Secondary!D490,Primary!D490)</f>
        <v>River 04S-048</v>
      </c>
      <c r="E490" s="6" t="str">
        <f>IF(ActiveDatabase=Standby,Secondary!E490,Primary!E490)</f>
        <v>River 04S048</v>
      </c>
      <c r="F490" s="10">
        <f>IF(ActiveDatabase=Standby,Secondary!F490,Primary!F490)</f>
        <v>-717.81877367865</v>
      </c>
      <c r="G490" s="10">
        <f>IF(ActiveDatabase=Standby,Secondary!G490,Primary!G490)</f>
        <v>-316.37633065235</v>
      </c>
      <c r="H490" s="10">
        <f>IF(ActiveDatabase=Standby,Secondary!H490,Primary!H490)</f>
        <v>623.82253638437</v>
      </c>
      <c r="I490" s="13">
        <f>IF(ActiveDatabase=Standby,Secondary!I490,Primary!I490)</f>
        <v>0</v>
      </c>
      <c r="J490" s="13">
        <f>IF(ActiveDatabase=Standby,Secondary!J490,Primary!J490)</f>
        <v>0</v>
      </c>
      <c r="K490" s="13">
        <f>IF(ActiveDatabase=Standby,Secondary!K490,Primary!K490)</f>
        <v>0</v>
      </c>
      <c r="L490" s="13">
        <f>IF(ActiveDatabase=Standby,Secondary!L490,Primary!L490)</f>
        <v>0</v>
      </c>
      <c r="M490" s="7" t="b">
        <f>IF(ActiveDatabase=Standby,Secondary!M490,Primary!M490)</f>
        <v>0</v>
      </c>
      <c r="N490" s="10">
        <f>IF(ActiveDatabase=Standby,Secondary!N490,Primary!N490)</f>
        <v>0</v>
      </c>
      <c r="O490" s="10">
        <f>IF(ActiveDatabase=Standby,Secondary!O490,Primary!O490)</f>
        <v>0</v>
      </c>
      <c r="P490" s="10">
        <f>IF(ActiveDatabase=Standby,Secondary!P490,Primary!P490)</f>
        <v>0</v>
      </c>
      <c r="Q490" s="6">
        <f>IF(ActiveDatabase=Standby,Secondary!Q490,Primary!Q490)</f>
        <v>0</v>
      </c>
      <c r="R490" s="18">
        <f>IF(ActiveDatabase=Standby,Secondary!R490,Primary!R490)</f>
        <v>0</v>
      </c>
      <c r="S490" s="19">
        <f>IF(ActiveDatabase=Standby,Secondary!S490,Primary!S490)</f>
        <v>0</v>
      </c>
      <c r="T490" s="10">
        <f>IF(ActiveDatabase=Standby,Secondary!T490,Primary!T490)</f>
        <v>0</v>
      </c>
      <c r="U490" s="10">
        <f>IF(ActiveDatabase=Standby,Secondary!U490,Primary!U490)</f>
        <v>0</v>
      </c>
      <c r="V490" s="10">
        <f>IF(ActiveDatabase=Standby,Secondary!V490,Primary!V490)</f>
        <v>0</v>
      </c>
      <c r="W490" s="6">
        <f>IF(ActiveDatabase=Standby,Secondary!W490,Primary!W490)</f>
        <v>0</v>
      </c>
      <c r="X490" s="6">
        <f>IF(ActiveDatabase=Standby,Secondary!X490,Primary!X490)</f>
        <v>0</v>
      </c>
      <c r="Y490" s="12">
        <f>IF(ActiveDatabase=Standby,Secondary!Y490,Primary!Y490)</f>
        <v>0</v>
      </c>
      <c r="Z490" s="12">
        <f>IF(ActiveDatabase=Standby,Secondary!Z490,Primary!Z490)</f>
        <v>0</v>
      </c>
      <c r="AA490" s="7">
        <f>IF(ActiveDatabase=Standby,Secondary!AA490,Primary!AA490)</f>
        <v>0</v>
      </c>
      <c r="AB490" s="12"/>
      <c r="AC490" s="6"/>
      <c r="AD490" s="6"/>
      <c r="AE490" s="7"/>
      <c r="AF490" s="7"/>
      <c r="AG490" s="7"/>
      <c r="AH490" s="7"/>
      <c r="AI490" s="7"/>
      <c r="AJ490" s="7"/>
      <c r="AK490" s="7"/>
      <c r="AL490" s="7"/>
      <c r="AM490" s="7"/>
      <c r="AN490" s="7"/>
      <c r="AO490" s="6"/>
      <c r="AP490" s="7"/>
      <c r="AQ490" s="7"/>
      <c r="AR490" s="6"/>
      <c r="AS490" s="7"/>
      <c r="AT490" s="7"/>
      <c r="AU490" s="7"/>
      <c r="AV490" s="7"/>
      <c r="AW490" s="7"/>
      <c r="AX490" s="7"/>
      <c r="AY490" s="7"/>
      <c r="AZ490" s="7"/>
      <c r="BA490" s="7"/>
      <c r="BB490" s="7"/>
      <c r="BC490" s="7"/>
      <c r="BD490" s="7"/>
      <c r="BE490" s="7"/>
      <c r="BF490" s="7"/>
      <c r="BG490" s="7"/>
    </row>
    <row r="491" customHeight="1" spans="1:59">
      <c r="A491" s="9" t="str">
        <f>IF(ActiveDatabase=Standby,Secondary!A491,Primary!A491)</f>
        <v>Hurston 140</v>
      </c>
      <c r="B491" s="5" t="str">
        <f>IF(ActiveDatabase=Standby,Secondary!B491,Primary!B491)</f>
        <v>Hurston 158</v>
      </c>
      <c r="C491" s="5" t="str">
        <f>IF(ActiveDatabase=Standby,Secondary!C491,Primary!C491)</f>
        <v>Hurston 40</v>
      </c>
      <c r="D491" s="5" t="str">
        <f>IF(ActiveDatabase=Standby,Secondary!D491,Primary!D491)</f>
        <v>River BBM</v>
      </c>
      <c r="E491" s="6" t="str">
        <f>IF(ActiveDatabase=Standby,Secondary!E491,Primary!E491)</f>
        <v>River BBM</v>
      </c>
      <c r="F491" s="10">
        <f>IF(ActiveDatabase=Standby,Secondary!F491,Primary!F491)</f>
        <v>-5.16045343899</v>
      </c>
      <c r="G491" s="10">
        <f>IF(ActiveDatabase=Standby,Secondary!G491,Primary!G491)</f>
        <v>109.53625856982</v>
      </c>
      <c r="H491" s="10">
        <f>IF(ActiveDatabase=Standby,Secondary!H491,Primary!H491)</f>
        <v>-995.07984405911</v>
      </c>
      <c r="I491" s="13">
        <f>IF(ActiveDatabase=Standby,Secondary!I491,Primary!I491)</f>
        <v>0</v>
      </c>
      <c r="J491" s="13">
        <f>IF(ActiveDatabase=Standby,Secondary!J491,Primary!J491)</f>
        <v>0</v>
      </c>
      <c r="K491" s="13">
        <f>IF(ActiveDatabase=Standby,Secondary!K491,Primary!K491)</f>
        <v>0</v>
      </c>
      <c r="L491" s="13">
        <f>IF(ActiveDatabase=Standby,Secondary!L491,Primary!L491)</f>
        <v>0</v>
      </c>
      <c r="M491" s="7" t="b">
        <f>IF(ActiveDatabase=Standby,Secondary!M491,Primary!M491)</f>
        <v>0</v>
      </c>
      <c r="N491" s="10">
        <f>IF(ActiveDatabase=Standby,Secondary!N491,Primary!N491)</f>
        <v>0</v>
      </c>
      <c r="O491" s="10">
        <f>IF(ActiveDatabase=Standby,Secondary!O491,Primary!O491)</f>
        <v>0</v>
      </c>
      <c r="P491" s="10">
        <f>IF(ActiveDatabase=Standby,Secondary!P491,Primary!P491)</f>
        <v>0</v>
      </c>
      <c r="Q491" s="6">
        <f>IF(ActiveDatabase=Standby,Secondary!Q491,Primary!Q491)</f>
        <v>0</v>
      </c>
      <c r="R491" s="18">
        <f>IF(ActiveDatabase=Standby,Secondary!R491,Primary!R491)</f>
        <v>0</v>
      </c>
      <c r="S491" s="19">
        <f>IF(ActiveDatabase=Standby,Secondary!S491,Primary!S491)</f>
        <v>0</v>
      </c>
      <c r="T491" s="10">
        <f>IF(ActiveDatabase=Standby,Secondary!T491,Primary!T491)</f>
        <v>0</v>
      </c>
      <c r="U491" s="10">
        <f>IF(ActiveDatabase=Standby,Secondary!U491,Primary!U491)</f>
        <v>0</v>
      </c>
      <c r="V491" s="10">
        <f>IF(ActiveDatabase=Standby,Secondary!V491,Primary!V491)</f>
        <v>0</v>
      </c>
      <c r="W491" s="6">
        <f>IF(ActiveDatabase=Standby,Secondary!W491,Primary!W491)</f>
        <v>0</v>
      </c>
      <c r="X491" s="6">
        <f>IF(ActiveDatabase=Standby,Secondary!X491,Primary!X491)</f>
        <v>0</v>
      </c>
      <c r="Y491" s="12">
        <f>IF(ActiveDatabase=Standby,Secondary!Y491,Primary!Y491)</f>
        <v>0</v>
      </c>
      <c r="Z491" s="12">
        <f>IF(ActiveDatabase=Standby,Secondary!Z491,Primary!Z491)</f>
        <v>0</v>
      </c>
      <c r="AA491" s="7">
        <f>IF(ActiveDatabase=Standby,Secondary!AA491,Primary!AA491)</f>
        <v>0</v>
      </c>
      <c r="AB491" s="12"/>
      <c r="AC491" s="6"/>
      <c r="AD491" s="6"/>
      <c r="AE491" s="7"/>
      <c r="AF491" s="7"/>
      <c r="AG491" s="7"/>
      <c r="AH491" s="7"/>
      <c r="AI491" s="7"/>
      <c r="AJ491" s="7"/>
      <c r="AK491" s="7"/>
      <c r="AL491" s="7"/>
      <c r="AM491" s="7"/>
      <c r="AN491" s="7"/>
      <c r="AO491" s="6"/>
      <c r="AP491" s="7"/>
      <c r="AQ491" s="7"/>
      <c r="AR491" s="6"/>
      <c r="AS491" s="7"/>
      <c r="AT491" s="7"/>
      <c r="AU491" s="7"/>
      <c r="AV491" s="7"/>
      <c r="AW491" s="7"/>
      <c r="AX491" s="7"/>
      <c r="AY491" s="7"/>
      <c r="AZ491" s="7"/>
      <c r="BA491" s="7"/>
      <c r="BB491" s="7"/>
      <c r="BC491" s="7"/>
      <c r="BD491" s="7"/>
      <c r="BE491" s="7"/>
      <c r="BF491" s="7"/>
      <c r="BG491" s="7"/>
    </row>
    <row r="492" customHeight="1" spans="1:59">
      <c r="A492" s="9" t="str">
        <f>IF(ActiveDatabase=Standby,Secondary!A492,Primary!A492)</f>
        <v>Hurston 132</v>
      </c>
      <c r="B492" s="5" t="str">
        <f>IF(ActiveDatabase=Standby,Secondary!B492,Primary!B492)</f>
        <v>Hurston 150</v>
      </c>
      <c r="C492" s="5" t="str">
        <f>IF(ActiveDatabase=Standby,Secondary!C492,Primary!C492)</f>
        <v>Hurston 124</v>
      </c>
      <c r="D492" s="5" t="str">
        <f>IF(ActiveDatabase=Standby,Secondary!D492,Primary!D492)</f>
        <v>River 05T-X38</v>
      </c>
      <c r="E492" s="6" t="str">
        <f>IF(ActiveDatabase=Standby,Secondary!E492,Primary!E492)</f>
        <v>River 05TX38</v>
      </c>
      <c r="F492" s="10">
        <f>IF(ActiveDatabase=Standby,Secondary!F492,Primary!F492)</f>
        <v>-691.89278591302</v>
      </c>
      <c r="G492" s="10">
        <f>IF(ActiveDatabase=Standby,Secondary!G492,Primary!G492)</f>
        <v>-317.43024486443</v>
      </c>
      <c r="H492" s="10">
        <f>IF(ActiveDatabase=Standby,Secondary!H492,Primary!H492)</f>
        <v>651.23329915021</v>
      </c>
      <c r="I492" s="13">
        <f>IF(ActiveDatabase=Standby,Secondary!I492,Primary!I492)</f>
        <v>0</v>
      </c>
      <c r="J492" s="13">
        <f>IF(ActiveDatabase=Standby,Secondary!J492,Primary!J492)</f>
        <v>0</v>
      </c>
      <c r="K492" s="13">
        <f>IF(ActiveDatabase=Standby,Secondary!K492,Primary!K492)</f>
        <v>0</v>
      </c>
      <c r="L492" s="13">
        <f>IF(ActiveDatabase=Standby,Secondary!L492,Primary!L492)</f>
        <v>0</v>
      </c>
      <c r="M492" s="7" t="b">
        <f>IF(ActiveDatabase=Standby,Secondary!M492,Primary!M492)</f>
        <v>0</v>
      </c>
      <c r="N492" s="10">
        <f>IF(ActiveDatabase=Standby,Secondary!N492,Primary!N492)</f>
        <v>0</v>
      </c>
      <c r="O492" s="10">
        <f>IF(ActiveDatabase=Standby,Secondary!O492,Primary!O492)</f>
        <v>0</v>
      </c>
      <c r="P492" s="10">
        <f>IF(ActiveDatabase=Standby,Secondary!P492,Primary!P492)</f>
        <v>0</v>
      </c>
      <c r="Q492" s="6">
        <f>IF(ActiveDatabase=Standby,Secondary!Q492,Primary!Q492)</f>
        <v>0</v>
      </c>
      <c r="R492" s="18">
        <f>IF(ActiveDatabase=Standby,Secondary!R492,Primary!R492)</f>
        <v>0</v>
      </c>
      <c r="S492" s="19">
        <f>IF(ActiveDatabase=Standby,Secondary!S492,Primary!S492)</f>
        <v>0</v>
      </c>
      <c r="T492" s="10">
        <f>IF(ActiveDatabase=Standby,Secondary!T492,Primary!T492)</f>
        <v>0</v>
      </c>
      <c r="U492" s="10">
        <f>IF(ActiveDatabase=Standby,Secondary!U492,Primary!U492)</f>
        <v>0</v>
      </c>
      <c r="V492" s="10">
        <f>IF(ActiveDatabase=Standby,Secondary!V492,Primary!V492)</f>
        <v>0</v>
      </c>
      <c r="W492" s="6">
        <f>IF(ActiveDatabase=Standby,Secondary!W492,Primary!W492)</f>
        <v>0</v>
      </c>
      <c r="X492" s="6">
        <f>IF(ActiveDatabase=Standby,Secondary!X492,Primary!X492)</f>
        <v>0</v>
      </c>
      <c r="Y492" s="12">
        <f>IF(ActiveDatabase=Standby,Secondary!Y492,Primary!Y492)</f>
        <v>0</v>
      </c>
      <c r="Z492" s="12">
        <f>IF(ActiveDatabase=Standby,Secondary!Z492,Primary!Z492)</f>
        <v>0</v>
      </c>
      <c r="AA492" s="7">
        <f>IF(ActiveDatabase=Standby,Secondary!AA492,Primary!AA492)</f>
        <v>0</v>
      </c>
      <c r="AB492" s="12"/>
      <c r="AC492" s="6"/>
      <c r="AD492" s="6"/>
      <c r="AE492" s="7"/>
      <c r="AF492" s="7"/>
      <c r="AG492" s="7"/>
      <c r="AH492" s="7"/>
      <c r="AI492" s="7"/>
      <c r="AJ492" s="7"/>
      <c r="AK492" s="7"/>
      <c r="AL492" s="7"/>
      <c r="AM492" s="7"/>
      <c r="AN492" s="7"/>
      <c r="AO492" s="6"/>
      <c r="AP492" s="7"/>
      <c r="AQ492" s="7"/>
      <c r="AR492" s="6"/>
      <c r="AS492" s="7"/>
      <c r="AT492" s="7"/>
      <c r="AU492" s="7"/>
      <c r="AV492" s="7"/>
      <c r="AW492" s="7"/>
      <c r="AX492" s="7"/>
      <c r="AY492" s="7"/>
      <c r="AZ492" s="7"/>
      <c r="BA492" s="7"/>
      <c r="BB492" s="7"/>
      <c r="BC492" s="7"/>
      <c r="BD492" s="7"/>
      <c r="BE492" s="7"/>
      <c r="BF492" s="7"/>
      <c r="BG492" s="7"/>
    </row>
    <row r="493" customHeight="1" spans="1:59">
      <c r="A493" s="9" t="str">
        <f>IF(ActiveDatabase=Standby,Secondary!A493,Primary!A493)</f>
        <v>Hurston 130</v>
      </c>
      <c r="B493" s="5" t="str">
        <f>IF(ActiveDatabase=Standby,Secondary!B493,Primary!B493)</f>
        <v>Hurston 148</v>
      </c>
      <c r="C493" s="5" t="str">
        <f>IF(ActiveDatabase=Standby,Secondary!C493,Primary!C493)</f>
        <v>Hurston 126</v>
      </c>
      <c r="D493" s="5" t="str">
        <f>IF(ActiveDatabase=Standby,Secondary!D493,Primary!D493)</f>
        <v>River 05T-X12</v>
      </c>
      <c r="E493" s="6" t="str">
        <f>IF(ActiveDatabase=Standby,Secondary!E493,Primary!E493)</f>
        <v>River 05TX12</v>
      </c>
      <c r="F493" s="10">
        <f>IF(ActiveDatabase=Standby,Secondary!F493,Primary!F493)</f>
        <v>-690.41717867546</v>
      </c>
      <c r="G493" s="10">
        <f>IF(ActiveDatabase=Standby,Secondary!G493,Primary!G493)</f>
        <v>-309.05756747468</v>
      </c>
      <c r="H493" s="10">
        <f>IF(ActiveDatabase=Standby,Secondary!H493,Primary!H493)</f>
        <v>656.78379003294</v>
      </c>
      <c r="I493" s="13">
        <f>IF(ActiveDatabase=Standby,Secondary!I493,Primary!I493)</f>
        <v>0</v>
      </c>
      <c r="J493" s="13">
        <f>IF(ActiveDatabase=Standby,Secondary!J493,Primary!J493)</f>
        <v>0</v>
      </c>
      <c r="K493" s="13">
        <f>IF(ActiveDatabase=Standby,Secondary!K493,Primary!K493)</f>
        <v>0</v>
      </c>
      <c r="L493" s="13">
        <f>IF(ActiveDatabase=Standby,Secondary!L493,Primary!L493)</f>
        <v>0</v>
      </c>
      <c r="M493" s="7" t="b">
        <f>IF(ActiveDatabase=Standby,Secondary!M493,Primary!M493)</f>
        <v>0</v>
      </c>
      <c r="N493" s="10">
        <f>IF(ActiveDatabase=Standby,Secondary!N493,Primary!N493)</f>
        <v>0</v>
      </c>
      <c r="O493" s="10">
        <f>IF(ActiveDatabase=Standby,Secondary!O493,Primary!O493)</f>
        <v>0</v>
      </c>
      <c r="P493" s="10">
        <f>IF(ActiveDatabase=Standby,Secondary!P493,Primary!P493)</f>
        <v>0</v>
      </c>
      <c r="Q493" s="6">
        <f>IF(ActiveDatabase=Standby,Secondary!Q493,Primary!Q493)</f>
        <v>0</v>
      </c>
      <c r="R493" s="18">
        <f>IF(ActiveDatabase=Standby,Secondary!R493,Primary!R493)</f>
        <v>0</v>
      </c>
      <c r="S493" s="19">
        <f>IF(ActiveDatabase=Standby,Secondary!S493,Primary!S493)</f>
        <v>0</v>
      </c>
      <c r="T493" s="10">
        <f>IF(ActiveDatabase=Standby,Secondary!T493,Primary!T493)</f>
        <v>0</v>
      </c>
      <c r="U493" s="10">
        <f>IF(ActiveDatabase=Standby,Secondary!U493,Primary!U493)</f>
        <v>0</v>
      </c>
      <c r="V493" s="10">
        <f>IF(ActiveDatabase=Standby,Secondary!V493,Primary!V493)</f>
        <v>0</v>
      </c>
      <c r="W493" s="6">
        <f>IF(ActiveDatabase=Standby,Secondary!W493,Primary!W493)</f>
        <v>0</v>
      </c>
      <c r="X493" s="6">
        <f>IF(ActiveDatabase=Standby,Secondary!X493,Primary!X493)</f>
        <v>0</v>
      </c>
      <c r="Y493" s="12">
        <f>IF(ActiveDatabase=Standby,Secondary!Y493,Primary!Y493)</f>
        <v>0</v>
      </c>
      <c r="Z493" s="12">
        <f>IF(ActiveDatabase=Standby,Secondary!Z493,Primary!Z493)</f>
        <v>0</v>
      </c>
      <c r="AA493" s="7">
        <f>IF(ActiveDatabase=Standby,Secondary!AA493,Primary!AA493)</f>
        <v>0</v>
      </c>
      <c r="AB493" s="12"/>
      <c r="AC493" s="6"/>
      <c r="AD493" s="6"/>
      <c r="AE493" s="7"/>
      <c r="AF493" s="7"/>
      <c r="AG493" s="7"/>
      <c r="AH493" s="7"/>
      <c r="AI493" s="7"/>
      <c r="AJ493" s="7"/>
      <c r="AK493" s="7"/>
      <c r="AL493" s="7"/>
      <c r="AM493" s="7"/>
      <c r="AN493" s="7"/>
      <c r="AO493" s="6"/>
      <c r="AP493" s="7"/>
      <c r="AQ493" s="7"/>
      <c r="AR493" s="6"/>
      <c r="AS493" s="7"/>
      <c r="AT493" s="7"/>
      <c r="AU493" s="7"/>
      <c r="AV493" s="7"/>
      <c r="AW493" s="7"/>
      <c r="AX493" s="7"/>
      <c r="AY493" s="7"/>
      <c r="AZ493" s="7"/>
      <c r="BA493" s="7"/>
      <c r="BB493" s="7"/>
      <c r="BC493" s="7"/>
      <c r="BD493" s="7"/>
      <c r="BE493" s="7"/>
      <c r="BF493" s="7"/>
      <c r="BG493" s="7"/>
    </row>
    <row r="494" customHeight="1" spans="1:59">
      <c r="A494" s="9" t="str">
        <f>IF(ActiveDatabase=Standby,Secondary!A494,Primary!A494)</f>
        <v>Hurston 129</v>
      </c>
      <c r="B494" s="5" t="str">
        <f>IF(ActiveDatabase=Standby,Secondary!B494,Primary!B494)</f>
        <v>Hurston 147</v>
      </c>
      <c r="C494" s="5" t="str">
        <f>IF(ActiveDatabase=Standby,Secondary!C494,Primary!C494)</f>
        <v>Hurston 121</v>
      </c>
      <c r="D494" s="5" t="str">
        <f>IF(ActiveDatabase=Standby,Secondary!D494,Primary!D494)</f>
        <v>River 05D</v>
      </c>
      <c r="E494" s="6" t="str">
        <f>IF(ActiveDatabase=Standby,Secondary!E494,Primary!E494)</f>
        <v>River 05D</v>
      </c>
      <c r="F494" s="10">
        <f>IF(ActiveDatabase=Standby,Secondary!F494,Primary!F494)</f>
        <v>-348.26626342389</v>
      </c>
      <c r="G494" s="10">
        <f>IF(ActiveDatabase=Standby,Secondary!G494,Primary!G494)</f>
        <v>-192.23136411692</v>
      </c>
      <c r="H494" s="10">
        <f>IF(ActiveDatabase=Standby,Secondary!H494,Primary!H494)</f>
        <v>-919.82639126899</v>
      </c>
      <c r="I494" s="13">
        <f>IF(ActiveDatabase=Standby,Secondary!I494,Primary!I494)</f>
        <v>0</v>
      </c>
      <c r="J494" s="13">
        <f>IF(ActiveDatabase=Standby,Secondary!J494,Primary!J494)</f>
        <v>0</v>
      </c>
      <c r="K494" s="13">
        <f>IF(ActiveDatabase=Standby,Secondary!K494,Primary!K494)</f>
        <v>0</v>
      </c>
      <c r="L494" s="13">
        <f>IF(ActiveDatabase=Standby,Secondary!L494,Primary!L494)</f>
        <v>0</v>
      </c>
      <c r="M494" s="7" t="b">
        <f>IF(ActiveDatabase=Standby,Secondary!M494,Primary!M494)</f>
        <v>0</v>
      </c>
      <c r="N494" s="10">
        <f>IF(ActiveDatabase=Standby,Secondary!N494,Primary!N494)</f>
        <v>0</v>
      </c>
      <c r="O494" s="10">
        <f>IF(ActiveDatabase=Standby,Secondary!O494,Primary!O494)</f>
        <v>0</v>
      </c>
      <c r="P494" s="10">
        <f>IF(ActiveDatabase=Standby,Secondary!P494,Primary!P494)</f>
        <v>0</v>
      </c>
      <c r="Q494" s="6">
        <f>IF(ActiveDatabase=Standby,Secondary!Q494,Primary!Q494)</f>
        <v>0</v>
      </c>
      <c r="R494" s="18">
        <f>IF(ActiveDatabase=Standby,Secondary!R494,Primary!R494)</f>
        <v>0</v>
      </c>
      <c r="S494" s="19">
        <f>IF(ActiveDatabase=Standby,Secondary!S494,Primary!S494)</f>
        <v>0</v>
      </c>
      <c r="T494" s="10">
        <f>IF(ActiveDatabase=Standby,Secondary!T494,Primary!T494)</f>
        <v>0</v>
      </c>
      <c r="U494" s="10">
        <f>IF(ActiveDatabase=Standby,Secondary!U494,Primary!U494)</f>
        <v>0</v>
      </c>
      <c r="V494" s="10">
        <f>IF(ActiveDatabase=Standby,Secondary!V494,Primary!V494)</f>
        <v>0</v>
      </c>
      <c r="W494" s="6">
        <f>IF(ActiveDatabase=Standby,Secondary!W494,Primary!W494)</f>
        <v>0</v>
      </c>
      <c r="X494" s="6">
        <f>IF(ActiveDatabase=Standby,Secondary!X494,Primary!X494)</f>
        <v>0</v>
      </c>
      <c r="Y494" s="12">
        <f>IF(ActiveDatabase=Standby,Secondary!Y494,Primary!Y494)</f>
        <v>0</v>
      </c>
      <c r="Z494" s="12">
        <f>IF(ActiveDatabase=Standby,Secondary!Z494,Primary!Z494)</f>
        <v>0</v>
      </c>
      <c r="AA494" s="7">
        <f>IF(ActiveDatabase=Standby,Secondary!AA494,Primary!AA494)</f>
        <v>0</v>
      </c>
      <c r="AB494" s="12"/>
      <c r="AC494" s="6"/>
      <c r="AD494" s="6"/>
      <c r="AE494" s="7"/>
      <c r="AF494" s="7"/>
      <c r="AG494" s="7"/>
      <c r="AH494" s="7"/>
      <c r="AI494" s="7"/>
      <c r="AJ494" s="7"/>
      <c r="AK494" s="7"/>
      <c r="AL494" s="7"/>
      <c r="AM494" s="7"/>
      <c r="AN494" s="7"/>
      <c r="AO494" s="6"/>
      <c r="AP494" s="7"/>
      <c r="AQ494" s="7"/>
      <c r="AR494" s="6"/>
      <c r="AS494" s="7"/>
      <c r="AT494" s="7"/>
      <c r="AU494" s="7"/>
      <c r="AV494" s="7"/>
      <c r="AW494" s="7"/>
      <c r="AX494" s="7"/>
      <c r="AY494" s="7"/>
      <c r="AZ494" s="7"/>
      <c r="BA494" s="7"/>
      <c r="BB494" s="7"/>
      <c r="BC494" s="7"/>
      <c r="BD494" s="7"/>
      <c r="BE494" s="7"/>
      <c r="BF494" s="7"/>
      <c r="BG494" s="7"/>
    </row>
    <row r="495" customHeight="1" spans="1:59">
      <c r="A495" s="9" t="str">
        <f>IF(ActiveDatabase=Standby,Secondary!A495,Primary!A495)</f>
        <v>Hurston 134</v>
      </c>
      <c r="B495" s="5" t="str">
        <f>IF(ActiveDatabase=Standby,Secondary!B495,Primary!B495)</f>
        <v>Hurston 152</v>
      </c>
      <c r="C495" s="5" t="str">
        <f>IF(ActiveDatabase=Standby,Secondary!C495,Primary!C495)</f>
        <v>Hurston 118</v>
      </c>
      <c r="D495" s="5" t="str">
        <f>IF(ActiveDatabase=Standby,Secondary!D495,Primary!D495)</f>
        <v>River 06D-064</v>
      </c>
      <c r="E495" s="6" t="str">
        <f>IF(ActiveDatabase=Standby,Secondary!E495,Primary!E495)</f>
        <v>River 06D064</v>
      </c>
      <c r="F495" s="10">
        <f>IF(ActiveDatabase=Standby,Secondary!F495,Primary!F495)</f>
        <v>-299.12194214148</v>
      </c>
      <c r="G495" s="10">
        <f>IF(ActiveDatabase=Standby,Secondary!G495,Primary!G495)</f>
        <v>-185.31368634153</v>
      </c>
      <c r="H495" s="10">
        <f>IF(ActiveDatabase=Standby,Secondary!H495,Primary!H495)</f>
        <v>-938.22955846523</v>
      </c>
      <c r="I495" s="13">
        <f>IF(ActiveDatabase=Standby,Secondary!I495,Primary!I495)</f>
        <v>0</v>
      </c>
      <c r="J495" s="13">
        <f>IF(ActiveDatabase=Standby,Secondary!J495,Primary!J495)</f>
        <v>0</v>
      </c>
      <c r="K495" s="13">
        <f>IF(ActiveDatabase=Standby,Secondary!K495,Primary!K495)</f>
        <v>0</v>
      </c>
      <c r="L495" s="13">
        <f>IF(ActiveDatabase=Standby,Secondary!L495,Primary!L495)</f>
        <v>0</v>
      </c>
      <c r="M495" s="7" t="b">
        <f>IF(ActiveDatabase=Standby,Secondary!M495,Primary!M495)</f>
        <v>0</v>
      </c>
      <c r="N495" s="10">
        <f>IF(ActiveDatabase=Standby,Secondary!N495,Primary!N495)</f>
        <v>0</v>
      </c>
      <c r="O495" s="10">
        <f>IF(ActiveDatabase=Standby,Secondary!O495,Primary!O495)</f>
        <v>0</v>
      </c>
      <c r="P495" s="10">
        <f>IF(ActiveDatabase=Standby,Secondary!P495,Primary!P495)</f>
        <v>0</v>
      </c>
      <c r="Q495" s="6">
        <f>IF(ActiveDatabase=Standby,Secondary!Q495,Primary!Q495)</f>
        <v>0</v>
      </c>
      <c r="R495" s="18">
        <f>IF(ActiveDatabase=Standby,Secondary!R495,Primary!R495)</f>
        <v>0</v>
      </c>
      <c r="S495" s="19">
        <f>IF(ActiveDatabase=Standby,Secondary!S495,Primary!S495)</f>
        <v>0</v>
      </c>
      <c r="T495" s="10">
        <f>IF(ActiveDatabase=Standby,Secondary!T495,Primary!T495)</f>
        <v>0</v>
      </c>
      <c r="U495" s="10">
        <f>IF(ActiveDatabase=Standby,Secondary!U495,Primary!U495)</f>
        <v>0</v>
      </c>
      <c r="V495" s="10">
        <f>IF(ActiveDatabase=Standby,Secondary!V495,Primary!V495)</f>
        <v>0</v>
      </c>
      <c r="W495" s="6">
        <f>IF(ActiveDatabase=Standby,Secondary!W495,Primary!W495)</f>
        <v>0</v>
      </c>
      <c r="X495" s="6">
        <f>IF(ActiveDatabase=Standby,Secondary!X495,Primary!X495)</f>
        <v>0</v>
      </c>
      <c r="Y495" s="12">
        <f>IF(ActiveDatabase=Standby,Secondary!Y495,Primary!Y495)</f>
        <v>0</v>
      </c>
      <c r="Z495" s="12">
        <f>IF(ActiveDatabase=Standby,Secondary!Z495,Primary!Z495)</f>
        <v>0</v>
      </c>
      <c r="AA495" s="7">
        <f>IF(ActiveDatabase=Standby,Secondary!AA495,Primary!AA495)</f>
        <v>0</v>
      </c>
      <c r="AB495" s="12"/>
      <c r="AC495" s="6"/>
      <c r="AD495" s="6"/>
      <c r="AE495" s="7"/>
      <c r="AF495" s="7"/>
      <c r="AG495" s="7"/>
      <c r="AH495" s="7"/>
      <c r="AI495" s="7"/>
      <c r="AJ495" s="7"/>
      <c r="AK495" s="7"/>
      <c r="AL495" s="7"/>
      <c r="AM495" s="7"/>
      <c r="AN495" s="7"/>
      <c r="AO495" s="6"/>
      <c r="AP495" s="7"/>
      <c r="AQ495" s="7"/>
      <c r="AR495" s="6"/>
      <c r="AS495" s="7"/>
      <c r="AT495" s="7"/>
      <c r="AU495" s="7"/>
      <c r="AV495" s="7"/>
      <c r="AW495" s="7"/>
      <c r="AX495" s="7"/>
      <c r="AY495" s="7"/>
      <c r="AZ495" s="7"/>
      <c r="BA495" s="7"/>
      <c r="BB495" s="7"/>
      <c r="BC495" s="7"/>
      <c r="BD495" s="7"/>
      <c r="BE495" s="7"/>
      <c r="BF495" s="7"/>
      <c r="BG495" s="7"/>
    </row>
    <row r="496" customHeight="1" spans="1:59">
      <c r="A496" s="9" t="str">
        <f>IF(ActiveDatabase=Standby,Secondary!A496,Primary!A496)</f>
        <v>Hurston 138</v>
      </c>
      <c r="B496" s="5" t="str">
        <f>IF(ActiveDatabase=Standby,Secondary!B496,Primary!B496)</f>
        <v>Hurston 156</v>
      </c>
      <c r="C496" s="5" t="str">
        <f>IF(ActiveDatabase=Standby,Secondary!C496,Primary!C496)</f>
        <v>Hurston 07</v>
      </c>
      <c r="D496" s="5" t="str">
        <f>IF(ActiveDatabase=Standby,Secondary!D496,Primary!D496)</f>
        <v>River 57D-680</v>
      </c>
      <c r="E496" s="6" t="str">
        <f>IF(ActiveDatabase=Standby,Secondary!E496,Primary!E496)</f>
        <v>River 57D680</v>
      </c>
      <c r="F496" s="10">
        <f>IF(ActiveDatabase=Standby,Secondary!F496,Primary!F496)</f>
        <v>-343.94534272749</v>
      </c>
      <c r="G496" s="10">
        <f>IF(ActiveDatabase=Standby,Secondary!G496,Primary!G496)</f>
        <v>127.72060999936</v>
      </c>
      <c r="H496" s="10">
        <f>IF(ActiveDatabase=Standby,Secondary!H496,Primary!H496)</f>
        <v>-931.20093209457</v>
      </c>
      <c r="I496" s="13">
        <f>IF(ActiveDatabase=Standby,Secondary!I496,Primary!I496)</f>
        <v>0</v>
      </c>
      <c r="J496" s="13">
        <f>IF(ActiveDatabase=Standby,Secondary!J496,Primary!J496)</f>
        <v>0</v>
      </c>
      <c r="K496" s="13">
        <f>IF(ActiveDatabase=Standby,Secondary!K496,Primary!K496)</f>
        <v>0</v>
      </c>
      <c r="L496" s="13">
        <f>IF(ActiveDatabase=Standby,Secondary!L496,Primary!L496)</f>
        <v>0</v>
      </c>
      <c r="M496" s="7" t="b">
        <f>IF(ActiveDatabase=Standby,Secondary!M496,Primary!M496)</f>
        <v>0</v>
      </c>
      <c r="N496" s="10">
        <f>IF(ActiveDatabase=Standby,Secondary!N496,Primary!N496)</f>
        <v>0</v>
      </c>
      <c r="O496" s="10">
        <f>IF(ActiveDatabase=Standby,Secondary!O496,Primary!O496)</f>
        <v>0</v>
      </c>
      <c r="P496" s="10">
        <f>IF(ActiveDatabase=Standby,Secondary!P496,Primary!P496)</f>
        <v>0</v>
      </c>
      <c r="Q496" s="6">
        <f>IF(ActiveDatabase=Standby,Secondary!Q496,Primary!Q496)</f>
        <v>0</v>
      </c>
      <c r="R496" s="18">
        <f>IF(ActiveDatabase=Standby,Secondary!R496,Primary!R496)</f>
        <v>0</v>
      </c>
      <c r="S496" s="19">
        <f>IF(ActiveDatabase=Standby,Secondary!S496,Primary!S496)</f>
        <v>0</v>
      </c>
      <c r="T496" s="10">
        <f>IF(ActiveDatabase=Standby,Secondary!T496,Primary!T496)</f>
        <v>0</v>
      </c>
      <c r="U496" s="10">
        <f>IF(ActiveDatabase=Standby,Secondary!U496,Primary!U496)</f>
        <v>0</v>
      </c>
      <c r="V496" s="10">
        <f>IF(ActiveDatabase=Standby,Secondary!V496,Primary!V496)</f>
        <v>0</v>
      </c>
      <c r="W496" s="6">
        <f>IF(ActiveDatabase=Standby,Secondary!W496,Primary!W496)</f>
        <v>0</v>
      </c>
      <c r="X496" s="6">
        <f>IF(ActiveDatabase=Standby,Secondary!X496,Primary!X496)</f>
        <v>0</v>
      </c>
      <c r="Y496" s="12">
        <f>IF(ActiveDatabase=Standby,Secondary!Y496,Primary!Y496)</f>
        <v>0</v>
      </c>
      <c r="Z496" s="12">
        <f>IF(ActiveDatabase=Standby,Secondary!Z496,Primary!Z496)</f>
        <v>0</v>
      </c>
      <c r="AA496" s="7">
        <f>IF(ActiveDatabase=Standby,Secondary!AA496,Primary!AA496)</f>
        <v>0</v>
      </c>
      <c r="AB496" s="12"/>
      <c r="AC496" s="6"/>
      <c r="AD496" s="6"/>
      <c r="AE496" s="7"/>
      <c r="AF496" s="7"/>
      <c r="AG496" s="7"/>
      <c r="AH496" s="7"/>
      <c r="AI496" s="7"/>
      <c r="AJ496" s="7"/>
      <c r="AK496" s="7"/>
      <c r="AL496" s="7"/>
      <c r="AM496" s="7"/>
      <c r="AN496" s="7"/>
      <c r="AO496" s="6"/>
      <c r="AP496" s="7"/>
      <c r="AQ496" s="7"/>
      <c r="AR496" s="6"/>
      <c r="AS496" s="7"/>
      <c r="AT496" s="7"/>
      <c r="AU496" s="7"/>
      <c r="AV496" s="7"/>
      <c r="AW496" s="7"/>
      <c r="AX496" s="7"/>
      <c r="AY496" s="7"/>
      <c r="AZ496" s="7"/>
      <c r="BA496" s="7"/>
      <c r="BB496" s="7"/>
      <c r="BC496" s="7"/>
      <c r="BD496" s="7"/>
      <c r="BE496" s="7"/>
      <c r="BF496" s="7"/>
      <c r="BG496" s="7"/>
    </row>
    <row r="497" customHeight="1" spans="1:59">
      <c r="A497" s="9" t="str">
        <f>IF(ActiveDatabase=Standby,Secondary!A497,Primary!A497)</f>
        <v>Hurston 123</v>
      </c>
      <c r="B497" s="5" t="str">
        <f>IF(ActiveDatabase=Standby,Secondary!B497,Primary!B497)</f>
        <v>Hurston 141</v>
      </c>
      <c r="C497" s="5" t="str">
        <f>IF(ActiveDatabase=Standby,Secondary!C497,Primary!C497)</f>
        <v>Hurston 142</v>
      </c>
      <c r="D497" s="5" t="str">
        <f>IF(ActiveDatabase=Standby,Secondary!D497,Primary!D497)</f>
        <v>River 01T</v>
      </c>
      <c r="E497" s="6" t="str">
        <f>IF(ActiveDatabase=Standby,Secondary!E497,Primary!E497)</f>
        <v>River 01T</v>
      </c>
      <c r="F497" s="10">
        <f>IF(ActiveDatabase=Standby,Secondary!F497,Primary!F497)</f>
        <v>-687.51928250028</v>
      </c>
      <c r="G497" s="10">
        <f>IF(ActiveDatabase=Standby,Secondary!G497,Primary!G497)</f>
        <v>-71.67352933962</v>
      </c>
      <c r="H497" s="10">
        <f>IF(ActiveDatabase=Standby,Secondary!H497,Primary!H497)</f>
        <v>725.63312271877</v>
      </c>
      <c r="I497" s="13">
        <f>IF(ActiveDatabase=Standby,Secondary!I497,Primary!I497)</f>
        <v>0</v>
      </c>
      <c r="J497" s="13">
        <f>IF(ActiveDatabase=Standby,Secondary!J497,Primary!J497)</f>
        <v>0</v>
      </c>
      <c r="K497" s="13">
        <f>IF(ActiveDatabase=Standby,Secondary!K497,Primary!K497)</f>
        <v>0</v>
      </c>
      <c r="L497" s="13">
        <f>IF(ActiveDatabase=Standby,Secondary!L497,Primary!L497)</f>
        <v>0</v>
      </c>
      <c r="M497" s="7" t="b">
        <f>IF(ActiveDatabase=Standby,Secondary!M497,Primary!M497)</f>
        <v>0</v>
      </c>
      <c r="N497" s="10">
        <f>IF(ActiveDatabase=Standby,Secondary!N497,Primary!N497)</f>
        <v>0</v>
      </c>
      <c r="O497" s="10">
        <f>IF(ActiveDatabase=Standby,Secondary!O497,Primary!O497)</f>
        <v>0</v>
      </c>
      <c r="P497" s="10">
        <f>IF(ActiveDatabase=Standby,Secondary!P497,Primary!P497)</f>
        <v>0</v>
      </c>
      <c r="Q497" s="6">
        <f>IF(ActiveDatabase=Standby,Secondary!Q497,Primary!Q497)</f>
        <v>0</v>
      </c>
      <c r="R497" s="18">
        <f>IF(ActiveDatabase=Standby,Secondary!R497,Primary!R497)</f>
        <v>0</v>
      </c>
      <c r="S497" s="19">
        <f>IF(ActiveDatabase=Standby,Secondary!S497,Primary!S497)</f>
        <v>0</v>
      </c>
      <c r="T497" s="10">
        <f>IF(ActiveDatabase=Standby,Secondary!T497,Primary!T497)</f>
        <v>0</v>
      </c>
      <c r="U497" s="10">
        <f>IF(ActiveDatabase=Standby,Secondary!U497,Primary!U497)</f>
        <v>0</v>
      </c>
      <c r="V497" s="10">
        <f>IF(ActiveDatabase=Standby,Secondary!V497,Primary!V497)</f>
        <v>0</v>
      </c>
      <c r="W497" s="6">
        <f>IF(ActiveDatabase=Standby,Secondary!W497,Primary!W497)</f>
        <v>0</v>
      </c>
      <c r="X497" s="6">
        <f>IF(ActiveDatabase=Standby,Secondary!X497,Primary!X497)</f>
        <v>0</v>
      </c>
      <c r="Y497" s="12">
        <f>IF(ActiveDatabase=Standby,Secondary!Y497,Primary!Y497)</f>
        <v>0</v>
      </c>
      <c r="Z497" s="12">
        <f>IF(ActiveDatabase=Standby,Secondary!Z497,Primary!Z497)</f>
        <v>0</v>
      </c>
      <c r="AA497" s="7">
        <f>IF(ActiveDatabase=Standby,Secondary!AA497,Primary!AA497)</f>
        <v>0</v>
      </c>
      <c r="AB497" s="12"/>
      <c r="AC497" s="6"/>
      <c r="AD497" s="6"/>
      <c r="AE497" s="7"/>
      <c r="AF497" s="7"/>
      <c r="AG497" s="7"/>
      <c r="AH497" s="7"/>
      <c r="AI497" s="7"/>
      <c r="AJ497" s="7"/>
      <c r="AK497" s="7"/>
      <c r="AL497" s="7"/>
      <c r="AM497" s="7"/>
      <c r="AN497" s="7"/>
      <c r="AO497" s="6"/>
      <c r="AP497" s="7"/>
      <c r="AQ497" s="7"/>
      <c r="AR497" s="6"/>
      <c r="AS497" s="7"/>
      <c r="AT497" s="7"/>
      <c r="AU497" s="7"/>
      <c r="AV497" s="7"/>
      <c r="AW497" s="7"/>
      <c r="AX497" s="7"/>
      <c r="AY497" s="7"/>
      <c r="AZ497" s="7"/>
      <c r="BA497" s="7"/>
      <c r="BB497" s="7"/>
      <c r="BC497" s="7"/>
      <c r="BD497" s="7"/>
      <c r="BE497" s="7"/>
      <c r="BF497" s="7"/>
      <c r="BG497" s="7"/>
    </row>
    <row r="498" customHeight="1" spans="1:59">
      <c r="A498" s="9" t="str">
        <f>IF(ActiveDatabase=Standby,Secondary!A498,Primary!A498)</f>
        <v>Hurston 127</v>
      </c>
      <c r="B498" s="5" t="str">
        <f>IF(ActiveDatabase=Standby,Secondary!B498,Primary!B498)</f>
        <v>Hurston 145</v>
      </c>
      <c r="C498" s="5" t="str">
        <f>IF(ActiveDatabase=Standby,Secondary!C498,Primary!C498)</f>
        <v>Hurston 130</v>
      </c>
      <c r="D498" s="5" t="str">
        <f>IF(ActiveDatabase=Standby,Secondary!D498,Primary!D498)</f>
        <v>River 04S-047</v>
      </c>
      <c r="E498" s="6" t="str">
        <f>IF(ActiveDatabase=Standby,Secondary!E498,Primary!E498)</f>
        <v>River 04S047</v>
      </c>
      <c r="F498" s="10">
        <f>IF(ActiveDatabase=Standby,Secondary!F498,Primary!F498)</f>
        <v>-722.53990148704</v>
      </c>
      <c r="G498" s="10">
        <f>IF(ActiveDatabase=Standby,Secondary!G498,Primary!G498)</f>
        <v>-314.01957170128</v>
      </c>
      <c r="H498" s="10">
        <f>IF(ActiveDatabase=Standby,Secondary!H498,Primary!H498)</f>
        <v>619.75417366004</v>
      </c>
      <c r="I498" s="13">
        <f>IF(ActiveDatabase=Standby,Secondary!I498,Primary!I498)</f>
        <v>0</v>
      </c>
      <c r="J498" s="13">
        <f>IF(ActiveDatabase=Standby,Secondary!J498,Primary!J498)</f>
        <v>0</v>
      </c>
      <c r="K498" s="13">
        <f>IF(ActiveDatabase=Standby,Secondary!K498,Primary!K498)</f>
        <v>0</v>
      </c>
      <c r="L498" s="13">
        <f>IF(ActiveDatabase=Standby,Secondary!L498,Primary!L498)</f>
        <v>0</v>
      </c>
      <c r="M498" s="7" t="b">
        <f>IF(ActiveDatabase=Standby,Secondary!M498,Primary!M498)</f>
        <v>0</v>
      </c>
      <c r="N498" s="10">
        <f>IF(ActiveDatabase=Standby,Secondary!N498,Primary!N498)</f>
        <v>0</v>
      </c>
      <c r="O498" s="10">
        <f>IF(ActiveDatabase=Standby,Secondary!O498,Primary!O498)</f>
        <v>0</v>
      </c>
      <c r="P498" s="10">
        <f>IF(ActiveDatabase=Standby,Secondary!P498,Primary!P498)</f>
        <v>0</v>
      </c>
      <c r="Q498" s="6">
        <f>IF(ActiveDatabase=Standby,Secondary!Q498,Primary!Q498)</f>
        <v>0</v>
      </c>
      <c r="R498" s="18">
        <f>IF(ActiveDatabase=Standby,Secondary!R498,Primary!R498)</f>
        <v>0</v>
      </c>
      <c r="S498" s="19">
        <f>IF(ActiveDatabase=Standby,Secondary!S498,Primary!S498)</f>
        <v>0</v>
      </c>
      <c r="T498" s="10">
        <f>IF(ActiveDatabase=Standby,Secondary!T498,Primary!T498)</f>
        <v>0</v>
      </c>
      <c r="U498" s="10">
        <f>IF(ActiveDatabase=Standby,Secondary!U498,Primary!U498)</f>
        <v>0</v>
      </c>
      <c r="V498" s="10">
        <f>IF(ActiveDatabase=Standby,Secondary!V498,Primary!V498)</f>
        <v>0</v>
      </c>
      <c r="W498" s="6">
        <f>IF(ActiveDatabase=Standby,Secondary!W498,Primary!W498)</f>
        <v>0</v>
      </c>
      <c r="X498" s="6">
        <f>IF(ActiveDatabase=Standby,Secondary!X498,Primary!X498)</f>
        <v>0</v>
      </c>
      <c r="Y498" s="12">
        <f>IF(ActiveDatabase=Standby,Secondary!Y498,Primary!Y498)</f>
        <v>0</v>
      </c>
      <c r="Z498" s="12">
        <f>IF(ActiveDatabase=Standby,Secondary!Z498,Primary!Z498)</f>
        <v>0</v>
      </c>
      <c r="AA498" s="7">
        <f>IF(ActiveDatabase=Standby,Secondary!AA498,Primary!AA498)</f>
        <v>0</v>
      </c>
      <c r="AB498" s="12"/>
      <c r="AC498" s="6"/>
      <c r="AD498" s="6"/>
      <c r="AE498" s="7"/>
      <c r="AF498" s="7"/>
      <c r="AG498" s="7"/>
      <c r="AH498" s="7"/>
      <c r="AI498" s="7"/>
      <c r="AJ498" s="7"/>
      <c r="AK498" s="7"/>
      <c r="AL498" s="7"/>
      <c r="AM498" s="7"/>
      <c r="AN498" s="7"/>
      <c r="AO498" s="6"/>
      <c r="AP498" s="7"/>
      <c r="AQ498" s="7"/>
      <c r="AR498" s="6"/>
      <c r="AS498" s="7"/>
      <c r="AT498" s="7"/>
      <c r="AU498" s="7"/>
      <c r="AV498" s="7"/>
      <c r="AW498" s="7"/>
      <c r="AX498" s="7"/>
      <c r="AY498" s="7"/>
      <c r="AZ498" s="7"/>
      <c r="BA498" s="7"/>
      <c r="BB498" s="7"/>
      <c r="BC498" s="7"/>
      <c r="BD498" s="7"/>
      <c r="BE498" s="7"/>
      <c r="BF498" s="7"/>
      <c r="BG498" s="7"/>
    </row>
    <row r="499" customHeight="1" spans="1:59">
      <c r="A499" s="9" t="str">
        <f>IF(ActiveDatabase=Standby,Secondary!A499,Primary!A499)</f>
        <v>Hurston 136</v>
      </c>
      <c r="B499" s="5" t="str">
        <f>IF(ActiveDatabase=Standby,Secondary!B499,Primary!B499)</f>
        <v>Hurston 154</v>
      </c>
      <c r="C499" s="5" t="str">
        <f>IF(ActiveDatabase=Standby,Secondary!C499,Primary!C499)</f>
        <v>Hurston 14</v>
      </c>
      <c r="D499" s="5" t="str">
        <f>IF(ActiveDatabase=Standby,Secondary!D499,Primary!D499)</f>
        <v>River 56D</v>
      </c>
      <c r="E499" s="6" t="str">
        <f>IF(ActiveDatabase=Standby,Secondary!E499,Primary!E499)</f>
        <v>River 56D</v>
      </c>
      <c r="F499" s="10">
        <f>IF(ActiveDatabase=Standby,Secondary!F499,Primary!F499)</f>
        <v>-303.93518536825</v>
      </c>
      <c r="G499" s="10">
        <f>IF(ActiveDatabase=Standby,Secondary!G499,Primary!G499)</f>
        <v>141.44256091804</v>
      </c>
      <c r="H499" s="10">
        <f>IF(ActiveDatabase=Standby,Secondary!H499,Primary!H499)</f>
        <v>-943.31009946233</v>
      </c>
      <c r="I499" s="13">
        <f>IF(ActiveDatabase=Standby,Secondary!I499,Primary!I499)</f>
        <v>0</v>
      </c>
      <c r="J499" s="13">
        <f>IF(ActiveDatabase=Standby,Secondary!J499,Primary!J499)</f>
        <v>0</v>
      </c>
      <c r="K499" s="13">
        <f>IF(ActiveDatabase=Standby,Secondary!K499,Primary!K499)</f>
        <v>0</v>
      </c>
      <c r="L499" s="13">
        <f>IF(ActiveDatabase=Standby,Secondary!L499,Primary!L499)</f>
        <v>0</v>
      </c>
      <c r="M499" s="7" t="b">
        <f>IF(ActiveDatabase=Standby,Secondary!M499,Primary!M499)</f>
        <v>0</v>
      </c>
      <c r="N499" s="10">
        <f>IF(ActiveDatabase=Standby,Secondary!N499,Primary!N499)</f>
        <v>0</v>
      </c>
      <c r="O499" s="10">
        <f>IF(ActiveDatabase=Standby,Secondary!O499,Primary!O499)</f>
        <v>0</v>
      </c>
      <c r="P499" s="10">
        <f>IF(ActiveDatabase=Standby,Secondary!P499,Primary!P499)</f>
        <v>0</v>
      </c>
      <c r="Q499" s="6">
        <f>IF(ActiveDatabase=Standby,Secondary!Q499,Primary!Q499)</f>
        <v>0</v>
      </c>
      <c r="R499" s="18">
        <f>IF(ActiveDatabase=Standby,Secondary!R499,Primary!R499)</f>
        <v>0</v>
      </c>
      <c r="S499" s="19">
        <f>IF(ActiveDatabase=Standby,Secondary!S499,Primary!S499)</f>
        <v>0</v>
      </c>
      <c r="T499" s="10">
        <f>IF(ActiveDatabase=Standby,Secondary!T499,Primary!T499)</f>
        <v>0</v>
      </c>
      <c r="U499" s="10">
        <f>IF(ActiveDatabase=Standby,Secondary!U499,Primary!U499)</f>
        <v>0</v>
      </c>
      <c r="V499" s="10">
        <f>IF(ActiveDatabase=Standby,Secondary!V499,Primary!V499)</f>
        <v>0</v>
      </c>
      <c r="W499" s="6">
        <f>IF(ActiveDatabase=Standby,Secondary!W499,Primary!W499)</f>
        <v>0</v>
      </c>
      <c r="X499" s="6">
        <f>IF(ActiveDatabase=Standby,Secondary!X499,Primary!X499)</f>
        <v>0</v>
      </c>
      <c r="Y499" s="12">
        <f>IF(ActiveDatabase=Standby,Secondary!Y499,Primary!Y499)</f>
        <v>0</v>
      </c>
      <c r="Z499" s="12">
        <f>IF(ActiveDatabase=Standby,Secondary!Z499,Primary!Z499)</f>
        <v>0</v>
      </c>
      <c r="AA499" s="7">
        <f>IF(ActiveDatabase=Standby,Secondary!AA499,Primary!AA499)</f>
        <v>0</v>
      </c>
      <c r="AB499" s="12"/>
      <c r="AC499" s="6"/>
      <c r="AD499" s="6"/>
      <c r="AE499" s="7"/>
      <c r="AF499" s="7"/>
      <c r="AG499" s="7"/>
      <c r="AH499" s="7"/>
      <c r="AI499" s="7"/>
      <c r="AJ499" s="7"/>
      <c r="AK499" s="7"/>
      <c r="AL499" s="7"/>
      <c r="AM499" s="7"/>
      <c r="AN499" s="7"/>
      <c r="AO499" s="6"/>
      <c r="AP499" s="7"/>
      <c r="AQ499" s="7"/>
      <c r="AR499" s="6"/>
      <c r="AS499" s="7"/>
      <c r="AT499" s="7"/>
      <c r="AU499" s="7"/>
      <c r="AV499" s="7"/>
      <c r="AW499" s="7"/>
      <c r="AX499" s="7"/>
      <c r="AY499" s="7"/>
      <c r="AZ499" s="7"/>
      <c r="BA499" s="7"/>
      <c r="BB499" s="7"/>
      <c r="BC499" s="7"/>
      <c r="BD499" s="7"/>
      <c r="BE499" s="7"/>
      <c r="BF499" s="7"/>
      <c r="BG499" s="7"/>
    </row>
    <row r="500" customHeight="1" spans="1:59">
      <c r="A500" s="9" t="str">
        <f>IF(ActiveDatabase=Standby,Secondary!A500,Primary!A500)</f>
        <v>Hurston 131</v>
      </c>
      <c r="B500" s="5" t="str">
        <f>IF(ActiveDatabase=Standby,Secondary!B500,Primary!B500)</f>
        <v>Hurston 149</v>
      </c>
      <c r="C500" s="5" t="str">
        <f>IF(ActiveDatabase=Standby,Secondary!C500,Primary!C500)</f>
        <v>Hurston 125</v>
      </c>
      <c r="D500" s="5" t="str">
        <f>IF(ActiveDatabase=Standby,Secondary!D500,Primary!D500)</f>
        <v>River 05T-X32</v>
      </c>
      <c r="E500" s="6" t="str">
        <f>IF(ActiveDatabase=Standby,Secondary!E500,Primary!E500)</f>
        <v>River 05TX32</v>
      </c>
      <c r="F500" s="10">
        <f>IF(ActiveDatabase=Standby,Secondary!F500,Primary!F500)</f>
        <v>-690.16878529147</v>
      </c>
      <c r="G500" s="10">
        <f>IF(ActiveDatabase=Standby,Secondary!G500,Primary!G500)</f>
        <v>-316.5462889275</v>
      </c>
      <c r="H500" s="10">
        <f>IF(ActiveDatabase=Standby,Secondary!H500,Primary!H500)</f>
        <v>653.87139276595</v>
      </c>
      <c r="I500" s="13">
        <f>IF(ActiveDatabase=Standby,Secondary!I500,Primary!I500)</f>
        <v>0</v>
      </c>
      <c r="J500" s="13">
        <f>IF(ActiveDatabase=Standby,Secondary!J500,Primary!J500)</f>
        <v>0</v>
      </c>
      <c r="K500" s="13">
        <f>IF(ActiveDatabase=Standby,Secondary!K500,Primary!K500)</f>
        <v>0</v>
      </c>
      <c r="L500" s="13">
        <f>IF(ActiveDatabase=Standby,Secondary!L500,Primary!L500)</f>
        <v>0</v>
      </c>
      <c r="M500" s="7" t="b">
        <f>IF(ActiveDatabase=Standby,Secondary!M500,Primary!M500)</f>
        <v>0</v>
      </c>
      <c r="N500" s="10">
        <f>IF(ActiveDatabase=Standby,Secondary!N500,Primary!N500)</f>
        <v>0</v>
      </c>
      <c r="O500" s="10">
        <f>IF(ActiveDatabase=Standby,Secondary!O500,Primary!O500)</f>
        <v>0</v>
      </c>
      <c r="P500" s="10">
        <f>IF(ActiveDatabase=Standby,Secondary!P500,Primary!P500)</f>
        <v>0</v>
      </c>
      <c r="Q500" s="6">
        <f>IF(ActiveDatabase=Standby,Secondary!Q500,Primary!Q500)</f>
        <v>0</v>
      </c>
      <c r="R500" s="18">
        <f>IF(ActiveDatabase=Standby,Secondary!R500,Primary!R500)</f>
        <v>0</v>
      </c>
      <c r="S500" s="19">
        <f>IF(ActiveDatabase=Standby,Secondary!S500,Primary!S500)</f>
        <v>0</v>
      </c>
      <c r="T500" s="10">
        <f>IF(ActiveDatabase=Standby,Secondary!T500,Primary!T500)</f>
        <v>0</v>
      </c>
      <c r="U500" s="10">
        <f>IF(ActiveDatabase=Standby,Secondary!U500,Primary!U500)</f>
        <v>0</v>
      </c>
      <c r="V500" s="10">
        <f>IF(ActiveDatabase=Standby,Secondary!V500,Primary!V500)</f>
        <v>0</v>
      </c>
      <c r="W500" s="6">
        <f>IF(ActiveDatabase=Standby,Secondary!W500,Primary!W500)</f>
        <v>0</v>
      </c>
      <c r="X500" s="6">
        <f>IF(ActiveDatabase=Standby,Secondary!X500,Primary!X500)</f>
        <v>0</v>
      </c>
      <c r="Y500" s="12">
        <f>IF(ActiveDatabase=Standby,Secondary!Y500,Primary!Y500)</f>
        <v>0</v>
      </c>
      <c r="Z500" s="12">
        <f>IF(ActiveDatabase=Standby,Secondary!Z500,Primary!Z500)</f>
        <v>0</v>
      </c>
      <c r="AA500" s="7">
        <f>IF(ActiveDatabase=Standby,Secondary!AA500,Primary!AA500)</f>
        <v>0</v>
      </c>
      <c r="AB500" s="12"/>
      <c r="AC500" s="6"/>
      <c r="AD500" s="6"/>
      <c r="AE500" s="7"/>
      <c r="AF500" s="7"/>
      <c r="AG500" s="7"/>
      <c r="AH500" s="7"/>
      <c r="AI500" s="7"/>
      <c r="AJ500" s="7"/>
      <c r="AK500" s="7"/>
      <c r="AL500" s="7"/>
      <c r="AM500" s="7"/>
      <c r="AN500" s="7"/>
      <c r="AO500" s="6"/>
      <c r="AP500" s="7"/>
      <c r="AQ500" s="7"/>
      <c r="AR500" s="6"/>
      <c r="AS500" s="7"/>
      <c r="AT500" s="7"/>
      <c r="AU500" s="7"/>
      <c r="AV500" s="7"/>
      <c r="AW500" s="7"/>
      <c r="AX500" s="7"/>
      <c r="AY500" s="7"/>
      <c r="AZ500" s="7"/>
      <c r="BA500" s="7"/>
      <c r="BB500" s="7"/>
      <c r="BC500" s="7"/>
      <c r="BD500" s="7"/>
      <c r="BE500" s="7"/>
      <c r="BF500" s="7"/>
      <c r="BG500" s="7"/>
    </row>
    <row r="501" customHeight="1" spans="1:59">
      <c r="A501" s="9" t="str">
        <f>IF(ActiveDatabase=Standby,Secondary!A501,Primary!A501)</f>
        <v>Hurston 124</v>
      </c>
      <c r="B501" s="5" t="str">
        <f>IF(ActiveDatabase=Standby,Secondary!B501,Primary!B501)</f>
        <v>Hurston 142</v>
      </c>
      <c r="C501" s="5" t="str">
        <f>IF(ActiveDatabase=Standby,Secondary!C501,Primary!C501)</f>
        <v>Hurston 140</v>
      </c>
      <c r="D501" s="5" t="str">
        <f>IF(ActiveDatabase=Standby,Secondary!D501,Primary!D501)</f>
        <v>River 02T-016</v>
      </c>
      <c r="E501" s="6" t="str">
        <f>IF(ActiveDatabase=Standby,Secondary!E501,Primary!E501)</f>
        <v>River 02T016</v>
      </c>
      <c r="F501" s="10">
        <f>IF(ActiveDatabase=Standby,Secondary!F501,Primary!F501)</f>
        <v>-680.96031327602</v>
      </c>
      <c r="G501" s="10">
        <f>IF(ActiveDatabase=Standby,Secondary!G501,Primary!G501)</f>
        <v>-92.07736753096</v>
      </c>
      <c r="H501" s="10">
        <f>IF(ActiveDatabase=Standby,Secondary!H501,Primary!H501)</f>
        <v>728.45129729673</v>
      </c>
      <c r="I501" s="13">
        <f>IF(ActiveDatabase=Standby,Secondary!I501,Primary!I501)</f>
        <v>0</v>
      </c>
      <c r="J501" s="13">
        <f>IF(ActiveDatabase=Standby,Secondary!J501,Primary!J501)</f>
        <v>0</v>
      </c>
      <c r="K501" s="13">
        <f>IF(ActiveDatabase=Standby,Secondary!K501,Primary!K501)</f>
        <v>0</v>
      </c>
      <c r="L501" s="13">
        <f>IF(ActiveDatabase=Standby,Secondary!L501,Primary!L501)</f>
        <v>0</v>
      </c>
      <c r="M501" s="7" t="b">
        <f>IF(ActiveDatabase=Standby,Secondary!M501,Primary!M501)</f>
        <v>0</v>
      </c>
      <c r="N501" s="10">
        <f>IF(ActiveDatabase=Standby,Secondary!N501,Primary!N501)</f>
        <v>0</v>
      </c>
      <c r="O501" s="10">
        <f>IF(ActiveDatabase=Standby,Secondary!O501,Primary!O501)</f>
        <v>0</v>
      </c>
      <c r="P501" s="10">
        <f>IF(ActiveDatabase=Standby,Secondary!P501,Primary!P501)</f>
        <v>0</v>
      </c>
      <c r="Q501" s="6">
        <f>IF(ActiveDatabase=Standby,Secondary!Q501,Primary!Q501)</f>
        <v>0</v>
      </c>
      <c r="R501" s="18">
        <f>IF(ActiveDatabase=Standby,Secondary!R501,Primary!R501)</f>
        <v>0</v>
      </c>
      <c r="S501" s="19">
        <f>IF(ActiveDatabase=Standby,Secondary!S501,Primary!S501)</f>
        <v>0</v>
      </c>
      <c r="T501" s="10">
        <f>IF(ActiveDatabase=Standby,Secondary!T501,Primary!T501)</f>
        <v>0</v>
      </c>
      <c r="U501" s="10">
        <f>IF(ActiveDatabase=Standby,Secondary!U501,Primary!U501)</f>
        <v>0</v>
      </c>
      <c r="V501" s="10">
        <f>IF(ActiveDatabase=Standby,Secondary!V501,Primary!V501)</f>
        <v>0</v>
      </c>
      <c r="W501" s="6">
        <f>IF(ActiveDatabase=Standby,Secondary!W501,Primary!W501)</f>
        <v>0</v>
      </c>
      <c r="X501" s="6">
        <f>IF(ActiveDatabase=Standby,Secondary!X501,Primary!X501)</f>
        <v>0</v>
      </c>
      <c r="Y501" s="12">
        <f>IF(ActiveDatabase=Standby,Secondary!Y501,Primary!Y501)</f>
        <v>0</v>
      </c>
      <c r="Z501" s="12">
        <f>IF(ActiveDatabase=Standby,Secondary!Z501,Primary!Z501)</f>
        <v>0</v>
      </c>
      <c r="AA501" s="7">
        <f>IF(ActiveDatabase=Standby,Secondary!AA501,Primary!AA501)</f>
        <v>0</v>
      </c>
      <c r="AB501" s="12"/>
      <c r="AC501" s="6"/>
      <c r="AD501" s="6"/>
      <c r="AE501" s="7"/>
      <c r="AF501" s="7"/>
      <c r="AG501" s="7"/>
      <c r="AH501" s="7"/>
      <c r="AI501" s="7"/>
      <c r="AJ501" s="7"/>
      <c r="AK501" s="7"/>
      <c r="AL501" s="7"/>
      <c r="AM501" s="7"/>
      <c r="AN501" s="7"/>
      <c r="AO501" s="6"/>
      <c r="AP501" s="7"/>
      <c r="AQ501" s="7"/>
      <c r="AR501" s="6"/>
      <c r="AS501" s="7"/>
      <c r="AT501" s="7"/>
      <c r="AU501" s="7"/>
      <c r="AV501" s="7"/>
      <c r="AW501" s="7"/>
      <c r="AX501" s="7"/>
      <c r="AY501" s="7"/>
      <c r="AZ501" s="7"/>
      <c r="BA501" s="7"/>
      <c r="BB501" s="7"/>
      <c r="BC501" s="7"/>
      <c r="BD501" s="7"/>
      <c r="BE501" s="7"/>
      <c r="BF501" s="7"/>
      <c r="BG501" s="7"/>
    </row>
    <row r="502" customHeight="1" spans="1:59">
      <c r="A502" s="9" t="str">
        <f>IF(ActiveDatabase=Standby,Secondary!A502,Primary!A502)</f>
        <v>Hurston 137</v>
      </c>
      <c r="B502" s="5" t="str">
        <f>IF(ActiveDatabase=Standby,Secondary!B502,Primary!B502)</f>
        <v>Hurston 155</v>
      </c>
      <c r="C502" s="5" t="str">
        <f>IF(ActiveDatabase=Standby,Secondary!C502,Primary!C502)</f>
        <v>Hurston 13</v>
      </c>
      <c r="D502" s="5" t="str">
        <f>IF(ActiveDatabase=Standby,Secondary!D502,Primary!D502)</f>
        <v>River 57D-673</v>
      </c>
      <c r="E502" s="6" t="str">
        <f>IF(ActiveDatabase=Standby,Secondary!E502,Primary!E502)</f>
        <v>River 57D673</v>
      </c>
      <c r="F502" s="10">
        <f>IF(ActiveDatabase=Standby,Secondary!F502,Primary!F502)</f>
        <v>-314.89171776403</v>
      </c>
      <c r="G502" s="10">
        <f>IF(ActiveDatabase=Standby,Secondary!G502,Primary!G502)</f>
        <v>137.10777615271</v>
      </c>
      <c r="H502" s="10">
        <f>IF(ActiveDatabase=Standby,Secondary!H502,Primary!H502)</f>
        <v>-940.44037338477</v>
      </c>
      <c r="I502" s="13">
        <f>IF(ActiveDatabase=Standby,Secondary!I502,Primary!I502)</f>
        <v>0</v>
      </c>
      <c r="J502" s="13">
        <f>IF(ActiveDatabase=Standby,Secondary!J502,Primary!J502)</f>
        <v>0</v>
      </c>
      <c r="K502" s="13">
        <f>IF(ActiveDatabase=Standby,Secondary!K502,Primary!K502)</f>
        <v>0</v>
      </c>
      <c r="L502" s="13">
        <f>IF(ActiveDatabase=Standby,Secondary!L502,Primary!L502)</f>
        <v>0</v>
      </c>
      <c r="M502" s="7" t="b">
        <f>IF(ActiveDatabase=Standby,Secondary!M502,Primary!M502)</f>
        <v>0</v>
      </c>
      <c r="N502" s="10">
        <f>IF(ActiveDatabase=Standby,Secondary!N502,Primary!N502)</f>
        <v>0</v>
      </c>
      <c r="O502" s="10">
        <f>IF(ActiveDatabase=Standby,Secondary!O502,Primary!O502)</f>
        <v>0</v>
      </c>
      <c r="P502" s="10">
        <f>IF(ActiveDatabase=Standby,Secondary!P502,Primary!P502)</f>
        <v>0</v>
      </c>
      <c r="Q502" s="6">
        <f>IF(ActiveDatabase=Standby,Secondary!Q502,Primary!Q502)</f>
        <v>0</v>
      </c>
      <c r="R502" s="18">
        <f>IF(ActiveDatabase=Standby,Secondary!R502,Primary!R502)</f>
        <v>0</v>
      </c>
      <c r="S502" s="19">
        <f>IF(ActiveDatabase=Standby,Secondary!S502,Primary!S502)</f>
        <v>0</v>
      </c>
      <c r="T502" s="10">
        <f>IF(ActiveDatabase=Standby,Secondary!T502,Primary!T502)</f>
        <v>0</v>
      </c>
      <c r="U502" s="10">
        <f>IF(ActiveDatabase=Standby,Secondary!U502,Primary!U502)</f>
        <v>0</v>
      </c>
      <c r="V502" s="10">
        <f>IF(ActiveDatabase=Standby,Secondary!V502,Primary!V502)</f>
        <v>0</v>
      </c>
      <c r="W502" s="6">
        <f>IF(ActiveDatabase=Standby,Secondary!W502,Primary!W502)</f>
        <v>0</v>
      </c>
      <c r="X502" s="6">
        <f>IF(ActiveDatabase=Standby,Secondary!X502,Primary!X502)</f>
        <v>0</v>
      </c>
      <c r="Y502" s="12">
        <f>IF(ActiveDatabase=Standby,Secondary!Y502,Primary!Y502)</f>
        <v>0</v>
      </c>
      <c r="Z502" s="12">
        <f>IF(ActiveDatabase=Standby,Secondary!Z502,Primary!Z502)</f>
        <v>0</v>
      </c>
      <c r="AA502" s="7">
        <f>IF(ActiveDatabase=Standby,Secondary!AA502,Primary!AA502)</f>
        <v>0</v>
      </c>
      <c r="AB502" s="12"/>
      <c r="AC502" s="6"/>
      <c r="AD502" s="6"/>
      <c r="AE502" s="7"/>
      <c r="AF502" s="7"/>
      <c r="AG502" s="7"/>
      <c r="AH502" s="7"/>
      <c r="AI502" s="7"/>
      <c r="AJ502" s="7"/>
      <c r="AK502" s="7"/>
      <c r="AL502" s="7"/>
      <c r="AM502" s="7"/>
      <c r="AN502" s="7"/>
      <c r="AO502" s="6"/>
      <c r="AP502" s="7"/>
      <c r="AQ502" s="7"/>
      <c r="AR502" s="6"/>
      <c r="AS502" s="7"/>
      <c r="AT502" s="7"/>
      <c r="AU502" s="7"/>
      <c r="AV502" s="7"/>
      <c r="AW502" s="7"/>
      <c r="AX502" s="7"/>
      <c r="AY502" s="7"/>
      <c r="AZ502" s="7"/>
      <c r="BA502" s="7"/>
      <c r="BB502" s="7"/>
      <c r="BC502" s="7"/>
      <c r="BD502" s="7"/>
      <c r="BE502" s="7"/>
      <c r="BF502" s="7"/>
      <c r="BG502" s="7"/>
    </row>
    <row r="503" customHeight="1" spans="1:59">
      <c r="A503" s="9" t="str">
        <f>IF(ActiveDatabase=Standby,Secondary!A503,Primary!A503)</f>
        <v>Hurston 135</v>
      </c>
      <c r="B503" s="5" t="str">
        <f>IF(ActiveDatabase=Standby,Secondary!B503,Primary!B503)</f>
        <v>Hurston 153</v>
      </c>
      <c r="C503" s="5" t="str">
        <f>IF(ActiveDatabase=Standby,Secondary!C503,Primary!C503)</f>
        <v>Hurston 113</v>
      </c>
      <c r="D503" s="5" t="str">
        <f>IF(ActiveDatabase=Standby,Secondary!D503,Primary!D503)</f>
        <v>River 09C</v>
      </c>
      <c r="E503" s="6" t="str">
        <f>IF(ActiveDatabase=Standby,Secondary!E503,Primary!E503)</f>
        <v>River 09C</v>
      </c>
      <c r="F503" s="10">
        <f>IF(ActiveDatabase=Standby,Secondary!F503,Primary!F503)</f>
        <v>-126.82639095234</v>
      </c>
      <c r="G503" s="10">
        <f>IF(ActiveDatabase=Standby,Secondary!G503,Primary!G503)</f>
        <v>-156.79135320686</v>
      </c>
      <c r="H503" s="10">
        <f>IF(ActiveDatabase=Standby,Secondary!H503,Primary!H503)</f>
        <v>-981.60257898767</v>
      </c>
      <c r="I503" s="13">
        <f>IF(ActiveDatabase=Standby,Secondary!I503,Primary!I503)</f>
        <v>0</v>
      </c>
      <c r="J503" s="13">
        <f>IF(ActiveDatabase=Standby,Secondary!J503,Primary!J503)</f>
        <v>0</v>
      </c>
      <c r="K503" s="13">
        <f>IF(ActiveDatabase=Standby,Secondary!K503,Primary!K503)</f>
        <v>0</v>
      </c>
      <c r="L503" s="13">
        <f>IF(ActiveDatabase=Standby,Secondary!L503,Primary!L503)</f>
        <v>0</v>
      </c>
      <c r="M503" s="7" t="b">
        <f>IF(ActiveDatabase=Standby,Secondary!M503,Primary!M503)</f>
        <v>0</v>
      </c>
      <c r="N503" s="10">
        <f>IF(ActiveDatabase=Standby,Secondary!N503,Primary!N503)</f>
        <v>0</v>
      </c>
      <c r="O503" s="10">
        <f>IF(ActiveDatabase=Standby,Secondary!O503,Primary!O503)</f>
        <v>0</v>
      </c>
      <c r="P503" s="10">
        <f>IF(ActiveDatabase=Standby,Secondary!P503,Primary!P503)</f>
        <v>0</v>
      </c>
      <c r="Q503" s="6">
        <f>IF(ActiveDatabase=Standby,Secondary!Q503,Primary!Q503)</f>
        <v>0</v>
      </c>
      <c r="R503" s="18">
        <f>IF(ActiveDatabase=Standby,Secondary!R503,Primary!R503)</f>
        <v>0</v>
      </c>
      <c r="S503" s="19">
        <f>IF(ActiveDatabase=Standby,Secondary!S503,Primary!S503)</f>
        <v>0</v>
      </c>
      <c r="T503" s="10">
        <f>IF(ActiveDatabase=Standby,Secondary!T503,Primary!T503)</f>
        <v>0</v>
      </c>
      <c r="U503" s="10">
        <f>IF(ActiveDatabase=Standby,Secondary!U503,Primary!U503)</f>
        <v>0</v>
      </c>
      <c r="V503" s="10">
        <f>IF(ActiveDatabase=Standby,Secondary!V503,Primary!V503)</f>
        <v>0</v>
      </c>
      <c r="W503" s="6">
        <f>IF(ActiveDatabase=Standby,Secondary!W503,Primary!W503)</f>
        <v>0</v>
      </c>
      <c r="X503" s="6">
        <f>IF(ActiveDatabase=Standby,Secondary!X503,Primary!X503)</f>
        <v>0</v>
      </c>
      <c r="Y503" s="12">
        <f>IF(ActiveDatabase=Standby,Secondary!Y503,Primary!Y503)</f>
        <v>0</v>
      </c>
      <c r="Z503" s="12">
        <f>IF(ActiveDatabase=Standby,Secondary!Z503,Primary!Z503)</f>
        <v>0</v>
      </c>
      <c r="AA503" s="7">
        <f>IF(ActiveDatabase=Standby,Secondary!AA503,Primary!AA503)</f>
        <v>0</v>
      </c>
      <c r="AB503" s="12"/>
      <c r="AC503" s="6"/>
      <c r="AD503" s="6"/>
      <c r="AE503" s="7"/>
      <c r="AF503" s="7"/>
      <c r="AG503" s="7"/>
      <c r="AH503" s="7"/>
      <c r="AI503" s="7"/>
      <c r="AJ503" s="7"/>
      <c r="AK503" s="7"/>
      <c r="AL503" s="7"/>
      <c r="AM503" s="7"/>
      <c r="AN503" s="7"/>
      <c r="AO503" s="6"/>
      <c r="AP503" s="7"/>
      <c r="AQ503" s="7"/>
      <c r="AR503" s="6"/>
      <c r="AS503" s="7"/>
      <c r="AT503" s="7"/>
      <c r="AU503" s="7"/>
      <c r="AV503" s="7"/>
      <c r="AW503" s="7"/>
      <c r="AX503" s="7"/>
      <c r="AY503" s="7"/>
      <c r="AZ503" s="7"/>
      <c r="BA503" s="7"/>
      <c r="BB503" s="7"/>
      <c r="BC503" s="7"/>
      <c r="BD503" s="7"/>
      <c r="BE503" s="7"/>
      <c r="BF503" s="7"/>
      <c r="BG503" s="7"/>
    </row>
    <row r="504" customHeight="1" spans="1:59">
      <c r="A504" s="9" t="str">
        <f>IF(ActiveDatabase=Standby,Secondary!A504,Primary!A504)</f>
        <v>Hurston 133</v>
      </c>
      <c r="B504" s="5" t="str">
        <f>IF(ActiveDatabase=Standby,Secondary!B504,Primary!B504)</f>
        <v>Hurston 151</v>
      </c>
      <c r="C504" s="5" t="str">
        <f>IF(ActiveDatabase=Standby,Secondary!C504,Primary!C504)</f>
        <v>Hurston 119</v>
      </c>
      <c r="D504" s="5" t="str">
        <f>IF(ActiveDatabase=Standby,Secondary!D504,Primary!D504)</f>
        <v>River 06D-062</v>
      </c>
      <c r="E504" s="6" t="str">
        <f>IF(ActiveDatabase=Standby,Secondary!E504,Primary!E504)</f>
        <v>River 06D062</v>
      </c>
      <c r="F504" s="10">
        <f>IF(ActiveDatabase=Standby,Secondary!F504,Primary!F504)</f>
        <v>-350.60060990951</v>
      </c>
      <c r="G504" s="10">
        <f>IF(ActiveDatabase=Standby,Secondary!G504,Primary!G504)</f>
        <v>-210.51961560391</v>
      </c>
      <c r="H504" s="10">
        <f>IF(ActiveDatabase=Standby,Secondary!H504,Primary!H504)</f>
        <v>-913.86932924728</v>
      </c>
      <c r="I504" s="13">
        <f>IF(ActiveDatabase=Standby,Secondary!I504,Primary!I504)</f>
        <v>0</v>
      </c>
      <c r="J504" s="13">
        <f>IF(ActiveDatabase=Standby,Secondary!J504,Primary!J504)</f>
        <v>0</v>
      </c>
      <c r="K504" s="13">
        <f>IF(ActiveDatabase=Standby,Secondary!K504,Primary!K504)</f>
        <v>0</v>
      </c>
      <c r="L504" s="13">
        <f>IF(ActiveDatabase=Standby,Secondary!L504,Primary!L504)</f>
        <v>0</v>
      </c>
      <c r="M504" s="7" t="b">
        <f>IF(ActiveDatabase=Standby,Secondary!M504,Primary!M504)</f>
        <v>0</v>
      </c>
      <c r="N504" s="10">
        <f>IF(ActiveDatabase=Standby,Secondary!N504,Primary!N504)</f>
        <v>0</v>
      </c>
      <c r="O504" s="10">
        <f>IF(ActiveDatabase=Standby,Secondary!O504,Primary!O504)</f>
        <v>0</v>
      </c>
      <c r="P504" s="10">
        <f>IF(ActiveDatabase=Standby,Secondary!P504,Primary!P504)</f>
        <v>0</v>
      </c>
      <c r="Q504" s="6">
        <f>IF(ActiveDatabase=Standby,Secondary!Q504,Primary!Q504)</f>
        <v>0</v>
      </c>
      <c r="R504" s="18">
        <f>IF(ActiveDatabase=Standby,Secondary!R504,Primary!R504)</f>
        <v>0</v>
      </c>
      <c r="S504" s="19">
        <f>IF(ActiveDatabase=Standby,Secondary!S504,Primary!S504)</f>
        <v>0</v>
      </c>
      <c r="T504" s="10">
        <f>IF(ActiveDatabase=Standby,Secondary!T504,Primary!T504)</f>
        <v>0</v>
      </c>
      <c r="U504" s="10">
        <f>IF(ActiveDatabase=Standby,Secondary!U504,Primary!U504)</f>
        <v>0</v>
      </c>
      <c r="V504" s="10">
        <f>IF(ActiveDatabase=Standby,Secondary!V504,Primary!V504)</f>
        <v>0</v>
      </c>
      <c r="W504" s="6">
        <f>IF(ActiveDatabase=Standby,Secondary!W504,Primary!W504)</f>
        <v>0</v>
      </c>
      <c r="X504" s="6">
        <f>IF(ActiveDatabase=Standby,Secondary!X504,Primary!X504)</f>
        <v>0</v>
      </c>
      <c r="Y504" s="12">
        <f>IF(ActiveDatabase=Standby,Secondary!Y504,Primary!Y504)</f>
        <v>0</v>
      </c>
      <c r="Z504" s="12">
        <f>IF(ActiveDatabase=Standby,Secondary!Z504,Primary!Z504)</f>
        <v>0</v>
      </c>
      <c r="AA504" s="7">
        <f>IF(ActiveDatabase=Standby,Secondary!AA504,Primary!AA504)</f>
        <v>0</v>
      </c>
      <c r="AB504" s="12"/>
      <c r="AC504" s="6"/>
      <c r="AD504" s="6"/>
      <c r="AE504" s="7"/>
      <c r="AF504" s="7"/>
      <c r="AG504" s="7"/>
      <c r="AH504" s="7"/>
      <c r="AI504" s="7"/>
      <c r="AJ504" s="7"/>
      <c r="AK504" s="7"/>
      <c r="AL504" s="7"/>
      <c r="AM504" s="7"/>
      <c r="AN504" s="7"/>
      <c r="AO504" s="6"/>
      <c r="AP504" s="7"/>
      <c r="AQ504" s="7"/>
      <c r="AR504" s="6"/>
      <c r="AS504" s="7"/>
      <c r="AT504" s="7"/>
      <c r="AU504" s="7"/>
      <c r="AV504" s="7"/>
      <c r="AW504" s="7"/>
      <c r="AX504" s="7"/>
      <c r="AY504" s="7"/>
      <c r="AZ504" s="7"/>
      <c r="BA504" s="7"/>
      <c r="BB504" s="7"/>
      <c r="BC504" s="7"/>
      <c r="BD504" s="7"/>
      <c r="BE504" s="7"/>
      <c r="BF504" s="7"/>
      <c r="BG504" s="7"/>
    </row>
    <row r="505" customHeight="1" spans="1:59">
      <c r="A505" s="9" t="str">
        <f>IF(ActiveDatabase=Standby,Secondary!A505,Primary!A505)</f>
        <v>Hurston 141</v>
      </c>
      <c r="B505" s="5" t="str">
        <f>IF(ActiveDatabase=Standby,Secondary!B505,Primary!B505)</f>
        <v>Hurston 159</v>
      </c>
      <c r="C505" s="5" t="str">
        <f>IF(ActiveDatabase=Standby,Secondary!C505,Primary!C505)</f>
        <v>Hurston 43</v>
      </c>
      <c r="D505" s="5" t="str">
        <f>IF(ActiveDatabase=Standby,Secondary!D505,Primary!D505)</f>
        <v>River BBN</v>
      </c>
      <c r="E505" s="6" t="str">
        <f>IF(ActiveDatabase=Standby,Secondary!E505,Primary!E505)</f>
        <v>River BBN</v>
      </c>
      <c r="F505" s="10">
        <f>IF(ActiveDatabase=Standby,Secondary!F505,Primary!F505)</f>
        <v>9.53069568841</v>
      </c>
      <c r="G505" s="10">
        <f>IF(ActiveDatabase=Standby,Secondary!G505,Primary!G505)</f>
        <v>105.96113200714</v>
      </c>
      <c r="H505" s="10">
        <f>IF(ActiveDatabase=Standby,Secondary!H505,Primary!H505)</f>
        <v>-995.354769734889</v>
      </c>
      <c r="I505" s="13">
        <f>IF(ActiveDatabase=Standby,Secondary!I505,Primary!I505)</f>
        <v>0</v>
      </c>
      <c r="J505" s="13">
        <f>IF(ActiveDatabase=Standby,Secondary!J505,Primary!J505)</f>
        <v>0</v>
      </c>
      <c r="K505" s="13">
        <f>IF(ActiveDatabase=Standby,Secondary!K505,Primary!K505)</f>
        <v>0</v>
      </c>
      <c r="L505" s="13">
        <f>IF(ActiveDatabase=Standby,Secondary!L505,Primary!L505)</f>
        <v>0</v>
      </c>
      <c r="M505" s="7" t="b">
        <f>IF(ActiveDatabase=Standby,Secondary!M505,Primary!M505)</f>
        <v>0</v>
      </c>
      <c r="N505" s="10">
        <f>IF(ActiveDatabase=Standby,Secondary!N505,Primary!N505)</f>
        <v>0</v>
      </c>
      <c r="O505" s="10">
        <f>IF(ActiveDatabase=Standby,Secondary!O505,Primary!O505)</f>
        <v>0</v>
      </c>
      <c r="P505" s="10">
        <f>IF(ActiveDatabase=Standby,Secondary!P505,Primary!P505)</f>
        <v>0</v>
      </c>
      <c r="Q505" s="6">
        <f>IF(ActiveDatabase=Standby,Secondary!Q505,Primary!Q505)</f>
        <v>0</v>
      </c>
      <c r="R505" s="18">
        <f>IF(ActiveDatabase=Standby,Secondary!R505,Primary!R505)</f>
        <v>0</v>
      </c>
      <c r="S505" s="19">
        <f>IF(ActiveDatabase=Standby,Secondary!S505,Primary!S505)</f>
        <v>0</v>
      </c>
      <c r="T505" s="10">
        <f>IF(ActiveDatabase=Standby,Secondary!T505,Primary!T505)</f>
        <v>0</v>
      </c>
      <c r="U505" s="10">
        <f>IF(ActiveDatabase=Standby,Secondary!U505,Primary!U505)</f>
        <v>0</v>
      </c>
      <c r="V505" s="10">
        <f>IF(ActiveDatabase=Standby,Secondary!V505,Primary!V505)</f>
        <v>0</v>
      </c>
      <c r="W505" s="6">
        <f>IF(ActiveDatabase=Standby,Secondary!W505,Primary!W505)</f>
        <v>0</v>
      </c>
      <c r="X505" s="6">
        <f>IF(ActiveDatabase=Standby,Secondary!X505,Primary!X505)</f>
        <v>0</v>
      </c>
      <c r="Y505" s="12">
        <f>IF(ActiveDatabase=Standby,Secondary!Y505,Primary!Y505)</f>
        <v>0</v>
      </c>
      <c r="Z505" s="12">
        <f>IF(ActiveDatabase=Standby,Secondary!Z505,Primary!Z505)</f>
        <v>0</v>
      </c>
      <c r="AA505" s="7">
        <f>IF(ActiveDatabase=Standby,Secondary!AA505,Primary!AA505)</f>
        <v>0</v>
      </c>
      <c r="AB505" s="12"/>
      <c r="AC505" s="6"/>
      <c r="AD505" s="6"/>
      <c r="AE505" s="7"/>
      <c r="AF505" s="7"/>
      <c r="AG505" s="7"/>
      <c r="AH505" s="7"/>
      <c r="AI505" s="7"/>
      <c r="AJ505" s="7"/>
      <c r="AK505" s="7"/>
      <c r="AL505" s="7"/>
      <c r="AM505" s="7"/>
      <c r="AN505" s="7"/>
      <c r="AO505" s="6"/>
      <c r="AP505" s="7"/>
      <c r="AQ505" s="7"/>
      <c r="AR505" s="6"/>
      <c r="AS505" s="7"/>
      <c r="AT505" s="7"/>
      <c r="AU505" s="7"/>
      <c r="AV505" s="7"/>
      <c r="AW505" s="7"/>
      <c r="AX505" s="7"/>
      <c r="AY505" s="7"/>
      <c r="AZ505" s="7"/>
      <c r="BA505" s="7"/>
      <c r="BB505" s="7"/>
      <c r="BC505" s="7"/>
      <c r="BD505" s="7"/>
      <c r="BE505" s="7"/>
      <c r="BF505" s="7"/>
      <c r="BG505" s="7"/>
    </row>
    <row r="506" customHeight="1" spans="1:59">
      <c r="A506" s="9" t="str">
        <f>IF(ActiveDatabase=Standby,Secondary!A506,Primary!A506)</f>
        <v>Hurston 126</v>
      </c>
      <c r="B506" s="5" t="str">
        <f>IF(ActiveDatabase=Standby,Secondary!B506,Primary!B506)</f>
        <v>Hurston 144</v>
      </c>
      <c r="C506" s="5" t="str">
        <f>IF(ActiveDatabase=Standby,Secondary!C506,Primary!C506)</f>
        <v>Hurston 134</v>
      </c>
      <c r="D506" s="5" t="str">
        <f>IF(ActiveDatabase=Standby,Secondary!D506,Primary!D506)</f>
        <v>River 04F</v>
      </c>
      <c r="E506" s="6" t="str">
        <f>IF(ActiveDatabase=Standby,Secondary!E506,Primary!E506)</f>
        <v>River 04F</v>
      </c>
      <c r="F506" s="10">
        <f>IF(ActiveDatabase=Standby,Secondary!F506,Primary!F506)</f>
        <v>-567.53198209808</v>
      </c>
      <c r="G506" s="10">
        <f>IF(ActiveDatabase=Standby,Secondary!G506,Primary!G506)</f>
        <v>-197.87379302837</v>
      </c>
      <c r="H506" s="10">
        <f>IF(ActiveDatabase=Standby,Secondary!H506,Primary!H506)</f>
        <v>-799.84755264195</v>
      </c>
      <c r="I506" s="13">
        <f>IF(ActiveDatabase=Standby,Secondary!I506,Primary!I506)</f>
        <v>0</v>
      </c>
      <c r="J506" s="13">
        <f>IF(ActiveDatabase=Standby,Secondary!J506,Primary!J506)</f>
        <v>0</v>
      </c>
      <c r="K506" s="13">
        <f>IF(ActiveDatabase=Standby,Secondary!K506,Primary!K506)</f>
        <v>0</v>
      </c>
      <c r="L506" s="13">
        <f>IF(ActiveDatabase=Standby,Secondary!L506,Primary!L506)</f>
        <v>0</v>
      </c>
      <c r="M506" s="7" t="b">
        <f>IF(ActiveDatabase=Standby,Secondary!M506,Primary!M506)</f>
        <v>0</v>
      </c>
      <c r="N506" s="10">
        <f>IF(ActiveDatabase=Standby,Secondary!N506,Primary!N506)</f>
        <v>0</v>
      </c>
      <c r="O506" s="10">
        <f>IF(ActiveDatabase=Standby,Secondary!O506,Primary!O506)</f>
        <v>0</v>
      </c>
      <c r="P506" s="10">
        <f>IF(ActiveDatabase=Standby,Secondary!P506,Primary!P506)</f>
        <v>0</v>
      </c>
      <c r="Q506" s="6">
        <f>IF(ActiveDatabase=Standby,Secondary!Q506,Primary!Q506)</f>
        <v>0</v>
      </c>
      <c r="R506" s="18">
        <f>IF(ActiveDatabase=Standby,Secondary!R506,Primary!R506)</f>
        <v>0</v>
      </c>
      <c r="S506" s="19">
        <f>IF(ActiveDatabase=Standby,Secondary!S506,Primary!S506)</f>
        <v>0</v>
      </c>
      <c r="T506" s="10">
        <f>IF(ActiveDatabase=Standby,Secondary!T506,Primary!T506)</f>
        <v>0</v>
      </c>
      <c r="U506" s="10">
        <f>IF(ActiveDatabase=Standby,Secondary!U506,Primary!U506)</f>
        <v>0</v>
      </c>
      <c r="V506" s="10">
        <f>IF(ActiveDatabase=Standby,Secondary!V506,Primary!V506)</f>
        <v>0</v>
      </c>
      <c r="W506" s="6">
        <f>IF(ActiveDatabase=Standby,Secondary!W506,Primary!W506)</f>
        <v>0</v>
      </c>
      <c r="X506" s="6">
        <f>IF(ActiveDatabase=Standby,Secondary!X506,Primary!X506)</f>
        <v>0</v>
      </c>
      <c r="Y506" s="12">
        <f>IF(ActiveDatabase=Standby,Secondary!Y506,Primary!Y506)</f>
        <v>0</v>
      </c>
      <c r="Z506" s="12">
        <f>IF(ActiveDatabase=Standby,Secondary!Z506,Primary!Z506)</f>
        <v>0</v>
      </c>
      <c r="AA506" s="7">
        <f>IF(ActiveDatabase=Standby,Secondary!AA506,Primary!AA506)</f>
        <v>0</v>
      </c>
      <c r="AB506" s="12"/>
      <c r="AC506" s="6"/>
      <c r="AD506" s="6"/>
      <c r="AE506" s="7"/>
      <c r="AF506" s="7"/>
      <c r="AG506" s="7"/>
      <c r="AH506" s="7"/>
      <c r="AI506" s="7"/>
      <c r="AJ506" s="7"/>
      <c r="AK506" s="7"/>
      <c r="AL506" s="7"/>
      <c r="AM506" s="7"/>
      <c r="AN506" s="7"/>
      <c r="AO506" s="6"/>
      <c r="AP506" s="7"/>
      <c r="AQ506" s="7"/>
      <c r="AR506" s="6"/>
      <c r="AS506" s="7"/>
      <c r="AT506" s="7"/>
      <c r="AU506" s="7"/>
      <c r="AV506" s="7"/>
      <c r="AW506" s="7"/>
      <c r="AX506" s="7"/>
      <c r="AY506" s="7"/>
      <c r="AZ506" s="7"/>
      <c r="BA506" s="7"/>
      <c r="BB506" s="7"/>
      <c r="BC506" s="7"/>
      <c r="BD506" s="7"/>
      <c r="BE506" s="7"/>
      <c r="BF506" s="7"/>
      <c r="BG506" s="7"/>
    </row>
    <row r="507" customHeight="1" spans="1:59">
      <c r="A507" s="9" t="str">
        <f>IF(ActiveDatabase=Standby,Secondary!A507,Primary!A507)</f>
        <v>Hurston 125</v>
      </c>
      <c r="B507" s="5" t="str">
        <f>IF(ActiveDatabase=Standby,Secondary!B507,Primary!B507)</f>
        <v>Hurston 143</v>
      </c>
      <c r="C507" s="5" t="str">
        <f>IF(ActiveDatabase=Standby,Secondary!C507,Primary!C507)</f>
        <v>Hurston 138</v>
      </c>
      <c r="D507" s="5" t="str">
        <f>IF(ActiveDatabase=Standby,Secondary!D507,Primary!D507)</f>
        <v>River 02T-024</v>
      </c>
      <c r="E507" s="6" t="str">
        <f>IF(ActiveDatabase=Standby,Secondary!E507,Primary!E507)</f>
        <v>River 02T024</v>
      </c>
      <c r="F507" s="10">
        <f>IF(ActiveDatabase=Standby,Secondary!F507,Primary!F507)</f>
        <v>-711.7388356347</v>
      </c>
      <c r="G507" s="10">
        <f>IF(ActiveDatabase=Standby,Secondary!G507,Primary!G507)</f>
        <v>-150.11837209745</v>
      </c>
      <c r="H507" s="10">
        <f>IF(ActiveDatabase=Standby,Secondary!H507,Primary!H507)</f>
        <v>689.39730382809</v>
      </c>
      <c r="I507" s="13">
        <f>IF(ActiveDatabase=Standby,Secondary!I507,Primary!I507)</f>
        <v>0</v>
      </c>
      <c r="J507" s="13">
        <f>IF(ActiveDatabase=Standby,Secondary!J507,Primary!J507)</f>
        <v>0</v>
      </c>
      <c r="K507" s="13">
        <f>IF(ActiveDatabase=Standby,Secondary!K507,Primary!K507)</f>
        <v>0</v>
      </c>
      <c r="L507" s="13">
        <f>IF(ActiveDatabase=Standby,Secondary!L507,Primary!L507)</f>
        <v>0</v>
      </c>
      <c r="M507" s="7" t="b">
        <f>IF(ActiveDatabase=Standby,Secondary!M507,Primary!M507)</f>
        <v>0</v>
      </c>
      <c r="N507" s="10">
        <f>IF(ActiveDatabase=Standby,Secondary!N507,Primary!N507)</f>
        <v>0</v>
      </c>
      <c r="O507" s="10">
        <f>IF(ActiveDatabase=Standby,Secondary!O507,Primary!O507)</f>
        <v>0</v>
      </c>
      <c r="P507" s="10">
        <f>IF(ActiveDatabase=Standby,Secondary!P507,Primary!P507)</f>
        <v>0</v>
      </c>
      <c r="Q507" s="6">
        <f>IF(ActiveDatabase=Standby,Secondary!Q507,Primary!Q507)</f>
        <v>0</v>
      </c>
      <c r="R507" s="18">
        <f>IF(ActiveDatabase=Standby,Secondary!R507,Primary!R507)</f>
        <v>0</v>
      </c>
      <c r="S507" s="19">
        <f>IF(ActiveDatabase=Standby,Secondary!S507,Primary!S507)</f>
        <v>0</v>
      </c>
      <c r="T507" s="10">
        <f>IF(ActiveDatabase=Standby,Secondary!T507,Primary!T507)</f>
        <v>0</v>
      </c>
      <c r="U507" s="10">
        <f>IF(ActiveDatabase=Standby,Secondary!U507,Primary!U507)</f>
        <v>0</v>
      </c>
      <c r="V507" s="10">
        <f>IF(ActiveDatabase=Standby,Secondary!V507,Primary!V507)</f>
        <v>0</v>
      </c>
      <c r="W507" s="6">
        <f>IF(ActiveDatabase=Standby,Secondary!W507,Primary!W507)</f>
        <v>0</v>
      </c>
      <c r="X507" s="6">
        <f>IF(ActiveDatabase=Standby,Secondary!X507,Primary!X507)</f>
        <v>0</v>
      </c>
      <c r="Y507" s="12">
        <f>IF(ActiveDatabase=Standby,Secondary!Y507,Primary!Y507)</f>
        <v>0</v>
      </c>
      <c r="Z507" s="12">
        <f>IF(ActiveDatabase=Standby,Secondary!Z507,Primary!Z507)</f>
        <v>0</v>
      </c>
      <c r="AA507" s="7">
        <f>IF(ActiveDatabase=Standby,Secondary!AA507,Primary!AA507)</f>
        <v>0</v>
      </c>
      <c r="AB507" s="12"/>
      <c r="AC507" s="6"/>
      <c r="AD507" s="6"/>
      <c r="AE507" s="7"/>
      <c r="AF507" s="7"/>
      <c r="AG507" s="7"/>
      <c r="AH507" s="7"/>
      <c r="AI507" s="7"/>
      <c r="AJ507" s="7"/>
      <c r="AK507" s="7"/>
      <c r="AL507" s="7"/>
      <c r="AM507" s="7"/>
      <c r="AN507" s="7"/>
      <c r="AO507" s="6"/>
      <c r="AP507" s="7"/>
      <c r="AQ507" s="7"/>
      <c r="AR507" s="6"/>
      <c r="AS507" s="7"/>
      <c r="AT507" s="7"/>
      <c r="AU507" s="7"/>
      <c r="AV507" s="7"/>
      <c r="AW507" s="7"/>
      <c r="AX507" s="7"/>
      <c r="AY507" s="7"/>
      <c r="AZ507" s="7"/>
      <c r="BA507" s="7"/>
      <c r="BB507" s="7"/>
      <c r="BC507" s="7"/>
      <c r="BD507" s="7"/>
      <c r="BE507" s="7"/>
      <c r="BF507" s="7"/>
      <c r="BG507" s="7"/>
    </row>
    <row r="508" customHeight="1" spans="1:59">
      <c r="A508" s="9">
        <f>IF(ActiveDatabase=Standby,Secondary!A508,Primary!A508)</f>
        <v>0</v>
      </c>
      <c r="B508" s="5">
        <f>IF(ActiveDatabase=Standby,Secondary!B508,Primary!B508)</f>
        <v>0</v>
      </c>
      <c r="C508" s="5">
        <f>IF(ActiveDatabase=Standby,Secondary!C508,Primary!C508)</f>
        <v>0</v>
      </c>
      <c r="D508" s="5">
        <f>IF(ActiveDatabase=Standby,Secondary!D508,Primary!D508)</f>
        <v>0</v>
      </c>
      <c r="E508" s="6">
        <f>IF(ActiveDatabase=Standby,Secondary!E508,Primary!E508)</f>
        <v>0</v>
      </c>
      <c r="F508" s="10">
        <f>IF(ActiveDatabase=Standby,Secondary!F508,Primary!F508)</f>
        <v>0</v>
      </c>
      <c r="G508" s="10">
        <f>IF(ActiveDatabase=Standby,Secondary!G508,Primary!G508)</f>
        <v>0</v>
      </c>
      <c r="H508" s="10">
        <f>IF(ActiveDatabase=Standby,Secondary!H508,Primary!H508)</f>
        <v>0</v>
      </c>
      <c r="I508" s="13">
        <f>IF(ActiveDatabase=Standby,Secondary!I508,Primary!I508)</f>
        <v>0</v>
      </c>
      <c r="J508" s="13">
        <f>IF(ActiveDatabase=Standby,Secondary!J508,Primary!J508)</f>
        <v>0</v>
      </c>
      <c r="K508" s="13">
        <f>IF(ActiveDatabase=Standby,Secondary!K508,Primary!K508)</f>
        <v>0</v>
      </c>
      <c r="L508" s="13">
        <f>IF(ActiveDatabase=Standby,Secondary!L508,Primary!L508)</f>
        <v>0</v>
      </c>
      <c r="M508" s="7">
        <f>IF(ActiveDatabase=Standby,Secondary!M508,Primary!M508)</f>
        <v>0</v>
      </c>
      <c r="N508" s="10">
        <f>IF(ActiveDatabase=Standby,Secondary!N508,Primary!N508)</f>
        <v>0</v>
      </c>
      <c r="O508" s="10">
        <f>IF(ActiveDatabase=Standby,Secondary!O508,Primary!O508)</f>
        <v>0</v>
      </c>
      <c r="P508" s="10">
        <f>IF(ActiveDatabase=Standby,Secondary!P508,Primary!P508)</f>
        <v>0</v>
      </c>
      <c r="Q508" s="6">
        <f>IF(ActiveDatabase=Standby,Secondary!Q508,Primary!Q508)</f>
        <v>0</v>
      </c>
      <c r="R508" s="18">
        <f>IF(ActiveDatabase=Standby,Secondary!R508,Primary!R508)</f>
        <v>0</v>
      </c>
      <c r="S508" s="19">
        <f>IF(ActiveDatabase=Standby,Secondary!S508,Primary!S508)</f>
        <v>0</v>
      </c>
      <c r="T508" s="10">
        <f>IF(ActiveDatabase=Standby,Secondary!T508,Primary!T508)</f>
        <v>0</v>
      </c>
      <c r="U508" s="10">
        <f>IF(ActiveDatabase=Standby,Secondary!U508,Primary!U508)</f>
        <v>0</v>
      </c>
      <c r="V508" s="10">
        <f>IF(ActiveDatabase=Standby,Secondary!V508,Primary!V508)</f>
        <v>0</v>
      </c>
      <c r="W508" s="6">
        <f>IF(ActiveDatabase=Standby,Secondary!W508,Primary!W508)</f>
        <v>0</v>
      </c>
      <c r="X508" s="6">
        <f>IF(ActiveDatabase=Standby,Secondary!X508,Primary!X508)</f>
        <v>0</v>
      </c>
      <c r="Y508" s="12">
        <f>IF(ActiveDatabase=Standby,Secondary!Y508,Primary!Y508)</f>
        <v>0</v>
      </c>
      <c r="Z508" s="12">
        <f>IF(ActiveDatabase=Standby,Secondary!Z508,Primary!Z508)</f>
        <v>0</v>
      </c>
      <c r="AA508" s="7">
        <f>IF(ActiveDatabase=Standby,Secondary!AA508,Primary!AA508)</f>
        <v>0</v>
      </c>
      <c r="AB508" s="12"/>
      <c r="AC508" s="6"/>
      <c r="AD508" s="6"/>
      <c r="AE508" s="7"/>
      <c r="AF508" s="7"/>
      <c r="AG508" s="7"/>
      <c r="AH508" s="7"/>
      <c r="AI508" s="7"/>
      <c r="AJ508" s="7"/>
      <c r="AK508" s="7"/>
      <c r="AL508" s="7"/>
      <c r="AM508" s="7"/>
      <c r="AN508" s="7"/>
      <c r="AO508" s="6"/>
      <c r="AP508" s="7"/>
      <c r="AQ508" s="7"/>
      <c r="AR508" s="6"/>
      <c r="AS508" s="7"/>
      <c r="AT508" s="7"/>
      <c r="AU508" s="7"/>
      <c r="AV508" s="7"/>
      <c r="AW508" s="7"/>
      <c r="AX508" s="7"/>
      <c r="AY508" s="7"/>
      <c r="AZ508" s="7"/>
      <c r="BA508" s="7"/>
      <c r="BB508" s="7"/>
      <c r="BC508" s="7"/>
      <c r="BD508" s="7"/>
      <c r="BE508" s="7"/>
      <c r="BF508" s="7"/>
      <c r="BG508" s="7"/>
    </row>
    <row r="509" customHeight="1" spans="1:59">
      <c r="A509" s="9" t="str">
        <f>IF(ActiveDatabase=Standby,Secondary!A509,Primary!A509)</f>
        <v>Ita R01</v>
      </c>
      <c r="B509" s="5" t="str">
        <f>IF(ActiveDatabase=Standby,Secondary!B509,Primary!B509)</f>
        <v>Ita 50</v>
      </c>
      <c r="C509" s="5">
        <f>IF(ActiveDatabase=Standby,Secondary!C509,Primary!C509)</f>
        <v>0</v>
      </c>
      <c r="D509" s="5" t="str">
        <f>IF(ActiveDatabase=Standby,Secondary!D509,Primary!D509)</f>
        <v>OM-1</v>
      </c>
      <c r="E509" s="6" t="str">
        <f>IF(ActiveDatabase=Standby,Secondary!E509,Primary!E509)</f>
        <v>OM1</v>
      </c>
      <c r="F509" s="10">
        <f>IF(ActiveDatabase=Standby,Secondary!F509,Primary!F509)</f>
        <v>0</v>
      </c>
      <c r="G509" s="10">
        <f>IF(ActiveDatabase=Standby,Secondary!G509,Primary!G509)</f>
        <v>0</v>
      </c>
      <c r="H509" s="10">
        <f>IF(ActiveDatabase=Standby,Secondary!H509,Primary!H509)</f>
        <v>472.453</v>
      </c>
      <c r="I509" s="13">
        <f>IF(ActiveDatabase=Standby,Secondary!I509,Primary!I509)</f>
        <v>0</v>
      </c>
      <c r="J509" s="13">
        <f>IF(ActiveDatabase=Standby,Secondary!J509,Primary!J509)</f>
        <v>0</v>
      </c>
      <c r="K509" s="13">
        <f>IF(ActiveDatabase=Standby,Secondary!K509,Primary!K509)</f>
        <v>0</v>
      </c>
      <c r="L509" s="13">
        <f>IF(ActiveDatabase=Standby,Secondary!L509,Primary!L509)</f>
        <v>0</v>
      </c>
      <c r="M509" s="7" t="b">
        <f>IF(ActiveDatabase=Standby,Secondary!M509,Primary!M509)</f>
        <v>1</v>
      </c>
      <c r="N509" s="10">
        <f>IF(ActiveDatabase=Standby,Secondary!N509,Primary!N509)</f>
        <v>0</v>
      </c>
      <c r="O509" s="10">
        <f>IF(ActiveDatabase=Standby,Secondary!O509,Primary!O509)</f>
        <v>0</v>
      </c>
      <c r="P509" s="10">
        <f>IF(ActiveDatabase=Standby,Secondary!P509,Primary!P509)</f>
        <v>0</v>
      </c>
      <c r="Q509" s="6">
        <f>IF(ActiveDatabase=Standby,Secondary!Q509,Primary!Q509)</f>
        <v>0</v>
      </c>
      <c r="R509" s="18">
        <f>IF(ActiveDatabase=Standby,Secondary!R509,Primary!R509)</f>
        <v>0</v>
      </c>
      <c r="S509" s="19">
        <f>IF(ActiveDatabase=Standby,Secondary!S509,Primary!S509)</f>
        <v>0</v>
      </c>
      <c r="T509" s="10">
        <f>IF(ActiveDatabase=Standby,Secondary!T509,Primary!T509)</f>
        <v>0</v>
      </c>
      <c r="U509" s="10">
        <f>IF(ActiveDatabase=Standby,Secondary!U509,Primary!U509)</f>
        <v>0</v>
      </c>
      <c r="V509" s="10">
        <f>IF(ActiveDatabase=Standby,Secondary!V509,Primary!V509)</f>
        <v>0</v>
      </c>
      <c r="W509" s="6">
        <f>IF(ActiveDatabase=Standby,Secondary!W509,Primary!W509)</f>
        <v>0</v>
      </c>
      <c r="X509" s="6">
        <f>IF(ActiveDatabase=Standby,Secondary!X509,Primary!X509)</f>
        <v>0</v>
      </c>
      <c r="Y509" s="12">
        <f>IF(ActiveDatabase=Standby,Secondary!Y509,Primary!Y509)</f>
        <v>0</v>
      </c>
      <c r="Z509" s="12">
        <f>IF(ActiveDatabase=Standby,Secondary!Z509,Primary!Z509)</f>
        <v>0</v>
      </c>
      <c r="AA509" s="7">
        <f>IF(ActiveDatabase=Standby,Secondary!AA509,Primary!AA509)</f>
        <v>0</v>
      </c>
      <c r="AB509" s="12"/>
      <c r="AC509" s="6"/>
      <c r="AD509" s="6"/>
      <c r="AE509" s="7"/>
      <c r="AF509" s="7"/>
      <c r="AG509" s="7"/>
      <c r="AH509" s="7"/>
      <c r="AI509" s="7"/>
      <c r="AJ509" s="7"/>
      <c r="AK509" s="7"/>
      <c r="AL509" s="7"/>
      <c r="AM509" s="7"/>
      <c r="AN509" s="7"/>
      <c r="AO509" s="6"/>
      <c r="AP509" s="7"/>
      <c r="AQ509" s="7"/>
      <c r="AR509" s="6"/>
      <c r="AS509" s="7"/>
      <c r="AT509" s="7"/>
      <c r="AU509" s="7"/>
      <c r="AV509" s="7"/>
      <c r="AW509" s="7"/>
      <c r="AX509" s="7"/>
      <c r="AY509" s="7"/>
      <c r="AZ509" s="7"/>
      <c r="BA509" s="7"/>
      <c r="BB509" s="7"/>
      <c r="BC509" s="7"/>
      <c r="BD509" s="7"/>
      <c r="BE509" s="7"/>
      <c r="BF509" s="7"/>
      <c r="BG509" s="7"/>
    </row>
    <row r="510" customHeight="1" spans="1:59">
      <c r="A510" s="9" t="str">
        <f>IF(ActiveDatabase=Standby,Secondary!A510,Primary!A510)</f>
        <v>Ita R02</v>
      </c>
      <c r="B510" s="5" t="str">
        <f>IF(ActiveDatabase=Standby,Secondary!B510,Primary!B510)</f>
        <v>Ita 51</v>
      </c>
      <c r="C510" s="5">
        <f>IF(ActiveDatabase=Standby,Secondary!C510,Primary!C510)</f>
        <v>0</v>
      </c>
      <c r="D510" s="5" t="str">
        <f>IF(ActiveDatabase=Standby,Secondary!D510,Primary!D510)</f>
        <v>OM-2</v>
      </c>
      <c r="E510" s="6" t="str">
        <f>IF(ActiveDatabase=Standby,Secondary!E510,Primary!E510)</f>
        <v>OM2</v>
      </c>
      <c r="F510" s="10">
        <f>IF(ActiveDatabase=Standby,Secondary!F510,Primary!F510)</f>
        <v>0</v>
      </c>
      <c r="G510" s="10">
        <f>IF(ActiveDatabase=Standby,Secondary!G510,Primary!G510)</f>
        <v>0</v>
      </c>
      <c r="H510" s="10">
        <f>IF(ActiveDatabase=Standby,Secondary!H510,Primary!H510)</f>
        <v>-472.453</v>
      </c>
      <c r="I510" s="13">
        <f>IF(ActiveDatabase=Standby,Secondary!I510,Primary!I510)</f>
        <v>0</v>
      </c>
      <c r="J510" s="13">
        <f>IF(ActiveDatabase=Standby,Secondary!J510,Primary!J510)</f>
        <v>0</v>
      </c>
      <c r="K510" s="13">
        <f>IF(ActiveDatabase=Standby,Secondary!K510,Primary!K510)</f>
        <v>0</v>
      </c>
      <c r="L510" s="13">
        <f>IF(ActiveDatabase=Standby,Secondary!L510,Primary!L510)</f>
        <v>0</v>
      </c>
      <c r="M510" s="7" t="b">
        <f>IF(ActiveDatabase=Standby,Secondary!M510,Primary!M510)</f>
        <v>1</v>
      </c>
      <c r="N510" s="10">
        <f>IF(ActiveDatabase=Standby,Secondary!N510,Primary!N510)</f>
        <v>0</v>
      </c>
      <c r="O510" s="10">
        <f>IF(ActiveDatabase=Standby,Secondary!O510,Primary!O510)</f>
        <v>0</v>
      </c>
      <c r="P510" s="10">
        <f>IF(ActiveDatabase=Standby,Secondary!P510,Primary!P510)</f>
        <v>0</v>
      </c>
      <c r="Q510" s="6">
        <f>IF(ActiveDatabase=Standby,Secondary!Q510,Primary!Q510)</f>
        <v>0</v>
      </c>
      <c r="R510" s="18">
        <f>IF(ActiveDatabase=Standby,Secondary!R510,Primary!R510)</f>
        <v>0</v>
      </c>
      <c r="S510" s="19">
        <f>IF(ActiveDatabase=Standby,Secondary!S510,Primary!S510)</f>
        <v>0</v>
      </c>
      <c r="T510" s="10">
        <f>IF(ActiveDatabase=Standby,Secondary!T510,Primary!T510)</f>
        <v>0</v>
      </c>
      <c r="U510" s="10">
        <f>IF(ActiveDatabase=Standby,Secondary!U510,Primary!U510)</f>
        <v>0</v>
      </c>
      <c r="V510" s="10">
        <f>IF(ActiveDatabase=Standby,Secondary!V510,Primary!V510)</f>
        <v>0</v>
      </c>
      <c r="W510" s="6">
        <f>IF(ActiveDatabase=Standby,Secondary!W510,Primary!W510)</f>
        <v>0</v>
      </c>
      <c r="X510" s="6">
        <f>IF(ActiveDatabase=Standby,Secondary!X510,Primary!X510)</f>
        <v>0</v>
      </c>
      <c r="Y510" s="12">
        <f>IF(ActiveDatabase=Standby,Secondary!Y510,Primary!Y510)</f>
        <v>0</v>
      </c>
      <c r="Z510" s="12">
        <f>IF(ActiveDatabase=Standby,Secondary!Z510,Primary!Z510)</f>
        <v>0</v>
      </c>
      <c r="AA510" s="7">
        <f>IF(ActiveDatabase=Standby,Secondary!AA510,Primary!AA510)</f>
        <v>0</v>
      </c>
      <c r="AB510" s="12"/>
      <c r="AC510" s="6"/>
      <c r="AD510" s="6"/>
      <c r="AE510" s="7"/>
      <c r="AF510" s="7"/>
      <c r="AG510" s="7"/>
      <c r="AH510" s="7"/>
      <c r="AI510" s="7"/>
      <c r="AJ510" s="7"/>
      <c r="AK510" s="7"/>
      <c r="AL510" s="7"/>
      <c r="AM510" s="7"/>
      <c r="AN510" s="7"/>
      <c r="AO510" s="6"/>
      <c r="AP510" s="7"/>
      <c r="AQ510" s="7"/>
      <c r="AR510" s="6"/>
      <c r="AS510" s="7"/>
      <c r="AT510" s="7"/>
      <c r="AU510" s="7"/>
      <c r="AV510" s="7"/>
      <c r="AW510" s="7"/>
      <c r="AX510" s="7"/>
      <c r="AY510" s="7"/>
      <c r="AZ510" s="7"/>
      <c r="BA510" s="7"/>
      <c r="BB510" s="7"/>
      <c r="BC510" s="7"/>
      <c r="BD510" s="7"/>
      <c r="BE510" s="7"/>
      <c r="BF510" s="7"/>
      <c r="BG510" s="7"/>
    </row>
    <row r="511" customHeight="1" spans="1:59">
      <c r="A511" s="9" t="str">
        <f>IF(ActiveDatabase=Standby,Secondary!A511,Primary!A511)</f>
        <v>Ita R03</v>
      </c>
      <c r="B511" s="5" t="str">
        <f>IF(ActiveDatabase=Standby,Secondary!B511,Primary!B511)</f>
        <v>Ita 52</v>
      </c>
      <c r="C511" s="5" t="str">
        <f>IF(ActiveDatabase=Standby,Secondary!C511,Primary!C511)</f>
        <v>Ita 09</v>
      </c>
      <c r="D511" s="5" t="str">
        <f>IF(ActiveDatabase=Standby,Secondary!D511,Primary!D511)</f>
        <v>OM-3</v>
      </c>
      <c r="E511" s="6" t="str">
        <f>IF(ActiveDatabase=Standby,Secondary!E511,Primary!E511)</f>
        <v>OM3</v>
      </c>
      <c r="F511" s="10">
        <f>IF(ActiveDatabase=Standby,Secondary!F511,Primary!F511)</f>
        <v>0</v>
      </c>
      <c r="G511" s="10">
        <f>IF(ActiveDatabase=Standby,Secondary!G511,Primary!G511)</f>
        <v>472.453</v>
      </c>
      <c r="H511" s="10">
        <f>IF(ActiveDatabase=Standby,Secondary!H511,Primary!H511)</f>
        <v>0</v>
      </c>
      <c r="I511" s="13">
        <f>IF(ActiveDatabase=Standby,Secondary!I511,Primary!I511)</f>
        <v>0</v>
      </c>
      <c r="J511" s="13">
        <f>IF(ActiveDatabase=Standby,Secondary!J511,Primary!J511)</f>
        <v>0</v>
      </c>
      <c r="K511" s="13">
        <f>IF(ActiveDatabase=Standby,Secondary!K511,Primary!K511)</f>
        <v>0</v>
      </c>
      <c r="L511" s="13">
        <f>IF(ActiveDatabase=Standby,Secondary!L511,Primary!L511)</f>
        <v>0</v>
      </c>
      <c r="M511" s="7" t="b">
        <f>IF(ActiveDatabase=Standby,Secondary!M511,Primary!M511)</f>
        <v>1</v>
      </c>
      <c r="N511" s="10">
        <f>IF(ActiveDatabase=Standby,Secondary!N511,Primary!N511)</f>
        <v>0</v>
      </c>
      <c r="O511" s="10">
        <f>IF(ActiveDatabase=Standby,Secondary!O511,Primary!O511)</f>
        <v>0</v>
      </c>
      <c r="P511" s="10">
        <f>IF(ActiveDatabase=Standby,Secondary!P511,Primary!P511)</f>
        <v>0</v>
      </c>
      <c r="Q511" s="6">
        <f>IF(ActiveDatabase=Standby,Secondary!Q511,Primary!Q511)</f>
        <v>0</v>
      </c>
      <c r="R511" s="18">
        <f>IF(ActiveDatabase=Standby,Secondary!R511,Primary!R511)</f>
        <v>0</v>
      </c>
      <c r="S511" s="19">
        <f>IF(ActiveDatabase=Standby,Secondary!S511,Primary!S511)</f>
        <v>0</v>
      </c>
      <c r="T511" s="10">
        <f>IF(ActiveDatabase=Standby,Secondary!T511,Primary!T511)</f>
        <v>0</v>
      </c>
      <c r="U511" s="10">
        <f>IF(ActiveDatabase=Standby,Secondary!U511,Primary!U511)</f>
        <v>0</v>
      </c>
      <c r="V511" s="10">
        <f>IF(ActiveDatabase=Standby,Secondary!V511,Primary!V511)</f>
        <v>0</v>
      </c>
      <c r="W511" s="6">
        <f>IF(ActiveDatabase=Standby,Secondary!W511,Primary!W511)</f>
        <v>0</v>
      </c>
      <c r="X511" s="6">
        <f>IF(ActiveDatabase=Standby,Secondary!X511,Primary!X511)</f>
        <v>0</v>
      </c>
      <c r="Y511" s="12">
        <f>IF(ActiveDatabase=Standby,Secondary!Y511,Primary!Y511)</f>
        <v>0</v>
      </c>
      <c r="Z511" s="12">
        <f>IF(ActiveDatabase=Standby,Secondary!Z511,Primary!Z511)</f>
        <v>0</v>
      </c>
      <c r="AA511" s="7">
        <f>IF(ActiveDatabase=Standby,Secondary!AA511,Primary!AA511)</f>
        <v>0</v>
      </c>
      <c r="AB511" s="12"/>
      <c r="AC511" s="6"/>
      <c r="AD511" s="6"/>
      <c r="AE511" s="7"/>
      <c r="AF511" s="7"/>
      <c r="AG511" s="7"/>
      <c r="AH511" s="7"/>
      <c r="AI511" s="7"/>
      <c r="AJ511" s="7"/>
      <c r="AK511" s="7"/>
      <c r="AL511" s="7"/>
      <c r="AM511" s="7"/>
      <c r="AN511" s="7"/>
      <c r="AO511" s="6"/>
      <c r="AP511" s="7"/>
      <c r="AQ511" s="7"/>
      <c r="AR511" s="6"/>
      <c r="AS511" s="7"/>
      <c r="AT511" s="7"/>
      <c r="AU511" s="7"/>
      <c r="AV511" s="7"/>
      <c r="AW511" s="7"/>
      <c r="AX511" s="7"/>
      <c r="AY511" s="7"/>
      <c r="AZ511" s="7"/>
      <c r="BA511" s="7"/>
      <c r="BB511" s="7"/>
      <c r="BC511" s="7"/>
      <c r="BD511" s="7"/>
      <c r="BE511" s="7"/>
      <c r="BF511" s="7"/>
      <c r="BG511" s="7"/>
    </row>
    <row r="512" customHeight="1" spans="1:59">
      <c r="A512" s="9" t="str">
        <f>IF(ActiveDatabase=Standby,Secondary!A512,Primary!A512)</f>
        <v>Ita R04</v>
      </c>
      <c r="B512" s="5" t="str">
        <f>IF(ActiveDatabase=Standby,Secondary!B512,Primary!B512)</f>
        <v>Ita 53</v>
      </c>
      <c r="C512" s="5" t="str">
        <f>IF(ActiveDatabase=Standby,Secondary!C512,Primary!C512)</f>
        <v>Ita 31</v>
      </c>
      <c r="D512" s="5" t="str">
        <f>IF(ActiveDatabase=Standby,Secondary!D512,Primary!D512)</f>
        <v>OM-4</v>
      </c>
      <c r="E512" s="6" t="str">
        <f>IF(ActiveDatabase=Standby,Secondary!E512,Primary!E512)</f>
        <v>OM4</v>
      </c>
      <c r="F512" s="10">
        <f>IF(ActiveDatabase=Standby,Secondary!F512,Primary!F512)</f>
        <v>0</v>
      </c>
      <c r="G512" s="10">
        <f>IF(ActiveDatabase=Standby,Secondary!G512,Primary!G512)</f>
        <v>-472.453</v>
      </c>
      <c r="H512" s="10">
        <f>IF(ActiveDatabase=Standby,Secondary!H512,Primary!H512)</f>
        <v>0</v>
      </c>
      <c r="I512" s="13">
        <f>IF(ActiveDatabase=Standby,Secondary!I512,Primary!I512)</f>
        <v>0</v>
      </c>
      <c r="J512" s="13">
        <f>IF(ActiveDatabase=Standby,Secondary!J512,Primary!J512)</f>
        <v>0</v>
      </c>
      <c r="K512" s="13">
        <f>IF(ActiveDatabase=Standby,Secondary!K512,Primary!K512)</f>
        <v>0</v>
      </c>
      <c r="L512" s="13">
        <f>IF(ActiveDatabase=Standby,Secondary!L512,Primary!L512)</f>
        <v>0</v>
      </c>
      <c r="M512" s="7" t="b">
        <f>IF(ActiveDatabase=Standby,Secondary!M512,Primary!M512)</f>
        <v>1</v>
      </c>
      <c r="N512" s="10">
        <f>IF(ActiveDatabase=Standby,Secondary!N512,Primary!N512)</f>
        <v>0</v>
      </c>
      <c r="O512" s="10">
        <f>IF(ActiveDatabase=Standby,Secondary!O512,Primary!O512)</f>
        <v>0</v>
      </c>
      <c r="P512" s="10">
        <f>IF(ActiveDatabase=Standby,Secondary!P512,Primary!P512)</f>
        <v>0</v>
      </c>
      <c r="Q512" s="6">
        <f>IF(ActiveDatabase=Standby,Secondary!Q512,Primary!Q512)</f>
        <v>0</v>
      </c>
      <c r="R512" s="18">
        <f>IF(ActiveDatabase=Standby,Secondary!R512,Primary!R512)</f>
        <v>0</v>
      </c>
      <c r="S512" s="19">
        <f>IF(ActiveDatabase=Standby,Secondary!S512,Primary!S512)</f>
        <v>0</v>
      </c>
      <c r="T512" s="10">
        <f>IF(ActiveDatabase=Standby,Secondary!T512,Primary!T512)</f>
        <v>0</v>
      </c>
      <c r="U512" s="10">
        <f>IF(ActiveDatabase=Standby,Secondary!U512,Primary!U512)</f>
        <v>0</v>
      </c>
      <c r="V512" s="10">
        <f>IF(ActiveDatabase=Standby,Secondary!V512,Primary!V512)</f>
        <v>0</v>
      </c>
      <c r="W512" s="6">
        <f>IF(ActiveDatabase=Standby,Secondary!W512,Primary!W512)</f>
        <v>0</v>
      </c>
      <c r="X512" s="6">
        <f>IF(ActiveDatabase=Standby,Secondary!X512,Primary!X512)</f>
        <v>0</v>
      </c>
      <c r="Y512" s="12">
        <f>IF(ActiveDatabase=Standby,Secondary!Y512,Primary!Y512)</f>
        <v>0</v>
      </c>
      <c r="Z512" s="12">
        <f>IF(ActiveDatabase=Standby,Secondary!Z512,Primary!Z512)</f>
        <v>0</v>
      </c>
      <c r="AA512" s="7">
        <f>IF(ActiveDatabase=Standby,Secondary!AA512,Primary!AA512)</f>
        <v>0</v>
      </c>
      <c r="AB512" s="12"/>
      <c r="AC512" s="6"/>
      <c r="AD512" s="6"/>
      <c r="AE512" s="7"/>
      <c r="AF512" s="7"/>
      <c r="AG512" s="7"/>
      <c r="AH512" s="7"/>
      <c r="AI512" s="7"/>
      <c r="AJ512" s="7"/>
      <c r="AK512" s="7"/>
      <c r="AL512" s="7"/>
      <c r="AM512" s="7"/>
      <c r="AN512" s="7"/>
      <c r="AO512" s="6"/>
      <c r="AP512" s="7"/>
      <c r="AQ512" s="7"/>
      <c r="AR512" s="6"/>
      <c r="AS512" s="7"/>
      <c r="AT512" s="7"/>
      <c r="AU512" s="7"/>
      <c r="AV512" s="7"/>
      <c r="AW512" s="7"/>
      <c r="AX512" s="7"/>
      <c r="AY512" s="7"/>
      <c r="AZ512" s="7"/>
      <c r="BA512" s="7"/>
      <c r="BB512" s="7"/>
      <c r="BC512" s="7"/>
      <c r="BD512" s="7"/>
      <c r="BE512" s="7"/>
      <c r="BF512" s="7"/>
      <c r="BG512" s="7"/>
    </row>
    <row r="513" customHeight="1" spans="1:59">
      <c r="A513" s="9" t="str">
        <f>IF(ActiveDatabase=Standby,Secondary!A513,Primary!A513)</f>
        <v>Ita R05</v>
      </c>
      <c r="B513" s="5" t="str">
        <f>IF(ActiveDatabase=Standby,Secondary!B513,Primary!B513)</f>
        <v>Ita 54</v>
      </c>
      <c r="C513" s="5" t="str">
        <f>IF(ActiveDatabase=Standby,Secondary!C513,Primary!C513)</f>
        <v>Ita 18</v>
      </c>
      <c r="D513" s="5" t="str">
        <f>IF(ActiveDatabase=Standby,Secondary!D513,Primary!D513)</f>
        <v>OM-5</v>
      </c>
      <c r="E513" s="6" t="str">
        <f>IF(ActiveDatabase=Standby,Secondary!E513,Primary!E513)</f>
        <v>OM5</v>
      </c>
      <c r="F513" s="10">
        <f>IF(ActiveDatabase=Standby,Secondary!F513,Primary!F513)</f>
        <v>472.453</v>
      </c>
      <c r="G513" s="10">
        <f>IF(ActiveDatabase=Standby,Secondary!G513,Primary!G513)</f>
        <v>0</v>
      </c>
      <c r="H513" s="10">
        <f>IF(ActiveDatabase=Standby,Secondary!H513,Primary!H513)</f>
        <v>0</v>
      </c>
      <c r="I513" s="13">
        <f>IF(ActiveDatabase=Standby,Secondary!I513,Primary!I513)</f>
        <v>0</v>
      </c>
      <c r="J513" s="13">
        <f>IF(ActiveDatabase=Standby,Secondary!J513,Primary!J513)</f>
        <v>0</v>
      </c>
      <c r="K513" s="13">
        <f>IF(ActiveDatabase=Standby,Secondary!K513,Primary!K513)</f>
        <v>0</v>
      </c>
      <c r="L513" s="13">
        <f>IF(ActiveDatabase=Standby,Secondary!L513,Primary!L513)</f>
        <v>0</v>
      </c>
      <c r="M513" s="7" t="b">
        <f>IF(ActiveDatabase=Standby,Secondary!M513,Primary!M513)</f>
        <v>1</v>
      </c>
      <c r="N513" s="10">
        <f>IF(ActiveDatabase=Standby,Secondary!N513,Primary!N513)</f>
        <v>0</v>
      </c>
      <c r="O513" s="10">
        <f>IF(ActiveDatabase=Standby,Secondary!O513,Primary!O513)</f>
        <v>0</v>
      </c>
      <c r="P513" s="10">
        <f>IF(ActiveDatabase=Standby,Secondary!P513,Primary!P513)</f>
        <v>0</v>
      </c>
      <c r="Q513" s="6">
        <f>IF(ActiveDatabase=Standby,Secondary!Q513,Primary!Q513)</f>
        <v>0</v>
      </c>
      <c r="R513" s="18">
        <f>IF(ActiveDatabase=Standby,Secondary!R513,Primary!R513)</f>
        <v>0</v>
      </c>
      <c r="S513" s="19">
        <f>IF(ActiveDatabase=Standby,Secondary!S513,Primary!S513)</f>
        <v>0</v>
      </c>
      <c r="T513" s="10">
        <f>IF(ActiveDatabase=Standby,Secondary!T513,Primary!T513)</f>
        <v>0</v>
      </c>
      <c r="U513" s="10">
        <f>IF(ActiveDatabase=Standby,Secondary!U513,Primary!U513)</f>
        <v>0</v>
      </c>
      <c r="V513" s="10">
        <f>IF(ActiveDatabase=Standby,Secondary!V513,Primary!V513)</f>
        <v>0</v>
      </c>
      <c r="W513" s="6">
        <f>IF(ActiveDatabase=Standby,Secondary!W513,Primary!W513)</f>
        <v>0</v>
      </c>
      <c r="X513" s="6">
        <f>IF(ActiveDatabase=Standby,Secondary!X513,Primary!X513)</f>
        <v>0</v>
      </c>
      <c r="Y513" s="12">
        <f>IF(ActiveDatabase=Standby,Secondary!Y513,Primary!Y513)</f>
        <v>0</v>
      </c>
      <c r="Z513" s="12">
        <f>IF(ActiveDatabase=Standby,Secondary!Z513,Primary!Z513)</f>
        <v>0</v>
      </c>
      <c r="AA513" s="7">
        <f>IF(ActiveDatabase=Standby,Secondary!AA513,Primary!AA513)</f>
        <v>0</v>
      </c>
      <c r="AB513" s="12"/>
      <c r="AC513" s="6"/>
      <c r="AD513" s="6"/>
      <c r="AE513" s="7"/>
      <c r="AF513" s="7"/>
      <c r="AG513" s="7"/>
      <c r="AH513" s="7"/>
      <c r="AI513" s="7"/>
      <c r="AJ513" s="7"/>
      <c r="AK513" s="7"/>
      <c r="AL513" s="7"/>
      <c r="AM513" s="7"/>
      <c r="AN513" s="7"/>
      <c r="AO513" s="6"/>
      <c r="AP513" s="7"/>
      <c r="AQ513" s="7"/>
      <c r="AR513" s="6"/>
      <c r="AS513" s="7"/>
      <c r="AT513" s="7"/>
      <c r="AU513" s="7"/>
      <c r="AV513" s="7"/>
      <c r="AW513" s="7"/>
      <c r="AX513" s="7"/>
      <c r="AY513" s="7"/>
      <c r="AZ513" s="7"/>
      <c r="BA513" s="7"/>
      <c r="BB513" s="7"/>
      <c r="BC513" s="7"/>
      <c r="BD513" s="7"/>
      <c r="BE513" s="7"/>
      <c r="BF513" s="7"/>
      <c r="BG513" s="7"/>
    </row>
    <row r="514" customHeight="1" spans="1:59">
      <c r="A514" s="9" t="str">
        <f>IF(ActiveDatabase=Standby,Secondary!A514,Primary!A514)</f>
        <v>Ita R06</v>
      </c>
      <c r="B514" s="5" t="str">
        <f>IF(ActiveDatabase=Standby,Secondary!B514,Primary!B514)</f>
        <v>Ita 55</v>
      </c>
      <c r="C514" s="5" t="str">
        <f>IF(ActiveDatabase=Standby,Secondary!C514,Primary!C514)</f>
        <v>Ita 44</v>
      </c>
      <c r="D514" s="5" t="str">
        <f>IF(ActiveDatabase=Standby,Secondary!D514,Primary!D514)</f>
        <v>OM-6</v>
      </c>
      <c r="E514" s="6" t="str">
        <f>IF(ActiveDatabase=Standby,Secondary!E514,Primary!E514)</f>
        <v>OM6</v>
      </c>
      <c r="F514" s="10">
        <f>IF(ActiveDatabase=Standby,Secondary!F514,Primary!F514)</f>
        <v>-472.453</v>
      </c>
      <c r="G514" s="10">
        <f>IF(ActiveDatabase=Standby,Secondary!G514,Primary!G514)</f>
        <v>0</v>
      </c>
      <c r="H514" s="10">
        <f>IF(ActiveDatabase=Standby,Secondary!H514,Primary!H514)</f>
        <v>0</v>
      </c>
      <c r="I514" s="13">
        <f>IF(ActiveDatabase=Standby,Secondary!I514,Primary!I514)</f>
        <v>0</v>
      </c>
      <c r="J514" s="13">
        <f>IF(ActiveDatabase=Standby,Secondary!J514,Primary!J514)</f>
        <v>0</v>
      </c>
      <c r="K514" s="13">
        <f>IF(ActiveDatabase=Standby,Secondary!K514,Primary!K514)</f>
        <v>0</v>
      </c>
      <c r="L514" s="13">
        <f>IF(ActiveDatabase=Standby,Secondary!L514,Primary!L514)</f>
        <v>0</v>
      </c>
      <c r="M514" s="7" t="b">
        <f>IF(ActiveDatabase=Standby,Secondary!M514,Primary!M514)</f>
        <v>1</v>
      </c>
      <c r="N514" s="10">
        <f>IF(ActiveDatabase=Standby,Secondary!N514,Primary!N514)</f>
        <v>0</v>
      </c>
      <c r="O514" s="10">
        <f>IF(ActiveDatabase=Standby,Secondary!O514,Primary!O514)</f>
        <v>0</v>
      </c>
      <c r="P514" s="10">
        <f>IF(ActiveDatabase=Standby,Secondary!P514,Primary!P514)</f>
        <v>0</v>
      </c>
      <c r="Q514" s="6">
        <f>IF(ActiveDatabase=Standby,Secondary!Q514,Primary!Q514)</f>
        <v>0</v>
      </c>
      <c r="R514" s="18">
        <f>IF(ActiveDatabase=Standby,Secondary!R514,Primary!R514)</f>
        <v>0</v>
      </c>
      <c r="S514" s="19">
        <f>IF(ActiveDatabase=Standby,Secondary!S514,Primary!S514)</f>
        <v>0</v>
      </c>
      <c r="T514" s="10">
        <f>IF(ActiveDatabase=Standby,Secondary!T514,Primary!T514)</f>
        <v>0</v>
      </c>
      <c r="U514" s="10">
        <f>IF(ActiveDatabase=Standby,Secondary!U514,Primary!U514)</f>
        <v>0</v>
      </c>
      <c r="V514" s="10">
        <f>IF(ActiveDatabase=Standby,Secondary!V514,Primary!V514)</f>
        <v>0</v>
      </c>
      <c r="W514" s="6">
        <f>IF(ActiveDatabase=Standby,Secondary!W514,Primary!W514)</f>
        <v>0</v>
      </c>
      <c r="X514" s="6">
        <f>IF(ActiveDatabase=Standby,Secondary!X514,Primary!X514)</f>
        <v>0</v>
      </c>
      <c r="Y514" s="12">
        <f>IF(ActiveDatabase=Standby,Secondary!Y514,Primary!Y514)</f>
        <v>0</v>
      </c>
      <c r="Z514" s="12">
        <f>IF(ActiveDatabase=Standby,Secondary!Z514,Primary!Z514)</f>
        <v>0</v>
      </c>
      <c r="AA514" s="9">
        <f>IF(ActiveDatabase=Standby,Secondary!AA514,Primary!AA514)</f>
        <v>0</v>
      </c>
      <c r="AB514" s="12"/>
      <c r="AC514" s="6"/>
      <c r="AD514" s="6"/>
      <c r="AE514" s="7"/>
      <c r="AF514" s="7"/>
      <c r="AG514" s="7"/>
      <c r="AH514" s="7"/>
      <c r="AI514" s="7"/>
      <c r="AJ514" s="7"/>
      <c r="AK514" s="7"/>
      <c r="AL514" s="7"/>
      <c r="AM514" s="7"/>
      <c r="AN514" s="7"/>
      <c r="AO514" s="6"/>
      <c r="AP514" s="7"/>
      <c r="AQ514" s="7"/>
      <c r="AR514" s="6"/>
      <c r="AS514" s="7"/>
      <c r="AT514" s="7"/>
      <c r="AU514" s="7"/>
      <c r="AV514" s="7"/>
      <c r="AW514" s="7"/>
      <c r="AX514" s="7"/>
      <c r="AY514" s="7"/>
      <c r="AZ514" s="7"/>
      <c r="BA514" s="7"/>
      <c r="BB514" s="7"/>
      <c r="BC514" s="7"/>
      <c r="BD514" s="7"/>
      <c r="BE514" s="7"/>
      <c r="BF514" s="7"/>
      <c r="BG514" s="7"/>
    </row>
    <row r="515" customHeight="1" spans="1:59">
      <c r="A515" s="9" t="str">
        <f>IF(ActiveDatabase=Standby,Secondary!A515,Primary!A515)</f>
        <v>Ita</v>
      </c>
      <c r="B515" s="5" t="str">
        <f>IF(ActiveDatabase=Standby,Secondary!B515,Primary!B515)</f>
        <v>Ita 00</v>
      </c>
      <c r="C515" s="5">
        <f>IF(ActiveDatabase=Standby,Secondary!C515,Primary!C515)</f>
        <v>0</v>
      </c>
      <c r="D515" s="5" t="str">
        <f>IF(ActiveDatabase=Standby,Secondary!D515,Primary!D515)</f>
        <v>Trading Terminals</v>
      </c>
      <c r="E515" s="6">
        <f>IF(ActiveDatabase=Standby,Secondary!E515,Primary!E515)</f>
        <v>0</v>
      </c>
      <c r="F515" s="10">
        <f>IF(ActiveDatabase=Standby,Secondary!F515,Primary!F515)</f>
        <v>0</v>
      </c>
      <c r="G515" s="10">
        <f>IF(ActiveDatabase=Standby,Secondary!G515,Primary!G515)</f>
        <v>0</v>
      </c>
      <c r="H515" s="10">
        <f>IF(ActiveDatabase=Standby,Secondary!H515,Primary!H515)</f>
        <v>0</v>
      </c>
      <c r="I515" s="13">
        <f>IF(ActiveDatabase=Standby,Secondary!I515,Primary!I515)</f>
        <v>0</v>
      </c>
      <c r="J515" s="13">
        <f>IF(ActiveDatabase=Standby,Secondary!J515,Primary!J515)</f>
        <v>0</v>
      </c>
      <c r="K515" s="13">
        <f>IF(ActiveDatabase=Standby,Secondary!K515,Primary!K515)</f>
        <v>0</v>
      </c>
      <c r="L515" s="13">
        <f>IF(ActiveDatabase=Standby,Secondary!L515,Primary!L515)</f>
        <v>0</v>
      </c>
      <c r="M515" s="7">
        <f>IF(ActiveDatabase=Standby,Secondary!M515,Primary!M515)</f>
        <v>0</v>
      </c>
      <c r="N515" s="10">
        <f>IF(ActiveDatabase=Standby,Secondary!N515,Primary!N515)</f>
        <v>0</v>
      </c>
      <c r="O515" s="10">
        <f>IF(ActiveDatabase=Standby,Secondary!O515,Primary!O515)</f>
        <v>0</v>
      </c>
      <c r="P515" s="10">
        <f>IF(ActiveDatabase=Standby,Secondary!P515,Primary!P515)</f>
        <v>0</v>
      </c>
      <c r="Q515" s="6">
        <f>IF(ActiveDatabase=Standby,Secondary!Q515,Primary!Q515)</f>
        <v>0</v>
      </c>
      <c r="R515" s="18">
        <f>IF(ActiveDatabase=Standby,Secondary!R515,Primary!R515)</f>
        <v>0</v>
      </c>
      <c r="S515" s="19">
        <f>IF(ActiveDatabase=Standby,Secondary!S515,Primary!S515)</f>
        <v>0</v>
      </c>
      <c r="T515" s="10">
        <f>IF(ActiveDatabase=Standby,Secondary!T515,Primary!T515)</f>
        <v>0</v>
      </c>
      <c r="U515" s="10">
        <f>IF(ActiveDatabase=Standby,Secondary!U515,Primary!U515)</f>
        <v>0</v>
      </c>
      <c r="V515" s="10">
        <f>IF(ActiveDatabase=Standby,Secondary!V515,Primary!V515)</f>
        <v>0</v>
      </c>
      <c r="W515" s="6">
        <f>IF(ActiveDatabase=Standby,Secondary!W515,Primary!W515)</f>
        <v>0</v>
      </c>
      <c r="X515" s="6">
        <f>IF(ActiveDatabase=Standby,Secondary!X515,Primary!X515)</f>
        <v>0</v>
      </c>
      <c r="Y515" s="12">
        <f>IF(ActiveDatabase=Standby,Secondary!Y515,Primary!Y515)</f>
        <v>0</v>
      </c>
      <c r="Z515" s="12">
        <f>IF(ActiveDatabase=Standby,Secondary!Z515,Primary!Z515)</f>
        <v>0</v>
      </c>
      <c r="AA515" s="9">
        <f>IF(ActiveDatabase=Standby,Secondary!AA515,Primary!AA515)</f>
        <v>0</v>
      </c>
      <c r="AB515" s="12"/>
      <c r="AC515" s="6"/>
      <c r="AD515" s="6"/>
      <c r="AE515" s="7"/>
      <c r="AF515" s="7"/>
      <c r="AG515" s="7"/>
      <c r="AH515" s="7"/>
      <c r="AI515" s="7"/>
      <c r="AJ515" s="7"/>
      <c r="AK515" s="7"/>
      <c r="AL515" s="7"/>
      <c r="AM515" s="7"/>
      <c r="AN515" s="7"/>
      <c r="AO515" s="6"/>
      <c r="AP515" s="7"/>
      <c r="AQ515" s="7"/>
      <c r="AR515" s="6"/>
      <c r="AS515" s="7"/>
      <c r="AT515" s="7"/>
      <c r="AU515" s="7"/>
      <c r="AV515" s="7"/>
      <c r="AW515" s="7"/>
      <c r="AX515" s="7"/>
      <c r="AY515" s="7"/>
      <c r="AZ515" s="7"/>
      <c r="BA515" s="7"/>
      <c r="BB515" s="7"/>
      <c r="BC515" s="7"/>
      <c r="BD515" s="7"/>
      <c r="BE515" s="7"/>
      <c r="BF515" s="7"/>
      <c r="BG515" s="7"/>
    </row>
    <row r="516" customHeight="1" spans="1:59">
      <c r="A516" s="9" t="str">
        <f>IF(ActiveDatabase=Standby,Secondary!A516,Primary!A516)</f>
        <v>Ita 01</v>
      </c>
      <c r="B516" s="5" t="str">
        <f>IF(ActiveDatabase=Standby,Secondary!B516,Primary!B516)</f>
        <v>Ita 01</v>
      </c>
      <c r="C516" s="5" t="str">
        <f>IF(ActiveDatabase=Standby,Secondary!C516,Primary!C516)</f>
        <v>Ita 34</v>
      </c>
      <c r="D516" s="5" t="str">
        <f>IF(ActiveDatabase=Standby,Secondary!D516,Primary!D516)</f>
        <v>HDMS Ryder (PB)</v>
      </c>
      <c r="E516" s="6" t="str">
        <f>IF(ActiveDatabase=Standby,Secondary!E516,Primary!E516)</f>
        <v>Ryder</v>
      </c>
      <c r="F516" s="10">
        <f>IF(ActiveDatabase=Standby,Secondary!F516,Primary!F516)</f>
        <v>-175.874206865999</v>
      </c>
      <c r="G516" s="10">
        <f>IF(ActiveDatabase=Standby,Secondary!G516,Primary!G516)</f>
        <v>-263.381380754999</v>
      </c>
      <c r="H516" s="10">
        <f>IF(ActiveDatabase=Standby,Secondary!H516,Primary!H516)</f>
        <v>73.709287874</v>
      </c>
      <c r="I516" s="13">
        <f>IF(ActiveDatabase=Standby,Secondary!I516,Primary!I516)</f>
        <v>0</v>
      </c>
      <c r="J516" s="13">
        <f>IF(ActiveDatabase=Standby,Secondary!J516,Primary!J516)</f>
        <v>0</v>
      </c>
      <c r="K516" s="13">
        <f>IF(ActiveDatabase=Standby,Secondary!K516,Primary!K516)</f>
        <v>0</v>
      </c>
      <c r="L516" s="13">
        <f>IF(ActiveDatabase=Standby,Secondary!L516,Primary!L516)</f>
        <v>0</v>
      </c>
      <c r="M516" s="7" t="b">
        <f>IF(ActiveDatabase=Standby,Secondary!M516,Primary!M516)</f>
        <v>1</v>
      </c>
      <c r="N516" s="10">
        <f>IF(ActiveDatabase=Standby,Secondary!N516,Primary!N516)</f>
        <v>0</v>
      </c>
      <c r="O516" s="10">
        <f>IF(ActiveDatabase=Standby,Secondary!O516,Primary!O516)</f>
        <v>0</v>
      </c>
      <c r="P516" s="10">
        <f>IF(ActiveDatabase=Standby,Secondary!P516,Primary!P516)</f>
        <v>0</v>
      </c>
      <c r="Q516" s="6">
        <f>IF(ActiveDatabase=Standby,Secondary!Q516,Primary!Q516)</f>
        <v>0</v>
      </c>
      <c r="R516" s="18">
        <f>IF(ActiveDatabase=Standby,Secondary!R516,Primary!R516)</f>
        <v>0</v>
      </c>
      <c r="S516" s="19">
        <f>IF(ActiveDatabase=Standby,Secondary!S516,Primary!S516)</f>
        <v>0</v>
      </c>
      <c r="T516" s="10">
        <f>IF(ActiveDatabase=Standby,Secondary!T516,Primary!T516)</f>
        <v>0</v>
      </c>
      <c r="U516" s="10">
        <f>IF(ActiveDatabase=Standby,Secondary!U516,Primary!U516)</f>
        <v>0</v>
      </c>
      <c r="V516" s="10">
        <f>IF(ActiveDatabase=Standby,Secondary!V516,Primary!V516)</f>
        <v>0</v>
      </c>
      <c r="W516" s="6">
        <f>IF(ActiveDatabase=Standby,Secondary!W516,Primary!W516)</f>
        <v>0</v>
      </c>
      <c r="X516" s="6">
        <f>IF(ActiveDatabase=Standby,Secondary!X516,Primary!X516)</f>
        <v>0</v>
      </c>
      <c r="Y516" s="12">
        <f>IF(ActiveDatabase=Standby,Secondary!Y516,Primary!Y516)</f>
        <v>0</v>
      </c>
      <c r="Z516" s="12">
        <f>IF(ActiveDatabase=Standby,Secondary!Z516,Primary!Z516)</f>
        <v>0</v>
      </c>
      <c r="AA516" s="9">
        <f>IF(ActiveDatabase=Standby,Secondary!AA516,Primary!AA516)</f>
        <v>0</v>
      </c>
      <c r="AB516" s="12"/>
      <c r="AC516" s="6"/>
      <c r="AD516" s="6"/>
      <c r="AE516" s="7"/>
      <c r="AF516" s="7"/>
      <c r="AG516" s="7"/>
      <c r="AH516" s="7"/>
      <c r="AI516" s="7"/>
      <c r="AJ516" s="7"/>
      <c r="AK516" s="7"/>
      <c r="AL516" s="7"/>
      <c r="AM516" s="7"/>
      <c r="AN516" s="7"/>
      <c r="AO516" s="6"/>
      <c r="AP516" s="7"/>
      <c r="AQ516" s="7"/>
      <c r="AR516" s="6"/>
      <c r="AS516" s="7"/>
      <c r="AT516" s="7"/>
      <c r="AU516" s="7"/>
      <c r="AV516" s="7"/>
      <c r="AW516" s="7"/>
      <c r="AX516" s="7"/>
      <c r="AY516" s="7"/>
      <c r="AZ516" s="7"/>
      <c r="BA516" s="7"/>
      <c r="BB516" s="7"/>
      <c r="BC516" s="7"/>
      <c r="BD516" s="7"/>
      <c r="BE516" s="7"/>
      <c r="BF516" s="7"/>
      <c r="BG516" s="7"/>
    </row>
    <row r="517" customHeight="1" spans="1:59">
      <c r="A517" s="9" t="str">
        <f>IF(ActiveDatabase=Standby,Secondary!A517,Primary!A517)</f>
        <v>Ita 02</v>
      </c>
      <c r="B517" s="5" t="str">
        <f>IF(ActiveDatabase=Standby,Secondary!B517,Primary!B517)</f>
        <v>Ita 02</v>
      </c>
      <c r="C517" s="5" t="str">
        <f>IF(ActiveDatabase=Standby,Secondary!C517,Primary!C517)</f>
        <v>Ita 12</v>
      </c>
      <c r="D517" s="5" t="str">
        <f>IF(ActiveDatabase=Standby,Secondary!D517,Primary!D517)</f>
        <v>HDMS Woodruff (PB)</v>
      </c>
      <c r="E517" s="6" t="str">
        <f>IF(ActiveDatabase=Standby,Secondary!E517,Primary!E517)</f>
        <v>Woodruff</v>
      </c>
      <c r="F517" s="10">
        <f>IF(ActiveDatabase=Standby,Secondary!F517,Primary!F517)</f>
        <v>114.791994557</v>
      </c>
      <c r="G517" s="10">
        <f>IF(ActiveDatabase=Standby,Secondary!G517,Primary!G517)</f>
        <v>219.661083335</v>
      </c>
      <c r="H517" s="10">
        <f>IF(ActiveDatabase=Standby,Secondary!H517,Primary!H517)</f>
        <v>210.466568146</v>
      </c>
      <c r="I517" s="13">
        <f>IF(ActiveDatabase=Standby,Secondary!I517,Primary!I517)</f>
        <v>0</v>
      </c>
      <c r="J517" s="13">
        <f>IF(ActiveDatabase=Standby,Secondary!J517,Primary!J517)</f>
        <v>0</v>
      </c>
      <c r="K517" s="13">
        <f>IF(ActiveDatabase=Standby,Secondary!K517,Primary!K517)</f>
        <v>0</v>
      </c>
      <c r="L517" s="13">
        <f>IF(ActiveDatabase=Standby,Secondary!L517,Primary!L517)</f>
        <v>0</v>
      </c>
      <c r="M517" s="7" t="b">
        <f>IF(ActiveDatabase=Standby,Secondary!M517,Primary!M517)</f>
        <v>1</v>
      </c>
      <c r="N517" s="10">
        <f>IF(ActiveDatabase=Standby,Secondary!N517,Primary!N517)</f>
        <v>0</v>
      </c>
      <c r="O517" s="10">
        <f>IF(ActiveDatabase=Standby,Secondary!O517,Primary!O517)</f>
        <v>0</v>
      </c>
      <c r="P517" s="10">
        <f>IF(ActiveDatabase=Standby,Secondary!P517,Primary!P517)</f>
        <v>0</v>
      </c>
      <c r="Q517" s="6">
        <f>IF(ActiveDatabase=Standby,Secondary!Q517,Primary!Q517)</f>
        <v>0</v>
      </c>
      <c r="R517" s="18">
        <f>IF(ActiveDatabase=Standby,Secondary!R517,Primary!R517)</f>
        <v>0</v>
      </c>
      <c r="S517" s="19">
        <f>IF(ActiveDatabase=Standby,Secondary!S517,Primary!S517)</f>
        <v>0</v>
      </c>
      <c r="T517" s="10">
        <f>IF(ActiveDatabase=Standby,Secondary!T517,Primary!T517)</f>
        <v>0</v>
      </c>
      <c r="U517" s="10">
        <f>IF(ActiveDatabase=Standby,Secondary!U517,Primary!U517)</f>
        <v>0</v>
      </c>
      <c r="V517" s="10">
        <f>IF(ActiveDatabase=Standby,Secondary!V517,Primary!V517)</f>
        <v>0</v>
      </c>
      <c r="W517" s="6">
        <f>IF(ActiveDatabase=Standby,Secondary!W517,Primary!W517)</f>
        <v>0</v>
      </c>
      <c r="X517" s="6">
        <f>IF(ActiveDatabase=Standby,Secondary!X517,Primary!X517)</f>
        <v>0</v>
      </c>
      <c r="Y517" s="12">
        <f>IF(ActiveDatabase=Standby,Secondary!Y517,Primary!Y517)</f>
        <v>0</v>
      </c>
      <c r="Z517" s="12">
        <f>IF(ActiveDatabase=Standby,Secondary!Z517,Primary!Z517)</f>
        <v>0</v>
      </c>
      <c r="AA517" s="9">
        <f>IF(ActiveDatabase=Standby,Secondary!AA517,Primary!AA517)</f>
        <v>0</v>
      </c>
      <c r="AB517" s="12"/>
      <c r="AC517" s="6"/>
      <c r="AD517" s="6"/>
      <c r="AE517" s="7"/>
      <c r="AF517" s="7"/>
      <c r="AG517" s="7"/>
      <c r="AH517" s="7"/>
      <c r="AI517" s="7"/>
      <c r="AJ517" s="7"/>
      <c r="AK517" s="7"/>
      <c r="AL517" s="7"/>
      <c r="AM517" s="7"/>
      <c r="AN517" s="7"/>
      <c r="AO517" s="6"/>
      <c r="AP517" s="7"/>
      <c r="AQ517" s="7"/>
      <c r="AR517" s="6"/>
      <c r="AS517" s="7"/>
      <c r="AT517" s="7"/>
      <c r="AU517" s="7"/>
      <c r="AV517" s="7"/>
      <c r="AW517" s="7"/>
      <c r="AX517" s="7"/>
      <c r="AY517" s="7"/>
      <c r="AZ517" s="7"/>
      <c r="BA517" s="7"/>
      <c r="BB517" s="7"/>
      <c r="BC517" s="7"/>
      <c r="BD517" s="7"/>
      <c r="BE517" s="7"/>
      <c r="BF517" s="7"/>
      <c r="BG517" s="7"/>
    </row>
    <row r="518" customHeight="1" spans="1:59">
      <c r="A518" s="9" t="str">
        <f>IF(ActiveDatabase=Standby,Secondary!A518,Primary!A518)</f>
        <v>Ita</v>
      </c>
      <c r="B518" s="5" t="str">
        <f>IF(ActiveDatabase=Standby,Secondary!B518,Primary!B518)</f>
        <v>Ita 04</v>
      </c>
      <c r="C518" s="5">
        <f>IF(ActiveDatabase=Standby,Secondary!C518,Primary!C518)</f>
        <v>0</v>
      </c>
      <c r="D518" s="5" t="str">
        <f>IF(ActiveDatabase=Standby,Secondary!D518,Primary!D518)</f>
        <v>Settlements</v>
      </c>
      <c r="E518" s="6">
        <f>IF(ActiveDatabase=Standby,Secondary!E518,Primary!E518)</f>
        <v>0</v>
      </c>
      <c r="F518" s="10">
        <f>IF(ActiveDatabase=Standby,Secondary!F518,Primary!F518)</f>
        <v>0</v>
      </c>
      <c r="G518" s="10">
        <f>IF(ActiveDatabase=Standby,Secondary!G518,Primary!G518)</f>
        <v>0</v>
      </c>
      <c r="H518" s="10">
        <f>IF(ActiveDatabase=Standby,Secondary!H518,Primary!H518)</f>
        <v>0</v>
      </c>
      <c r="I518" s="13">
        <f>IF(ActiveDatabase=Standby,Secondary!I518,Primary!I518)</f>
        <v>0</v>
      </c>
      <c r="J518" s="13">
        <f>IF(ActiveDatabase=Standby,Secondary!J518,Primary!J518)</f>
        <v>0</v>
      </c>
      <c r="K518" s="13">
        <f>IF(ActiveDatabase=Standby,Secondary!K518,Primary!K518)</f>
        <v>0</v>
      </c>
      <c r="L518" s="13">
        <f>IF(ActiveDatabase=Standby,Secondary!L518,Primary!L518)</f>
        <v>0</v>
      </c>
      <c r="M518" s="7">
        <f>IF(ActiveDatabase=Standby,Secondary!M518,Primary!M518)</f>
        <v>0</v>
      </c>
      <c r="N518" s="10">
        <f>IF(ActiveDatabase=Standby,Secondary!N518,Primary!N518)</f>
        <v>0</v>
      </c>
      <c r="O518" s="10">
        <f>IF(ActiveDatabase=Standby,Secondary!O518,Primary!O518)</f>
        <v>0</v>
      </c>
      <c r="P518" s="10">
        <f>IF(ActiveDatabase=Standby,Secondary!P518,Primary!P518)</f>
        <v>0</v>
      </c>
      <c r="Q518" s="6">
        <f>IF(ActiveDatabase=Standby,Secondary!Q518,Primary!Q518)</f>
        <v>0</v>
      </c>
      <c r="R518" s="18">
        <f>IF(ActiveDatabase=Standby,Secondary!R518,Primary!R518)</f>
        <v>0</v>
      </c>
      <c r="S518" s="19">
        <f>IF(ActiveDatabase=Standby,Secondary!S518,Primary!S518)</f>
        <v>0</v>
      </c>
      <c r="T518" s="10">
        <f>IF(ActiveDatabase=Standby,Secondary!T518,Primary!T518)</f>
        <v>0</v>
      </c>
      <c r="U518" s="10">
        <f>IF(ActiveDatabase=Standby,Secondary!U518,Primary!U518)</f>
        <v>0</v>
      </c>
      <c r="V518" s="10">
        <f>IF(ActiveDatabase=Standby,Secondary!V518,Primary!V518)</f>
        <v>0</v>
      </c>
      <c r="W518" s="6">
        <f>IF(ActiveDatabase=Standby,Secondary!W518,Primary!W518)</f>
        <v>0</v>
      </c>
      <c r="X518" s="6">
        <f>IF(ActiveDatabase=Standby,Secondary!X518,Primary!X518)</f>
        <v>0</v>
      </c>
      <c r="Y518" s="12">
        <f>IF(ActiveDatabase=Standby,Secondary!Y518,Primary!Y518)</f>
        <v>0</v>
      </c>
      <c r="Z518" s="12">
        <f>IF(ActiveDatabase=Standby,Secondary!Z518,Primary!Z518)</f>
        <v>0</v>
      </c>
      <c r="AA518" s="9">
        <f>IF(ActiveDatabase=Standby,Secondary!AA518,Primary!AA518)</f>
        <v>0</v>
      </c>
      <c r="AB518" s="12"/>
      <c r="AC518" s="6"/>
      <c r="AD518" s="6"/>
      <c r="AE518" s="7"/>
      <c r="AF518" s="7"/>
      <c r="AG518" s="7"/>
      <c r="AH518" s="7"/>
      <c r="AI518" s="7"/>
      <c r="AJ518" s="7"/>
      <c r="AK518" s="7"/>
      <c r="AL518" s="7"/>
      <c r="AM518" s="7"/>
      <c r="AN518" s="7"/>
      <c r="AO518" s="6"/>
      <c r="AP518" s="7"/>
      <c r="AQ518" s="7"/>
      <c r="AR518" s="6"/>
      <c r="AS518" s="7"/>
      <c r="AT518" s="7"/>
      <c r="AU518" s="7"/>
      <c r="AV518" s="7"/>
      <c r="AW518" s="7"/>
      <c r="AX518" s="7"/>
      <c r="AY518" s="7"/>
      <c r="AZ518" s="7"/>
      <c r="BA518" s="7"/>
      <c r="BB518" s="7"/>
      <c r="BC518" s="7"/>
      <c r="BD518" s="7"/>
      <c r="BE518" s="7"/>
      <c r="BF518" s="7"/>
      <c r="BG518" s="7"/>
    </row>
    <row r="519" customHeight="1" spans="1:59">
      <c r="A519" s="9" t="str">
        <f>IF(ActiveDatabase=Standby,Secondary!A519,Primary!A519)</f>
        <v>Ita 04</v>
      </c>
      <c r="B519" s="5" t="str">
        <f>IF(ActiveDatabase=Standby,Secondary!B519,Primary!B519)</f>
        <v>Ita 05</v>
      </c>
      <c r="C519" s="5" t="str">
        <f>IF(ActiveDatabase=Standby,Secondary!C519,Primary!C519)</f>
        <v>Ita 35</v>
      </c>
      <c r="D519" s="5" t="str">
        <f>IF(ActiveDatabase=Standby,Secondary!D519,Primary!D519)</f>
        <v>Settlement 10P</v>
      </c>
      <c r="E519" s="6" t="str">
        <f>IF(ActiveDatabase=Standby,Secondary!E519,Primary!E519)</f>
        <v>Settlement 10P</v>
      </c>
      <c r="F519" s="10">
        <f>IF(ActiveDatabase=Standby,Secondary!F519,Primary!F519)</f>
        <v>-178.058424067</v>
      </c>
      <c r="G519" s="10">
        <f>IF(ActiveDatabase=Standby,Secondary!G519,Primary!G519)</f>
        <v>-260.61607295</v>
      </c>
      <c r="H519" s="10">
        <f>IF(ActiveDatabase=Standby,Secondary!H519,Primary!H519)</f>
        <v>78.4016437819999</v>
      </c>
      <c r="I519" s="13">
        <f>IF(ActiveDatabase=Standby,Secondary!I519,Primary!I519)</f>
        <v>0</v>
      </c>
      <c r="J519" s="13">
        <f>IF(ActiveDatabase=Standby,Secondary!J519,Primary!J519)</f>
        <v>0</v>
      </c>
      <c r="K519" s="13">
        <f>IF(ActiveDatabase=Standby,Secondary!K519,Primary!K519)</f>
        <v>0</v>
      </c>
      <c r="L519" s="13">
        <f>IF(ActiveDatabase=Standby,Secondary!L519,Primary!L519)</f>
        <v>0</v>
      </c>
      <c r="M519" s="7" t="b">
        <f>IF(ActiveDatabase=Standby,Secondary!M519,Primary!M519)</f>
        <v>0</v>
      </c>
      <c r="N519" s="10">
        <f>IF(ActiveDatabase=Standby,Secondary!N519,Primary!N519)</f>
        <v>0</v>
      </c>
      <c r="O519" s="10">
        <f>IF(ActiveDatabase=Standby,Secondary!O519,Primary!O519)</f>
        <v>0</v>
      </c>
      <c r="P519" s="10">
        <f>IF(ActiveDatabase=Standby,Secondary!P519,Primary!P519)</f>
        <v>0</v>
      </c>
      <c r="Q519" s="6">
        <f>IF(ActiveDatabase=Standby,Secondary!Q519,Primary!Q519)</f>
        <v>0</v>
      </c>
      <c r="R519" s="18">
        <f>IF(ActiveDatabase=Standby,Secondary!R519,Primary!R519)</f>
        <v>0</v>
      </c>
      <c r="S519" s="19">
        <f>IF(ActiveDatabase=Standby,Secondary!S519,Primary!S519)</f>
        <v>0</v>
      </c>
      <c r="T519" s="10">
        <f>IF(ActiveDatabase=Standby,Secondary!T519,Primary!T519)</f>
        <v>0</v>
      </c>
      <c r="U519" s="10">
        <f>IF(ActiveDatabase=Standby,Secondary!U519,Primary!U519)</f>
        <v>0</v>
      </c>
      <c r="V519" s="10">
        <f>IF(ActiveDatabase=Standby,Secondary!V519,Primary!V519)</f>
        <v>0</v>
      </c>
      <c r="W519" s="6">
        <f>IF(ActiveDatabase=Standby,Secondary!W519,Primary!W519)</f>
        <v>0</v>
      </c>
      <c r="X519" s="6">
        <f>IF(ActiveDatabase=Standby,Secondary!X519,Primary!X519)</f>
        <v>0</v>
      </c>
      <c r="Y519" s="12">
        <f>IF(ActiveDatabase=Standby,Secondary!Y519,Primary!Y519)</f>
        <v>0</v>
      </c>
      <c r="Z519" s="12">
        <f>IF(ActiveDatabase=Standby,Secondary!Z519,Primary!Z519)</f>
        <v>0</v>
      </c>
      <c r="AA519" s="9">
        <f>IF(ActiveDatabase=Standby,Secondary!AA519,Primary!AA519)</f>
        <v>0</v>
      </c>
      <c r="AB519" s="12"/>
      <c r="AC519" s="6"/>
      <c r="AD519" s="6"/>
      <c r="AE519" s="7"/>
      <c r="AF519" s="7"/>
      <c r="AG519" s="7"/>
      <c r="AH519" s="7"/>
      <c r="AI519" s="7"/>
      <c r="AJ519" s="7"/>
      <c r="AK519" s="7"/>
      <c r="AL519" s="7"/>
      <c r="AM519" s="7"/>
      <c r="AN519" s="7"/>
      <c r="AO519" s="6"/>
      <c r="AP519" s="7"/>
      <c r="AQ519" s="7"/>
      <c r="AR519" s="6"/>
      <c r="AS519" s="7"/>
      <c r="AT519" s="7"/>
      <c r="AU519" s="7"/>
      <c r="AV519" s="7"/>
      <c r="AW519" s="7"/>
      <c r="AX519" s="7"/>
      <c r="AY519" s="7"/>
      <c r="AZ519" s="7"/>
      <c r="BA519" s="7"/>
      <c r="BB519" s="7"/>
      <c r="BC519" s="7"/>
      <c r="BD519" s="7"/>
      <c r="BE519" s="7"/>
      <c r="BF519" s="7"/>
      <c r="BG519" s="7"/>
    </row>
    <row r="520" customHeight="1" spans="1:59">
      <c r="A520" s="9" t="str">
        <f>IF(ActiveDatabase=Standby,Secondary!A520,Primary!A520)</f>
        <v>Ita 05</v>
      </c>
      <c r="B520" s="5" t="str">
        <f>IF(ActiveDatabase=Standby,Secondary!B520,Primary!B520)</f>
        <v>Ita 06</v>
      </c>
      <c r="C520" s="5" t="str">
        <f>IF(ActiveDatabase=Standby,Secondary!C520,Primary!C520)</f>
        <v>Ita 11</v>
      </c>
      <c r="D520" s="5" t="str">
        <f>IF(ActiveDatabase=Standby,Secondary!D520,Primary!D520)</f>
        <v>Settlement 43R</v>
      </c>
      <c r="E520" s="6" t="str">
        <f>IF(ActiveDatabase=Standby,Secondary!E520,Primary!E520)</f>
        <v>Settlement 43R</v>
      </c>
      <c r="F520" s="10">
        <f>IF(ActiveDatabase=Standby,Secondary!F520,Primary!F520)</f>
        <v>69.5966310079998</v>
      </c>
      <c r="G520" s="10">
        <f>IF(ActiveDatabase=Standby,Secondary!G520,Primary!G520)</f>
        <v>284.3738313</v>
      </c>
      <c r="H520" s="10">
        <f>IF(ActiveDatabase=Standby,Secondary!H520,Primary!H520)</f>
        <v>141.431959376999</v>
      </c>
      <c r="I520" s="13">
        <f>IF(ActiveDatabase=Standby,Secondary!I520,Primary!I520)</f>
        <v>0</v>
      </c>
      <c r="J520" s="13">
        <f>IF(ActiveDatabase=Standby,Secondary!J520,Primary!J520)</f>
        <v>0</v>
      </c>
      <c r="K520" s="13">
        <f>IF(ActiveDatabase=Standby,Secondary!K520,Primary!K520)</f>
        <v>0</v>
      </c>
      <c r="L520" s="13">
        <f>IF(ActiveDatabase=Standby,Secondary!L520,Primary!L520)</f>
        <v>0</v>
      </c>
      <c r="M520" s="7" t="b">
        <f>IF(ActiveDatabase=Standby,Secondary!M520,Primary!M520)</f>
        <v>0</v>
      </c>
      <c r="N520" s="10">
        <f>IF(ActiveDatabase=Standby,Secondary!N520,Primary!N520)</f>
        <v>0</v>
      </c>
      <c r="O520" s="10">
        <f>IF(ActiveDatabase=Standby,Secondary!O520,Primary!O520)</f>
        <v>0</v>
      </c>
      <c r="P520" s="10">
        <f>IF(ActiveDatabase=Standby,Secondary!P520,Primary!P520)</f>
        <v>0</v>
      </c>
      <c r="Q520" s="6">
        <f>IF(ActiveDatabase=Standby,Secondary!Q520,Primary!Q520)</f>
        <v>0</v>
      </c>
      <c r="R520" s="18">
        <f>IF(ActiveDatabase=Standby,Secondary!R520,Primary!R520)</f>
        <v>0</v>
      </c>
      <c r="S520" s="19">
        <f>IF(ActiveDatabase=Standby,Secondary!S520,Primary!S520)</f>
        <v>0</v>
      </c>
      <c r="T520" s="10">
        <f>IF(ActiveDatabase=Standby,Secondary!T520,Primary!T520)</f>
        <v>0</v>
      </c>
      <c r="U520" s="10">
        <f>IF(ActiveDatabase=Standby,Secondary!U520,Primary!U520)</f>
        <v>0</v>
      </c>
      <c r="V520" s="10">
        <f>IF(ActiveDatabase=Standby,Secondary!V520,Primary!V520)</f>
        <v>0</v>
      </c>
      <c r="W520" s="6">
        <f>IF(ActiveDatabase=Standby,Secondary!W520,Primary!W520)</f>
        <v>0</v>
      </c>
      <c r="X520" s="6">
        <f>IF(ActiveDatabase=Standby,Secondary!X520,Primary!X520)</f>
        <v>0</v>
      </c>
      <c r="Y520" s="12">
        <f>IF(ActiveDatabase=Standby,Secondary!Y520,Primary!Y520)</f>
        <v>0</v>
      </c>
      <c r="Z520" s="12">
        <f>IF(ActiveDatabase=Standby,Secondary!Z520,Primary!Z520)</f>
        <v>0</v>
      </c>
      <c r="AA520" s="9">
        <f>IF(ActiveDatabase=Standby,Secondary!AA520,Primary!AA520)</f>
        <v>0</v>
      </c>
      <c r="AB520" s="12"/>
      <c r="AC520" s="6"/>
      <c r="AD520" s="6"/>
      <c r="AE520" s="7"/>
      <c r="AF520" s="7"/>
      <c r="AG520" s="7"/>
      <c r="AH520" s="7"/>
      <c r="AI520" s="7"/>
      <c r="AJ520" s="7"/>
      <c r="AK520" s="7"/>
      <c r="AL520" s="7"/>
      <c r="AM520" s="7"/>
      <c r="AN520" s="7"/>
      <c r="AO520" s="6"/>
      <c r="AP520" s="7"/>
      <c r="AQ520" s="7"/>
      <c r="AR520" s="6"/>
      <c r="AS520" s="7"/>
      <c r="AT520" s="7"/>
      <c r="AU520" s="7"/>
      <c r="AV520" s="7"/>
      <c r="AW520" s="7"/>
      <c r="AX520" s="7"/>
      <c r="AY520" s="7"/>
      <c r="AZ520" s="7"/>
      <c r="BA520" s="7"/>
      <c r="BB520" s="7"/>
      <c r="BC520" s="7"/>
      <c r="BD520" s="7"/>
      <c r="BE520" s="7"/>
      <c r="BF520" s="7"/>
      <c r="BG520" s="7"/>
    </row>
    <row r="521" customHeight="1" spans="1:59">
      <c r="A521" s="9" t="str">
        <f>IF(ActiveDatabase=Standby,Secondary!A521,Primary!A521)</f>
        <v>Ita</v>
      </c>
      <c r="B521" s="5" t="str">
        <f>IF(ActiveDatabase=Standby,Secondary!B521,Primary!B521)</f>
        <v>Ita 08</v>
      </c>
      <c r="C521" s="5">
        <f>IF(ActiveDatabase=Standby,Secondary!C521,Primary!C521)</f>
        <v>0</v>
      </c>
      <c r="D521" s="5" t="str">
        <f>IF(ActiveDatabase=Standby,Secondary!D521,Primary!D521)</f>
        <v>Caves</v>
      </c>
      <c r="E521" s="6">
        <f>IF(ActiveDatabase=Standby,Secondary!E521,Primary!E521)</f>
        <v>0</v>
      </c>
      <c r="F521" s="10">
        <f>IF(ActiveDatabase=Standby,Secondary!F521,Primary!F521)</f>
        <v>0</v>
      </c>
      <c r="G521" s="10">
        <f>IF(ActiveDatabase=Standby,Secondary!G521,Primary!G521)</f>
        <v>0</v>
      </c>
      <c r="H521" s="10">
        <f>IF(ActiveDatabase=Standby,Secondary!H521,Primary!H521)</f>
        <v>0</v>
      </c>
      <c r="I521" s="13">
        <f>IF(ActiveDatabase=Standby,Secondary!I521,Primary!I521)</f>
        <v>0</v>
      </c>
      <c r="J521" s="13">
        <f>IF(ActiveDatabase=Standby,Secondary!J521,Primary!J521)</f>
        <v>0</v>
      </c>
      <c r="K521" s="13">
        <f>IF(ActiveDatabase=Standby,Secondary!K521,Primary!K521)</f>
        <v>0</v>
      </c>
      <c r="L521" s="13">
        <f>IF(ActiveDatabase=Standby,Secondary!L521,Primary!L521)</f>
        <v>0</v>
      </c>
      <c r="M521" s="7">
        <f>IF(ActiveDatabase=Standby,Secondary!M521,Primary!M521)</f>
        <v>0</v>
      </c>
      <c r="N521" s="10">
        <f>IF(ActiveDatabase=Standby,Secondary!N521,Primary!N521)</f>
        <v>0</v>
      </c>
      <c r="O521" s="10">
        <f>IF(ActiveDatabase=Standby,Secondary!O521,Primary!O521)</f>
        <v>0</v>
      </c>
      <c r="P521" s="10">
        <f>IF(ActiveDatabase=Standby,Secondary!P521,Primary!P521)</f>
        <v>0</v>
      </c>
      <c r="Q521" s="6">
        <f>IF(ActiveDatabase=Standby,Secondary!Q521,Primary!Q521)</f>
        <v>0</v>
      </c>
      <c r="R521" s="18">
        <f>IF(ActiveDatabase=Standby,Secondary!R521,Primary!R521)</f>
        <v>0</v>
      </c>
      <c r="S521" s="19">
        <f>IF(ActiveDatabase=Standby,Secondary!S521,Primary!S521)</f>
        <v>0</v>
      </c>
      <c r="T521" s="10">
        <f>IF(ActiveDatabase=Standby,Secondary!T521,Primary!T521)</f>
        <v>0</v>
      </c>
      <c r="U521" s="10">
        <f>IF(ActiveDatabase=Standby,Secondary!U521,Primary!U521)</f>
        <v>0</v>
      </c>
      <c r="V521" s="10">
        <f>IF(ActiveDatabase=Standby,Secondary!V521,Primary!V521)</f>
        <v>0</v>
      </c>
      <c r="W521" s="6">
        <f>IF(ActiveDatabase=Standby,Secondary!W521,Primary!W521)</f>
        <v>0</v>
      </c>
      <c r="X521" s="6">
        <f>IF(ActiveDatabase=Standby,Secondary!X521,Primary!X521)</f>
        <v>0</v>
      </c>
      <c r="Y521" s="12">
        <f>IF(ActiveDatabase=Standby,Secondary!Y521,Primary!Y521)</f>
        <v>0</v>
      </c>
      <c r="Z521" s="12">
        <f>IF(ActiveDatabase=Standby,Secondary!Z521,Primary!Z521)</f>
        <v>0</v>
      </c>
      <c r="AA521" s="7">
        <f>IF(ActiveDatabase=Standby,Secondary!AA521,Primary!AA521)</f>
        <v>0</v>
      </c>
      <c r="AB521" s="12"/>
      <c r="AC521" s="6"/>
      <c r="AD521" s="6"/>
      <c r="AE521" s="7"/>
      <c r="AF521" s="7"/>
      <c r="AG521" s="7"/>
      <c r="AH521" s="7"/>
      <c r="AI521" s="7"/>
      <c r="AJ521" s="7"/>
      <c r="AK521" s="7"/>
      <c r="AL521" s="7"/>
      <c r="AM521" s="7"/>
      <c r="AN521" s="7"/>
      <c r="AO521" s="6"/>
      <c r="AP521" s="7"/>
      <c r="AQ521" s="7"/>
      <c r="AR521" s="6"/>
      <c r="AS521" s="7"/>
      <c r="AT521" s="7"/>
      <c r="AU521" s="7"/>
      <c r="AV521" s="7"/>
      <c r="AW521" s="7"/>
      <c r="AX521" s="7"/>
      <c r="AY521" s="7"/>
      <c r="AZ521" s="7"/>
      <c r="BA521" s="7"/>
      <c r="BB521" s="7"/>
      <c r="BC521" s="7"/>
      <c r="BD521" s="7"/>
      <c r="BE521" s="7"/>
      <c r="BF521" s="7"/>
      <c r="BG521" s="7"/>
    </row>
    <row r="522" customHeight="1" spans="1:59">
      <c r="A522" s="9" t="str">
        <f>IF(ActiveDatabase=Standby,Secondary!A522,Primary!A522)</f>
        <v>Ita 16</v>
      </c>
      <c r="B522" s="5" t="str">
        <f>IF(ActiveDatabase=Standby,Secondary!B522,Primary!B522)</f>
        <v>Ita 19</v>
      </c>
      <c r="C522" s="5" t="str">
        <f>IF(ActiveDatabase=Standby,Secondary!C522,Primary!C522)</f>
        <v>Ita 28</v>
      </c>
      <c r="D522" s="5" t="str">
        <f>IF(ActiveDatabase=Standby,Secondary!D522,Primary!D522)</f>
        <v>Sand Cave 22Q</v>
      </c>
      <c r="E522" s="6" t="str">
        <f>IF(ActiveDatabase=Standby,Secondary!E522,Primary!E522)</f>
        <v>SCave 22Q</v>
      </c>
      <c r="F522" s="10">
        <f>IF(ActiveDatabase=Standby,Secondary!F522,Primary!F522)</f>
        <v>193.699603895</v>
      </c>
      <c r="G522" s="10">
        <f>IF(ActiveDatabase=Standby,Secondary!G522,Primary!G522)</f>
        <v>-227.582237953</v>
      </c>
      <c r="H522" s="10">
        <f>IF(ActiveDatabase=Standby,Secondary!H522,Primary!H522)</f>
        <v>127.758798352</v>
      </c>
      <c r="I522" s="13">
        <f>IF(ActiveDatabase=Standby,Secondary!I522,Primary!I522)</f>
        <v>0</v>
      </c>
      <c r="J522" s="13">
        <f>IF(ActiveDatabase=Standby,Secondary!J522,Primary!J522)</f>
        <v>0</v>
      </c>
      <c r="K522" s="13">
        <f>IF(ActiveDatabase=Standby,Secondary!K522,Primary!K522)</f>
        <v>0</v>
      </c>
      <c r="L522" s="13">
        <f>IF(ActiveDatabase=Standby,Secondary!L522,Primary!L522)</f>
        <v>0</v>
      </c>
      <c r="M522" s="7" t="b">
        <f>IF(ActiveDatabase=Standby,Secondary!M522,Primary!M522)</f>
        <v>0</v>
      </c>
      <c r="N522" s="10">
        <f>IF(ActiveDatabase=Standby,Secondary!N522,Primary!N522)</f>
        <v>0</v>
      </c>
      <c r="O522" s="10">
        <f>IF(ActiveDatabase=Standby,Secondary!O522,Primary!O522)</f>
        <v>0</v>
      </c>
      <c r="P522" s="10">
        <f>IF(ActiveDatabase=Standby,Secondary!P522,Primary!P522)</f>
        <v>0</v>
      </c>
      <c r="Q522" s="6">
        <f>IF(ActiveDatabase=Standby,Secondary!Q522,Primary!Q522)</f>
        <v>0</v>
      </c>
      <c r="R522" s="18">
        <f>IF(ActiveDatabase=Standby,Secondary!R522,Primary!R522)</f>
        <v>0</v>
      </c>
      <c r="S522" s="19">
        <f>IF(ActiveDatabase=Standby,Secondary!S522,Primary!S522)</f>
        <v>0</v>
      </c>
      <c r="T522" s="10">
        <f>IF(ActiveDatabase=Standby,Secondary!T522,Primary!T522)</f>
        <v>0</v>
      </c>
      <c r="U522" s="10">
        <f>IF(ActiveDatabase=Standby,Secondary!U522,Primary!U522)</f>
        <v>0</v>
      </c>
      <c r="V522" s="10">
        <f>IF(ActiveDatabase=Standby,Secondary!V522,Primary!V522)</f>
        <v>0</v>
      </c>
      <c r="W522" s="6">
        <f>IF(ActiveDatabase=Standby,Secondary!W522,Primary!W522)</f>
        <v>0</v>
      </c>
      <c r="X522" s="6">
        <f>IF(ActiveDatabase=Standby,Secondary!X522,Primary!X522)</f>
        <v>0</v>
      </c>
      <c r="Y522" s="12">
        <f>IF(ActiveDatabase=Standby,Secondary!Y522,Primary!Y522)</f>
        <v>0</v>
      </c>
      <c r="Z522" s="12">
        <f>IF(ActiveDatabase=Standby,Secondary!Z522,Primary!Z522)</f>
        <v>0</v>
      </c>
      <c r="AA522" s="7">
        <f>IF(ActiveDatabase=Standby,Secondary!AA522,Primary!AA522)</f>
        <v>0</v>
      </c>
      <c r="AB522" s="12"/>
      <c r="AC522" s="6"/>
      <c r="AD522" s="6"/>
      <c r="AE522" s="7"/>
      <c r="AF522" s="7"/>
      <c r="AG522" s="7"/>
      <c r="AH522" s="7"/>
      <c r="AI522" s="7"/>
      <c r="AJ522" s="7"/>
      <c r="AK522" s="7"/>
      <c r="AL522" s="7"/>
      <c r="AM522" s="7"/>
      <c r="AN522" s="7"/>
      <c r="AO522" s="6"/>
      <c r="AP522" s="7"/>
      <c r="AQ522" s="7"/>
      <c r="AR522" s="6"/>
      <c r="AS522" s="7"/>
      <c r="AT522" s="7"/>
      <c r="AU522" s="7"/>
      <c r="AV522" s="7"/>
      <c r="AW522" s="7"/>
      <c r="AX522" s="7"/>
      <c r="AY522" s="7"/>
      <c r="AZ522" s="7"/>
      <c r="BA522" s="7"/>
      <c r="BB522" s="7"/>
      <c r="BC522" s="7"/>
      <c r="BD522" s="7"/>
      <c r="BE522" s="7"/>
      <c r="BF522" s="7"/>
      <c r="BG522" s="7"/>
    </row>
    <row r="523" customHeight="1" spans="1:59">
      <c r="A523" s="9" t="str">
        <f>IF(ActiveDatabase=Standby,Secondary!A523,Primary!A523)</f>
        <v>Ita 18</v>
      </c>
      <c r="B523" s="5" t="str">
        <f>IF(ActiveDatabase=Standby,Secondary!B523,Primary!B523)</f>
        <v>Ita 21</v>
      </c>
      <c r="C523" s="5" t="str">
        <f>IF(ActiveDatabase=Standby,Secondary!C523,Primary!C523)</f>
        <v>Ita 26</v>
      </c>
      <c r="D523" s="5" t="str">
        <f>IF(ActiveDatabase=Standby,Secondary!D523,Primary!D523)</f>
        <v>Sand Cave 24H-277</v>
      </c>
      <c r="E523" s="6" t="str">
        <f>IF(ActiveDatabase=Standby,Secondary!E523,Primary!E523)</f>
        <v>SCave 24H277</v>
      </c>
      <c r="F523" s="10">
        <f>IF(ActiveDatabase=Standby,Secondary!F523,Primary!F523)</f>
        <v>188.807448104999</v>
      </c>
      <c r="G523" s="10">
        <f>IF(ActiveDatabase=Standby,Secondary!G523,Primary!G523)</f>
        <v>-167.768550433</v>
      </c>
      <c r="H523" s="10">
        <f>IF(ActiveDatabase=Standby,Secondary!H523,Primary!H523)</f>
        <v>-204.413414621</v>
      </c>
      <c r="I523" s="13">
        <f>IF(ActiveDatabase=Standby,Secondary!I523,Primary!I523)</f>
        <v>0</v>
      </c>
      <c r="J523" s="13">
        <f>IF(ActiveDatabase=Standby,Secondary!J523,Primary!J523)</f>
        <v>0</v>
      </c>
      <c r="K523" s="13">
        <f>IF(ActiveDatabase=Standby,Secondary!K523,Primary!K523)</f>
        <v>0</v>
      </c>
      <c r="L523" s="13">
        <f>IF(ActiveDatabase=Standby,Secondary!L523,Primary!L523)</f>
        <v>0</v>
      </c>
      <c r="M523" s="7" t="b">
        <f>IF(ActiveDatabase=Standby,Secondary!M523,Primary!M523)</f>
        <v>0</v>
      </c>
      <c r="N523" s="10">
        <f>IF(ActiveDatabase=Standby,Secondary!N523,Primary!N523)</f>
        <v>0</v>
      </c>
      <c r="O523" s="10">
        <f>IF(ActiveDatabase=Standby,Secondary!O523,Primary!O523)</f>
        <v>0</v>
      </c>
      <c r="P523" s="10">
        <f>IF(ActiveDatabase=Standby,Secondary!P523,Primary!P523)</f>
        <v>0</v>
      </c>
      <c r="Q523" s="6">
        <f>IF(ActiveDatabase=Standby,Secondary!Q523,Primary!Q523)</f>
        <v>0</v>
      </c>
      <c r="R523" s="18">
        <f>IF(ActiveDatabase=Standby,Secondary!R523,Primary!R523)</f>
        <v>0</v>
      </c>
      <c r="S523" s="19">
        <f>IF(ActiveDatabase=Standby,Secondary!S523,Primary!S523)</f>
        <v>0</v>
      </c>
      <c r="T523" s="10">
        <f>IF(ActiveDatabase=Standby,Secondary!T523,Primary!T523)</f>
        <v>0</v>
      </c>
      <c r="U523" s="10">
        <f>IF(ActiveDatabase=Standby,Secondary!U523,Primary!U523)</f>
        <v>0</v>
      </c>
      <c r="V523" s="10">
        <f>IF(ActiveDatabase=Standby,Secondary!V523,Primary!V523)</f>
        <v>0</v>
      </c>
      <c r="W523" s="6">
        <f>IF(ActiveDatabase=Standby,Secondary!W523,Primary!W523)</f>
        <v>0</v>
      </c>
      <c r="X523" s="6">
        <f>IF(ActiveDatabase=Standby,Secondary!X523,Primary!X523)</f>
        <v>0</v>
      </c>
      <c r="Y523" s="12">
        <f>IF(ActiveDatabase=Standby,Secondary!Y523,Primary!Y523)</f>
        <v>0</v>
      </c>
      <c r="Z523" s="12">
        <f>IF(ActiveDatabase=Standby,Secondary!Z523,Primary!Z523)</f>
        <v>0</v>
      </c>
      <c r="AA523" s="7">
        <f>IF(ActiveDatabase=Standby,Secondary!AA523,Primary!AA523)</f>
        <v>0</v>
      </c>
      <c r="AB523" s="12"/>
      <c r="AC523" s="6"/>
      <c r="AD523" s="6"/>
      <c r="AE523" s="7"/>
      <c r="AF523" s="7"/>
      <c r="AG523" s="7"/>
      <c r="AH523" s="7"/>
      <c r="AI523" s="7"/>
      <c r="AJ523" s="7"/>
      <c r="AK523" s="7"/>
      <c r="AL523" s="7"/>
      <c r="AM523" s="7"/>
      <c r="AN523" s="7"/>
      <c r="AO523" s="6"/>
      <c r="AP523" s="7"/>
      <c r="AQ523" s="7"/>
      <c r="AR523" s="6"/>
      <c r="AS523" s="7"/>
      <c r="AT523" s="7"/>
      <c r="AU523" s="7"/>
      <c r="AV523" s="7"/>
      <c r="AW523" s="7"/>
      <c r="AX523" s="7"/>
      <c r="AY523" s="7"/>
      <c r="AZ523" s="7"/>
      <c r="BA523" s="7"/>
      <c r="BB523" s="7"/>
      <c r="BC523" s="7"/>
      <c r="BD523" s="7"/>
      <c r="BE523" s="7"/>
      <c r="BF523" s="7"/>
      <c r="BG523" s="7"/>
    </row>
    <row r="524" customHeight="1" spans="1:59">
      <c r="A524" s="9" t="str">
        <f>IF(ActiveDatabase=Standby,Secondary!A524,Primary!A524)</f>
        <v>Ita 29</v>
      </c>
      <c r="B524" s="5" t="str">
        <f>IF(ActiveDatabase=Standby,Secondary!B524,Primary!B524)</f>
        <v>Ita 32</v>
      </c>
      <c r="C524" s="5" t="str">
        <f>IF(ActiveDatabase=Standby,Secondary!C524,Primary!C524)</f>
        <v>Ita 08</v>
      </c>
      <c r="D524" s="5" t="str">
        <f>IF(ActiveDatabase=Standby,Secondary!D524,Primary!D524)</f>
        <v>Sand Cave 48L</v>
      </c>
      <c r="E524" s="6" t="str">
        <f>IF(ActiveDatabase=Standby,Secondary!E524,Primary!E524)</f>
        <v>SCave 48L</v>
      </c>
      <c r="F524" s="10">
        <f>IF(ActiveDatabase=Standby,Secondary!F524,Primary!F524)</f>
        <v>-91.951947323</v>
      </c>
      <c r="G524" s="10">
        <f>IF(ActiveDatabase=Standby,Secondary!G524,Primary!G524)</f>
        <v>299.685840192998</v>
      </c>
      <c r="H524" s="10">
        <f>IF(ActiveDatabase=Standby,Secondary!H524,Primary!H524)</f>
        <v>-85.814203531</v>
      </c>
      <c r="I524" s="13">
        <f>IF(ActiveDatabase=Standby,Secondary!I524,Primary!I524)</f>
        <v>0</v>
      </c>
      <c r="J524" s="13">
        <f>IF(ActiveDatabase=Standby,Secondary!J524,Primary!J524)</f>
        <v>0</v>
      </c>
      <c r="K524" s="13">
        <f>IF(ActiveDatabase=Standby,Secondary!K524,Primary!K524)</f>
        <v>0</v>
      </c>
      <c r="L524" s="13">
        <f>IF(ActiveDatabase=Standby,Secondary!L524,Primary!L524)</f>
        <v>0</v>
      </c>
      <c r="M524" s="7" t="b">
        <f>IF(ActiveDatabase=Standby,Secondary!M524,Primary!M524)</f>
        <v>0</v>
      </c>
      <c r="N524" s="10">
        <f>IF(ActiveDatabase=Standby,Secondary!N524,Primary!N524)</f>
        <v>0</v>
      </c>
      <c r="O524" s="10">
        <f>IF(ActiveDatabase=Standby,Secondary!O524,Primary!O524)</f>
        <v>0</v>
      </c>
      <c r="P524" s="10">
        <f>IF(ActiveDatabase=Standby,Secondary!P524,Primary!P524)</f>
        <v>0</v>
      </c>
      <c r="Q524" s="6">
        <f>IF(ActiveDatabase=Standby,Secondary!Q524,Primary!Q524)</f>
        <v>0</v>
      </c>
      <c r="R524" s="18">
        <f>IF(ActiveDatabase=Standby,Secondary!R524,Primary!R524)</f>
        <v>0</v>
      </c>
      <c r="S524" s="19">
        <f>IF(ActiveDatabase=Standby,Secondary!S524,Primary!S524)</f>
        <v>0</v>
      </c>
      <c r="T524" s="10">
        <f>IF(ActiveDatabase=Standby,Secondary!T524,Primary!T524)</f>
        <v>0</v>
      </c>
      <c r="U524" s="10">
        <f>IF(ActiveDatabase=Standby,Secondary!U524,Primary!U524)</f>
        <v>0</v>
      </c>
      <c r="V524" s="10">
        <f>IF(ActiveDatabase=Standby,Secondary!V524,Primary!V524)</f>
        <v>0</v>
      </c>
      <c r="W524" s="6">
        <f>IF(ActiveDatabase=Standby,Secondary!W524,Primary!W524)</f>
        <v>0</v>
      </c>
      <c r="X524" s="6">
        <f>IF(ActiveDatabase=Standby,Secondary!X524,Primary!X524)</f>
        <v>0</v>
      </c>
      <c r="Y524" s="12">
        <f>IF(ActiveDatabase=Standby,Secondary!Y524,Primary!Y524)</f>
        <v>0</v>
      </c>
      <c r="Z524" s="12">
        <f>IF(ActiveDatabase=Standby,Secondary!Z524,Primary!Z524)</f>
        <v>0</v>
      </c>
      <c r="AA524" s="7">
        <f>IF(ActiveDatabase=Standby,Secondary!AA524,Primary!AA524)</f>
        <v>0</v>
      </c>
      <c r="AB524" s="12"/>
      <c r="AC524" s="6"/>
      <c r="AD524" s="6"/>
      <c r="AE524" s="7"/>
      <c r="AF524" s="7"/>
      <c r="AG524" s="7"/>
      <c r="AH524" s="7"/>
      <c r="AI524" s="7"/>
      <c r="AJ524" s="7"/>
      <c r="AK524" s="7"/>
      <c r="AL524" s="7"/>
      <c r="AM524" s="7"/>
      <c r="AN524" s="7"/>
      <c r="AO524" s="6"/>
      <c r="AP524" s="7"/>
      <c r="AQ524" s="7"/>
      <c r="AR524" s="6"/>
      <c r="AS524" s="7"/>
      <c r="AT524" s="7"/>
      <c r="AU524" s="7"/>
      <c r="AV524" s="7"/>
      <c r="AW524" s="7"/>
      <c r="AX524" s="7"/>
      <c r="AY524" s="7"/>
      <c r="AZ524" s="7"/>
      <c r="BA524" s="7"/>
      <c r="BB524" s="7"/>
      <c r="BC524" s="7"/>
      <c r="BD524" s="7"/>
      <c r="BE524" s="7"/>
      <c r="BF524" s="7"/>
      <c r="BG524" s="7"/>
    </row>
    <row r="525" customHeight="1" spans="1:59">
      <c r="A525" s="9" t="str">
        <f>IF(ActiveDatabase=Standby,Secondary!A525,Primary!A525)</f>
        <v>Ita 14</v>
      </c>
      <c r="B525" s="5" t="str">
        <f>IF(ActiveDatabase=Standby,Secondary!B525,Primary!B525)</f>
        <v>Ita 17</v>
      </c>
      <c r="C525" s="5" t="str">
        <f>IF(ActiveDatabase=Standby,Secondary!C525,Primary!C525)</f>
        <v>Ita 32</v>
      </c>
      <c r="D525" s="5" t="str">
        <f>IF(ActiveDatabase=Standby,Secondary!D525,Primary!D525)</f>
        <v>Sand Cave 10P-118</v>
      </c>
      <c r="E525" s="6" t="str">
        <f>IF(ActiveDatabase=Standby,Secondary!E525,Primary!E525)</f>
        <v>SCave 10P118</v>
      </c>
      <c r="F525" s="10">
        <f>IF(ActiveDatabase=Standby,Secondary!F525,Primary!F525)</f>
        <v>-164.654306465</v>
      </c>
      <c r="G525" s="10">
        <f>IF(ActiveDatabase=Standby,Secondary!G525,Primary!G525)</f>
        <v>-271.127454260999</v>
      </c>
      <c r="H525" s="10">
        <f>IF(ActiveDatabase=Standby,Secondary!H525,Primary!H525)</f>
        <v>71.294127882</v>
      </c>
      <c r="I525" s="13">
        <f>IF(ActiveDatabase=Standby,Secondary!I525,Primary!I525)</f>
        <v>0</v>
      </c>
      <c r="J525" s="13">
        <f>IF(ActiveDatabase=Standby,Secondary!J525,Primary!J525)</f>
        <v>0</v>
      </c>
      <c r="K525" s="13">
        <f>IF(ActiveDatabase=Standby,Secondary!K525,Primary!K525)</f>
        <v>0</v>
      </c>
      <c r="L525" s="13">
        <f>IF(ActiveDatabase=Standby,Secondary!L525,Primary!L525)</f>
        <v>0</v>
      </c>
      <c r="M525" s="7" t="b">
        <f>IF(ActiveDatabase=Standby,Secondary!M525,Primary!M525)</f>
        <v>0</v>
      </c>
      <c r="N525" s="10">
        <f>IF(ActiveDatabase=Standby,Secondary!N525,Primary!N525)</f>
        <v>0</v>
      </c>
      <c r="O525" s="10">
        <f>IF(ActiveDatabase=Standby,Secondary!O525,Primary!O525)</f>
        <v>0</v>
      </c>
      <c r="P525" s="10">
        <f>IF(ActiveDatabase=Standby,Secondary!P525,Primary!P525)</f>
        <v>0</v>
      </c>
      <c r="Q525" s="6">
        <f>IF(ActiveDatabase=Standby,Secondary!Q525,Primary!Q525)</f>
        <v>0</v>
      </c>
      <c r="R525" s="18">
        <f>IF(ActiveDatabase=Standby,Secondary!R525,Primary!R525)</f>
        <v>0</v>
      </c>
      <c r="S525" s="19">
        <f>IF(ActiveDatabase=Standby,Secondary!S525,Primary!S525)</f>
        <v>0</v>
      </c>
      <c r="T525" s="10">
        <f>IF(ActiveDatabase=Standby,Secondary!T525,Primary!T525)</f>
        <v>0</v>
      </c>
      <c r="U525" s="10">
        <f>IF(ActiveDatabase=Standby,Secondary!U525,Primary!U525)</f>
        <v>0</v>
      </c>
      <c r="V525" s="10">
        <f>IF(ActiveDatabase=Standby,Secondary!V525,Primary!V525)</f>
        <v>0</v>
      </c>
      <c r="W525" s="6">
        <f>IF(ActiveDatabase=Standby,Secondary!W525,Primary!W525)</f>
        <v>0</v>
      </c>
      <c r="X525" s="6">
        <f>IF(ActiveDatabase=Standby,Secondary!X525,Primary!X525)</f>
        <v>0</v>
      </c>
      <c r="Y525" s="12">
        <f>IF(ActiveDatabase=Standby,Secondary!Y525,Primary!Y525)</f>
        <v>0</v>
      </c>
      <c r="Z525" s="12">
        <f>IF(ActiveDatabase=Standby,Secondary!Z525,Primary!Z525)</f>
        <v>0</v>
      </c>
      <c r="AA525" s="7">
        <f>IF(ActiveDatabase=Standby,Secondary!AA525,Primary!AA525)</f>
        <v>0</v>
      </c>
      <c r="AB525" s="12"/>
      <c r="AC525" s="6"/>
      <c r="AD525" s="6"/>
      <c r="AE525" s="7"/>
      <c r="AF525" s="7"/>
      <c r="AG525" s="7"/>
      <c r="AH525" s="7"/>
      <c r="AI525" s="7"/>
      <c r="AJ525" s="7"/>
      <c r="AK525" s="7"/>
      <c r="AL525" s="7"/>
      <c r="AM525" s="7"/>
      <c r="AN525" s="7"/>
      <c r="AO525" s="6"/>
      <c r="AP525" s="7"/>
      <c r="AQ525" s="7"/>
      <c r="AR525" s="6"/>
      <c r="AS525" s="7"/>
      <c r="AT525" s="7"/>
      <c r="AU525" s="7"/>
      <c r="AV525" s="7"/>
      <c r="AW525" s="7"/>
      <c r="AX525" s="7"/>
      <c r="AY525" s="7"/>
      <c r="AZ525" s="7"/>
      <c r="BA525" s="7"/>
      <c r="BB525" s="7"/>
      <c r="BC525" s="7"/>
      <c r="BD525" s="7"/>
      <c r="BE525" s="7"/>
      <c r="BF525" s="7"/>
      <c r="BG525" s="7"/>
    </row>
    <row r="526" customHeight="1" spans="1:59">
      <c r="A526" s="9" t="str">
        <f>IF(ActiveDatabase=Standby,Secondary!A526,Primary!A526)</f>
        <v>Ita 19</v>
      </c>
      <c r="B526" s="5" t="str">
        <f>IF(ActiveDatabase=Standby,Secondary!B526,Primary!B526)</f>
        <v>Ita 22</v>
      </c>
      <c r="C526" s="5" t="str">
        <f>IF(ActiveDatabase=Standby,Secondary!C526,Primary!C526)</f>
        <v>Ita 25</v>
      </c>
      <c r="D526" s="5" t="str">
        <f>IF(ActiveDatabase=Standby,Secondary!D526,Primary!D526)</f>
        <v>Sand Cave 24H-283</v>
      </c>
      <c r="E526" s="6" t="str">
        <f>IF(ActiveDatabase=Standby,Secondary!E526,Primary!E526)</f>
        <v>SCave 24H283</v>
      </c>
      <c r="F526" s="10">
        <f>IF(ActiveDatabase=Standby,Secondary!F526,Primary!F526)</f>
        <v>213.022361773999</v>
      </c>
      <c r="G526" s="10">
        <f>IF(ActiveDatabase=Standby,Secondary!G526,Primary!G526)</f>
        <v>-171.322173729</v>
      </c>
      <c r="H526" s="10">
        <f>IF(ActiveDatabase=Standby,Secondary!H526,Primary!H526)</f>
        <v>-175.822320905</v>
      </c>
      <c r="I526" s="13">
        <f>IF(ActiveDatabase=Standby,Secondary!I526,Primary!I526)</f>
        <v>0</v>
      </c>
      <c r="J526" s="13">
        <f>IF(ActiveDatabase=Standby,Secondary!J526,Primary!J526)</f>
        <v>0</v>
      </c>
      <c r="K526" s="13">
        <f>IF(ActiveDatabase=Standby,Secondary!K526,Primary!K526)</f>
        <v>0</v>
      </c>
      <c r="L526" s="13">
        <f>IF(ActiveDatabase=Standby,Secondary!L526,Primary!L526)</f>
        <v>0</v>
      </c>
      <c r="M526" s="7" t="b">
        <f>IF(ActiveDatabase=Standby,Secondary!M526,Primary!M526)</f>
        <v>0</v>
      </c>
      <c r="N526" s="10">
        <f>IF(ActiveDatabase=Standby,Secondary!N526,Primary!N526)</f>
        <v>0</v>
      </c>
      <c r="O526" s="10">
        <f>IF(ActiveDatabase=Standby,Secondary!O526,Primary!O526)</f>
        <v>0</v>
      </c>
      <c r="P526" s="10">
        <f>IF(ActiveDatabase=Standby,Secondary!P526,Primary!P526)</f>
        <v>0</v>
      </c>
      <c r="Q526" s="6">
        <f>IF(ActiveDatabase=Standby,Secondary!Q526,Primary!Q526)</f>
        <v>0</v>
      </c>
      <c r="R526" s="18">
        <f>IF(ActiveDatabase=Standby,Secondary!R526,Primary!R526)</f>
        <v>0</v>
      </c>
      <c r="S526" s="19">
        <f>IF(ActiveDatabase=Standby,Secondary!S526,Primary!S526)</f>
        <v>0</v>
      </c>
      <c r="T526" s="10">
        <f>IF(ActiveDatabase=Standby,Secondary!T526,Primary!T526)</f>
        <v>0</v>
      </c>
      <c r="U526" s="10">
        <f>IF(ActiveDatabase=Standby,Secondary!U526,Primary!U526)</f>
        <v>0</v>
      </c>
      <c r="V526" s="10">
        <f>IF(ActiveDatabase=Standby,Secondary!V526,Primary!V526)</f>
        <v>0</v>
      </c>
      <c r="W526" s="6">
        <f>IF(ActiveDatabase=Standby,Secondary!W526,Primary!W526)</f>
        <v>0</v>
      </c>
      <c r="X526" s="6">
        <f>IF(ActiveDatabase=Standby,Secondary!X526,Primary!X526)</f>
        <v>0</v>
      </c>
      <c r="Y526" s="12">
        <f>IF(ActiveDatabase=Standby,Secondary!Y526,Primary!Y526)</f>
        <v>0</v>
      </c>
      <c r="Z526" s="12">
        <f>IF(ActiveDatabase=Standby,Secondary!Z526,Primary!Z526)</f>
        <v>0</v>
      </c>
      <c r="AA526" s="7">
        <f>IF(ActiveDatabase=Standby,Secondary!AA526,Primary!AA526)</f>
        <v>0</v>
      </c>
      <c r="AB526" s="12"/>
      <c r="AC526" s="6"/>
      <c r="AD526" s="6"/>
      <c r="AE526" s="7"/>
      <c r="AF526" s="7"/>
      <c r="AG526" s="7"/>
      <c r="AH526" s="7"/>
      <c r="AI526" s="7"/>
      <c r="AJ526" s="7"/>
      <c r="AK526" s="7"/>
      <c r="AL526" s="7"/>
      <c r="AM526" s="7"/>
      <c r="AN526" s="7"/>
      <c r="AO526" s="6"/>
      <c r="AP526" s="7"/>
      <c r="AQ526" s="7"/>
      <c r="AR526" s="6"/>
      <c r="AS526" s="7"/>
      <c r="AT526" s="7"/>
      <c r="AU526" s="7"/>
      <c r="AV526" s="7"/>
      <c r="AW526" s="7"/>
      <c r="AX526" s="7"/>
      <c r="AY526" s="7"/>
      <c r="AZ526" s="7"/>
      <c r="BA526" s="7"/>
      <c r="BB526" s="7"/>
      <c r="BC526" s="7"/>
      <c r="BD526" s="7"/>
      <c r="BE526" s="7"/>
      <c r="BF526" s="7"/>
      <c r="BG526" s="7"/>
    </row>
    <row r="527" customHeight="1" spans="1:59">
      <c r="A527" s="9" t="str">
        <f>IF(ActiveDatabase=Standby,Secondary!A527,Primary!A527)</f>
        <v>Ita 11</v>
      </c>
      <c r="B527" s="5" t="str">
        <f>IF(ActiveDatabase=Standby,Secondary!B527,Primary!B527)</f>
        <v>Ita 14</v>
      </c>
      <c r="C527" s="5" t="str">
        <f>IF(ActiveDatabase=Standby,Secondary!C527,Primary!C527)</f>
        <v>Ita 37</v>
      </c>
      <c r="D527" s="5" t="str">
        <f>IF(ActiveDatabase=Standby,Secondary!D527,Primary!D527)</f>
        <v>Sand Cave 08M</v>
      </c>
      <c r="E527" s="6" t="str">
        <f>IF(ActiveDatabase=Standby,Secondary!E527,Primary!E527)</f>
        <v>SCave 08M</v>
      </c>
      <c r="F527" s="10">
        <f>IF(ActiveDatabase=Standby,Secondary!F527,Primary!F527)</f>
        <v>-233.601456371999</v>
      </c>
      <c r="G527" s="10">
        <f>IF(ActiveDatabase=Standby,Secondary!G527,Primary!G527)</f>
        <v>-224.910658203</v>
      </c>
      <c r="H527" s="10">
        <f>IF(ActiveDatabase=Standby,Secondary!H527,Primary!H527)</f>
        <v>-23.933511178</v>
      </c>
      <c r="I527" s="13">
        <f>IF(ActiveDatabase=Standby,Secondary!I527,Primary!I527)</f>
        <v>0</v>
      </c>
      <c r="J527" s="13">
        <f>IF(ActiveDatabase=Standby,Secondary!J527,Primary!J527)</f>
        <v>0</v>
      </c>
      <c r="K527" s="13">
        <f>IF(ActiveDatabase=Standby,Secondary!K527,Primary!K527)</f>
        <v>0</v>
      </c>
      <c r="L527" s="13">
        <f>IF(ActiveDatabase=Standby,Secondary!L527,Primary!L527)</f>
        <v>0</v>
      </c>
      <c r="M527" s="7" t="b">
        <f>IF(ActiveDatabase=Standby,Secondary!M527,Primary!M527)</f>
        <v>0</v>
      </c>
      <c r="N527" s="10">
        <f>IF(ActiveDatabase=Standby,Secondary!N527,Primary!N527)</f>
        <v>0</v>
      </c>
      <c r="O527" s="10">
        <f>IF(ActiveDatabase=Standby,Secondary!O527,Primary!O527)</f>
        <v>0</v>
      </c>
      <c r="P527" s="10">
        <f>IF(ActiveDatabase=Standby,Secondary!P527,Primary!P527)</f>
        <v>0</v>
      </c>
      <c r="Q527" s="6">
        <f>IF(ActiveDatabase=Standby,Secondary!Q527,Primary!Q527)</f>
        <v>0</v>
      </c>
      <c r="R527" s="18">
        <f>IF(ActiveDatabase=Standby,Secondary!R527,Primary!R527)</f>
        <v>0</v>
      </c>
      <c r="S527" s="19">
        <f>IF(ActiveDatabase=Standby,Secondary!S527,Primary!S527)</f>
        <v>0</v>
      </c>
      <c r="T527" s="10">
        <f>IF(ActiveDatabase=Standby,Secondary!T527,Primary!T527)</f>
        <v>0</v>
      </c>
      <c r="U527" s="10">
        <f>IF(ActiveDatabase=Standby,Secondary!U527,Primary!U527)</f>
        <v>0</v>
      </c>
      <c r="V527" s="10">
        <f>IF(ActiveDatabase=Standby,Secondary!V527,Primary!V527)</f>
        <v>0</v>
      </c>
      <c r="W527" s="6">
        <f>IF(ActiveDatabase=Standby,Secondary!W527,Primary!W527)</f>
        <v>0</v>
      </c>
      <c r="X527" s="6">
        <f>IF(ActiveDatabase=Standby,Secondary!X527,Primary!X527)</f>
        <v>0</v>
      </c>
      <c r="Y527" s="12">
        <f>IF(ActiveDatabase=Standby,Secondary!Y527,Primary!Y527)</f>
        <v>0</v>
      </c>
      <c r="Z527" s="12">
        <f>IF(ActiveDatabase=Standby,Secondary!Z527,Primary!Z527)</f>
        <v>0</v>
      </c>
      <c r="AA527" s="7">
        <f>IF(ActiveDatabase=Standby,Secondary!AA527,Primary!AA527)</f>
        <v>0</v>
      </c>
      <c r="AB527" s="12"/>
      <c r="AC527" s="6"/>
      <c r="AD527" s="6"/>
      <c r="AE527" s="7"/>
      <c r="AF527" s="7"/>
      <c r="AG527" s="7"/>
      <c r="AH527" s="7"/>
      <c r="AI527" s="7"/>
      <c r="AJ527" s="7"/>
      <c r="AK527" s="7"/>
      <c r="AL527" s="7"/>
      <c r="AM527" s="7"/>
      <c r="AN527" s="7"/>
      <c r="AO527" s="6"/>
      <c r="AP527" s="7"/>
      <c r="AQ527" s="7"/>
      <c r="AR527" s="6"/>
      <c r="AS527" s="7"/>
      <c r="AT527" s="7"/>
      <c r="AU527" s="7"/>
      <c r="AV527" s="7"/>
      <c r="AW527" s="7"/>
      <c r="AX527" s="7"/>
      <c r="AY527" s="7"/>
      <c r="AZ527" s="7"/>
      <c r="BA527" s="7"/>
      <c r="BB527" s="7"/>
      <c r="BC527" s="7"/>
      <c r="BD527" s="7"/>
      <c r="BE527" s="7"/>
      <c r="BF527" s="7"/>
      <c r="BG527" s="7"/>
    </row>
    <row r="528" customHeight="1" spans="1:59">
      <c r="A528" s="9" t="str">
        <f>IF(ActiveDatabase=Standby,Secondary!A528,Primary!A528)</f>
        <v>Ita 13</v>
      </c>
      <c r="B528" s="5" t="str">
        <f>IF(ActiveDatabase=Standby,Secondary!B528,Primary!B528)</f>
        <v>Ita 16</v>
      </c>
      <c r="C528" s="5" t="str">
        <f>IF(ActiveDatabase=Standby,Secondary!C528,Primary!C528)</f>
        <v>Ita 33</v>
      </c>
      <c r="D528" s="5" t="str">
        <f>IF(ActiveDatabase=Standby,Secondary!D528,Primary!D528)</f>
        <v>Sand Cave 10P-116</v>
      </c>
      <c r="E528" s="6" t="str">
        <f>IF(ActiveDatabase=Standby,Secondary!E528,Primary!E528)</f>
        <v>SCave 10P116</v>
      </c>
      <c r="F528" s="10">
        <f>IF(ActiveDatabase=Standby,Secondary!F528,Primary!F528)</f>
        <v>-168.357380267</v>
      </c>
      <c r="G528" s="10">
        <f>IF(ActiveDatabase=Standby,Secondary!G528,Primary!G528)</f>
        <v>-267.864783333</v>
      </c>
      <c r="H528" s="10">
        <f>IF(ActiveDatabase=Standby,Secondary!H528,Primary!H528)</f>
        <v>74.9401285079999</v>
      </c>
      <c r="I528" s="13">
        <f>IF(ActiveDatabase=Standby,Secondary!I528,Primary!I528)</f>
        <v>0</v>
      </c>
      <c r="J528" s="13">
        <f>IF(ActiveDatabase=Standby,Secondary!J528,Primary!J528)</f>
        <v>0</v>
      </c>
      <c r="K528" s="13">
        <f>IF(ActiveDatabase=Standby,Secondary!K528,Primary!K528)</f>
        <v>0</v>
      </c>
      <c r="L528" s="13">
        <f>IF(ActiveDatabase=Standby,Secondary!L528,Primary!L528)</f>
        <v>0</v>
      </c>
      <c r="M528" s="7" t="b">
        <f>IF(ActiveDatabase=Standby,Secondary!M528,Primary!M528)</f>
        <v>0</v>
      </c>
      <c r="N528" s="10">
        <f>IF(ActiveDatabase=Standby,Secondary!N528,Primary!N528)</f>
        <v>0</v>
      </c>
      <c r="O528" s="10">
        <f>IF(ActiveDatabase=Standby,Secondary!O528,Primary!O528)</f>
        <v>0</v>
      </c>
      <c r="P528" s="10">
        <f>IF(ActiveDatabase=Standby,Secondary!P528,Primary!P528)</f>
        <v>0</v>
      </c>
      <c r="Q528" s="6">
        <f>IF(ActiveDatabase=Standby,Secondary!Q528,Primary!Q528)</f>
        <v>0</v>
      </c>
      <c r="R528" s="18">
        <f>IF(ActiveDatabase=Standby,Secondary!R528,Primary!R528)</f>
        <v>0</v>
      </c>
      <c r="S528" s="19">
        <f>IF(ActiveDatabase=Standby,Secondary!S528,Primary!S528)</f>
        <v>0</v>
      </c>
      <c r="T528" s="10">
        <f>IF(ActiveDatabase=Standby,Secondary!T528,Primary!T528)</f>
        <v>0</v>
      </c>
      <c r="U528" s="10">
        <f>IF(ActiveDatabase=Standby,Secondary!U528,Primary!U528)</f>
        <v>0</v>
      </c>
      <c r="V528" s="10">
        <f>IF(ActiveDatabase=Standby,Secondary!V528,Primary!V528)</f>
        <v>0</v>
      </c>
      <c r="W528" s="6">
        <f>IF(ActiveDatabase=Standby,Secondary!W528,Primary!W528)</f>
        <v>0</v>
      </c>
      <c r="X528" s="6">
        <f>IF(ActiveDatabase=Standby,Secondary!X528,Primary!X528)</f>
        <v>0</v>
      </c>
      <c r="Y528" s="12">
        <f>IF(ActiveDatabase=Standby,Secondary!Y528,Primary!Y528)</f>
        <v>0</v>
      </c>
      <c r="Z528" s="12">
        <f>IF(ActiveDatabase=Standby,Secondary!Z528,Primary!Z528)</f>
        <v>0</v>
      </c>
      <c r="AA528" s="7">
        <f>IF(ActiveDatabase=Standby,Secondary!AA528,Primary!AA528)</f>
        <v>0</v>
      </c>
      <c r="AB528" s="12"/>
      <c r="AC528" s="6"/>
      <c r="AD528" s="6"/>
      <c r="AE528" s="7"/>
      <c r="AF528" s="7"/>
      <c r="AG528" s="7"/>
      <c r="AH528" s="7"/>
      <c r="AI528" s="7"/>
      <c r="AJ528" s="7"/>
      <c r="AK528" s="7"/>
      <c r="AL528" s="7"/>
      <c r="AM528" s="7"/>
      <c r="AN528" s="7"/>
      <c r="AO528" s="6"/>
      <c r="AP528" s="7"/>
      <c r="AQ528" s="7"/>
      <c r="AR528" s="6"/>
      <c r="AS528" s="7"/>
      <c r="AT528" s="7"/>
      <c r="AU528" s="7"/>
      <c r="AV528" s="7"/>
      <c r="AW528" s="7"/>
      <c r="AX528" s="7"/>
      <c r="AY528" s="7"/>
      <c r="AZ528" s="7"/>
      <c r="BA528" s="7"/>
      <c r="BB528" s="7"/>
      <c r="BC528" s="7"/>
      <c r="BD528" s="7"/>
      <c r="BE528" s="7"/>
      <c r="BF528" s="7"/>
      <c r="BG528" s="7"/>
    </row>
    <row r="529" customHeight="1" spans="1:59">
      <c r="A529" s="9" t="str">
        <f>IF(ActiveDatabase=Standby,Secondary!A529,Primary!A529)</f>
        <v>Ita 09</v>
      </c>
      <c r="B529" s="5" t="str">
        <f>IF(ActiveDatabase=Standby,Secondary!B529,Primary!B529)</f>
        <v>Ita 12</v>
      </c>
      <c r="C529" s="5" t="str">
        <f>IF(ActiveDatabase=Standby,Secondary!C529,Primary!C529)</f>
        <v>Ita 39</v>
      </c>
      <c r="D529" s="5" t="str">
        <f>IF(ActiveDatabase=Standby,Secondary!D529,Primary!D529)</f>
        <v>Sand Cave 02P</v>
      </c>
      <c r="E529" s="6" t="str">
        <f>IF(ActiveDatabase=Standby,Secondary!E529,Primary!E529)</f>
        <v>SCave 02P</v>
      </c>
      <c r="F529" s="10">
        <f>IF(ActiveDatabase=Standby,Secondary!F529,Primary!F529)</f>
        <v>-314.472152318999</v>
      </c>
      <c r="G529" s="10">
        <f>IF(ActiveDatabase=Standby,Secondary!G529,Primary!G529)</f>
        <v>-59.807420243</v>
      </c>
      <c r="H529" s="10">
        <f>IF(ActiveDatabase=Standby,Secondary!H529,Primary!H529)</f>
        <v>56.5533631959999</v>
      </c>
      <c r="I529" s="13">
        <f>IF(ActiveDatabase=Standby,Secondary!I529,Primary!I529)</f>
        <v>0</v>
      </c>
      <c r="J529" s="13">
        <f>IF(ActiveDatabase=Standby,Secondary!J529,Primary!J529)</f>
        <v>0</v>
      </c>
      <c r="K529" s="13">
        <f>IF(ActiveDatabase=Standby,Secondary!K529,Primary!K529)</f>
        <v>0</v>
      </c>
      <c r="L529" s="13">
        <f>IF(ActiveDatabase=Standby,Secondary!L529,Primary!L529)</f>
        <v>0</v>
      </c>
      <c r="M529" s="7" t="b">
        <f>IF(ActiveDatabase=Standby,Secondary!M529,Primary!M529)</f>
        <v>0</v>
      </c>
      <c r="N529" s="10">
        <f>IF(ActiveDatabase=Standby,Secondary!N529,Primary!N529)</f>
        <v>0</v>
      </c>
      <c r="O529" s="10">
        <f>IF(ActiveDatabase=Standby,Secondary!O529,Primary!O529)</f>
        <v>0</v>
      </c>
      <c r="P529" s="10">
        <f>IF(ActiveDatabase=Standby,Secondary!P529,Primary!P529)</f>
        <v>0</v>
      </c>
      <c r="Q529" s="6">
        <f>IF(ActiveDatabase=Standby,Secondary!Q529,Primary!Q529)</f>
        <v>0</v>
      </c>
      <c r="R529" s="18">
        <f>IF(ActiveDatabase=Standby,Secondary!R529,Primary!R529)</f>
        <v>0</v>
      </c>
      <c r="S529" s="19">
        <f>IF(ActiveDatabase=Standby,Secondary!S529,Primary!S529)</f>
        <v>0</v>
      </c>
      <c r="T529" s="10">
        <f>IF(ActiveDatabase=Standby,Secondary!T529,Primary!T529)</f>
        <v>0</v>
      </c>
      <c r="U529" s="10">
        <f>IF(ActiveDatabase=Standby,Secondary!U529,Primary!U529)</f>
        <v>0</v>
      </c>
      <c r="V529" s="10">
        <f>IF(ActiveDatabase=Standby,Secondary!V529,Primary!V529)</f>
        <v>0</v>
      </c>
      <c r="W529" s="6">
        <f>IF(ActiveDatabase=Standby,Secondary!W529,Primary!W529)</f>
        <v>0</v>
      </c>
      <c r="X529" s="6">
        <f>IF(ActiveDatabase=Standby,Secondary!X529,Primary!X529)</f>
        <v>0</v>
      </c>
      <c r="Y529" s="12">
        <f>IF(ActiveDatabase=Standby,Secondary!Y529,Primary!Y529)</f>
        <v>0</v>
      </c>
      <c r="Z529" s="12">
        <f>IF(ActiveDatabase=Standby,Secondary!Z529,Primary!Z529)</f>
        <v>0</v>
      </c>
      <c r="AA529" s="7">
        <f>IF(ActiveDatabase=Standby,Secondary!AA529,Primary!AA529)</f>
        <v>0</v>
      </c>
      <c r="AB529" s="12"/>
      <c r="AC529" s="6"/>
      <c r="AD529" s="6"/>
      <c r="AE529" s="7"/>
      <c r="AF529" s="7"/>
      <c r="AG529" s="7"/>
      <c r="AH529" s="7"/>
      <c r="AI529" s="7"/>
      <c r="AJ529" s="7"/>
      <c r="AK529" s="7"/>
      <c r="AL529" s="7"/>
      <c r="AM529" s="7"/>
      <c r="AN529" s="7"/>
      <c r="AO529" s="6"/>
      <c r="AP529" s="7"/>
      <c r="AQ529" s="7"/>
      <c r="AR529" s="6"/>
      <c r="AS529" s="7"/>
      <c r="AT529" s="7"/>
      <c r="AU529" s="7"/>
      <c r="AV529" s="7"/>
      <c r="AW529" s="7"/>
      <c r="AX529" s="7"/>
      <c r="AY529" s="7"/>
      <c r="AZ529" s="7"/>
      <c r="BA529" s="7"/>
      <c r="BB529" s="7"/>
      <c r="BC529" s="7"/>
      <c r="BD529" s="7"/>
      <c r="BE529" s="7"/>
      <c r="BF529" s="7"/>
      <c r="BG529" s="7"/>
    </row>
    <row r="530" customHeight="1" spans="1:59">
      <c r="A530" s="9" t="str">
        <f>IF(ActiveDatabase=Standby,Secondary!A530,Primary!A530)</f>
        <v>Ita 07</v>
      </c>
      <c r="B530" s="5" t="str">
        <f>IF(ActiveDatabase=Standby,Secondary!B530,Primary!B530)</f>
        <v>Ita 10</v>
      </c>
      <c r="C530" s="5" t="str">
        <f>IF(ActiveDatabase=Standby,Secondary!C530,Primary!C530)</f>
        <v>Ita 41</v>
      </c>
      <c r="D530" s="5" t="str">
        <f>IF(ActiveDatabase=Standby,Secondary!D530,Primary!D530)</f>
        <v>Sand Cave 01N-008</v>
      </c>
      <c r="E530" s="6" t="str">
        <f>IF(ActiveDatabase=Standby,Secondary!E530,Primary!E530)</f>
        <v>SCave 01N008</v>
      </c>
      <c r="F530" s="10">
        <f>IF(ActiveDatabase=Standby,Secondary!F530,Primary!F530)</f>
        <v>-324.467647981</v>
      </c>
      <c r="G530" s="10">
        <f>IF(ActiveDatabase=Standby,Secondary!G530,Primary!G530)</f>
        <v>-22.1306577709999</v>
      </c>
      <c r="H530" s="10">
        <f>IF(ActiveDatabase=Standby,Secondary!H530,Primary!H530)</f>
        <v>3.270380682</v>
      </c>
      <c r="I530" s="13">
        <f>IF(ActiveDatabase=Standby,Secondary!I530,Primary!I530)</f>
        <v>0</v>
      </c>
      <c r="J530" s="13">
        <f>IF(ActiveDatabase=Standby,Secondary!J530,Primary!J530)</f>
        <v>0</v>
      </c>
      <c r="K530" s="13">
        <f>IF(ActiveDatabase=Standby,Secondary!K530,Primary!K530)</f>
        <v>0</v>
      </c>
      <c r="L530" s="13">
        <f>IF(ActiveDatabase=Standby,Secondary!L530,Primary!L530)</f>
        <v>0</v>
      </c>
      <c r="M530" s="7" t="b">
        <f>IF(ActiveDatabase=Standby,Secondary!M530,Primary!M530)</f>
        <v>0</v>
      </c>
      <c r="N530" s="10">
        <f>IF(ActiveDatabase=Standby,Secondary!N530,Primary!N530)</f>
        <v>0</v>
      </c>
      <c r="O530" s="10">
        <f>IF(ActiveDatabase=Standby,Secondary!O530,Primary!O530)</f>
        <v>0</v>
      </c>
      <c r="P530" s="10">
        <f>IF(ActiveDatabase=Standby,Secondary!P530,Primary!P530)</f>
        <v>0</v>
      </c>
      <c r="Q530" s="6">
        <f>IF(ActiveDatabase=Standby,Secondary!Q530,Primary!Q530)</f>
        <v>0</v>
      </c>
      <c r="R530" s="18">
        <f>IF(ActiveDatabase=Standby,Secondary!R530,Primary!R530)</f>
        <v>0</v>
      </c>
      <c r="S530" s="19">
        <f>IF(ActiveDatabase=Standby,Secondary!S530,Primary!S530)</f>
        <v>0</v>
      </c>
      <c r="T530" s="10">
        <f>IF(ActiveDatabase=Standby,Secondary!T530,Primary!T530)</f>
        <v>0</v>
      </c>
      <c r="U530" s="10">
        <f>IF(ActiveDatabase=Standby,Secondary!U530,Primary!U530)</f>
        <v>0</v>
      </c>
      <c r="V530" s="10">
        <f>IF(ActiveDatabase=Standby,Secondary!V530,Primary!V530)</f>
        <v>0</v>
      </c>
      <c r="W530" s="6">
        <f>IF(ActiveDatabase=Standby,Secondary!W530,Primary!W530)</f>
        <v>0</v>
      </c>
      <c r="X530" s="6">
        <f>IF(ActiveDatabase=Standby,Secondary!X530,Primary!X530)</f>
        <v>0</v>
      </c>
      <c r="Y530" s="12">
        <f>IF(ActiveDatabase=Standby,Secondary!Y530,Primary!Y530)</f>
        <v>0</v>
      </c>
      <c r="Z530" s="12">
        <f>IF(ActiveDatabase=Standby,Secondary!Z530,Primary!Z530)</f>
        <v>0</v>
      </c>
      <c r="AA530" s="7">
        <f>IF(ActiveDatabase=Standby,Secondary!AA530,Primary!AA530)</f>
        <v>0</v>
      </c>
      <c r="AB530" s="12"/>
      <c r="AC530" s="6"/>
      <c r="AD530" s="6"/>
      <c r="AE530" s="7"/>
      <c r="AF530" s="7"/>
      <c r="AG530" s="7"/>
      <c r="AH530" s="7"/>
      <c r="AI530" s="7"/>
      <c r="AJ530" s="7"/>
      <c r="AK530" s="7"/>
      <c r="AL530" s="7"/>
      <c r="AM530" s="7"/>
      <c r="AN530" s="7"/>
      <c r="AO530" s="6"/>
      <c r="AP530" s="7"/>
      <c r="AQ530" s="7"/>
      <c r="AR530" s="6"/>
      <c r="AS530" s="7"/>
      <c r="AT530" s="7"/>
      <c r="AU530" s="7"/>
      <c r="AV530" s="7"/>
      <c r="AW530" s="7"/>
      <c r="AX530" s="7"/>
      <c r="AY530" s="7"/>
      <c r="AZ530" s="7"/>
      <c r="BA530" s="7"/>
      <c r="BB530" s="7"/>
      <c r="BC530" s="7"/>
      <c r="BD530" s="7"/>
      <c r="BE530" s="7"/>
      <c r="BF530" s="7"/>
      <c r="BG530" s="7"/>
    </row>
    <row r="531" customHeight="1" spans="1:59">
      <c r="A531" s="9" t="str">
        <f>IF(ActiveDatabase=Standby,Secondary!A531,Primary!A531)</f>
        <v>Ita 35</v>
      </c>
      <c r="B531" s="5" t="str">
        <f>IF(ActiveDatabase=Standby,Secondary!B531,Primary!B531)</f>
        <v>Ita 38</v>
      </c>
      <c r="C531" s="5" t="str">
        <f>IF(ActiveDatabase=Standby,Secondary!C531,Primary!C531)</f>
        <v>Ita 02</v>
      </c>
      <c r="D531" s="5" t="str">
        <f>IF(ActiveDatabase=Standby,Secondary!D531,Primary!D531)</f>
        <v>Sand Cave 58T</v>
      </c>
      <c r="E531" s="6" t="str">
        <f>IF(ActiveDatabase=Standby,Secondary!E531,Primary!E531)</f>
        <v>SCave 58T</v>
      </c>
      <c r="F531" s="10">
        <f>IF(ActiveDatabase=Standby,Secondary!F531,Primary!F531)</f>
        <v>-236.665494276</v>
      </c>
      <c r="G531" s="10">
        <f>IF(ActiveDatabase=Standby,Secondary!G531,Primary!G531)</f>
        <v>52.6827982429999</v>
      </c>
      <c r="H531" s="10">
        <f>IF(ActiveDatabase=Standby,Secondary!H531,Primary!H531)</f>
        <v>216.703083435999</v>
      </c>
      <c r="I531" s="13">
        <f>IF(ActiveDatabase=Standby,Secondary!I531,Primary!I531)</f>
        <v>0</v>
      </c>
      <c r="J531" s="13">
        <f>IF(ActiveDatabase=Standby,Secondary!J531,Primary!J531)</f>
        <v>0</v>
      </c>
      <c r="K531" s="13">
        <f>IF(ActiveDatabase=Standby,Secondary!K531,Primary!K531)</f>
        <v>0</v>
      </c>
      <c r="L531" s="13">
        <f>IF(ActiveDatabase=Standby,Secondary!L531,Primary!L531)</f>
        <v>0</v>
      </c>
      <c r="M531" s="7" t="b">
        <f>IF(ActiveDatabase=Standby,Secondary!M531,Primary!M531)</f>
        <v>0</v>
      </c>
      <c r="N531" s="10">
        <f>IF(ActiveDatabase=Standby,Secondary!N531,Primary!N531)</f>
        <v>0</v>
      </c>
      <c r="O531" s="10">
        <f>IF(ActiveDatabase=Standby,Secondary!O531,Primary!O531)</f>
        <v>0</v>
      </c>
      <c r="P531" s="10">
        <f>IF(ActiveDatabase=Standby,Secondary!P531,Primary!P531)</f>
        <v>0</v>
      </c>
      <c r="Q531" s="6">
        <f>IF(ActiveDatabase=Standby,Secondary!Q531,Primary!Q531)</f>
        <v>0</v>
      </c>
      <c r="R531" s="18">
        <f>IF(ActiveDatabase=Standby,Secondary!R531,Primary!R531)</f>
        <v>0</v>
      </c>
      <c r="S531" s="19">
        <f>IF(ActiveDatabase=Standby,Secondary!S531,Primary!S531)</f>
        <v>0</v>
      </c>
      <c r="T531" s="10">
        <f>IF(ActiveDatabase=Standby,Secondary!T531,Primary!T531)</f>
        <v>0</v>
      </c>
      <c r="U531" s="10">
        <f>IF(ActiveDatabase=Standby,Secondary!U531,Primary!U531)</f>
        <v>0</v>
      </c>
      <c r="V531" s="10">
        <f>IF(ActiveDatabase=Standby,Secondary!V531,Primary!V531)</f>
        <v>0</v>
      </c>
      <c r="W531" s="6">
        <f>IF(ActiveDatabase=Standby,Secondary!W531,Primary!W531)</f>
        <v>0</v>
      </c>
      <c r="X531" s="6">
        <f>IF(ActiveDatabase=Standby,Secondary!X531,Primary!X531)</f>
        <v>0</v>
      </c>
      <c r="Y531" s="12">
        <f>IF(ActiveDatabase=Standby,Secondary!Y531,Primary!Y531)</f>
        <v>0</v>
      </c>
      <c r="Z531" s="12">
        <f>IF(ActiveDatabase=Standby,Secondary!Z531,Primary!Z531)</f>
        <v>0</v>
      </c>
      <c r="AA531" s="7">
        <f>IF(ActiveDatabase=Standby,Secondary!AA531,Primary!AA531)</f>
        <v>0</v>
      </c>
      <c r="AB531" s="12"/>
      <c r="AC531" s="6"/>
      <c r="AD531" s="6"/>
      <c r="AE531" s="7"/>
      <c r="AF531" s="7"/>
      <c r="AG531" s="7"/>
      <c r="AH531" s="7"/>
      <c r="AI531" s="7"/>
      <c r="AJ531" s="7"/>
      <c r="AK531" s="7"/>
      <c r="AL531" s="7"/>
      <c r="AM531" s="7"/>
      <c r="AN531" s="7"/>
      <c r="AO531" s="6"/>
      <c r="AP531" s="7"/>
      <c r="AQ531" s="7"/>
      <c r="AR531" s="6"/>
      <c r="AS531" s="7"/>
      <c r="AT531" s="7"/>
      <c r="AU531" s="7"/>
      <c r="AV531" s="7"/>
      <c r="AW531" s="7"/>
      <c r="AX531" s="7"/>
      <c r="AY531" s="7"/>
      <c r="AZ531" s="7"/>
      <c r="BA531" s="7"/>
      <c r="BB531" s="7"/>
      <c r="BC531" s="7"/>
      <c r="BD531" s="7"/>
      <c r="BE531" s="7"/>
      <c r="BF531" s="7"/>
      <c r="BG531" s="7"/>
    </row>
    <row r="532" customHeight="1" spans="1:59">
      <c r="A532" s="9" t="str">
        <f>IF(ActiveDatabase=Standby,Secondary!A532,Primary!A532)</f>
        <v>Ita 28</v>
      </c>
      <c r="B532" s="5" t="str">
        <f>IF(ActiveDatabase=Standby,Secondary!B532,Primary!B532)</f>
        <v>Ita 31</v>
      </c>
      <c r="C532" s="5" t="str">
        <f>IF(ActiveDatabase=Standby,Secondary!C532,Primary!C532)</f>
        <v>Ita 10</v>
      </c>
      <c r="D532" s="5" t="str">
        <f>IF(ActiveDatabase=Standby,Secondary!D532,Primary!D532)</f>
        <v>Sand Cave 45T</v>
      </c>
      <c r="E532" s="6" t="str">
        <f>IF(ActiveDatabase=Standby,Secondary!E532,Primary!E532)</f>
        <v>SCave 45T</v>
      </c>
      <c r="F532" s="10">
        <f>IF(ActiveDatabase=Standby,Secondary!F532,Primary!F532)</f>
        <v>9.90434755799999</v>
      </c>
      <c r="G532" s="10">
        <f>IF(ActiveDatabase=Standby,Secondary!G532,Primary!G532)</f>
        <v>243.31538299</v>
      </c>
      <c r="H532" s="10">
        <f>IF(ActiveDatabase=Standby,Secondary!H532,Primary!H532)</f>
        <v>215.753489774999</v>
      </c>
      <c r="I532" s="13">
        <f>IF(ActiveDatabase=Standby,Secondary!I532,Primary!I532)</f>
        <v>0</v>
      </c>
      <c r="J532" s="13">
        <f>IF(ActiveDatabase=Standby,Secondary!J532,Primary!J532)</f>
        <v>0</v>
      </c>
      <c r="K532" s="13">
        <f>IF(ActiveDatabase=Standby,Secondary!K532,Primary!K532)</f>
        <v>0</v>
      </c>
      <c r="L532" s="13">
        <f>IF(ActiveDatabase=Standby,Secondary!L532,Primary!L532)</f>
        <v>0</v>
      </c>
      <c r="M532" s="7" t="b">
        <f>IF(ActiveDatabase=Standby,Secondary!M532,Primary!M532)</f>
        <v>0</v>
      </c>
      <c r="N532" s="10">
        <f>IF(ActiveDatabase=Standby,Secondary!N532,Primary!N532)</f>
        <v>0</v>
      </c>
      <c r="O532" s="10">
        <f>IF(ActiveDatabase=Standby,Secondary!O532,Primary!O532)</f>
        <v>0</v>
      </c>
      <c r="P532" s="10">
        <f>IF(ActiveDatabase=Standby,Secondary!P532,Primary!P532)</f>
        <v>0</v>
      </c>
      <c r="Q532" s="6">
        <f>IF(ActiveDatabase=Standby,Secondary!Q532,Primary!Q532)</f>
        <v>0</v>
      </c>
      <c r="R532" s="18">
        <f>IF(ActiveDatabase=Standby,Secondary!R532,Primary!R532)</f>
        <v>0</v>
      </c>
      <c r="S532" s="19">
        <f>IF(ActiveDatabase=Standby,Secondary!S532,Primary!S532)</f>
        <v>0</v>
      </c>
      <c r="T532" s="10">
        <f>IF(ActiveDatabase=Standby,Secondary!T532,Primary!T532)</f>
        <v>0</v>
      </c>
      <c r="U532" s="10">
        <f>IF(ActiveDatabase=Standby,Secondary!U532,Primary!U532)</f>
        <v>0</v>
      </c>
      <c r="V532" s="10">
        <f>IF(ActiveDatabase=Standby,Secondary!V532,Primary!V532)</f>
        <v>0</v>
      </c>
      <c r="W532" s="6">
        <f>IF(ActiveDatabase=Standby,Secondary!W532,Primary!W532)</f>
        <v>0</v>
      </c>
      <c r="X532" s="6">
        <f>IF(ActiveDatabase=Standby,Secondary!X532,Primary!X532)</f>
        <v>0</v>
      </c>
      <c r="Y532" s="12">
        <f>IF(ActiveDatabase=Standby,Secondary!Y532,Primary!Y532)</f>
        <v>0</v>
      </c>
      <c r="Z532" s="12">
        <f>IF(ActiveDatabase=Standby,Secondary!Z532,Primary!Z532)</f>
        <v>0</v>
      </c>
      <c r="AA532" s="7">
        <f>IF(ActiveDatabase=Standby,Secondary!AA532,Primary!AA532)</f>
        <v>0</v>
      </c>
      <c r="AB532" s="12"/>
      <c r="AC532" s="6"/>
      <c r="AD532" s="6"/>
      <c r="AE532" s="7"/>
      <c r="AF532" s="7"/>
      <c r="AG532" s="7"/>
      <c r="AH532" s="7"/>
      <c r="AI532" s="7"/>
      <c r="AJ532" s="7"/>
      <c r="AK532" s="7"/>
      <c r="AL532" s="7"/>
      <c r="AM532" s="7"/>
      <c r="AN532" s="7"/>
      <c r="AO532" s="6"/>
      <c r="AP532" s="7"/>
      <c r="AQ532" s="7"/>
      <c r="AR532" s="6"/>
      <c r="AS532" s="7"/>
      <c r="AT532" s="7"/>
      <c r="AU532" s="7"/>
      <c r="AV532" s="7"/>
      <c r="AW532" s="7"/>
      <c r="AX532" s="7"/>
      <c r="AY532" s="7"/>
      <c r="AZ532" s="7"/>
      <c r="BA532" s="7"/>
      <c r="BB532" s="7"/>
      <c r="BC532" s="7"/>
      <c r="BD532" s="7"/>
      <c r="BE532" s="7"/>
      <c r="BF532" s="7"/>
      <c r="BG532" s="7"/>
    </row>
    <row r="533" customHeight="1" spans="1:59">
      <c r="A533" s="9" t="str">
        <f>IF(ActiveDatabase=Standby,Secondary!A533,Primary!A533)</f>
        <v>Ita 33</v>
      </c>
      <c r="B533" s="5" t="str">
        <f>IF(ActiveDatabase=Standby,Secondary!B533,Primary!B533)</f>
        <v>Ita 36</v>
      </c>
      <c r="C533" s="5" t="str">
        <f>IF(ActiveDatabase=Standby,Secondary!C533,Primary!C533)</f>
        <v>Ita 03</v>
      </c>
      <c r="D533" s="5" t="str">
        <f>IF(ActiveDatabase=Standby,Secondary!D533,Primary!D533)</f>
        <v>Sand Cave 54K</v>
      </c>
      <c r="E533" s="6" t="str">
        <f>IF(ActiveDatabase=Standby,Secondary!E533,Primary!E533)</f>
        <v>SCave 54K</v>
      </c>
      <c r="F533" s="10">
        <f>IF(ActiveDatabase=Standby,Secondary!F533,Primary!F533)</f>
        <v>-237.292876572999</v>
      </c>
      <c r="G533" s="10">
        <f>IF(ActiveDatabase=Standby,Secondary!G533,Primary!G533)</f>
        <v>192.443234071</v>
      </c>
      <c r="H533" s="10">
        <f>IF(ActiveDatabase=Standby,Secondary!H533,Primary!H533)</f>
        <v>-111.479376854999</v>
      </c>
      <c r="I533" s="13">
        <f>IF(ActiveDatabase=Standby,Secondary!I533,Primary!I533)</f>
        <v>0</v>
      </c>
      <c r="J533" s="13">
        <f>IF(ActiveDatabase=Standby,Secondary!J533,Primary!J533)</f>
        <v>0</v>
      </c>
      <c r="K533" s="13">
        <f>IF(ActiveDatabase=Standby,Secondary!K533,Primary!K533)</f>
        <v>0</v>
      </c>
      <c r="L533" s="13">
        <f>IF(ActiveDatabase=Standby,Secondary!L533,Primary!L533)</f>
        <v>0</v>
      </c>
      <c r="M533" s="7" t="b">
        <f>IF(ActiveDatabase=Standby,Secondary!M533,Primary!M533)</f>
        <v>0</v>
      </c>
      <c r="N533" s="10">
        <f>IF(ActiveDatabase=Standby,Secondary!N533,Primary!N533)</f>
        <v>0</v>
      </c>
      <c r="O533" s="10">
        <f>IF(ActiveDatabase=Standby,Secondary!O533,Primary!O533)</f>
        <v>0</v>
      </c>
      <c r="P533" s="10">
        <f>IF(ActiveDatabase=Standby,Secondary!P533,Primary!P533)</f>
        <v>0</v>
      </c>
      <c r="Q533" s="6">
        <f>IF(ActiveDatabase=Standby,Secondary!Q533,Primary!Q533)</f>
        <v>0</v>
      </c>
      <c r="R533" s="18">
        <f>IF(ActiveDatabase=Standby,Secondary!R533,Primary!R533)</f>
        <v>0</v>
      </c>
      <c r="S533" s="19">
        <f>IF(ActiveDatabase=Standby,Secondary!S533,Primary!S533)</f>
        <v>0</v>
      </c>
      <c r="T533" s="10">
        <f>IF(ActiveDatabase=Standby,Secondary!T533,Primary!T533)</f>
        <v>0</v>
      </c>
      <c r="U533" s="10">
        <f>IF(ActiveDatabase=Standby,Secondary!U533,Primary!U533)</f>
        <v>0</v>
      </c>
      <c r="V533" s="10">
        <f>IF(ActiveDatabase=Standby,Secondary!V533,Primary!V533)</f>
        <v>0</v>
      </c>
      <c r="W533" s="6">
        <f>IF(ActiveDatabase=Standby,Secondary!W533,Primary!W533)</f>
        <v>0</v>
      </c>
      <c r="X533" s="6">
        <f>IF(ActiveDatabase=Standby,Secondary!X533,Primary!X533)</f>
        <v>0</v>
      </c>
      <c r="Y533" s="12">
        <f>IF(ActiveDatabase=Standby,Secondary!Y533,Primary!Y533)</f>
        <v>0</v>
      </c>
      <c r="Z533" s="12">
        <f>IF(ActiveDatabase=Standby,Secondary!Z533,Primary!Z533)</f>
        <v>0</v>
      </c>
      <c r="AA533" s="7">
        <f>IF(ActiveDatabase=Standby,Secondary!AA533,Primary!AA533)</f>
        <v>0</v>
      </c>
      <c r="AB533" s="12"/>
      <c r="AC533" s="6"/>
      <c r="AD533" s="6"/>
      <c r="AE533" s="7"/>
      <c r="AF533" s="7"/>
      <c r="AG533" s="7"/>
      <c r="AH533" s="7"/>
      <c r="AI533" s="7"/>
      <c r="AJ533" s="7"/>
      <c r="AK533" s="7"/>
      <c r="AL533" s="7"/>
      <c r="AM533" s="7"/>
      <c r="AN533" s="7"/>
      <c r="AO533" s="6"/>
      <c r="AP533" s="7"/>
      <c r="AQ533" s="7"/>
      <c r="AR533" s="6"/>
      <c r="AS533" s="7"/>
      <c r="AT533" s="7"/>
      <c r="AU533" s="7"/>
      <c r="AV533" s="7"/>
      <c r="AW533" s="7"/>
      <c r="AX533" s="7"/>
      <c r="AY533" s="7"/>
      <c r="AZ533" s="7"/>
      <c r="BA533" s="7"/>
      <c r="BB533" s="7"/>
      <c r="BC533" s="7"/>
      <c r="BD533" s="7"/>
      <c r="BE533" s="7"/>
      <c r="BF533" s="7"/>
      <c r="BG533" s="7"/>
    </row>
    <row r="534" customHeight="1" spans="1:59">
      <c r="A534" s="9" t="str">
        <f>IF(ActiveDatabase=Standby,Secondary!A534,Primary!A534)</f>
        <v>Ita 10</v>
      </c>
      <c r="B534" s="5" t="str">
        <f>IF(ActiveDatabase=Standby,Secondary!B534,Primary!B534)</f>
        <v>Ita 13</v>
      </c>
      <c r="C534" s="5" t="str">
        <f>IF(ActiveDatabase=Standby,Secondary!C534,Primary!C534)</f>
        <v>Ita 38</v>
      </c>
      <c r="D534" s="5" t="str">
        <f>IF(ActiveDatabase=Standby,Secondary!D534,Primary!D534)</f>
        <v>Sand Cave 07Q</v>
      </c>
      <c r="E534" s="6" t="str">
        <f>IF(ActiveDatabase=Standby,Secondary!E534,Primary!E534)</f>
        <v>SCave 07Q</v>
      </c>
      <c r="F534" s="10">
        <f>IF(ActiveDatabase=Standby,Secondary!F534,Primary!F534)</f>
        <v>-246.245934276</v>
      </c>
      <c r="G534" s="10">
        <f>IF(ActiveDatabase=Standby,Secondary!G534,Primary!G534)</f>
        <v>-184.652551826999</v>
      </c>
      <c r="H534" s="10">
        <f>IF(ActiveDatabase=Standby,Secondary!H534,Primary!H534)</f>
        <v>105.538798607</v>
      </c>
      <c r="I534" s="13">
        <f>IF(ActiveDatabase=Standby,Secondary!I534,Primary!I534)</f>
        <v>0</v>
      </c>
      <c r="J534" s="13">
        <f>IF(ActiveDatabase=Standby,Secondary!J534,Primary!J534)</f>
        <v>0</v>
      </c>
      <c r="K534" s="13">
        <f>IF(ActiveDatabase=Standby,Secondary!K534,Primary!K534)</f>
        <v>0</v>
      </c>
      <c r="L534" s="13">
        <f>IF(ActiveDatabase=Standby,Secondary!L534,Primary!L534)</f>
        <v>0</v>
      </c>
      <c r="M534" s="7" t="b">
        <f>IF(ActiveDatabase=Standby,Secondary!M534,Primary!M534)</f>
        <v>0</v>
      </c>
      <c r="N534" s="10">
        <f>IF(ActiveDatabase=Standby,Secondary!N534,Primary!N534)</f>
        <v>0</v>
      </c>
      <c r="O534" s="10">
        <f>IF(ActiveDatabase=Standby,Secondary!O534,Primary!O534)</f>
        <v>0</v>
      </c>
      <c r="P534" s="10">
        <f>IF(ActiveDatabase=Standby,Secondary!P534,Primary!P534)</f>
        <v>0</v>
      </c>
      <c r="Q534" s="6">
        <f>IF(ActiveDatabase=Standby,Secondary!Q534,Primary!Q534)</f>
        <v>0</v>
      </c>
      <c r="R534" s="18">
        <f>IF(ActiveDatabase=Standby,Secondary!R534,Primary!R534)</f>
        <v>0</v>
      </c>
      <c r="S534" s="19">
        <f>IF(ActiveDatabase=Standby,Secondary!S534,Primary!S534)</f>
        <v>0</v>
      </c>
      <c r="T534" s="10">
        <f>IF(ActiveDatabase=Standby,Secondary!T534,Primary!T534)</f>
        <v>0</v>
      </c>
      <c r="U534" s="10">
        <f>IF(ActiveDatabase=Standby,Secondary!U534,Primary!U534)</f>
        <v>0</v>
      </c>
      <c r="V534" s="10">
        <f>IF(ActiveDatabase=Standby,Secondary!V534,Primary!V534)</f>
        <v>0</v>
      </c>
      <c r="W534" s="6">
        <f>IF(ActiveDatabase=Standby,Secondary!W534,Primary!W534)</f>
        <v>0</v>
      </c>
      <c r="X534" s="6">
        <f>IF(ActiveDatabase=Standby,Secondary!X534,Primary!X534)</f>
        <v>0</v>
      </c>
      <c r="Y534" s="12">
        <f>IF(ActiveDatabase=Standby,Secondary!Y534,Primary!Y534)</f>
        <v>0</v>
      </c>
      <c r="Z534" s="12">
        <f>IF(ActiveDatabase=Standby,Secondary!Z534,Primary!Z534)</f>
        <v>0</v>
      </c>
      <c r="AA534" s="7">
        <f>IF(ActiveDatabase=Standby,Secondary!AA534,Primary!AA534)</f>
        <v>0</v>
      </c>
      <c r="AB534" s="12"/>
      <c r="AC534" s="6"/>
      <c r="AD534" s="6"/>
      <c r="AE534" s="7"/>
      <c r="AF534" s="7"/>
      <c r="AG534" s="7"/>
      <c r="AH534" s="7"/>
      <c r="AI534" s="7"/>
      <c r="AJ534" s="7"/>
      <c r="AK534" s="7"/>
      <c r="AL534" s="7"/>
      <c r="AM534" s="7"/>
      <c r="AN534" s="7"/>
      <c r="AO534" s="6"/>
      <c r="AP534" s="7"/>
      <c r="AQ534" s="7"/>
      <c r="AR534" s="6"/>
      <c r="AS534" s="7"/>
      <c r="AT534" s="7"/>
      <c r="AU534" s="7"/>
      <c r="AV534" s="7"/>
      <c r="AW534" s="7"/>
      <c r="AX534" s="7"/>
      <c r="AY534" s="7"/>
      <c r="AZ534" s="7"/>
      <c r="BA534" s="7"/>
      <c r="BB534" s="7"/>
      <c r="BC534" s="7"/>
      <c r="BD534" s="7"/>
      <c r="BE534" s="7"/>
      <c r="BF534" s="7"/>
      <c r="BG534" s="7"/>
    </row>
    <row r="535" customHeight="1" spans="1:59">
      <c r="A535" s="9" t="str">
        <f>IF(ActiveDatabase=Standby,Secondary!A535,Primary!A535)</f>
        <v>Ita 26</v>
      </c>
      <c r="B535" s="5" t="str">
        <f>IF(ActiveDatabase=Standby,Secondary!B535,Primary!B535)</f>
        <v>Ita 29</v>
      </c>
      <c r="C535" s="5" t="str">
        <f>IF(ActiveDatabase=Standby,Secondary!C535,Primary!C535)</f>
        <v>Ita 15</v>
      </c>
      <c r="D535" s="5" t="str">
        <f>IF(ActiveDatabase=Standby,Secondary!D535,Primary!D535)</f>
        <v>Sand Cave 35M</v>
      </c>
      <c r="E535" s="6" t="str">
        <f>IF(ActiveDatabase=Standby,Secondary!E535,Primary!E535)</f>
        <v>SCave 35M</v>
      </c>
      <c r="F535" s="10">
        <f>IF(ActiveDatabase=Standby,Secondary!F535,Primary!F535)</f>
        <v>284.248866327999</v>
      </c>
      <c r="G535" s="10">
        <f>IF(ActiveDatabase=Standby,Secondary!G535,Primary!G535)</f>
        <v>157.516445521999</v>
      </c>
      <c r="H535" s="10">
        <f>IF(ActiveDatabase=Standby,Secondary!H535,Primary!H535)</f>
        <v>-14.705200719</v>
      </c>
      <c r="I535" s="13">
        <f>IF(ActiveDatabase=Standby,Secondary!I535,Primary!I535)</f>
        <v>0</v>
      </c>
      <c r="J535" s="13">
        <f>IF(ActiveDatabase=Standby,Secondary!J535,Primary!J535)</f>
        <v>0</v>
      </c>
      <c r="K535" s="13">
        <f>IF(ActiveDatabase=Standby,Secondary!K535,Primary!K535)</f>
        <v>0</v>
      </c>
      <c r="L535" s="13">
        <f>IF(ActiveDatabase=Standby,Secondary!L535,Primary!L535)</f>
        <v>0</v>
      </c>
      <c r="M535" s="7" t="b">
        <f>IF(ActiveDatabase=Standby,Secondary!M535,Primary!M535)</f>
        <v>0</v>
      </c>
      <c r="N535" s="10">
        <f>IF(ActiveDatabase=Standby,Secondary!N535,Primary!N535)</f>
        <v>0</v>
      </c>
      <c r="O535" s="10">
        <f>IF(ActiveDatabase=Standby,Secondary!O535,Primary!O535)</f>
        <v>0</v>
      </c>
      <c r="P535" s="10">
        <f>IF(ActiveDatabase=Standby,Secondary!P535,Primary!P535)</f>
        <v>0</v>
      </c>
      <c r="Q535" s="6">
        <f>IF(ActiveDatabase=Standby,Secondary!Q535,Primary!Q535)</f>
        <v>0</v>
      </c>
      <c r="R535" s="18">
        <f>IF(ActiveDatabase=Standby,Secondary!R535,Primary!R535)</f>
        <v>0</v>
      </c>
      <c r="S535" s="19">
        <f>IF(ActiveDatabase=Standby,Secondary!S535,Primary!S535)</f>
        <v>0</v>
      </c>
      <c r="T535" s="10">
        <f>IF(ActiveDatabase=Standby,Secondary!T535,Primary!T535)</f>
        <v>0</v>
      </c>
      <c r="U535" s="10">
        <f>IF(ActiveDatabase=Standby,Secondary!U535,Primary!U535)</f>
        <v>0</v>
      </c>
      <c r="V535" s="10">
        <f>IF(ActiveDatabase=Standby,Secondary!V535,Primary!V535)</f>
        <v>0</v>
      </c>
      <c r="W535" s="6">
        <f>IF(ActiveDatabase=Standby,Secondary!W535,Primary!W535)</f>
        <v>0</v>
      </c>
      <c r="X535" s="6">
        <f>IF(ActiveDatabase=Standby,Secondary!X535,Primary!X535)</f>
        <v>0</v>
      </c>
      <c r="Y535" s="12">
        <f>IF(ActiveDatabase=Standby,Secondary!Y535,Primary!Y535)</f>
        <v>0</v>
      </c>
      <c r="Z535" s="12">
        <f>IF(ActiveDatabase=Standby,Secondary!Z535,Primary!Z535)</f>
        <v>0</v>
      </c>
      <c r="AA535" s="7">
        <f>IF(ActiveDatabase=Standby,Secondary!AA535,Primary!AA535)</f>
        <v>0</v>
      </c>
      <c r="AB535" s="12"/>
      <c r="AC535" s="6"/>
      <c r="AD535" s="6"/>
      <c r="AE535" s="7"/>
      <c r="AF535" s="7"/>
      <c r="AG535" s="7"/>
      <c r="AH535" s="7"/>
      <c r="AI535" s="7"/>
      <c r="AJ535" s="7"/>
      <c r="AK535" s="7"/>
      <c r="AL535" s="7"/>
      <c r="AM535" s="7"/>
      <c r="AN535" s="7"/>
      <c r="AO535" s="6"/>
      <c r="AP535" s="7"/>
      <c r="AQ535" s="7"/>
      <c r="AR535" s="6"/>
      <c r="AS535" s="7"/>
      <c r="AT535" s="7"/>
      <c r="AU535" s="7"/>
      <c r="AV535" s="7"/>
      <c r="AW535" s="7"/>
      <c r="AX535" s="7"/>
      <c r="AY535" s="7"/>
      <c r="AZ535" s="7"/>
      <c r="BA535" s="7"/>
      <c r="BB535" s="7"/>
      <c r="BC535" s="7"/>
      <c r="BD535" s="7"/>
      <c r="BE535" s="7"/>
      <c r="BF535" s="7"/>
      <c r="BG535" s="7"/>
    </row>
    <row r="536" customHeight="1" spans="1:59">
      <c r="A536" s="9" t="str">
        <f>IF(ActiveDatabase=Standby,Secondary!A536,Primary!A536)</f>
        <v>Ita 24</v>
      </c>
      <c r="B536" s="5" t="str">
        <f>IF(ActiveDatabase=Standby,Secondary!B536,Primary!B536)</f>
        <v>Ita 27</v>
      </c>
      <c r="C536" s="5" t="str">
        <f>IF(ActiveDatabase=Standby,Secondary!C536,Primary!C536)</f>
        <v>Ita 17</v>
      </c>
      <c r="D536" s="5" t="str">
        <f>IF(ActiveDatabase=Standby,Secondary!D536,Primary!D536)</f>
        <v>Sand Cave 33K</v>
      </c>
      <c r="E536" s="6" t="str">
        <f>IF(ActiveDatabase=Standby,Secondary!E536,Primary!E536)</f>
        <v>SCave 33K</v>
      </c>
      <c r="F536" s="10">
        <f>IF(ActiveDatabase=Standby,Secondary!F536,Primary!F536)</f>
        <v>289.759058037</v>
      </c>
      <c r="G536" s="10">
        <f>IF(ActiveDatabase=Standby,Secondary!G536,Primary!G536)</f>
        <v>83.644394369</v>
      </c>
      <c r="H536" s="10">
        <f>IF(ActiveDatabase=Standby,Secondary!H536,Primary!H536)</f>
        <v>-121.345871413999</v>
      </c>
      <c r="I536" s="13">
        <f>IF(ActiveDatabase=Standby,Secondary!I536,Primary!I536)</f>
        <v>0</v>
      </c>
      <c r="J536" s="13">
        <f>IF(ActiveDatabase=Standby,Secondary!J536,Primary!J536)</f>
        <v>0</v>
      </c>
      <c r="K536" s="13">
        <f>IF(ActiveDatabase=Standby,Secondary!K536,Primary!K536)</f>
        <v>0</v>
      </c>
      <c r="L536" s="13">
        <f>IF(ActiveDatabase=Standby,Secondary!L536,Primary!L536)</f>
        <v>0</v>
      </c>
      <c r="M536" s="7" t="b">
        <f>IF(ActiveDatabase=Standby,Secondary!M536,Primary!M536)</f>
        <v>0</v>
      </c>
      <c r="N536" s="10">
        <f>IF(ActiveDatabase=Standby,Secondary!N536,Primary!N536)</f>
        <v>0</v>
      </c>
      <c r="O536" s="10">
        <f>IF(ActiveDatabase=Standby,Secondary!O536,Primary!O536)</f>
        <v>0</v>
      </c>
      <c r="P536" s="10">
        <f>IF(ActiveDatabase=Standby,Secondary!P536,Primary!P536)</f>
        <v>0</v>
      </c>
      <c r="Q536" s="6">
        <f>IF(ActiveDatabase=Standby,Secondary!Q536,Primary!Q536)</f>
        <v>0</v>
      </c>
      <c r="R536" s="18">
        <f>IF(ActiveDatabase=Standby,Secondary!R536,Primary!R536)</f>
        <v>0</v>
      </c>
      <c r="S536" s="19">
        <f>IF(ActiveDatabase=Standby,Secondary!S536,Primary!S536)</f>
        <v>0</v>
      </c>
      <c r="T536" s="10">
        <f>IF(ActiveDatabase=Standby,Secondary!T536,Primary!T536)</f>
        <v>0</v>
      </c>
      <c r="U536" s="10">
        <f>IF(ActiveDatabase=Standby,Secondary!U536,Primary!U536)</f>
        <v>0</v>
      </c>
      <c r="V536" s="10">
        <f>IF(ActiveDatabase=Standby,Secondary!V536,Primary!V536)</f>
        <v>0</v>
      </c>
      <c r="W536" s="6">
        <f>IF(ActiveDatabase=Standby,Secondary!W536,Primary!W536)</f>
        <v>0</v>
      </c>
      <c r="X536" s="6">
        <f>IF(ActiveDatabase=Standby,Secondary!X536,Primary!X536)</f>
        <v>0</v>
      </c>
      <c r="Y536" s="12">
        <f>IF(ActiveDatabase=Standby,Secondary!Y536,Primary!Y536)</f>
        <v>0</v>
      </c>
      <c r="Z536" s="12">
        <f>IF(ActiveDatabase=Standby,Secondary!Z536,Primary!Z536)</f>
        <v>0</v>
      </c>
      <c r="AA536" s="7">
        <f>IF(ActiveDatabase=Standby,Secondary!AA536,Primary!AA536)</f>
        <v>0</v>
      </c>
      <c r="AB536" s="12"/>
      <c r="AC536" s="6"/>
      <c r="AD536" s="6"/>
      <c r="AE536" s="7"/>
      <c r="AF536" s="7"/>
      <c r="AG536" s="7"/>
      <c r="AH536" s="7"/>
      <c r="AI536" s="7"/>
      <c r="AJ536" s="7"/>
      <c r="AK536" s="7"/>
      <c r="AL536" s="7"/>
      <c r="AM536" s="7"/>
      <c r="AN536" s="7"/>
      <c r="AO536" s="6"/>
      <c r="AP536" s="7"/>
      <c r="AQ536" s="7"/>
      <c r="AR536" s="6"/>
      <c r="AS536" s="7"/>
      <c r="AT536" s="7"/>
      <c r="AU536" s="7"/>
      <c r="AV536" s="7"/>
      <c r="AW536" s="7"/>
      <c r="AX536" s="7"/>
      <c r="AY536" s="7"/>
      <c r="AZ536" s="7"/>
      <c r="BA536" s="7"/>
      <c r="BB536" s="7"/>
      <c r="BC536" s="7"/>
      <c r="BD536" s="7"/>
      <c r="BE536" s="7"/>
      <c r="BF536" s="7"/>
      <c r="BG536" s="7"/>
    </row>
    <row r="537" customHeight="1" spans="1:59">
      <c r="A537" s="9" t="str">
        <f>IF(ActiveDatabase=Standby,Secondary!A537,Primary!A537)</f>
        <v>Ita 06</v>
      </c>
      <c r="B537" s="5" t="str">
        <f>IF(ActiveDatabase=Standby,Secondary!B537,Primary!B537)</f>
        <v>Ita 09</v>
      </c>
      <c r="C537" s="5" t="str">
        <f>IF(ActiveDatabase=Standby,Secondary!C537,Primary!C537)</f>
        <v>Ita 43</v>
      </c>
      <c r="D537" s="5" t="str">
        <f>IF(ActiveDatabase=Standby,Secondary!D537,Primary!D537)</f>
        <v>Sand Cave 01J</v>
      </c>
      <c r="E537" s="6" t="str">
        <f>IF(ActiveDatabase=Standby,Secondary!E537,Primary!E537)</f>
        <v>SCave 01J</v>
      </c>
      <c r="F537" s="10">
        <f>IF(ActiveDatabase=Standby,Secondary!F537,Primary!F537)</f>
        <v>-289.761711766999</v>
      </c>
      <c r="G537" s="10">
        <f>IF(ActiveDatabase=Standby,Secondary!G537,Primary!G537)</f>
        <v>-7.63227756599999</v>
      </c>
      <c r="H537" s="10">
        <f>IF(ActiveDatabase=Standby,Secondary!H537,Primary!H537)</f>
        <v>-147.995424822</v>
      </c>
      <c r="I537" s="13">
        <f>IF(ActiveDatabase=Standby,Secondary!I537,Primary!I537)</f>
        <v>0</v>
      </c>
      <c r="J537" s="13">
        <f>IF(ActiveDatabase=Standby,Secondary!J537,Primary!J537)</f>
        <v>0</v>
      </c>
      <c r="K537" s="13">
        <f>IF(ActiveDatabase=Standby,Secondary!K537,Primary!K537)</f>
        <v>0</v>
      </c>
      <c r="L537" s="13">
        <f>IF(ActiveDatabase=Standby,Secondary!L537,Primary!L537)</f>
        <v>0</v>
      </c>
      <c r="M537" s="7" t="b">
        <f>IF(ActiveDatabase=Standby,Secondary!M537,Primary!M537)</f>
        <v>0</v>
      </c>
      <c r="N537" s="10">
        <f>IF(ActiveDatabase=Standby,Secondary!N537,Primary!N537)</f>
        <v>0</v>
      </c>
      <c r="O537" s="10">
        <f>IF(ActiveDatabase=Standby,Secondary!O537,Primary!O537)</f>
        <v>0</v>
      </c>
      <c r="P537" s="10">
        <f>IF(ActiveDatabase=Standby,Secondary!P537,Primary!P537)</f>
        <v>0</v>
      </c>
      <c r="Q537" s="6">
        <f>IF(ActiveDatabase=Standby,Secondary!Q537,Primary!Q537)</f>
        <v>0</v>
      </c>
      <c r="R537" s="18">
        <f>IF(ActiveDatabase=Standby,Secondary!R537,Primary!R537)</f>
        <v>0</v>
      </c>
      <c r="S537" s="19">
        <f>IF(ActiveDatabase=Standby,Secondary!S537,Primary!S537)</f>
        <v>0</v>
      </c>
      <c r="T537" s="10">
        <f>IF(ActiveDatabase=Standby,Secondary!T537,Primary!T537)</f>
        <v>0</v>
      </c>
      <c r="U537" s="10">
        <f>IF(ActiveDatabase=Standby,Secondary!U537,Primary!U537)</f>
        <v>0</v>
      </c>
      <c r="V537" s="10">
        <f>IF(ActiveDatabase=Standby,Secondary!V537,Primary!V537)</f>
        <v>0</v>
      </c>
      <c r="W537" s="6">
        <f>IF(ActiveDatabase=Standby,Secondary!W537,Primary!W537)</f>
        <v>0</v>
      </c>
      <c r="X537" s="6">
        <f>IF(ActiveDatabase=Standby,Secondary!X537,Primary!X537)</f>
        <v>0</v>
      </c>
      <c r="Y537" s="12">
        <f>IF(ActiveDatabase=Standby,Secondary!Y537,Primary!Y537)</f>
        <v>0</v>
      </c>
      <c r="Z537" s="12">
        <f>IF(ActiveDatabase=Standby,Secondary!Z537,Primary!Z537)</f>
        <v>0</v>
      </c>
      <c r="AA537" s="7">
        <f>IF(ActiveDatabase=Standby,Secondary!AA537,Primary!AA537)</f>
        <v>0</v>
      </c>
      <c r="AB537" s="12"/>
      <c r="AC537" s="6"/>
      <c r="AD537" s="6"/>
      <c r="AE537" s="7"/>
      <c r="AF537" s="7"/>
      <c r="AG537" s="7"/>
      <c r="AH537" s="7"/>
      <c r="AI537" s="7"/>
      <c r="AJ537" s="7"/>
      <c r="AK537" s="7"/>
      <c r="AL537" s="7"/>
      <c r="AM537" s="7"/>
      <c r="AN537" s="7"/>
      <c r="AO537" s="6"/>
      <c r="AP537" s="7"/>
      <c r="AQ537" s="7"/>
      <c r="AR537" s="6"/>
      <c r="AS537" s="7"/>
      <c r="AT537" s="7"/>
      <c r="AU537" s="7"/>
      <c r="AV537" s="7"/>
      <c r="AW537" s="7"/>
      <c r="AX537" s="7"/>
      <c r="AY537" s="7"/>
      <c r="AZ537" s="7"/>
      <c r="BA537" s="7"/>
      <c r="BB537" s="7"/>
      <c r="BC537" s="7"/>
      <c r="BD537" s="7"/>
      <c r="BE537" s="7"/>
      <c r="BF537" s="7"/>
      <c r="BG537" s="7"/>
    </row>
    <row r="538" customHeight="1" spans="1:59">
      <c r="A538" s="9" t="str">
        <f>IF(ActiveDatabase=Standby,Secondary!A538,Primary!A538)</f>
        <v>Ita 08</v>
      </c>
      <c r="B538" s="5" t="str">
        <f>IF(ActiveDatabase=Standby,Secondary!B538,Primary!B538)</f>
        <v>Ita 11</v>
      </c>
      <c r="C538" s="5" t="str">
        <f>IF(ActiveDatabase=Standby,Secondary!C538,Primary!C538)</f>
        <v>Ita 40</v>
      </c>
      <c r="D538" s="5" t="str">
        <f>IF(ActiveDatabase=Standby,Secondary!D538,Primary!D538)</f>
        <v>Sand Cave 01N-011</v>
      </c>
      <c r="E538" s="6" t="str">
        <f>IF(ActiveDatabase=Standby,Secondary!E538,Primary!E538)</f>
        <v>SCave 01N011</v>
      </c>
      <c r="F538" s="10">
        <f>IF(ActiveDatabase=Standby,Secondary!F538,Primary!F538)</f>
        <v>-321.442836400999</v>
      </c>
      <c r="G538" s="10">
        <f>IF(ActiveDatabase=Standby,Secondary!G538,Primary!G538)</f>
        <v>-28.4912407099999</v>
      </c>
      <c r="H538" s="10">
        <f>IF(ActiveDatabase=Standby,Secondary!H538,Primary!H538)</f>
        <v>39.7191820349999</v>
      </c>
      <c r="I538" s="13">
        <f>IF(ActiveDatabase=Standby,Secondary!I538,Primary!I538)</f>
        <v>0</v>
      </c>
      <c r="J538" s="13">
        <f>IF(ActiveDatabase=Standby,Secondary!J538,Primary!J538)</f>
        <v>0</v>
      </c>
      <c r="K538" s="13">
        <f>IF(ActiveDatabase=Standby,Secondary!K538,Primary!K538)</f>
        <v>0</v>
      </c>
      <c r="L538" s="13">
        <f>IF(ActiveDatabase=Standby,Secondary!L538,Primary!L538)</f>
        <v>0</v>
      </c>
      <c r="M538" s="7" t="b">
        <f>IF(ActiveDatabase=Standby,Secondary!M538,Primary!M538)</f>
        <v>0</v>
      </c>
      <c r="N538" s="10">
        <f>IF(ActiveDatabase=Standby,Secondary!N538,Primary!N538)</f>
        <v>0</v>
      </c>
      <c r="O538" s="10">
        <f>IF(ActiveDatabase=Standby,Secondary!O538,Primary!O538)</f>
        <v>0</v>
      </c>
      <c r="P538" s="10">
        <f>IF(ActiveDatabase=Standby,Secondary!P538,Primary!P538)</f>
        <v>0</v>
      </c>
      <c r="Q538" s="6">
        <f>IF(ActiveDatabase=Standby,Secondary!Q538,Primary!Q538)</f>
        <v>0</v>
      </c>
      <c r="R538" s="18">
        <f>IF(ActiveDatabase=Standby,Secondary!R538,Primary!R538)</f>
        <v>0</v>
      </c>
      <c r="S538" s="19">
        <f>IF(ActiveDatabase=Standby,Secondary!S538,Primary!S538)</f>
        <v>0</v>
      </c>
      <c r="T538" s="10">
        <f>IF(ActiveDatabase=Standby,Secondary!T538,Primary!T538)</f>
        <v>0</v>
      </c>
      <c r="U538" s="10">
        <f>IF(ActiveDatabase=Standby,Secondary!U538,Primary!U538)</f>
        <v>0</v>
      </c>
      <c r="V538" s="10">
        <f>IF(ActiveDatabase=Standby,Secondary!V538,Primary!V538)</f>
        <v>0</v>
      </c>
      <c r="W538" s="6">
        <f>IF(ActiveDatabase=Standby,Secondary!W538,Primary!W538)</f>
        <v>0</v>
      </c>
      <c r="X538" s="6">
        <f>IF(ActiveDatabase=Standby,Secondary!X538,Primary!X538)</f>
        <v>0</v>
      </c>
      <c r="Y538" s="12">
        <f>IF(ActiveDatabase=Standby,Secondary!Y538,Primary!Y538)</f>
        <v>0</v>
      </c>
      <c r="Z538" s="12">
        <f>IF(ActiveDatabase=Standby,Secondary!Z538,Primary!Z538)</f>
        <v>0</v>
      </c>
      <c r="AA538" s="7">
        <f>IF(ActiveDatabase=Standby,Secondary!AA538,Primary!AA538)</f>
        <v>0</v>
      </c>
      <c r="AB538" s="12"/>
      <c r="AC538" s="6"/>
      <c r="AD538" s="6"/>
      <c r="AE538" s="7"/>
      <c r="AF538" s="7"/>
      <c r="AG538" s="7"/>
      <c r="AH538" s="7"/>
      <c r="AI538" s="7"/>
      <c r="AJ538" s="7"/>
      <c r="AK538" s="7"/>
      <c r="AL538" s="7"/>
      <c r="AM538" s="7"/>
      <c r="AN538" s="7"/>
      <c r="AO538" s="6"/>
      <c r="AP538" s="7"/>
      <c r="AQ538" s="7"/>
      <c r="AR538" s="6"/>
      <c r="AS538" s="7"/>
      <c r="AT538" s="7"/>
      <c r="AU538" s="7"/>
      <c r="AV538" s="7"/>
      <c r="AW538" s="7"/>
      <c r="AX538" s="7"/>
      <c r="AY538" s="7"/>
      <c r="AZ538" s="7"/>
      <c r="BA538" s="7"/>
      <c r="BB538" s="7"/>
      <c r="BC538" s="7"/>
      <c r="BD538" s="7"/>
      <c r="BE538" s="7"/>
      <c r="BF538" s="7"/>
      <c r="BG538" s="7"/>
    </row>
    <row r="539" customHeight="1" spans="1:59">
      <c r="A539" s="9" t="str">
        <f>IF(ActiveDatabase=Standby,Secondary!A539,Primary!A539)</f>
        <v>Ita 20</v>
      </c>
      <c r="B539" s="5" t="str">
        <f>IF(ActiveDatabase=Standby,Secondary!B539,Primary!B539)</f>
        <v>Ita 23</v>
      </c>
      <c r="C539" s="5" t="str">
        <f>IF(ActiveDatabase=Standby,Secondary!C539,Primary!C539)</f>
        <v>Ita 24</v>
      </c>
      <c r="D539" s="5" t="str">
        <f>IF(ActiveDatabase=Standby,Secondary!D539,Primary!D539)</f>
        <v>Sand Cave 25K</v>
      </c>
      <c r="E539" s="6" t="str">
        <f>IF(ActiveDatabase=Standby,Secondary!E539,Primary!E539)</f>
        <v>SCave 25K</v>
      </c>
      <c r="F539" s="10">
        <f>IF(ActiveDatabase=Standby,Secondary!F539,Primary!F539)</f>
        <v>252.352995877999</v>
      </c>
      <c r="G539" s="10">
        <f>IF(ActiveDatabase=Standby,Secondary!G539,Primary!G539)</f>
        <v>-170.579830462</v>
      </c>
      <c r="H539" s="10">
        <f>IF(ActiveDatabase=Standby,Secondary!H539,Primary!H539)</f>
        <v>-114.248212319</v>
      </c>
      <c r="I539" s="13">
        <f>IF(ActiveDatabase=Standby,Secondary!I539,Primary!I539)</f>
        <v>0</v>
      </c>
      <c r="J539" s="13">
        <f>IF(ActiveDatabase=Standby,Secondary!J539,Primary!J539)</f>
        <v>0</v>
      </c>
      <c r="K539" s="13">
        <f>IF(ActiveDatabase=Standby,Secondary!K539,Primary!K539)</f>
        <v>0</v>
      </c>
      <c r="L539" s="13">
        <f>IF(ActiveDatabase=Standby,Secondary!L539,Primary!L539)</f>
        <v>0</v>
      </c>
      <c r="M539" s="7" t="b">
        <f>IF(ActiveDatabase=Standby,Secondary!M539,Primary!M539)</f>
        <v>0</v>
      </c>
      <c r="N539" s="10">
        <f>IF(ActiveDatabase=Standby,Secondary!N539,Primary!N539)</f>
        <v>0</v>
      </c>
      <c r="O539" s="10">
        <f>IF(ActiveDatabase=Standby,Secondary!O539,Primary!O539)</f>
        <v>0</v>
      </c>
      <c r="P539" s="10">
        <f>IF(ActiveDatabase=Standby,Secondary!P539,Primary!P539)</f>
        <v>0</v>
      </c>
      <c r="Q539" s="6">
        <f>IF(ActiveDatabase=Standby,Secondary!Q539,Primary!Q539)</f>
        <v>0</v>
      </c>
      <c r="R539" s="18">
        <f>IF(ActiveDatabase=Standby,Secondary!R539,Primary!R539)</f>
        <v>0</v>
      </c>
      <c r="S539" s="19">
        <f>IF(ActiveDatabase=Standby,Secondary!S539,Primary!S539)</f>
        <v>0</v>
      </c>
      <c r="T539" s="10">
        <f>IF(ActiveDatabase=Standby,Secondary!T539,Primary!T539)</f>
        <v>0</v>
      </c>
      <c r="U539" s="10">
        <f>IF(ActiveDatabase=Standby,Secondary!U539,Primary!U539)</f>
        <v>0</v>
      </c>
      <c r="V539" s="10">
        <f>IF(ActiveDatabase=Standby,Secondary!V539,Primary!V539)</f>
        <v>0</v>
      </c>
      <c r="W539" s="6">
        <f>IF(ActiveDatabase=Standby,Secondary!W539,Primary!W539)</f>
        <v>0</v>
      </c>
      <c r="X539" s="6">
        <f>IF(ActiveDatabase=Standby,Secondary!X539,Primary!X539)</f>
        <v>0</v>
      </c>
      <c r="Y539" s="12">
        <f>IF(ActiveDatabase=Standby,Secondary!Y539,Primary!Y539)</f>
        <v>0</v>
      </c>
      <c r="Z539" s="12">
        <f>IF(ActiveDatabase=Standby,Secondary!Z539,Primary!Z539)</f>
        <v>0</v>
      </c>
      <c r="AA539" s="7">
        <f>IF(ActiveDatabase=Standby,Secondary!AA539,Primary!AA539)</f>
        <v>0</v>
      </c>
      <c r="AB539" s="12"/>
      <c r="AC539" s="6"/>
      <c r="AD539" s="6"/>
      <c r="AE539" s="7"/>
      <c r="AF539" s="7"/>
      <c r="AG539" s="7"/>
      <c r="AH539" s="7"/>
      <c r="AI539" s="7"/>
      <c r="AJ539" s="7"/>
      <c r="AK539" s="7"/>
      <c r="AL539" s="7"/>
      <c r="AM539" s="7"/>
      <c r="AN539" s="7"/>
      <c r="AO539" s="6"/>
      <c r="AP539" s="7"/>
      <c r="AQ539" s="7"/>
      <c r="AR539" s="6"/>
      <c r="AS539" s="7"/>
      <c r="AT539" s="7"/>
      <c r="AU539" s="7"/>
      <c r="AV539" s="7"/>
      <c r="AW539" s="7"/>
      <c r="AX539" s="7"/>
      <c r="AY539" s="7"/>
      <c r="AZ539" s="7"/>
      <c r="BA539" s="7"/>
      <c r="BB539" s="7"/>
      <c r="BC539" s="7"/>
      <c r="BD539" s="7"/>
      <c r="BE539" s="7"/>
      <c r="BF539" s="7"/>
      <c r="BG539" s="7"/>
    </row>
    <row r="540" customHeight="1" spans="1:59">
      <c r="A540" s="9" t="str">
        <f>IF(ActiveDatabase=Standby,Secondary!A540,Primary!A540)</f>
        <v>Ita 17</v>
      </c>
      <c r="B540" s="5" t="str">
        <f>IF(ActiveDatabase=Standby,Secondary!B540,Primary!B540)</f>
        <v>Ita 20</v>
      </c>
      <c r="C540" s="5" t="str">
        <f>IF(ActiveDatabase=Standby,Secondary!C540,Primary!C540)</f>
        <v>Ita 27</v>
      </c>
      <c r="D540" s="5" t="str">
        <f>IF(ActiveDatabase=Standby,Secondary!D540,Primary!D540)</f>
        <v>Sand Cave 23N</v>
      </c>
      <c r="E540" s="6" t="str">
        <f>IF(ActiveDatabase=Standby,Secondary!E540,Primary!E540)</f>
        <v>SCave 23N</v>
      </c>
      <c r="F540" s="10">
        <f>IF(ActiveDatabase=Standby,Secondary!F540,Primary!F540)</f>
        <v>229.433413506</v>
      </c>
      <c r="G540" s="10">
        <f>IF(ActiveDatabase=Standby,Secondary!G540,Primary!G540)</f>
        <v>-229.237119104999</v>
      </c>
      <c r="H540" s="10">
        <f>IF(ActiveDatabase=Standby,Secondary!H540,Primary!H540)</f>
        <v>18.39117726</v>
      </c>
      <c r="I540" s="13">
        <f>IF(ActiveDatabase=Standby,Secondary!I540,Primary!I540)</f>
        <v>0</v>
      </c>
      <c r="J540" s="13">
        <f>IF(ActiveDatabase=Standby,Secondary!J540,Primary!J540)</f>
        <v>0</v>
      </c>
      <c r="K540" s="13">
        <f>IF(ActiveDatabase=Standby,Secondary!K540,Primary!K540)</f>
        <v>0</v>
      </c>
      <c r="L540" s="13">
        <f>IF(ActiveDatabase=Standby,Secondary!L540,Primary!L540)</f>
        <v>0</v>
      </c>
      <c r="M540" s="7" t="b">
        <f>IF(ActiveDatabase=Standby,Secondary!M540,Primary!M540)</f>
        <v>0</v>
      </c>
      <c r="N540" s="10">
        <f>IF(ActiveDatabase=Standby,Secondary!N540,Primary!N540)</f>
        <v>0</v>
      </c>
      <c r="O540" s="10">
        <f>IF(ActiveDatabase=Standby,Secondary!O540,Primary!O540)</f>
        <v>0</v>
      </c>
      <c r="P540" s="10">
        <f>IF(ActiveDatabase=Standby,Secondary!P540,Primary!P540)</f>
        <v>0</v>
      </c>
      <c r="Q540" s="6">
        <f>IF(ActiveDatabase=Standby,Secondary!Q540,Primary!Q540)</f>
        <v>0</v>
      </c>
      <c r="R540" s="18">
        <f>IF(ActiveDatabase=Standby,Secondary!R540,Primary!R540)</f>
        <v>0</v>
      </c>
      <c r="S540" s="19">
        <f>IF(ActiveDatabase=Standby,Secondary!S540,Primary!S540)</f>
        <v>0</v>
      </c>
      <c r="T540" s="10">
        <f>IF(ActiveDatabase=Standby,Secondary!T540,Primary!T540)</f>
        <v>0</v>
      </c>
      <c r="U540" s="10">
        <f>IF(ActiveDatabase=Standby,Secondary!U540,Primary!U540)</f>
        <v>0</v>
      </c>
      <c r="V540" s="10">
        <f>IF(ActiveDatabase=Standby,Secondary!V540,Primary!V540)</f>
        <v>0</v>
      </c>
      <c r="W540" s="6">
        <f>IF(ActiveDatabase=Standby,Secondary!W540,Primary!W540)</f>
        <v>0</v>
      </c>
      <c r="X540" s="6">
        <f>IF(ActiveDatabase=Standby,Secondary!X540,Primary!X540)</f>
        <v>0</v>
      </c>
      <c r="Y540" s="12">
        <f>IF(ActiveDatabase=Standby,Secondary!Y540,Primary!Y540)</f>
        <v>0</v>
      </c>
      <c r="Z540" s="12">
        <f>IF(ActiveDatabase=Standby,Secondary!Z540,Primary!Z540)</f>
        <v>0</v>
      </c>
      <c r="AA540" s="7">
        <f>IF(ActiveDatabase=Standby,Secondary!AA540,Primary!AA540)</f>
        <v>0</v>
      </c>
      <c r="AB540" s="12"/>
      <c r="AC540" s="6"/>
      <c r="AD540" s="6"/>
      <c r="AE540" s="7"/>
      <c r="AF540" s="7"/>
      <c r="AG540" s="7"/>
      <c r="AH540" s="7"/>
      <c r="AI540" s="7"/>
      <c r="AJ540" s="7"/>
      <c r="AK540" s="7"/>
      <c r="AL540" s="7"/>
      <c r="AM540" s="7"/>
      <c r="AN540" s="7"/>
      <c r="AO540" s="6"/>
      <c r="AP540" s="7"/>
      <c r="AQ540" s="7"/>
      <c r="AR540" s="6"/>
      <c r="AS540" s="7"/>
      <c r="AT540" s="7"/>
      <c r="AU540" s="7"/>
      <c r="AV540" s="7"/>
      <c r="AW540" s="7"/>
      <c r="AX540" s="7"/>
      <c r="AY540" s="7"/>
      <c r="AZ540" s="7"/>
      <c r="BA540" s="7"/>
      <c r="BB540" s="7"/>
      <c r="BC540" s="7"/>
      <c r="BD540" s="7"/>
      <c r="BE540" s="7"/>
      <c r="BF540" s="7"/>
      <c r="BG540" s="7"/>
    </row>
    <row r="541" customHeight="1" spans="1:59">
      <c r="A541" s="9" t="str">
        <f>IF(ActiveDatabase=Standby,Secondary!A541,Primary!A541)</f>
        <v>Ita 15</v>
      </c>
      <c r="B541" s="5" t="str">
        <f>IF(ActiveDatabase=Standby,Secondary!B541,Primary!B541)</f>
        <v>Ita 18</v>
      </c>
      <c r="C541" s="5" t="str">
        <f>IF(ActiveDatabase=Standby,Secondary!C541,Primary!C541)</f>
        <v>Ita 29</v>
      </c>
      <c r="D541" s="5" t="str">
        <f>IF(ActiveDatabase=Standby,Secondary!D541,Primary!D541)</f>
        <v>Sand Cave 20J</v>
      </c>
      <c r="E541" s="6" t="str">
        <f>IF(ActiveDatabase=Standby,Secondary!E541,Primary!E541)</f>
        <v>SCave 20J</v>
      </c>
      <c r="F541" s="10">
        <f>IF(ActiveDatabase=Standby,Secondary!F541,Primary!F541)</f>
        <v>138.077422563</v>
      </c>
      <c r="G541" s="10">
        <f>IF(ActiveDatabase=Standby,Secondary!G541,Primary!G541)</f>
        <v>-256.885016131</v>
      </c>
      <c r="H541" s="10">
        <f>IF(ActiveDatabase=Standby,Secondary!H541,Primary!H541)</f>
        <v>-144.004440103</v>
      </c>
      <c r="I541" s="13">
        <f>IF(ActiveDatabase=Standby,Secondary!I541,Primary!I541)</f>
        <v>0</v>
      </c>
      <c r="J541" s="13">
        <f>IF(ActiveDatabase=Standby,Secondary!J541,Primary!J541)</f>
        <v>0</v>
      </c>
      <c r="K541" s="13">
        <f>IF(ActiveDatabase=Standby,Secondary!K541,Primary!K541)</f>
        <v>0</v>
      </c>
      <c r="L541" s="13">
        <f>IF(ActiveDatabase=Standby,Secondary!L541,Primary!L541)</f>
        <v>0</v>
      </c>
      <c r="M541" s="7" t="b">
        <f>IF(ActiveDatabase=Standby,Secondary!M541,Primary!M541)</f>
        <v>0</v>
      </c>
      <c r="N541" s="10">
        <f>IF(ActiveDatabase=Standby,Secondary!N541,Primary!N541)</f>
        <v>0</v>
      </c>
      <c r="O541" s="10">
        <f>IF(ActiveDatabase=Standby,Secondary!O541,Primary!O541)</f>
        <v>0</v>
      </c>
      <c r="P541" s="10">
        <f>IF(ActiveDatabase=Standby,Secondary!P541,Primary!P541)</f>
        <v>0</v>
      </c>
      <c r="Q541" s="6">
        <f>IF(ActiveDatabase=Standby,Secondary!Q541,Primary!Q541)</f>
        <v>0</v>
      </c>
      <c r="R541" s="18">
        <f>IF(ActiveDatabase=Standby,Secondary!R541,Primary!R541)</f>
        <v>0</v>
      </c>
      <c r="S541" s="19">
        <f>IF(ActiveDatabase=Standby,Secondary!S541,Primary!S541)</f>
        <v>0</v>
      </c>
      <c r="T541" s="10">
        <f>IF(ActiveDatabase=Standby,Secondary!T541,Primary!T541)</f>
        <v>0</v>
      </c>
      <c r="U541" s="10">
        <f>IF(ActiveDatabase=Standby,Secondary!U541,Primary!U541)</f>
        <v>0</v>
      </c>
      <c r="V541" s="10">
        <f>IF(ActiveDatabase=Standby,Secondary!V541,Primary!V541)</f>
        <v>0</v>
      </c>
      <c r="W541" s="6">
        <f>IF(ActiveDatabase=Standby,Secondary!W541,Primary!W541)</f>
        <v>0</v>
      </c>
      <c r="X541" s="6">
        <f>IF(ActiveDatabase=Standby,Secondary!X541,Primary!X541)</f>
        <v>0</v>
      </c>
      <c r="Y541" s="12">
        <f>IF(ActiveDatabase=Standby,Secondary!Y541,Primary!Y541)</f>
        <v>0</v>
      </c>
      <c r="Z541" s="12">
        <f>IF(ActiveDatabase=Standby,Secondary!Z541,Primary!Z541)</f>
        <v>0</v>
      </c>
      <c r="AA541" s="7">
        <f>IF(ActiveDatabase=Standby,Secondary!AA541,Primary!AA541)</f>
        <v>0</v>
      </c>
      <c r="AB541" s="12"/>
      <c r="AC541" s="6"/>
      <c r="AD541" s="6"/>
      <c r="AE541" s="7"/>
      <c r="AF541" s="7"/>
      <c r="AG541" s="7"/>
      <c r="AH541" s="7"/>
      <c r="AI541" s="7"/>
      <c r="AJ541" s="7"/>
      <c r="AK541" s="7"/>
      <c r="AL541" s="7"/>
      <c r="AM541" s="7"/>
      <c r="AN541" s="7"/>
      <c r="AO541" s="6"/>
      <c r="AP541" s="7"/>
      <c r="AQ541" s="7"/>
      <c r="AR541" s="6"/>
      <c r="AS541" s="7"/>
      <c r="AT541" s="7"/>
      <c r="AU541" s="7"/>
      <c r="AV541" s="7"/>
      <c r="AW541" s="7"/>
      <c r="AX541" s="7"/>
      <c r="AY541" s="7"/>
      <c r="AZ541" s="7"/>
      <c r="BA541" s="7"/>
      <c r="BB541" s="7"/>
      <c r="BC541" s="7"/>
      <c r="BD541" s="7"/>
      <c r="BE541" s="7"/>
      <c r="BF541" s="7"/>
      <c r="BG541" s="7"/>
    </row>
    <row r="542" customHeight="1" spans="1:59">
      <c r="A542" s="9" t="str">
        <f>IF(ActiveDatabase=Standby,Secondary!A542,Primary!A542)</f>
        <v>Ita 34</v>
      </c>
      <c r="B542" s="5" t="str">
        <f>IF(ActiveDatabase=Standby,Secondary!B542,Primary!B542)</f>
        <v>Ita 37</v>
      </c>
      <c r="C542" s="5" t="str">
        <f>IF(ActiveDatabase=Standby,Secondary!C542,Primary!C542)</f>
        <v>Ita 04</v>
      </c>
      <c r="D542" s="5" t="str">
        <f>IF(ActiveDatabase=Standby,Secondary!D542,Primary!D542)</f>
        <v>Sand Cave 54M</v>
      </c>
      <c r="E542" s="6" t="str">
        <f>IF(ActiveDatabase=Standby,Secondary!E542,Primary!E542)</f>
        <v>SCave 54M</v>
      </c>
      <c r="F542" s="10">
        <f>IF(ActiveDatabase=Standby,Secondary!F542,Primary!F542)</f>
        <v>-244.845325946</v>
      </c>
      <c r="G542" s="10">
        <f>IF(ActiveDatabase=Standby,Secondary!G542,Primary!G542)</f>
        <v>210.416856907</v>
      </c>
      <c r="H542" s="10">
        <f>IF(ActiveDatabase=Standby,Secondary!H542,Primary!H542)</f>
        <v>-36.8739543869999</v>
      </c>
      <c r="I542" s="13">
        <f>IF(ActiveDatabase=Standby,Secondary!I542,Primary!I542)</f>
        <v>0</v>
      </c>
      <c r="J542" s="13">
        <f>IF(ActiveDatabase=Standby,Secondary!J542,Primary!J542)</f>
        <v>0</v>
      </c>
      <c r="K542" s="13">
        <f>IF(ActiveDatabase=Standby,Secondary!K542,Primary!K542)</f>
        <v>0</v>
      </c>
      <c r="L542" s="13">
        <f>IF(ActiveDatabase=Standby,Secondary!L542,Primary!L542)</f>
        <v>0</v>
      </c>
      <c r="M542" s="7" t="b">
        <f>IF(ActiveDatabase=Standby,Secondary!M542,Primary!M542)</f>
        <v>0</v>
      </c>
      <c r="N542" s="10">
        <f>IF(ActiveDatabase=Standby,Secondary!N542,Primary!N542)</f>
        <v>0</v>
      </c>
      <c r="O542" s="10">
        <f>IF(ActiveDatabase=Standby,Secondary!O542,Primary!O542)</f>
        <v>0</v>
      </c>
      <c r="P542" s="10">
        <f>IF(ActiveDatabase=Standby,Secondary!P542,Primary!P542)</f>
        <v>0</v>
      </c>
      <c r="Q542" s="6">
        <f>IF(ActiveDatabase=Standby,Secondary!Q542,Primary!Q542)</f>
        <v>0</v>
      </c>
      <c r="R542" s="18">
        <f>IF(ActiveDatabase=Standby,Secondary!R542,Primary!R542)</f>
        <v>0</v>
      </c>
      <c r="S542" s="19">
        <f>IF(ActiveDatabase=Standby,Secondary!S542,Primary!S542)</f>
        <v>0</v>
      </c>
      <c r="T542" s="10">
        <f>IF(ActiveDatabase=Standby,Secondary!T542,Primary!T542)</f>
        <v>0</v>
      </c>
      <c r="U542" s="10">
        <f>IF(ActiveDatabase=Standby,Secondary!U542,Primary!U542)</f>
        <v>0</v>
      </c>
      <c r="V542" s="10">
        <f>IF(ActiveDatabase=Standby,Secondary!V542,Primary!V542)</f>
        <v>0</v>
      </c>
      <c r="W542" s="6">
        <f>IF(ActiveDatabase=Standby,Secondary!W542,Primary!W542)</f>
        <v>0</v>
      </c>
      <c r="X542" s="6">
        <f>IF(ActiveDatabase=Standby,Secondary!X542,Primary!X542)</f>
        <v>0</v>
      </c>
      <c r="Y542" s="12">
        <f>IF(ActiveDatabase=Standby,Secondary!Y542,Primary!Y542)</f>
        <v>0</v>
      </c>
      <c r="Z542" s="12">
        <f>IF(ActiveDatabase=Standby,Secondary!Z542,Primary!Z542)</f>
        <v>0</v>
      </c>
      <c r="AA542" s="7">
        <f>IF(ActiveDatabase=Standby,Secondary!AA542,Primary!AA542)</f>
        <v>0</v>
      </c>
      <c r="AB542" s="12"/>
      <c r="AC542" s="6"/>
      <c r="AD542" s="6"/>
      <c r="AE542" s="7"/>
      <c r="AF542" s="7"/>
      <c r="AG542" s="7"/>
      <c r="AH542" s="7"/>
      <c r="AI542" s="7"/>
      <c r="AJ542" s="7"/>
      <c r="AK542" s="7"/>
      <c r="AL542" s="7"/>
      <c r="AM542" s="7"/>
      <c r="AN542" s="7"/>
      <c r="AO542" s="6"/>
      <c r="AP542" s="7"/>
      <c r="AQ542" s="7"/>
      <c r="AR542" s="6"/>
      <c r="AS542" s="7"/>
      <c r="AT542" s="7"/>
      <c r="AU542" s="7"/>
      <c r="AV542" s="7"/>
      <c r="AW542" s="7"/>
      <c r="AX542" s="7"/>
      <c r="AY542" s="7"/>
      <c r="AZ542" s="7"/>
      <c r="BA542" s="7"/>
      <c r="BB542" s="7"/>
      <c r="BC542" s="7"/>
      <c r="BD542" s="7"/>
      <c r="BE542" s="7"/>
      <c r="BF542" s="7"/>
      <c r="BG542" s="7"/>
    </row>
    <row r="543" customHeight="1" spans="1:59">
      <c r="A543" s="9" t="str">
        <f>IF(ActiveDatabase=Standby,Secondary!A543,Primary!A543)</f>
        <v>Ita 32</v>
      </c>
      <c r="B543" s="5" t="str">
        <f>IF(ActiveDatabase=Standby,Secondary!B543,Primary!B543)</f>
        <v>Ita 35</v>
      </c>
      <c r="C543" s="5" t="str">
        <f>IF(ActiveDatabase=Standby,Secondary!C543,Primary!C543)</f>
        <v>Ita 05</v>
      </c>
      <c r="D543" s="5" t="str">
        <f>IF(ActiveDatabase=Standby,Secondary!D543,Primary!D543)</f>
        <v>Sand Cave 53R</v>
      </c>
      <c r="E543" s="6" t="str">
        <f>IF(ActiveDatabase=Standby,Secondary!E543,Primary!E543)</f>
        <v>SCave 53R</v>
      </c>
      <c r="F543" s="10">
        <f>IF(ActiveDatabase=Standby,Secondary!F543,Primary!F543)</f>
        <v>-198.366350424</v>
      </c>
      <c r="G543" s="10">
        <f>IF(ActiveDatabase=Standby,Secondary!G543,Primary!G543)</f>
        <v>210.079540568</v>
      </c>
      <c r="H543" s="10">
        <f>IF(ActiveDatabase=Standby,Secondary!H543,Primary!H543)</f>
        <v>149.782289886999</v>
      </c>
      <c r="I543" s="13">
        <f>IF(ActiveDatabase=Standby,Secondary!I543,Primary!I543)</f>
        <v>0</v>
      </c>
      <c r="J543" s="13">
        <f>IF(ActiveDatabase=Standby,Secondary!J543,Primary!J543)</f>
        <v>0</v>
      </c>
      <c r="K543" s="13">
        <f>IF(ActiveDatabase=Standby,Secondary!K543,Primary!K543)</f>
        <v>0</v>
      </c>
      <c r="L543" s="13">
        <f>IF(ActiveDatabase=Standby,Secondary!L543,Primary!L543)</f>
        <v>0</v>
      </c>
      <c r="M543" s="7" t="b">
        <f>IF(ActiveDatabase=Standby,Secondary!M543,Primary!M543)</f>
        <v>0</v>
      </c>
      <c r="N543" s="10">
        <f>IF(ActiveDatabase=Standby,Secondary!N543,Primary!N543)</f>
        <v>0</v>
      </c>
      <c r="O543" s="10">
        <f>IF(ActiveDatabase=Standby,Secondary!O543,Primary!O543)</f>
        <v>0</v>
      </c>
      <c r="P543" s="10">
        <f>IF(ActiveDatabase=Standby,Secondary!P543,Primary!P543)</f>
        <v>0</v>
      </c>
      <c r="Q543" s="6">
        <f>IF(ActiveDatabase=Standby,Secondary!Q543,Primary!Q543)</f>
        <v>0</v>
      </c>
      <c r="R543" s="18">
        <f>IF(ActiveDatabase=Standby,Secondary!R543,Primary!R543)</f>
        <v>0</v>
      </c>
      <c r="S543" s="19">
        <f>IF(ActiveDatabase=Standby,Secondary!S543,Primary!S543)</f>
        <v>0</v>
      </c>
      <c r="T543" s="10">
        <f>IF(ActiveDatabase=Standby,Secondary!T543,Primary!T543)</f>
        <v>0</v>
      </c>
      <c r="U543" s="10">
        <f>IF(ActiveDatabase=Standby,Secondary!U543,Primary!U543)</f>
        <v>0</v>
      </c>
      <c r="V543" s="10">
        <f>IF(ActiveDatabase=Standby,Secondary!V543,Primary!V543)</f>
        <v>0</v>
      </c>
      <c r="W543" s="6">
        <f>IF(ActiveDatabase=Standby,Secondary!W543,Primary!W543)</f>
        <v>0</v>
      </c>
      <c r="X543" s="6">
        <f>IF(ActiveDatabase=Standby,Secondary!X543,Primary!X543)</f>
        <v>0</v>
      </c>
      <c r="Y543" s="12">
        <f>IF(ActiveDatabase=Standby,Secondary!Y543,Primary!Y543)</f>
        <v>0</v>
      </c>
      <c r="Z543" s="12">
        <f>IF(ActiveDatabase=Standby,Secondary!Z543,Primary!Z543)</f>
        <v>0</v>
      </c>
      <c r="AA543" s="7">
        <f>IF(ActiveDatabase=Standby,Secondary!AA543,Primary!AA543)</f>
        <v>0</v>
      </c>
      <c r="AB543" s="12"/>
      <c r="AC543" s="6"/>
      <c r="AD543" s="6"/>
      <c r="AE543" s="7"/>
      <c r="AF543" s="7"/>
      <c r="AG543" s="7"/>
      <c r="AH543" s="7"/>
      <c r="AI543" s="7"/>
      <c r="AJ543" s="7"/>
      <c r="AK543" s="7"/>
      <c r="AL543" s="7"/>
      <c r="AM543" s="7"/>
      <c r="AN543" s="7"/>
      <c r="AO543" s="6"/>
      <c r="AP543" s="7"/>
      <c r="AQ543" s="7"/>
      <c r="AR543" s="6"/>
      <c r="AS543" s="7"/>
      <c r="AT543" s="7"/>
      <c r="AU543" s="7"/>
      <c r="AV543" s="7"/>
      <c r="AW543" s="7"/>
      <c r="AX543" s="7"/>
      <c r="AY543" s="7"/>
      <c r="AZ543" s="7"/>
      <c r="BA543" s="7"/>
      <c r="BB543" s="7"/>
      <c r="BC543" s="7"/>
      <c r="BD543" s="7"/>
      <c r="BE543" s="7"/>
      <c r="BF543" s="7"/>
      <c r="BG543" s="7"/>
    </row>
    <row r="544" customHeight="1" spans="1:59">
      <c r="A544" s="9" t="str">
        <f>IF(ActiveDatabase=Standby,Secondary!A544,Primary!A544)</f>
        <v>Ita 31</v>
      </c>
      <c r="B544" s="5" t="str">
        <f>IF(ActiveDatabase=Standby,Secondary!B544,Primary!B544)</f>
        <v>Ita 34</v>
      </c>
      <c r="C544" s="5" t="str">
        <f>IF(ActiveDatabase=Standby,Secondary!C544,Primary!C544)</f>
        <v>Ita 06</v>
      </c>
      <c r="D544" s="5" t="str">
        <f>IF(ActiveDatabase=Standby,Secondary!D544,Primary!D544)</f>
        <v>Sand Cave 51S</v>
      </c>
      <c r="E544" s="6" t="str">
        <f>IF(ActiveDatabase=Standby,Secondary!E544,Primary!E544)</f>
        <v>SCave 51S</v>
      </c>
      <c r="F544" s="10">
        <f>IF(ActiveDatabase=Standby,Secondary!F544,Primary!F544)</f>
        <v>-145.85694837</v>
      </c>
      <c r="G544" s="10">
        <f>IF(ActiveDatabase=Standby,Secondary!G544,Primary!G544)</f>
        <v>225.601097108999</v>
      </c>
      <c r="H544" s="10">
        <f>IF(ActiveDatabase=Standby,Secondary!H544,Primary!H544)</f>
        <v>183.247291558</v>
      </c>
      <c r="I544" s="13">
        <f>IF(ActiveDatabase=Standby,Secondary!I544,Primary!I544)</f>
        <v>0</v>
      </c>
      <c r="J544" s="13">
        <f>IF(ActiveDatabase=Standby,Secondary!J544,Primary!J544)</f>
        <v>0</v>
      </c>
      <c r="K544" s="13">
        <f>IF(ActiveDatabase=Standby,Secondary!K544,Primary!K544)</f>
        <v>0</v>
      </c>
      <c r="L544" s="13">
        <f>IF(ActiveDatabase=Standby,Secondary!L544,Primary!L544)</f>
        <v>0</v>
      </c>
      <c r="M544" s="7" t="b">
        <f>IF(ActiveDatabase=Standby,Secondary!M544,Primary!M544)</f>
        <v>0</v>
      </c>
      <c r="N544" s="10">
        <f>IF(ActiveDatabase=Standby,Secondary!N544,Primary!N544)</f>
        <v>0</v>
      </c>
      <c r="O544" s="10">
        <f>IF(ActiveDatabase=Standby,Secondary!O544,Primary!O544)</f>
        <v>0</v>
      </c>
      <c r="P544" s="10">
        <f>IF(ActiveDatabase=Standby,Secondary!P544,Primary!P544)</f>
        <v>0</v>
      </c>
      <c r="Q544" s="6">
        <f>IF(ActiveDatabase=Standby,Secondary!Q544,Primary!Q544)</f>
        <v>0</v>
      </c>
      <c r="R544" s="18">
        <f>IF(ActiveDatabase=Standby,Secondary!R544,Primary!R544)</f>
        <v>0</v>
      </c>
      <c r="S544" s="19">
        <f>IF(ActiveDatabase=Standby,Secondary!S544,Primary!S544)</f>
        <v>0</v>
      </c>
      <c r="T544" s="10">
        <f>IF(ActiveDatabase=Standby,Secondary!T544,Primary!T544)</f>
        <v>0</v>
      </c>
      <c r="U544" s="10">
        <f>IF(ActiveDatabase=Standby,Secondary!U544,Primary!U544)</f>
        <v>0</v>
      </c>
      <c r="V544" s="10">
        <f>IF(ActiveDatabase=Standby,Secondary!V544,Primary!V544)</f>
        <v>0</v>
      </c>
      <c r="W544" s="6">
        <f>IF(ActiveDatabase=Standby,Secondary!W544,Primary!W544)</f>
        <v>0</v>
      </c>
      <c r="X544" s="6">
        <f>IF(ActiveDatabase=Standby,Secondary!X544,Primary!X544)</f>
        <v>0</v>
      </c>
      <c r="Y544" s="12">
        <f>IF(ActiveDatabase=Standby,Secondary!Y544,Primary!Y544)</f>
        <v>0</v>
      </c>
      <c r="Z544" s="12">
        <f>IF(ActiveDatabase=Standby,Secondary!Z544,Primary!Z544)</f>
        <v>0</v>
      </c>
      <c r="AA544" s="7">
        <f>IF(ActiveDatabase=Standby,Secondary!AA544,Primary!AA544)</f>
        <v>0</v>
      </c>
      <c r="AB544" s="12"/>
      <c r="AC544" s="6"/>
      <c r="AD544" s="6"/>
      <c r="AE544" s="7"/>
      <c r="AF544" s="7"/>
      <c r="AG544" s="7"/>
      <c r="AH544" s="7"/>
      <c r="AI544" s="7"/>
      <c r="AJ544" s="7"/>
      <c r="AK544" s="7"/>
      <c r="AL544" s="7"/>
      <c r="AM544" s="7"/>
      <c r="AN544" s="7"/>
      <c r="AO544" s="6"/>
      <c r="AP544" s="7"/>
      <c r="AQ544" s="7"/>
      <c r="AR544" s="6"/>
      <c r="AS544" s="7"/>
      <c r="AT544" s="7"/>
      <c r="AU544" s="7"/>
      <c r="AV544" s="7"/>
      <c r="AW544" s="7"/>
      <c r="AX544" s="7"/>
      <c r="AY544" s="7"/>
      <c r="AZ544" s="7"/>
      <c r="BA544" s="7"/>
      <c r="BB544" s="7"/>
      <c r="BC544" s="7"/>
      <c r="BD544" s="7"/>
      <c r="BE544" s="7"/>
      <c r="BF544" s="7"/>
      <c r="BG544" s="7"/>
    </row>
    <row r="545" customHeight="1" spans="1:59">
      <c r="A545" s="9" t="str">
        <f>IF(ActiveDatabase=Standby,Secondary!A545,Primary!A545)</f>
        <v>Ita 30</v>
      </c>
      <c r="B545" s="5" t="str">
        <f>IF(ActiveDatabase=Standby,Secondary!B545,Primary!B545)</f>
        <v>Ita 33</v>
      </c>
      <c r="C545" s="5" t="str">
        <f>IF(ActiveDatabase=Standby,Secondary!C545,Primary!C545)</f>
        <v>Ita 07</v>
      </c>
      <c r="D545" s="5" t="str">
        <f>IF(ActiveDatabase=Standby,Secondary!D545,Primary!D545)</f>
        <v>Sand Cave 49S</v>
      </c>
      <c r="E545" s="6" t="str">
        <f>IF(ActiveDatabase=Standby,Secondary!E545,Primary!E545)</f>
        <v>SCave 49S</v>
      </c>
      <c r="F545" s="10">
        <f>IF(ActiveDatabase=Standby,Secondary!F545,Primary!F545)</f>
        <v>-95.6716822459998</v>
      </c>
      <c r="G545" s="10">
        <f>IF(ActiveDatabase=Standby,Secondary!G545,Primary!G545)</f>
        <v>232.415407027999</v>
      </c>
      <c r="H545" s="10">
        <f>IF(ActiveDatabase=Standby,Secondary!H545,Primary!H545)</f>
        <v>206.556507454</v>
      </c>
      <c r="I545" s="13">
        <f>IF(ActiveDatabase=Standby,Secondary!I545,Primary!I545)</f>
        <v>0</v>
      </c>
      <c r="J545" s="13">
        <f>IF(ActiveDatabase=Standby,Secondary!J545,Primary!J545)</f>
        <v>0</v>
      </c>
      <c r="K545" s="13">
        <f>IF(ActiveDatabase=Standby,Secondary!K545,Primary!K545)</f>
        <v>0</v>
      </c>
      <c r="L545" s="13">
        <f>IF(ActiveDatabase=Standby,Secondary!L545,Primary!L545)</f>
        <v>0</v>
      </c>
      <c r="M545" s="7" t="b">
        <f>IF(ActiveDatabase=Standby,Secondary!M545,Primary!M545)</f>
        <v>0</v>
      </c>
      <c r="N545" s="10">
        <f>IF(ActiveDatabase=Standby,Secondary!N545,Primary!N545)</f>
        <v>0</v>
      </c>
      <c r="O545" s="10">
        <f>IF(ActiveDatabase=Standby,Secondary!O545,Primary!O545)</f>
        <v>0</v>
      </c>
      <c r="P545" s="10">
        <f>IF(ActiveDatabase=Standby,Secondary!P545,Primary!P545)</f>
        <v>0</v>
      </c>
      <c r="Q545" s="6">
        <f>IF(ActiveDatabase=Standby,Secondary!Q545,Primary!Q545)</f>
        <v>0</v>
      </c>
      <c r="R545" s="18">
        <f>IF(ActiveDatabase=Standby,Secondary!R545,Primary!R545)</f>
        <v>0</v>
      </c>
      <c r="S545" s="19">
        <f>IF(ActiveDatabase=Standby,Secondary!S545,Primary!S545)</f>
        <v>0</v>
      </c>
      <c r="T545" s="10">
        <f>IF(ActiveDatabase=Standby,Secondary!T545,Primary!T545)</f>
        <v>0</v>
      </c>
      <c r="U545" s="10">
        <f>IF(ActiveDatabase=Standby,Secondary!U545,Primary!U545)</f>
        <v>0</v>
      </c>
      <c r="V545" s="10">
        <f>IF(ActiveDatabase=Standby,Secondary!V545,Primary!V545)</f>
        <v>0</v>
      </c>
      <c r="W545" s="6">
        <f>IF(ActiveDatabase=Standby,Secondary!W545,Primary!W545)</f>
        <v>0</v>
      </c>
      <c r="X545" s="6">
        <f>IF(ActiveDatabase=Standby,Secondary!X545,Primary!X545)</f>
        <v>0</v>
      </c>
      <c r="Y545" s="12">
        <f>IF(ActiveDatabase=Standby,Secondary!Y545,Primary!Y545)</f>
        <v>0</v>
      </c>
      <c r="Z545" s="12">
        <f>IF(ActiveDatabase=Standby,Secondary!Z545,Primary!Z545)</f>
        <v>0</v>
      </c>
      <c r="AA545" s="7">
        <f>IF(ActiveDatabase=Standby,Secondary!AA545,Primary!AA545)</f>
        <v>0</v>
      </c>
      <c r="AB545" s="12"/>
      <c r="AC545" s="6"/>
      <c r="AD545" s="6"/>
      <c r="AE545" s="7"/>
      <c r="AF545" s="7"/>
      <c r="AG545" s="7"/>
      <c r="AH545" s="7"/>
      <c r="AI545" s="7"/>
      <c r="AJ545" s="7"/>
      <c r="AK545" s="7"/>
      <c r="AL545" s="7"/>
      <c r="AM545" s="7"/>
      <c r="AN545" s="7"/>
      <c r="AO545" s="6"/>
      <c r="AP545" s="7"/>
      <c r="AQ545" s="7"/>
      <c r="AR545" s="6"/>
      <c r="AS545" s="7"/>
      <c r="AT545" s="7"/>
      <c r="AU545" s="7"/>
      <c r="AV545" s="7"/>
      <c r="AW545" s="7"/>
      <c r="AX545" s="7"/>
      <c r="AY545" s="7"/>
      <c r="AZ545" s="7"/>
      <c r="BA545" s="7"/>
      <c r="BB545" s="7"/>
      <c r="BC545" s="7"/>
      <c r="BD545" s="7"/>
      <c r="BE545" s="7"/>
      <c r="BF545" s="7"/>
      <c r="BG545" s="7"/>
    </row>
    <row r="546" customHeight="1" spans="1:59">
      <c r="A546" s="9" t="str">
        <f>IF(ActiveDatabase=Standby,Secondary!A546,Primary!A546)</f>
        <v>Ita 22</v>
      </c>
      <c r="B546" s="5" t="str">
        <f>IF(ActiveDatabase=Standby,Secondary!B546,Primary!B546)</f>
        <v>Ita 25</v>
      </c>
      <c r="C546" s="5" t="str">
        <f>IF(ActiveDatabase=Standby,Secondary!C546,Primary!C546)</f>
        <v>Ita 22</v>
      </c>
      <c r="D546" s="5" t="str">
        <f>IF(ActiveDatabase=Standby,Secondary!D546,Primary!D546)</f>
        <v>Sand Cave 26S</v>
      </c>
      <c r="E546" s="6" t="str">
        <f>IF(ActiveDatabase=Standby,Secondary!E546,Primary!E546)</f>
        <v>SCave 26S</v>
      </c>
      <c r="F546" s="10">
        <f>IF(ActiveDatabase=Standby,Secondary!F546,Primary!F546)</f>
        <v>226.490069041</v>
      </c>
      <c r="G546" s="10">
        <f>IF(ActiveDatabase=Standby,Secondary!G546,Primary!G546)</f>
        <v>-127.471403798</v>
      </c>
      <c r="H546" s="10">
        <f>IF(ActiveDatabase=Standby,Secondary!H546,Primary!H546)</f>
        <v>195.092245614</v>
      </c>
      <c r="I546" s="13">
        <f>IF(ActiveDatabase=Standby,Secondary!I546,Primary!I546)</f>
        <v>0</v>
      </c>
      <c r="J546" s="13">
        <f>IF(ActiveDatabase=Standby,Secondary!J546,Primary!J546)</f>
        <v>0</v>
      </c>
      <c r="K546" s="13">
        <f>IF(ActiveDatabase=Standby,Secondary!K546,Primary!K546)</f>
        <v>0</v>
      </c>
      <c r="L546" s="13">
        <f>IF(ActiveDatabase=Standby,Secondary!L546,Primary!L546)</f>
        <v>0</v>
      </c>
      <c r="M546" s="7" t="b">
        <f>IF(ActiveDatabase=Standby,Secondary!M546,Primary!M546)</f>
        <v>0</v>
      </c>
      <c r="N546" s="10">
        <f>IF(ActiveDatabase=Standby,Secondary!N546,Primary!N546)</f>
        <v>0</v>
      </c>
      <c r="O546" s="10">
        <f>IF(ActiveDatabase=Standby,Secondary!O546,Primary!O546)</f>
        <v>0</v>
      </c>
      <c r="P546" s="10">
        <f>IF(ActiveDatabase=Standby,Secondary!P546,Primary!P546)</f>
        <v>0</v>
      </c>
      <c r="Q546" s="6">
        <f>IF(ActiveDatabase=Standby,Secondary!Q546,Primary!Q546)</f>
        <v>0</v>
      </c>
      <c r="R546" s="18">
        <f>IF(ActiveDatabase=Standby,Secondary!R546,Primary!R546)</f>
        <v>0</v>
      </c>
      <c r="S546" s="19">
        <f>IF(ActiveDatabase=Standby,Secondary!S546,Primary!S546)</f>
        <v>0</v>
      </c>
      <c r="T546" s="10">
        <f>IF(ActiveDatabase=Standby,Secondary!T546,Primary!T546)</f>
        <v>0</v>
      </c>
      <c r="U546" s="10">
        <f>IF(ActiveDatabase=Standby,Secondary!U546,Primary!U546)</f>
        <v>0</v>
      </c>
      <c r="V546" s="10">
        <f>IF(ActiveDatabase=Standby,Secondary!V546,Primary!V546)</f>
        <v>0</v>
      </c>
      <c r="W546" s="6">
        <f>IF(ActiveDatabase=Standby,Secondary!W546,Primary!W546)</f>
        <v>0</v>
      </c>
      <c r="X546" s="6">
        <f>IF(ActiveDatabase=Standby,Secondary!X546,Primary!X546)</f>
        <v>0</v>
      </c>
      <c r="Y546" s="12">
        <f>IF(ActiveDatabase=Standby,Secondary!Y546,Primary!Y546)</f>
        <v>0</v>
      </c>
      <c r="Z546" s="12">
        <f>IF(ActiveDatabase=Standby,Secondary!Z546,Primary!Z546)</f>
        <v>0</v>
      </c>
      <c r="AA546" s="7">
        <f>IF(ActiveDatabase=Standby,Secondary!AA546,Primary!AA546)</f>
        <v>0</v>
      </c>
      <c r="AB546" s="12"/>
      <c r="AC546" s="6"/>
      <c r="AD546" s="6"/>
      <c r="AE546" s="7"/>
      <c r="AF546" s="7"/>
      <c r="AG546" s="7"/>
      <c r="AH546" s="7"/>
      <c r="AI546" s="7"/>
      <c r="AJ546" s="7"/>
      <c r="AK546" s="7"/>
      <c r="AL546" s="7"/>
      <c r="AM546" s="7"/>
      <c r="AN546" s="7"/>
      <c r="AO546" s="6"/>
      <c r="AP546" s="7"/>
      <c r="AQ546" s="7"/>
      <c r="AR546" s="6"/>
      <c r="AS546" s="7"/>
      <c r="AT546" s="7"/>
      <c r="AU546" s="7"/>
      <c r="AV546" s="7"/>
      <c r="AW546" s="7"/>
      <c r="AX546" s="7"/>
      <c r="AY546" s="7"/>
      <c r="AZ546" s="7"/>
      <c r="BA546" s="7"/>
      <c r="BB546" s="7"/>
      <c r="BC546" s="7"/>
      <c r="BD546" s="7"/>
      <c r="BE546" s="7"/>
      <c r="BF546" s="7"/>
      <c r="BG546" s="7"/>
    </row>
    <row r="547" customHeight="1" spans="1:59">
      <c r="A547" s="9" t="str">
        <f>IF(ActiveDatabase=Standby,Secondary!A547,Primary!A547)</f>
        <v>Ita 21</v>
      </c>
      <c r="B547" s="5" t="str">
        <f>IF(ActiveDatabase=Standby,Secondary!B547,Primary!B547)</f>
        <v>Ita 24</v>
      </c>
      <c r="C547" s="5" t="str">
        <f>IF(ActiveDatabase=Standby,Secondary!C547,Primary!C547)</f>
        <v>Ita 23</v>
      </c>
      <c r="D547" s="5" t="str">
        <f>IF(ActiveDatabase=Standby,Secondary!D547,Primary!D547)</f>
        <v>Sand Cave 25S</v>
      </c>
      <c r="E547" s="6" t="str">
        <f>IF(ActiveDatabase=Standby,Secondary!E547,Primary!E547)</f>
        <v>SCave 25S</v>
      </c>
      <c r="F547" s="10">
        <f>IF(ActiveDatabase=Standby,Secondary!F547,Primary!F547)</f>
        <v>222.979460536</v>
      </c>
      <c r="G547" s="10">
        <f>IF(ActiveDatabase=Standby,Secondary!G547,Primary!G547)</f>
        <v>-129.325527858</v>
      </c>
      <c r="H547" s="10">
        <f>IF(ActiveDatabase=Standby,Secondary!H547,Primary!H547)</f>
        <v>197.905946739</v>
      </c>
      <c r="I547" s="13">
        <f>IF(ActiveDatabase=Standby,Secondary!I547,Primary!I547)</f>
        <v>0</v>
      </c>
      <c r="J547" s="13">
        <f>IF(ActiveDatabase=Standby,Secondary!J547,Primary!J547)</f>
        <v>0</v>
      </c>
      <c r="K547" s="13">
        <f>IF(ActiveDatabase=Standby,Secondary!K547,Primary!K547)</f>
        <v>0</v>
      </c>
      <c r="L547" s="13">
        <f>IF(ActiveDatabase=Standby,Secondary!L547,Primary!L547)</f>
        <v>0</v>
      </c>
      <c r="M547" s="7" t="b">
        <f>IF(ActiveDatabase=Standby,Secondary!M547,Primary!M547)</f>
        <v>0</v>
      </c>
      <c r="N547" s="10">
        <f>IF(ActiveDatabase=Standby,Secondary!N547,Primary!N547)</f>
        <v>0</v>
      </c>
      <c r="O547" s="10">
        <f>IF(ActiveDatabase=Standby,Secondary!O547,Primary!O547)</f>
        <v>0</v>
      </c>
      <c r="P547" s="10">
        <f>IF(ActiveDatabase=Standby,Secondary!P547,Primary!P547)</f>
        <v>0</v>
      </c>
      <c r="Q547" s="6">
        <f>IF(ActiveDatabase=Standby,Secondary!Q547,Primary!Q547)</f>
        <v>0</v>
      </c>
      <c r="R547" s="18">
        <f>IF(ActiveDatabase=Standby,Secondary!R547,Primary!R547)</f>
        <v>0</v>
      </c>
      <c r="S547" s="19">
        <f>IF(ActiveDatabase=Standby,Secondary!S547,Primary!S547)</f>
        <v>0</v>
      </c>
      <c r="T547" s="10">
        <f>IF(ActiveDatabase=Standby,Secondary!T547,Primary!T547)</f>
        <v>0</v>
      </c>
      <c r="U547" s="10">
        <f>IF(ActiveDatabase=Standby,Secondary!U547,Primary!U547)</f>
        <v>0</v>
      </c>
      <c r="V547" s="10">
        <f>IF(ActiveDatabase=Standby,Secondary!V547,Primary!V547)</f>
        <v>0</v>
      </c>
      <c r="W547" s="6">
        <f>IF(ActiveDatabase=Standby,Secondary!W547,Primary!W547)</f>
        <v>0</v>
      </c>
      <c r="X547" s="6">
        <f>IF(ActiveDatabase=Standby,Secondary!X547,Primary!X547)</f>
        <v>0</v>
      </c>
      <c r="Y547" s="12">
        <f>IF(ActiveDatabase=Standby,Secondary!Y547,Primary!Y547)</f>
        <v>0</v>
      </c>
      <c r="Z547" s="12">
        <f>IF(ActiveDatabase=Standby,Secondary!Z547,Primary!Z547)</f>
        <v>0</v>
      </c>
      <c r="AA547" s="7">
        <f>IF(ActiveDatabase=Standby,Secondary!AA547,Primary!AA547)</f>
        <v>0</v>
      </c>
      <c r="AB547" s="12"/>
      <c r="AC547" s="6"/>
      <c r="AD547" s="6"/>
      <c r="AE547" s="7"/>
      <c r="AF547" s="7"/>
      <c r="AG547" s="7"/>
      <c r="AH547" s="7"/>
      <c r="AI547" s="7"/>
      <c r="AJ547" s="7"/>
      <c r="AK547" s="7"/>
      <c r="AL547" s="7"/>
      <c r="AM547" s="7"/>
      <c r="AN547" s="7"/>
      <c r="AO547" s="6"/>
      <c r="AP547" s="7"/>
      <c r="AQ547" s="7"/>
      <c r="AR547" s="6"/>
      <c r="AS547" s="7"/>
      <c r="AT547" s="7"/>
      <c r="AU547" s="7"/>
      <c r="AV547" s="7"/>
      <c r="AW547" s="7"/>
      <c r="AX547" s="7"/>
      <c r="AY547" s="7"/>
      <c r="AZ547" s="7"/>
      <c r="BA547" s="7"/>
      <c r="BB547" s="7"/>
      <c r="BC547" s="7"/>
      <c r="BD547" s="7"/>
      <c r="BE547" s="7"/>
      <c r="BF547" s="7"/>
      <c r="BG547" s="7"/>
    </row>
    <row r="548" customHeight="1" spans="1:59">
      <c r="A548" s="9" t="str">
        <f>IF(ActiveDatabase=Standby,Secondary!A548,Primary!A548)</f>
        <v>Ita 23</v>
      </c>
      <c r="B548" s="5" t="str">
        <f>IF(ActiveDatabase=Standby,Secondary!B548,Primary!B548)</f>
        <v>Ita 26</v>
      </c>
      <c r="C548" s="5" t="str">
        <f>IF(ActiveDatabase=Standby,Secondary!C548,Primary!C548)</f>
        <v>Ita 19</v>
      </c>
      <c r="D548" s="5" t="str">
        <f>IF(ActiveDatabase=Standby,Secondary!D548,Primary!D548)</f>
        <v>Sand Cave 28T</v>
      </c>
      <c r="E548" s="6" t="str">
        <f>IF(ActiveDatabase=Standby,Secondary!E548,Primary!E548)</f>
        <v>SCave 28T</v>
      </c>
      <c r="F548" s="10">
        <f>IF(ActiveDatabase=Standby,Secondary!F548,Primary!F548)</f>
        <v>220.695596888</v>
      </c>
      <c r="G548" s="10">
        <f>IF(ActiveDatabase=Standby,Secondary!G548,Primary!G548)</f>
        <v>-65.428039985</v>
      </c>
      <c r="H548" s="10">
        <f>IF(ActiveDatabase=Standby,Secondary!H548,Primary!H548)</f>
        <v>229.556560505</v>
      </c>
      <c r="I548" s="13">
        <f>IF(ActiveDatabase=Standby,Secondary!I548,Primary!I548)</f>
        <v>0</v>
      </c>
      <c r="J548" s="13">
        <f>IF(ActiveDatabase=Standby,Secondary!J548,Primary!J548)</f>
        <v>0</v>
      </c>
      <c r="K548" s="13">
        <f>IF(ActiveDatabase=Standby,Secondary!K548,Primary!K548)</f>
        <v>0</v>
      </c>
      <c r="L548" s="13">
        <f>IF(ActiveDatabase=Standby,Secondary!L548,Primary!L548)</f>
        <v>0</v>
      </c>
      <c r="M548" s="7" t="b">
        <f>IF(ActiveDatabase=Standby,Secondary!M548,Primary!M548)</f>
        <v>0</v>
      </c>
      <c r="N548" s="10">
        <f>IF(ActiveDatabase=Standby,Secondary!N548,Primary!N548)</f>
        <v>0</v>
      </c>
      <c r="O548" s="10">
        <f>IF(ActiveDatabase=Standby,Secondary!O548,Primary!O548)</f>
        <v>0</v>
      </c>
      <c r="P548" s="10">
        <f>IF(ActiveDatabase=Standby,Secondary!P548,Primary!P548)</f>
        <v>0</v>
      </c>
      <c r="Q548" s="6">
        <f>IF(ActiveDatabase=Standby,Secondary!Q548,Primary!Q548)</f>
        <v>0</v>
      </c>
      <c r="R548" s="18">
        <f>IF(ActiveDatabase=Standby,Secondary!R548,Primary!R548)</f>
        <v>0</v>
      </c>
      <c r="S548" s="19">
        <f>IF(ActiveDatabase=Standby,Secondary!S548,Primary!S548)</f>
        <v>0</v>
      </c>
      <c r="T548" s="10">
        <f>IF(ActiveDatabase=Standby,Secondary!T548,Primary!T548)</f>
        <v>0</v>
      </c>
      <c r="U548" s="10">
        <f>IF(ActiveDatabase=Standby,Secondary!U548,Primary!U548)</f>
        <v>0</v>
      </c>
      <c r="V548" s="10">
        <f>IF(ActiveDatabase=Standby,Secondary!V548,Primary!V548)</f>
        <v>0</v>
      </c>
      <c r="W548" s="6">
        <f>IF(ActiveDatabase=Standby,Secondary!W548,Primary!W548)</f>
        <v>0</v>
      </c>
      <c r="X548" s="6">
        <f>IF(ActiveDatabase=Standby,Secondary!X548,Primary!X548)</f>
        <v>0</v>
      </c>
      <c r="Y548" s="12">
        <f>IF(ActiveDatabase=Standby,Secondary!Y548,Primary!Y548)</f>
        <v>0</v>
      </c>
      <c r="Z548" s="12">
        <f>IF(ActiveDatabase=Standby,Secondary!Z548,Primary!Z548)</f>
        <v>0</v>
      </c>
      <c r="AA548" s="7">
        <f>IF(ActiveDatabase=Standby,Secondary!AA548,Primary!AA548)</f>
        <v>0</v>
      </c>
      <c r="AB548" s="12"/>
      <c r="AC548" s="6"/>
      <c r="AD548" s="6"/>
      <c r="AE548" s="7"/>
      <c r="AF548" s="7"/>
      <c r="AG548" s="7"/>
      <c r="AH548" s="7"/>
      <c r="AI548" s="7"/>
      <c r="AJ548" s="7"/>
      <c r="AK548" s="7"/>
      <c r="AL548" s="7"/>
      <c r="AM548" s="7"/>
      <c r="AN548" s="7"/>
      <c r="AO548" s="6"/>
      <c r="AP548" s="7"/>
      <c r="AQ548" s="7"/>
      <c r="AR548" s="6"/>
      <c r="AS548" s="7"/>
      <c r="AT548" s="7"/>
      <c r="AU548" s="7"/>
      <c r="AV548" s="7"/>
      <c r="AW548" s="7"/>
      <c r="AX548" s="7"/>
      <c r="AY548" s="7"/>
      <c r="AZ548" s="7"/>
      <c r="BA548" s="7"/>
      <c r="BB548" s="7"/>
      <c r="BC548" s="7"/>
      <c r="BD548" s="7"/>
      <c r="BE548" s="7"/>
      <c r="BF548" s="7"/>
      <c r="BG548" s="7"/>
    </row>
    <row r="549" customHeight="1" spans="1:59">
      <c r="A549" s="9" t="str">
        <f>IF(ActiveDatabase=Standby,Secondary!A549,Primary!A549)</f>
        <v>Ita 27</v>
      </c>
      <c r="B549" s="5" t="str">
        <f>IF(ActiveDatabase=Standby,Secondary!B549,Primary!B549)</f>
        <v>Ita 30</v>
      </c>
      <c r="C549" s="5" t="str">
        <f>IF(ActiveDatabase=Standby,Secondary!C549,Primary!C549)</f>
        <v>Ita 14</v>
      </c>
      <c r="D549" s="5" t="str">
        <f>IF(ActiveDatabase=Standby,Secondary!D549,Primary!D549)</f>
        <v>Sand Cave 40R</v>
      </c>
      <c r="E549" s="6" t="str">
        <f>IF(ActiveDatabase=Standby,Secondary!E549,Primary!E549)</f>
        <v>SCave 40R</v>
      </c>
      <c r="F549" s="10">
        <f>IF(ActiveDatabase=Standby,Secondary!F549,Primary!F549)</f>
        <v>165.617741497999</v>
      </c>
      <c r="G549" s="10">
        <f>IF(ActiveDatabase=Standby,Secondary!G549,Primary!G549)</f>
        <v>230.516530414</v>
      </c>
      <c r="H549" s="10">
        <f>IF(ActiveDatabase=Standby,Secondary!H549,Primary!H549)</f>
        <v>158.177158563</v>
      </c>
      <c r="I549" s="13">
        <f>IF(ActiveDatabase=Standby,Secondary!I549,Primary!I549)</f>
        <v>0</v>
      </c>
      <c r="J549" s="13">
        <f>IF(ActiveDatabase=Standby,Secondary!J549,Primary!J549)</f>
        <v>0</v>
      </c>
      <c r="K549" s="13">
        <f>IF(ActiveDatabase=Standby,Secondary!K549,Primary!K549)</f>
        <v>0</v>
      </c>
      <c r="L549" s="13">
        <f>IF(ActiveDatabase=Standby,Secondary!L549,Primary!L549)</f>
        <v>0</v>
      </c>
      <c r="M549" s="7" t="b">
        <f>IF(ActiveDatabase=Standby,Secondary!M549,Primary!M549)</f>
        <v>0</v>
      </c>
      <c r="N549" s="10">
        <f>IF(ActiveDatabase=Standby,Secondary!N549,Primary!N549)</f>
        <v>0</v>
      </c>
      <c r="O549" s="10">
        <f>IF(ActiveDatabase=Standby,Secondary!O549,Primary!O549)</f>
        <v>0</v>
      </c>
      <c r="P549" s="10">
        <f>IF(ActiveDatabase=Standby,Secondary!P549,Primary!P549)</f>
        <v>0</v>
      </c>
      <c r="Q549" s="6">
        <f>IF(ActiveDatabase=Standby,Secondary!Q549,Primary!Q549)</f>
        <v>0</v>
      </c>
      <c r="R549" s="18">
        <f>IF(ActiveDatabase=Standby,Secondary!R549,Primary!R549)</f>
        <v>0</v>
      </c>
      <c r="S549" s="19">
        <f>IF(ActiveDatabase=Standby,Secondary!S549,Primary!S549)</f>
        <v>0</v>
      </c>
      <c r="T549" s="10">
        <f>IF(ActiveDatabase=Standby,Secondary!T549,Primary!T549)</f>
        <v>0</v>
      </c>
      <c r="U549" s="10">
        <f>IF(ActiveDatabase=Standby,Secondary!U549,Primary!U549)</f>
        <v>0</v>
      </c>
      <c r="V549" s="10">
        <f>IF(ActiveDatabase=Standby,Secondary!V549,Primary!V549)</f>
        <v>0</v>
      </c>
      <c r="W549" s="6">
        <f>IF(ActiveDatabase=Standby,Secondary!W549,Primary!W549)</f>
        <v>0</v>
      </c>
      <c r="X549" s="6">
        <f>IF(ActiveDatabase=Standby,Secondary!X549,Primary!X549)</f>
        <v>0</v>
      </c>
      <c r="Y549" s="12">
        <f>IF(ActiveDatabase=Standby,Secondary!Y549,Primary!Y549)</f>
        <v>0</v>
      </c>
      <c r="Z549" s="12">
        <f>IF(ActiveDatabase=Standby,Secondary!Z549,Primary!Z549)</f>
        <v>0</v>
      </c>
      <c r="AA549" s="7">
        <f>IF(ActiveDatabase=Standby,Secondary!AA549,Primary!AA549)</f>
        <v>0</v>
      </c>
      <c r="AB549" s="12"/>
      <c r="AC549" s="6"/>
      <c r="AD549" s="6"/>
      <c r="AE549" s="7"/>
      <c r="AF549" s="7"/>
      <c r="AG549" s="7"/>
      <c r="AH549" s="7"/>
      <c r="AI549" s="7"/>
      <c r="AJ549" s="7"/>
      <c r="AK549" s="7"/>
      <c r="AL549" s="7"/>
      <c r="AM549" s="7"/>
      <c r="AN549" s="7"/>
      <c r="AO549" s="6"/>
      <c r="AP549" s="7"/>
      <c r="AQ549" s="7"/>
      <c r="AR549" s="6"/>
      <c r="AS549" s="7"/>
      <c r="AT549" s="7"/>
      <c r="AU549" s="7"/>
      <c r="AV549" s="7"/>
      <c r="AW549" s="7"/>
      <c r="AX549" s="7"/>
      <c r="AY549" s="7"/>
      <c r="AZ549" s="7"/>
      <c r="BA549" s="7"/>
      <c r="BB549" s="7"/>
      <c r="BC549" s="7"/>
      <c r="BD549" s="7"/>
      <c r="BE549" s="7"/>
      <c r="BF549" s="7"/>
      <c r="BG549" s="7"/>
    </row>
    <row r="550" customHeight="1" spans="1:59">
      <c r="A550" s="9" t="str">
        <f>IF(ActiveDatabase=Standby,Secondary!A550,Primary!A550)</f>
        <v>Ita 25</v>
      </c>
      <c r="B550" s="5" t="str">
        <f>IF(ActiveDatabase=Standby,Secondary!B550,Primary!B550)</f>
        <v>Ita 28</v>
      </c>
      <c r="C550" s="5" t="str">
        <f>IF(ActiveDatabase=Standby,Secondary!C550,Primary!C550)</f>
        <v>Ita 16</v>
      </c>
      <c r="D550" s="5" t="str">
        <f>IF(ActiveDatabase=Standby,Secondary!D550,Primary!D550)</f>
        <v>Sand Cave 34P</v>
      </c>
      <c r="E550" s="6" t="str">
        <f>IF(ActiveDatabase=Standby,Secondary!E550,Primary!E550)</f>
        <v>SCave 34P</v>
      </c>
      <c r="F550" s="10">
        <f>IF(ActiveDatabase=Standby,Secondary!F550,Primary!F550)</f>
        <v>289.301710672</v>
      </c>
      <c r="G550" s="10">
        <f>IF(ActiveDatabase=Standby,Secondary!G550,Primary!G550)</f>
        <v>128.190049002999</v>
      </c>
      <c r="H550" s="10">
        <f>IF(ActiveDatabase=Standby,Secondary!H550,Primary!H550)</f>
        <v>75.105223668</v>
      </c>
      <c r="I550" s="13">
        <f>IF(ActiveDatabase=Standby,Secondary!I550,Primary!I550)</f>
        <v>0</v>
      </c>
      <c r="J550" s="13">
        <f>IF(ActiveDatabase=Standby,Secondary!J550,Primary!J550)</f>
        <v>0</v>
      </c>
      <c r="K550" s="13">
        <f>IF(ActiveDatabase=Standby,Secondary!K550,Primary!K550)</f>
        <v>0</v>
      </c>
      <c r="L550" s="13">
        <f>IF(ActiveDatabase=Standby,Secondary!L550,Primary!L550)</f>
        <v>0</v>
      </c>
      <c r="M550" s="7" t="b">
        <f>IF(ActiveDatabase=Standby,Secondary!M550,Primary!M550)</f>
        <v>0</v>
      </c>
      <c r="N550" s="10">
        <f>IF(ActiveDatabase=Standby,Secondary!N550,Primary!N550)</f>
        <v>0</v>
      </c>
      <c r="O550" s="10">
        <f>IF(ActiveDatabase=Standby,Secondary!O550,Primary!O550)</f>
        <v>0</v>
      </c>
      <c r="P550" s="10">
        <f>IF(ActiveDatabase=Standby,Secondary!P550,Primary!P550)</f>
        <v>0</v>
      </c>
      <c r="Q550" s="6">
        <f>IF(ActiveDatabase=Standby,Secondary!Q550,Primary!Q550)</f>
        <v>0</v>
      </c>
      <c r="R550" s="18">
        <f>IF(ActiveDatabase=Standby,Secondary!R550,Primary!R550)</f>
        <v>0</v>
      </c>
      <c r="S550" s="19">
        <f>IF(ActiveDatabase=Standby,Secondary!S550,Primary!S550)</f>
        <v>0</v>
      </c>
      <c r="T550" s="10">
        <f>IF(ActiveDatabase=Standby,Secondary!T550,Primary!T550)</f>
        <v>0</v>
      </c>
      <c r="U550" s="10">
        <f>IF(ActiveDatabase=Standby,Secondary!U550,Primary!U550)</f>
        <v>0</v>
      </c>
      <c r="V550" s="10">
        <f>IF(ActiveDatabase=Standby,Secondary!V550,Primary!V550)</f>
        <v>0</v>
      </c>
      <c r="W550" s="6">
        <f>IF(ActiveDatabase=Standby,Secondary!W550,Primary!W550)</f>
        <v>0</v>
      </c>
      <c r="X550" s="6">
        <f>IF(ActiveDatabase=Standby,Secondary!X550,Primary!X550)</f>
        <v>0</v>
      </c>
      <c r="Y550" s="12">
        <f>IF(ActiveDatabase=Standby,Secondary!Y550,Primary!Y550)</f>
        <v>0</v>
      </c>
      <c r="Z550" s="12">
        <f>IF(ActiveDatabase=Standby,Secondary!Z550,Primary!Z550)</f>
        <v>0</v>
      </c>
      <c r="AA550" s="7">
        <f>IF(ActiveDatabase=Standby,Secondary!AA550,Primary!AA550)</f>
        <v>0</v>
      </c>
      <c r="AB550" s="12"/>
      <c r="AC550" s="6"/>
      <c r="AD550" s="6"/>
      <c r="AE550" s="7"/>
      <c r="AF550" s="7"/>
      <c r="AG550" s="7"/>
      <c r="AH550" s="7"/>
      <c r="AI550" s="7"/>
      <c r="AJ550" s="7"/>
      <c r="AK550" s="7"/>
      <c r="AL550" s="7"/>
      <c r="AM550" s="7"/>
      <c r="AN550" s="7"/>
      <c r="AO550" s="6"/>
      <c r="AP550" s="7"/>
      <c r="AQ550" s="7"/>
      <c r="AR550" s="6"/>
      <c r="AS550" s="7"/>
      <c r="AT550" s="7"/>
      <c r="AU550" s="7"/>
      <c r="AV550" s="7"/>
      <c r="AW550" s="7"/>
      <c r="AX550" s="7"/>
      <c r="AY550" s="7"/>
      <c r="AZ550" s="7"/>
      <c r="BA550" s="7"/>
      <c r="BB550" s="7"/>
      <c r="BC550" s="7"/>
      <c r="BD550" s="7"/>
      <c r="BE550" s="7"/>
      <c r="BF550" s="7"/>
      <c r="BG550" s="7"/>
    </row>
    <row r="551" customHeight="1" spans="1:59">
      <c r="A551" s="9" t="str">
        <f>IF(ActiveDatabase=Standby,Secondary!A551,Primary!A551)</f>
        <v>Ita 12</v>
      </c>
      <c r="B551" s="5" t="str">
        <f>IF(ActiveDatabase=Standby,Secondary!B551,Primary!B551)</f>
        <v>Ita 15</v>
      </c>
      <c r="C551" s="5" t="str">
        <f>IF(ActiveDatabase=Standby,Secondary!C551,Primary!C551)</f>
        <v>Ita 36</v>
      </c>
      <c r="D551" s="5" t="str">
        <f>IF(ActiveDatabase=Standby,Secondary!D551,Primary!D551)</f>
        <v>Sand Cave 09N</v>
      </c>
      <c r="E551" s="6" t="str">
        <f>IF(ActiveDatabase=Standby,Secondary!E551,Primary!E551)</f>
        <v>SCave 09N</v>
      </c>
      <c r="F551" s="10">
        <f>IF(ActiveDatabase=Standby,Secondary!F551,Primary!F551)</f>
        <v>-207.860631373999</v>
      </c>
      <c r="G551" s="10">
        <f>IF(ActiveDatabase=Standby,Secondary!G551,Primary!G551)</f>
        <v>-248.555656026999</v>
      </c>
      <c r="H551" s="10">
        <f>IF(ActiveDatabase=Standby,Secondary!H551,Primary!H551)</f>
        <v>26.3260635829999</v>
      </c>
      <c r="I551" s="13">
        <f>IF(ActiveDatabase=Standby,Secondary!I551,Primary!I551)</f>
        <v>0</v>
      </c>
      <c r="J551" s="13">
        <f>IF(ActiveDatabase=Standby,Secondary!J551,Primary!J551)</f>
        <v>0</v>
      </c>
      <c r="K551" s="13">
        <f>IF(ActiveDatabase=Standby,Secondary!K551,Primary!K551)</f>
        <v>0</v>
      </c>
      <c r="L551" s="13">
        <f>IF(ActiveDatabase=Standby,Secondary!L551,Primary!L551)</f>
        <v>0</v>
      </c>
      <c r="M551" s="7" t="b">
        <f>IF(ActiveDatabase=Standby,Secondary!M551,Primary!M551)</f>
        <v>0</v>
      </c>
      <c r="N551" s="10">
        <f>IF(ActiveDatabase=Standby,Secondary!N551,Primary!N551)</f>
        <v>0</v>
      </c>
      <c r="O551" s="10">
        <f>IF(ActiveDatabase=Standby,Secondary!O551,Primary!O551)</f>
        <v>0</v>
      </c>
      <c r="P551" s="10">
        <f>IF(ActiveDatabase=Standby,Secondary!P551,Primary!P551)</f>
        <v>0</v>
      </c>
      <c r="Q551" s="6">
        <f>IF(ActiveDatabase=Standby,Secondary!Q551,Primary!Q551)</f>
        <v>0</v>
      </c>
      <c r="R551" s="18">
        <f>IF(ActiveDatabase=Standby,Secondary!R551,Primary!R551)</f>
        <v>0</v>
      </c>
      <c r="S551" s="19">
        <f>IF(ActiveDatabase=Standby,Secondary!S551,Primary!S551)</f>
        <v>0</v>
      </c>
      <c r="T551" s="10">
        <f>IF(ActiveDatabase=Standby,Secondary!T551,Primary!T551)</f>
        <v>0</v>
      </c>
      <c r="U551" s="10">
        <f>IF(ActiveDatabase=Standby,Secondary!U551,Primary!U551)</f>
        <v>0</v>
      </c>
      <c r="V551" s="10">
        <f>IF(ActiveDatabase=Standby,Secondary!V551,Primary!V551)</f>
        <v>0</v>
      </c>
      <c r="W551" s="6">
        <f>IF(ActiveDatabase=Standby,Secondary!W551,Primary!W551)</f>
        <v>0</v>
      </c>
      <c r="X551" s="6">
        <f>IF(ActiveDatabase=Standby,Secondary!X551,Primary!X551)</f>
        <v>0</v>
      </c>
      <c r="Y551" s="12">
        <f>IF(ActiveDatabase=Standby,Secondary!Y551,Primary!Y551)</f>
        <v>0</v>
      </c>
      <c r="Z551" s="12">
        <f>IF(ActiveDatabase=Standby,Secondary!Z551,Primary!Z551)</f>
        <v>0</v>
      </c>
      <c r="AA551" s="7">
        <f>IF(ActiveDatabase=Standby,Secondary!AA551,Primary!AA551)</f>
        <v>0</v>
      </c>
      <c r="AB551" s="12"/>
      <c r="AC551" s="6"/>
      <c r="AD551" s="6"/>
      <c r="AE551" s="7"/>
      <c r="AF551" s="7"/>
      <c r="AG551" s="7"/>
      <c r="AH551" s="7"/>
      <c r="AI551" s="7"/>
      <c r="AJ551" s="7"/>
      <c r="AK551" s="7"/>
      <c r="AL551" s="7"/>
      <c r="AM551" s="7"/>
      <c r="AN551" s="7"/>
      <c r="AO551" s="6"/>
      <c r="AP551" s="7"/>
      <c r="AQ551" s="7"/>
      <c r="AR551" s="6"/>
      <c r="AS551" s="7"/>
      <c r="AT551" s="7"/>
      <c r="AU551" s="7"/>
      <c r="AV551" s="7"/>
      <c r="AW551" s="7"/>
      <c r="AX551" s="7"/>
      <c r="AY551" s="7"/>
      <c r="AZ551" s="7"/>
      <c r="BA551" s="7"/>
      <c r="BB551" s="7"/>
      <c r="BC551" s="7"/>
      <c r="BD551" s="7"/>
      <c r="BE551" s="7"/>
      <c r="BF551" s="7"/>
      <c r="BG551" s="7"/>
    </row>
    <row r="552" customHeight="1" spans="1:59">
      <c r="A552" s="9" t="str">
        <f>IF(ActiveDatabase=Standby,Secondary!A552,Primary!A552)</f>
        <v>Ita</v>
      </c>
      <c r="B552" s="5" t="str">
        <f>IF(ActiveDatabase=Standby,Secondary!B552,Primary!B552)</f>
        <v>Ita 40</v>
      </c>
      <c r="C552" s="5">
        <f>IF(ActiveDatabase=Standby,Secondary!C552,Primary!C552)</f>
        <v>0</v>
      </c>
      <c r="D552" s="5" t="str">
        <f>IF(ActiveDatabase=Standby,Secondary!D552,Primary!D552)</f>
        <v>Wrecks</v>
      </c>
      <c r="E552" s="6">
        <f>IF(ActiveDatabase=Standby,Secondary!E552,Primary!E552)</f>
        <v>0</v>
      </c>
      <c r="F552" s="10">
        <f>IF(ActiveDatabase=Standby,Secondary!F552,Primary!F552)</f>
        <v>0</v>
      </c>
      <c r="G552" s="10">
        <f>IF(ActiveDatabase=Standby,Secondary!G552,Primary!G552)</f>
        <v>0</v>
      </c>
      <c r="H552" s="10">
        <f>IF(ActiveDatabase=Standby,Secondary!H552,Primary!H552)</f>
        <v>0</v>
      </c>
      <c r="I552" s="13">
        <f>IF(ActiveDatabase=Standby,Secondary!I552,Primary!I552)</f>
        <v>0</v>
      </c>
      <c r="J552" s="13">
        <f>IF(ActiveDatabase=Standby,Secondary!J552,Primary!J552)</f>
        <v>0</v>
      </c>
      <c r="K552" s="13">
        <f>IF(ActiveDatabase=Standby,Secondary!K552,Primary!K552)</f>
        <v>0</v>
      </c>
      <c r="L552" s="13">
        <f>IF(ActiveDatabase=Standby,Secondary!L552,Primary!L552)</f>
        <v>0</v>
      </c>
      <c r="M552" s="7">
        <f>IF(ActiveDatabase=Standby,Secondary!M552,Primary!M552)</f>
        <v>0</v>
      </c>
      <c r="N552" s="10">
        <f>IF(ActiveDatabase=Standby,Secondary!N552,Primary!N552)</f>
        <v>0</v>
      </c>
      <c r="O552" s="10">
        <f>IF(ActiveDatabase=Standby,Secondary!O552,Primary!O552)</f>
        <v>0</v>
      </c>
      <c r="P552" s="10">
        <f>IF(ActiveDatabase=Standby,Secondary!P552,Primary!P552)</f>
        <v>0</v>
      </c>
      <c r="Q552" s="6">
        <f>IF(ActiveDatabase=Standby,Secondary!Q552,Primary!Q552)</f>
        <v>0</v>
      </c>
      <c r="R552" s="18">
        <f>IF(ActiveDatabase=Standby,Secondary!R552,Primary!R552)</f>
        <v>0</v>
      </c>
      <c r="S552" s="19">
        <f>IF(ActiveDatabase=Standby,Secondary!S552,Primary!S552)</f>
        <v>0</v>
      </c>
      <c r="T552" s="10">
        <f>IF(ActiveDatabase=Standby,Secondary!T552,Primary!T552)</f>
        <v>0</v>
      </c>
      <c r="U552" s="10">
        <f>IF(ActiveDatabase=Standby,Secondary!U552,Primary!U552)</f>
        <v>0</v>
      </c>
      <c r="V552" s="10">
        <f>IF(ActiveDatabase=Standby,Secondary!V552,Primary!V552)</f>
        <v>0</v>
      </c>
      <c r="W552" s="6">
        <f>IF(ActiveDatabase=Standby,Secondary!W552,Primary!W552)</f>
        <v>0</v>
      </c>
      <c r="X552" s="6">
        <f>IF(ActiveDatabase=Standby,Secondary!X552,Primary!X552)</f>
        <v>0</v>
      </c>
      <c r="Y552" s="12">
        <f>IF(ActiveDatabase=Standby,Secondary!Y552,Primary!Y552)</f>
        <v>0</v>
      </c>
      <c r="Z552" s="12">
        <f>IF(ActiveDatabase=Standby,Secondary!Z552,Primary!Z552)</f>
        <v>0</v>
      </c>
      <c r="AA552" s="7">
        <f>IF(ActiveDatabase=Standby,Secondary!AA552,Primary!AA552)</f>
        <v>0</v>
      </c>
      <c r="AB552" s="12"/>
      <c r="AC552" s="6"/>
      <c r="AD552" s="6"/>
      <c r="AE552" s="7"/>
      <c r="AF552" s="7"/>
      <c r="AG552" s="7"/>
      <c r="AH552" s="7"/>
      <c r="AI552" s="7"/>
      <c r="AJ552" s="7"/>
      <c r="AK552" s="7"/>
      <c r="AL552" s="7"/>
      <c r="AM552" s="7"/>
      <c r="AN552" s="7"/>
      <c r="AO552" s="6"/>
      <c r="AP552" s="7"/>
      <c r="AQ552" s="7"/>
      <c r="AR552" s="6"/>
      <c r="AS552" s="7"/>
      <c r="AT552" s="7"/>
      <c r="AU552" s="7"/>
      <c r="AV552" s="7"/>
      <c r="AW552" s="7"/>
      <c r="AX552" s="7"/>
      <c r="AY552" s="7"/>
      <c r="AZ552" s="7"/>
      <c r="BA552" s="7"/>
      <c r="BB552" s="7"/>
      <c r="BC552" s="7"/>
      <c r="BD552" s="7"/>
      <c r="BE552" s="7"/>
      <c r="BF552" s="7"/>
      <c r="BG552" s="7"/>
    </row>
    <row r="553" customHeight="1" spans="1:59">
      <c r="A553" s="9" t="str">
        <f>IF(ActiveDatabase=Standby,Secondary!A553,Primary!A553)</f>
        <v>Ita 36</v>
      </c>
      <c r="B553" s="5" t="str">
        <f>IF(ActiveDatabase=Standby,Secondary!B553,Primary!B553)</f>
        <v>Ita 41</v>
      </c>
      <c r="C553" s="5" t="str">
        <f>IF(ActiveDatabase=Standby,Secondary!C553,Primary!C553)</f>
        <v>Ita 42</v>
      </c>
      <c r="D553" s="5" t="str">
        <f>IF(ActiveDatabase=Standby,Secondary!D553,Primary!D553)</f>
        <v>Caterpillar Wreck 01Q</v>
      </c>
      <c r="E553" s="6" t="str">
        <f>IF(ActiveDatabase=Standby,Secondary!E553,Primary!E553)</f>
        <v>Caterpillar 01Q</v>
      </c>
      <c r="F553" s="10">
        <f>IF(ActiveDatabase=Standby,Secondary!F553,Primary!F553)</f>
        <v>-306.173442539</v>
      </c>
      <c r="G553" s="10">
        <f>IF(ActiveDatabase=Standby,Secondary!G553,Primary!G553)</f>
        <v>-9.83134488799999</v>
      </c>
      <c r="H553" s="10">
        <f>IF(ActiveDatabase=Standby,Secondary!H553,Primary!H553)</f>
        <v>109.758158056</v>
      </c>
      <c r="I553" s="13">
        <f>IF(ActiveDatabase=Standby,Secondary!I553,Primary!I553)</f>
        <v>0</v>
      </c>
      <c r="J553" s="13">
        <f>IF(ActiveDatabase=Standby,Secondary!J553,Primary!J553)</f>
        <v>0</v>
      </c>
      <c r="K553" s="13">
        <f>IF(ActiveDatabase=Standby,Secondary!K553,Primary!K553)</f>
        <v>0</v>
      </c>
      <c r="L553" s="13">
        <f>IF(ActiveDatabase=Standby,Secondary!L553,Primary!L553)</f>
        <v>0</v>
      </c>
      <c r="M553" s="7" t="b">
        <f>IF(ActiveDatabase=Standby,Secondary!M553,Primary!M553)</f>
        <v>0</v>
      </c>
      <c r="N553" s="10">
        <f>IF(ActiveDatabase=Standby,Secondary!N553,Primary!N553)</f>
        <v>0</v>
      </c>
      <c r="O553" s="10">
        <f>IF(ActiveDatabase=Standby,Secondary!O553,Primary!O553)</f>
        <v>0</v>
      </c>
      <c r="P553" s="10">
        <f>IF(ActiveDatabase=Standby,Secondary!P553,Primary!P553)</f>
        <v>0</v>
      </c>
      <c r="Q553" s="6">
        <f>IF(ActiveDatabase=Standby,Secondary!Q553,Primary!Q553)</f>
        <v>0</v>
      </c>
      <c r="R553" s="18">
        <f>IF(ActiveDatabase=Standby,Secondary!R553,Primary!R553)</f>
        <v>0</v>
      </c>
      <c r="S553" s="19">
        <f>IF(ActiveDatabase=Standby,Secondary!S553,Primary!S553)</f>
        <v>0</v>
      </c>
      <c r="T553" s="10">
        <f>IF(ActiveDatabase=Standby,Secondary!T553,Primary!T553)</f>
        <v>0</v>
      </c>
      <c r="U553" s="10">
        <f>IF(ActiveDatabase=Standby,Secondary!U553,Primary!U553)</f>
        <v>0</v>
      </c>
      <c r="V553" s="10">
        <f>IF(ActiveDatabase=Standby,Secondary!V553,Primary!V553)</f>
        <v>0</v>
      </c>
      <c r="W553" s="6">
        <f>IF(ActiveDatabase=Standby,Secondary!W553,Primary!W553)</f>
        <v>0</v>
      </c>
      <c r="X553" s="6">
        <f>IF(ActiveDatabase=Standby,Secondary!X553,Primary!X553)</f>
        <v>0</v>
      </c>
      <c r="Y553" s="12">
        <f>IF(ActiveDatabase=Standby,Secondary!Y553,Primary!Y553)</f>
        <v>0</v>
      </c>
      <c r="Z553" s="12">
        <f>IF(ActiveDatabase=Standby,Secondary!Z553,Primary!Z553)</f>
        <v>0</v>
      </c>
      <c r="AA553" s="7">
        <f>IF(ActiveDatabase=Standby,Secondary!AA553,Primary!AA553)</f>
        <v>0</v>
      </c>
      <c r="AB553" s="12"/>
      <c r="AC553" s="6"/>
      <c r="AD553" s="6"/>
      <c r="AE553" s="7"/>
      <c r="AF553" s="7"/>
      <c r="AG553" s="7"/>
      <c r="AH553" s="7"/>
      <c r="AI553" s="7"/>
      <c r="AJ553" s="7"/>
      <c r="AK553" s="7"/>
      <c r="AL553" s="7"/>
      <c r="AM553" s="7"/>
      <c r="AN553" s="7"/>
      <c r="AO553" s="6"/>
      <c r="AP553" s="7"/>
      <c r="AQ553" s="7"/>
      <c r="AR553" s="6"/>
      <c r="AS553" s="7"/>
      <c r="AT553" s="7"/>
      <c r="AU553" s="7"/>
      <c r="AV553" s="7"/>
      <c r="AW553" s="7"/>
      <c r="AX553" s="7"/>
      <c r="AY553" s="7"/>
      <c r="AZ553" s="7"/>
      <c r="BA553" s="7"/>
      <c r="BB553" s="7"/>
      <c r="BC553" s="7"/>
      <c r="BD553" s="7"/>
      <c r="BE553" s="7"/>
      <c r="BF553" s="7"/>
      <c r="BG553" s="7"/>
    </row>
    <row r="554" customHeight="1" spans="1:59">
      <c r="A554" s="9" t="str">
        <f>IF(ActiveDatabase=Standby,Secondary!A554,Primary!A554)</f>
        <v>Ita 37</v>
      </c>
      <c r="B554" s="5" t="str">
        <f>IF(ActiveDatabase=Standby,Secondary!B554,Primary!B554)</f>
        <v>Ita 42</v>
      </c>
      <c r="C554" s="5" t="str">
        <f>IF(ActiveDatabase=Standby,Secondary!C554,Primary!C554)</f>
        <v>Ita 13</v>
      </c>
      <c r="D554" s="5" t="str">
        <f>IF(ActiveDatabase=Standby,Secondary!D554,Primary!D554)</f>
        <v>Caterpillar Wreck 40S</v>
      </c>
      <c r="E554" s="6" t="str">
        <f>IF(ActiveDatabase=Standby,Secondary!E554,Primary!E554)</f>
        <v>Caterpillar 40S</v>
      </c>
      <c r="F554" s="10">
        <f>IF(ActiveDatabase=Standby,Secondary!F554,Primary!F554)</f>
        <v>137.997</v>
      </c>
      <c r="G554" s="10">
        <f>IF(ActiveDatabase=Standby,Secondary!G554,Primary!G554)</f>
        <v>211.437</v>
      </c>
      <c r="H554" s="10">
        <f>IF(ActiveDatabase=Standby,Secondary!H554,Primary!H554)</f>
        <v>204.97</v>
      </c>
      <c r="I554" s="13">
        <f>IF(ActiveDatabase=Standby,Secondary!I554,Primary!I554)</f>
        <v>0</v>
      </c>
      <c r="J554" s="13">
        <f>IF(ActiveDatabase=Standby,Secondary!J554,Primary!J554)</f>
        <v>0</v>
      </c>
      <c r="K554" s="13">
        <f>IF(ActiveDatabase=Standby,Secondary!K554,Primary!K554)</f>
        <v>0</v>
      </c>
      <c r="L554" s="13">
        <f>IF(ActiveDatabase=Standby,Secondary!L554,Primary!L554)</f>
        <v>0</v>
      </c>
      <c r="M554" s="7">
        <f>IF(ActiveDatabase=Standby,Secondary!M554,Primary!M554)</f>
        <v>0</v>
      </c>
      <c r="N554" s="10">
        <f>IF(ActiveDatabase=Standby,Secondary!N554,Primary!N554)</f>
        <v>0</v>
      </c>
      <c r="O554" s="10">
        <f>IF(ActiveDatabase=Standby,Secondary!O554,Primary!O554)</f>
        <v>0</v>
      </c>
      <c r="P554" s="10">
        <f>IF(ActiveDatabase=Standby,Secondary!P554,Primary!P554)</f>
        <v>0</v>
      </c>
      <c r="Q554" s="6">
        <f>IF(ActiveDatabase=Standby,Secondary!Q554,Primary!Q554)</f>
        <v>0</v>
      </c>
      <c r="R554" s="18">
        <f>IF(ActiveDatabase=Standby,Secondary!R554,Primary!R554)</f>
        <v>0</v>
      </c>
      <c r="S554" s="19">
        <f>IF(ActiveDatabase=Standby,Secondary!S554,Primary!S554)</f>
        <v>0</v>
      </c>
      <c r="T554" s="10">
        <f>IF(ActiveDatabase=Standby,Secondary!T554,Primary!T554)</f>
        <v>0</v>
      </c>
      <c r="U554" s="10">
        <f>IF(ActiveDatabase=Standby,Secondary!U554,Primary!U554)</f>
        <v>0</v>
      </c>
      <c r="V554" s="10">
        <f>IF(ActiveDatabase=Standby,Secondary!V554,Primary!V554)</f>
        <v>0</v>
      </c>
      <c r="W554" s="6">
        <f>IF(ActiveDatabase=Standby,Secondary!W554,Primary!W554)</f>
        <v>0</v>
      </c>
      <c r="X554" s="6">
        <f>IF(ActiveDatabase=Standby,Secondary!X554,Primary!X554)</f>
        <v>0</v>
      </c>
      <c r="Y554" s="12">
        <f>IF(ActiveDatabase=Standby,Secondary!Y554,Primary!Y554)</f>
        <v>0</v>
      </c>
      <c r="Z554" s="12">
        <f>IF(ActiveDatabase=Standby,Secondary!Z554,Primary!Z554)</f>
        <v>0</v>
      </c>
      <c r="AA554" s="7">
        <f>IF(ActiveDatabase=Standby,Secondary!AA554,Primary!AA554)</f>
        <v>0</v>
      </c>
      <c r="AB554" s="12"/>
      <c r="AC554" s="6"/>
      <c r="AD554" s="6"/>
      <c r="AE554" s="7"/>
      <c r="AF554" s="7"/>
      <c r="AG554" s="7"/>
      <c r="AH554" s="7"/>
      <c r="AI554" s="7"/>
      <c r="AJ554" s="7"/>
      <c r="AK554" s="7"/>
      <c r="AL554" s="7"/>
      <c r="AM554" s="7"/>
      <c r="AN554" s="7"/>
      <c r="AO554" s="6"/>
      <c r="AP554" s="7"/>
      <c r="AQ554" s="7"/>
      <c r="AR554" s="6"/>
      <c r="AS554" s="7"/>
      <c r="AT554" s="7"/>
      <c r="AU554" s="7"/>
      <c r="AV554" s="7"/>
      <c r="AW554" s="7"/>
      <c r="AX554" s="7"/>
      <c r="AY554" s="7"/>
      <c r="AZ554" s="7"/>
      <c r="BA554" s="7"/>
      <c r="BB554" s="7"/>
      <c r="BC554" s="7"/>
      <c r="BD554" s="7"/>
      <c r="BE554" s="7"/>
      <c r="BF554" s="7"/>
      <c r="BG554" s="7"/>
    </row>
    <row r="555" customHeight="1" spans="1:59">
      <c r="A555" s="9" t="str">
        <f>IF(ActiveDatabase=Standby,Secondary!A555,Primary!A555)</f>
        <v>Ita 38</v>
      </c>
      <c r="B555" s="5" t="str">
        <f>IF(ActiveDatabase=Standby,Secondary!B555,Primary!B555)</f>
        <v>Ita 43</v>
      </c>
      <c r="C555" s="5" t="str">
        <f>IF(ActiveDatabase=Standby,Secondary!C555,Primary!C555)</f>
        <v>Ita 21</v>
      </c>
      <c r="D555" s="5" t="str">
        <f>IF(ActiveDatabase=Standby,Secondary!D555,Primary!D555)</f>
        <v>Constellation Wreck</v>
      </c>
      <c r="E555" s="6" t="str">
        <f>IF(ActiveDatabase=Standby,Secondary!E555,Primary!E555)</f>
        <v>Constellation D</v>
      </c>
      <c r="F555" s="10">
        <f>IF(ActiveDatabase=Standby,Secondary!F555,Primary!F555)</f>
        <v>216.187609743</v>
      </c>
      <c r="G555" s="10">
        <f>IF(ActiveDatabase=Standby,Secondary!G555,Primary!G555)</f>
        <v>-74.0244923129999</v>
      </c>
      <c r="H555" s="10">
        <f>IF(ActiveDatabase=Standby,Secondary!H555,Primary!H555)</f>
        <v>230.961625392999</v>
      </c>
      <c r="I555" s="13">
        <f>IF(ActiveDatabase=Standby,Secondary!I555,Primary!I555)</f>
        <v>0</v>
      </c>
      <c r="J555" s="13">
        <f>IF(ActiveDatabase=Standby,Secondary!J555,Primary!J555)</f>
        <v>0</v>
      </c>
      <c r="K555" s="13">
        <f>IF(ActiveDatabase=Standby,Secondary!K555,Primary!K555)</f>
        <v>0</v>
      </c>
      <c r="L555" s="13">
        <f>IF(ActiveDatabase=Standby,Secondary!L555,Primary!L555)</f>
        <v>0</v>
      </c>
      <c r="M555" s="7" t="b">
        <f>IF(ActiveDatabase=Standby,Secondary!M555,Primary!M555)</f>
        <v>0</v>
      </c>
      <c r="N555" s="10">
        <f>IF(ActiveDatabase=Standby,Secondary!N555,Primary!N555)</f>
        <v>0</v>
      </c>
      <c r="O555" s="10">
        <f>IF(ActiveDatabase=Standby,Secondary!O555,Primary!O555)</f>
        <v>0</v>
      </c>
      <c r="P555" s="10">
        <f>IF(ActiveDatabase=Standby,Secondary!P555,Primary!P555)</f>
        <v>0</v>
      </c>
      <c r="Q555" s="6">
        <f>IF(ActiveDatabase=Standby,Secondary!Q555,Primary!Q555)</f>
        <v>0</v>
      </c>
      <c r="R555" s="18">
        <f>IF(ActiveDatabase=Standby,Secondary!R555,Primary!R555)</f>
        <v>0</v>
      </c>
      <c r="S555" s="19">
        <f>IF(ActiveDatabase=Standby,Secondary!S555,Primary!S555)</f>
        <v>0</v>
      </c>
      <c r="T555" s="10">
        <f>IF(ActiveDatabase=Standby,Secondary!T555,Primary!T555)</f>
        <v>0</v>
      </c>
      <c r="U555" s="10">
        <f>IF(ActiveDatabase=Standby,Secondary!U555,Primary!U555)</f>
        <v>0</v>
      </c>
      <c r="V555" s="10">
        <f>IF(ActiveDatabase=Standby,Secondary!V555,Primary!V555)</f>
        <v>0</v>
      </c>
      <c r="W555" s="6">
        <f>IF(ActiveDatabase=Standby,Secondary!W555,Primary!W555)</f>
        <v>0</v>
      </c>
      <c r="X555" s="6">
        <f>IF(ActiveDatabase=Standby,Secondary!X555,Primary!X555)</f>
        <v>0</v>
      </c>
      <c r="Y555" s="12">
        <f>IF(ActiveDatabase=Standby,Secondary!Y555,Primary!Y555)</f>
        <v>0</v>
      </c>
      <c r="Z555" s="12">
        <f>IF(ActiveDatabase=Standby,Secondary!Z555,Primary!Z555)</f>
        <v>0</v>
      </c>
      <c r="AA555" s="7">
        <f>IF(ActiveDatabase=Standby,Secondary!AA555,Primary!AA555)</f>
        <v>0</v>
      </c>
      <c r="AB555" s="12"/>
      <c r="AC555" s="6"/>
      <c r="AD555" s="6"/>
      <c r="AE555" s="7"/>
      <c r="AF555" s="7"/>
      <c r="AG555" s="7"/>
      <c r="AH555" s="7"/>
      <c r="AI555" s="7"/>
      <c r="AJ555" s="7"/>
      <c r="AK555" s="7"/>
      <c r="AL555" s="7"/>
      <c r="AM555" s="7"/>
      <c r="AN555" s="7"/>
      <c r="AO555" s="6"/>
      <c r="AP555" s="7"/>
      <c r="AQ555" s="7"/>
      <c r="AR555" s="6"/>
      <c r="AS555" s="7"/>
      <c r="AT555" s="7"/>
      <c r="AU555" s="7"/>
      <c r="AV555" s="7"/>
      <c r="AW555" s="7"/>
      <c r="AX555" s="7"/>
      <c r="AY555" s="7"/>
      <c r="AZ555" s="7"/>
      <c r="BA555" s="7"/>
      <c r="BB555" s="7"/>
      <c r="BC555" s="7"/>
      <c r="BD555" s="7"/>
      <c r="BE555" s="7"/>
      <c r="BF555" s="7"/>
      <c r="BG555" s="7"/>
    </row>
    <row r="556" customHeight="1" spans="1:59">
      <c r="A556" s="9" t="str">
        <f>IF(ActiveDatabase=Standby,Secondary!A556,Primary!A556)</f>
        <v>Ita 39</v>
      </c>
      <c r="B556" s="5" t="str">
        <f>IF(ActiveDatabase=Standby,Secondary!B556,Primary!B556)</f>
        <v>Ita 44</v>
      </c>
      <c r="C556" s="5" t="str">
        <f>IF(ActiveDatabase=Standby,Secondary!C556,Primary!C556)</f>
        <v>Ita 01</v>
      </c>
      <c r="D556" s="5" t="str">
        <f>IF(ActiveDatabase=Standby,Secondary!D556,Primary!D556)</f>
        <v>Freelancer Wreck</v>
      </c>
      <c r="E556" s="6" t="str">
        <f>IF(ActiveDatabase=Standby,Secondary!E556,Primary!E556)</f>
        <v>Freelancer</v>
      </c>
      <c r="F556" s="10">
        <f>IF(ActiveDatabase=Standby,Secondary!F556,Primary!F556)</f>
        <v>-311.306834008999</v>
      </c>
      <c r="G556" s="10">
        <f>IF(ActiveDatabase=Standby,Secondary!G556,Primary!G556)</f>
        <v>0.474061417</v>
      </c>
      <c r="H556" s="10">
        <f>IF(ActiveDatabase=Standby,Secondary!H556,Primary!H556)</f>
        <v>-94.344778298</v>
      </c>
      <c r="I556" s="13">
        <f>IF(ActiveDatabase=Standby,Secondary!I556,Primary!I556)</f>
        <v>0</v>
      </c>
      <c r="J556" s="13">
        <f>IF(ActiveDatabase=Standby,Secondary!J556,Primary!J556)</f>
        <v>0</v>
      </c>
      <c r="K556" s="13">
        <f>IF(ActiveDatabase=Standby,Secondary!K556,Primary!K556)</f>
        <v>0</v>
      </c>
      <c r="L556" s="13">
        <f>IF(ActiveDatabase=Standby,Secondary!L556,Primary!L556)</f>
        <v>0</v>
      </c>
      <c r="M556" s="7" t="b">
        <f>IF(ActiveDatabase=Standby,Secondary!M556,Primary!M556)</f>
        <v>0</v>
      </c>
      <c r="N556" s="10">
        <f>IF(ActiveDatabase=Standby,Secondary!N556,Primary!N556)</f>
        <v>0</v>
      </c>
      <c r="O556" s="10">
        <f>IF(ActiveDatabase=Standby,Secondary!O556,Primary!O556)</f>
        <v>0</v>
      </c>
      <c r="P556" s="10">
        <f>IF(ActiveDatabase=Standby,Secondary!P556,Primary!P556)</f>
        <v>0</v>
      </c>
      <c r="Q556" s="6">
        <f>IF(ActiveDatabase=Standby,Secondary!Q556,Primary!Q556)</f>
        <v>0</v>
      </c>
      <c r="R556" s="18">
        <f>IF(ActiveDatabase=Standby,Secondary!R556,Primary!R556)</f>
        <v>0</v>
      </c>
      <c r="S556" s="19">
        <f>IF(ActiveDatabase=Standby,Secondary!S556,Primary!S556)</f>
        <v>0</v>
      </c>
      <c r="T556" s="10">
        <f>IF(ActiveDatabase=Standby,Secondary!T556,Primary!T556)</f>
        <v>0</v>
      </c>
      <c r="U556" s="10">
        <f>IF(ActiveDatabase=Standby,Secondary!U556,Primary!U556)</f>
        <v>0</v>
      </c>
      <c r="V556" s="10">
        <f>IF(ActiveDatabase=Standby,Secondary!V556,Primary!V556)</f>
        <v>0</v>
      </c>
      <c r="W556" s="6">
        <f>IF(ActiveDatabase=Standby,Secondary!W556,Primary!W556)</f>
        <v>0</v>
      </c>
      <c r="X556" s="6">
        <f>IF(ActiveDatabase=Standby,Secondary!X556,Primary!X556)</f>
        <v>0</v>
      </c>
      <c r="Y556" s="12">
        <f>IF(ActiveDatabase=Standby,Secondary!Y556,Primary!Y556)</f>
        <v>0</v>
      </c>
      <c r="Z556" s="12">
        <f>IF(ActiveDatabase=Standby,Secondary!Z556,Primary!Z556)</f>
        <v>0</v>
      </c>
      <c r="AA556" s="7">
        <f>IF(ActiveDatabase=Standby,Secondary!AA556,Primary!AA556)</f>
        <v>0</v>
      </c>
      <c r="AB556" s="12"/>
      <c r="AC556" s="6"/>
      <c r="AD556" s="6"/>
      <c r="AE556" s="7"/>
      <c r="AF556" s="7"/>
      <c r="AG556" s="7"/>
      <c r="AH556" s="7"/>
      <c r="AI556" s="7"/>
      <c r="AJ556" s="7"/>
      <c r="AK556" s="7"/>
      <c r="AL556" s="7"/>
      <c r="AM556" s="7"/>
      <c r="AN556" s="7"/>
      <c r="AO556" s="6"/>
      <c r="AP556" s="7"/>
      <c r="AQ556" s="7"/>
      <c r="AR556" s="6"/>
      <c r="AS556" s="7"/>
      <c r="AT556" s="7"/>
      <c r="AU556" s="7"/>
      <c r="AV556" s="7"/>
      <c r="AW556" s="7"/>
      <c r="AX556" s="7"/>
      <c r="AY556" s="7"/>
      <c r="AZ556" s="7"/>
      <c r="BA556" s="7"/>
      <c r="BB556" s="7"/>
      <c r="BC556" s="7"/>
      <c r="BD556" s="7"/>
      <c r="BE556" s="7"/>
      <c r="BF556" s="7"/>
      <c r="BG556" s="7"/>
    </row>
    <row r="557" customHeight="1" spans="1:59">
      <c r="A557" s="9" t="str">
        <f>IF(ActiveDatabase=Standby,Secondary!A557,Primary!A557)</f>
        <v>Ita 40</v>
      </c>
      <c r="B557" s="5" t="str">
        <f>IF(ActiveDatabase=Standby,Secondary!B557,Primary!B557)</f>
        <v>Ita 45</v>
      </c>
      <c r="C557" s="5" t="str">
        <f>IF(ActiveDatabase=Standby,Secondary!C557,Primary!C557)</f>
        <v>Ita 20</v>
      </c>
      <c r="D557" s="5" t="str">
        <f>IF(ActiveDatabase=Standby,Secondary!D557,Primary!D557)</f>
        <v>Starfarer Wreck</v>
      </c>
      <c r="E557" s="6" t="str">
        <f>IF(ActiveDatabase=Standby,Secondary!E557,Primary!E557)</f>
        <v>Starfarer</v>
      </c>
      <c r="F557" s="10">
        <f>IF(ActiveDatabase=Standby,Secondary!F557,Primary!F557)</f>
        <v>270.671973854999</v>
      </c>
      <c r="G557" s="10">
        <f>IF(ActiveDatabase=Standby,Secondary!G557,Primary!G557)</f>
        <v>-86.652134447</v>
      </c>
      <c r="H557" s="10">
        <f>IF(ActiveDatabase=Standby,Secondary!H557,Primary!H557)</f>
        <v>-158.135393607</v>
      </c>
      <c r="I557" s="13">
        <f>IF(ActiveDatabase=Standby,Secondary!I557,Primary!I557)</f>
        <v>0</v>
      </c>
      <c r="J557" s="13">
        <f>IF(ActiveDatabase=Standby,Secondary!J557,Primary!J557)</f>
        <v>0</v>
      </c>
      <c r="K557" s="13">
        <f>IF(ActiveDatabase=Standby,Secondary!K557,Primary!K557)</f>
        <v>0</v>
      </c>
      <c r="L557" s="13">
        <f>IF(ActiveDatabase=Standby,Secondary!L557,Primary!L557)</f>
        <v>0</v>
      </c>
      <c r="M557" s="7" t="b">
        <f>IF(ActiveDatabase=Standby,Secondary!M557,Primary!M557)</f>
        <v>0</v>
      </c>
      <c r="N557" s="10">
        <f>IF(ActiveDatabase=Standby,Secondary!N557,Primary!N557)</f>
        <v>0</v>
      </c>
      <c r="O557" s="10">
        <f>IF(ActiveDatabase=Standby,Secondary!O557,Primary!O557)</f>
        <v>0</v>
      </c>
      <c r="P557" s="10">
        <f>IF(ActiveDatabase=Standby,Secondary!P557,Primary!P557)</f>
        <v>0</v>
      </c>
      <c r="Q557" s="6">
        <f>IF(ActiveDatabase=Standby,Secondary!Q557,Primary!Q557)</f>
        <v>0</v>
      </c>
      <c r="R557" s="18">
        <f>IF(ActiveDatabase=Standby,Secondary!R557,Primary!R557)</f>
        <v>0</v>
      </c>
      <c r="S557" s="19">
        <f>IF(ActiveDatabase=Standby,Secondary!S557,Primary!S557)</f>
        <v>0</v>
      </c>
      <c r="T557" s="10">
        <f>IF(ActiveDatabase=Standby,Secondary!T557,Primary!T557)</f>
        <v>0</v>
      </c>
      <c r="U557" s="10">
        <f>IF(ActiveDatabase=Standby,Secondary!U557,Primary!U557)</f>
        <v>0</v>
      </c>
      <c r="V557" s="10">
        <f>IF(ActiveDatabase=Standby,Secondary!V557,Primary!V557)</f>
        <v>0</v>
      </c>
      <c r="W557" s="6">
        <f>IF(ActiveDatabase=Standby,Secondary!W557,Primary!W557)</f>
        <v>0</v>
      </c>
      <c r="X557" s="6">
        <f>IF(ActiveDatabase=Standby,Secondary!X557,Primary!X557)</f>
        <v>0</v>
      </c>
      <c r="Y557" s="12">
        <f>IF(ActiveDatabase=Standby,Secondary!Y557,Primary!Y557)</f>
        <v>0</v>
      </c>
      <c r="Z557" s="12">
        <f>IF(ActiveDatabase=Standby,Secondary!Z557,Primary!Z557)</f>
        <v>0</v>
      </c>
      <c r="AA557" s="7">
        <f>IF(ActiveDatabase=Standby,Secondary!AA557,Primary!AA557)</f>
        <v>0</v>
      </c>
      <c r="AB557" s="12"/>
      <c r="AC557" s="6"/>
      <c r="AD557" s="6"/>
      <c r="AE557" s="7"/>
      <c r="AF557" s="7"/>
      <c r="AG557" s="7"/>
      <c r="AH557" s="7"/>
      <c r="AI557" s="7"/>
      <c r="AJ557" s="7"/>
      <c r="AK557" s="7"/>
      <c r="AL557" s="7"/>
      <c r="AM557" s="7"/>
      <c r="AN557" s="7"/>
      <c r="AO557" s="6"/>
      <c r="AP557" s="7"/>
      <c r="AQ557" s="7"/>
      <c r="AR557" s="6"/>
      <c r="AS557" s="7"/>
      <c r="AT557" s="7"/>
      <c r="AU557" s="7"/>
      <c r="AV557" s="7"/>
      <c r="AW557" s="7"/>
      <c r="AX557" s="7"/>
      <c r="AY557" s="7"/>
      <c r="AZ557" s="7"/>
      <c r="BA557" s="7"/>
      <c r="BB557" s="7"/>
      <c r="BC557" s="7"/>
      <c r="BD557" s="7"/>
      <c r="BE557" s="7"/>
      <c r="BF557" s="7"/>
      <c r="BG557" s="7"/>
    </row>
    <row r="558" customHeight="1" spans="1:59">
      <c r="A558" s="9" t="str">
        <f>IF(ActiveDatabase=Standby,Secondary!A558,Primary!A558)</f>
        <v>Ita</v>
      </c>
      <c r="B558" s="5" t="str">
        <f>IF(ActiveDatabase=Standby,Secondary!B558,Primary!B558)</f>
        <v>Ita 47</v>
      </c>
      <c r="C558" s="5">
        <f>IF(ActiveDatabase=Standby,Secondary!C558,Primary!C558)</f>
        <v>0</v>
      </c>
      <c r="D558" s="5" t="str">
        <f>IF(ActiveDatabase=Standby,Secondary!D558,Primary!D558)</f>
        <v>Comm Array</v>
      </c>
      <c r="E558" s="6">
        <f>IF(ActiveDatabase=Standby,Secondary!E558,Primary!E558)</f>
        <v>0</v>
      </c>
      <c r="F558" s="10">
        <f>IF(ActiveDatabase=Standby,Secondary!F558,Primary!F558)</f>
        <v>0</v>
      </c>
      <c r="G558" s="10">
        <f>IF(ActiveDatabase=Standby,Secondary!G558,Primary!G558)</f>
        <v>0</v>
      </c>
      <c r="H558" s="10">
        <f>IF(ActiveDatabase=Standby,Secondary!H558,Primary!H558)</f>
        <v>0</v>
      </c>
      <c r="I558" s="13">
        <f>IF(ActiveDatabase=Standby,Secondary!I558,Primary!I558)</f>
        <v>0</v>
      </c>
      <c r="J558" s="13">
        <f>IF(ActiveDatabase=Standby,Secondary!J558,Primary!J558)</f>
        <v>0</v>
      </c>
      <c r="K558" s="13">
        <f>IF(ActiveDatabase=Standby,Secondary!K558,Primary!K558)</f>
        <v>0</v>
      </c>
      <c r="L558" s="13">
        <f>IF(ActiveDatabase=Standby,Secondary!L558,Primary!L558)</f>
        <v>0</v>
      </c>
      <c r="M558" s="7">
        <f>IF(ActiveDatabase=Standby,Secondary!M558,Primary!M558)</f>
        <v>0</v>
      </c>
      <c r="N558" s="10">
        <f>IF(ActiveDatabase=Standby,Secondary!N558,Primary!N558)</f>
        <v>0</v>
      </c>
      <c r="O558" s="10">
        <f>IF(ActiveDatabase=Standby,Secondary!O558,Primary!O558)</f>
        <v>0</v>
      </c>
      <c r="P558" s="10">
        <f>IF(ActiveDatabase=Standby,Secondary!P558,Primary!P558)</f>
        <v>0</v>
      </c>
      <c r="Q558" s="6">
        <f>IF(ActiveDatabase=Standby,Secondary!Q558,Primary!Q558)</f>
        <v>0</v>
      </c>
      <c r="R558" s="18">
        <f>IF(ActiveDatabase=Standby,Secondary!R558,Primary!R558)</f>
        <v>0</v>
      </c>
      <c r="S558" s="19">
        <f>IF(ActiveDatabase=Standby,Secondary!S558,Primary!S558)</f>
        <v>0</v>
      </c>
      <c r="T558" s="10">
        <f>IF(ActiveDatabase=Standby,Secondary!T558,Primary!T558)</f>
        <v>0</v>
      </c>
      <c r="U558" s="10">
        <f>IF(ActiveDatabase=Standby,Secondary!U558,Primary!U558)</f>
        <v>0</v>
      </c>
      <c r="V558" s="10">
        <f>IF(ActiveDatabase=Standby,Secondary!V558,Primary!V558)</f>
        <v>0</v>
      </c>
      <c r="W558" s="6">
        <f>IF(ActiveDatabase=Standby,Secondary!W558,Primary!W558)</f>
        <v>0</v>
      </c>
      <c r="X558" s="6">
        <f>IF(ActiveDatabase=Standby,Secondary!X558,Primary!X558)</f>
        <v>0</v>
      </c>
      <c r="Y558" s="12">
        <f>IF(ActiveDatabase=Standby,Secondary!Y558,Primary!Y558)</f>
        <v>0</v>
      </c>
      <c r="Z558" s="12">
        <f>IF(ActiveDatabase=Standby,Secondary!Z558,Primary!Z558)</f>
        <v>0</v>
      </c>
      <c r="AA558" s="7">
        <f>IF(ActiveDatabase=Standby,Secondary!AA558,Primary!AA558)</f>
        <v>0</v>
      </c>
      <c r="AB558" s="12"/>
      <c r="AC558" s="6"/>
      <c r="AD558" s="6"/>
      <c r="AE558" s="7"/>
      <c r="AF558" s="7"/>
      <c r="AG558" s="7"/>
      <c r="AH558" s="7"/>
      <c r="AI558" s="7"/>
      <c r="AJ558" s="7"/>
      <c r="AK558" s="7"/>
      <c r="AL558" s="7"/>
      <c r="AM558" s="7"/>
      <c r="AN558" s="7"/>
      <c r="AO558" s="6"/>
      <c r="AP558" s="7"/>
      <c r="AQ558" s="7"/>
      <c r="AR558" s="6"/>
      <c r="AS558" s="7"/>
      <c r="AT558" s="7"/>
      <c r="AU558" s="7"/>
      <c r="AV558" s="7"/>
      <c r="AW558" s="7"/>
      <c r="AX558" s="7"/>
      <c r="AY558" s="7"/>
      <c r="AZ558" s="7"/>
      <c r="BA558" s="7"/>
      <c r="BB558" s="7"/>
      <c r="BC558" s="7"/>
      <c r="BD558" s="7"/>
      <c r="BE558" s="7"/>
      <c r="BF558" s="7"/>
      <c r="BG558" s="7"/>
    </row>
    <row r="559" customHeight="1" spans="1:59">
      <c r="A559" s="9" t="str">
        <f>IF(ActiveDatabase=Standby,Secondary!A559,Primary!A559)</f>
        <v>Ita 03</v>
      </c>
      <c r="B559" s="5" t="str">
        <f>IF(ActiveDatabase=Standby,Secondary!B559,Primary!B559)</f>
        <v>Ita 48</v>
      </c>
      <c r="C559" s="5" t="str">
        <f>IF(ActiveDatabase=Standby,Secondary!C559,Primary!C559)</f>
        <v>Ita 30</v>
      </c>
      <c r="D559" s="5" t="str">
        <f>IF(ActiveDatabase=Standby,Secondary!D559,Primary!D559)</f>
        <v>Comm Array ST1-02</v>
      </c>
      <c r="E559" s="6" t="str">
        <f>IF(ActiveDatabase=Standby,Secondary!E559,Primary!E559)</f>
        <v>ST1-02</v>
      </c>
      <c r="F559" s="10">
        <f>IF(ActiveDatabase=Standby,Secondary!F559,Primary!F559)</f>
        <v>122.153162700653</v>
      </c>
      <c r="G559" s="10">
        <f>IF(ActiveDatabase=Standby,Secondary!G559,Primary!G559)</f>
        <v>-475.820550621003</v>
      </c>
      <c r="H559" s="10">
        <f>IF(ActiveDatabase=Standby,Secondary!H559,Primary!H559)</f>
        <v>24</v>
      </c>
      <c r="I559" s="13">
        <f>IF(ActiveDatabase=Standby,Secondary!I559,Primary!I559)</f>
        <v>0</v>
      </c>
      <c r="J559" s="13">
        <f>IF(ActiveDatabase=Standby,Secondary!J559,Primary!J559)</f>
        <v>0</v>
      </c>
      <c r="K559" s="13">
        <f>IF(ActiveDatabase=Standby,Secondary!K559,Primary!K559)</f>
        <v>0</v>
      </c>
      <c r="L559" s="13">
        <f>IF(ActiveDatabase=Standby,Secondary!L559,Primary!L559)</f>
        <v>0</v>
      </c>
      <c r="M559" s="7" t="b">
        <f>IF(ActiveDatabase=Standby,Secondary!M559,Primary!M559)</f>
        <v>1</v>
      </c>
      <c r="N559" s="10">
        <f>IF(ActiveDatabase=Standby,Secondary!N559,Primary!N559)</f>
        <v>0</v>
      </c>
      <c r="O559" s="10">
        <f>IF(ActiveDatabase=Standby,Secondary!O559,Primary!O559)</f>
        <v>0</v>
      </c>
      <c r="P559" s="10">
        <f>IF(ActiveDatabase=Standby,Secondary!P559,Primary!P559)</f>
        <v>0</v>
      </c>
      <c r="Q559" s="6">
        <f>IF(ActiveDatabase=Standby,Secondary!Q559,Primary!Q559)</f>
        <v>0</v>
      </c>
      <c r="R559" s="18">
        <f>IF(ActiveDatabase=Standby,Secondary!R559,Primary!R559)</f>
        <v>0</v>
      </c>
      <c r="S559" s="19">
        <f>IF(ActiveDatabase=Standby,Secondary!S559,Primary!S559)</f>
        <v>0</v>
      </c>
      <c r="T559" s="10">
        <f>IF(ActiveDatabase=Standby,Secondary!T559,Primary!T559)</f>
        <v>0</v>
      </c>
      <c r="U559" s="10">
        <f>IF(ActiveDatabase=Standby,Secondary!U559,Primary!U559)</f>
        <v>0</v>
      </c>
      <c r="V559" s="10">
        <f>IF(ActiveDatabase=Standby,Secondary!V559,Primary!V559)</f>
        <v>0</v>
      </c>
      <c r="W559" s="6">
        <f>IF(ActiveDatabase=Standby,Secondary!W559,Primary!W559)</f>
        <v>0</v>
      </c>
      <c r="X559" s="6">
        <f>IF(ActiveDatabase=Standby,Secondary!X559,Primary!X559)</f>
        <v>0</v>
      </c>
      <c r="Y559" s="12">
        <f>IF(ActiveDatabase=Standby,Secondary!Y559,Primary!Y559)</f>
        <v>0</v>
      </c>
      <c r="Z559" s="12">
        <f>IF(ActiveDatabase=Standby,Secondary!Z559,Primary!Z559)</f>
        <v>0</v>
      </c>
      <c r="AA559" s="7">
        <f>IF(ActiveDatabase=Standby,Secondary!AA559,Primary!AA559)</f>
        <v>0</v>
      </c>
      <c r="AB559" s="12"/>
      <c r="AC559" s="6"/>
      <c r="AD559" s="6"/>
      <c r="AE559" s="7"/>
      <c r="AF559" s="7"/>
      <c r="AG559" s="7"/>
      <c r="AH559" s="7"/>
      <c r="AI559" s="7"/>
      <c r="AJ559" s="7"/>
      <c r="AK559" s="7"/>
      <c r="AL559" s="7"/>
      <c r="AM559" s="7"/>
      <c r="AN559" s="7"/>
      <c r="AO559" s="6"/>
      <c r="AP559" s="7"/>
      <c r="AQ559" s="7"/>
      <c r="AR559" s="6"/>
      <c r="AS559" s="7"/>
      <c r="AT559" s="7"/>
      <c r="AU559" s="7"/>
      <c r="AV559" s="7"/>
      <c r="AW559" s="7"/>
      <c r="AX559" s="7"/>
      <c r="AY559" s="7"/>
      <c r="AZ559" s="7"/>
      <c r="BA559" s="7"/>
      <c r="BB559" s="7"/>
      <c r="BC559" s="7"/>
      <c r="BD559" s="7"/>
      <c r="BE559" s="7"/>
      <c r="BF559" s="7"/>
      <c r="BG559" s="7"/>
    </row>
    <row r="560" customHeight="1" spans="1:59">
      <c r="A560" s="9">
        <f>IF(ActiveDatabase=Standby,Secondary!A560,Primary!A560)</f>
        <v>0</v>
      </c>
      <c r="B560" s="5">
        <f>IF(ActiveDatabase=Standby,Secondary!B560,Primary!B560)</f>
        <v>0</v>
      </c>
      <c r="C560" s="5">
        <f>IF(ActiveDatabase=Standby,Secondary!C560,Primary!C560)</f>
        <v>0</v>
      </c>
      <c r="D560" s="5">
        <f>IF(ActiveDatabase=Standby,Secondary!D560,Primary!D560)</f>
        <v>0</v>
      </c>
      <c r="E560" s="6">
        <f>IF(ActiveDatabase=Standby,Secondary!E560,Primary!E560)</f>
        <v>0</v>
      </c>
      <c r="F560" s="10">
        <f>IF(ActiveDatabase=Standby,Secondary!F560,Primary!F560)</f>
        <v>0</v>
      </c>
      <c r="G560" s="10">
        <f>IF(ActiveDatabase=Standby,Secondary!G560,Primary!G560)</f>
        <v>0</v>
      </c>
      <c r="H560" s="10">
        <f>IF(ActiveDatabase=Standby,Secondary!H560,Primary!H560)</f>
        <v>0</v>
      </c>
      <c r="I560" s="13">
        <f>IF(ActiveDatabase=Standby,Secondary!I560,Primary!I560)</f>
        <v>0</v>
      </c>
      <c r="J560" s="13">
        <f>IF(ActiveDatabase=Standby,Secondary!J560,Primary!J560)</f>
        <v>0</v>
      </c>
      <c r="K560" s="13">
        <f>IF(ActiveDatabase=Standby,Secondary!K560,Primary!K560)</f>
        <v>0</v>
      </c>
      <c r="L560" s="13">
        <f>IF(ActiveDatabase=Standby,Secondary!L560,Primary!L560)</f>
        <v>0</v>
      </c>
      <c r="M560" s="7">
        <f>IF(ActiveDatabase=Standby,Secondary!M560,Primary!M560)</f>
        <v>0</v>
      </c>
      <c r="N560" s="10">
        <f>IF(ActiveDatabase=Standby,Secondary!N560,Primary!N560)</f>
        <v>0</v>
      </c>
      <c r="O560" s="10">
        <f>IF(ActiveDatabase=Standby,Secondary!O560,Primary!O560)</f>
        <v>0</v>
      </c>
      <c r="P560" s="10">
        <f>IF(ActiveDatabase=Standby,Secondary!P560,Primary!P560)</f>
        <v>0</v>
      </c>
      <c r="Q560" s="6">
        <f>IF(ActiveDatabase=Standby,Secondary!Q560,Primary!Q560)</f>
        <v>0</v>
      </c>
      <c r="R560" s="18">
        <f>IF(ActiveDatabase=Standby,Secondary!R560,Primary!R560)</f>
        <v>0</v>
      </c>
      <c r="S560" s="19">
        <f>IF(ActiveDatabase=Standby,Secondary!S560,Primary!S560)</f>
        <v>0</v>
      </c>
      <c r="T560" s="10">
        <f>IF(ActiveDatabase=Standby,Secondary!T560,Primary!T560)</f>
        <v>0</v>
      </c>
      <c r="U560" s="10">
        <f>IF(ActiveDatabase=Standby,Secondary!U560,Primary!U560)</f>
        <v>0</v>
      </c>
      <c r="V560" s="10">
        <f>IF(ActiveDatabase=Standby,Secondary!V560,Primary!V560)</f>
        <v>0</v>
      </c>
      <c r="W560" s="6">
        <f>IF(ActiveDatabase=Standby,Secondary!W560,Primary!W560)</f>
        <v>0</v>
      </c>
      <c r="X560" s="6">
        <f>IF(ActiveDatabase=Standby,Secondary!X560,Primary!X560)</f>
        <v>0</v>
      </c>
      <c r="Y560" s="12">
        <f>IF(ActiveDatabase=Standby,Secondary!Y560,Primary!Y560)</f>
        <v>0</v>
      </c>
      <c r="Z560" s="12">
        <f>IF(ActiveDatabase=Standby,Secondary!Z560,Primary!Z560)</f>
        <v>0</v>
      </c>
      <c r="AA560" s="7">
        <f>IF(ActiveDatabase=Standby,Secondary!AA560,Primary!AA560)</f>
        <v>0</v>
      </c>
      <c r="AB560" s="12"/>
      <c r="AC560" s="6"/>
      <c r="AD560" s="6"/>
      <c r="AE560" s="7"/>
      <c r="AF560" s="7"/>
      <c r="AG560" s="7"/>
      <c r="AH560" s="7"/>
      <c r="AI560" s="7"/>
      <c r="AJ560" s="7"/>
      <c r="AK560" s="7"/>
      <c r="AL560" s="7"/>
      <c r="AM560" s="7"/>
      <c r="AN560" s="7"/>
      <c r="AO560" s="6"/>
      <c r="AP560" s="7"/>
      <c r="AQ560" s="7"/>
      <c r="AR560" s="6"/>
      <c r="AS560" s="7"/>
      <c r="AT560" s="7"/>
      <c r="AU560" s="7"/>
      <c r="AV560" s="7"/>
      <c r="AW560" s="7"/>
      <c r="AX560" s="7"/>
      <c r="AY560" s="7"/>
      <c r="AZ560" s="7"/>
      <c r="BA560" s="7"/>
      <c r="BB560" s="7"/>
      <c r="BC560" s="7"/>
      <c r="BD560" s="7"/>
      <c r="BE560" s="7"/>
      <c r="BF560" s="7"/>
      <c r="BG560" s="7"/>
    </row>
    <row r="561" customHeight="1" spans="1:59">
      <c r="A561" s="9" t="str">
        <f>IF(ActiveDatabase=Standby,Secondary!A561,Primary!A561)</f>
        <v>Lyria R01</v>
      </c>
      <c r="B561" s="5" t="str">
        <f>IF(ActiveDatabase=Standby,Secondary!B561,Primary!B561)</f>
        <v>Lyria 35</v>
      </c>
      <c r="C561" s="5">
        <f>IF(ActiveDatabase=Standby,Secondary!C561,Primary!C561)</f>
        <v>0</v>
      </c>
      <c r="D561" s="5" t="str">
        <f>IF(ActiveDatabase=Standby,Secondary!D561,Primary!D561)</f>
        <v>OM-1</v>
      </c>
      <c r="E561" s="6" t="str">
        <f>IF(ActiveDatabase=Standby,Secondary!E561,Primary!E561)</f>
        <v>OM1</v>
      </c>
      <c r="F561" s="10">
        <f>IF(ActiveDatabase=Standby,Secondary!F561,Primary!F561)</f>
        <v>0</v>
      </c>
      <c r="G561" s="10">
        <f>IF(ActiveDatabase=Standby,Secondary!G561,Primary!G561)</f>
        <v>0</v>
      </c>
      <c r="H561" s="10">
        <f>IF(ActiveDatabase=Standby,Secondary!H561,Primary!H561)</f>
        <v>328.204</v>
      </c>
      <c r="I561" s="13">
        <f>IF(ActiveDatabase=Standby,Secondary!I561,Primary!I561)</f>
        <v>0</v>
      </c>
      <c r="J561" s="13">
        <f>IF(ActiveDatabase=Standby,Secondary!J561,Primary!J561)</f>
        <v>0</v>
      </c>
      <c r="K561" s="13">
        <f>IF(ActiveDatabase=Standby,Secondary!K561,Primary!K561)</f>
        <v>0</v>
      </c>
      <c r="L561" s="13">
        <f>IF(ActiveDatabase=Standby,Secondary!L561,Primary!L561)</f>
        <v>0</v>
      </c>
      <c r="M561" s="7" t="b">
        <f>IF(ActiveDatabase=Standby,Secondary!M561,Primary!M561)</f>
        <v>1</v>
      </c>
      <c r="N561" s="10">
        <f>IF(ActiveDatabase=Standby,Secondary!N561,Primary!N561)</f>
        <v>0</v>
      </c>
      <c r="O561" s="10">
        <f>IF(ActiveDatabase=Standby,Secondary!O561,Primary!O561)</f>
        <v>0</v>
      </c>
      <c r="P561" s="10">
        <f>IF(ActiveDatabase=Standby,Secondary!P561,Primary!P561)</f>
        <v>0</v>
      </c>
      <c r="Q561" s="6">
        <f>IF(ActiveDatabase=Standby,Secondary!Q561,Primary!Q561)</f>
        <v>0</v>
      </c>
      <c r="R561" s="18">
        <f>IF(ActiveDatabase=Standby,Secondary!R561,Primary!R561)</f>
        <v>0</v>
      </c>
      <c r="S561" s="19">
        <f>IF(ActiveDatabase=Standby,Secondary!S561,Primary!S561)</f>
        <v>0</v>
      </c>
      <c r="T561" s="10">
        <f>IF(ActiveDatabase=Standby,Secondary!T561,Primary!T561)</f>
        <v>0</v>
      </c>
      <c r="U561" s="10">
        <f>IF(ActiveDatabase=Standby,Secondary!U561,Primary!U561)</f>
        <v>0</v>
      </c>
      <c r="V561" s="10">
        <f>IF(ActiveDatabase=Standby,Secondary!V561,Primary!V561)</f>
        <v>0</v>
      </c>
      <c r="W561" s="6">
        <f>IF(ActiveDatabase=Standby,Secondary!W561,Primary!W561)</f>
        <v>0</v>
      </c>
      <c r="X561" s="6">
        <f>IF(ActiveDatabase=Standby,Secondary!X561,Primary!X561)</f>
        <v>0</v>
      </c>
      <c r="Y561" s="12">
        <f>IF(ActiveDatabase=Standby,Secondary!Y561,Primary!Y561)</f>
        <v>0</v>
      </c>
      <c r="Z561" s="12">
        <f>IF(ActiveDatabase=Standby,Secondary!Z561,Primary!Z561)</f>
        <v>0</v>
      </c>
      <c r="AA561" s="7">
        <f>IF(ActiveDatabase=Standby,Secondary!AA561,Primary!AA561)</f>
        <v>0</v>
      </c>
      <c r="AB561" s="12"/>
      <c r="AC561" s="6"/>
      <c r="AD561" s="6"/>
      <c r="AE561" s="7"/>
      <c r="AF561" s="7"/>
      <c r="AG561" s="7"/>
      <c r="AH561" s="7"/>
      <c r="AI561" s="7"/>
      <c r="AJ561" s="7"/>
      <c r="AK561" s="7"/>
      <c r="AL561" s="7"/>
      <c r="AM561" s="7"/>
      <c r="AN561" s="7"/>
      <c r="AO561" s="6"/>
      <c r="AP561" s="7"/>
      <c r="AQ561" s="7"/>
      <c r="AR561" s="6"/>
      <c r="AS561" s="7"/>
      <c r="AT561" s="7"/>
      <c r="AU561" s="7"/>
      <c r="AV561" s="7"/>
      <c r="AW561" s="7"/>
      <c r="AX561" s="7"/>
      <c r="AY561" s="7"/>
      <c r="AZ561" s="7"/>
      <c r="BA561" s="7"/>
      <c r="BB561" s="7"/>
      <c r="BC561" s="7"/>
      <c r="BD561" s="7"/>
      <c r="BE561" s="7"/>
      <c r="BF561" s="7"/>
      <c r="BG561" s="7"/>
    </row>
    <row r="562" customHeight="1" spans="1:59">
      <c r="A562" s="9" t="str">
        <f>IF(ActiveDatabase=Standby,Secondary!A562,Primary!A562)</f>
        <v>Lyria R02</v>
      </c>
      <c r="B562" s="5" t="str">
        <f>IF(ActiveDatabase=Standby,Secondary!B562,Primary!B562)</f>
        <v>Lyria 36</v>
      </c>
      <c r="C562" s="5">
        <f>IF(ActiveDatabase=Standby,Secondary!C562,Primary!C562)</f>
        <v>0</v>
      </c>
      <c r="D562" s="5" t="str">
        <f>IF(ActiveDatabase=Standby,Secondary!D562,Primary!D562)</f>
        <v>OM-2</v>
      </c>
      <c r="E562" s="6" t="str">
        <f>IF(ActiveDatabase=Standby,Secondary!E562,Primary!E562)</f>
        <v>OM2</v>
      </c>
      <c r="F562" s="10">
        <f>IF(ActiveDatabase=Standby,Secondary!F562,Primary!F562)</f>
        <v>0</v>
      </c>
      <c r="G562" s="10">
        <f>IF(ActiveDatabase=Standby,Secondary!G562,Primary!G562)</f>
        <v>0</v>
      </c>
      <c r="H562" s="10">
        <f>IF(ActiveDatabase=Standby,Secondary!H562,Primary!H562)</f>
        <v>-328.204</v>
      </c>
      <c r="I562" s="13">
        <f>IF(ActiveDatabase=Standby,Secondary!I562,Primary!I562)</f>
        <v>0</v>
      </c>
      <c r="J562" s="13">
        <f>IF(ActiveDatabase=Standby,Secondary!J562,Primary!J562)</f>
        <v>0</v>
      </c>
      <c r="K562" s="13">
        <f>IF(ActiveDatabase=Standby,Secondary!K562,Primary!K562)</f>
        <v>0</v>
      </c>
      <c r="L562" s="13">
        <f>IF(ActiveDatabase=Standby,Secondary!L562,Primary!L562)</f>
        <v>0</v>
      </c>
      <c r="M562" s="7" t="b">
        <f>IF(ActiveDatabase=Standby,Secondary!M562,Primary!M562)</f>
        <v>1</v>
      </c>
      <c r="N562" s="10">
        <f>IF(ActiveDatabase=Standby,Secondary!N562,Primary!N562)</f>
        <v>0</v>
      </c>
      <c r="O562" s="10">
        <f>IF(ActiveDatabase=Standby,Secondary!O562,Primary!O562)</f>
        <v>0</v>
      </c>
      <c r="P562" s="10">
        <f>IF(ActiveDatabase=Standby,Secondary!P562,Primary!P562)</f>
        <v>0</v>
      </c>
      <c r="Q562" s="6">
        <f>IF(ActiveDatabase=Standby,Secondary!Q562,Primary!Q562)</f>
        <v>0</v>
      </c>
      <c r="R562" s="18">
        <f>IF(ActiveDatabase=Standby,Secondary!R562,Primary!R562)</f>
        <v>0</v>
      </c>
      <c r="S562" s="19">
        <f>IF(ActiveDatabase=Standby,Secondary!S562,Primary!S562)</f>
        <v>0</v>
      </c>
      <c r="T562" s="10">
        <f>IF(ActiveDatabase=Standby,Secondary!T562,Primary!T562)</f>
        <v>0</v>
      </c>
      <c r="U562" s="10">
        <f>IF(ActiveDatabase=Standby,Secondary!U562,Primary!U562)</f>
        <v>0</v>
      </c>
      <c r="V562" s="10">
        <f>IF(ActiveDatabase=Standby,Secondary!V562,Primary!V562)</f>
        <v>0</v>
      </c>
      <c r="W562" s="6">
        <f>IF(ActiveDatabase=Standby,Secondary!W562,Primary!W562)</f>
        <v>0</v>
      </c>
      <c r="X562" s="6">
        <f>IF(ActiveDatabase=Standby,Secondary!X562,Primary!X562)</f>
        <v>0</v>
      </c>
      <c r="Y562" s="12">
        <f>IF(ActiveDatabase=Standby,Secondary!Y562,Primary!Y562)</f>
        <v>0</v>
      </c>
      <c r="Z562" s="12">
        <f>IF(ActiveDatabase=Standby,Secondary!Z562,Primary!Z562)</f>
        <v>0</v>
      </c>
      <c r="AA562" s="7">
        <f>IF(ActiveDatabase=Standby,Secondary!AA562,Primary!AA562)</f>
        <v>0</v>
      </c>
      <c r="AB562" s="12"/>
      <c r="AC562" s="6"/>
      <c r="AD562" s="6"/>
      <c r="AE562" s="7"/>
      <c r="AF562" s="7"/>
      <c r="AG562" s="7"/>
      <c r="AH562" s="7"/>
      <c r="AI562" s="7"/>
      <c r="AJ562" s="7"/>
      <c r="AK562" s="7"/>
      <c r="AL562" s="7"/>
      <c r="AM562" s="7"/>
      <c r="AN562" s="7"/>
      <c r="AO562" s="6"/>
      <c r="AP562" s="7"/>
      <c r="AQ562" s="7"/>
      <c r="AR562" s="6"/>
      <c r="AS562" s="7"/>
      <c r="AT562" s="7"/>
      <c r="AU562" s="7"/>
      <c r="AV562" s="7"/>
      <c r="AW562" s="7"/>
      <c r="AX562" s="7"/>
      <c r="AY562" s="7"/>
      <c r="AZ562" s="7"/>
      <c r="BA562" s="7"/>
      <c r="BB562" s="7"/>
      <c r="BC562" s="7"/>
      <c r="BD562" s="7"/>
      <c r="BE562" s="7"/>
      <c r="BF562" s="7"/>
      <c r="BG562" s="7"/>
    </row>
    <row r="563" customHeight="1" spans="1:59">
      <c r="A563" s="9" t="str">
        <f>IF(ActiveDatabase=Standby,Secondary!A563,Primary!A563)</f>
        <v>Lyria R03</v>
      </c>
      <c r="B563" s="5" t="str">
        <f>IF(ActiveDatabase=Standby,Secondary!B563,Primary!B563)</f>
        <v>Lyria 37</v>
      </c>
      <c r="C563" s="5" t="str">
        <f>IF(ActiveDatabase=Standby,Secondary!C563,Primary!C563)</f>
        <v>Lyria 07</v>
      </c>
      <c r="D563" s="5" t="str">
        <f>IF(ActiveDatabase=Standby,Secondary!D563,Primary!D563)</f>
        <v>OM-3</v>
      </c>
      <c r="E563" s="6" t="str">
        <f>IF(ActiveDatabase=Standby,Secondary!E563,Primary!E563)</f>
        <v>OM3</v>
      </c>
      <c r="F563" s="10">
        <f>IF(ActiveDatabase=Standby,Secondary!F563,Primary!F563)</f>
        <v>0</v>
      </c>
      <c r="G563" s="10">
        <f>IF(ActiveDatabase=Standby,Secondary!G563,Primary!G563)</f>
        <v>328.204</v>
      </c>
      <c r="H563" s="10">
        <f>IF(ActiveDatabase=Standby,Secondary!H563,Primary!H563)</f>
        <v>0</v>
      </c>
      <c r="I563" s="13">
        <f>IF(ActiveDatabase=Standby,Secondary!I563,Primary!I563)</f>
        <v>0</v>
      </c>
      <c r="J563" s="13">
        <f>IF(ActiveDatabase=Standby,Secondary!J563,Primary!J563)</f>
        <v>0</v>
      </c>
      <c r="K563" s="13">
        <f>IF(ActiveDatabase=Standby,Secondary!K563,Primary!K563)</f>
        <v>0</v>
      </c>
      <c r="L563" s="13">
        <f>IF(ActiveDatabase=Standby,Secondary!L563,Primary!L563)</f>
        <v>0</v>
      </c>
      <c r="M563" s="7" t="b">
        <f>IF(ActiveDatabase=Standby,Secondary!M563,Primary!M563)</f>
        <v>1</v>
      </c>
      <c r="N563" s="10">
        <f>IF(ActiveDatabase=Standby,Secondary!N563,Primary!N563)</f>
        <v>0</v>
      </c>
      <c r="O563" s="10">
        <f>IF(ActiveDatabase=Standby,Secondary!O563,Primary!O563)</f>
        <v>0</v>
      </c>
      <c r="P563" s="10">
        <f>IF(ActiveDatabase=Standby,Secondary!P563,Primary!P563)</f>
        <v>0</v>
      </c>
      <c r="Q563" s="6">
        <f>IF(ActiveDatabase=Standby,Secondary!Q563,Primary!Q563)</f>
        <v>0</v>
      </c>
      <c r="R563" s="18">
        <f>IF(ActiveDatabase=Standby,Secondary!R563,Primary!R563)</f>
        <v>0</v>
      </c>
      <c r="S563" s="19">
        <f>IF(ActiveDatabase=Standby,Secondary!S563,Primary!S563)</f>
        <v>0</v>
      </c>
      <c r="T563" s="10">
        <f>IF(ActiveDatabase=Standby,Secondary!T563,Primary!T563)</f>
        <v>0</v>
      </c>
      <c r="U563" s="10">
        <f>IF(ActiveDatabase=Standby,Secondary!U563,Primary!U563)</f>
        <v>0</v>
      </c>
      <c r="V563" s="10">
        <f>IF(ActiveDatabase=Standby,Secondary!V563,Primary!V563)</f>
        <v>0</v>
      </c>
      <c r="W563" s="6">
        <f>IF(ActiveDatabase=Standby,Secondary!W563,Primary!W563)</f>
        <v>0</v>
      </c>
      <c r="X563" s="6">
        <f>IF(ActiveDatabase=Standby,Secondary!X563,Primary!X563)</f>
        <v>0</v>
      </c>
      <c r="Y563" s="12">
        <f>IF(ActiveDatabase=Standby,Secondary!Y563,Primary!Y563)</f>
        <v>0</v>
      </c>
      <c r="Z563" s="12">
        <f>IF(ActiveDatabase=Standby,Secondary!Z563,Primary!Z563)</f>
        <v>0</v>
      </c>
      <c r="AA563" s="7">
        <f>IF(ActiveDatabase=Standby,Secondary!AA563,Primary!AA563)</f>
        <v>0</v>
      </c>
      <c r="AB563" s="12"/>
      <c r="AC563" s="6"/>
      <c r="AD563" s="6"/>
      <c r="AE563" s="7"/>
      <c r="AF563" s="7"/>
      <c r="AG563" s="7"/>
      <c r="AH563" s="7"/>
      <c r="AI563" s="7"/>
      <c r="AJ563" s="7"/>
      <c r="AK563" s="7"/>
      <c r="AL563" s="7"/>
      <c r="AM563" s="7"/>
      <c r="AN563" s="7"/>
      <c r="AO563" s="6"/>
      <c r="AP563" s="7"/>
      <c r="AQ563" s="7"/>
      <c r="AR563" s="6"/>
      <c r="AS563" s="7"/>
      <c r="AT563" s="7"/>
      <c r="AU563" s="7"/>
      <c r="AV563" s="7"/>
      <c r="AW563" s="7"/>
      <c r="AX563" s="7"/>
      <c r="AY563" s="7"/>
      <c r="AZ563" s="7"/>
      <c r="BA563" s="7"/>
      <c r="BB563" s="7"/>
      <c r="BC563" s="7"/>
      <c r="BD563" s="7"/>
      <c r="BE563" s="7"/>
      <c r="BF563" s="7"/>
      <c r="BG563" s="7"/>
    </row>
    <row r="564" customHeight="1" spans="1:59">
      <c r="A564" s="9" t="str">
        <f>IF(ActiveDatabase=Standby,Secondary!A564,Primary!A564)</f>
        <v>Lyria R04</v>
      </c>
      <c r="B564" s="5" t="str">
        <f>IF(ActiveDatabase=Standby,Secondary!B564,Primary!B564)</f>
        <v>Lyria 38</v>
      </c>
      <c r="C564" s="5" t="str">
        <f>IF(ActiveDatabase=Standby,Secondary!C564,Primary!C564)</f>
        <v>Lyria 22</v>
      </c>
      <c r="D564" s="5" t="str">
        <f>IF(ActiveDatabase=Standby,Secondary!D564,Primary!D564)</f>
        <v>OM-4</v>
      </c>
      <c r="E564" s="6" t="str">
        <f>IF(ActiveDatabase=Standby,Secondary!E564,Primary!E564)</f>
        <v>OM4</v>
      </c>
      <c r="F564" s="10">
        <f>IF(ActiveDatabase=Standby,Secondary!F564,Primary!F564)</f>
        <v>0</v>
      </c>
      <c r="G564" s="10">
        <f>IF(ActiveDatabase=Standby,Secondary!G564,Primary!G564)</f>
        <v>-328.204</v>
      </c>
      <c r="H564" s="10">
        <f>IF(ActiveDatabase=Standby,Secondary!H564,Primary!H564)</f>
        <v>0</v>
      </c>
      <c r="I564" s="13">
        <f>IF(ActiveDatabase=Standby,Secondary!I564,Primary!I564)</f>
        <v>0</v>
      </c>
      <c r="J564" s="13">
        <f>IF(ActiveDatabase=Standby,Secondary!J564,Primary!J564)</f>
        <v>0</v>
      </c>
      <c r="K564" s="13">
        <f>IF(ActiveDatabase=Standby,Secondary!K564,Primary!K564)</f>
        <v>0</v>
      </c>
      <c r="L564" s="13">
        <f>IF(ActiveDatabase=Standby,Secondary!L564,Primary!L564)</f>
        <v>0</v>
      </c>
      <c r="M564" s="7" t="b">
        <f>IF(ActiveDatabase=Standby,Secondary!M564,Primary!M564)</f>
        <v>1</v>
      </c>
      <c r="N564" s="10">
        <f>IF(ActiveDatabase=Standby,Secondary!N564,Primary!N564)</f>
        <v>0</v>
      </c>
      <c r="O564" s="10">
        <f>IF(ActiveDatabase=Standby,Secondary!O564,Primary!O564)</f>
        <v>0</v>
      </c>
      <c r="P564" s="10">
        <f>IF(ActiveDatabase=Standby,Secondary!P564,Primary!P564)</f>
        <v>0</v>
      </c>
      <c r="Q564" s="6">
        <f>IF(ActiveDatabase=Standby,Secondary!Q564,Primary!Q564)</f>
        <v>0</v>
      </c>
      <c r="R564" s="18">
        <f>IF(ActiveDatabase=Standby,Secondary!R564,Primary!R564)</f>
        <v>0</v>
      </c>
      <c r="S564" s="19">
        <f>IF(ActiveDatabase=Standby,Secondary!S564,Primary!S564)</f>
        <v>0</v>
      </c>
      <c r="T564" s="10">
        <f>IF(ActiveDatabase=Standby,Secondary!T564,Primary!T564)</f>
        <v>0</v>
      </c>
      <c r="U564" s="10">
        <f>IF(ActiveDatabase=Standby,Secondary!U564,Primary!U564)</f>
        <v>0</v>
      </c>
      <c r="V564" s="10">
        <f>IF(ActiveDatabase=Standby,Secondary!V564,Primary!V564)</f>
        <v>0</v>
      </c>
      <c r="W564" s="6">
        <f>IF(ActiveDatabase=Standby,Secondary!W564,Primary!W564)</f>
        <v>0</v>
      </c>
      <c r="X564" s="6">
        <f>IF(ActiveDatabase=Standby,Secondary!X564,Primary!X564)</f>
        <v>0</v>
      </c>
      <c r="Y564" s="12">
        <f>IF(ActiveDatabase=Standby,Secondary!Y564,Primary!Y564)</f>
        <v>0</v>
      </c>
      <c r="Z564" s="12">
        <f>IF(ActiveDatabase=Standby,Secondary!Z564,Primary!Z564)</f>
        <v>0</v>
      </c>
      <c r="AA564" s="7">
        <f>IF(ActiveDatabase=Standby,Secondary!AA564,Primary!AA564)</f>
        <v>0</v>
      </c>
      <c r="AB564" s="12"/>
      <c r="AC564" s="6"/>
      <c r="AD564" s="6"/>
      <c r="AE564" s="7"/>
      <c r="AF564" s="7"/>
      <c r="AG564" s="7"/>
      <c r="AH564" s="7"/>
      <c r="AI564" s="7"/>
      <c r="AJ564" s="7"/>
      <c r="AK564" s="7"/>
      <c r="AL564" s="7"/>
      <c r="AM564" s="7"/>
      <c r="AN564" s="7"/>
      <c r="AO564" s="6"/>
      <c r="AP564" s="7"/>
      <c r="AQ564" s="7"/>
      <c r="AR564" s="6"/>
      <c r="AS564" s="7"/>
      <c r="AT564" s="7"/>
      <c r="AU564" s="7"/>
      <c r="AV564" s="7"/>
      <c r="AW564" s="7"/>
      <c r="AX564" s="7"/>
      <c r="AY564" s="7"/>
      <c r="AZ564" s="7"/>
      <c r="BA564" s="7"/>
      <c r="BB564" s="7"/>
      <c r="BC564" s="7"/>
      <c r="BD564" s="7"/>
      <c r="BE564" s="7"/>
      <c r="BF564" s="7"/>
      <c r="BG564" s="7"/>
    </row>
    <row r="565" customHeight="1" spans="1:59">
      <c r="A565" s="9" t="str">
        <f>IF(ActiveDatabase=Standby,Secondary!A565,Primary!A565)</f>
        <v>Lyria R05</v>
      </c>
      <c r="B565" s="5" t="str">
        <f>IF(ActiveDatabase=Standby,Secondary!B565,Primary!B565)</f>
        <v>Lyria 39</v>
      </c>
      <c r="C565" s="5" t="str">
        <f>IF(ActiveDatabase=Standby,Secondary!C565,Primary!C565)</f>
        <v>Lyria 13</v>
      </c>
      <c r="D565" s="5" t="str">
        <f>IF(ActiveDatabase=Standby,Secondary!D565,Primary!D565)</f>
        <v>OM-5</v>
      </c>
      <c r="E565" s="6" t="str">
        <f>IF(ActiveDatabase=Standby,Secondary!E565,Primary!E565)</f>
        <v>OM5</v>
      </c>
      <c r="F565" s="10">
        <f>IF(ActiveDatabase=Standby,Secondary!F565,Primary!F565)</f>
        <v>328.204</v>
      </c>
      <c r="G565" s="10">
        <f>IF(ActiveDatabase=Standby,Secondary!G565,Primary!G565)</f>
        <v>0</v>
      </c>
      <c r="H565" s="10">
        <f>IF(ActiveDatabase=Standby,Secondary!H565,Primary!H565)</f>
        <v>0</v>
      </c>
      <c r="I565" s="13">
        <f>IF(ActiveDatabase=Standby,Secondary!I565,Primary!I565)</f>
        <v>0</v>
      </c>
      <c r="J565" s="13">
        <f>IF(ActiveDatabase=Standby,Secondary!J565,Primary!J565)</f>
        <v>0</v>
      </c>
      <c r="K565" s="13">
        <f>IF(ActiveDatabase=Standby,Secondary!K565,Primary!K565)</f>
        <v>0</v>
      </c>
      <c r="L565" s="13">
        <f>IF(ActiveDatabase=Standby,Secondary!L565,Primary!L565)</f>
        <v>0</v>
      </c>
      <c r="M565" s="7" t="b">
        <f>IF(ActiveDatabase=Standby,Secondary!M565,Primary!M565)</f>
        <v>1</v>
      </c>
      <c r="N565" s="10">
        <f>IF(ActiveDatabase=Standby,Secondary!N565,Primary!N565)</f>
        <v>0</v>
      </c>
      <c r="O565" s="10">
        <f>IF(ActiveDatabase=Standby,Secondary!O565,Primary!O565)</f>
        <v>0</v>
      </c>
      <c r="P565" s="10">
        <f>IF(ActiveDatabase=Standby,Secondary!P565,Primary!P565)</f>
        <v>0</v>
      </c>
      <c r="Q565" s="6">
        <f>IF(ActiveDatabase=Standby,Secondary!Q565,Primary!Q565)</f>
        <v>0</v>
      </c>
      <c r="R565" s="18">
        <f>IF(ActiveDatabase=Standby,Secondary!R565,Primary!R565)</f>
        <v>0</v>
      </c>
      <c r="S565" s="19">
        <f>IF(ActiveDatabase=Standby,Secondary!S565,Primary!S565)</f>
        <v>0</v>
      </c>
      <c r="T565" s="10">
        <f>IF(ActiveDatabase=Standby,Secondary!T565,Primary!T565)</f>
        <v>0</v>
      </c>
      <c r="U565" s="10">
        <f>IF(ActiveDatabase=Standby,Secondary!U565,Primary!U565)</f>
        <v>0</v>
      </c>
      <c r="V565" s="10">
        <f>IF(ActiveDatabase=Standby,Secondary!V565,Primary!V565)</f>
        <v>0</v>
      </c>
      <c r="W565" s="6">
        <f>IF(ActiveDatabase=Standby,Secondary!W565,Primary!W565)</f>
        <v>0</v>
      </c>
      <c r="X565" s="6">
        <f>IF(ActiveDatabase=Standby,Secondary!X565,Primary!X565)</f>
        <v>0</v>
      </c>
      <c r="Y565" s="12">
        <f>IF(ActiveDatabase=Standby,Secondary!Y565,Primary!Y565)</f>
        <v>0</v>
      </c>
      <c r="Z565" s="12">
        <f>IF(ActiveDatabase=Standby,Secondary!Z565,Primary!Z565)</f>
        <v>0</v>
      </c>
      <c r="AA565" s="7">
        <f>IF(ActiveDatabase=Standby,Secondary!AA565,Primary!AA565)</f>
        <v>0</v>
      </c>
      <c r="AB565" s="12"/>
      <c r="AC565" s="6"/>
      <c r="AD565" s="6"/>
      <c r="AE565" s="7"/>
      <c r="AF565" s="7"/>
      <c r="AG565" s="7"/>
      <c r="AH565" s="7"/>
      <c r="AI565" s="7"/>
      <c r="AJ565" s="7"/>
      <c r="AK565" s="7"/>
      <c r="AL565" s="7"/>
      <c r="AM565" s="7"/>
      <c r="AN565" s="7"/>
      <c r="AO565" s="6"/>
      <c r="AP565" s="7"/>
      <c r="AQ565" s="7"/>
      <c r="AR565" s="6"/>
      <c r="AS565" s="7"/>
      <c r="AT565" s="7"/>
      <c r="AU565" s="7"/>
      <c r="AV565" s="7"/>
      <c r="AW565" s="7"/>
      <c r="AX565" s="7"/>
      <c r="AY565" s="7"/>
      <c r="AZ565" s="7"/>
      <c r="BA565" s="7"/>
      <c r="BB565" s="7"/>
      <c r="BC565" s="7"/>
      <c r="BD565" s="7"/>
      <c r="BE565" s="7"/>
      <c r="BF565" s="7"/>
      <c r="BG565" s="7"/>
    </row>
    <row r="566" customHeight="1" spans="1:59">
      <c r="A566" s="9" t="str">
        <f>IF(ActiveDatabase=Standby,Secondary!A566,Primary!A566)</f>
        <v>Lyria R06</v>
      </c>
      <c r="B566" s="5" t="str">
        <f>IF(ActiveDatabase=Standby,Secondary!B566,Primary!B566)</f>
        <v>Lyria 40</v>
      </c>
      <c r="C566" s="5" t="str">
        <f>IF(ActiveDatabase=Standby,Secondary!C566,Primary!C566)</f>
        <v>Lyria 29</v>
      </c>
      <c r="D566" s="5" t="str">
        <f>IF(ActiveDatabase=Standby,Secondary!D566,Primary!D566)</f>
        <v>OM-6</v>
      </c>
      <c r="E566" s="6" t="str">
        <f>IF(ActiveDatabase=Standby,Secondary!E566,Primary!E566)</f>
        <v>OM6</v>
      </c>
      <c r="F566" s="10">
        <f>IF(ActiveDatabase=Standby,Secondary!F566,Primary!F566)</f>
        <v>-328.204</v>
      </c>
      <c r="G566" s="10">
        <f>IF(ActiveDatabase=Standby,Secondary!G566,Primary!G566)</f>
        <v>0</v>
      </c>
      <c r="H566" s="10">
        <f>IF(ActiveDatabase=Standby,Secondary!H566,Primary!H566)</f>
        <v>0</v>
      </c>
      <c r="I566" s="13">
        <f>IF(ActiveDatabase=Standby,Secondary!I566,Primary!I566)</f>
        <v>0</v>
      </c>
      <c r="J566" s="13">
        <f>IF(ActiveDatabase=Standby,Secondary!J566,Primary!J566)</f>
        <v>0</v>
      </c>
      <c r="K566" s="13">
        <f>IF(ActiveDatabase=Standby,Secondary!K566,Primary!K566)</f>
        <v>0</v>
      </c>
      <c r="L566" s="13">
        <f>IF(ActiveDatabase=Standby,Secondary!L566,Primary!L566)</f>
        <v>0</v>
      </c>
      <c r="M566" s="7" t="b">
        <f>IF(ActiveDatabase=Standby,Secondary!M566,Primary!M566)</f>
        <v>1</v>
      </c>
      <c r="N566" s="10">
        <f>IF(ActiveDatabase=Standby,Secondary!N566,Primary!N566)</f>
        <v>0</v>
      </c>
      <c r="O566" s="10">
        <f>IF(ActiveDatabase=Standby,Secondary!O566,Primary!O566)</f>
        <v>0</v>
      </c>
      <c r="P566" s="10">
        <f>IF(ActiveDatabase=Standby,Secondary!P566,Primary!P566)</f>
        <v>0</v>
      </c>
      <c r="Q566" s="6">
        <f>IF(ActiveDatabase=Standby,Secondary!Q566,Primary!Q566)</f>
        <v>0</v>
      </c>
      <c r="R566" s="18">
        <f>IF(ActiveDatabase=Standby,Secondary!R566,Primary!R566)</f>
        <v>0</v>
      </c>
      <c r="S566" s="19">
        <f>IF(ActiveDatabase=Standby,Secondary!S566,Primary!S566)</f>
        <v>0</v>
      </c>
      <c r="T566" s="10">
        <f>IF(ActiveDatabase=Standby,Secondary!T566,Primary!T566)</f>
        <v>0</v>
      </c>
      <c r="U566" s="10">
        <f>IF(ActiveDatabase=Standby,Secondary!U566,Primary!U566)</f>
        <v>0</v>
      </c>
      <c r="V566" s="10">
        <f>IF(ActiveDatabase=Standby,Secondary!V566,Primary!V566)</f>
        <v>0</v>
      </c>
      <c r="W566" s="6">
        <f>IF(ActiveDatabase=Standby,Secondary!W566,Primary!W566)</f>
        <v>0</v>
      </c>
      <c r="X566" s="6">
        <f>IF(ActiveDatabase=Standby,Secondary!X566,Primary!X566)</f>
        <v>0</v>
      </c>
      <c r="Y566" s="12">
        <f>IF(ActiveDatabase=Standby,Secondary!Y566,Primary!Y566)</f>
        <v>0</v>
      </c>
      <c r="Z566" s="12">
        <f>IF(ActiveDatabase=Standby,Secondary!Z566,Primary!Z566)</f>
        <v>0</v>
      </c>
      <c r="AA566" s="7">
        <f>IF(ActiveDatabase=Standby,Secondary!AA566,Primary!AA566)</f>
        <v>0</v>
      </c>
      <c r="AB566" s="12"/>
      <c r="AC566" s="6"/>
      <c r="AD566" s="6"/>
      <c r="AE566" s="7"/>
      <c r="AF566" s="7"/>
      <c r="AG566" s="7"/>
      <c r="AH566" s="7"/>
      <c r="AI566" s="7"/>
      <c r="AJ566" s="7"/>
      <c r="AK566" s="7"/>
      <c r="AL566" s="7"/>
      <c r="AM566" s="7"/>
      <c r="AN566" s="7"/>
      <c r="AO566" s="6"/>
      <c r="AP566" s="7"/>
      <c r="AQ566" s="7"/>
      <c r="AR566" s="6"/>
      <c r="AS566" s="7"/>
      <c r="AT566" s="7"/>
      <c r="AU566" s="7"/>
      <c r="AV566" s="7"/>
      <c r="AW566" s="7"/>
      <c r="AX566" s="7"/>
      <c r="AY566" s="7"/>
      <c r="AZ566" s="7"/>
      <c r="BA566" s="7"/>
      <c r="BB566" s="7"/>
      <c r="BC566" s="7"/>
      <c r="BD566" s="7"/>
      <c r="BE566" s="7"/>
      <c r="BF566" s="7"/>
      <c r="BG566" s="7"/>
    </row>
    <row r="567" customHeight="1" spans="1:59">
      <c r="A567" s="9" t="str">
        <f>IF(ActiveDatabase=Standby,Secondary!A567,Primary!A567)</f>
        <v>Lyria</v>
      </c>
      <c r="B567" s="5" t="str">
        <f>IF(ActiveDatabase=Standby,Secondary!B567,Primary!B567)</f>
        <v>Lyria 00</v>
      </c>
      <c r="C567" s="5">
        <f>IF(ActiveDatabase=Standby,Secondary!C567,Primary!C567)</f>
        <v>0</v>
      </c>
      <c r="D567" s="5" t="str">
        <f>IF(ActiveDatabase=Standby,Secondary!D567,Primary!D567)</f>
        <v>Trading Terminals</v>
      </c>
      <c r="E567" s="6">
        <f>IF(ActiveDatabase=Standby,Secondary!E567,Primary!E567)</f>
        <v>0</v>
      </c>
      <c r="F567" s="10">
        <f>IF(ActiveDatabase=Standby,Secondary!F567,Primary!F567)</f>
        <v>0</v>
      </c>
      <c r="G567" s="10">
        <f>IF(ActiveDatabase=Standby,Secondary!G567,Primary!G567)</f>
        <v>0</v>
      </c>
      <c r="H567" s="10">
        <f>IF(ActiveDatabase=Standby,Secondary!H567,Primary!H567)</f>
        <v>0</v>
      </c>
      <c r="I567" s="13">
        <f>IF(ActiveDatabase=Standby,Secondary!I567,Primary!I567)</f>
        <v>0</v>
      </c>
      <c r="J567" s="13">
        <f>IF(ActiveDatabase=Standby,Secondary!J567,Primary!J567)</f>
        <v>0</v>
      </c>
      <c r="K567" s="13">
        <f>IF(ActiveDatabase=Standby,Secondary!K567,Primary!K567)</f>
        <v>0</v>
      </c>
      <c r="L567" s="13">
        <f>IF(ActiveDatabase=Standby,Secondary!L567,Primary!L567)</f>
        <v>0</v>
      </c>
      <c r="M567" s="7">
        <f>IF(ActiveDatabase=Standby,Secondary!M567,Primary!M567)</f>
        <v>0</v>
      </c>
      <c r="N567" s="10">
        <f>IF(ActiveDatabase=Standby,Secondary!N567,Primary!N567)</f>
        <v>0</v>
      </c>
      <c r="O567" s="10">
        <f>IF(ActiveDatabase=Standby,Secondary!O567,Primary!O567)</f>
        <v>0</v>
      </c>
      <c r="P567" s="10">
        <f>IF(ActiveDatabase=Standby,Secondary!P567,Primary!P567)</f>
        <v>0</v>
      </c>
      <c r="Q567" s="6">
        <f>IF(ActiveDatabase=Standby,Secondary!Q567,Primary!Q567)</f>
        <v>0</v>
      </c>
      <c r="R567" s="18">
        <f>IF(ActiveDatabase=Standby,Secondary!R567,Primary!R567)</f>
        <v>0</v>
      </c>
      <c r="S567" s="19">
        <f>IF(ActiveDatabase=Standby,Secondary!S567,Primary!S567)</f>
        <v>0</v>
      </c>
      <c r="T567" s="10">
        <f>IF(ActiveDatabase=Standby,Secondary!T567,Primary!T567)</f>
        <v>0</v>
      </c>
      <c r="U567" s="10">
        <f>IF(ActiveDatabase=Standby,Secondary!U567,Primary!U567)</f>
        <v>0</v>
      </c>
      <c r="V567" s="10">
        <f>IF(ActiveDatabase=Standby,Secondary!V567,Primary!V567)</f>
        <v>0</v>
      </c>
      <c r="W567" s="6">
        <f>IF(ActiveDatabase=Standby,Secondary!W567,Primary!W567)</f>
        <v>0</v>
      </c>
      <c r="X567" s="6">
        <f>IF(ActiveDatabase=Standby,Secondary!X567,Primary!X567)</f>
        <v>0</v>
      </c>
      <c r="Y567" s="12">
        <f>IF(ActiveDatabase=Standby,Secondary!Y567,Primary!Y567)</f>
        <v>0</v>
      </c>
      <c r="Z567" s="12">
        <f>IF(ActiveDatabase=Standby,Secondary!Z567,Primary!Z567)</f>
        <v>0</v>
      </c>
      <c r="AA567" s="7">
        <f>IF(ActiveDatabase=Standby,Secondary!AA567,Primary!AA567)</f>
        <v>0</v>
      </c>
      <c r="AB567" s="12"/>
      <c r="AC567" s="6"/>
      <c r="AD567" s="6"/>
      <c r="AE567" s="7"/>
      <c r="AF567" s="7"/>
      <c r="AG567" s="7"/>
      <c r="AH567" s="7"/>
      <c r="AI567" s="7"/>
      <c r="AJ567" s="7"/>
      <c r="AK567" s="7"/>
      <c r="AL567" s="7"/>
      <c r="AM567" s="7"/>
      <c r="AN567" s="7"/>
      <c r="AO567" s="6"/>
      <c r="AP567" s="7"/>
      <c r="AQ567" s="7"/>
      <c r="AR567" s="6"/>
      <c r="AS567" s="7"/>
      <c r="AT567" s="7"/>
      <c r="AU567" s="7"/>
      <c r="AV567" s="7"/>
      <c r="AW567" s="7"/>
      <c r="AX567" s="7"/>
      <c r="AY567" s="7"/>
      <c r="AZ567" s="7"/>
      <c r="BA567" s="7"/>
      <c r="BB567" s="7"/>
      <c r="BC567" s="7"/>
      <c r="BD567" s="7"/>
      <c r="BE567" s="7"/>
      <c r="BF567" s="7"/>
      <c r="BG567" s="7"/>
    </row>
    <row r="568" customHeight="1" spans="1:59">
      <c r="A568" s="9" t="str">
        <f>IF(ActiveDatabase=Standby,Secondary!A568,Primary!A568)</f>
        <v>Lyria 01</v>
      </c>
      <c r="B568" s="5" t="str">
        <f>IF(ActiveDatabase=Standby,Secondary!B568,Primary!B568)</f>
        <v>Lyria 01</v>
      </c>
      <c r="C568" s="5" t="str">
        <f>IF(ActiveDatabase=Standby,Secondary!C568,Primary!C568)</f>
        <v>Lyria 21</v>
      </c>
      <c r="D568" s="5" t="str">
        <f>IF(ActiveDatabase=Standby,Secondary!D568,Primary!D568)</f>
        <v>Humboldt Mines</v>
      </c>
      <c r="E568" s="6" t="str">
        <f>IF(ActiveDatabase=Standby,Secondary!E568,Primary!E568)</f>
        <v>Humboldt</v>
      </c>
      <c r="F568" s="10">
        <f>IF(ActiveDatabase=Standby,Secondary!F568,Primary!F568)</f>
        <v>5.31071587199999</v>
      </c>
      <c r="G568" s="10">
        <f>IF(ActiveDatabase=Standby,Secondary!G568,Primary!G568)</f>
        <v>-193.818517496999</v>
      </c>
      <c r="H568" s="10">
        <f>IF(ActiveDatabase=Standby,Secondary!H568,Primary!H568)</f>
        <v>-112.544821398999</v>
      </c>
      <c r="I568" s="13">
        <f>IF(ActiveDatabase=Standby,Secondary!I568,Primary!I568)</f>
        <v>0</v>
      </c>
      <c r="J568" s="13">
        <f>IF(ActiveDatabase=Standby,Secondary!J568,Primary!J568)</f>
        <v>0</v>
      </c>
      <c r="K568" s="13">
        <f>IF(ActiveDatabase=Standby,Secondary!K568,Primary!K568)</f>
        <v>0</v>
      </c>
      <c r="L568" s="13">
        <f>IF(ActiveDatabase=Standby,Secondary!L568,Primary!L568)</f>
        <v>0</v>
      </c>
      <c r="M568" s="7" t="b">
        <f>IF(ActiveDatabase=Standby,Secondary!M568,Primary!M568)</f>
        <v>1</v>
      </c>
      <c r="N568" s="10">
        <f>IF(ActiveDatabase=Standby,Secondary!N568,Primary!N568)</f>
        <v>0</v>
      </c>
      <c r="O568" s="10">
        <f>IF(ActiveDatabase=Standby,Secondary!O568,Primary!O568)</f>
        <v>0</v>
      </c>
      <c r="P568" s="10">
        <f>IF(ActiveDatabase=Standby,Secondary!P568,Primary!P568)</f>
        <v>0</v>
      </c>
      <c r="Q568" s="6">
        <f>IF(ActiveDatabase=Standby,Secondary!Q568,Primary!Q568)</f>
        <v>0</v>
      </c>
      <c r="R568" s="18">
        <f>IF(ActiveDatabase=Standby,Secondary!R568,Primary!R568)</f>
        <v>0</v>
      </c>
      <c r="S568" s="19">
        <f>IF(ActiveDatabase=Standby,Secondary!S568,Primary!S568)</f>
        <v>0</v>
      </c>
      <c r="T568" s="10">
        <f>IF(ActiveDatabase=Standby,Secondary!T568,Primary!T568)</f>
        <v>0</v>
      </c>
      <c r="U568" s="10">
        <f>IF(ActiveDatabase=Standby,Secondary!U568,Primary!U568)</f>
        <v>0</v>
      </c>
      <c r="V568" s="10">
        <f>IF(ActiveDatabase=Standby,Secondary!V568,Primary!V568)</f>
        <v>0</v>
      </c>
      <c r="W568" s="6">
        <f>IF(ActiveDatabase=Standby,Secondary!W568,Primary!W568)</f>
        <v>0</v>
      </c>
      <c r="X568" s="6">
        <f>IF(ActiveDatabase=Standby,Secondary!X568,Primary!X568)</f>
        <v>0</v>
      </c>
      <c r="Y568" s="12">
        <f>IF(ActiveDatabase=Standby,Secondary!Y568,Primary!Y568)</f>
        <v>0</v>
      </c>
      <c r="Z568" s="12">
        <f>IF(ActiveDatabase=Standby,Secondary!Z568,Primary!Z568)</f>
        <v>0</v>
      </c>
      <c r="AA568" s="7">
        <f>IF(ActiveDatabase=Standby,Secondary!AA568,Primary!AA568)</f>
        <v>0</v>
      </c>
      <c r="AB568" s="12"/>
      <c r="AC568" s="6"/>
      <c r="AD568" s="6"/>
      <c r="AE568" s="7"/>
      <c r="AF568" s="7"/>
      <c r="AG568" s="7"/>
      <c r="AH568" s="7"/>
      <c r="AI568" s="7"/>
      <c r="AJ568" s="7"/>
      <c r="AK568" s="7"/>
      <c r="AL568" s="7"/>
      <c r="AM568" s="7"/>
      <c r="AN568" s="7"/>
      <c r="AO568" s="6"/>
      <c r="AP568" s="7"/>
      <c r="AQ568" s="7"/>
      <c r="AR568" s="6"/>
      <c r="AS568" s="7"/>
      <c r="AT568" s="7"/>
      <c r="AU568" s="7"/>
      <c r="AV568" s="7"/>
      <c r="AW568" s="7"/>
      <c r="AX568" s="7"/>
      <c r="AY568" s="7"/>
      <c r="AZ568" s="7"/>
      <c r="BA568" s="7"/>
      <c r="BB568" s="7"/>
      <c r="BC568" s="7"/>
      <c r="BD568" s="7"/>
      <c r="BE568" s="7"/>
      <c r="BF568" s="7"/>
      <c r="BG568" s="7"/>
    </row>
    <row r="569" customHeight="1" spans="1:59">
      <c r="A569" s="9" t="str">
        <f>IF(ActiveDatabase=Standby,Secondary!A569,Primary!A569)</f>
        <v>Lyria 02</v>
      </c>
      <c r="B569" s="5" t="str">
        <f>IF(ActiveDatabase=Standby,Secondary!B569,Primary!B569)</f>
        <v>Lyria 02</v>
      </c>
      <c r="C569" s="5" t="str">
        <f>IF(ActiveDatabase=Standby,Secondary!C569,Primary!C569)</f>
        <v>Lyria 11</v>
      </c>
      <c r="D569" s="5" t="str">
        <f>IF(ActiveDatabase=Standby,Secondary!D569,Primary!D569)</f>
        <v>Loveridge Mineral Reserve</v>
      </c>
      <c r="E569" s="6" t="str">
        <f>IF(ActiveDatabase=Standby,Secondary!E569,Primary!E569)</f>
        <v>Loveridge</v>
      </c>
      <c r="F569" s="10">
        <f>IF(ActiveDatabase=Standby,Secondary!F569,Primary!F569)</f>
        <v>181.799511601</v>
      </c>
      <c r="G569" s="10">
        <f>IF(ActiveDatabase=Standby,Secondary!G569,Primary!G569)</f>
        <v>128.16648935</v>
      </c>
      <c r="H569" s="10">
        <f>IF(ActiveDatabase=Standby,Secondary!H569,Primary!H569)</f>
        <v>24.939872495</v>
      </c>
      <c r="I569" s="13">
        <f>IF(ActiveDatabase=Standby,Secondary!I569,Primary!I569)</f>
        <v>0</v>
      </c>
      <c r="J569" s="13">
        <f>IF(ActiveDatabase=Standby,Secondary!J569,Primary!J569)</f>
        <v>0</v>
      </c>
      <c r="K569" s="13">
        <f>IF(ActiveDatabase=Standby,Secondary!K569,Primary!K569)</f>
        <v>0</v>
      </c>
      <c r="L569" s="13">
        <f>IF(ActiveDatabase=Standby,Secondary!L569,Primary!L569)</f>
        <v>0</v>
      </c>
      <c r="M569" s="7" t="b">
        <f>IF(ActiveDatabase=Standby,Secondary!M569,Primary!M569)</f>
        <v>1</v>
      </c>
      <c r="N569" s="10">
        <f>IF(ActiveDatabase=Standby,Secondary!N569,Primary!N569)</f>
        <v>0</v>
      </c>
      <c r="O569" s="10">
        <f>IF(ActiveDatabase=Standby,Secondary!O569,Primary!O569)</f>
        <v>0</v>
      </c>
      <c r="P569" s="10">
        <f>IF(ActiveDatabase=Standby,Secondary!P569,Primary!P569)</f>
        <v>0</v>
      </c>
      <c r="Q569" s="6">
        <f>IF(ActiveDatabase=Standby,Secondary!Q569,Primary!Q569)</f>
        <v>0</v>
      </c>
      <c r="R569" s="18">
        <f>IF(ActiveDatabase=Standby,Secondary!R569,Primary!R569)</f>
        <v>0</v>
      </c>
      <c r="S569" s="19">
        <f>IF(ActiveDatabase=Standby,Secondary!S569,Primary!S569)</f>
        <v>0</v>
      </c>
      <c r="T569" s="10">
        <f>IF(ActiveDatabase=Standby,Secondary!T569,Primary!T569)</f>
        <v>0</v>
      </c>
      <c r="U569" s="10">
        <f>IF(ActiveDatabase=Standby,Secondary!U569,Primary!U569)</f>
        <v>0</v>
      </c>
      <c r="V569" s="10">
        <f>IF(ActiveDatabase=Standby,Secondary!V569,Primary!V569)</f>
        <v>0</v>
      </c>
      <c r="W569" s="6">
        <f>IF(ActiveDatabase=Standby,Secondary!W569,Primary!W569)</f>
        <v>0</v>
      </c>
      <c r="X569" s="6">
        <f>IF(ActiveDatabase=Standby,Secondary!X569,Primary!X569)</f>
        <v>0</v>
      </c>
      <c r="Y569" s="12">
        <f>IF(ActiveDatabase=Standby,Secondary!Y569,Primary!Y569)</f>
        <v>0</v>
      </c>
      <c r="Z569" s="12">
        <f>IF(ActiveDatabase=Standby,Secondary!Z569,Primary!Z569)</f>
        <v>0</v>
      </c>
      <c r="AA569" s="7">
        <f>IF(ActiveDatabase=Standby,Secondary!AA569,Primary!AA569)</f>
        <v>0</v>
      </c>
      <c r="AB569" s="12"/>
      <c r="AC569" s="6"/>
      <c r="AD569" s="6"/>
      <c r="AE569" s="7"/>
      <c r="AF569" s="7"/>
      <c r="AG569" s="7"/>
      <c r="AH569" s="7"/>
      <c r="AI569" s="7"/>
      <c r="AJ569" s="7"/>
      <c r="AK569" s="7"/>
      <c r="AL569" s="7"/>
      <c r="AM569" s="7"/>
      <c r="AN569" s="7"/>
      <c r="AO569" s="6"/>
      <c r="AP569" s="7"/>
      <c r="AQ569" s="7"/>
      <c r="AR569" s="6"/>
      <c r="AS569" s="7"/>
      <c r="AT569" s="7"/>
      <c r="AU569" s="7"/>
      <c r="AV569" s="7"/>
      <c r="AW569" s="7"/>
      <c r="AX569" s="7"/>
      <c r="AY569" s="7"/>
      <c r="AZ569" s="7"/>
      <c r="BA569" s="7"/>
      <c r="BB569" s="7"/>
      <c r="BC569" s="7"/>
      <c r="BD569" s="7"/>
      <c r="BE569" s="7"/>
      <c r="BF569" s="7"/>
      <c r="BG569" s="7"/>
    </row>
    <row r="570" customHeight="1" spans="1:59">
      <c r="A570" s="9" t="str">
        <f>IF(ActiveDatabase=Standby,Secondary!A570,Primary!A570)</f>
        <v>Lyria 03</v>
      </c>
      <c r="B570" s="5" t="str">
        <f>IF(ActiveDatabase=Standby,Secondary!B570,Primary!B570)</f>
        <v>Lyria 03</v>
      </c>
      <c r="C570" s="5" t="str">
        <f>IF(ActiveDatabase=Standby,Secondary!C570,Primary!C570)</f>
        <v>Lyria 15</v>
      </c>
      <c r="D570" s="5" t="str">
        <f>IF(ActiveDatabase=Standby,Secondary!D570,Primary!D570)</f>
        <v>Shubin Mining Facility SAL-2 (PB)</v>
      </c>
      <c r="E570" s="6" t="str">
        <f>IF(ActiveDatabase=Standby,Secondary!E570,Primary!E570)</f>
        <v>SAL-2</v>
      </c>
      <c r="F570" s="10">
        <f>IF(ActiveDatabase=Standby,Secondary!F570,Primary!F570)</f>
        <v>150.635829063</v>
      </c>
      <c r="G570" s="10">
        <f>IF(ActiveDatabase=Standby,Secondary!G570,Primary!G570)</f>
        <v>-53.619269865</v>
      </c>
      <c r="H570" s="10">
        <f>IF(ActiveDatabase=Standby,Secondary!H570,Primary!H570)</f>
        <v>156.6678916</v>
      </c>
      <c r="I570" s="13">
        <f>IF(ActiveDatabase=Standby,Secondary!I570,Primary!I570)</f>
        <v>0</v>
      </c>
      <c r="J570" s="13">
        <f>IF(ActiveDatabase=Standby,Secondary!J570,Primary!J570)</f>
        <v>0</v>
      </c>
      <c r="K570" s="13">
        <f>IF(ActiveDatabase=Standby,Secondary!K570,Primary!K570)</f>
        <v>0</v>
      </c>
      <c r="L570" s="13">
        <f>IF(ActiveDatabase=Standby,Secondary!L570,Primary!L570)</f>
        <v>0</v>
      </c>
      <c r="M570" s="7" t="b">
        <f>IF(ActiveDatabase=Standby,Secondary!M570,Primary!M570)</f>
        <v>1</v>
      </c>
      <c r="N570" s="10">
        <f>IF(ActiveDatabase=Standby,Secondary!N570,Primary!N570)</f>
        <v>0</v>
      </c>
      <c r="O570" s="10">
        <f>IF(ActiveDatabase=Standby,Secondary!O570,Primary!O570)</f>
        <v>0</v>
      </c>
      <c r="P570" s="10">
        <f>IF(ActiveDatabase=Standby,Secondary!P570,Primary!P570)</f>
        <v>0</v>
      </c>
      <c r="Q570" s="6">
        <f>IF(ActiveDatabase=Standby,Secondary!Q570,Primary!Q570)</f>
        <v>0</v>
      </c>
      <c r="R570" s="18">
        <f>IF(ActiveDatabase=Standby,Secondary!R570,Primary!R570)</f>
        <v>0</v>
      </c>
      <c r="S570" s="19">
        <f>IF(ActiveDatabase=Standby,Secondary!S570,Primary!S570)</f>
        <v>0</v>
      </c>
      <c r="T570" s="10">
        <f>IF(ActiveDatabase=Standby,Secondary!T570,Primary!T570)</f>
        <v>0</v>
      </c>
      <c r="U570" s="10">
        <f>IF(ActiveDatabase=Standby,Secondary!U570,Primary!U570)</f>
        <v>0</v>
      </c>
      <c r="V570" s="10">
        <f>IF(ActiveDatabase=Standby,Secondary!V570,Primary!V570)</f>
        <v>0</v>
      </c>
      <c r="W570" s="6">
        <f>IF(ActiveDatabase=Standby,Secondary!W570,Primary!W570)</f>
        <v>0</v>
      </c>
      <c r="X570" s="6">
        <f>IF(ActiveDatabase=Standby,Secondary!X570,Primary!X570)</f>
        <v>0</v>
      </c>
      <c r="Y570" s="12">
        <f>IF(ActiveDatabase=Standby,Secondary!Y570,Primary!Y570)</f>
        <v>0</v>
      </c>
      <c r="Z570" s="12">
        <f>IF(ActiveDatabase=Standby,Secondary!Z570,Primary!Z570)</f>
        <v>0</v>
      </c>
      <c r="AA570" s="7">
        <f>IF(ActiveDatabase=Standby,Secondary!AA570,Primary!AA570)</f>
        <v>0</v>
      </c>
      <c r="AB570" s="12"/>
      <c r="AC570" s="6"/>
      <c r="AD570" s="6"/>
      <c r="AE570" s="7"/>
      <c r="AF570" s="7"/>
      <c r="AG570" s="7"/>
      <c r="AH570" s="7"/>
      <c r="AI570" s="7"/>
      <c r="AJ570" s="7"/>
      <c r="AK570" s="7"/>
      <c r="AL570" s="7"/>
      <c r="AM570" s="7"/>
      <c r="AN570" s="7"/>
      <c r="AO570" s="6"/>
      <c r="AP570" s="7"/>
      <c r="AQ570" s="7"/>
      <c r="AR570" s="6"/>
      <c r="AS570" s="7"/>
      <c r="AT570" s="7"/>
      <c r="AU570" s="7"/>
      <c r="AV570" s="7"/>
      <c r="AW570" s="7"/>
      <c r="AX570" s="7"/>
      <c r="AY570" s="7"/>
      <c r="AZ570" s="7"/>
      <c r="BA570" s="7"/>
      <c r="BB570" s="7"/>
      <c r="BC570" s="7"/>
      <c r="BD570" s="7"/>
      <c r="BE570" s="7"/>
      <c r="BF570" s="7"/>
      <c r="BG570" s="7"/>
    </row>
    <row r="571" customHeight="1" spans="1:59">
      <c r="A571" s="9" t="str">
        <f>IF(ActiveDatabase=Standby,Secondary!A571,Primary!A571)</f>
        <v>Lyria 04</v>
      </c>
      <c r="B571" s="5" t="str">
        <f>IF(ActiveDatabase=Standby,Secondary!B571,Primary!B571)</f>
        <v>Lyria 04</v>
      </c>
      <c r="C571" s="5" t="str">
        <f>IF(ActiveDatabase=Standby,Secondary!C571,Primary!C571)</f>
        <v>Lyria 10</v>
      </c>
      <c r="D571" s="5" t="str">
        <f>IF(ActiveDatabase=Standby,Secondary!D571,Primary!D571)</f>
        <v>Shubin Mining Facility SAL-5 (PB)</v>
      </c>
      <c r="E571" s="6" t="str">
        <f>IF(ActiveDatabase=Standby,Secondary!E571,Primary!E571)</f>
        <v>SAL-5</v>
      </c>
      <c r="F571" s="10">
        <f>IF(ActiveDatabase=Standby,Secondary!F571,Primary!F571)</f>
        <v>98.0700163109999</v>
      </c>
      <c r="G571" s="10">
        <f>IF(ActiveDatabase=Standby,Secondary!G571,Primary!G571)</f>
        <v>78.360977111</v>
      </c>
      <c r="H571" s="10">
        <f>IF(ActiveDatabase=Standby,Secondary!H571,Primary!H571)</f>
        <v>185.820579425</v>
      </c>
      <c r="I571" s="13">
        <f>IF(ActiveDatabase=Standby,Secondary!I571,Primary!I571)</f>
        <v>0</v>
      </c>
      <c r="J571" s="13">
        <f>IF(ActiveDatabase=Standby,Secondary!J571,Primary!J571)</f>
        <v>0</v>
      </c>
      <c r="K571" s="13">
        <f>IF(ActiveDatabase=Standby,Secondary!K571,Primary!K571)</f>
        <v>0</v>
      </c>
      <c r="L571" s="13">
        <f>IF(ActiveDatabase=Standby,Secondary!L571,Primary!L571)</f>
        <v>0</v>
      </c>
      <c r="M571" s="7" t="b">
        <f>IF(ActiveDatabase=Standby,Secondary!M571,Primary!M571)</f>
        <v>1</v>
      </c>
      <c r="N571" s="10">
        <f>IF(ActiveDatabase=Standby,Secondary!N571,Primary!N571)</f>
        <v>0</v>
      </c>
      <c r="O571" s="10">
        <f>IF(ActiveDatabase=Standby,Secondary!O571,Primary!O571)</f>
        <v>0</v>
      </c>
      <c r="P571" s="10">
        <f>IF(ActiveDatabase=Standby,Secondary!P571,Primary!P571)</f>
        <v>0</v>
      </c>
      <c r="Q571" s="6">
        <f>IF(ActiveDatabase=Standby,Secondary!Q571,Primary!Q571)</f>
        <v>0</v>
      </c>
      <c r="R571" s="18">
        <f>IF(ActiveDatabase=Standby,Secondary!R571,Primary!R571)</f>
        <v>0</v>
      </c>
      <c r="S571" s="19">
        <f>IF(ActiveDatabase=Standby,Secondary!S571,Primary!S571)</f>
        <v>0</v>
      </c>
      <c r="T571" s="10">
        <f>IF(ActiveDatabase=Standby,Secondary!T571,Primary!T571)</f>
        <v>0</v>
      </c>
      <c r="U571" s="10">
        <f>IF(ActiveDatabase=Standby,Secondary!U571,Primary!U571)</f>
        <v>0</v>
      </c>
      <c r="V571" s="10">
        <f>IF(ActiveDatabase=Standby,Secondary!V571,Primary!V571)</f>
        <v>0</v>
      </c>
      <c r="W571" s="6">
        <f>IF(ActiveDatabase=Standby,Secondary!W571,Primary!W571)</f>
        <v>0</v>
      </c>
      <c r="X571" s="6">
        <f>IF(ActiveDatabase=Standby,Secondary!X571,Primary!X571)</f>
        <v>0</v>
      </c>
      <c r="Y571" s="12">
        <f>IF(ActiveDatabase=Standby,Secondary!Y571,Primary!Y571)</f>
        <v>0</v>
      </c>
      <c r="Z571" s="12">
        <f>IF(ActiveDatabase=Standby,Secondary!Z571,Primary!Z571)</f>
        <v>0</v>
      </c>
      <c r="AA571" s="7">
        <f>IF(ActiveDatabase=Standby,Secondary!AA571,Primary!AA571)</f>
        <v>0</v>
      </c>
      <c r="AB571" s="12"/>
      <c r="AC571" s="6"/>
      <c r="AD571" s="6"/>
      <c r="AE571" s="7"/>
      <c r="AF571" s="7"/>
      <c r="AG571" s="7"/>
      <c r="AH571" s="7"/>
      <c r="AI571" s="7"/>
      <c r="AJ571" s="7"/>
      <c r="AK571" s="7"/>
      <c r="AL571" s="7"/>
      <c r="AM571" s="7"/>
      <c r="AN571" s="7"/>
      <c r="AO571" s="6"/>
      <c r="AP571" s="7"/>
      <c r="AQ571" s="7"/>
      <c r="AR571" s="6"/>
      <c r="AS571" s="7"/>
      <c r="AT571" s="7"/>
      <c r="AU571" s="7"/>
      <c r="AV571" s="7"/>
      <c r="AW571" s="7"/>
      <c r="AX571" s="7"/>
      <c r="AY571" s="7"/>
      <c r="AZ571" s="7"/>
      <c r="BA571" s="7"/>
      <c r="BB571" s="7"/>
      <c r="BC571" s="7"/>
      <c r="BD571" s="7"/>
      <c r="BE571" s="7"/>
      <c r="BF571" s="7"/>
      <c r="BG571" s="7"/>
    </row>
    <row r="572" customHeight="1" spans="1:59">
      <c r="A572" s="9" t="str">
        <f>IF(ActiveDatabase=Standby,Secondary!A572,Primary!A572)</f>
        <v>Lyria 05</v>
      </c>
      <c r="B572" s="5" t="str">
        <f>IF(ActiveDatabase=Standby,Secondary!B572,Primary!B572)</f>
        <v>Lyria 05</v>
      </c>
      <c r="C572" s="5" t="str">
        <f>IF(ActiveDatabase=Standby,Secondary!C572,Primary!C572)</f>
        <v>Lyria 06</v>
      </c>
      <c r="D572" s="5" t="str">
        <f>IF(ActiveDatabase=Standby,Secondary!D572,Primary!D572)</f>
        <v>The Orphanage</v>
      </c>
      <c r="E572" s="6" t="str">
        <f>IF(ActiveDatabase=Standby,Secondary!E572,Primary!E572)</f>
        <v>Orphanage</v>
      </c>
      <c r="F572" s="10">
        <f>IF(ActiveDatabase=Standby,Secondary!F572,Primary!F572)</f>
        <v>-91.990070099</v>
      </c>
      <c r="G572" s="10">
        <f>IF(ActiveDatabase=Standby,Secondary!G572,Primary!G572)</f>
        <v>92.4842575979999</v>
      </c>
      <c r="H572" s="10">
        <f>IF(ActiveDatabase=Standby,Secondary!H572,Primary!H572)</f>
        <v>182.182046452</v>
      </c>
      <c r="I572" s="13">
        <f>IF(ActiveDatabase=Standby,Secondary!I572,Primary!I572)</f>
        <v>0</v>
      </c>
      <c r="J572" s="13">
        <f>IF(ActiveDatabase=Standby,Secondary!J572,Primary!J572)</f>
        <v>0</v>
      </c>
      <c r="K572" s="13">
        <f>IF(ActiveDatabase=Standby,Secondary!K572,Primary!K572)</f>
        <v>0</v>
      </c>
      <c r="L572" s="13">
        <f>IF(ActiveDatabase=Standby,Secondary!L572,Primary!L572)</f>
        <v>0</v>
      </c>
      <c r="M572" s="7" t="b">
        <f>IF(ActiveDatabase=Standby,Secondary!M572,Primary!M572)</f>
        <v>1</v>
      </c>
      <c r="N572" s="10">
        <f>IF(ActiveDatabase=Standby,Secondary!N572,Primary!N572)</f>
        <v>0</v>
      </c>
      <c r="O572" s="10">
        <f>IF(ActiveDatabase=Standby,Secondary!O572,Primary!O572)</f>
        <v>0</v>
      </c>
      <c r="P572" s="10">
        <f>IF(ActiveDatabase=Standby,Secondary!P572,Primary!P572)</f>
        <v>0</v>
      </c>
      <c r="Q572" s="6">
        <f>IF(ActiveDatabase=Standby,Secondary!Q572,Primary!Q572)</f>
        <v>0</v>
      </c>
      <c r="R572" s="18">
        <f>IF(ActiveDatabase=Standby,Secondary!R572,Primary!R572)</f>
        <v>0</v>
      </c>
      <c r="S572" s="19">
        <f>IF(ActiveDatabase=Standby,Secondary!S572,Primary!S572)</f>
        <v>0</v>
      </c>
      <c r="T572" s="10">
        <f>IF(ActiveDatabase=Standby,Secondary!T572,Primary!T572)</f>
        <v>0</v>
      </c>
      <c r="U572" s="10">
        <f>IF(ActiveDatabase=Standby,Secondary!U572,Primary!U572)</f>
        <v>0</v>
      </c>
      <c r="V572" s="10">
        <f>IF(ActiveDatabase=Standby,Secondary!V572,Primary!V572)</f>
        <v>0</v>
      </c>
      <c r="W572" s="6">
        <f>IF(ActiveDatabase=Standby,Secondary!W572,Primary!W572)</f>
        <v>0</v>
      </c>
      <c r="X572" s="6">
        <f>IF(ActiveDatabase=Standby,Secondary!X572,Primary!X572)</f>
        <v>0</v>
      </c>
      <c r="Y572" s="12">
        <f>IF(ActiveDatabase=Standby,Secondary!Y572,Primary!Y572)</f>
        <v>0</v>
      </c>
      <c r="Z572" s="12">
        <f>IF(ActiveDatabase=Standby,Secondary!Z572,Primary!Z572)</f>
        <v>0</v>
      </c>
      <c r="AA572" s="7">
        <f>IF(ActiveDatabase=Standby,Secondary!AA572,Primary!AA572)</f>
        <v>0</v>
      </c>
      <c r="AB572" s="12"/>
      <c r="AC572" s="6"/>
      <c r="AD572" s="6"/>
      <c r="AE572" s="7"/>
      <c r="AF572" s="7"/>
      <c r="AG572" s="7"/>
      <c r="AH572" s="7"/>
      <c r="AI572" s="7"/>
      <c r="AJ572" s="7"/>
      <c r="AK572" s="7"/>
      <c r="AL572" s="7"/>
      <c r="AM572" s="7"/>
      <c r="AN572" s="7"/>
      <c r="AO572" s="6"/>
      <c r="AP572" s="7"/>
      <c r="AQ572" s="7"/>
      <c r="AR572" s="6"/>
      <c r="AS572" s="7"/>
      <c r="AT572" s="7"/>
      <c r="AU572" s="7"/>
      <c r="AV572" s="7"/>
      <c r="AW572" s="7"/>
      <c r="AX572" s="7"/>
      <c r="AY572" s="7"/>
      <c r="AZ572" s="7"/>
      <c r="BA572" s="7"/>
      <c r="BB572" s="7"/>
      <c r="BC572" s="7"/>
      <c r="BD572" s="7"/>
      <c r="BE572" s="7"/>
      <c r="BF572" s="7"/>
      <c r="BG572" s="7"/>
    </row>
    <row r="573" customHeight="1" spans="1:59">
      <c r="A573" s="9" t="str">
        <f>IF(ActiveDatabase=Standby,Secondary!A573,Primary!A573)</f>
        <v>Lyria</v>
      </c>
      <c r="B573" s="5" t="str">
        <f>IF(ActiveDatabase=Standby,Secondary!B573,Primary!B573)</f>
        <v>Lyria 07</v>
      </c>
      <c r="C573" s="5">
        <f>IF(ActiveDatabase=Standby,Secondary!C573,Primary!C573)</f>
        <v>0</v>
      </c>
      <c r="D573" s="5" t="str">
        <f>IF(ActiveDatabase=Standby,Secondary!D573,Primary!D573)</f>
        <v>Underground Bunker Facilities</v>
      </c>
      <c r="E573" s="6">
        <f>IF(ActiveDatabase=Standby,Secondary!E573,Primary!E573)</f>
        <v>0</v>
      </c>
      <c r="F573" s="10">
        <f>IF(ActiveDatabase=Standby,Secondary!F573,Primary!F573)</f>
        <v>0</v>
      </c>
      <c r="G573" s="10">
        <f>IF(ActiveDatabase=Standby,Secondary!G573,Primary!G573)</f>
        <v>0</v>
      </c>
      <c r="H573" s="10">
        <f>IF(ActiveDatabase=Standby,Secondary!H573,Primary!H573)</f>
        <v>0</v>
      </c>
      <c r="I573" s="13">
        <f>IF(ActiveDatabase=Standby,Secondary!I573,Primary!I573)</f>
        <v>0</v>
      </c>
      <c r="J573" s="13">
        <f>IF(ActiveDatabase=Standby,Secondary!J573,Primary!J573)</f>
        <v>0</v>
      </c>
      <c r="K573" s="13">
        <f>IF(ActiveDatabase=Standby,Secondary!K573,Primary!K573)</f>
        <v>0</v>
      </c>
      <c r="L573" s="13">
        <f>IF(ActiveDatabase=Standby,Secondary!L573,Primary!L573)</f>
        <v>0</v>
      </c>
      <c r="M573" s="7">
        <f>IF(ActiveDatabase=Standby,Secondary!M573,Primary!M573)</f>
        <v>0</v>
      </c>
      <c r="N573" s="10">
        <f>IF(ActiveDatabase=Standby,Secondary!N573,Primary!N573)</f>
        <v>0</v>
      </c>
      <c r="O573" s="10">
        <f>IF(ActiveDatabase=Standby,Secondary!O573,Primary!O573)</f>
        <v>0</v>
      </c>
      <c r="P573" s="10">
        <f>IF(ActiveDatabase=Standby,Secondary!P573,Primary!P573)</f>
        <v>0</v>
      </c>
      <c r="Q573" s="6">
        <f>IF(ActiveDatabase=Standby,Secondary!Q573,Primary!Q573)</f>
        <v>0</v>
      </c>
      <c r="R573" s="18">
        <f>IF(ActiveDatabase=Standby,Secondary!R573,Primary!R573)</f>
        <v>0</v>
      </c>
      <c r="S573" s="19">
        <f>IF(ActiveDatabase=Standby,Secondary!S573,Primary!S573)</f>
        <v>0</v>
      </c>
      <c r="T573" s="10">
        <f>IF(ActiveDatabase=Standby,Secondary!T573,Primary!T573)</f>
        <v>0</v>
      </c>
      <c r="U573" s="10">
        <f>IF(ActiveDatabase=Standby,Secondary!U573,Primary!U573)</f>
        <v>0</v>
      </c>
      <c r="V573" s="10">
        <f>IF(ActiveDatabase=Standby,Secondary!V573,Primary!V573)</f>
        <v>0</v>
      </c>
      <c r="W573" s="6">
        <f>IF(ActiveDatabase=Standby,Secondary!W573,Primary!W573)</f>
        <v>0</v>
      </c>
      <c r="X573" s="6">
        <f>IF(ActiveDatabase=Standby,Secondary!X573,Primary!X573)</f>
        <v>0</v>
      </c>
      <c r="Y573" s="12">
        <f>IF(ActiveDatabase=Standby,Secondary!Y573,Primary!Y573)</f>
        <v>0</v>
      </c>
      <c r="Z573" s="12">
        <f>IF(ActiveDatabase=Standby,Secondary!Z573,Primary!Z573)</f>
        <v>0</v>
      </c>
      <c r="AA573" s="7">
        <f>IF(ActiveDatabase=Standby,Secondary!AA573,Primary!AA573)</f>
        <v>0</v>
      </c>
      <c r="AB573" s="12"/>
      <c r="AC573" s="6"/>
      <c r="AD573" s="6"/>
      <c r="AE573" s="7"/>
      <c r="AF573" s="7"/>
      <c r="AG573" s="7"/>
      <c r="AH573" s="7"/>
      <c r="AI573" s="7"/>
      <c r="AJ573" s="7"/>
      <c r="AK573" s="7"/>
      <c r="AL573" s="7"/>
      <c r="AM573" s="7"/>
      <c r="AN573" s="7"/>
      <c r="AO573" s="6"/>
      <c r="AP573" s="7"/>
      <c r="AQ573" s="7"/>
      <c r="AR573" s="6"/>
      <c r="AS573" s="7"/>
      <c r="AT573" s="7"/>
      <c r="AU573" s="7"/>
      <c r="AV573" s="7"/>
      <c r="AW573" s="7"/>
      <c r="AX573" s="7"/>
      <c r="AY573" s="7"/>
      <c r="AZ573" s="7"/>
      <c r="BA573" s="7"/>
      <c r="BB573" s="7"/>
      <c r="BC573" s="7"/>
      <c r="BD573" s="7"/>
      <c r="BE573" s="7"/>
      <c r="BF573" s="7"/>
      <c r="BG573" s="7"/>
    </row>
    <row r="574" customHeight="1" spans="1:59">
      <c r="A574" s="9" t="str">
        <f>IF(ActiveDatabase=Standby,Secondary!A574,Primary!A574)</f>
        <v>Lyria 06</v>
      </c>
      <c r="B574" s="5" t="str">
        <f>IF(ActiveDatabase=Standby,Secondary!B574,Primary!B574)</f>
        <v>Lyria 08</v>
      </c>
      <c r="C574" s="5" t="str">
        <f>IF(ActiveDatabase=Standby,Secondary!C574,Primary!C574)</f>
        <v>Lyria 26</v>
      </c>
      <c r="D574" s="5" t="str">
        <f>IF(ActiveDatabase=Standby,Secondary!D574,Primary!D574)</f>
        <v>Buckets</v>
      </c>
      <c r="E574" s="6" t="str">
        <f>IF(ActiveDatabase=Standby,Secondary!E574,Primary!E574)</f>
        <v>Buckets</v>
      </c>
      <c r="F574" s="10">
        <f>IF(ActiveDatabase=Standby,Secondary!F574,Primary!F574)</f>
        <v>-194.038522223999</v>
      </c>
      <c r="G574" s="10">
        <f>IF(ActiveDatabase=Standby,Secondary!G574,Primary!G574)</f>
        <v>-67.9967949749999</v>
      </c>
      <c r="H574" s="10">
        <f>IF(ActiveDatabase=Standby,Secondary!H574,Primary!H574)</f>
        <v>-89.4799129149999</v>
      </c>
      <c r="I574" s="13">
        <f>IF(ActiveDatabase=Standby,Secondary!I574,Primary!I574)</f>
        <v>0</v>
      </c>
      <c r="J574" s="13">
        <f>IF(ActiveDatabase=Standby,Secondary!J574,Primary!J574)</f>
        <v>0</v>
      </c>
      <c r="K574" s="13">
        <f>IF(ActiveDatabase=Standby,Secondary!K574,Primary!K574)</f>
        <v>0</v>
      </c>
      <c r="L574" s="13">
        <f>IF(ActiveDatabase=Standby,Secondary!L574,Primary!L574)</f>
        <v>0</v>
      </c>
      <c r="M574" s="7" t="b">
        <f>IF(ActiveDatabase=Standby,Secondary!M574,Primary!M574)</f>
        <v>1</v>
      </c>
      <c r="N574" s="10">
        <f>IF(ActiveDatabase=Standby,Secondary!N574,Primary!N574)</f>
        <v>0</v>
      </c>
      <c r="O574" s="10">
        <f>IF(ActiveDatabase=Standby,Secondary!O574,Primary!O574)</f>
        <v>0</v>
      </c>
      <c r="P574" s="10">
        <f>IF(ActiveDatabase=Standby,Secondary!P574,Primary!P574)</f>
        <v>0</v>
      </c>
      <c r="Q574" s="6">
        <f>IF(ActiveDatabase=Standby,Secondary!Q574,Primary!Q574)</f>
        <v>0</v>
      </c>
      <c r="R574" s="18">
        <f>IF(ActiveDatabase=Standby,Secondary!R574,Primary!R574)</f>
        <v>0</v>
      </c>
      <c r="S574" s="19">
        <f>IF(ActiveDatabase=Standby,Secondary!S574,Primary!S574)</f>
        <v>0</v>
      </c>
      <c r="T574" s="10">
        <f>IF(ActiveDatabase=Standby,Secondary!T574,Primary!T574)</f>
        <v>0</v>
      </c>
      <c r="U574" s="10">
        <f>IF(ActiveDatabase=Standby,Secondary!U574,Primary!U574)</f>
        <v>0</v>
      </c>
      <c r="V574" s="10">
        <f>IF(ActiveDatabase=Standby,Secondary!V574,Primary!V574)</f>
        <v>0</v>
      </c>
      <c r="W574" s="6">
        <f>IF(ActiveDatabase=Standby,Secondary!W574,Primary!W574)</f>
        <v>0</v>
      </c>
      <c r="X574" s="6">
        <f>IF(ActiveDatabase=Standby,Secondary!X574,Primary!X574)</f>
        <v>0</v>
      </c>
      <c r="Y574" s="12">
        <f>IF(ActiveDatabase=Standby,Secondary!Y574,Primary!Y574)</f>
        <v>0</v>
      </c>
      <c r="Z574" s="12">
        <f>IF(ActiveDatabase=Standby,Secondary!Z574,Primary!Z574)</f>
        <v>0</v>
      </c>
      <c r="AA574" s="7">
        <f>IF(ActiveDatabase=Standby,Secondary!AA574,Primary!AA574)</f>
        <v>0</v>
      </c>
      <c r="AB574" s="12"/>
      <c r="AC574" s="6"/>
      <c r="AD574" s="6"/>
      <c r="AE574" s="7"/>
      <c r="AF574" s="7"/>
      <c r="AG574" s="7"/>
      <c r="AH574" s="7"/>
      <c r="AI574" s="7"/>
      <c r="AJ574" s="7"/>
      <c r="AK574" s="7"/>
      <c r="AL574" s="7"/>
      <c r="AM574" s="7"/>
      <c r="AN574" s="7"/>
      <c r="AO574" s="6"/>
      <c r="AP574" s="7"/>
      <c r="AQ574" s="7"/>
      <c r="AR574" s="6"/>
      <c r="AS574" s="7"/>
      <c r="AT574" s="7"/>
      <c r="AU574" s="7"/>
      <c r="AV574" s="7"/>
      <c r="AW574" s="7"/>
      <c r="AX574" s="7"/>
      <c r="AY574" s="7"/>
      <c r="AZ574" s="7"/>
      <c r="BA574" s="7"/>
      <c r="BB574" s="7"/>
      <c r="BC574" s="7"/>
      <c r="BD574" s="7"/>
      <c r="BE574" s="7"/>
      <c r="BF574" s="7"/>
      <c r="BG574" s="7"/>
    </row>
    <row r="575" customHeight="1" spans="1:59">
      <c r="A575" s="9" t="str">
        <f>IF(ActiveDatabase=Standby,Secondary!A575,Primary!A575)</f>
        <v>Lyria 07</v>
      </c>
      <c r="B575" s="5" t="str">
        <f>IF(ActiveDatabase=Standby,Secondary!B575,Primary!B575)</f>
        <v>Lyria 09</v>
      </c>
      <c r="C575" s="5" t="str">
        <f>IF(ActiveDatabase=Standby,Secondary!C575,Primary!C575)</f>
        <v>Lyria 14</v>
      </c>
      <c r="D575" s="5" t="str">
        <f>IF(ActiveDatabase=Standby,Secondary!D575,Primary!D575)</f>
        <v>Elsewhere</v>
      </c>
      <c r="E575" s="6" t="str">
        <f>IF(ActiveDatabase=Standby,Secondary!E575,Primary!E575)</f>
        <v>Elsewhere</v>
      </c>
      <c r="F575" s="10">
        <f>IF(ActiveDatabase=Standby,Secondary!F575,Primary!F575)</f>
        <v>207.832365486</v>
      </c>
      <c r="G575" s="10">
        <f>IF(ActiveDatabase=Standby,Secondary!G575,Primary!G575)</f>
        <v>-67.343946058</v>
      </c>
      <c r="H575" s="10">
        <f>IF(ActiveDatabase=Standby,Secondary!H575,Primary!H575)</f>
        <v>-50.2728090729999</v>
      </c>
      <c r="I575" s="13">
        <f>IF(ActiveDatabase=Standby,Secondary!I575,Primary!I575)</f>
        <v>0</v>
      </c>
      <c r="J575" s="13">
        <f>IF(ActiveDatabase=Standby,Secondary!J575,Primary!J575)</f>
        <v>0</v>
      </c>
      <c r="K575" s="13">
        <f>IF(ActiveDatabase=Standby,Secondary!K575,Primary!K575)</f>
        <v>0</v>
      </c>
      <c r="L575" s="13">
        <f>IF(ActiveDatabase=Standby,Secondary!L575,Primary!L575)</f>
        <v>0</v>
      </c>
      <c r="M575" s="7" t="b">
        <f>IF(ActiveDatabase=Standby,Secondary!M575,Primary!M575)</f>
        <v>1</v>
      </c>
      <c r="N575" s="10">
        <f>IF(ActiveDatabase=Standby,Secondary!N575,Primary!N575)</f>
        <v>0</v>
      </c>
      <c r="O575" s="10">
        <f>IF(ActiveDatabase=Standby,Secondary!O575,Primary!O575)</f>
        <v>0</v>
      </c>
      <c r="P575" s="10">
        <f>IF(ActiveDatabase=Standby,Secondary!P575,Primary!P575)</f>
        <v>0</v>
      </c>
      <c r="Q575" s="6">
        <f>IF(ActiveDatabase=Standby,Secondary!Q575,Primary!Q575)</f>
        <v>0</v>
      </c>
      <c r="R575" s="18">
        <f>IF(ActiveDatabase=Standby,Secondary!R575,Primary!R575)</f>
        <v>0</v>
      </c>
      <c r="S575" s="19">
        <f>IF(ActiveDatabase=Standby,Secondary!S575,Primary!S575)</f>
        <v>0</v>
      </c>
      <c r="T575" s="10">
        <f>IF(ActiveDatabase=Standby,Secondary!T575,Primary!T575)</f>
        <v>0</v>
      </c>
      <c r="U575" s="10">
        <f>IF(ActiveDatabase=Standby,Secondary!U575,Primary!U575)</f>
        <v>0</v>
      </c>
      <c r="V575" s="10">
        <f>IF(ActiveDatabase=Standby,Secondary!V575,Primary!V575)</f>
        <v>0</v>
      </c>
      <c r="W575" s="6">
        <f>IF(ActiveDatabase=Standby,Secondary!W575,Primary!W575)</f>
        <v>0</v>
      </c>
      <c r="X575" s="6">
        <f>IF(ActiveDatabase=Standby,Secondary!X575,Primary!X575)</f>
        <v>0</v>
      </c>
      <c r="Y575" s="12">
        <f>IF(ActiveDatabase=Standby,Secondary!Y575,Primary!Y575)</f>
        <v>0</v>
      </c>
      <c r="Z575" s="12">
        <f>IF(ActiveDatabase=Standby,Secondary!Z575,Primary!Z575)</f>
        <v>0</v>
      </c>
      <c r="AA575" s="7">
        <f>IF(ActiveDatabase=Standby,Secondary!AA575,Primary!AA575)</f>
        <v>0</v>
      </c>
      <c r="AB575" s="12"/>
      <c r="AC575" s="6"/>
      <c r="AD575" s="6"/>
      <c r="AE575" s="7"/>
      <c r="AF575" s="7"/>
      <c r="AG575" s="7"/>
      <c r="AH575" s="7"/>
      <c r="AI575" s="7"/>
      <c r="AJ575" s="7"/>
      <c r="AK575" s="7"/>
      <c r="AL575" s="7"/>
      <c r="AM575" s="7"/>
      <c r="AN575" s="7"/>
      <c r="AO575" s="6"/>
      <c r="AP575" s="7"/>
      <c r="AQ575" s="7"/>
      <c r="AR575" s="6"/>
      <c r="AS575" s="7"/>
      <c r="AT575" s="7"/>
      <c r="AU575" s="7"/>
      <c r="AV575" s="7"/>
      <c r="AW575" s="7"/>
      <c r="AX575" s="7"/>
      <c r="AY575" s="7"/>
      <c r="AZ575" s="7"/>
      <c r="BA575" s="7"/>
      <c r="BB575" s="7"/>
      <c r="BC575" s="7"/>
      <c r="BD575" s="7"/>
      <c r="BE575" s="7"/>
      <c r="BF575" s="7"/>
      <c r="BG575" s="7"/>
    </row>
    <row r="576" customHeight="1" spans="1:59">
      <c r="A576" s="9" t="str">
        <f>IF(ActiveDatabase=Standby,Secondary!A576,Primary!A576)</f>
        <v>Lyria 08</v>
      </c>
      <c r="B576" s="5" t="str">
        <f>IF(ActiveDatabase=Standby,Secondary!B576,Primary!B576)</f>
        <v>Lyria 10</v>
      </c>
      <c r="C576" s="5" t="str">
        <f>IF(ActiveDatabase=Standby,Secondary!C576,Primary!C576)</f>
        <v>Lyria 27</v>
      </c>
      <c r="D576" s="5" t="str">
        <f>IF(ActiveDatabase=Standby,Secondary!D576,Primary!D576)</f>
        <v>Launch Pad</v>
      </c>
      <c r="E576" s="6" t="str">
        <f>IF(ActiveDatabase=Standby,Secondary!E576,Primary!E576)</f>
        <v>Launch Pad</v>
      </c>
      <c r="F576" s="10">
        <f>IF(ActiveDatabase=Standby,Secondary!F576,Primary!F576)</f>
        <v>-213.839920017</v>
      </c>
      <c r="G576" s="10">
        <f>IF(ActiveDatabase=Standby,Secondary!G576,Primary!G576)</f>
        <v>-65.1627458019999</v>
      </c>
      <c r="H576" s="10">
        <f>IF(ActiveDatabase=Standby,Secondary!H576,Primary!H576)</f>
        <v>16.507928637</v>
      </c>
      <c r="I576" s="13">
        <f>IF(ActiveDatabase=Standby,Secondary!I576,Primary!I576)</f>
        <v>0</v>
      </c>
      <c r="J576" s="13">
        <f>IF(ActiveDatabase=Standby,Secondary!J576,Primary!J576)</f>
        <v>0</v>
      </c>
      <c r="K576" s="13">
        <f>IF(ActiveDatabase=Standby,Secondary!K576,Primary!K576)</f>
        <v>0</v>
      </c>
      <c r="L576" s="13">
        <f>IF(ActiveDatabase=Standby,Secondary!L576,Primary!L576)</f>
        <v>0</v>
      </c>
      <c r="M576" s="7" t="b">
        <f>IF(ActiveDatabase=Standby,Secondary!M576,Primary!M576)</f>
        <v>1</v>
      </c>
      <c r="N576" s="10">
        <f>IF(ActiveDatabase=Standby,Secondary!N576,Primary!N576)</f>
        <v>0</v>
      </c>
      <c r="O576" s="10">
        <f>IF(ActiveDatabase=Standby,Secondary!O576,Primary!O576)</f>
        <v>0</v>
      </c>
      <c r="P576" s="10">
        <f>IF(ActiveDatabase=Standby,Secondary!P576,Primary!P576)</f>
        <v>0</v>
      </c>
      <c r="Q576" s="6">
        <f>IF(ActiveDatabase=Standby,Secondary!Q576,Primary!Q576)</f>
        <v>0</v>
      </c>
      <c r="R576" s="18">
        <f>IF(ActiveDatabase=Standby,Secondary!R576,Primary!R576)</f>
        <v>0</v>
      </c>
      <c r="S576" s="19">
        <f>IF(ActiveDatabase=Standby,Secondary!S576,Primary!S576)</f>
        <v>0</v>
      </c>
      <c r="T576" s="10">
        <f>IF(ActiveDatabase=Standby,Secondary!T576,Primary!T576)</f>
        <v>0</v>
      </c>
      <c r="U576" s="10">
        <f>IF(ActiveDatabase=Standby,Secondary!U576,Primary!U576)</f>
        <v>0</v>
      </c>
      <c r="V576" s="10">
        <f>IF(ActiveDatabase=Standby,Secondary!V576,Primary!V576)</f>
        <v>0</v>
      </c>
      <c r="W576" s="6">
        <f>IF(ActiveDatabase=Standby,Secondary!W576,Primary!W576)</f>
        <v>0</v>
      </c>
      <c r="X576" s="6">
        <f>IF(ActiveDatabase=Standby,Secondary!X576,Primary!X576)</f>
        <v>0</v>
      </c>
      <c r="Y576" s="12">
        <f>IF(ActiveDatabase=Standby,Secondary!Y576,Primary!Y576)</f>
        <v>0</v>
      </c>
      <c r="Z576" s="12">
        <f>IF(ActiveDatabase=Standby,Secondary!Z576,Primary!Z576)</f>
        <v>0</v>
      </c>
      <c r="AA576" s="7">
        <f>IF(ActiveDatabase=Standby,Secondary!AA576,Primary!AA576)</f>
        <v>0</v>
      </c>
      <c r="AB576" s="12"/>
      <c r="AC576" s="6"/>
      <c r="AD576" s="6"/>
      <c r="AE576" s="7"/>
      <c r="AF576" s="7"/>
      <c r="AG576" s="7"/>
      <c r="AH576" s="7"/>
      <c r="AI576" s="7"/>
      <c r="AJ576" s="7"/>
      <c r="AK576" s="7"/>
      <c r="AL576" s="7"/>
      <c r="AM576" s="7"/>
      <c r="AN576" s="7"/>
      <c r="AO576" s="6"/>
      <c r="AP576" s="7"/>
      <c r="AQ576" s="7"/>
      <c r="AR576" s="6"/>
      <c r="AS576" s="7"/>
      <c r="AT576" s="7"/>
      <c r="AU576" s="7"/>
      <c r="AV576" s="7"/>
      <c r="AW576" s="7"/>
      <c r="AX576" s="7"/>
      <c r="AY576" s="7"/>
      <c r="AZ576" s="7"/>
      <c r="BA576" s="7"/>
      <c r="BB576" s="7"/>
      <c r="BC576" s="7"/>
      <c r="BD576" s="7"/>
      <c r="BE576" s="7"/>
      <c r="BF576" s="7"/>
      <c r="BG576" s="7"/>
    </row>
    <row r="577" customHeight="1" spans="1:59">
      <c r="A577" s="9" t="str">
        <f>IF(ActiveDatabase=Standby,Secondary!A577,Primary!A577)</f>
        <v>Lyria 09</v>
      </c>
      <c r="B577" s="5" t="str">
        <f>IF(ActiveDatabase=Standby,Secondary!B577,Primary!B577)</f>
        <v>Lyria 11</v>
      </c>
      <c r="C577" s="5" t="str">
        <f>IF(ActiveDatabase=Standby,Secondary!C577,Primary!C577)</f>
        <v>Lyria 28</v>
      </c>
      <c r="D577" s="5" t="str">
        <f>IF(ActiveDatabase=Standby,Secondary!D577,Primary!D577)</f>
        <v>Operations Depot Lyria</v>
      </c>
      <c r="E577" s="6" t="str">
        <f>IF(ActiveDatabase=Standby,Secondary!E577,Primary!E577)</f>
        <v>OpDepot</v>
      </c>
      <c r="F577" s="10">
        <f>IF(ActiveDatabase=Standby,Secondary!F577,Primary!F577)</f>
        <v>-147.803807107</v>
      </c>
      <c r="G577" s="10">
        <f>IF(ActiveDatabase=Standby,Secondary!G577,Primary!G577)</f>
        <v>-17.445260707</v>
      </c>
      <c r="H577" s="10">
        <f>IF(ActiveDatabase=Standby,Secondary!H577,Primary!H577)</f>
        <v>167.339607251998</v>
      </c>
      <c r="I577" s="13">
        <f>IF(ActiveDatabase=Standby,Secondary!I577,Primary!I577)</f>
        <v>0</v>
      </c>
      <c r="J577" s="13">
        <f>IF(ActiveDatabase=Standby,Secondary!J577,Primary!J577)</f>
        <v>0</v>
      </c>
      <c r="K577" s="13">
        <f>IF(ActiveDatabase=Standby,Secondary!K577,Primary!K577)</f>
        <v>0</v>
      </c>
      <c r="L577" s="13">
        <f>IF(ActiveDatabase=Standby,Secondary!L577,Primary!L577)</f>
        <v>0</v>
      </c>
      <c r="M577" s="7" t="b">
        <f>IF(ActiveDatabase=Standby,Secondary!M577,Primary!M577)</f>
        <v>1</v>
      </c>
      <c r="N577" s="10">
        <f>IF(ActiveDatabase=Standby,Secondary!N577,Primary!N577)</f>
        <v>0</v>
      </c>
      <c r="O577" s="10">
        <f>IF(ActiveDatabase=Standby,Secondary!O577,Primary!O577)</f>
        <v>0</v>
      </c>
      <c r="P577" s="10">
        <f>IF(ActiveDatabase=Standby,Secondary!P577,Primary!P577)</f>
        <v>0</v>
      </c>
      <c r="Q577" s="6">
        <f>IF(ActiveDatabase=Standby,Secondary!Q577,Primary!Q577)</f>
        <v>0</v>
      </c>
      <c r="R577" s="18">
        <f>IF(ActiveDatabase=Standby,Secondary!R577,Primary!R577)</f>
        <v>0</v>
      </c>
      <c r="S577" s="19">
        <f>IF(ActiveDatabase=Standby,Secondary!S577,Primary!S577)</f>
        <v>0</v>
      </c>
      <c r="T577" s="10">
        <f>IF(ActiveDatabase=Standby,Secondary!T577,Primary!T577)</f>
        <v>0</v>
      </c>
      <c r="U577" s="10">
        <f>IF(ActiveDatabase=Standby,Secondary!U577,Primary!U577)</f>
        <v>0</v>
      </c>
      <c r="V577" s="10">
        <f>IF(ActiveDatabase=Standby,Secondary!V577,Primary!V577)</f>
        <v>0</v>
      </c>
      <c r="W577" s="6">
        <f>IF(ActiveDatabase=Standby,Secondary!W577,Primary!W577)</f>
        <v>0</v>
      </c>
      <c r="X577" s="6">
        <f>IF(ActiveDatabase=Standby,Secondary!X577,Primary!X577)</f>
        <v>0</v>
      </c>
      <c r="Y577" s="12">
        <f>IF(ActiveDatabase=Standby,Secondary!Y577,Primary!Y577)</f>
        <v>0</v>
      </c>
      <c r="Z577" s="12">
        <f>IF(ActiveDatabase=Standby,Secondary!Z577,Primary!Z577)</f>
        <v>0</v>
      </c>
      <c r="AA577" s="7">
        <f>IF(ActiveDatabase=Standby,Secondary!AA577,Primary!AA577)</f>
        <v>0</v>
      </c>
      <c r="AB577" s="12"/>
      <c r="AC577" s="6"/>
      <c r="AD577" s="6"/>
      <c r="AE577" s="7"/>
      <c r="AF577" s="7"/>
      <c r="AG577" s="7"/>
      <c r="AH577" s="7"/>
      <c r="AI577" s="7"/>
      <c r="AJ577" s="7"/>
      <c r="AK577" s="7"/>
      <c r="AL577" s="7"/>
      <c r="AM577" s="7"/>
      <c r="AN577" s="7"/>
      <c r="AO577" s="6"/>
      <c r="AP577" s="7"/>
      <c r="AQ577" s="7"/>
      <c r="AR577" s="6"/>
      <c r="AS577" s="7"/>
      <c r="AT577" s="7"/>
      <c r="AU577" s="7"/>
      <c r="AV577" s="7"/>
      <c r="AW577" s="7"/>
      <c r="AX577" s="7"/>
      <c r="AY577" s="7"/>
      <c r="AZ577" s="7"/>
      <c r="BA577" s="7"/>
      <c r="BB577" s="7"/>
      <c r="BC577" s="7"/>
      <c r="BD577" s="7"/>
      <c r="BE577" s="7"/>
      <c r="BF577" s="7"/>
      <c r="BG577" s="7"/>
    </row>
    <row r="578" customHeight="1" spans="1:59">
      <c r="A578" s="9" t="str">
        <f>IF(ActiveDatabase=Standby,Secondary!A578,Primary!A578)</f>
        <v>Lyria 10</v>
      </c>
      <c r="B578" s="5" t="str">
        <f>IF(ActiveDatabase=Standby,Secondary!B578,Primary!B578)</f>
        <v>Lyria 12</v>
      </c>
      <c r="C578" s="5" t="str">
        <f>IF(ActiveDatabase=Standby,Secondary!C578,Primary!C578)</f>
        <v>Lyria 01</v>
      </c>
      <c r="D578" s="5" t="str">
        <f>IF(ActiveDatabase=Standby,Secondary!D578,Primary!D578)</f>
        <v>Shubin Processing Facility SPAL-3</v>
      </c>
      <c r="E578" s="6" t="str">
        <f>IF(ActiveDatabase=Standby,Secondary!E578,Primary!E578)</f>
        <v>SPAL-3</v>
      </c>
      <c r="F578" s="10">
        <f>IF(ActiveDatabase=Standby,Secondary!F578,Primary!F578)</f>
        <v>-208.404129518</v>
      </c>
      <c r="G578" s="10">
        <f>IF(ActiveDatabase=Standby,Secondary!G578,Primary!G578)</f>
        <v>11.2752080559998</v>
      </c>
      <c r="H578" s="10">
        <f>IF(ActiveDatabase=Standby,Secondary!H578,Primary!H578)</f>
        <v>-81.322103623</v>
      </c>
      <c r="I578" s="13">
        <f>IF(ActiveDatabase=Standby,Secondary!I578,Primary!I578)</f>
        <v>0</v>
      </c>
      <c r="J578" s="13">
        <f>IF(ActiveDatabase=Standby,Secondary!J578,Primary!J578)</f>
        <v>0</v>
      </c>
      <c r="K578" s="13">
        <f>IF(ActiveDatabase=Standby,Secondary!K578,Primary!K578)</f>
        <v>0</v>
      </c>
      <c r="L578" s="13">
        <f>IF(ActiveDatabase=Standby,Secondary!L578,Primary!L578)</f>
        <v>0</v>
      </c>
      <c r="M578" s="7" t="b">
        <f>IF(ActiveDatabase=Standby,Secondary!M578,Primary!M578)</f>
        <v>1</v>
      </c>
      <c r="N578" s="10">
        <f>IF(ActiveDatabase=Standby,Secondary!N578,Primary!N578)</f>
        <v>0</v>
      </c>
      <c r="O578" s="10">
        <f>IF(ActiveDatabase=Standby,Secondary!O578,Primary!O578)</f>
        <v>0</v>
      </c>
      <c r="P578" s="10">
        <f>IF(ActiveDatabase=Standby,Secondary!P578,Primary!P578)</f>
        <v>0</v>
      </c>
      <c r="Q578" s="6">
        <f>IF(ActiveDatabase=Standby,Secondary!Q578,Primary!Q578)</f>
        <v>0</v>
      </c>
      <c r="R578" s="18">
        <f>IF(ActiveDatabase=Standby,Secondary!R578,Primary!R578)</f>
        <v>0</v>
      </c>
      <c r="S578" s="19">
        <f>IF(ActiveDatabase=Standby,Secondary!S578,Primary!S578)</f>
        <v>0</v>
      </c>
      <c r="T578" s="10">
        <f>IF(ActiveDatabase=Standby,Secondary!T578,Primary!T578)</f>
        <v>0</v>
      </c>
      <c r="U578" s="10">
        <f>IF(ActiveDatabase=Standby,Secondary!U578,Primary!U578)</f>
        <v>0</v>
      </c>
      <c r="V578" s="10">
        <f>IF(ActiveDatabase=Standby,Secondary!V578,Primary!V578)</f>
        <v>0</v>
      </c>
      <c r="W578" s="6">
        <f>IF(ActiveDatabase=Standby,Secondary!W578,Primary!W578)</f>
        <v>0</v>
      </c>
      <c r="X578" s="6">
        <f>IF(ActiveDatabase=Standby,Secondary!X578,Primary!X578)</f>
        <v>0</v>
      </c>
      <c r="Y578" s="12">
        <f>IF(ActiveDatabase=Standby,Secondary!Y578,Primary!Y578)</f>
        <v>0</v>
      </c>
      <c r="Z578" s="12">
        <f>IF(ActiveDatabase=Standby,Secondary!Z578,Primary!Z578)</f>
        <v>0</v>
      </c>
      <c r="AA578" s="6">
        <f>IF(ActiveDatabase=Standby,Secondary!AA578,Primary!AA578)</f>
        <v>0</v>
      </c>
      <c r="AB578" s="12"/>
      <c r="AC578" s="6"/>
      <c r="AD578" s="6"/>
      <c r="AE578" s="7"/>
      <c r="AF578" s="7"/>
      <c r="AG578" s="7"/>
      <c r="AH578" s="7"/>
      <c r="AI578" s="7"/>
      <c r="AJ578" s="7"/>
      <c r="AK578" s="7"/>
      <c r="AL578" s="7"/>
      <c r="AM578" s="7"/>
      <c r="AN578" s="7"/>
      <c r="AO578" s="6"/>
      <c r="AP578" s="7"/>
      <c r="AQ578" s="7"/>
      <c r="AR578" s="6"/>
      <c r="AS578" s="6"/>
      <c r="AT578" s="6"/>
      <c r="AU578" s="6"/>
      <c r="AV578" s="6"/>
      <c r="AW578" s="6"/>
      <c r="AX578" s="6"/>
      <c r="AY578" s="6"/>
      <c r="AZ578" s="6"/>
      <c r="BA578" s="6"/>
      <c r="BB578" s="6"/>
      <c r="BC578" s="6"/>
      <c r="BD578" s="6"/>
      <c r="BE578" s="6"/>
      <c r="BF578" s="6"/>
      <c r="BG578" s="6"/>
    </row>
    <row r="579" customHeight="1" spans="1:59">
      <c r="A579" s="9" t="str">
        <f>IF(ActiveDatabase=Standby,Secondary!A579,Primary!A579)</f>
        <v>Lyria 11</v>
      </c>
      <c r="B579" s="5" t="str">
        <f>IF(ActiveDatabase=Standby,Secondary!B579,Primary!B579)</f>
        <v>Lyria 13</v>
      </c>
      <c r="C579" s="5" t="str">
        <f>IF(ActiveDatabase=Standby,Secondary!C579,Primary!C579)</f>
        <v>Lyria 19</v>
      </c>
      <c r="D579" s="5" t="str">
        <f>IF(ActiveDatabase=Standby,Secondary!D579,Primary!D579)</f>
        <v>Shubin Processing Facility SPAL-7</v>
      </c>
      <c r="E579" s="6" t="str">
        <f>IF(ActiveDatabase=Standby,Secondary!E579,Primary!E579)</f>
        <v>SPAL-7</v>
      </c>
      <c r="F579" s="10">
        <f>IF(ActiveDatabase=Standby,Secondary!F579,Primary!F579)</f>
        <v>37.913838794</v>
      </c>
      <c r="G579" s="10">
        <f>IF(ActiveDatabase=Standby,Secondary!G579,Primary!G579)</f>
        <v>-126.142169171999</v>
      </c>
      <c r="H579" s="10">
        <f>IF(ActiveDatabase=Standby,Secondary!H579,Primary!H579)</f>
        <v>181.386671413</v>
      </c>
      <c r="I579" s="13">
        <f>IF(ActiveDatabase=Standby,Secondary!I579,Primary!I579)</f>
        <v>0</v>
      </c>
      <c r="J579" s="13">
        <f>IF(ActiveDatabase=Standby,Secondary!J579,Primary!J579)</f>
        <v>0</v>
      </c>
      <c r="K579" s="13">
        <f>IF(ActiveDatabase=Standby,Secondary!K579,Primary!K579)</f>
        <v>0</v>
      </c>
      <c r="L579" s="13">
        <f>IF(ActiveDatabase=Standby,Secondary!L579,Primary!L579)</f>
        <v>0</v>
      </c>
      <c r="M579" s="7" t="b">
        <f>IF(ActiveDatabase=Standby,Secondary!M579,Primary!M579)</f>
        <v>1</v>
      </c>
      <c r="N579" s="10">
        <f>IF(ActiveDatabase=Standby,Secondary!N579,Primary!N579)</f>
        <v>0</v>
      </c>
      <c r="O579" s="10">
        <f>IF(ActiveDatabase=Standby,Secondary!O579,Primary!O579)</f>
        <v>0</v>
      </c>
      <c r="P579" s="10">
        <f>IF(ActiveDatabase=Standby,Secondary!P579,Primary!P579)</f>
        <v>0</v>
      </c>
      <c r="Q579" s="6">
        <f>IF(ActiveDatabase=Standby,Secondary!Q579,Primary!Q579)</f>
        <v>0</v>
      </c>
      <c r="R579" s="18">
        <f>IF(ActiveDatabase=Standby,Secondary!R579,Primary!R579)</f>
        <v>0</v>
      </c>
      <c r="S579" s="19">
        <f>IF(ActiveDatabase=Standby,Secondary!S579,Primary!S579)</f>
        <v>0</v>
      </c>
      <c r="T579" s="10">
        <f>IF(ActiveDatabase=Standby,Secondary!T579,Primary!T579)</f>
        <v>0</v>
      </c>
      <c r="U579" s="10">
        <f>IF(ActiveDatabase=Standby,Secondary!U579,Primary!U579)</f>
        <v>0</v>
      </c>
      <c r="V579" s="10">
        <f>IF(ActiveDatabase=Standby,Secondary!V579,Primary!V579)</f>
        <v>0</v>
      </c>
      <c r="W579" s="6">
        <f>IF(ActiveDatabase=Standby,Secondary!W579,Primary!W579)</f>
        <v>0</v>
      </c>
      <c r="X579" s="6">
        <f>IF(ActiveDatabase=Standby,Secondary!X579,Primary!X579)</f>
        <v>0</v>
      </c>
      <c r="Y579" s="12">
        <f>IF(ActiveDatabase=Standby,Secondary!Y579,Primary!Y579)</f>
        <v>0</v>
      </c>
      <c r="Z579" s="12">
        <f>IF(ActiveDatabase=Standby,Secondary!Z579,Primary!Z579)</f>
        <v>0</v>
      </c>
      <c r="AA579" s="6">
        <f>IF(ActiveDatabase=Standby,Secondary!AA579,Primary!AA579)</f>
        <v>0</v>
      </c>
      <c r="AB579" s="12"/>
      <c r="AC579" s="6"/>
      <c r="AD579" s="6"/>
      <c r="AE579" s="7"/>
      <c r="AF579" s="7"/>
      <c r="AG579" s="7"/>
      <c r="AH579" s="7"/>
      <c r="AI579" s="7"/>
      <c r="AJ579" s="7"/>
      <c r="AK579" s="7"/>
      <c r="AL579" s="7"/>
      <c r="AM579" s="7"/>
      <c r="AN579" s="7"/>
      <c r="AO579" s="6"/>
      <c r="AP579" s="7"/>
      <c r="AQ579" s="7"/>
      <c r="AR579" s="6"/>
      <c r="AS579" s="6"/>
      <c r="AT579" s="6"/>
      <c r="AU579" s="6"/>
      <c r="AV579" s="6"/>
      <c r="AW579" s="6"/>
      <c r="AX579" s="6"/>
      <c r="AY579" s="6"/>
      <c r="AZ579" s="6"/>
      <c r="BA579" s="6"/>
      <c r="BB579" s="6"/>
      <c r="BC579" s="6"/>
      <c r="BD579" s="6"/>
      <c r="BE579" s="6"/>
      <c r="BF579" s="6"/>
      <c r="BG579" s="6"/>
    </row>
    <row r="580" customHeight="1" spans="1:59">
      <c r="A580" s="9" t="str">
        <f>IF(ActiveDatabase=Standby,Secondary!A580,Primary!A580)</f>
        <v>Lyria 12</v>
      </c>
      <c r="B580" s="5" t="str">
        <f>IF(ActiveDatabase=Standby,Secondary!B580,Primary!B580)</f>
        <v>Lyria 14</v>
      </c>
      <c r="C580" s="5" t="str">
        <f>IF(ActiveDatabase=Standby,Secondary!C580,Primary!C580)</f>
        <v>Lyria 18</v>
      </c>
      <c r="D580" s="5" t="str">
        <f>IF(ActiveDatabase=Standby,Secondary!D580,Primary!D580)</f>
        <v>Shubin Processing Facility SPAL-9</v>
      </c>
      <c r="E580" s="6" t="str">
        <f>IF(ActiveDatabase=Standby,Secondary!E580,Primary!E580)</f>
        <v>SPAL-9</v>
      </c>
      <c r="F580" s="10">
        <f>IF(ActiveDatabase=Standby,Secondary!F580,Primary!F580)</f>
        <v>146.676418559999</v>
      </c>
      <c r="G580" s="10">
        <f>IF(ActiveDatabase=Standby,Secondary!G580,Primary!G580)</f>
        <v>-169.035498555</v>
      </c>
      <c r="H580" s="10">
        <f>IF(ActiveDatabase=Standby,Secondary!H580,Primary!H580)</f>
        <v>8.34046491199999</v>
      </c>
      <c r="I580" s="13">
        <f>IF(ActiveDatabase=Standby,Secondary!I580,Primary!I580)</f>
        <v>0</v>
      </c>
      <c r="J580" s="13">
        <f>IF(ActiveDatabase=Standby,Secondary!J580,Primary!J580)</f>
        <v>0</v>
      </c>
      <c r="K580" s="13">
        <f>IF(ActiveDatabase=Standby,Secondary!K580,Primary!K580)</f>
        <v>0</v>
      </c>
      <c r="L580" s="13">
        <f>IF(ActiveDatabase=Standby,Secondary!L580,Primary!L580)</f>
        <v>0</v>
      </c>
      <c r="M580" s="7" t="b">
        <f>IF(ActiveDatabase=Standby,Secondary!M580,Primary!M580)</f>
        <v>1</v>
      </c>
      <c r="N580" s="10">
        <f>IF(ActiveDatabase=Standby,Secondary!N580,Primary!N580)</f>
        <v>0</v>
      </c>
      <c r="O580" s="10">
        <f>IF(ActiveDatabase=Standby,Secondary!O580,Primary!O580)</f>
        <v>0</v>
      </c>
      <c r="P580" s="10">
        <f>IF(ActiveDatabase=Standby,Secondary!P580,Primary!P580)</f>
        <v>0</v>
      </c>
      <c r="Q580" s="6">
        <f>IF(ActiveDatabase=Standby,Secondary!Q580,Primary!Q580)</f>
        <v>0</v>
      </c>
      <c r="R580" s="18">
        <f>IF(ActiveDatabase=Standby,Secondary!R580,Primary!R580)</f>
        <v>0</v>
      </c>
      <c r="S580" s="19">
        <f>IF(ActiveDatabase=Standby,Secondary!S580,Primary!S580)</f>
        <v>0</v>
      </c>
      <c r="T580" s="10">
        <f>IF(ActiveDatabase=Standby,Secondary!T580,Primary!T580)</f>
        <v>0</v>
      </c>
      <c r="U580" s="10">
        <f>IF(ActiveDatabase=Standby,Secondary!U580,Primary!U580)</f>
        <v>0</v>
      </c>
      <c r="V580" s="10">
        <f>IF(ActiveDatabase=Standby,Secondary!V580,Primary!V580)</f>
        <v>0</v>
      </c>
      <c r="W580" s="6">
        <f>IF(ActiveDatabase=Standby,Secondary!W580,Primary!W580)</f>
        <v>0</v>
      </c>
      <c r="X580" s="6">
        <f>IF(ActiveDatabase=Standby,Secondary!X580,Primary!X580)</f>
        <v>0</v>
      </c>
      <c r="Y580" s="12">
        <f>IF(ActiveDatabase=Standby,Secondary!Y580,Primary!Y580)</f>
        <v>0</v>
      </c>
      <c r="Z580" s="12">
        <f>IF(ActiveDatabase=Standby,Secondary!Z580,Primary!Z580)</f>
        <v>0</v>
      </c>
      <c r="AA580" s="6">
        <f>IF(ActiveDatabase=Standby,Secondary!AA580,Primary!AA580)</f>
        <v>0</v>
      </c>
      <c r="AB580" s="12"/>
      <c r="AC580" s="6"/>
      <c r="AD580" s="6"/>
      <c r="AE580" s="7"/>
      <c r="AF580" s="7"/>
      <c r="AG580" s="7"/>
      <c r="AH580" s="7"/>
      <c r="AI580" s="7"/>
      <c r="AJ580" s="7"/>
      <c r="AK580" s="7"/>
      <c r="AL580" s="7"/>
      <c r="AM580" s="7"/>
      <c r="AN580" s="7"/>
      <c r="AO580" s="6"/>
      <c r="AP580" s="7"/>
      <c r="AQ580" s="7"/>
      <c r="AR580" s="6"/>
      <c r="AS580" s="6"/>
      <c r="AT580" s="6"/>
      <c r="AU580" s="6"/>
      <c r="AV580" s="6"/>
      <c r="AW580" s="6"/>
      <c r="AX580" s="6"/>
      <c r="AY580" s="6"/>
      <c r="AZ580" s="6"/>
      <c r="BA580" s="6"/>
      <c r="BB580" s="6"/>
      <c r="BC580" s="6"/>
      <c r="BD580" s="6"/>
      <c r="BE580" s="6"/>
      <c r="BF580" s="6"/>
      <c r="BG580" s="6"/>
    </row>
    <row r="581" customHeight="1" spans="1:59">
      <c r="A581" s="9" t="str">
        <f>IF(ActiveDatabase=Standby,Secondary!A581,Primary!A581)</f>
        <v>Lyria 13</v>
      </c>
      <c r="B581" s="5" t="str">
        <f>IF(ActiveDatabase=Standby,Secondary!B581,Primary!B581)</f>
        <v>Lyria 15</v>
      </c>
      <c r="C581" s="5" t="str">
        <f>IF(ActiveDatabase=Standby,Secondary!C581,Primary!C581)</f>
        <v>Lyria 05</v>
      </c>
      <c r="D581" s="5" t="str">
        <f>IF(ActiveDatabase=Standby,Secondary!D581,Primary!D581)</f>
        <v>Shubin Processing Facility SPAL-12</v>
      </c>
      <c r="E581" s="6" t="str">
        <f>IF(ActiveDatabase=Standby,Secondary!E581,Primary!E581)</f>
        <v>SPAL-12</v>
      </c>
      <c r="F581" s="10">
        <f>IF(ActiveDatabase=Standby,Secondary!F581,Primary!F581)</f>
        <v>-173.502835813</v>
      </c>
      <c r="G581" s="10">
        <f>IF(ActiveDatabase=Standby,Secondary!G581,Primary!G581)</f>
        <v>124.81037674</v>
      </c>
      <c r="H581" s="10">
        <f>IF(ActiveDatabase=Standby,Secondary!H581,Primary!H581)</f>
        <v>66.7839272849998</v>
      </c>
      <c r="I581" s="13">
        <f>IF(ActiveDatabase=Standby,Secondary!I581,Primary!I581)</f>
        <v>0</v>
      </c>
      <c r="J581" s="13">
        <f>IF(ActiveDatabase=Standby,Secondary!J581,Primary!J581)</f>
        <v>0</v>
      </c>
      <c r="K581" s="13">
        <f>IF(ActiveDatabase=Standby,Secondary!K581,Primary!K581)</f>
        <v>0</v>
      </c>
      <c r="L581" s="13">
        <f>IF(ActiveDatabase=Standby,Secondary!L581,Primary!L581)</f>
        <v>0</v>
      </c>
      <c r="M581" s="7" t="b">
        <f>IF(ActiveDatabase=Standby,Secondary!M581,Primary!M581)</f>
        <v>1</v>
      </c>
      <c r="N581" s="10">
        <f>IF(ActiveDatabase=Standby,Secondary!N581,Primary!N581)</f>
        <v>0</v>
      </c>
      <c r="O581" s="10">
        <f>IF(ActiveDatabase=Standby,Secondary!O581,Primary!O581)</f>
        <v>0</v>
      </c>
      <c r="P581" s="10">
        <f>IF(ActiveDatabase=Standby,Secondary!P581,Primary!P581)</f>
        <v>0</v>
      </c>
      <c r="Q581" s="6">
        <f>IF(ActiveDatabase=Standby,Secondary!Q581,Primary!Q581)</f>
        <v>0</v>
      </c>
      <c r="R581" s="18">
        <f>IF(ActiveDatabase=Standby,Secondary!R581,Primary!R581)</f>
        <v>0</v>
      </c>
      <c r="S581" s="19">
        <f>IF(ActiveDatabase=Standby,Secondary!S581,Primary!S581)</f>
        <v>0</v>
      </c>
      <c r="T581" s="10">
        <f>IF(ActiveDatabase=Standby,Secondary!T581,Primary!T581)</f>
        <v>0</v>
      </c>
      <c r="U581" s="10">
        <f>IF(ActiveDatabase=Standby,Secondary!U581,Primary!U581)</f>
        <v>0</v>
      </c>
      <c r="V581" s="10">
        <f>IF(ActiveDatabase=Standby,Secondary!V581,Primary!V581)</f>
        <v>0</v>
      </c>
      <c r="W581" s="6">
        <f>IF(ActiveDatabase=Standby,Secondary!W581,Primary!W581)</f>
        <v>0</v>
      </c>
      <c r="X581" s="6">
        <f>IF(ActiveDatabase=Standby,Secondary!X581,Primary!X581)</f>
        <v>0</v>
      </c>
      <c r="Y581" s="12">
        <f>IF(ActiveDatabase=Standby,Secondary!Y581,Primary!Y581)</f>
        <v>0</v>
      </c>
      <c r="Z581" s="12">
        <f>IF(ActiveDatabase=Standby,Secondary!Z581,Primary!Z581)</f>
        <v>0</v>
      </c>
      <c r="AA581" s="6">
        <f>IF(ActiveDatabase=Standby,Secondary!AA581,Primary!AA581)</f>
        <v>0</v>
      </c>
      <c r="AB581" s="12"/>
      <c r="AC581" s="6"/>
      <c r="AD581" s="6"/>
      <c r="AE581" s="7"/>
      <c r="AF581" s="7"/>
      <c r="AG581" s="7"/>
      <c r="AH581" s="7"/>
      <c r="AI581" s="7"/>
      <c r="AJ581" s="7"/>
      <c r="AK581" s="7"/>
      <c r="AL581" s="7"/>
      <c r="AM581" s="7"/>
      <c r="AN581" s="7"/>
      <c r="AO581" s="6"/>
      <c r="AP581" s="7"/>
      <c r="AQ581" s="7"/>
      <c r="AR581" s="6"/>
      <c r="AS581" s="6"/>
      <c r="AT581" s="6"/>
      <c r="AU581" s="6"/>
      <c r="AV581" s="6"/>
      <c r="AW581" s="6"/>
      <c r="AX581" s="6"/>
      <c r="AY581" s="6"/>
      <c r="AZ581" s="6"/>
      <c r="BA581" s="6"/>
      <c r="BB581" s="6"/>
      <c r="BC581" s="6"/>
      <c r="BD581" s="6"/>
      <c r="BE581" s="6"/>
      <c r="BF581" s="6"/>
      <c r="BG581" s="6"/>
    </row>
    <row r="582" customHeight="1" spans="1:59">
      <c r="A582" s="9" t="str">
        <f>IF(ActiveDatabase=Standby,Secondary!A582,Primary!A582)</f>
        <v>Lyria 14</v>
      </c>
      <c r="B582" s="5" t="str">
        <f>IF(ActiveDatabase=Standby,Secondary!B582,Primary!B582)</f>
        <v>Lyria 16</v>
      </c>
      <c r="C582" s="5" t="str">
        <f>IF(ActiveDatabase=Standby,Secondary!C582,Primary!C582)</f>
        <v>Lyria 24</v>
      </c>
      <c r="D582" s="5" t="str">
        <f>IF(ActiveDatabase=Standby,Secondary!D582,Primary!D582)</f>
        <v>Shubin Processing Facility SPAL-16</v>
      </c>
      <c r="E582" s="6" t="str">
        <f>IF(ActiveDatabase=Standby,Secondary!E582,Primary!E582)</f>
        <v>SPAL-16</v>
      </c>
      <c r="F582" s="10">
        <f>IF(ActiveDatabase=Standby,Secondary!F582,Primary!F582)</f>
        <v>-40.101377967</v>
      </c>
      <c r="G582" s="10">
        <f>IF(ActiveDatabase=Standby,Secondary!G582,Primary!G582)</f>
        <v>-66.2631414939999</v>
      </c>
      <c r="H582" s="10">
        <f>IF(ActiveDatabase=Standby,Secondary!H582,Primary!H582)</f>
        <v>209.89169704</v>
      </c>
      <c r="I582" s="13">
        <f>IF(ActiveDatabase=Standby,Secondary!I582,Primary!I582)</f>
        <v>0</v>
      </c>
      <c r="J582" s="13">
        <f>IF(ActiveDatabase=Standby,Secondary!J582,Primary!J582)</f>
        <v>0</v>
      </c>
      <c r="K582" s="13">
        <f>IF(ActiveDatabase=Standby,Secondary!K582,Primary!K582)</f>
        <v>0</v>
      </c>
      <c r="L582" s="13">
        <f>IF(ActiveDatabase=Standby,Secondary!L582,Primary!L582)</f>
        <v>0</v>
      </c>
      <c r="M582" s="7" t="b">
        <f>IF(ActiveDatabase=Standby,Secondary!M582,Primary!M582)</f>
        <v>1</v>
      </c>
      <c r="N582" s="10">
        <f>IF(ActiveDatabase=Standby,Secondary!N582,Primary!N582)</f>
        <v>0</v>
      </c>
      <c r="O582" s="10">
        <f>IF(ActiveDatabase=Standby,Secondary!O582,Primary!O582)</f>
        <v>0</v>
      </c>
      <c r="P582" s="10">
        <f>IF(ActiveDatabase=Standby,Secondary!P582,Primary!P582)</f>
        <v>0</v>
      </c>
      <c r="Q582" s="6">
        <f>IF(ActiveDatabase=Standby,Secondary!Q582,Primary!Q582)</f>
        <v>0</v>
      </c>
      <c r="R582" s="18">
        <f>IF(ActiveDatabase=Standby,Secondary!R582,Primary!R582)</f>
        <v>0</v>
      </c>
      <c r="S582" s="19">
        <f>IF(ActiveDatabase=Standby,Secondary!S582,Primary!S582)</f>
        <v>0</v>
      </c>
      <c r="T582" s="10">
        <f>IF(ActiveDatabase=Standby,Secondary!T582,Primary!T582)</f>
        <v>0</v>
      </c>
      <c r="U582" s="10">
        <f>IF(ActiveDatabase=Standby,Secondary!U582,Primary!U582)</f>
        <v>0</v>
      </c>
      <c r="V582" s="10">
        <f>IF(ActiveDatabase=Standby,Secondary!V582,Primary!V582)</f>
        <v>0</v>
      </c>
      <c r="W582" s="6">
        <f>IF(ActiveDatabase=Standby,Secondary!W582,Primary!W582)</f>
        <v>0</v>
      </c>
      <c r="X582" s="6">
        <f>IF(ActiveDatabase=Standby,Secondary!X582,Primary!X582)</f>
        <v>0</v>
      </c>
      <c r="Y582" s="12">
        <f>IF(ActiveDatabase=Standby,Secondary!Y582,Primary!Y582)</f>
        <v>0</v>
      </c>
      <c r="Z582" s="12">
        <f>IF(ActiveDatabase=Standby,Secondary!Z582,Primary!Z582)</f>
        <v>0</v>
      </c>
      <c r="AA582" s="6">
        <f>IF(ActiveDatabase=Standby,Secondary!AA582,Primary!AA582)</f>
        <v>0</v>
      </c>
      <c r="AB582" s="12"/>
      <c r="AC582" s="6"/>
      <c r="AD582" s="6"/>
      <c r="AE582" s="7"/>
      <c r="AF582" s="7"/>
      <c r="AG582" s="7"/>
      <c r="AH582" s="7"/>
      <c r="AI582" s="7"/>
      <c r="AJ582" s="7"/>
      <c r="AK582" s="7"/>
      <c r="AL582" s="7"/>
      <c r="AM582" s="7"/>
      <c r="AN582" s="7"/>
      <c r="AO582" s="6"/>
      <c r="AP582" s="7"/>
      <c r="AQ582" s="7"/>
      <c r="AR582" s="6"/>
      <c r="AS582" s="6"/>
      <c r="AT582" s="6"/>
      <c r="AU582" s="6"/>
      <c r="AV582" s="6"/>
      <c r="AW582" s="6"/>
      <c r="AX582" s="6"/>
      <c r="AY582" s="6"/>
      <c r="AZ582" s="6"/>
      <c r="BA582" s="6"/>
      <c r="BB582" s="6"/>
      <c r="BC582" s="6"/>
      <c r="BD582" s="6"/>
      <c r="BE582" s="6"/>
      <c r="BF582" s="6"/>
      <c r="BG582" s="6"/>
    </row>
    <row r="583" customHeight="1" spans="1:59">
      <c r="A583" s="9" t="str">
        <f>IF(ActiveDatabase=Standby,Secondary!A583,Primary!A583)</f>
        <v>Lyria 15</v>
      </c>
      <c r="B583" s="5" t="str">
        <f>IF(ActiveDatabase=Standby,Secondary!B583,Primary!B583)</f>
        <v>Lyria 17</v>
      </c>
      <c r="C583" s="5" t="str">
        <f>IF(ActiveDatabase=Standby,Secondary!C583,Primary!C583)</f>
        <v>Lyria 04</v>
      </c>
      <c r="D583" s="5" t="str">
        <f>IF(ActiveDatabase=Standby,Secondary!D583,Primary!D583)</f>
        <v>Shubin Processing Facility SPAL-21</v>
      </c>
      <c r="E583" s="6" t="str">
        <f>IF(ActiveDatabase=Standby,Secondary!E583,Primary!E583)</f>
        <v>SPAL-21</v>
      </c>
      <c r="F583" s="10">
        <f>IF(ActiveDatabase=Standby,Secondary!F583,Primary!F583)</f>
        <v>-19.526859218</v>
      </c>
      <c r="G583" s="10">
        <f>IF(ActiveDatabase=Standby,Secondary!G583,Primary!G583)</f>
        <v>13.461724096</v>
      </c>
      <c r="H583" s="10">
        <f>IF(ActiveDatabase=Standby,Secondary!H583,Primary!H583)</f>
        <v>222.715912419</v>
      </c>
      <c r="I583" s="13">
        <f>IF(ActiveDatabase=Standby,Secondary!I583,Primary!I583)</f>
        <v>0</v>
      </c>
      <c r="J583" s="13">
        <f>IF(ActiveDatabase=Standby,Secondary!J583,Primary!J583)</f>
        <v>0</v>
      </c>
      <c r="K583" s="13">
        <f>IF(ActiveDatabase=Standby,Secondary!K583,Primary!K583)</f>
        <v>0</v>
      </c>
      <c r="L583" s="13">
        <f>IF(ActiveDatabase=Standby,Secondary!L583,Primary!L583)</f>
        <v>0</v>
      </c>
      <c r="M583" s="7" t="b">
        <f>IF(ActiveDatabase=Standby,Secondary!M583,Primary!M583)</f>
        <v>1</v>
      </c>
      <c r="N583" s="10">
        <f>IF(ActiveDatabase=Standby,Secondary!N583,Primary!N583)</f>
        <v>0</v>
      </c>
      <c r="O583" s="10">
        <f>IF(ActiveDatabase=Standby,Secondary!O583,Primary!O583)</f>
        <v>0</v>
      </c>
      <c r="P583" s="10">
        <f>IF(ActiveDatabase=Standby,Secondary!P583,Primary!P583)</f>
        <v>0</v>
      </c>
      <c r="Q583" s="6">
        <f>IF(ActiveDatabase=Standby,Secondary!Q583,Primary!Q583)</f>
        <v>0</v>
      </c>
      <c r="R583" s="18">
        <f>IF(ActiveDatabase=Standby,Secondary!R583,Primary!R583)</f>
        <v>0</v>
      </c>
      <c r="S583" s="19">
        <f>IF(ActiveDatabase=Standby,Secondary!S583,Primary!S583)</f>
        <v>0</v>
      </c>
      <c r="T583" s="10">
        <f>IF(ActiveDatabase=Standby,Secondary!T583,Primary!T583)</f>
        <v>0</v>
      </c>
      <c r="U583" s="10">
        <f>IF(ActiveDatabase=Standby,Secondary!U583,Primary!U583)</f>
        <v>0</v>
      </c>
      <c r="V583" s="10">
        <f>IF(ActiveDatabase=Standby,Secondary!V583,Primary!V583)</f>
        <v>0</v>
      </c>
      <c r="W583" s="6">
        <f>IF(ActiveDatabase=Standby,Secondary!W583,Primary!W583)</f>
        <v>0</v>
      </c>
      <c r="X583" s="6">
        <f>IF(ActiveDatabase=Standby,Secondary!X583,Primary!X583)</f>
        <v>0</v>
      </c>
      <c r="Y583" s="12">
        <f>IF(ActiveDatabase=Standby,Secondary!Y583,Primary!Y583)</f>
        <v>0</v>
      </c>
      <c r="Z583" s="12">
        <f>IF(ActiveDatabase=Standby,Secondary!Z583,Primary!Z583)</f>
        <v>0</v>
      </c>
      <c r="AA583" s="6">
        <f>IF(ActiveDatabase=Standby,Secondary!AA583,Primary!AA583)</f>
        <v>0</v>
      </c>
      <c r="AB583" s="12"/>
      <c r="AC583" s="6"/>
      <c r="AD583" s="6"/>
      <c r="AE583" s="7"/>
      <c r="AF583" s="7"/>
      <c r="AG583" s="7"/>
      <c r="AH583" s="7"/>
      <c r="AI583" s="7"/>
      <c r="AJ583" s="7"/>
      <c r="AK583" s="7"/>
      <c r="AL583" s="7"/>
      <c r="AM583" s="7"/>
      <c r="AN583" s="7"/>
      <c r="AO583" s="6"/>
      <c r="AP583" s="7"/>
      <c r="AQ583" s="7"/>
      <c r="AR583" s="6"/>
      <c r="AS583" s="6"/>
      <c r="AT583" s="6"/>
      <c r="AU583" s="6"/>
      <c r="AV583" s="6"/>
      <c r="AW583" s="6"/>
      <c r="AX583" s="6"/>
      <c r="AY583" s="6"/>
      <c r="AZ583" s="6"/>
      <c r="BA583" s="6"/>
      <c r="BB583" s="6"/>
      <c r="BC583" s="6"/>
      <c r="BD583" s="6"/>
      <c r="BE583" s="6"/>
      <c r="BF583" s="6"/>
      <c r="BG583" s="6"/>
    </row>
    <row r="584" customHeight="1" spans="1:59">
      <c r="A584" s="9" t="str">
        <f>IF(ActiveDatabase=Standby,Secondary!A584,Primary!A584)</f>
        <v>Lyria 16</v>
      </c>
      <c r="B584" s="5" t="str">
        <f>IF(ActiveDatabase=Standby,Secondary!B584,Primary!B584)</f>
        <v>Lyria 18</v>
      </c>
      <c r="C584" s="5" t="str">
        <f>IF(ActiveDatabase=Standby,Secondary!C584,Primary!C584)</f>
        <v>Lyria 08</v>
      </c>
      <c r="D584" s="5" t="str">
        <f>IF(ActiveDatabase=Standby,Secondary!D584,Primary!D584)</f>
        <v>Teddy's Playhouse</v>
      </c>
      <c r="E584" s="6" t="str">
        <f>IF(ActiveDatabase=Standby,Secondary!E584,Primary!E584)</f>
        <v>Playhouse</v>
      </c>
      <c r="F584" s="10">
        <f>IF(ActiveDatabase=Standby,Secondary!F584,Primary!F584)</f>
        <v>95.428899223</v>
      </c>
      <c r="G584" s="10">
        <f>IF(ActiveDatabase=Standby,Secondary!G584,Primary!G584)</f>
        <v>160.939726246</v>
      </c>
      <c r="H584" s="10">
        <f>IF(ActiveDatabase=Standby,Secondary!H584,Primary!H584)</f>
        <v>-122.845590215</v>
      </c>
      <c r="I584" s="13">
        <f>IF(ActiveDatabase=Standby,Secondary!I584,Primary!I584)</f>
        <v>0</v>
      </c>
      <c r="J584" s="13">
        <f>IF(ActiveDatabase=Standby,Secondary!J584,Primary!J584)</f>
        <v>0</v>
      </c>
      <c r="K584" s="13">
        <f>IF(ActiveDatabase=Standby,Secondary!K584,Primary!K584)</f>
        <v>0</v>
      </c>
      <c r="L584" s="13">
        <f>IF(ActiveDatabase=Standby,Secondary!L584,Primary!L584)</f>
        <v>0</v>
      </c>
      <c r="M584" s="7" t="b">
        <f>IF(ActiveDatabase=Standby,Secondary!M584,Primary!M584)</f>
        <v>1</v>
      </c>
      <c r="N584" s="10">
        <f>IF(ActiveDatabase=Standby,Secondary!N584,Primary!N584)</f>
        <v>0</v>
      </c>
      <c r="O584" s="10">
        <f>IF(ActiveDatabase=Standby,Secondary!O584,Primary!O584)</f>
        <v>0</v>
      </c>
      <c r="P584" s="10">
        <f>IF(ActiveDatabase=Standby,Secondary!P584,Primary!P584)</f>
        <v>0</v>
      </c>
      <c r="Q584" s="6">
        <f>IF(ActiveDatabase=Standby,Secondary!Q584,Primary!Q584)</f>
        <v>0</v>
      </c>
      <c r="R584" s="18">
        <f>IF(ActiveDatabase=Standby,Secondary!R584,Primary!R584)</f>
        <v>0</v>
      </c>
      <c r="S584" s="19">
        <f>IF(ActiveDatabase=Standby,Secondary!S584,Primary!S584)</f>
        <v>0</v>
      </c>
      <c r="T584" s="10">
        <f>IF(ActiveDatabase=Standby,Secondary!T584,Primary!T584)</f>
        <v>0</v>
      </c>
      <c r="U584" s="10">
        <f>IF(ActiveDatabase=Standby,Secondary!U584,Primary!U584)</f>
        <v>0</v>
      </c>
      <c r="V584" s="10">
        <f>IF(ActiveDatabase=Standby,Secondary!V584,Primary!V584)</f>
        <v>0</v>
      </c>
      <c r="W584" s="6">
        <f>IF(ActiveDatabase=Standby,Secondary!W584,Primary!W584)</f>
        <v>0</v>
      </c>
      <c r="X584" s="6">
        <f>IF(ActiveDatabase=Standby,Secondary!X584,Primary!X584)</f>
        <v>0</v>
      </c>
      <c r="Y584" s="12">
        <f>IF(ActiveDatabase=Standby,Secondary!Y584,Primary!Y584)</f>
        <v>0</v>
      </c>
      <c r="Z584" s="12">
        <f>IF(ActiveDatabase=Standby,Secondary!Z584,Primary!Z584)</f>
        <v>0</v>
      </c>
      <c r="AA584" s="6">
        <f>IF(ActiveDatabase=Standby,Secondary!AA584,Primary!AA584)</f>
        <v>0</v>
      </c>
      <c r="AB584" s="12"/>
      <c r="AC584" s="6"/>
      <c r="AD584" s="6"/>
      <c r="AE584" s="7"/>
      <c r="AF584" s="7"/>
      <c r="AG584" s="7"/>
      <c r="AH584" s="7"/>
      <c r="AI584" s="7"/>
      <c r="AJ584" s="7"/>
      <c r="AK584" s="7"/>
      <c r="AL584" s="7"/>
      <c r="AM584" s="7"/>
      <c r="AN584" s="7"/>
      <c r="AO584" s="6"/>
      <c r="AP584" s="7"/>
      <c r="AQ584" s="7"/>
      <c r="AR584" s="6"/>
      <c r="AS584" s="6"/>
      <c r="AT584" s="6"/>
      <c r="AU584" s="6"/>
      <c r="AV584" s="6"/>
      <c r="AW584" s="6"/>
      <c r="AX584" s="6"/>
      <c r="AY584" s="6"/>
      <c r="AZ584" s="6"/>
      <c r="BA584" s="6"/>
      <c r="BB584" s="6"/>
      <c r="BC584" s="6"/>
      <c r="BD584" s="6"/>
      <c r="BE584" s="6"/>
      <c r="BF584" s="6"/>
      <c r="BG584" s="6"/>
    </row>
    <row r="585" customHeight="1" spans="1:59">
      <c r="A585" s="9" t="str">
        <f>IF(ActiveDatabase=Standby,Secondary!A585,Primary!A585)</f>
        <v>Lyria 17</v>
      </c>
      <c r="B585" s="5" t="str">
        <f>IF(ActiveDatabase=Standby,Secondary!B585,Primary!B585)</f>
        <v>Lyria 19</v>
      </c>
      <c r="C585" s="5" t="str">
        <f>IF(ActiveDatabase=Standby,Secondary!C585,Primary!C585)</f>
        <v>Lyria 09</v>
      </c>
      <c r="D585" s="5" t="str">
        <f>IF(ActiveDatabase=Standby,Secondary!D585,Primary!D585)</f>
        <v>The Pit</v>
      </c>
      <c r="E585" s="6" t="str">
        <f>IF(ActiveDatabase=Standby,Secondary!E585,Primary!E585)</f>
        <v>Pit</v>
      </c>
      <c r="F585" s="10">
        <f>IF(ActiveDatabase=Standby,Secondary!F585,Primary!F585)</f>
        <v>59.094282046</v>
      </c>
      <c r="G585" s="10">
        <f>IF(ActiveDatabase=Standby,Secondary!G585,Primary!G585)</f>
        <v>68.1150196529998</v>
      </c>
      <c r="H585" s="10">
        <f>IF(ActiveDatabase=Standby,Secondary!H585,Primary!H585)</f>
        <v>204.996612269</v>
      </c>
      <c r="I585" s="13">
        <f>IF(ActiveDatabase=Standby,Secondary!I585,Primary!I585)</f>
        <v>0</v>
      </c>
      <c r="J585" s="13">
        <f>IF(ActiveDatabase=Standby,Secondary!J585,Primary!J585)</f>
        <v>0</v>
      </c>
      <c r="K585" s="13">
        <f>IF(ActiveDatabase=Standby,Secondary!K585,Primary!K585)</f>
        <v>0</v>
      </c>
      <c r="L585" s="13">
        <f>IF(ActiveDatabase=Standby,Secondary!L585,Primary!L585)</f>
        <v>0</v>
      </c>
      <c r="M585" s="7" t="b">
        <f>IF(ActiveDatabase=Standby,Secondary!M585,Primary!M585)</f>
        <v>1</v>
      </c>
      <c r="N585" s="10">
        <f>IF(ActiveDatabase=Standby,Secondary!N585,Primary!N585)</f>
        <v>0</v>
      </c>
      <c r="O585" s="10">
        <f>IF(ActiveDatabase=Standby,Secondary!O585,Primary!O585)</f>
        <v>0</v>
      </c>
      <c r="P585" s="10">
        <f>IF(ActiveDatabase=Standby,Secondary!P585,Primary!P585)</f>
        <v>0</v>
      </c>
      <c r="Q585" s="6">
        <f>IF(ActiveDatabase=Standby,Secondary!Q585,Primary!Q585)</f>
        <v>0</v>
      </c>
      <c r="R585" s="18">
        <f>IF(ActiveDatabase=Standby,Secondary!R585,Primary!R585)</f>
        <v>0</v>
      </c>
      <c r="S585" s="19">
        <f>IF(ActiveDatabase=Standby,Secondary!S585,Primary!S585)</f>
        <v>0</v>
      </c>
      <c r="T585" s="10">
        <f>IF(ActiveDatabase=Standby,Secondary!T585,Primary!T585)</f>
        <v>0</v>
      </c>
      <c r="U585" s="10">
        <f>IF(ActiveDatabase=Standby,Secondary!U585,Primary!U585)</f>
        <v>0</v>
      </c>
      <c r="V585" s="10">
        <f>IF(ActiveDatabase=Standby,Secondary!V585,Primary!V585)</f>
        <v>0</v>
      </c>
      <c r="W585" s="6">
        <f>IF(ActiveDatabase=Standby,Secondary!W585,Primary!W585)</f>
        <v>0</v>
      </c>
      <c r="X585" s="6">
        <f>IF(ActiveDatabase=Standby,Secondary!X585,Primary!X585)</f>
        <v>0</v>
      </c>
      <c r="Y585" s="12">
        <f>IF(ActiveDatabase=Standby,Secondary!Y585,Primary!Y585)</f>
        <v>0</v>
      </c>
      <c r="Z585" s="12">
        <f>IF(ActiveDatabase=Standby,Secondary!Z585,Primary!Z585)</f>
        <v>0</v>
      </c>
      <c r="AA585" s="6">
        <f>IF(ActiveDatabase=Standby,Secondary!AA585,Primary!AA585)</f>
        <v>0</v>
      </c>
      <c r="AB585" s="12"/>
      <c r="AC585" s="6"/>
      <c r="AD585" s="6"/>
      <c r="AE585" s="7"/>
      <c r="AF585" s="7"/>
      <c r="AG585" s="7"/>
      <c r="AH585" s="7"/>
      <c r="AI585" s="7"/>
      <c r="AJ585" s="7"/>
      <c r="AK585" s="7"/>
      <c r="AL585" s="7"/>
      <c r="AM585" s="7"/>
      <c r="AN585" s="7"/>
      <c r="AO585" s="6"/>
      <c r="AP585" s="7"/>
      <c r="AQ585" s="7"/>
      <c r="AR585" s="6"/>
      <c r="AS585" s="6"/>
      <c r="AT585" s="6"/>
      <c r="AU585" s="6"/>
      <c r="AV585" s="6"/>
      <c r="AW585" s="6"/>
      <c r="AX585" s="6"/>
      <c r="AY585" s="6"/>
      <c r="AZ585" s="6"/>
      <c r="BA585" s="6"/>
      <c r="BB585" s="6"/>
      <c r="BC585" s="6"/>
      <c r="BD585" s="6"/>
      <c r="BE585" s="6"/>
      <c r="BF585" s="6"/>
      <c r="BG585" s="6"/>
    </row>
    <row r="586" customHeight="1" spans="1:59">
      <c r="A586" s="9" t="str">
        <f>IF(ActiveDatabase=Standby,Secondary!A586,Primary!A586)</f>
        <v>Lyria 18</v>
      </c>
      <c r="B586" s="5" t="str">
        <f>IF(ActiveDatabase=Standby,Secondary!B586,Primary!B586)</f>
        <v>Lyria 20</v>
      </c>
      <c r="C586" s="5" t="str">
        <f>IF(ActiveDatabase=Standby,Secondary!C586,Primary!C586)</f>
        <v>Lyria 23</v>
      </c>
      <c r="D586" s="5" t="str">
        <f>IF(ActiveDatabase=Standby,Secondary!D586,Primary!D586)</f>
        <v>Wheeler's</v>
      </c>
      <c r="E586" s="6" t="str">
        <f>IF(ActiveDatabase=Standby,Secondary!E586,Primary!E586)</f>
        <v>Wheelers</v>
      </c>
      <c r="F586" s="10">
        <f>IF(ActiveDatabase=Standby,Secondary!F586,Primary!F586)</f>
        <v>-53.369535053</v>
      </c>
      <c r="G586" s="10">
        <f>IF(ActiveDatabase=Standby,Secondary!G586,Primary!G586)</f>
        <v>-209.899723563</v>
      </c>
      <c r="H586" s="10">
        <f>IF(ActiveDatabase=Standby,Secondary!H586,Primary!H586)</f>
        <v>-57.1234277779999</v>
      </c>
      <c r="I586" s="13">
        <f>IF(ActiveDatabase=Standby,Secondary!I586,Primary!I586)</f>
        <v>0</v>
      </c>
      <c r="J586" s="13">
        <f>IF(ActiveDatabase=Standby,Secondary!J586,Primary!J586)</f>
        <v>0</v>
      </c>
      <c r="K586" s="13">
        <f>IF(ActiveDatabase=Standby,Secondary!K586,Primary!K586)</f>
        <v>0</v>
      </c>
      <c r="L586" s="13">
        <f>IF(ActiveDatabase=Standby,Secondary!L586,Primary!L586)</f>
        <v>0</v>
      </c>
      <c r="M586" s="7" t="b">
        <f>IF(ActiveDatabase=Standby,Secondary!M586,Primary!M586)</f>
        <v>1</v>
      </c>
      <c r="N586" s="10">
        <f>IF(ActiveDatabase=Standby,Secondary!N586,Primary!N586)</f>
        <v>0</v>
      </c>
      <c r="O586" s="10">
        <f>IF(ActiveDatabase=Standby,Secondary!O586,Primary!O586)</f>
        <v>0</v>
      </c>
      <c r="P586" s="10">
        <f>IF(ActiveDatabase=Standby,Secondary!P586,Primary!P586)</f>
        <v>0</v>
      </c>
      <c r="Q586" s="6">
        <f>IF(ActiveDatabase=Standby,Secondary!Q586,Primary!Q586)</f>
        <v>0</v>
      </c>
      <c r="R586" s="18">
        <f>IF(ActiveDatabase=Standby,Secondary!R586,Primary!R586)</f>
        <v>0</v>
      </c>
      <c r="S586" s="19">
        <f>IF(ActiveDatabase=Standby,Secondary!S586,Primary!S586)</f>
        <v>0</v>
      </c>
      <c r="T586" s="10">
        <f>IF(ActiveDatabase=Standby,Secondary!T586,Primary!T586)</f>
        <v>0</v>
      </c>
      <c r="U586" s="10">
        <f>IF(ActiveDatabase=Standby,Secondary!U586,Primary!U586)</f>
        <v>0</v>
      </c>
      <c r="V586" s="10">
        <f>IF(ActiveDatabase=Standby,Secondary!V586,Primary!V586)</f>
        <v>0</v>
      </c>
      <c r="W586" s="6">
        <f>IF(ActiveDatabase=Standby,Secondary!W586,Primary!W586)</f>
        <v>0</v>
      </c>
      <c r="X586" s="6">
        <f>IF(ActiveDatabase=Standby,Secondary!X586,Primary!X586)</f>
        <v>0</v>
      </c>
      <c r="Y586" s="12">
        <f>IF(ActiveDatabase=Standby,Secondary!Y586,Primary!Y586)</f>
        <v>0</v>
      </c>
      <c r="Z586" s="12">
        <f>IF(ActiveDatabase=Standby,Secondary!Z586,Primary!Z586)</f>
        <v>0</v>
      </c>
      <c r="AA586" s="6">
        <f>IF(ActiveDatabase=Standby,Secondary!AA586,Primary!AA586)</f>
        <v>0</v>
      </c>
      <c r="AB586" s="12"/>
      <c r="AC586" s="6"/>
      <c r="AD586" s="6"/>
      <c r="AE586" s="7"/>
      <c r="AF586" s="7"/>
      <c r="AG586" s="7"/>
      <c r="AH586" s="7"/>
      <c r="AI586" s="7"/>
      <c r="AJ586" s="7"/>
      <c r="AK586" s="7"/>
      <c r="AL586" s="7"/>
      <c r="AM586" s="7"/>
      <c r="AN586" s="7"/>
      <c r="AO586" s="6"/>
      <c r="AP586" s="7"/>
      <c r="AQ586" s="7"/>
      <c r="AR586" s="6"/>
      <c r="AS586" s="6"/>
      <c r="AT586" s="6"/>
      <c r="AU586" s="6"/>
      <c r="AV586" s="6"/>
      <c r="AW586" s="6"/>
      <c r="AX586" s="6"/>
      <c r="AY586" s="6"/>
      <c r="AZ586" s="6"/>
      <c r="BA586" s="6"/>
      <c r="BB586" s="6"/>
      <c r="BC586" s="6"/>
      <c r="BD586" s="6"/>
      <c r="BE586" s="6"/>
      <c r="BF586" s="6"/>
      <c r="BG586" s="6"/>
    </row>
    <row r="587" customHeight="1" spans="1:59">
      <c r="A587" s="9" t="str">
        <f>IF(ActiveDatabase=Standby,Secondary!A587,Primary!A587)</f>
        <v>Lyria</v>
      </c>
      <c r="B587" s="5" t="str">
        <f>IF(ActiveDatabase=Standby,Secondary!B587,Primary!B587)</f>
        <v>Lyria 22</v>
      </c>
      <c r="C587" s="5">
        <f>IF(ActiveDatabase=Standby,Secondary!C587,Primary!C587)</f>
        <v>0</v>
      </c>
      <c r="D587" s="5" t="str">
        <f>IF(ActiveDatabase=Standby,Secondary!D587,Primary!D587)</f>
        <v>Settlements</v>
      </c>
      <c r="E587" s="6">
        <f>IF(ActiveDatabase=Standby,Secondary!E587,Primary!E587)</f>
        <v>0</v>
      </c>
      <c r="F587" s="10">
        <f>IF(ActiveDatabase=Standby,Secondary!F587,Primary!F587)</f>
        <v>0</v>
      </c>
      <c r="G587" s="10">
        <f>IF(ActiveDatabase=Standby,Secondary!G587,Primary!G587)</f>
        <v>0</v>
      </c>
      <c r="H587" s="10">
        <f>IF(ActiveDatabase=Standby,Secondary!H587,Primary!H587)</f>
        <v>0</v>
      </c>
      <c r="I587" s="13">
        <f>IF(ActiveDatabase=Standby,Secondary!I587,Primary!I587)</f>
        <v>0</v>
      </c>
      <c r="J587" s="13">
        <f>IF(ActiveDatabase=Standby,Secondary!J587,Primary!J587)</f>
        <v>0</v>
      </c>
      <c r="K587" s="13">
        <f>IF(ActiveDatabase=Standby,Secondary!K587,Primary!K587)</f>
        <v>0</v>
      </c>
      <c r="L587" s="13">
        <f>IF(ActiveDatabase=Standby,Secondary!L587,Primary!L587)</f>
        <v>0</v>
      </c>
      <c r="M587" s="7">
        <f>IF(ActiveDatabase=Standby,Secondary!M587,Primary!M587)</f>
        <v>0</v>
      </c>
      <c r="N587" s="10">
        <f>IF(ActiveDatabase=Standby,Secondary!N587,Primary!N587)</f>
        <v>0</v>
      </c>
      <c r="O587" s="10">
        <f>IF(ActiveDatabase=Standby,Secondary!O587,Primary!O587)</f>
        <v>0</v>
      </c>
      <c r="P587" s="10">
        <f>IF(ActiveDatabase=Standby,Secondary!P587,Primary!P587)</f>
        <v>0</v>
      </c>
      <c r="Q587" s="6">
        <f>IF(ActiveDatabase=Standby,Secondary!Q587,Primary!Q587)</f>
        <v>0</v>
      </c>
      <c r="R587" s="18">
        <f>IF(ActiveDatabase=Standby,Secondary!R587,Primary!R587)</f>
        <v>0</v>
      </c>
      <c r="S587" s="19">
        <f>IF(ActiveDatabase=Standby,Secondary!S587,Primary!S587)</f>
        <v>0</v>
      </c>
      <c r="T587" s="10">
        <f>IF(ActiveDatabase=Standby,Secondary!T587,Primary!T587)</f>
        <v>0</v>
      </c>
      <c r="U587" s="10">
        <f>IF(ActiveDatabase=Standby,Secondary!U587,Primary!U587)</f>
        <v>0</v>
      </c>
      <c r="V587" s="10">
        <f>IF(ActiveDatabase=Standby,Secondary!V587,Primary!V587)</f>
        <v>0</v>
      </c>
      <c r="W587" s="6">
        <f>IF(ActiveDatabase=Standby,Secondary!W587,Primary!W587)</f>
        <v>0</v>
      </c>
      <c r="X587" s="6">
        <f>IF(ActiveDatabase=Standby,Secondary!X587,Primary!X587)</f>
        <v>0</v>
      </c>
      <c r="Y587" s="12">
        <f>IF(ActiveDatabase=Standby,Secondary!Y587,Primary!Y587)</f>
        <v>0</v>
      </c>
      <c r="Z587" s="12">
        <f>IF(ActiveDatabase=Standby,Secondary!Z587,Primary!Z587)</f>
        <v>0</v>
      </c>
      <c r="AA587" s="7">
        <f>IF(ActiveDatabase=Standby,Secondary!AA587,Primary!AA587)</f>
        <v>0</v>
      </c>
      <c r="AB587" s="12"/>
      <c r="AC587" s="6"/>
      <c r="AD587" s="6"/>
      <c r="AE587" s="7"/>
      <c r="AF587" s="7"/>
      <c r="AG587" s="7"/>
      <c r="AH587" s="7"/>
      <c r="AI587" s="7"/>
      <c r="AJ587" s="7"/>
      <c r="AK587" s="7"/>
      <c r="AL587" s="7"/>
      <c r="AM587" s="7"/>
      <c r="AN587" s="7"/>
      <c r="AO587" s="6"/>
      <c r="AP587" s="7"/>
      <c r="AQ587" s="7"/>
      <c r="AR587" s="6"/>
      <c r="AS587" s="7"/>
      <c r="AT587" s="7"/>
      <c r="AU587" s="7"/>
      <c r="AV587" s="7"/>
      <c r="AW587" s="7"/>
      <c r="AX587" s="7"/>
      <c r="AY587" s="7"/>
      <c r="AZ587" s="7"/>
      <c r="BA587" s="7"/>
      <c r="BB587" s="7"/>
      <c r="BC587" s="7"/>
      <c r="BD587" s="7"/>
      <c r="BE587" s="7"/>
      <c r="BF587" s="7"/>
      <c r="BG587" s="7"/>
    </row>
    <row r="588" customHeight="1" spans="1:59">
      <c r="A588" s="9" t="str">
        <f>IF(ActiveDatabase=Standby,Secondary!A588,Primary!A588)</f>
        <v>Lyria 20</v>
      </c>
      <c r="B588" s="5" t="str">
        <f>IF(ActiveDatabase=Standby,Secondary!B588,Primary!B588)</f>
        <v>Lyria 23</v>
      </c>
      <c r="C588" s="5" t="str">
        <f>IF(ActiveDatabase=Standby,Secondary!C588,Primary!C588)</f>
        <v>Lyria 03</v>
      </c>
      <c r="D588" s="5" t="str">
        <f>IF(ActiveDatabase=Standby,Secondary!D588,Primary!D588)</f>
        <v>Lyria Settlement</v>
      </c>
      <c r="E588" s="6" t="str">
        <f>IF(ActiveDatabase=Standby,Secondary!E588,Primary!E588)</f>
        <v>Settlement 3a</v>
      </c>
      <c r="F588" s="10">
        <f>IF(ActiveDatabase=Standby,Secondary!F588,Primary!F588)</f>
        <v>-180.657995521775</v>
      </c>
      <c r="G588" s="10">
        <f>IF(ActiveDatabase=Standby,Secondary!G588,Primary!G588)</f>
        <v>104.243257399562</v>
      </c>
      <c r="H588" s="10">
        <f>IF(ActiveDatabase=Standby,Secondary!H588,Primary!H588)</f>
        <v>81.1053633381186</v>
      </c>
      <c r="I588" s="13">
        <f>IF(ActiveDatabase=Standby,Secondary!I588,Primary!I588)</f>
        <v>0</v>
      </c>
      <c r="J588" s="13">
        <f>IF(ActiveDatabase=Standby,Secondary!J588,Primary!J588)</f>
        <v>0</v>
      </c>
      <c r="K588" s="13">
        <f>IF(ActiveDatabase=Standby,Secondary!K588,Primary!K588)</f>
        <v>0</v>
      </c>
      <c r="L588" s="13">
        <f>IF(ActiveDatabase=Standby,Secondary!L588,Primary!L588)</f>
        <v>0</v>
      </c>
      <c r="M588" s="7" t="b">
        <f>IF(ActiveDatabase=Standby,Secondary!M588,Primary!M588)</f>
        <v>0</v>
      </c>
      <c r="N588" s="10">
        <f>IF(ActiveDatabase=Standby,Secondary!N588,Primary!N588)</f>
        <v>0</v>
      </c>
      <c r="O588" s="10">
        <f>IF(ActiveDatabase=Standby,Secondary!O588,Primary!O588)</f>
        <v>0</v>
      </c>
      <c r="P588" s="10">
        <f>IF(ActiveDatabase=Standby,Secondary!P588,Primary!P588)</f>
        <v>0</v>
      </c>
      <c r="Q588" s="6">
        <f>IF(ActiveDatabase=Standby,Secondary!Q588,Primary!Q588)</f>
        <v>0</v>
      </c>
      <c r="R588" s="18">
        <f>IF(ActiveDatabase=Standby,Secondary!R588,Primary!R588)</f>
        <v>0</v>
      </c>
      <c r="S588" s="19">
        <f>IF(ActiveDatabase=Standby,Secondary!S588,Primary!S588)</f>
        <v>0</v>
      </c>
      <c r="T588" s="10">
        <f>IF(ActiveDatabase=Standby,Secondary!T588,Primary!T588)</f>
        <v>0</v>
      </c>
      <c r="U588" s="10">
        <f>IF(ActiveDatabase=Standby,Secondary!U588,Primary!U588)</f>
        <v>0</v>
      </c>
      <c r="V588" s="10">
        <f>IF(ActiveDatabase=Standby,Secondary!V588,Primary!V588)</f>
        <v>0</v>
      </c>
      <c r="W588" s="6">
        <f>IF(ActiveDatabase=Standby,Secondary!W588,Primary!W588)</f>
        <v>0</v>
      </c>
      <c r="X588" s="6">
        <f>IF(ActiveDatabase=Standby,Secondary!X588,Primary!X588)</f>
        <v>0</v>
      </c>
      <c r="Y588" s="12">
        <f>IF(ActiveDatabase=Standby,Secondary!Y588,Primary!Y588)</f>
        <v>0</v>
      </c>
      <c r="Z588" s="12">
        <f>IF(ActiveDatabase=Standby,Secondary!Z588,Primary!Z588)</f>
        <v>0</v>
      </c>
      <c r="AA588" s="7">
        <f>IF(ActiveDatabase=Standby,Secondary!AA588,Primary!AA588)</f>
        <v>0</v>
      </c>
      <c r="AB588" s="12"/>
      <c r="AC588" s="6"/>
      <c r="AD588" s="6"/>
      <c r="AE588" s="7"/>
      <c r="AF588" s="7"/>
      <c r="AG588" s="7"/>
      <c r="AH588" s="7"/>
      <c r="AI588" s="7"/>
      <c r="AJ588" s="7"/>
      <c r="AK588" s="7"/>
      <c r="AL588" s="7"/>
      <c r="AM588" s="7"/>
      <c r="AN588" s="7"/>
      <c r="AO588" s="6"/>
      <c r="AP588" s="7"/>
      <c r="AQ588" s="7"/>
      <c r="AR588" s="6"/>
      <c r="AS588" s="7"/>
      <c r="AT588" s="7"/>
      <c r="AU588" s="7"/>
      <c r="AV588" s="7"/>
      <c r="AW588" s="7"/>
      <c r="AX588" s="7"/>
      <c r="AY588" s="7"/>
      <c r="AZ588" s="7"/>
      <c r="BA588" s="7"/>
      <c r="BB588" s="7"/>
      <c r="BC588" s="7"/>
      <c r="BD588" s="7"/>
      <c r="BE588" s="7"/>
      <c r="BF588" s="7"/>
      <c r="BG588" s="7"/>
    </row>
    <row r="589" customHeight="1" spans="1:59">
      <c r="A589" s="9" t="str">
        <f>IF(ActiveDatabase=Standby,Secondary!A589,Primary!A589)</f>
        <v>Lyria</v>
      </c>
      <c r="B589" s="5" t="str">
        <f>IF(ActiveDatabase=Standby,Secondary!B589,Primary!B589)</f>
        <v>Lyria 25</v>
      </c>
      <c r="C589" s="5">
        <f>IF(ActiveDatabase=Standby,Secondary!C589,Primary!C589)</f>
        <v>0</v>
      </c>
      <c r="D589" s="5" t="str">
        <f>IF(ActiveDatabase=Standby,Secondary!D589,Primary!D589)</f>
        <v>Wrecks</v>
      </c>
      <c r="E589" s="6">
        <f>IF(ActiveDatabase=Standby,Secondary!E589,Primary!E589)</f>
        <v>0</v>
      </c>
      <c r="F589" s="10">
        <f>IF(ActiveDatabase=Standby,Secondary!F589,Primary!F589)</f>
        <v>0</v>
      </c>
      <c r="G589" s="10">
        <f>IF(ActiveDatabase=Standby,Secondary!G589,Primary!G589)</f>
        <v>0</v>
      </c>
      <c r="H589" s="10">
        <f>IF(ActiveDatabase=Standby,Secondary!H589,Primary!H589)</f>
        <v>0</v>
      </c>
      <c r="I589" s="13">
        <f>IF(ActiveDatabase=Standby,Secondary!I589,Primary!I589)</f>
        <v>0</v>
      </c>
      <c r="J589" s="13">
        <f>IF(ActiveDatabase=Standby,Secondary!J589,Primary!J589)</f>
        <v>0</v>
      </c>
      <c r="K589" s="13">
        <f>IF(ActiveDatabase=Standby,Secondary!K589,Primary!K589)</f>
        <v>0</v>
      </c>
      <c r="L589" s="13">
        <f>IF(ActiveDatabase=Standby,Secondary!L589,Primary!L589)</f>
        <v>0</v>
      </c>
      <c r="M589" s="7">
        <f>IF(ActiveDatabase=Standby,Secondary!M589,Primary!M589)</f>
        <v>0</v>
      </c>
      <c r="N589" s="10">
        <f>IF(ActiveDatabase=Standby,Secondary!N589,Primary!N589)</f>
        <v>0</v>
      </c>
      <c r="O589" s="10">
        <f>IF(ActiveDatabase=Standby,Secondary!O589,Primary!O589)</f>
        <v>0</v>
      </c>
      <c r="P589" s="10">
        <f>IF(ActiveDatabase=Standby,Secondary!P589,Primary!P589)</f>
        <v>0</v>
      </c>
      <c r="Q589" s="6">
        <f>IF(ActiveDatabase=Standby,Secondary!Q589,Primary!Q589)</f>
        <v>0</v>
      </c>
      <c r="R589" s="18">
        <f>IF(ActiveDatabase=Standby,Secondary!R589,Primary!R589)</f>
        <v>0</v>
      </c>
      <c r="S589" s="19">
        <f>IF(ActiveDatabase=Standby,Secondary!S589,Primary!S589)</f>
        <v>0</v>
      </c>
      <c r="T589" s="10">
        <f>IF(ActiveDatabase=Standby,Secondary!T589,Primary!T589)</f>
        <v>0</v>
      </c>
      <c r="U589" s="10">
        <f>IF(ActiveDatabase=Standby,Secondary!U589,Primary!U589)</f>
        <v>0</v>
      </c>
      <c r="V589" s="10">
        <f>IF(ActiveDatabase=Standby,Secondary!V589,Primary!V589)</f>
        <v>0</v>
      </c>
      <c r="W589" s="6">
        <f>IF(ActiveDatabase=Standby,Secondary!W589,Primary!W589)</f>
        <v>0</v>
      </c>
      <c r="X589" s="6">
        <f>IF(ActiveDatabase=Standby,Secondary!X589,Primary!X589)</f>
        <v>0</v>
      </c>
      <c r="Y589" s="12">
        <f>IF(ActiveDatabase=Standby,Secondary!Y589,Primary!Y589)</f>
        <v>0</v>
      </c>
      <c r="Z589" s="12">
        <f>IF(ActiveDatabase=Standby,Secondary!Z589,Primary!Z589)</f>
        <v>0</v>
      </c>
      <c r="AA589" s="7">
        <f>IF(ActiveDatabase=Standby,Secondary!AA589,Primary!AA589)</f>
        <v>0</v>
      </c>
      <c r="AB589" s="12"/>
      <c r="AC589" s="6"/>
      <c r="AD589" s="6"/>
      <c r="AE589" s="7"/>
      <c r="AF589" s="7"/>
      <c r="AG589" s="7"/>
      <c r="AH589" s="7"/>
      <c r="AI589" s="7"/>
      <c r="AJ589" s="7"/>
      <c r="AK589" s="7"/>
      <c r="AL589" s="7"/>
      <c r="AM589" s="7"/>
      <c r="AN589" s="7"/>
      <c r="AO589" s="6"/>
      <c r="AP589" s="7"/>
      <c r="AQ589" s="7"/>
      <c r="AR589" s="6"/>
      <c r="AS589" s="7"/>
      <c r="AT589" s="7"/>
      <c r="AU589" s="7"/>
      <c r="AV589" s="7"/>
      <c r="AW589" s="7"/>
      <c r="AX589" s="7"/>
      <c r="AY589" s="7"/>
      <c r="AZ589" s="7"/>
      <c r="BA589" s="7"/>
      <c r="BB589" s="7"/>
      <c r="BC589" s="7"/>
      <c r="BD589" s="7"/>
      <c r="BE589" s="7"/>
      <c r="BF589" s="7"/>
      <c r="BG589" s="7"/>
    </row>
    <row r="590" customHeight="1" spans="1:59">
      <c r="A590" s="9" t="str">
        <f>IF(ActiveDatabase=Standby,Secondary!A590,Primary!A590)</f>
        <v>Lyria 21</v>
      </c>
      <c r="B590" s="5" t="str">
        <f>IF(ActiveDatabase=Standby,Secondary!B590,Primary!B590)</f>
        <v>Lyria 26</v>
      </c>
      <c r="C590" s="5" t="str">
        <f>IF(ActiveDatabase=Standby,Secondary!C590,Primary!C590)</f>
        <v>Lyria 20</v>
      </c>
      <c r="D590" s="5" t="str">
        <f>IF(ActiveDatabase=Standby,Secondary!D590,Primary!D590)</f>
        <v>Caterpillar Wreck 16K</v>
      </c>
      <c r="E590" s="6" t="str">
        <f>IF(ActiveDatabase=Standby,Secondary!E590,Primary!E590)</f>
        <v>Caterpillar 16K</v>
      </c>
      <c r="F590" s="10">
        <f>IF(ActiveDatabase=Standby,Secondary!F590,Primary!F590)</f>
        <v>17.4403066069999</v>
      </c>
      <c r="G590" s="10">
        <f>IF(ActiveDatabase=Standby,Secondary!G590,Primary!G590)</f>
        <v>-206.021780852</v>
      </c>
      <c r="H590" s="10">
        <f>IF(ActiveDatabase=Standby,Secondary!H590,Primary!H590)</f>
        <v>-86.2589763959999</v>
      </c>
      <c r="I590" s="13">
        <f>IF(ActiveDatabase=Standby,Secondary!I590,Primary!I590)</f>
        <v>0</v>
      </c>
      <c r="J590" s="13">
        <f>IF(ActiveDatabase=Standby,Secondary!J590,Primary!J590)</f>
        <v>0</v>
      </c>
      <c r="K590" s="13">
        <f>IF(ActiveDatabase=Standby,Secondary!K590,Primary!K590)</f>
        <v>0</v>
      </c>
      <c r="L590" s="13">
        <f>IF(ActiveDatabase=Standby,Secondary!L590,Primary!L590)</f>
        <v>0</v>
      </c>
      <c r="M590" s="7" t="b">
        <f>IF(ActiveDatabase=Standby,Secondary!M590,Primary!M590)</f>
        <v>0</v>
      </c>
      <c r="N590" s="10">
        <f>IF(ActiveDatabase=Standby,Secondary!N590,Primary!N590)</f>
        <v>0</v>
      </c>
      <c r="O590" s="10">
        <f>IF(ActiveDatabase=Standby,Secondary!O590,Primary!O590)</f>
        <v>0</v>
      </c>
      <c r="P590" s="10">
        <f>IF(ActiveDatabase=Standby,Secondary!P590,Primary!P590)</f>
        <v>0</v>
      </c>
      <c r="Q590" s="6">
        <f>IF(ActiveDatabase=Standby,Secondary!Q590,Primary!Q590)</f>
        <v>0</v>
      </c>
      <c r="R590" s="18">
        <f>IF(ActiveDatabase=Standby,Secondary!R590,Primary!R590)</f>
        <v>0</v>
      </c>
      <c r="S590" s="19">
        <f>IF(ActiveDatabase=Standby,Secondary!S590,Primary!S590)</f>
        <v>0</v>
      </c>
      <c r="T590" s="10">
        <f>IF(ActiveDatabase=Standby,Secondary!T590,Primary!T590)</f>
        <v>0</v>
      </c>
      <c r="U590" s="10">
        <f>IF(ActiveDatabase=Standby,Secondary!U590,Primary!U590)</f>
        <v>0</v>
      </c>
      <c r="V590" s="10">
        <f>IF(ActiveDatabase=Standby,Secondary!V590,Primary!V590)</f>
        <v>0</v>
      </c>
      <c r="W590" s="6">
        <f>IF(ActiveDatabase=Standby,Secondary!W590,Primary!W590)</f>
        <v>0</v>
      </c>
      <c r="X590" s="6">
        <f>IF(ActiveDatabase=Standby,Secondary!X590,Primary!X590)</f>
        <v>0</v>
      </c>
      <c r="Y590" s="12">
        <f>IF(ActiveDatabase=Standby,Secondary!Y590,Primary!Y590)</f>
        <v>0</v>
      </c>
      <c r="Z590" s="12">
        <f>IF(ActiveDatabase=Standby,Secondary!Z590,Primary!Z590)</f>
        <v>0</v>
      </c>
      <c r="AA590" s="7">
        <f>IF(ActiveDatabase=Standby,Secondary!AA590,Primary!AA590)</f>
        <v>0</v>
      </c>
      <c r="AB590" s="12"/>
      <c r="AC590" s="6"/>
      <c r="AD590" s="6"/>
      <c r="AE590" s="7"/>
      <c r="AF590" s="7"/>
      <c r="AG590" s="7"/>
      <c r="AH590" s="7"/>
      <c r="AI590" s="7"/>
      <c r="AJ590" s="7"/>
      <c r="AK590" s="7"/>
      <c r="AL590" s="7"/>
      <c r="AM590" s="7"/>
      <c r="AN590" s="7"/>
      <c r="AO590" s="6"/>
      <c r="AP590" s="7"/>
      <c r="AQ590" s="7"/>
      <c r="AR590" s="6"/>
      <c r="AS590" s="7"/>
      <c r="AT590" s="7"/>
      <c r="AU590" s="7"/>
      <c r="AV590" s="7"/>
      <c r="AW590" s="7"/>
      <c r="AX590" s="7"/>
      <c r="AY590" s="7"/>
      <c r="AZ590" s="7"/>
      <c r="BA590" s="7"/>
      <c r="BB590" s="7"/>
      <c r="BC590" s="7"/>
      <c r="BD590" s="7"/>
      <c r="BE590" s="7"/>
      <c r="BF590" s="7"/>
      <c r="BG590" s="7"/>
    </row>
    <row r="591" customHeight="1" spans="1:59">
      <c r="A591" s="9" t="str">
        <f>IF(ActiveDatabase=Standby,Secondary!A591,Primary!A591)</f>
        <v>Lyria 22</v>
      </c>
      <c r="B591" s="5" t="str">
        <f>IF(ActiveDatabase=Standby,Secondary!B591,Primary!B591)</f>
        <v>Lyria 27</v>
      </c>
      <c r="C591" s="5" t="str">
        <f>IF(ActiveDatabase=Standby,Secondary!C591,Primary!C591)</f>
        <v>Lyria 16</v>
      </c>
      <c r="D591" s="5" t="str">
        <f>IF(ActiveDatabase=Standby,Secondary!D591,Primary!D591)</f>
        <v>Caterpillar Wreck 26T</v>
      </c>
      <c r="E591" s="6" t="str">
        <f>IF(ActiveDatabase=Standby,Secondary!E591,Primary!E591)</f>
        <v>Caterpillar 26T</v>
      </c>
      <c r="F591" s="10">
        <f>IF(ActiveDatabase=Standby,Secondary!F591,Primary!F591)</f>
        <v>143.507116272999</v>
      </c>
      <c r="G591" s="10">
        <f>IF(ActiveDatabase=Standby,Secondary!G591,Primary!G591)</f>
        <v>-71.508248925</v>
      </c>
      <c r="H591" s="10">
        <f>IF(ActiveDatabase=Standby,Secondary!H591,Primary!H591)</f>
        <v>156.465748843999</v>
      </c>
      <c r="I591" s="13">
        <f>IF(ActiveDatabase=Standby,Secondary!I591,Primary!I591)</f>
        <v>0</v>
      </c>
      <c r="J591" s="13">
        <f>IF(ActiveDatabase=Standby,Secondary!J591,Primary!J591)</f>
        <v>0</v>
      </c>
      <c r="K591" s="13">
        <f>IF(ActiveDatabase=Standby,Secondary!K591,Primary!K591)</f>
        <v>0</v>
      </c>
      <c r="L591" s="13">
        <f>IF(ActiveDatabase=Standby,Secondary!L591,Primary!L591)</f>
        <v>0</v>
      </c>
      <c r="M591" s="7" t="b">
        <f>IF(ActiveDatabase=Standby,Secondary!M591,Primary!M591)</f>
        <v>0</v>
      </c>
      <c r="N591" s="10">
        <f>IF(ActiveDatabase=Standby,Secondary!N591,Primary!N591)</f>
        <v>0</v>
      </c>
      <c r="O591" s="10">
        <f>IF(ActiveDatabase=Standby,Secondary!O591,Primary!O591)</f>
        <v>0</v>
      </c>
      <c r="P591" s="10">
        <f>IF(ActiveDatabase=Standby,Secondary!P591,Primary!P591)</f>
        <v>0</v>
      </c>
      <c r="Q591" s="6">
        <f>IF(ActiveDatabase=Standby,Secondary!Q591,Primary!Q591)</f>
        <v>0</v>
      </c>
      <c r="R591" s="18">
        <f>IF(ActiveDatabase=Standby,Secondary!R591,Primary!R591)</f>
        <v>0</v>
      </c>
      <c r="S591" s="19">
        <f>IF(ActiveDatabase=Standby,Secondary!S591,Primary!S591)</f>
        <v>0</v>
      </c>
      <c r="T591" s="10">
        <f>IF(ActiveDatabase=Standby,Secondary!T591,Primary!T591)</f>
        <v>0</v>
      </c>
      <c r="U591" s="10">
        <f>IF(ActiveDatabase=Standby,Secondary!U591,Primary!U591)</f>
        <v>0</v>
      </c>
      <c r="V591" s="10">
        <f>IF(ActiveDatabase=Standby,Secondary!V591,Primary!V591)</f>
        <v>0</v>
      </c>
      <c r="W591" s="6">
        <f>IF(ActiveDatabase=Standby,Secondary!W591,Primary!W591)</f>
        <v>0</v>
      </c>
      <c r="X591" s="6">
        <f>IF(ActiveDatabase=Standby,Secondary!X591,Primary!X591)</f>
        <v>0</v>
      </c>
      <c r="Y591" s="12">
        <f>IF(ActiveDatabase=Standby,Secondary!Y591,Primary!Y591)</f>
        <v>0</v>
      </c>
      <c r="Z591" s="12">
        <f>IF(ActiveDatabase=Standby,Secondary!Z591,Primary!Z591)</f>
        <v>0</v>
      </c>
      <c r="AA591" s="7">
        <f>IF(ActiveDatabase=Standby,Secondary!AA591,Primary!AA591)</f>
        <v>0</v>
      </c>
      <c r="AB591" s="12"/>
      <c r="AC591" s="6"/>
      <c r="AD591" s="6"/>
      <c r="AE591" s="7"/>
      <c r="AF591" s="7"/>
      <c r="AG591" s="7"/>
      <c r="AH591" s="7"/>
      <c r="AI591" s="7"/>
      <c r="AJ591" s="7"/>
      <c r="AK591" s="7"/>
      <c r="AL591" s="7"/>
      <c r="AM591" s="7"/>
      <c r="AN591" s="7"/>
      <c r="AO591" s="6"/>
      <c r="AP591" s="7"/>
      <c r="AQ591" s="7"/>
      <c r="AR591" s="6"/>
      <c r="AS591" s="7"/>
      <c r="AT591" s="7"/>
      <c r="AU591" s="7"/>
      <c r="AV591" s="7"/>
      <c r="AW591" s="7"/>
      <c r="AX591" s="7"/>
      <c r="AY591" s="7"/>
      <c r="AZ591" s="7"/>
      <c r="BA591" s="7"/>
      <c r="BB591" s="7"/>
      <c r="BC591" s="7"/>
      <c r="BD591" s="7"/>
      <c r="BE591" s="7"/>
      <c r="BF591" s="7"/>
      <c r="BG591" s="7"/>
    </row>
    <row r="592" customHeight="1" spans="1:59">
      <c r="A592" s="9" t="str">
        <f>IF(ActiveDatabase=Standby,Secondary!A592,Primary!A592)</f>
        <v>Lyria 23</v>
      </c>
      <c r="B592" s="5" t="str">
        <f>IF(ActiveDatabase=Standby,Secondary!B592,Primary!B592)</f>
        <v>Lyria 28</v>
      </c>
      <c r="C592" s="5" t="str">
        <f>IF(ActiveDatabase=Standby,Secondary!C592,Primary!C592)</f>
        <v>Lyria 12</v>
      </c>
      <c r="D592" s="5" t="str">
        <f>IF(ActiveDatabase=Standby,Secondary!D592,Primary!D592)</f>
        <v>Caterpillar Wreck 36V</v>
      </c>
      <c r="E592" s="6" t="str">
        <f>IF(ActiveDatabase=Standby,Secondary!E592,Primary!E592)</f>
        <v>Caterpillar 36V</v>
      </c>
      <c r="F592" s="10">
        <f>IF(ActiveDatabase=Standby,Secondary!F592,Primary!F592)</f>
        <v>90.1959922309998</v>
      </c>
      <c r="G592" s="10">
        <f>IF(ActiveDatabase=Standby,Secondary!G592,Primary!G592)</f>
        <v>60.4327727349998</v>
      </c>
      <c r="H592" s="10">
        <f>IF(ActiveDatabase=Standby,Secondary!H592,Primary!H592)</f>
        <v>196.271796360999</v>
      </c>
      <c r="I592" s="13">
        <f>IF(ActiveDatabase=Standby,Secondary!I592,Primary!I592)</f>
        <v>0</v>
      </c>
      <c r="J592" s="13">
        <f>IF(ActiveDatabase=Standby,Secondary!J592,Primary!J592)</f>
        <v>0</v>
      </c>
      <c r="K592" s="13">
        <f>IF(ActiveDatabase=Standby,Secondary!K592,Primary!K592)</f>
        <v>0</v>
      </c>
      <c r="L592" s="13">
        <f>IF(ActiveDatabase=Standby,Secondary!L592,Primary!L592)</f>
        <v>0</v>
      </c>
      <c r="M592" s="7" t="b">
        <f>IF(ActiveDatabase=Standby,Secondary!M592,Primary!M592)</f>
        <v>0</v>
      </c>
      <c r="N592" s="10">
        <f>IF(ActiveDatabase=Standby,Secondary!N592,Primary!N592)</f>
        <v>0</v>
      </c>
      <c r="O592" s="10">
        <f>IF(ActiveDatabase=Standby,Secondary!O592,Primary!O592)</f>
        <v>0</v>
      </c>
      <c r="P592" s="10">
        <f>IF(ActiveDatabase=Standby,Secondary!P592,Primary!P592)</f>
        <v>0</v>
      </c>
      <c r="Q592" s="6">
        <f>IF(ActiveDatabase=Standby,Secondary!Q592,Primary!Q592)</f>
        <v>0</v>
      </c>
      <c r="R592" s="18">
        <f>IF(ActiveDatabase=Standby,Secondary!R592,Primary!R592)</f>
        <v>0</v>
      </c>
      <c r="S592" s="19">
        <f>IF(ActiveDatabase=Standby,Secondary!S592,Primary!S592)</f>
        <v>0</v>
      </c>
      <c r="T592" s="10">
        <f>IF(ActiveDatabase=Standby,Secondary!T592,Primary!T592)</f>
        <v>0</v>
      </c>
      <c r="U592" s="10">
        <f>IF(ActiveDatabase=Standby,Secondary!U592,Primary!U592)</f>
        <v>0</v>
      </c>
      <c r="V592" s="10">
        <f>IF(ActiveDatabase=Standby,Secondary!V592,Primary!V592)</f>
        <v>0</v>
      </c>
      <c r="W592" s="6">
        <f>IF(ActiveDatabase=Standby,Secondary!W592,Primary!W592)</f>
        <v>0</v>
      </c>
      <c r="X592" s="6">
        <f>IF(ActiveDatabase=Standby,Secondary!X592,Primary!X592)</f>
        <v>0</v>
      </c>
      <c r="Y592" s="12">
        <f>IF(ActiveDatabase=Standby,Secondary!Y592,Primary!Y592)</f>
        <v>0</v>
      </c>
      <c r="Z592" s="12">
        <f>IF(ActiveDatabase=Standby,Secondary!Z592,Primary!Z592)</f>
        <v>0</v>
      </c>
      <c r="AA592" s="7">
        <f>IF(ActiveDatabase=Standby,Secondary!AA592,Primary!AA592)</f>
        <v>0</v>
      </c>
      <c r="AB592" s="12"/>
      <c r="AC592" s="6"/>
      <c r="AD592" s="6"/>
      <c r="AE592" s="7"/>
      <c r="AF592" s="7"/>
      <c r="AG592" s="7"/>
      <c r="AH592" s="7"/>
      <c r="AI592" s="7"/>
      <c r="AJ592" s="7"/>
      <c r="AK592" s="7"/>
      <c r="AL592" s="7"/>
      <c r="AM592" s="7"/>
      <c r="AN592" s="7"/>
      <c r="AO592" s="6"/>
      <c r="AP592" s="7"/>
      <c r="AQ592" s="7"/>
      <c r="AR592" s="6"/>
      <c r="AS592" s="7"/>
      <c r="AT592" s="7"/>
      <c r="AU592" s="7"/>
      <c r="AV592" s="7"/>
      <c r="AW592" s="7"/>
      <c r="AX592" s="7"/>
      <c r="AY592" s="7"/>
      <c r="AZ592" s="7"/>
      <c r="BA592" s="7"/>
      <c r="BB592" s="7"/>
      <c r="BC592" s="7"/>
      <c r="BD592" s="7"/>
      <c r="BE592" s="7"/>
      <c r="BF592" s="7"/>
      <c r="BG592" s="7"/>
    </row>
    <row r="593" customHeight="1" spans="1:59">
      <c r="A593" s="9" t="str">
        <f>IF(ActiveDatabase=Standby,Secondary!A593,Primary!A593)</f>
        <v>Lyria 24</v>
      </c>
      <c r="B593" s="5" t="str">
        <f>IF(ActiveDatabase=Standby,Secondary!B593,Primary!B593)</f>
        <v>Lyria 29</v>
      </c>
      <c r="C593" s="5" t="str">
        <f>IF(ActiveDatabase=Standby,Secondary!C593,Primary!C593)</f>
        <v>Lyria 17</v>
      </c>
      <c r="D593" s="5" t="str">
        <f>IF(ActiveDatabase=Standby,Secondary!D593,Primary!D593)</f>
        <v>Freelancer Wreck</v>
      </c>
      <c r="E593" s="6" t="str">
        <f>IF(ActiveDatabase=Standby,Secondary!E593,Primary!E593)</f>
        <v>Freelancer</v>
      </c>
      <c r="F593" s="10">
        <f>IF(ActiveDatabase=Standby,Secondary!F593,Primary!F593)</f>
        <v>169.674689626</v>
      </c>
      <c r="G593" s="10">
        <f>IF(ActiveDatabase=Standby,Secondary!G593,Primary!G593)</f>
        <v>-95.460451373</v>
      </c>
      <c r="H593" s="10">
        <f>IF(ActiveDatabase=Standby,Secondary!H593,Primary!H593)</f>
        <v>-110.856102428</v>
      </c>
      <c r="I593" s="13">
        <f>IF(ActiveDatabase=Standby,Secondary!I593,Primary!I593)</f>
        <v>0</v>
      </c>
      <c r="J593" s="13">
        <f>IF(ActiveDatabase=Standby,Secondary!J593,Primary!J593)</f>
        <v>0</v>
      </c>
      <c r="K593" s="13">
        <f>IF(ActiveDatabase=Standby,Secondary!K593,Primary!K593)</f>
        <v>0</v>
      </c>
      <c r="L593" s="13">
        <f>IF(ActiveDatabase=Standby,Secondary!L593,Primary!L593)</f>
        <v>0</v>
      </c>
      <c r="M593" s="7" t="b">
        <f>IF(ActiveDatabase=Standby,Secondary!M593,Primary!M593)</f>
        <v>0</v>
      </c>
      <c r="N593" s="10">
        <f>IF(ActiveDatabase=Standby,Secondary!N593,Primary!N593)</f>
        <v>0</v>
      </c>
      <c r="O593" s="10">
        <f>IF(ActiveDatabase=Standby,Secondary!O593,Primary!O593)</f>
        <v>0</v>
      </c>
      <c r="P593" s="10">
        <f>IF(ActiveDatabase=Standby,Secondary!P593,Primary!P593)</f>
        <v>0</v>
      </c>
      <c r="Q593" s="6">
        <f>IF(ActiveDatabase=Standby,Secondary!Q593,Primary!Q593)</f>
        <v>0</v>
      </c>
      <c r="R593" s="18">
        <f>IF(ActiveDatabase=Standby,Secondary!R593,Primary!R593)</f>
        <v>0</v>
      </c>
      <c r="S593" s="19">
        <f>IF(ActiveDatabase=Standby,Secondary!S593,Primary!S593)</f>
        <v>0</v>
      </c>
      <c r="T593" s="10">
        <f>IF(ActiveDatabase=Standby,Secondary!T593,Primary!T593)</f>
        <v>0</v>
      </c>
      <c r="U593" s="10">
        <f>IF(ActiveDatabase=Standby,Secondary!U593,Primary!U593)</f>
        <v>0</v>
      </c>
      <c r="V593" s="10">
        <f>IF(ActiveDatabase=Standby,Secondary!V593,Primary!V593)</f>
        <v>0</v>
      </c>
      <c r="W593" s="6">
        <f>IF(ActiveDatabase=Standby,Secondary!W593,Primary!W593)</f>
        <v>0</v>
      </c>
      <c r="X593" s="6">
        <f>IF(ActiveDatabase=Standby,Secondary!X593,Primary!X593)</f>
        <v>0</v>
      </c>
      <c r="Y593" s="12">
        <f>IF(ActiveDatabase=Standby,Secondary!Y593,Primary!Y593)</f>
        <v>0</v>
      </c>
      <c r="Z593" s="12">
        <f>IF(ActiveDatabase=Standby,Secondary!Z593,Primary!Z593)</f>
        <v>0</v>
      </c>
      <c r="AA593" s="7">
        <f>IF(ActiveDatabase=Standby,Secondary!AA593,Primary!AA593)</f>
        <v>0</v>
      </c>
      <c r="AB593" s="12"/>
      <c r="AC593" s="6"/>
      <c r="AD593" s="6"/>
      <c r="AE593" s="7"/>
      <c r="AF593" s="7"/>
      <c r="AG593" s="7"/>
      <c r="AH593" s="7"/>
      <c r="AI593" s="7"/>
      <c r="AJ593" s="7"/>
      <c r="AK593" s="7"/>
      <c r="AL593" s="7"/>
      <c r="AM593" s="7"/>
      <c r="AN593" s="7"/>
      <c r="AO593" s="6"/>
      <c r="AP593" s="7"/>
      <c r="AQ593" s="7"/>
      <c r="AR593" s="6"/>
      <c r="AS593" s="7"/>
      <c r="AT593" s="7"/>
      <c r="AU593" s="7"/>
      <c r="AV593" s="7"/>
      <c r="AW593" s="7"/>
      <c r="AX593" s="7"/>
      <c r="AY593" s="7"/>
      <c r="AZ593" s="7"/>
      <c r="BA593" s="7"/>
      <c r="BB593" s="7"/>
      <c r="BC593" s="7"/>
      <c r="BD593" s="7"/>
      <c r="BE593" s="7"/>
      <c r="BF593" s="7"/>
      <c r="BG593" s="7"/>
    </row>
    <row r="594" customHeight="1" spans="1:59">
      <c r="A594" s="9" t="str">
        <f>IF(ActiveDatabase=Standby,Secondary!A594,Primary!A594)</f>
        <v>Lyria 25</v>
      </c>
      <c r="B594" s="5" t="str">
        <f>IF(ActiveDatabase=Standby,Secondary!B594,Primary!B594)</f>
        <v>Lyria 30</v>
      </c>
      <c r="C594" s="5" t="str">
        <f>IF(ActiveDatabase=Standby,Secondary!C594,Primary!C594)</f>
        <v>Lyria 25</v>
      </c>
      <c r="D594" s="5" t="str">
        <f>IF(ActiveDatabase=Standby,Secondary!D594,Primary!D594)</f>
        <v>Starfarer Wreck</v>
      </c>
      <c r="E594" s="6" t="str">
        <f>IF(ActiveDatabase=Standby,Secondary!E594,Primary!E594)</f>
        <v>Starfarer</v>
      </c>
      <c r="F594" s="10">
        <f>IF(ActiveDatabase=Standby,Secondary!F594,Primary!F594)</f>
        <v>-116.660647553</v>
      </c>
      <c r="G594" s="10">
        <f>IF(ActiveDatabase=Standby,Secondary!G594,Primary!G594)</f>
        <v>-189.258857939999</v>
      </c>
      <c r="H594" s="10">
        <f>IF(ActiveDatabase=Standby,Secondary!H594,Primary!H594)</f>
        <v>26.6653083919999</v>
      </c>
      <c r="I594" s="13">
        <f>IF(ActiveDatabase=Standby,Secondary!I594,Primary!I594)</f>
        <v>0</v>
      </c>
      <c r="J594" s="13">
        <f>IF(ActiveDatabase=Standby,Secondary!J594,Primary!J594)</f>
        <v>0</v>
      </c>
      <c r="K594" s="13">
        <f>IF(ActiveDatabase=Standby,Secondary!K594,Primary!K594)</f>
        <v>0</v>
      </c>
      <c r="L594" s="13">
        <f>IF(ActiveDatabase=Standby,Secondary!L594,Primary!L594)</f>
        <v>0</v>
      </c>
      <c r="M594" s="7" t="b">
        <f>IF(ActiveDatabase=Standby,Secondary!M594,Primary!M594)</f>
        <v>0</v>
      </c>
      <c r="N594" s="10">
        <f>IF(ActiveDatabase=Standby,Secondary!N594,Primary!N594)</f>
        <v>0</v>
      </c>
      <c r="O594" s="10">
        <f>IF(ActiveDatabase=Standby,Secondary!O594,Primary!O594)</f>
        <v>0</v>
      </c>
      <c r="P594" s="10">
        <f>IF(ActiveDatabase=Standby,Secondary!P594,Primary!P594)</f>
        <v>0</v>
      </c>
      <c r="Q594" s="6">
        <f>IF(ActiveDatabase=Standby,Secondary!Q594,Primary!Q594)</f>
        <v>0</v>
      </c>
      <c r="R594" s="18">
        <f>IF(ActiveDatabase=Standby,Secondary!R594,Primary!R594)</f>
        <v>0</v>
      </c>
      <c r="S594" s="19">
        <f>IF(ActiveDatabase=Standby,Secondary!S594,Primary!S594)</f>
        <v>0</v>
      </c>
      <c r="T594" s="10">
        <f>IF(ActiveDatabase=Standby,Secondary!T594,Primary!T594)</f>
        <v>0</v>
      </c>
      <c r="U594" s="10">
        <f>IF(ActiveDatabase=Standby,Secondary!U594,Primary!U594)</f>
        <v>0</v>
      </c>
      <c r="V594" s="10">
        <f>IF(ActiveDatabase=Standby,Secondary!V594,Primary!V594)</f>
        <v>0</v>
      </c>
      <c r="W594" s="6">
        <f>IF(ActiveDatabase=Standby,Secondary!W594,Primary!W594)</f>
        <v>0</v>
      </c>
      <c r="X594" s="6">
        <f>IF(ActiveDatabase=Standby,Secondary!X594,Primary!X594)</f>
        <v>0</v>
      </c>
      <c r="Y594" s="12">
        <f>IF(ActiveDatabase=Standby,Secondary!Y594,Primary!Y594)</f>
        <v>0</v>
      </c>
      <c r="Z594" s="12">
        <f>IF(ActiveDatabase=Standby,Secondary!Z594,Primary!Z594)</f>
        <v>0</v>
      </c>
      <c r="AA594" s="7">
        <f>IF(ActiveDatabase=Standby,Secondary!AA594,Primary!AA594)</f>
        <v>0</v>
      </c>
      <c r="AB594" s="12"/>
      <c r="AC594" s="6"/>
      <c r="AD594" s="6"/>
      <c r="AE594" s="7"/>
      <c r="AF594" s="7"/>
      <c r="AG594" s="7"/>
      <c r="AH594" s="7"/>
      <c r="AI594" s="7"/>
      <c r="AJ594" s="7"/>
      <c r="AK594" s="7"/>
      <c r="AL594" s="7"/>
      <c r="AM594" s="7"/>
      <c r="AN594" s="7"/>
      <c r="AO594" s="6"/>
      <c r="AP594" s="7"/>
      <c r="AQ594" s="7"/>
      <c r="AR594" s="6"/>
      <c r="AS594" s="7"/>
      <c r="AT594" s="7"/>
      <c r="AU594" s="7"/>
      <c r="AV594" s="7"/>
      <c r="AW594" s="7"/>
      <c r="AX594" s="7"/>
      <c r="AY594" s="7"/>
      <c r="AZ594" s="7"/>
      <c r="BA594" s="7"/>
      <c r="BB594" s="7"/>
      <c r="BC594" s="7"/>
      <c r="BD594" s="7"/>
      <c r="BE594" s="7"/>
      <c r="BF594" s="7"/>
      <c r="BG594" s="7"/>
    </row>
    <row r="595" customHeight="1" spans="1:59">
      <c r="A595" s="9" t="str">
        <f>IF(ActiveDatabase=Standby,Secondary!A595,Primary!A595)</f>
        <v>Lyria</v>
      </c>
      <c r="B595" s="5" t="str">
        <f>IF(ActiveDatabase=Standby,Secondary!B595,Primary!B595)</f>
        <v>Lyria 32</v>
      </c>
      <c r="C595" s="5">
        <f>IF(ActiveDatabase=Standby,Secondary!C595,Primary!C595)</f>
        <v>0</v>
      </c>
      <c r="D595" s="5" t="str">
        <f>IF(ActiveDatabase=Standby,Secondary!D595,Primary!D595)</f>
        <v>Comm Array</v>
      </c>
      <c r="E595" s="6">
        <f>IF(ActiveDatabase=Standby,Secondary!E595,Primary!E595)</f>
        <v>0</v>
      </c>
      <c r="F595" s="10">
        <f>IF(ActiveDatabase=Standby,Secondary!F595,Primary!F595)</f>
        <v>0</v>
      </c>
      <c r="G595" s="10">
        <f>IF(ActiveDatabase=Standby,Secondary!G595,Primary!G595)</f>
        <v>0</v>
      </c>
      <c r="H595" s="10">
        <f>IF(ActiveDatabase=Standby,Secondary!H595,Primary!H595)</f>
        <v>0</v>
      </c>
      <c r="I595" s="13">
        <f>IF(ActiveDatabase=Standby,Secondary!I595,Primary!I595)</f>
        <v>0</v>
      </c>
      <c r="J595" s="13">
        <f>IF(ActiveDatabase=Standby,Secondary!J595,Primary!J595)</f>
        <v>0</v>
      </c>
      <c r="K595" s="13">
        <f>IF(ActiveDatabase=Standby,Secondary!K595,Primary!K595)</f>
        <v>0</v>
      </c>
      <c r="L595" s="13">
        <f>IF(ActiveDatabase=Standby,Secondary!L595,Primary!L595)</f>
        <v>0</v>
      </c>
      <c r="M595" s="7">
        <f>IF(ActiveDatabase=Standby,Secondary!M595,Primary!M595)</f>
        <v>0</v>
      </c>
      <c r="N595" s="10">
        <f>IF(ActiveDatabase=Standby,Secondary!N595,Primary!N595)</f>
        <v>0</v>
      </c>
      <c r="O595" s="10">
        <f>IF(ActiveDatabase=Standby,Secondary!O595,Primary!O595)</f>
        <v>0</v>
      </c>
      <c r="P595" s="10">
        <f>IF(ActiveDatabase=Standby,Secondary!P595,Primary!P595)</f>
        <v>0</v>
      </c>
      <c r="Q595" s="6">
        <f>IF(ActiveDatabase=Standby,Secondary!Q595,Primary!Q595)</f>
        <v>0</v>
      </c>
      <c r="R595" s="18">
        <f>IF(ActiveDatabase=Standby,Secondary!R595,Primary!R595)</f>
        <v>0</v>
      </c>
      <c r="S595" s="19">
        <f>IF(ActiveDatabase=Standby,Secondary!S595,Primary!S595)</f>
        <v>0</v>
      </c>
      <c r="T595" s="10">
        <f>IF(ActiveDatabase=Standby,Secondary!T595,Primary!T595)</f>
        <v>0</v>
      </c>
      <c r="U595" s="10">
        <f>IF(ActiveDatabase=Standby,Secondary!U595,Primary!U595)</f>
        <v>0</v>
      </c>
      <c r="V595" s="10">
        <f>IF(ActiveDatabase=Standby,Secondary!V595,Primary!V595)</f>
        <v>0</v>
      </c>
      <c r="W595" s="6">
        <f>IF(ActiveDatabase=Standby,Secondary!W595,Primary!W595)</f>
        <v>0</v>
      </c>
      <c r="X595" s="6">
        <f>IF(ActiveDatabase=Standby,Secondary!X595,Primary!X595)</f>
        <v>0</v>
      </c>
      <c r="Y595" s="12">
        <f>IF(ActiveDatabase=Standby,Secondary!Y595,Primary!Y595)</f>
        <v>0</v>
      </c>
      <c r="Z595" s="12">
        <f>IF(ActiveDatabase=Standby,Secondary!Z595,Primary!Z595)</f>
        <v>0</v>
      </c>
      <c r="AA595" s="7">
        <f>IF(ActiveDatabase=Standby,Secondary!AA595,Primary!AA595)</f>
        <v>0</v>
      </c>
      <c r="AB595" s="12"/>
      <c r="AC595" s="6"/>
      <c r="AD595" s="6"/>
      <c r="AE595" s="7"/>
      <c r="AF595" s="7"/>
      <c r="AG595" s="7"/>
      <c r="AH595" s="7"/>
      <c r="AI595" s="7"/>
      <c r="AJ595" s="7"/>
      <c r="AK595" s="7"/>
      <c r="AL595" s="7"/>
      <c r="AM595" s="7"/>
      <c r="AN595" s="7"/>
      <c r="AO595" s="6"/>
      <c r="AP595" s="7"/>
      <c r="AQ595" s="7"/>
      <c r="AR595" s="6"/>
      <c r="AS595" s="7"/>
      <c r="AT595" s="7"/>
      <c r="AU595" s="7"/>
      <c r="AV595" s="7"/>
      <c r="AW595" s="7"/>
      <c r="AX595" s="7"/>
      <c r="AY595" s="7"/>
      <c r="AZ595" s="7"/>
      <c r="BA595" s="7"/>
      <c r="BB595" s="7"/>
      <c r="BC595" s="7"/>
      <c r="BD595" s="7"/>
      <c r="BE595" s="7"/>
      <c r="BF595" s="7"/>
      <c r="BG595" s="7"/>
    </row>
    <row r="596" customHeight="1" spans="1:59">
      <c r="A596" s="9" t="str">
        <f>IF(ActiveDatabase=Standby,Secondary!A596,Primary!A596)</f>
        <v>Lyria 19</v>
      </c>
      <c r="B596" s="5" t="str">
        <f>IF(ActiveDatabase=Standby,Secondary!B596,Primary!B596)</f>
        <v>Lyria 33</v>
      </c>
      <c r="C596" s="5" t="str">
        <f>IF(ActiveDatabase=Standby,Secondary!C596,Primary!C596)</f>
        <v>Lyria 02</v>
      </c>
      <c r="D596" s="5" t="str">
        <f>IF(ActiveDatabase=Standby,Secondary!D596,Primary!D596)</f>
        <v>Comm Array ST3-18</v>
      </c>
      <c r="E596" s="6" t="str">
        <f>IF(ActiveDatabase=Standby,Secondary!E596,Primary!E596)</f>
        <v>ST3-18</v>
      </c>
      <c r="F596" s="10">
        <f>IF(ActiveDatabase=Standby,Secondary!F596,Primary!F596)</f>
        <v>-382.727018798828</v>
      </c>
      <c r="G596" s="10">
        <f>IF(ActiveDatabase=Standby,Secondary!G596,Primary!G596)</f>
        <v>33.033828601837</v>
      </c>
      <c r="H596" s="10">
        <f>IF(ActiveDatabase=Standby,Secondary!H596,Primary!H596)</f>
        <v>24</v>
      </c>
      <c r="I596" s="13">
        <f>IF(ActiveDatabase=Standby,Secondary!I596,Primary!I596)</f>
        <v>0</v>
      </c>
      <c r="J596" s="13">
        <f>IF(ActiveDatabase=Standby,Secondary!J596,Primary!J596)</f>
        <v>0</v>
      </c>
      <c r="K596" s="13">
        <f>IF(ActiveDatabase=Standby,Secondary!K596,Primary!K596)</f>
        <v>0</v>
      </c>
      <c r="L596" s="13">
        <f>IF(ActiveDatabase=Standby,Secondary!L596,Primary!L596)</f>
        <v>0</v>
      </c>
      <c r="M596" s="7" t="b">
        <f>IF(ActiveDatabase=Standby,Secondary!M596,Primary!M596)</f>
        <v>1</v>
      </c>
      <c r="N596" s="10">
        <f>IF(ActiveDatabase=Standby,Secondary!N596,Primary!N596)</f>
        <v>0</v>
      </c>
      <c r="O596" s="10">
        <f>IF(ActiveDatabase=Standby,Secondary!O596,Primary!O596)</f>
        <v>0</v>
      </c>
      <c r="P596" s="10">
        <f>IF(ActiveDatabase=Standby,Secondary!P596,Primary!P596)</f>
        <v>0</v>
      </c>
      <c r="Q596" s="6">
        <f>IF(ActiveDatabase=Standby,Secondary!Q596,Primary!Q596)</f>
        <v>0</v>
      </c>
      <c r="R596" s="18">
        <f>IF(ActiveDatabase=Standby,Secondary!R596,Primary!R596)</f>
        <v>0</v>
      </c>
      <c r="S596" s="19">
        <f>IF(ActiveDatabase=Standby,Secondary!S596,Primary!S596)</f>
        <v>0</v>
      </c>
      <c r="T596" s="10">
        <f>IF(ActiveDatabase=Standby,Secondary!T596,Primary!T596)</f>
        <v>0</v>
      </c>
      <c r="U596" s="10">
        <f>IF(ActiveDatabase=Standby,Secondary!U596,Primary!U596)</f>
        <v>0</v>
      </c>
      <c r="V596" s="10">
        <f>IF(ActiveDatabase=Standby,Secondary!V596,Primary!V596)</f>
        <v>0</v>
      </c>
      <c r="W596" s="6">
        <f>IF(ActiveDatabase=Standby,Secondary!W596,Primary!W596)</f>
        <v>0</v>
      </c>
      <c r="X596" s="6">
        <f>IF(ActiveDatabase=Standby,Secondary!X596,Primary!X596)</f>
        <v>0</v>
      </c>
      <c r="Y596" s="12">
        <f>IF(ActiveDatabase=Standby,Secondary!Y596,Primary!Y596)</f>
        <v>0</v>
      </c>
      <c r="Z596" s="12">
        <f>IF(ActiveDatabase=Standby,Secondary!Z596,Primary!Z596)</f>
        <v>0</v>
      </c>
      <c r="AA596" s="7">
        <f>IF(ActiveDatabase=Standby,Secondary!AA596,Primary!AA596)</f>
        <v>0</v>
      </c>
      <c r="AB596" s="12"/>
      <c r="AC596" s="6"/>
      <c r="AD596" s="6"/>
      <c r="AE596" s="7"/>
      <c r="AF596" s="7"/>
      <c r="AG596" s="7"/>
      <c r="AH596" s="7"/>
      <c r="AI596" s="7"/>
      <c r="AJ596" s="7"/>
      <c r="AK596" s="7"/>
      <c r="AL596" s="7"/>
      <c r="AM596" s="7"/>
      <c r="AN596" s="7"/>
      <c r="AO596" s="6"/>
      <c r="AP596" s="7"/>
      <c r="AQ596" s="7"/>
      <c r="AR596" s="6"/>
      <c r="AS596" s="7"/>
      <c r="AT596" s="7"/>
      <c r="AU596" s="7"/>
      <c r="AV596" s="7"/>
      <c r="AW596" s="7"/>
      <c r="AX596" s="7"/>
      <c r="AY596" s="7"/>
      <c r="AZ596" s="7"/>
      <c r="BA596" s="7"/>
      <c r="BB596" s="7"/>
      <c r="BC596" s="7"/>
      <c r="BD596" s="7"/>
      <c r="BE596" s="7"/>
      <c r="BF596" s="7"/>
      <c r="BG596" s="7"/>
    </row>
    <row r="597" customHeight="1" spans="1:59">
      <c r="A597" s="9">
        <f>IF(ActiveDatabase=Standby,Secondary!A597,Primary!A597)</f>
        <v>0</v>
      </c>
      <c r="B597" s="5">
        <f>IF(ActiveDatabase=Standby,Secondary!B597,Primary!B597)</f>
        <v>0</v>
      </c>
      <c r="C597" s="5">
        <f>IF(ActiveDatabase=Standby,Secondary!C597,Primary!C597)</f>
        <v>0</v>
      </c>
      <c r="D597" s="5">
        <f>IF(ActiveDatabase=Standby,Secondary!D597,Primary!D597)</f>
        <v>0</v>
      </c>
      <c r="E597" s="6">
        <f>IF(ActiveDatabase=Standby,Secondary!E597,Primary!E597)</f>
        <v>0</v>
      </c>
      <c r="F597" s="10">
        <f>IF(ActiveDatabase=Standby,Secondary!F597,Primary!F597)</f>
        <v>0</v>
      </c>
      <c r="G597" s="10">
        <f>IF(ActiveDatabase=Standby,Secondary!G597,Primary!G597)</f>
        <v>0</v>
      </c>
      <c r="H597" s="10">
        <f>IF(ActiveDatabase=Standby,Secondary!H597,Primary!H597)</f>
        <v>0</v>
      </c>
      <c r="I597" s="13">
        <f>IF(ActiveDatabase=Standby,Secondary!I597,Primary!I597)</f>
        <v>0</v>
      </c>
      <c r="J597" s="13">
        <f>IF(ActiveDatabase=Standby,Secondary!J597,Primary!J597)</f>
        <v>0</v>
      </c>
      <c r="K597" s="13">
        <f>IF(ActiveDatabase=Standby,Secondary!K597,Primary!K597)</f>
        <v>0</v>
      </c>
      <c r="L597" s="13">
        <f>IF(ActiveDatabase=Standby,Secondary!L597,Primary!L597)</f>
        <v>0</v>
      </c>
      <c r="M597" s="7">
        <f>IF(ActiveDatabase=Standby,Secondary!M597,Primary!M597)</f>
        <v>0</v>
      </c>
      <c r="N597" s="10">
        <f>IF(ActiveDatabase=Standby,Secondary!N597,Primary!N597)</f>
        <v>0</v>
      </c>
      <c r="O597" s="10">
        <f>IF(ActiveDatabase=Standby,Secondary!O597,Primary!O597)</f>
        <v>0</v>
      </c>
      <c r="P597" s="10">
        <f>IF(ActiveDatabase=Standby,Secondary!P597,Primary!P597)</f>
        <v>0</v>
      </c>
      <c r="Q597" s="6">
        <f>IF(ActiveDatabase=Standby,Secondary!Q597,Primary!Q597)</f>
        <v>0</v>
      </c>
      <c r="R597" s="18">
        <f>IF(ActiveDatabase=Standby,Secondary!R597,Primary!R597)</f>
        <v>0</v>
      </c>
      <c r="S597" s="19">
        <f>IF(ActiveDatabase=Standby,Secondary!S597,Primary!S597)</f>
        <v>0</v>
      </c>
      <c r="T597" s="10">
        <f>IF(ActiveDatabase=Standby,Secondary!T597,Primary!T597)</f>
        <v>0</v>
      </c>
      <c r="U597" s="10">
        <f>IF(ActiveDatabase=Standby,Secondary!U597,Primary!U597)</f>
        <v>0</v>
      </c>
      <c r="V597" s="10">
        <f>IF(ActiveDatabase=Standby,Secondary!V597,Primary!V597)</f>
        <v>0</v>
      </c>
      <c r="W597" s="6">
        <f>IF(ActiveDatabase=Standby,Secondary!W597,Primary!W597)</f>
        <v>0</v>
      </c>
      <c r="X597" s="6">
        <f>IF(ActiveDatabase=Standby,Secondary!X597,Primary!X597)</f>
        <v>0</v>
      </c>
      <c r="Y597" s="12">
        <f>IF(ActiveDatabase=Standby,Secondary!Y597,Primary!Y597)</f>
        <v>0</v>
      </c>
      <c r="Z597" s="12">
        <f>IF(ActiveDatabase=Standby,Secondary!Z597,Primary!Z597)</f>
        <v>0</v>
      </c>
      <c r="AA597" s="7">
        <f>IF(ActiveDatabase=Standby,Secondary!AA597,Primary!AA597)</f>
        <v>0</v>
      </c>
      <c r="AB597" s="12"/>
      <c r="AC597" s="6"/>
      <c r="AD597" s="6"/>
      <c r="AE597" s="7"/>
      <c r="AF597" s="7"/>
      <c r="AG597" s="7"/>
      <c r="AH597" s="7"/>
      <c r="AI597" s="7"/>
      <c r="AJ597" s="7"/>
      <c r="AK597" s="7"/>
      <c r="AL597" s="7"/>
      <c r="AM597" s="7"/>
      <c r="AN597" s="7"/>
      <c r="AO597" s="6"/>
      <c r="AP597" s="7"/>
      <c r="AQ597" s="7"/>
      <c r="AR597" s="6"/>
      <c r="AS597" s="7"/>
      <c r="AT597" s="7"/>
      <c r="AU597" s="7"/>
      <c r="AV597" s="7"/>
      <c r="AW597" s="7"/>
      <c r="AX597" s="7"/>
      <c r="AY597" s="7"/>
      <c r="AZ597" s="7"/>
      <c r="BA597" s="7"/>
      <c r="BB597" s="7"/>
      <c r="BC597" s="7"/>
      <c r="BD597" s="7"/>
      <c r="BE597" s="7"/>
      <c r="BF597" s="7"/>
      <c r="BG597" s="7"/>
    </row>
    <row r="598" customHeight="1" spans="1:59">
      <c r="A598" s="9" t="str">
        <f>IF(ActiveDatabase=Standby,Secondary!A598,Primary!A598)</f>
        <v>Magda R01</v>
      </c>
      <c r="B598" s="5" t="str">
        <f>IF(ActiveDatabase=Standby,Secondary!B598,Primary!B598)</f>
        <v>Magda 63</v>
      </c>
      <c r="C598" s="5">
        <f>IF(ActiveDatabase=Standby,Secondary!C598,Primary!C598)</f>
        <v>0</v>
      </c>
      <c r="D598" s="5" t="str">
        <f>IF(ActiveDatabase=Standby,Secondary!D598,Primary!D598)</f>
        <v>OM-1</v>
      </c>
      <c r="E598" s="6" t="str">
        <f>IF(ActiveDatabase=Standby,Secondary!E598,Primary!E598)</f>
        <v>OM1</v>
      </c>
      <c r="F598" s="10">
        <f>IF(ActiveDatabase=Standby,Secondary!F598,Primary!F598)</f>
        <v>0</v>
      </c>
      <c r="G598" s="10">
        <f>IF(ActiveDatabase=Standby,Secondary!G598,Primary!G598)</f>
        <v>0</v>
      </c>
      <c r="H598" s="10">
        <f>IF(ActiveDatabase=Standby,Secondary!H598,Primary!H598)</f>
        <v>494.84</v>
      </c>
      <c r="I598" s="13">
        <f>IF(ActiveDatabase=Standby,Secondary!I598,Primary!I598)</f>
        <v>0</v>
      </c>
      <c r="J598" s="13">
        <f>IF(ActiveDatabase=Standby,Secondary!J598,Primary!J598)</f>
        <v>0</v>
      </c>
      <c r="K598" s="13">
        <f>IF(ActiveDatabase=Standby,Secondary!K598,Primary!K598)</f>
        <v>0</v>
      </c>
      <c r="L598" s="13">
        <f>IF(ActiveDatabase=Standby,Secondary!L598,Primary!L598)</f>
        <v>0</v>
      </c>
      <c r="M598" s="7" t="b">
        <f>IF(ActiveDatabase=Standby,Secondary!M598,Primary!M598)</f>
        <v>1</v>
      </c>
      <c r="N598" s="10">
        <f>IF(ActiveDatabase=Standby,Secondary!N598,Primary!N598)</f>
        <v>0</v>
      </c>
      <c r="O598" s="10">
        <f>IF(ActiveDatabase=Standby,Secondary!O598,Primary!O598)</f>
        <v>0</v>
      </c>
      <c r="P598" s="10">
        <f>IF(ActiveDatabase=Standby,Secondary!P598,Primary!P598)</f>
        <v>0</v>
      </c>
      <c r="Q598" s="6">
        <f>IF(ActiveDatabase=Standby,Secondary!Q598,Primary!Q598)</f>
        <v>0</v>
      </c>
      <c r="R598" s="18">
        <f>IF(ActiveDatabase=Standby,Secondary!R598,Primary!R598)</f>
        <v>0</v>
      </c>
      <c r="S598" s="19">
        <f>IF(ActiveDatabase=Standby,Secondary!S598,Primary!S598)</f>
        <v>0</v>
      </c>
      <c r="T598" s="10">
        <f>IF(ActiveDatabase=Standby,Secondary!T598,Primary!T598)</f>
        <v>0</v>
      </c>
      <c r="U598" s="10">
        <f>IF(ActiveDatabase=Standby,Secondary!U598,Primary!U598)</f>
        <v>0</v>
      </c>
      <c r="V598" s="10">
        <f>IF(ActiveDatabase=Standby,Secondary!V598,Primary!V598)</f>
        <v>0</v>
      </c>
      <c r="W598" s="6">
        <f>IF(ActiveDatabase=Standby,Secondary!W598,Primary!W598)</f>
        <v>0</v>
      </c>
      <c r="X598" s="6">
        <f>IF(ActiveDatabase=Standby,Secondary!X598,Primary!X598)</f>
        <v>0</v>
      </c>
      <c r="Y598" s="12">
        <f>IF(ActiveDatabase=Standby,Secondary!Y598,Primary!Y598)</f>
        <v>0</v>
      </c>
      <c r="Z598" s="12">
        <f>IF(ActiveDatabase=Standby,Secondary!Z598,Primary!Z598)</f>
        <v>0</v>
      </c>
      <c r="AA598" s="7">
        <f>IF(ActiveDatabase=Standby,Secondary!AA598,Primary!AA598)</f>
        <v>0</v>
      </c>
      <c r="AB598" s="12"/>
      <c r="AC598" s="6"/>
      <c r="AD598" s="6"/>
      <c r="AE598" s="7"/>
      <c r="AF598" s="7"/>
      <c r="AG598" s="7"/>
      <c r="AH598" s="7"/>
      <c r="AI598" s="7"/>
      <c r="AJ598" s="7"/>
      <c r="AK598" s="7"/>
      <c r="AL598" s="7"/>
      <c r="AM598" s="7"/>
      <c r="AN598" s="7"/>
      <c r="AO598" s="6"/>
      <c r="AP598" s="7"/>
      <c r="AQ598" s="7"/>
      <c r="AR598" s="6"/>
      <c r="AS598" s="7"/>
      <c r="AT598" s="7"/>
      <c r="AU598" s="7"/>
      <c r="AV598" s="7"/>
      <c r="AW598" s="7"/>
      <c r="AX598" s="7"/>
      <c r="AY598" s="7"/>
      <c r="AZ598" s="7"/>
      <c r="BA598" s="7"/>
      <c r="BB598" s="7"/>
      <c r="BC598" s="7"/>
      <c r="BD598" s="7"/>
      <c r="BE598" s="7"/>
      <c r="BF598" s="7"/>
      <c r="BG598" s="7"/>
    </row>
    <row r="599" customHeight="1" spans="1:59">
      <c r="A599" s="9" t="str">
        <f>IF(ActiveDatabase=Standby,Secondary!A599,Primary!A599)</f>
        <v>Magda R02</v>
      </c>
      <c r="B599" s="5" t="str">
        <f>IF(ActiveDatabase=Standby,Secondary!B599,Primary!B599)</f>
        <v>Magda 64</v>
      </c>
      <c r="C599" s="5">
        <f>IF(ActiveDatabase=Standby,Secondary!C599,Primary!C599)</f>
        <v>0</v>
      </c>
      <c r="D599" s="5" t="str">
        <f>IF(ActiveDatabase=Standby,Secondary!D599,Primary!D599)</f>
        <v>OM-2</v>
      </c>
      <c r="E599" s="6" t="str">
        <f>IF(ActiveDatabase=Standby,Secondary!E599,Primary!E599)</f>
        <v>OM2</v>
      </c>
      <c r="F599" s="10">
        <f>IF(ActiveDatabase=Standby,Secondary!F599,Primary!F599)</f>
        <v>0</v>
      </c>
      <c r="G599" s="10">
        <f>IF(ActiveDatabase=Standby,Secondary!G599,Primary!G599)</f>
        <v>0</v>
      </c>
      <c r="H599" s="10">
        <f>IF(ActiveDatabase=Standby,Secondary!H599,Primary!H599)</f>
        <v>-494.84</v>
      </c>
      <c r="I599" s="13">
        <f>IF(ActiveDatabase=Standby,Secondary!I599,Primary!I599)</f>
        <v>0</v>
      </c>
      <c r="J599" s="13">
        <f>IF(ActiveDatabase=Standby,Secondary!J599,Primary!J599)</f>
        <v>0</v>
      </c>
      <c r="K599" s="13">
        <f>IF(ActiveDatabase=Standby,Secondary!K599,Primary!K599)</f>
        <v>0</v>
      </c>
      <c r="L599" s="13">
        <f>IF(ActiveDatabase=Standby,Secondary!L599,Primary!L599)</f>
        <v>0</v>
      </c>
      <c r="M599" s="7" t="b">
        <f>IF(ActiveDatabase=Standby,Secondary!M599,Primary!M599)</f>
        <v>1</v>
      </c>
      <c r="N599" s="10">
        <f>IF(ActiveDatabase=Standby,Secondary!N599,Primary!N599)</f>
        <v>0</v>
      </c>
      <c r="O599" s="10">
        <f>IF(ActiveDatabase=Standby,Secondary!O599,Primary!O599)</f>
        <v>0</v>
      </c>
      <c r="P599" s="10">
        <f>IF(ActiveDatabase=Standby,Secondary!P599,Primary!P599)</f>
        <v>0</v>
      </c>
      <c r="Q599" s="6">
        <f>IF(ActiveDatabase=Standby,Secondary!Q599,Primary!Q599)</f>
        <v>0</v>
      </c>
      <c r="R599" s="18">
        <f>IF(ActiveDatabase=Standby,Secondary!R599,Primary!R599)</f>
        <v>0</v>
      </c>
      <c r="S599" s="19">
        <f>IF(ActiveDatabase=Standby,Secondary!S599,Primary!S599)</f>
        <v>0</v>
      </c>
      <c r="T599" s="10">
        <f>IF(ActiveDatabase=Standby,Secondary!T599,Primary!T599)</f>
        <v>0</v>
      </c>
      <c r="U599" s="10">
        <f>IF(ActiveDatabase=Standby,Secondary!U599,Primary!U599)</f>
        <v>0</v>
      </c>
      <c r="V599" s="10">
        <f>IF(ActiveDatabase=Standby,Secondary!V599,Primary!V599)</f>
        <v>0</v>
      </c>
      <c r="W599" s="6">
        <f>IF(ActiveDatabase=Standby,Secondary!W599,Primary!W599)</f>
        <v>0</v>
      </c>
      <c r="X599" s="6">
        <f>IF(ActiveDatabase=Standby,Secondary!X599,Primary!X599)</f>
        <v>0</v>
      </c>
      <c r="Y599" s="12">
        <f>IF(ActiveDatabase=Standby,Secondary!Y599,Primary!Y599)</f>
        <v>0</v>
      </c>
      <c r="Z599" s="12">
        <f>IF(ActiveDatabase=Standby,Secondary!Z599,Primary!Z599)</f>
        <v>0</v>
      </c>
      <c r="AA599" s="7">
        <f>IF(ActiveDatabase=Standby,Secondary!AA599,Primary!AA599)</f>
        <v>0</v>
      </c>
      <c r="AB599" s="12"/>
      <c r="AC599" s="6"/>
      <c r="AD599" s="6"/>
      <c r="AE599" s="7"/>
      <c r="AF599" s="7"/>
      <c r="AG599" s="7"/>
      <c r="AH599" s="7"/>
      <c r="AI599" s="7"/>
      <c r="AJ599" s="7"/>
      <c r="AK599" s="7"/>
      <c r="AL599" s="7"/>
      <c r="AM599" s="7"/>
      <c r="AN599" s="7"/>
      <c r="AO599" s="6"/>
      <c r="AP599" s="7"/>
      <c r="AQ599" s="7"/>
      <c r="AR599" s="6"/>
      <c r="AS599" s="7"/>
      <c r="AT599" s="7"/>
      <c r="AU599" s="7"/>
      <c r="AV599" s="7"/>
      <c r="AW599" s="7"/>
      <c r="AX599" s="7"/>
      <c r="AY599" s="7"/>
      <c r="AZ599" s="7"/>
      <c r="BA599" s="7"/>
      <c r="BB599" s="7"/>
      <c r="BC599" s="7"/>
      <c r="BD599" s="7"/>
      <c r="BE599" s="7"/>
      <c r="BF599" s="7"/>
      <c r="BG599" s="7"/>
    </row>
    <row r="600" customHeight="1" spans="1:59">
      <c r="A600" s="9" t="str">
        <f>IF(ActiveDatabase=Standby,Secondary!A600,Primary!A600)</f>
        <v>Magda R03</v>
      </c>
      <c r="B600" s="5" t="str">
        <f>IF(ActiveDatabase=Standby,Secondary!B600,Primary!B600)</f>
        <v>Magda 65</v>
      </c>
      <c r="C600" s="5" t="str">
        <f>IF(ActiveDatabase=Standby,Secondary!C600,Primary!C600)</f>
        <v>Magda 18</v>
      </c>
      <c r="D600" s="5" t="str">
        <f>IF(ActiveDatabase=Standby,Secondary!D600,Primary!D600)</f>
        <v>OM-3</v>
      </c>
      <c r="E600" s="6" t="str">
        <f>IF(ActiveDatabase=Standby,Secondary!E600,Primary!E600)</f>
        <v>OM3</v>
      </c>
      <c r="F600" s="10">
        <f>IF(ActiveDatabase=Standby,Secondary!F600,Primary!F600)</f>
        <v>0</v>
      </c>
      <c r="G600" s="10">
        <f>IF(ActiveDatabase=Standby,Secondary!G600,Primary!G600)</f>
        <v>494.84</v>
      </c>
      <c r="H600" s="10">
        <f>IF(ActiveDatabase=Standby,Secondary!H600,Primary!H600)</f>
        <v>0</v>
      </c>
      <c r="I600" s="13">
        <f>IF(ActiveDatabase=Standby,Secondary!I600,Primary!I600)</f>
        <v>0</v>
      </c>
      <c r="J600" s="13">
        <f>IF(ActiveDatabase=Standby,Secondary!J600,Primary!J600)</f>
        <v>0</v>
      </c>
      <c r="K600" s="13">
        <f>IF(ActiveDatabase=Standby,Secondary!K600,Primary!K600)</f>
        <v>0</v>
      </c>
      <c r="L600" s="13">
        <f>IF(ActiveDatabase=Standby,Secondary!L600,Primary!L600)</f>
        <v>0</v>
      </c>
      <c r="M600" s="7" t="b">
        <f>IF(ActiveDatabase=Standby,Secondary!M600,Primary!M600)</f>
        <v>1</v>
      </c>
      <c r="N600" s="10">
        <f>IF(ActiveDatabase=Standby,Secondary!N600,Primary!N600)</f>
        <v>0</v>
      </c>
      <c r="O600" s="10">
        <f>IF(ActiveDatabase=Standby,Secondary!O600,Primary!O600)</f>
        <v>0</v>
      </c>
      <c r="P600" s="10">
        <f>IF(ActiveDatabase=Standby,Secondary!P600,Primary!P600)</f>
        <v>0</v>
      </c>
      <c r="Q600" s="6">
        <f>IF(ActiveDatabase=Standby,Secondary!Q600,Primary!Q600)</f>
        <v>0</v>
      </c>
      <c r="R600" s="18">
        <f>IF(ActiveDatabase=Standby,Secondary!R600,Primary!R600)</f>
        <v>0</v>
      </c>
      <c r="S600" s="19">
        <f>IF(ActiveDatabase=Standby,Secondary!S600,Primary!S600)</f>
        <v>0</v>
      </c>
      <c r="T600" s="10">
        <f>IF(ActiveDatabase=Standby,Secondary!T600,Primary!T600)</f>
        <v>0</v>
      </c>
      <c r="U600" s="10">
        <f>IF(ActiveDatabase=Standby,Secondary!U600,Primary!U600)</f>
        <v>0</v>
      </c>
      <c r="V600" s="10">
        <f>IF(ActiveDatabase=Standby,Secondary!V600,Primary!V600)</f>
        <v>0</v>
      </c>
      <c r="W600" s="6">
        <f>IF(ActiveDatabase=Standby,Secondary!W600,Primary!W600)</f>
        <v>0</v>
      </c>
      <c r="X600" s="6">
        <f>IF(ActiveDatabase=Standby,Secondary!X600,Primary!X600)</f>
        <v>0</v>
      </c>
      <c r="Y600" s="12">
        <f>IF(ActiveDatabase=Standby,Secondary!Y600,Primary!Y600)</f>
        <v>0</v>
      </c>
      <c r="Z600" s="12">
        <f>IF(ActiveDatabase=Standby,Secondary!Z600,Primary!Z600)</f>
        <v>0</v>
      </c>
      <c r="AA600" s="7">
        <f>IF(ActiveDatabase=Standby,Secondary!AA600,Primary!AA600)</f>
        <v>0</v>
      </c>
      <c r="AB600" s="12"/>
      <c r="AC600" s="6"/>
      <c r="AD600" s="6"/>
      <c r="AE600" s="7"/>
      <c r="AF600" s="7"/>
      <c r="AG600" s="7"/>
      <c r="AH600" s="7"/>
      <c r="AI600" s="7"/>
      <c r="AJ600" s="7"/>
      <c r="AK600" s="7"/>
      <c r="AL600" s="7"/>
      <c r="AM600" s="7"/>
      <c r="AN600" s="7"/>
      <c r="AO600" s="6"/>
      <c r="AP600" s="7"/>
      <c r="AQ600" s="7"/>
      <c r="AR600" s="6"/>
      <c r="AS600" s="7"/>
      <c r="AT600" s="7"/>
      <c r="AU600" s="7"/>
      <c r="AV600" s="7"/>
      <c r="AW600" s="7"/>
      <c r="AX600" s="7"/>
      <c r="AY600" s="7"/>
      <c r="AZ600" s="7"/>
      <c r="BA600" s="7"/>
      <c r="BB600" s="7"/>
      <c r="BC600" s="7"/>
      <c r="BD600" s="7"/>
      <c r="BE600" s="7"/>
      <c r="BF600" s="7"/>
      <c r="BG600" s="7"/>
    </row>
    <row r="601" customHeight="1" spans="1:59">
      <c r="A601" s="9" t="str">
        <f>IF(ActiveDatabase=Standby,Secondary!A601,Primary!A601)</f>
        <v>Magda R04</v>
      </c>
      <c r="B601" s="5" t="str">
        <f>IF(ActiveDatabase=Standby,Secondary!B601,Primary!B601)</f>
        <v>Magda 66</v>
      </c>
      <c r="C601" s="5" t="str">
        <f>IF(ActiveDatabase=Standby,Secondary!C601,Primary!C601)</f>
        <v>Magda 44</v>
      </c>
      <c r="D601" s="5" t="str">
        <f>IF(ActiveDatabase=Standby,Secondary!D601,Primary!D601)</f>
        <v>OM-4</v>
      </c>
      <c r="E601" s="6" t="str">
        <f>IF(ActiveDatabase=Standby,Secondary!E601,Primary!E601)</f>
        <v>OM4</v>
      </c>
      <c r="F601" s="10">
        <f>IF(ActiveDatabase=Standby,Secondary!F601,Primary!F601)</f>
        <v>0</v>
      </c>
      <c r="G601" s="10">
        <f>IF(ActiveDatabase=Standby,Secondary!G601,Primary!G601)</f>
        <v>-494.84</v>
      </c>
      <c r="H601" s="10">
        <f>IF(ActiveDatabase=Standby,Secondary!H601,Primary!H601)</f>
        <v>0</v>
      </c>
      <c r="I601" s="13">
        <f>IF(ActiveDatabase=Standby,Secondary!I601,Primary!I601)</f>
        <v>0</v>
      </c>
      <c r="J601" s="13">
        <f>IF(ActiveDatabase=Standby,Secondary!J601,Primary!J601)</f>
        <v>0</v>
      </c>
      <c r="K601" s="13">
        <f>IF(ActiveDatabase=Standby,Secondary!K601,Primary!K601)</f>
        <v>0</v>
      </c>
      <c r="L601" s="13">
        <f>IF(ActiveDatabase=Standby,Secondary!L601,Primary!L601)</f>
        <v>0</v>
      </c>
      <c r="M601" s="7" t="b">
        <f>IF(ActiveDatabase=Standby,Secondary!M601,Primary!M601)</f>
        <v>1</v>
      </c>
      <c r="N601" s="10">
        <f>IF(ActiveDatabase=Standby,Secondary!N601,Primary!N601)</f>
        <v>0</v>
      </c>
      <c r="O601" s="10">
        <f>IF(ActiveDatabase=Standby,Secondary!O601,Primary!O601)</f>
        <v>0</v>
      </c>
      <c r="P601" s="10">
        <f>IF(ActiveDatabase=Standby,Secondary!P601,Primary!P601)</f>
        <v>0</v>
      </c>
      <c r="Q601" s="6">
        <f>IF(ActiveDatabase=Standby,Secondary!Q601,Primary!Q601)</f>
        <v>0</v>
      </c>
      <c r="R601" s="18">
        <f>IF(ActiveDatabase=Standby,Secondary!R601,Primary!R601)</f>
        <v>0</v>
      </c>
      <c r="S601" s="19">
        <f>IF(ActiveDatabase=Standby,Secondary!S601,Primary!S601)</f>
        <v>0</v>
      </c>
      <c r="T601" s="10">
        <f>IF(ActiveDatabase=Standby,Secondary!T601,Primary!T601)</f>
        <v>0</v>
      </c>
      <c r="U601" s="10">
        <f>IF(ActiveDatabase=Standby,Secondary!U601,Primary!U601)</f>
        <v>0</v>
      </c>
      <c r="V601" s="10">
        <f>IF(ActiveDatabase=Standby,Secondary!V601,Primary!V601)</f>
        <v>0</v>
      </c>
      <c r="W601" s="6">
        <f>IF(ActiveDatabase=Standby,Secondary!W601,Primary!W601)</f>
        <v>0</v>
      </c>
      <c r="X601" s="6">
        <f>IF(ActiveDatabase=Standby,Secondary!X601,Primary!X601)</f>
        <v>0</v>
      </c>
      <c r="Y601" s="12">
        <f>IF(ActiveDatabase=Standby,Secondary!Y601,Primary!Y601)</f>
        <v>0</v>
      </c>
      <c r="Z601" s="12">
        <f>IF(ActiveDatabase=Standby,Secondary!Z601,Primary!Z601)</f>
        <v>0</v>
      </c>
      <c r="AA601" s="7">
        <f>IF(ActiveDatabase=Standby,Secondary!AA601,Primary!AA601)</f>
        <v>0</v>
      </c>
      <c r="AB601" s="12"/>
      <c r="AC601" s="6"/>
      <c r="AD601" s="6"/>
      <c r="AE601" s="7"/>
      <c r="AF601" s="7"/>
      <c r="AG601" s="7"/>
      <c r="AH601" s="7"/>
      <c r="AI601" s="7"/>
      <c r="AJ601" s="7"/>
      <c r="AK601" s="7"/>
      <c r="AL601" s="7"/>
      <c r="AM601" s="7"/>
      <c r="AN601" s="7"/>
      <c r="AO601" s="6"/>
      <c r="AP601" s="7"/>
      <c r="AQ601" s="7"/>
      <c r="AR601" s="6"/>
      <c r="AS601" s="7"/>
      <c r="AT601" s="7"/>
      <c r="AU601" s="7"/>
      <c r="AV601" s="7"/>
      <c r="AW601" s="7"/>
      <c r="AX601" s="7"/>
      <c r="AY601" s="7"/>
      <c r="AZ601" s="7"/>
      <c r="BA601" s="7"/>
      <c r="BB601" s="7"/>
      <c r="BC601" s="7"/>
      <c r="BD601" s="7"/>
      <c r="BE601" s="7"/>
      <c r="BF601" s="7"/>
      <c r="BG601" s="7"/>
    </row>
    <row r="602" customHeight="1" spans="1:59">
      <c r="A602" s="9" t="str">
        <f>IF(ActiveDatabase=Standby,Secondary!A602,Primary!A602)</f>
        <v>Magda R05</v>
      </c>
      <c r="B602" s="5" t="str">
        <f>IF(ActiveDatabase=Standby,Secondary!B602,Primary!B602)</f>
        <v>Magda 67</v>
      </c>
      <c r="C602" s="5" t="str">
        <f>IF(ActiveDatabase=Standby,Secondary!C602,Primary!C602)</f>
        <v>Magda 31</v>
      </c>
      <c r="D602" s="5" t="str">
        <f>IF(ActiveDatabase=Standby,Secondary!D602,Primary!D602)</f>
        <v>OM-5</v>
      </c>
      <c r="E602" s="6" t="str">
        <f>IF(ActiveDatabase=Standby,Secondary!E602,Primary!E602)</f>
        <v>OM5</v>
      </c>
      <c r="F602" s="10">
        <f>IF(ActiveDatabase=Standby,Secondary!F602,Primary!F602)</f>
        <v>494.84</v>
      </c>
      <c r="G602" s="10">
        <f>IF(ActiveDatabase=Standby,Secondary!G602,Primary!G602)</f>
        <v>0</v>
      </c>
      <c r="H602" s="10">
        <f>IF(ActiveDatabase=Standby,Secondary!H602,Primary!H602)</f>
        <v>0</v>
      </c>
      <c r="I602" s="13">
        <f>IF(ActiveDatabase=Standby,Secondary!I602,Primary!I602)</f>
        <v>0</v>
      </c>
      <c r="J602" s="13">
        <f>IF(ActiveDatabase=Standby,Secondary!J602,Primary!J602)</f>
        <v>0</v>
      </c>
      <c r="K602" s="13">
        <f>IF(ActiveDatabase=Standby,Secondary!K602,Primary!K602)</f>
        <v>0</v>
      </c>
      <c r="L602" s="13">
        <f>IF(ActiveDatabase=Standby,Secondary!L602,Primary!L602)</f>
        <v>0</v>
      </c>
      <c r="M602" s="7" t="b">
        <f>IF(ActiveDatabase=Standby,Secondary!M602,Primary!M602)</f>
        <v>1</v>
      </c>
      <c r="N602" s="10">
        <f>IF(ActiveDatabase=Standby,Secondary!N602,Primary!N602)</f>
        <v>0</v>
      </c>
      <c r="O602" s="10">
        <f>IF(ActiveDatabase=Standby,Secondary!O602,Primary!O602)</f>
        <v>0</v>
      </c>
      <c r="P602" s="10">
        <f>IF(ActiveDatabase=Standby,Secondary!P602,Primary!P602)</f>
        <v>0</v>
      </c>
      <c r="Q602" s="6">
        <f>IF(ActiveDatabase=Standby,Secondary!Q602,Primary!Q602)</f>
        <v>0</v>
      </c>
      <c r="R602" s="18">
        <f>IF(ActiveDatabase=Standby,Secondary!R602,Primary!R602)</f>
        <v>0</v>
      </c>
      <c r="S602" s="19">
        <f>IF(ActiveDatabase=Standby,Secondary!S602,Primary!S602)</f>
        <v>0</v>
      </c>
      <c r="T602" s="10">
        <f>IF(ActiveDatabase=Standby,Secondary!T602,Primary!T602)</f>
        <v>0</v>
      </c>
      <c r="U602" s="10">
        <f>IF(ActiveDatabase=Standby,Secondary!U602,Primary!U602)</f>
        <v>0</v>
      </c>
      <c r="V602" s="10">
        <f>IF(ActiveDatabase=Standby,Secondary!V602,Primary!V602)</f>
        <v>0</v>
      </c>
      <c r="W602" s="6">
        <f>IF(ActiveDatabase=Standby,Secondary!W602,Primary!W602)</f>
        <v>0</v>
      </c>
      <c r="X602" s="6">
        <f>IF(ActiveDatabase=Standby,Secondary!X602,Primary!X602)</f>
        <v>0</v>
      </c>
      <c r="Y602" s="12">
        <f>IF(ActiveDatabase=Standby,Secondary!Y602,Primary!Y602)</f>
        <v>0</v>
      </c>
      <c r="Z602" s="12">
        <f>IF(ActiveDatabase=Standby,Secondary!Z602,Primary!Z602)</f>
        <v>0</v>
      </c>
      <c r="AA602" s="7">
        <f>IF(ActiveDatabase=Standby,Secondary!AA602,Primary!AA602)</f>
        <v>0</v>
      </c>
      <c r="AB602" s="12"/>
      <c r="AC602" s="6"/>
      <c r="AD602" s="6"/>
      <c r="AE602" s="7"/>
      <c r="AF602" s="7"/>
      <c r="AG602" s="7"/>
      <c r="AH602" s="7"/>
      <c r="AI602" s="7"/>
      <c r="AJ602" s="7"/>
      <c r="AK602" s="7"/>
      <c r="AL602" s="7"/>
      <c r="AM602" s="7"/>
      <c r="AN602" s="7"/>
      <c r="AO602" s="6"/>
      <c r="AP602" s="7"/>
      <c r="AQ602" s="7"/>
      <c r="AR602" s="6"/>
      <c r="AS602" s="7"/>
      <c r="AT602" s="7"/>
      <c r="AU602" s="7"/>
      <c r="AV602" s="7"/>
      <c r="AW602" s="7"/>
      <c r="AX602" s="7"/>
      <c r="AY602" s="7"/>
      <c r="AZ602" s="7"/>
      <c r="BA602" s="7"/>
      <c r="BB602" s="7"/>
      <c r="BC602" s="7"/>
      <c r="BD602" s="7"/>
      <c r="BE602" s="7"/>
      <c r="BF602" s="7"/>
      <c r="BG602" s="7"/>
    </row>
    <row r="603" customHeight="1" spans="1:59">
      <c r="A603" s="9" t="str">
        <f>IF(ActiveDatabase=Standby,Secondary!A603,Primary!A603)</f>
        <v>Magda R06</v>
      </c>
      <c r="B603" s="5" t="str">
        <f>IF(ActiveDatabase=Standby,Secondary!B603,Primary!B603)</f>
        <v>Magda 68</v>
      </c>
      <c r="C603" s="5" t="str">
        <f>IF(ActiveDatabase=Standby,Secondary!C603,Primary!C603)</f>
        <v>Magda 55</v>
      </c>
      <c r="D603" s="5" t="str">
        <f>IF(ActiveDatabase=Standby,Secondary!D603,Primary!D603)</f>
        <v>OM-6</v>
      </c>
      <c r="E603" s="6" t="str">
        <f>IF(ActiveDatabase=Standby,Secondary!E603,Primary!E603)</f>
        <v>OM6</v>
      </c>
      <c r="F603" s="10">
        <f>IF(ActiveDatabase=Standby,Secondary!F603,Primary!F603)</f>
        <v>-494.84</v>
      </c>
      <c r="G603" s="10">
        <f>IF(ActiveDatabase=Standby,Secondary!G603,Primary!G603)</f>
        <v>0</v>
      </c>
      <c r="H603" s="10">
        <f>IF(ActiveDatabase=Standby,Secondary!H603,Primary!H603)</f>
        <v>0</v>
      </c>
      <c r="I603" s="13">
        <f>IF(ActiveDatabase=Standby,Secondary!I603,Primary!I603)</f>
        <v>0</v>
      </c>
      <c r="J603" s="13">
        <f>IF(ActiveDatabase=Standby,Secondary!J603,Primary!J603)</f>
        <v>0</v>
      </c>
      <c r="K603" s="13">
        <f>IF(ActiveDatabase=Standby,Secondary!K603,Primary!K603)</f>
        <v>0</v>
      </c>
      <c r="L603" s="13">
        <f>IF(ActiveDatabase=Standby,Secondary!L603,Primary!L603)</f>
        <v>0</v>
      </c>
      <c r="M603" s="7" t="b">
        <f>IF(ActiveDatabase=Standby,Secondary!M603,Primary!M603)</f>
        <v>1</v>
      </c>
      <c r="N603" s="10">
        <f>IF(ActiveDatabase=Standby,Secondary!N603,Primary!N603)</f>
        <v>0</v>
      </c>
      <c r="O603" s="10">
        <f>IF(ActiveDatabase=Standby,Secondary!O603,Primary!O603)</f>
        <v>0</v>
      </c>
      <c r="P603" s="10">
        <f>IF(ActiveDatabase=Standby,Secondary!P603,Primary!P603)</f>
        <v>0</v>
      </c>
      <c r="Q603" s="6">
        <f>IF(ActiveDatabase=Standby,Secondary!Q603,Primary!Q603)</f>
        <v>0</v>
      </c>
      <c r="R603" s="18">
        <f>IF(ActiveDatabase=Standby,Secondary!R603,Primary!R603)</f>
        <v>0</v>
      </c>
      <c r="S603" s="19">
        <f>IF(ActiveDatabase=Standby,Secondary!S603,Primary!S603)</f>
        <v>0</v>
      </c>
      <c r="T603" s="10">
        <f>IF(ActiveDatabase=Standby,Secondary!T603,Primary!T603)</f>
        <v>0</v>
      </c>
      <c r="U603" s="10">
        <f>IF(ActiveDatabase=Standby,Secondary!U603,Primary!U603)</f>
        <v>0</v>
      </c>
      <c r="V603" s="10">
        <f>IF(ActiveDatabase=Standby,Secondary!V603,Primary!V603)</f>
        <v>0</v>
      </c>
      <c r="W603" s="6">
        <f>IF(ActiveDatabase=Standby,Secondary!W603,Primary!W603)</f>
        <v>0</v>
      </c>
      <c r="X603" s="6">
        <f>IF(ActiveDatabase=Standby,Secondary!X603,Primary!X603)</f>
        <v>0</v>
      </c>
      <c r="Y603" s="12">
        <f>IF(ActiveDatabase=Standby,Secondary!Y603,Primary!Y603)</f>
        <v>0</v>
      </c>
      <c r="Z603" s="12">
        <f>IF(ActiveDatabase=Standby,Secondary!Z603,Primary!Z603)</f>
        <v>0</v>
      </c>
      <c r="AA603" s="7">
        <f>IF(ActiveDatabase=Standby,Secondary!AA603,Primary!AA603)</f>
        <v>0</v>
      </c>
      <c r="AB603" s="12"/>
      <c r="AC603" s="6"/>
      <c r="AD603" s="6"/>
      <c r="AE603" s="7"/>
      <c r="AF603" s="7"/>
      <c r="AG603" s="7"/>
      <c r="AH603" s="7"/>
      <c r="AI603" s="7"/>
      <c r="AJ603" s="7"/>
      <c r="AK603" s="7"/>
      <c r="AL603" s="7"/>
      <c r="AM603" s="7"/>
      <c r="AN603" s="7"/>
      <c r="AO603" s="6"/>
      <c r="AP603" s="7"/>
      <c r="AQ603" s="7"/>
      <c r="AR603" s="6"/>
      <c r="AS603" s="7"/>
      <c r="AT603" s="7"/>
      <c r="AU603" s="7"/>
      <c r="AV603" s="7"/>
      <c r="AW603" s="7"/>
      <c r="AX603" s="7"/>
      <c r="AY603" s="7"/>
      <c r="AZ603" s="7"/>
      <c r="BA603" s="7"/>
      <c r="BB603" s="7"/>
      <c r="BC603" s="7"/>
      <c r="BD603" s="7"/>
      <c r="BE603" s="7"/>
      <c r="BF603" s="7"/>
      <c r="BG603" s="7"/>
    </row>
    <row r="604" customHeight="1" spans="1:59">
      <c r="A604" s="9" t="str">
        <f>IF(ActiveDatabase=Standby,Secondary!A604,Primary!A604)</f>
        <v>Magda</v>
      </c>
      <c r="B604" s="5" t="str">
        <f>IF(ActiveDatabase=Standby,Secondary!B604,Primary!B604)</f>
        <v>Magda 00</v>
      </c>
      <c r="C604" s="5">
        <f>IF(ActiveDatabase=Standby,Secondary!C604,Primary!C604)</f>
        <v>0</v>
      </c>
      <c r="D604" s="5" t="str">
        <f>IF(ActiveDatabase=Standby,Secondary!D604,Primary!D604)</f>
        <v>Trading Terminals</v>
      </c>
      <c r="E604" s="6">
        <f>IF(ActiveDatabase=Standby,Secondary!E604,Primary!E604)</f>
        <v>0</v>
      </c>
      <c r="F604" s="10">
        <f>IF(ActiveDatabase=Standby,Secondary!F604,Primary!F604)</f>
        <v>0</v>
      </c>
      <c r="G604" s="10">
        <f>IF(ActiveDatabase=Standby,Secondary!G604,Primary!G604)</f>
        <v>0</v>
      </c>
      <c r="H604" s="10">
        <f>IF(ActiveDatabase=Standby,Secondary!H604,Primary!H604)</f>
        <v>0</v>
      </c>
      <c r="I604" s="13">
        <f>IF(ActiveDatabase=Standby,Secondary!I604,Primary!I604)</f>
        <v>0</v>
      </c>
      <c r="J604" s="13">
        <f>IF(ActiveDatabase=Standby,Secondary!J604,Primary!J604)</f>
        <v>0</v>
      </c>
      <c r="K604" s="13">
        <f>IF(ActiveDatabase=Standby,Secondary!K604,Primary!K604)</f>
        <v>0</v>
      </c>
      <c r="L604" s="13">
        <f>IF(ActiveDatabase=Standby,Secondary!L604,Primary!L604)</f>
        <v>0</v>
      </c>
      <c r="M604" s="7">
        <f>IF(ActiveDatabase=Standby,Secondary!M604,Primary!M604)</f>
        <v>0</v>
      </c>
      <c r="N604" s="10">
        <f>IF(ActiveDatabase=Standby,Secondary!N604,Primary!N604)</f>
        <v>0</v>
      </c>
      <c r="O604" s="10">
        <f>IF(ActiveDatabase=Standby,Secondary!O604,Primary!O604)</f>
        <v>0</v>
      </c>
      <c r="P604" s="10">
        <f>IF(ActiveDatabase=Standby,Secondary!P604,Primary!P604)</f>
        <v>0</v>
      </c>
      <c r="Q604" s="6">
        <f>IF(ActiveDatabase=Standby,Secondary!Q604,Primary!Q604)</f>
        <v>0</v>
      </c>
      <c r="R604" s="18">
        <f>IF(ActiveDatabase=Standby,Secondary!R604,Primary!R604)</f>
        <v>0</v>
      </c>
      <c r="S604" s="19">
        <f>IF(ActiveDatabase=Standby,Secondary!S604,Primary!S604)</f>
        <v>0</v>
      </c>
      <c r="T604" s="10">
        <f>IF(ActiveDatabase=Standby,Secondary!T604,Primary!T604)</f>
        <v>0</v>
      </c>
      <c r="U604" s="10">
        <f>IF(ActiveDatabase=Standby,Secondary!U604,Primary!U604)</f>
        <v>0</v>
      </c>
      <c r="V604" s="10">
        <f>IF(ActiveDatabase=Standby,Secondary!V604,Primary!V604)</f>
        <v>0</v>
      </c>
      <c r="W604" s="6">
        <f>IF(ActiveDatabase=Standby,Secondary!W604,Primary!W604)</f>
        <v>0</v>
      </c>
      <c r="X604" s="6">
        <f>IF(ActiveDatabase=Standby,Secondary!X604,Primary!X604)</f>
        <v>0</v>
      </c>
      <c r="Y604" s="12">
        <f>IF(ActiveDatabase=Standby,Secondary!Y604,Primary!Y604)</f>
        <v>0</v>
      </c>
      <c r="Z604" s="12">
        <f>IF(ActiveDatabase=Standby,Secondary!Z604,Primary!Z604)</f>
        <v>0</v>
      </c>
      <c r="AA604" s="7">
        <f>IF(ActiveDatabase=Standby,Secondary!AA604,Primary!AA604)</f>
        <v>0</v>
      </c>
      <c r="AB604" s="12"/>
      <c r="AC604" s="6"/>
      <c r="AD604" s="6"/>
      <c r="AE604" s="7"/>
      <c r="AF604" s="7"/>
      <c r="AG604" s="7"/>
      <c r="AH604" s="7"/>
      <c r="AI604" s="7"/>
      <c r="AJ604" s="7"/>
      <c r="AK604" s="7"/>
      <c r="AL604" s="7"/>
      <c r="AM604" s="7"/>
      <c r="AN604" s="7"/>
      <c r="AO604" s="6"/>
      <c r="AP604" s="7"/>
      <c r="AQ604" s="7"/>
      <c r="AR604" s="6"/>
      <c r="AS604" s="7"/>
      <c r="AT604" s="7"/>
      <c r="AU604" s="7"/>
      <c r="AV604" s="7"/>
      <c r="AW604" s="7"/>
      <c r="AX604" s="7"/>
      <c r="AY604" s="7"/>
      <c r="AZ604" s="7"/>
      <c r="BA604" s="7"/>
      <c r="BB604" s="7"/>
      <c r="BC604" s="7"/>
      <c r="BD604" s="7"/>
      <c r="BE604" s="7"/>
      <c r="BF604" s="7"/>
      <c r="BG604" s="7"/>
    </row>
    <row r="605" customHeight="1" spans="1:59">
      <c r="A605" s="9" t="str">
        <f>IF(ActiveDatabase=Standby,Secondary!A605,Primary!A605)</f>
        <v>Magda 01</v>
      </c>
      <c r="B605" s="5" t="str">
        <f>IF(ActiveDatabase=Standby,Secondary!B605,Primary!B605)</f>
        <v>Magda 01</v>
      </c>
      <c r="C605" s="5" t="str">
        <f>IF(ActiveDatabase=Standby,Secondary!C605,Primary!C605)</f>
        <v>Magda 46</v>
      </c>
      <c r="D605" s="5" t="str">
        <f>IF(ActiveDatabase=Standby,Secondary!D605,Primary!D605)</f>
        <v>HDMS Hahn (PB)</v>
      </c>
      <c r="E605" s="6" t="str">
        <f>IF(ActiveDatabase=Standby,Secondary!E605,Primary!E605)</f>
        <v>Hahn</v>
      </c>
      <c r="F605" s="10">
        <f>IF(ActiveDatabase=Standby,Secondary!F605,Primary!F605)</f>
        <v>-147.383641324</v>
      </c>
      <c r="G605" s="10">
        <f>IF(ActiveDatabase=Standby,Secondary!G605,Primary!G605)</f>
        <v>-292.216501385</v>
      </c>
      <c r="H605" s="10">
        <f>IF(ActiveDatabase=Standby,Secondary!H605,Primary!H605)</f>
        <v>95.247266076</v>
      </c>
      <c r="I605" s="13">
        <f>IF(ActiveDatabase=Standby,Secondary!I605,Primary!I605)</f>
        <v>0</v>
      </c>
      <c r="J605" s="13">
        <f>IF(ActiveDatabase=Standby,Secondary!J605,Primary!J605)</f>
        <v>0</v>
      </c>
      <c r="K605" s="13">
        <f>IF(ActiveDatabase=Standby,Secondary!K605,Primary!K605)</f>
        <v>0</v>
      </c>
      <c r="L605" s="13">
        <f>IF(ActiveDatabase=Standby,Secondary!L605,Primary!L605)</f>
        <v>0</v>
      </c>
      <c r="M605" s="7" t="b">
        <f>IF(ActiveDatabase=Standby,Secondary!M605,Primary!M605)</f>
        <v>1</v>
      </c>
      <c r="N605" s="10">
        <f>IF(ActiveDatabase=Standby,Secondary!N605,Primary!N605)</f>
        <v>0</v>
      </c>
      <c r="O605" s="10">
        <f>IF(ActiveDatabase=Standby,Secondary!O605,Primary!O605)</f>
        <v>0</v>
      </c>
      <c r="P605" s="10">
        <f>IF(ActiveDatabase=Standby,Secondary!P605,Primary!P605)</f>
        <v>0</v>
      </c>
      <c r="Q605" s="6">
        <f>IF(ActiveDatabase=Standby,Secondary!Q605,Primary!Q605)</f>
        <v>0</v>
      </c>
      <c r="R605" s="18">
        <f>IF(ActiveDatabase=Standby,Secondary!R605,Primary!R605)</f>
        <v>0</v>
      </c>
      <c r="S605" s="19">
        <f>IF(ActiveDatabase=Standby,Secondary!S605,Primary!S605)</f>
        <v>0</v>
      </c>
      <c r="T605" s="10">
        <f>IF(ActiveDatabase=Standby,Secondary!T605,Primary!T605)</f>
        <v>0</v>
      </c>
      <c r="U605" s="10">
        <f>IF(ActiveDatabase=Standby,Secondary!U605,Primary!U605)</f>
        <v>0</v>
      </c>
      <c r="V605" s="10">
        <f>IF(ActiveDatabase=Standby,Secondary!V605,Primary!V605)</f>
        <v>0</v>
      </c>
      <c r="W605" s="6">
        <f>IF(ActiveDatabase=Standby,Secondary!W605,Primary!W605)</f>
        <v>0</v>
      </c>
      <c r="X605" s="6">
        <f>IF(ActiveDatabase=Standby,Secondary!X605,Primary!X605)</f>
        <v>0</v>
      </c>
      <c r="Y605" s="12">
        <f>IF(ActiveDatabase=Standby,Secondary!Y605,Primary!Y605)</f>
        <v>0</v>
      </c>
      <c r="Z605" s="12">
        <f>IF(ActiveDatabase=Standby,Secondary!Z605,Primary!Z605)</f>
        <v>0</v>
      </c>
      <c r="AA605" s="7">
        <f>IF(ActiveDatabase=Standby,Secondary!AA605,Primary!AA605)</f>
        <v>0</v>
      </c>
      <c r="AB605" s="12"/>
      <c r="AC605" s="6"/>
      <c r="AD605" s="6"/>
      <c r="AE605" s="7"/>
      <c r="AF605" s="7"/>
      <c r="AG605" s="7"/>
      <c r="AH605" s="7"/>
      <c r="AI605" s="7"/>
      <c r="AJ605" s="7"/>
      <c r="AK605" s="7"/>
      <c r="AL605" s="7"/>
      <c r="AM605" s="7"/>
      <c r="AN605" s="7"/>
      <c r="AO605" s="6"/>
      <c r="AP605" s="7"/>
      <c r="AQ605" s="7"/>
      <c r="AR605" s="6"/>
      <c r="AS605" s="7"/>
      <c r="AT605" s="7"/>
      <c r="AU605" s="7"/>
      <c r="AV605" s="7"/>
      <c r="AW605" s="7"/>
      <c r="AX605" s="7"/>
      <c r="AY605" s="7"/>
      <c r="AZ605" s="7"/>
      <c r="BA605" s="7"/>
      <c r="BB605" s="7"/>
      <c r="BC605" s="7"/>
      <c r="BD605" s="7"/>
      <c r="BE605" s="7"/>
      <c r="BF605" s="7"/>
      <c r="BG605" s="7"/>
    </row>
    <row r="606" customHeight="1" spans="1:59">
      <c r="A606" s="9" t="str">
        <f>IF(ActiveDatabase=Standby,Secondary!A606,Primary!A606)</f>
        <v>Magda 02</v>
      </c>
      <c r="B606" s="5" t="str">
        <f>IF(ActiveDatabase=Standby,Secondary!B606,Primary!B606)</f>
        <v>Magda 02</v>
      </c>
      <c r="C606" s="5" t="str">
        <f>IF(ActiveDatabase=Standby,Secondary!C606,Primary!C606)</f>
        <v>Magda 13</v>
      </c>
      <c r="D606" s="5" t="str">
        <f>IF(ActiveDatabase=Standby,Secondary!D606,Primary!D606)</f>
        <v>HDMS Perlman (PB)</v>
      </c>
      <c r="E606" s="6" t="str">
        <f>IF(ActiveDatabase=Standby,Secondary!E606,Primary!E606)</f>
        <v>Perlman</v>
      </c>
      <c r="F606" s="10">
        <f>IF(ActiveDatabase=Standby,Secondary!F606,Primary!F606)</f>
        <v>-140.696033869</v>
      </c>
      <c r="G606" s="10">
        <f>IF(ActiveDatabase=Standby,Secondary!G606,Primary!G606)</f>
        <v>287.921599109</v>
      </c>
      <c r="H606" s="10">
        <f>IF(ActiveDatabase=Standby,Secondary!H606,Primary!H606)</f>
        <v>-116.687783421999</v>
      </c>
      <c r="I606" s="13">
        <f>IF(ActiveDatabase=Standby,Secondary!I606,Primary!I606)</f>
        <v>0</v>
      </c>
      <c r="J606" s="13">
        <f>IF(ActiveDatabase=Standby,Secondary!J606,Primary!J606)</f>
        <v>0</v>
      </c>
      <c r="K606" s="13">
        <f>IF(ActiveDatabase=Standby,Secondary!K606,Primary!K606)</f>
        <v>0</v>
      </c>
      <c r="L606" s="13">
        <f>IF(ActiveDatabase=Standby,Secondary!L606,Primary!L606)</f>
        <v>0</v>
      </c>
      <c r="M606" s="7" t="b">
        <f>IF(ActiveDatabase=Standby,Secondary!M606,Primary!M606)</f>
        <v>1</v>
      </c>
      <c r="N606" s="10">
        <f>IF(ActiveDatabase=Standby,Secondary!N606,Primary!N606)</f>
        <v>0</v>
      </c>
      <c r="O606" s="10">
        <f>IF(ActiveDatabase=Standby,Secondary!O606,Primary!O606)</f>
        <v>0</v>
      </c>
      <c r="P606" s="10">
        <f>IF(ActiveDatabase=Standby,Secondary!P606,Primary!P606)</f>
        <v>0</v>
      </c>
      <c r="Q606" s="6">
        <f>IF(ActiveDatabase=Standby,Secondary!Q606,Primary!Q606)</f>
        <v>0</v>
      </c>
      <c r="R606" s="18">
        <f>IF(ActiveDatabase=Standby,Secondary!R606,Primary!R606)</f>
        <v>0</v>
      </c>
      <c r="S606" s="19">
        <f>IF(ActiveDatabase=Standby,Secondary!S606,Primary!S606)</f>
        <v>0</v>
      </c>
      <c r="T606" s="10">
        <f>IF(ActiveDatabase=Standby,Secondary!T606,Primary!T606)</f>
        <v>0</v>
      </c>
      <c r="U606" s="10">
        <f>IF(ActiveDatabase=Standby,Secondary!U606,Primary!U606)</f>
        <v>0</v>
      </c>
      <c r="V606" s="10">
        <f>IF(ActiveDatabase=Standby,Secondary!V606,Primary!V606)</f>
        <v>0</v>
      </c>
      <c r="W606" s="6">
        <f>IF(ActiveDatabase=Standby,Secondary!W606,Primary!W606)</f>
        <v>0</v>
      </c>
      <c r="X606" s="6">
        <f>IF(ActiveDatabase=Standby,Secondary!X606,Primary!X606)</f>
        <v>0</v>
      </c>
      <c r="Y606" s="12">
        <f>IF(ActiveDatabase=Standby,Secondary!Y606,Primary!Y606)</f>
        <v>0</v>
      </c>
      <c r="Z606" s="12">
        <f>IF(ActiveDatabase=Standby,Secondary!Z606,Primary!Z606)</f>
        <v>0</v>
      </c>
      <c r="AA606" s="7">
        <f>IF(ActiveDatabase=Standby,Secondary!AA606,Primary!AA606)</f>
        <v>0</v>
      </c>
      <c r="AB606" s="12"/>
      <c r="AC606" s="6"/>
      <c r="AD606" s="6"/>
      <c r="AE606" s="7"/>
      <c r="AF606" s="7"/>
      <c r="AG606" s="7"/>
      <c r="AH606" s="7"/>
      <c r="AI606" s="7"/>
      <c r="AJ606" s="7"/>
      <c r="AK606" s="7"/>
      <c r="AL606" s="7"/>
      <c r="AM606" s="7"/>
      <c r="AN606" s="7"/>
      <c r="AO606" s="6"/>
      <c r="AP606" s="7"/>
      <c r="AQ606" s="7"/>
      <c r="AR606" s="6"/>
      <c r="AS606" s="7"/>
      <c r="AT606" s="7"/>
      <c r="AU606" s="7"/>
      <c r="AV606" s="7"/>
      <c r="AW606" s="7"/>
      <c r="AX606" s="7"/>
      <c r="AY606" s="7"/>
      <c r="AZ606" s="7"/>
      <c r="BA606" s="7"/>
      <c r="BB606" s="7"/>
      <c r="BC606" s="7"/>
      <c r="BD606" s="7"/>
      <c r="BE606" s="7"/>
      <c r="BF606" s="7"/>
      <c r="BG606" s="7"/>
    </row>
    <row r="607" customHeight="1" spans="1:59">
      <c r="A607" s="9" t="str">
        <f>IF(ActiveDatabase=Standby,Secondary!A607,Primary!A607)</f>
        <v>Magda</v>
      </c>
      <c r="B607" s="5" t="str">
        <f>IF(ActiveDatabase=Standby,Secondary!B607,Primary!B607)</f>
        <v>Magda 04</v>
      </c>
      <c r="C607" s="5">
        <f>IF(ActiveDatabase=Standby,Secondary!C607,Primary!C607)</f>
        <v>0</v>
      </c>
      <c r="D607" s="5" t="str">
        <f>IF(ActiveDatabase=Standby,Secondary!D607,Primary!D607)</f>
        <v>Settlements</v>
      </c>
      <c r="E607" s="6">
        <f>IF(ActiveDatabase=Standby,Secondary!E607,Primary!E607)</f>
        <v>0</v>
      </c>
      <c r="F607" s="10">
        <f>IF(ActiveDatabase=Standby,Secondary!F607,Primary!F607)</f>
        <v>0</v>
      </c>
      <c r="G607" s="10">
        <f>IF(ActiveDatabase=Standby,Secondary!G607,Primary!G607)</f>
        <v>0</v>
      </c>
      <c r="H607" s="10">
        <f>IF(ActiveDatabase=Standby,Secondary!H607,Primary!H607)</f>
        <v>0</v>
      </c>
      <c r="I607" s="13">
        <f>IF(ActiveDatabase=Standby,Secondary!I607,Primary!I607)</f>
        <v>0</v>
      </c>
      <c r="J607" s="13">
        <f>IF(ActiveDatabase=Standby,Secondary!J607,Primary!J607)</f>
        <v>0</v>
      </c>
      <c r="K607" s="13">
        <f>IF(ActiveDatabase=Standby,Secondary!K607,Primary!K607)</f>
        <v>0</v>
      </c>
      <c r="L607" s="13">
        <f>IF(ActiveDatabase=Standby,Secondary!L607,Primary!L607)</f>
        <v>0</v>
      </c>
      <c r="M607" s="7">
        <f>IF(ActiveDatabase=Standby,Secondary!M607,Primary!M607)</f>
        <v>0</v>
      </c>
      <c r="N607" s="10">
        <f>IF(ActiveDatabase=Standby,Secondary!N607,Primary!N607)</f>
        <v>0</v>
      </c>
      <c r="O607" s="10">
        <f>IF(ActiveDatabase=Standby,Secondary!O607,Primary!O607)</f>
        <v>0</v>
      </c>
      <c r="P607" s="10">
        <f>IF(ActiveDatabase=Standby,Secondary!P607,Primary!P607)</f>
        <v>0</v>
      </c>
      <c r="Q607" s="6">
        <f>IF(ActiveDatabase=Standby,Secondary!Q607,Primary!Q607)</f>
        <v>0</v>
      </c>
      <c r="R607" s="18">
        <f>IF(ActiveDatabase=Standby,Secondary!R607,Primary!R607)</f>
        <v>0</v>
      </c>
      <c r="S607" s="19">
        <f>IF(ActiveDatabase=Standby,Secondary!S607,Primary!S607)</f>
        <v>0</v>
      </c>
      <c r="T607" s="10">
        <f>IF(ActiveDatabase=Standby,Secondary!T607,Primary!T607)</f>
        <v>0</v>
      </c>
      <c r="U607" s="10">
        <f>IF(ActiveDatabase=Standby,Secondary!U607,Primary!U607)</f>
        <v>0</v>
      </c>
      <c r="V607" s="10">
        <f>IF(ActiveDatabase=Standby,Secondary!V607,Primary!V607)</f>
        <v>0</v>
      </c>
      <c r="W607" s="6">
        <f>IF(ActiveDatabase=Standby,Secondary!W607,Primary!W607)</f>
        <v>0</v>
      </c>
      <c r="X607" s="6">
        <f>IF(ActiveDatabase=Standby,Secondary!X607,Primary!X607)</f>
        <v>0</v>
      </c>
      <c r="Y607" s="12">
        <f>IF(ActiveDatabase=Standby,Secondary!Y607,Primary!Y607)</f>
        <v>0</v>
      </c>
      <c r="Z607" s="12">
        <f>IF(ActiveDatabase=Standby,Secondary!Z607,Primary!Z607)</f>
        <v>0</v>
      </c>
      <c r="AA607" s="7">
        <f>IF(ActiveDatabase=Standby,Secondary!AA607,Primary!AA607)</f>
        <v>0</v>
      </c>
      <c r="AB607" s="12"/>
      <c r="AC607" s="6"/>
      <c r="AD607" s="6"/>
      <c r="AE607" s="7"/>
      <c r="AF607" s="7"/>
      <c r="AG607" s="7"/>
      <c r="AH607" s="7"/>
      <c r="AI607" s="7"/>
      <c r="AJ607" s="7"/>
      <c r="AK607" s="7"/>
      <c r="AL607" s="7"/>
      <c r="AM607" s="7"/>
      <c r="AN607" s="7"/>
      <c r="AO607" s="6"/>
      <c r="AP607" s="7"/>
      <c r="AQ607" s="7"/>
      <c r="AR607" s="6"/>
      <c r="AS607" s="7"/>
      <c r="AT607" s="7"/>
      <c r="AU607" s="7"/>
      <c r="AV607" s="7"/>
      <c r="AW607" s="7"/>
      <c r="AX607" s="7"/>
      <c r="AY607" s="7"/>
      <c r="AZ607" s="7"/>
      <c r="BA607" s="7"/>
      <c r="BB607" s="7"/>
      <c r="BC607" s="7"/>
      <c r="BD607" s="7"/>
      <c r="BE607" s="7"/>
      <c r="BF607" s="7"/>
      <c r="BG607" s="7"/>
    </row>
    <row r="608" customHeight="1" spans="1:59">
      <c r="A608" s="9" t="str">
        <f>IF(ActiveDatabase=Standby,Secondary!A608,Primary!A608)</f>
        <v>Magda 04</v>
      </c>
      <c r="B608" s="5" t="str">
        <f>IF(ActiveDatabase=Standby,Secondary!B608,Primary!B608)</f>
        <v>Magda 05</v>
      </c>
      <c r="C608" s="5" t="str">
        <f>IF(ActiveDatabase=Standby,Secondary!C608,Primary!C608)</f>
        <v>Magda 20</v>
      </c>
      <c r="D608" s="5" t="str">
        <f>IF(ActiveDatabase=Standby,Secondary!D608,Primary!D608)</f>
        <v>Magda Settlement</v>
      </c>
      <c r="E608" s="6" t="str">
        <f>IF(ActiveDatabase=Standby,Secondary!E608,Primary!E608)</f>
        <v>Settlement 1c</v>
      </c>
      <c r="F608" s="10">
        <f>IF(ActiveDatabase=Standby,Secondary!F608,Primary!F608)</f>
        <v>22.373402706</v>
      </c>
      <c r="G608" s="10">
        <f>IF(ActiveDatabase=Standby,Secondary!G608,Primary!G608)</f>
        <v>337.901110561</v>
      </c>
      <c r="H608" s="10">
        <f>IF(ActiveDatabase=Standby,Secondary!H608,Primary!H608)</f>
        <v>39.720884478</v>
      </c>
      <c r="I608" s="13">
        <f>IF(ActiveDatabase=Standby,Secondary!I608,Primary!I608)</f>
        <v>0</v>
      </c>
      <c r="J608" s="13">
        <f>IF(ActiveDatabase=Standby,Secondary!J608,Primary!J608)</f>
        <v>0</v>
      </c>
      <c r="K608" s="13">
        <f>IF(ActiveDatabase=Standby,Secondary!K608,Primary!K608)</f>
        <v>0</v>
      </c>
      <c r="L608" s="13">
        <f>IF(ActiveDatabase=Standby,Secondary!L608,Primary!L608)</f>
        <v>0</v>
      </c>
      <c r="M608" s="7" t="b">
        <f>IF(ActiveDatabase=Standby,Secondary!M608,Primary!M608)</f>
        <v>0</v>
      </c>
      <c r="N608" s="10">
        <f>IF(ActiveDatabase=Standby,Secondary!N608,Primary!N608)</f>
        <v>0</v>
      </c>
      <c r="O608" s="10">
        <f>IF(ActiveDatabase=Standby,Secondary!O608,Primary!O608)</f>
        <v>0</v>
      </c>
      <c r="P608" s="10">
        <f>IF(ActiveDatabase=Standby,Secondary!P608,Primary!P608)</f>
        <v>0</v>
      </c>
      <c r="Q608" s="6">
        <f>IF(ActiveDatabase=Standby,Secondary!Q608,Primary!Q608)</f>
        <v>0</v>
      </c>
      <c r="R608" s="18">
        <f>IF(ActiveDatabase=Standby,Secondary!R608,Primary!R608)</f>
        <v>0</v>
      </c>
      <c r="S608" s="19">
        <f>IF(ActiveDatabase=Standby,Secondary!S608,Primary!S608)</f>
        <v>0</v>
      </c>
      <c r="T608" s="10">
        <f>IF(ActiveDatabase=Standby,Secondary!T608,Primary!T608)</f>
        <v>0</v>
      </c>
      <c r="U608" s="10">
        <f>IF(ActiveDatabase=Standby,Secondary!U608,Primary!U608)</f>
        <v>0</v>
      </c>
      <c r="V608" s="10">
        <f>IF(ActiveDatabase=Standby,Secondary!V608,Primary!V608)</f>
        <v>0</v>
      </c>
      <c r="W608" s="6">
        <f>IF(ActiveDatabase=Standby,Secondary!W608,Primary!W608)</f>
        <v>0</v>
      </c>
      <c r="X608" s="6">
        <f>IF(ActiveDatabase=Standby,Secondary!X608,Primary!X608)</f>
        <v>0</v>
      </c>
      <c r="Y608" s="12">
        <f>IF(ActiveDatabase=Standby,Secondary!Y608,Primary!Y608)</f>
        <v>0</v>
      </c>
      <c r="Z608" s="12">
        <f>IF(ActiveDatabase=Standby,Secondary!Z608,Primary!Z608)</f>
        <v>0</v>
      </c>
      <c r="AA608" s="7">
        <f>IF(ActiveDatabase=Standby,Secondary!AA608,Primary!AA608)</f>
        <v>0</v>
      </c>
      <c r="AB608" s="12"/>
      <c r="AC608" s="6"/>
      <c r="AD608" s="6"/>
      <c r="AE608" s="7"/>
      <c r="AF608" s="7"/>
      <c r="AG608" s="7"/>
      <c r="AH608" s="7"/>
      <c r="AI608" s="7"/>
      <c r="AJ608" s="7"/>
      <c r="AK608" s="7"/>
      <c r="AL608" s="7"/>
      <c r="AM608" s="7"/>
      <c r="AN608" s="7"/>
      <c r="AO608" s="6"/>
      <c r="AP608" s="7"/>
      <c r="AQ608" s="7"/>
      <c r="AR608" s="6"/>
      <c r="AS608" s="7"/>
      <c r="AT608" s="7"/>
      <c r="AU608" s="7"/>
      <c r="AV608" s="7"/>
      <c r="AW608" s="7"/>
      <c r="AX608" s="7"/>
      <c r="AY608" s="7"/>
      <c r="AZ608" s="7"/>
      <c r="BA608" s="7"/>
      <c r="BB608" s="7"/>
      <c r="BC608" s="7"/>
      <c r="BD608" s="7"/>
      <c r="BE608" s="7"/>
      <c r="BF608" s="7"/>
      <c r="BG608" s="7"/>
    </row>
    <row r="609" customHeight="1" spans="1:59">
      <c r="A609" s="9" t="str">
        <f>IF(ActiveDatabase=Standby,Secondary!A609,Primary!A609)</f>
        <v>Magda</v>
      </c>
      <c r="B609" s="5" t="str">
        <f>IF(ActiveDatabase=Standby,Secondary!B609,Primary!B609)</f>
        <v>Magda 07</v>
      </c>
      <c r="C609" s="5">
        <f>IF(ActiveDatabase=Standby,Secondary!C609,Primary!C609)</f>
        <v>0</v>
      </c>
      <c r="D609" s="5" t="str">
        <f>IF(ActiveDatabase=Standby,Secondary!D609,Primary!D609)</f>
        <v>Caves</v>
      </c>
      <c r="E609" s="6">
        <f>IF(ActiveDatabase=Standby,Secondary!E609,Primary!E609)</f>
        <v>0</v>
      </c>
      <c r="F609" s="10">
        <f>IF(ActiveDatabase=Standby,Secondary!F609,Primary!F609)</f>
        <v>0</v>
      </c>
      <c r="G609" s="10">
        <f>IF(ActiveDatabase=Standby,Secondary!G609,Primary!G609)</f>
        <v>0</v>
      </c>
      <c r="H609" s="10">
        <f>IF(ActiveDatabase=Standby,Secondary!H609,Primary!H609)</f>
        <v>0</v>
      </c>
      <c r="I609" s="13">
        <f>IF(ActiveDatabase=Standby,Secondary!I609,Primary!I609)</f>
        <v>0</v>
      </c>
      <c r="J609" s="13">
        <f>IF(ActiveDatabase=Standby,Secondary!J609,Primary!J609)</f>
        <v>0</v>
      </c>
      <c r="K609" s="13">
        <f>IF(ActiveDatabase=Standby,Secondary!K609,Primary!K609)</f>
        <v>0</v>
      </c>
      <c r="L609" s="13">
        <f>IF(ActiveDatabase=Standby,Secondary!L609,Primary!L609)</f>
        <v>0</v>
      </c>
      <c r="M609" s="7">
        <f>IF(ActiveDatabase=Standby,Secondary!M609,Primary!M609)</f>
        <v>0</v>
      </c>
      <c r="N609" s="10">
        <f>IF(ActiveDatabase=Standby,Secondary!N609,Primary!N609)</f>
        <v>0</v>
      </c>
      <c r="O609" s="10">
        <f>IF(ActiveDatabase=Standby,Secondary!O609,Primary!O609)</f>
        <v>0</v>
      </c>
      <c r="P609" s="10">
        <f>IF(ActiveDatabase=Standby,Secondary!P609,Primary!P609)</f>
        <v>0</v>
      </c>
      <c r="Q609" s="6">
        <f>IF(ActiveDatabase=Standby,Secondary!Q609,Primary!Q609)</f>
        <v>0</v>
      </c>
      <c r="R609" s="18">
        <f>IF(ActiveDatabase=Standby,Secondary!R609,Primary!R609)</f>
        <v>0</v>
      </c>
      <c r="S609" s="19">
        <f>IF(ActiveDatabase=Standby,Secondary!S609,Primary!S609)</f>
        <v>0</v>
      </c>
      <c r="T609" s="10">
        <f>IF(ActiveDatabase=Standby,Secondary!T609,Primary!T609)</f>
        <v>0</v>
      </c>
      <c r="U609" s="10">
        <f>IF(ActiveDatabase=Standby,Secondary!U609,Primary!U609)</f>
        <v>0</v>
      </c>
      <c r="V609" s="10">
        <f>IF(ActiveDatabase=Standby,Secondary!V609,Primary!V609)</f>
        <v>0</v>
      </c>
      <c r="W609" s="6">
        <f>IF(ActiveDatabase=Standby,Secondary!W609,Primary!W609)</f>
        <v>0</v>
      </c>
      <c r="X609" s="6">
        <f>IF(ActiveDatabase=Standby,Secondary!X609,Primary!X609)</f>
        <v>0</v>
      </c>
      <c r="Y609" s="12">
        <f>IF(ActiveDatabase=Standby,Secondary!Y609,Primary!Y609)</f>
        <v>0</v>
      </c>
      <c r="Z609" s="12">
        <f>IF(ActiveDatabase=Standby,Secondary!Z609,Primary!Z609)</f>
        <v>0</v>
      </c>
      <c r="AA609" s="7">
        <f>IF(ActiveDatabase=Standby,Secondary!AA609,Primary!AA609)</f>
        <v>0</v>
      </c>
      <c r="AB609" s="12"/>
      <c r="AC609" s="6"/>
      <c r="AD609" s="6"/>
      <c r="AE609" s="7"/>
      <c r="AF609" s="7"/>
      <c r="AG609" s="7"/>
      <c r="AH609" s="7"/>
      <c r="AI609" s="7"/>
      <c r="AJ609" s="7"/>
      <c r="AK609" s="7"/>
      <c r="AL609" s="7"/>
      <c r="AM609" s="7"/>
      <c r="AN609" s="7"/>
      <c r="AO609" s="6"/>
      <c r="AP609" s="7"/>
      <c r="AQ609" s="7"/>
      <c r="AR609" s="6"/>
      <c r="AS609" s="7"/>
      <c r="AT609" s="7"/>
      <c r="AU609" s="7"/>
      <c r="AV609" s="7"/>
      <c r="AW609" s="7"/>
      <c r="AX609" s="7"/>
      <c r="AY609" s="7"/>
      <c r="AZ609" s="7"/>
      <c r="BA609" s="7"/>
      <c r="BB609" s="7"/>
      <c r="BC609" s="7"/>
      <c r="BD609" s="7"/>
      <c r="BE609" s="7"/>
      <c r="BF609" s="7"/>
      <c r="BG609" s="7"/>
    </row>
    <row r="610" customHeight="1" spans="1:59">
      <c r="A610" s="9" t="str">
        <f>IF(ActiveDatabase=Standby,Secondary!A610,Primary!A610)</f>
        <v>Magda 30</v>
      </c>
      <c r="B610" s="5" t="str">
        <f>IF(ActiveDatabase=Standby,Secondary!B610,Primary!B610)</f>
        <v>Magda 33</v>
      </c>
      <c r="C610" s="5" t="str">
        <f>IF(ActiveDatabase=Standby,Secondary!C610,Primary!C610)</f>
        <v>Magda 19</v>
      </c>
      <c r="D610" s="5" t="str">
        <f>IF(ActiveDatabase=Standby,Secondary!D610,Primary!D610)</f>
        <v>Sand Cave 45P</v>
      </c>
      <c r="E610" s="6" t="str">
        <f>IF(ActiveDatabase=Standby,Secondary!E610,Primary!E610)</f>
        <v>SCave 45P</v>
      </c>
      <c r="F610" s="10">
        <f>IF(ActiveDatabase=Standby,Secondary!F610,Primary!F610)</f>
        <v>17.111166458</v>
      </c>
      <c r="G610" s="10">
        <f>IF(ActiveDatabase=Standby,Secondary!G610,Primary!G610)</f>
        <v>329.933334441</v>
      </c>
      <c r="H610" s="10">
        <f>IF(ActiveDatabase=Standby,Secondary!H610,Primary!H610)</f>
        <v>85.0865906149999</v>
      </c>
      <c r="I610" s="13">
        <f>IF(ActiveDatabase=Standby,Secondary!I610,Primary!I610)</f>
        <v>0</v>
      </c>
      <c r="J610" s="13">
        <f>IF(ActiveDatabase=Standby,Secondary!J610,Primary!J610)</f>
        <v>0</v>
      </c>
      <c r="K610" s="13">
        <f>IF(ActiveDatabase=Standby,Secondary!K610,Primary!K610)</f>
        <v>0</v>
      </c>
      <c r="L610" s="13">
        <f>IF(ActiveDatabase=Standby,Secondary!L610,Primary!L610)</f>
        <v>0</v>
      </c>
      <c r="M610" s="7" t="b">
        <f>IF(ActiveDatabase=Standby,Secondary!M610,Primary!M610)</f>
        <v>0</v>
      </c>
      <c r="N610" s="10">
        <f>IF(ActiveDatabase=Standby,Secondary!N610,Primary!N610)</f>
        <v>0</v>
      </c>
      <c r="O610" s="10">
        <f>IF(ActiveDatabase=Standby,Secondary!O610,Primary!O610)</f>
        <v>0</v>
      </c>
      <c r="P610" s="10">
        <f>IF(ActiveDatabase=Standby,Secondary!P610,Primary!P610)</f>
        <v>0</v>
      </c>
      <c r="Q610" s="6">
        <f>IF(ActiveDatabase=Standby,Secondary!Q610,Primary!Q610)</f>
        <v>0</v>
      </c>
      <c r="R610" s="18">
        <f>IF(ActiveDatabase=Standby,Secondary!R610,Primary!R610)</f>
        <v>0</v>
      </c>
      <c r="S610" s="19">
        <f>IF(ActiveDatabase=Standby,Secondary!S610,Primary!S610)</f>
        <v>0</v>
      </c>
      <c r="T610" s="10">
        <f>IF(ActiveDatabase=Standby,Secondary!T610,Primary!T610)</f>
        <v>0</v>
      </c>
      <c r="U610" s="10">
        <f>IF(ActiveDatabase=Standby,Secondary!U610,Primary!U610)</f>
        <v>0</v>
      </c>
      <c r="V610" s="10">
        <f>IF(ActiveDatabase=Standby,Secondary!V610,Primary!V610)</f>
        <v>0</v>
      </c>
      <c r="W610" s="6">
        <f>IF(ActiveDatabase=Standby,Secondary!W610,Primary!W610)</f>
        <v>0</v>
      </c>
      <c r="X610" s="6">
        <f>IF(ActiveDatabase=Standby,Secondary!X610,Primary!X610)</f>
        <v>0</v>
      </c>
      <c r="Y610" s="12">
        <f>IF(ActiveDatabase=Standby,Secondary!Y610,Primary!Y610)</f>
        <v>0</v>
      </c>
      <c r="Z610" s="12">
        <f>IF(ActiveDatabase=Standby,Secondary!Z610,Primary!Z610)</f>
        <v>0</v>
      </c>
      <c r="AA610" s="7">
        <f>IF(ActiveDatabase=Standby,Secondary!AA610,Primary!AA610)</f>
        <v>0</v>
      </c>
      <c r="AB610" s="12"/>
      <c r="AC610" s="6"/>
      <c r="AD610" s="6"/>
      <c r="AE610" s="7"/>
      <c r="AF610" s="7"/>
      <c r="AG610" s="7"/>
      <c r="AH610" s="7"/>
      <c r="AI610" s="7"/>
      <c r="AJ610" s="7"/>
      <c r="AK610" s="7"/>
      <c r="AL610" s="7"/>
      <c r="AM610" s="7"/>
      <c r="AN610" s="7"/>
      <c r="AO610" s="6"/>
      <c r="AP610" s="7"/>
      <c r="AQ610" s="7"/>
      <c r="AR610" s="6"/>
      <c r="AS610" s="7"/>
      <c r="AT610" s="7"/>
      <c r="AU610" s="7"/>
      <c r="AV610" s="7"/>
      <c r="AW610" s="7"/>
      <c r="AX610" s="7"/>
      <c r="AY610" s="7"/>
      <c r="AZ610" s="7"/>
      <c r="BA610" s="7"/>
      <c r="BB610" s="7"/>
      <c r="BC610" s="7"/>
      <c r="BD610" s="7"/>
      <c r="BE610" s="7"/>
      <c r="BF610" s="7"/>
      <c r="BG610" s="7"/>
    </row>
    <row r="611" customHeight="1" spans="1:59">
      <c r="A611" s="9" t="str">
        <f>IF(ActiveDatabase=Standby,Secondary!A611,Primary!A611)</f>
        <v>Magda 29</v>
      </c>
      <c r="B611" s="5" t="str">
        <f>IF(ActiveDatabase=Standby,Secondary!B611,Primary!B611)</f>
        <v>Magda 32</v>
      </c>
      <c r="C611" s="5" t="str">
        <f>IF(ActiveDatabase=Standby,Secondary!C611,Primary!C611)</f>
        <v>Magda 21</v>
      </c>
      <c r="D611" s="5" t="str">
        <f>IF(ActiveDatabase=Standby,Secondary!D611,Primary!D611)</f>
        <v>Sand Cave 44Q</v>
      </c>
      <c r="E611" s="6" t="str">
        <f>IF(ActiveDatabase=Standby,Secondary!E611,Primary!E611)</f>
        <v>SCave 44Q</v>
      </c>
      <c r="F611" s="10">
        <f>IF(ActiveDatabase=Standby,Secondary!F611,Primary!F611)</f>
        <v>49.897195827</v>
      </c>
      <c r="G611" s="10">
        <f>IF(ActiveDatabase=Standby,Secondary!G611,Primary!G611)</f>
        <v>318.192475386</v>
      </c>
      <c r="H611" s="10">
        <f>IF(ActiveDatabase=Standby,Secondary!H611,Primary!H611)</f>
        <v>112.570846616</v>
      </c>
      <c r="I611" s="13">
        <f>IF(ActiveDatabase=Standby,Secondary!I611,Primary!I611)</f>
        <v>0</v>
      </c>
      <c r="J611" s="13">
        <f>IF(ActiveDatabase=Standby,Secondary!J611,Primary!J611)</f>
        <v>0</v>
      </c>
      <c r="K611" s="13">
        <f>IF(ActiveDatabase=Standby,Secondary!K611,Primary!K611)</f>
        <v>0</v>
      </c>
      <c r="L611" s="13">
        <f>IF(ActiveDatabase=Standby,Secondary!L611,Primary!L611)</f>
        <v>0</v>
      </c>
      <c r="M611" s="7" t="b">
        <f>IF(ActiveDatabase=Standby,Secondary!M611,Primary!M611)</f>
        <v>0</v>
      </c>
      <c r="N611" s="10">
        <f>IF(ActiveDatabase=Standby,Secondary!N611,Primary!N611)</f>
        <v>0</v>
      </c>
      <c r="O611" s="10">
        <f>IF(ActiveDatabase=Standby,Secondary!O611,Primary!O611)</f>
        <v>0</v>
      </c>
      <c r="P611" s="10">
        <f>IF(ActiveDatabase=Standby,Secondary!P611,Primary!P611)</f>
        <v>0</v>
      </c>
      <c r="Q611" s="6">
        <f>IF(ActiveDatabase=Standby,Secondary!Q611,Primary!Q611)</f>
        <v>0</v>
      </c>
      <c r="R611" s="18">
        <f>IF(ActiveDatabase=Standby,Secondary!R611,Primary!R611)</f>
        <v>0</v>
      </c>
      <c r="S611" s="19">
        <f>IF(ActiveDatabase=Standby,Secondary!S611,Primary!S611)</f>
        <v>0</v>
      </c>
      <c r="T611" s="10">
        <f>IF(ActiveDatabase=Standby,Secondary!T611,Primary!T611)</f>
        <v>0</v>
      </c>
      <c r="U611" s="10">
        <f>IF(ActiveDatabase=Standby,Secondary!U611,Primary!U611)</f>
        <v>0</v>
      </c>
      <c r="V611" s="10">
        <f>IF(ActiveDatabase=Standby,Secondary!V611,Primary!V611)</f>
        <v>0</v>
      </c>
      <c r="W611" s="6">
        <f>IF(ActiveDatabase=Standby,Secondary!W611,Primary!W611)</f>
        <v>0</v>
      </c>
      <c r="X611" s="6">
        <f>IF(ActiveDatabase=Standby,Secondary!X611,Primary!X611)</f>
        <v>0</v>
      </c>
      <c r="Y611" s="12">
        <f>IF(ActiveDatabase=Standby,Secondary!Y611,Primary!Y611)</f>
        <v>0</v>
      </c>
      <c r="Z611" s="12">
        <f>IF(ActiveDatabase=Standby,Secondary!Z611,Primary!Z611)</f>
        <v>0</v>
      </c>
      <c r="AA611" s="7">
        <f>IF(ActiveDatabase=Standby,Secondary!AA611,Primary!AA611)</f>
        <v>0</v>
      </c>
      <c r="AB611" s="12"/>
      <c r="AC611" s="6"/>
      <c r="AD611" s="6"/>
      <c r="AE611" s="7"/>
      <c r="AF611" s="7"/>
      <c r="AG611" s="7"/>
      <c r="AH611" s="7"/>
      <c r="AI611" s="7"/>
      <c r="AJ611" s="7"/>
      <c r="AK611" s="7"/>
      <c r="AL611" s="7"/>
      <c r="AM611" s="7"/>
      <c r="AN611" s="7"/>
      <c r="AO611" s="6"/>
      <c r="AP611" s="7"/>
      <c r="AQ611" s="7"/>
      <c r="AR611" s="6"/>
      <c r="AS611" s="7"/>
      <c r="AT611" s="7"/>
      <c r="AU611" s="7"/>
      <c r="AV611" s="7"/>
      <c r="AW611" s="7"/>
      <c r="AX611" s="7"/>
      <c r="AY611" s="7"/>
      <c r="AZ611" s="7"/>
      <c r="BA611" s="7"/>
      <c r="BB611" s="7"/>
      <c r="BC611" s="7"/>
      <c r="BD611" s="7"/>
      <c r="BE611" s="7"/>
      <c r="BF611" s="7"/>
      <c r="BG611" s="7"/>
    </row>
    <row r="612" customHeight="1" spans="1:59">
      <c r="A612" s="9" t="str">
        <f>IF(ActiveDatabase=Standby,Secondary!A612,Primary!A612)</f>
        <v>Magda 32</v>
      </c>
      <c r="B612" s="5" t="str">
        <f>IF(ActiveDatabase=Standby,Secondary!B612,Primary!B612)</f>
        <v>Magda 35</v>
      </c>
      <c r="C612" s="5" t="str">
        <f>IF(ActiveDatabase=Standby,Secondary!C612,Primary!C612)</f>
        <v>Magda 16</v>
      </c>
      <c r="D612" s="5" t="str">
        <f>IF(ActiveDatabase=Standby,Secondary!D612,Primary!D612)</f>
        <v>Sand Cave 48L</v>
      </c>
      <c r="E612" s="6" t="str">
        <f>IF(ActiveDatabase=Standby,Secondary!E612,Primary!E612)</f>
        <v>SCave 48L</v>
      </c>
      <c r="F612" s="10">
        <f>IF(ActiveDatabase=Standby,Secondary!F612,Primary!F612)</f>
        <v>-76.798260246</v>
      </c>
      <c r="G612" s="10">
        <f>IF(ActiveDatabase=Standby,Secondary!G612,Primary!G612)</f>
        <v>325.111480937</v>
      </c>
      <c r="H612" s="10">
        <f>IF(ActiveDatabase=Standby,Secondary!H612,Primary!H612)</f>
        <v>-69.485295054</v>
      </c>
      <c r="I612" s="13">
        <f>IF(ActiveDatabase=Standby,Secondary!I612,Primary!I612)</f>
        <v>0</v>
      </c>
      <c r="J612" s="13">
        <f>IF(ActiveDatabase=Standby,Secondary!J612,Primary!J612)</f>
        <v>0</v>
      </c>
      <c r="K612" s="13">
        <f>IF(ActiveDatabase=Standby,Secondary!K612,Primary!K612)</f>
        <v>0</v>
      </c>
      <c r="L612" s="13">
        <f>IF(ActiveDatabase=Standby,Secondary!L612,Primary!L612)</f>
        <v>0</v>
      </c>
      <c r="M612" s="7" t="b">
        <f>IF(ActiveDatabase=Standby,Secondary!M612,Primary!M612)</f>
        <v>0</v>
      </c>
      <c r="N612" s="10">
        <f>IF(ActiveDatabase=Standby,Secondary!N612,Primary!N612)</f>
        <v>0</v>
      </c>
      <c r="O612" s="10">
        <f>IF(ActiveDatabase=Standby,Secondary!O612,Primary!O612)</f>
        <v>0</v>
      </c>
      <c r="P612" s="10">
        <f>IF(ActiveDatabase=Standby,Secondary!P612,Primary!P612)</f>
        <v>0</v>
      </c>
      <c r="Q612" s="6">
        <f>IF(ActiveDatabase=Standby,Secondary!Q612,Primary!Q612)</f>
        <v>0</v>
      </c>
      <c r="R612" s="18">
        <f>IF(ActiveDatabase=Standby,Secondary!R612,Primary!R612)</f>
        <v>0</v>
      </c>
      <c r="S612" s="19">
        <f>IF(ActiveDatabase=Standby,Secondary!S612,Primary!S612)</f>
        <v>0</v>
      </c>
      <c r="T612" s="10">
        <f>IF(ActiveDatabase=Standby,Secondary!T612,Primary!T612)</f>
        <v>0</v>
      </c>
      <c r="U612" s="10">
        <f>IF(ActiveDatabase=Standby,Secondary!U612,Primary!U612)</f>
        <v>0</v>
      </c>
      <c r="V612" s="10">
        <f>IF(ActiveDatabase=Standby,Secondary!V612,Primary!V612)</f>
        <v>0</v>
      </c>
      <c r="W612" s="6">
        <f>IF(ActiveDatabase=Standby,Secondary!W612,Primary!W612)</f>
        <v>0</v>
      </c>
      <c r="X612" s="6">
        <f>IF(ActiveDatabase=Standby,Secondary!X612,Primary!X612)</f>
        <v>0</v>
      </c>
      <c r="Y612" s="12">
        <f>IF(ActiveDatabase=Standby,Secondary!Y612,Primary!Y612)</f>
        <v>0</v>
      </c>
      <c r="Z612" s="12">
        <f>IF(ActiveDatabase=Standby,Secondary!Z612,Primary!Z612)</f>
        <v>0</v>
      </c>
      <c r="AA612" s="7">
        <f>IF(ActiveDatabase=Standby,Secondary!AA612,Primary!AA612)</f>
        <v>0</v>
      </c>
      <c r="AB612" s="12"/>
      <c r="AC612" s="6"/>
      <c r="AD612" s="6"/>
      <c r="AE612" s="7"/>
      <c r="AF612" s="7"/>
      <c r="AG612" s="7"/>
      <c r="AH612" s="7"/>
      <c r="AI612" s="7"/>
      <c r="AJ612" s="7"/>
      <c r="AK612" s="7"/>
      <c r="AL612" s="7"/>
      <c r="AM612" s="7"/>
      <c r="AN612" s="7"/>
      <c r="AO612" s="6"/>
      <c r="AP612" s="7"/>
      <c r="AQ612" s="7"/>
      <c r="AR612" s="6"/>
      <c r="AS612" s="7"/>
      <c r="AT612" s="7"/>
      <c r="AU612" s="7"/>
      <c r="AV612" s="7"/>
      <c r="AW612" s="7"/>
      <c r="AX612" s="7"/>
      <c r="AY612" s="7"/>
      <c r="AZ612" s="7"/>
      <c r="BA612" s="7"/>
      <c r="BB612" s="7"/>
      <c r="BC612" s="7"/>
      <c r="BD612" s="7"/>
      <c r="BE612" s="7"/>
      <c r="BF612" s="7"/>
      <c r="BG612" s="7"/>
    </row>
    <row r="613" customHeight="1" spans="1:59">
      <c r="A613" s="9" t="str">
        <f>IF(ActiveDatabase=Standby,Secondary!A613,Primary!A613)</f>
        <v>Magda 05</v>
      </c>
      <c r="B613" s="5" t="str">
        <f>IF(ActiveDatabase=Standby,Secondary!B613,Primary!B613)</f>
        <v>Magda 08</v>
      </c>
      <c r="C613" s="5" t="str">
        <f>IF(ActiveDatabase=Standby,Secondary!C613,Primary!C613)</f>
        <v>Magda 52</v>
      </c>
      <c r="D613" s="5" t="str">
        <f>IF(ActiveDatabase=Standby,Secondary!D613,Primary!D613)</f>
        <v>Sand Cave 01L</v>
      </c>
      <c r="E613" s="6" t="str">
        <f>IF(ActiveDatabase=Standby,Secondary!E613,Primary!E613)</f>
        <v>SCave 01L</v>
      </c>
      <c r="F613" s="10">
        <f>IF(ActiveDatabase=Standby,Secondary!F613,Primary!F613)</f>
        <v>-332.978245818</v>
      </c>
      <c r="G613" s="10">
        <f>IF(ActiveDatabase=Standby,Secondary!G613,Primary!G613)</f>
        <v>-25.899620726</v>
      </c>
      <c r="H613" s="10">
        <f>IF(ActiveDatabase=Standby,Secondary!H613,Primary!H613)</f>
        <v>-69.5776378149998</v>
      </c>
      <c r="I613" s="13">
        <f>IF(ActiveDatabase=Standby,Secondary!I613,Primary!I613)</f>
        <v>0</v>
      </c>
      <c r="J613" s="13">
        <f>IF(ActiveDatabase=Standby,Secondary!J613,Primary!J613)</f>
        <v>0</v>
      </c>
      <c r="K613" s="13">
        <f>IF(ActiveDatabase=Standby,Secondary!K613,Primary!K613)</f>
        <v>0</v>
      </c>
      <c r="L613" s="13">
        <f>IF(ActiveDatabase=Standby,Secondary!L613,Primary!L613)</f>
        <v>0</v>
      </c>
      <c r="M613" s="7" t="b">
        <f>IF(ActiveDatabase=Standby,Secondary!M613,Primary!M613)</f>
        <v>0</v>
      </c>
      <c r="N613" s="10">
        <f>IF(ActiveDatabase=Standby,Secondary!N613,Primary!N613)</f>
        <v>0</v>
      </c>
      <c r="O613" s="10">
        <f>IF(ActiveDatabase=Standby,Secondary!O613,Primary!O613)</f>
        <v>0</v>
      </c>
      <c r="P613" s="10">
        <f>IF(ActiveDatabase=Standby,Secondary!P613,Primary!P613)</f>
        <v>0</v>
      </c>
      <c r="Q613" s="6">
        <f>IF(ActiveDatabase=Standby,Secondary!Q613,Primary!Q613)</f>
        <v>0</v>
      </c>
      <c r="R613" s="18">
        <f>IF(ActiveDatabase=Standby,Secondary!R613,Primary!R613)</f>
        <v>0</v>
      </c>
      <c r="S613" s="19">
        <f>IF(ActiveDatabase=Standby,Secondary!S613,Primary!S613)</f>
        <v>0</v>
      </c>
      <c r="T613" s="10">
        <f>IF(ActiveDatabase=Standby,Secondary!T613,Primary!T613)</f>
        <v>0</v>
      </c>
      <c r="U613" s="10">
        <f>IF(ActiveDatabase=Standby,Secondary!U613,Primary!U613)</f>
        <v>0</v>
      </c>
      <c r="V613" s="10">
        <f>IF(ActiveDatabase=Standby,Secondary!V613,Primary!V613)</f>
        <v>0</v>
      </c>
      <c r="W613" s="6">
        <f>IF(ActiveDatabase=Standby,Secondary!W613,Primary!W613)</f>
        <v>0</v>
      </c>
      <c r="X613" s="6">
        <f>IF(ActiveDatabase=Standby,Secondary!X613,Primary!X613)</f>
        <v>0</v>
      </c>
      <c r="Y613" s="12">
        <f>IF(ActiveDatabase=Standby,Secondary!Y613,Primary!Y613)</f>
        <v>0</v>
      </c>
      <c r="Z613" s="12">
        <f>IF(ActiveDatabase=Standby,Secondary!Z613,Primary!Z613)</f>
        <v>0</v>
      </c>
      <c r="AA613" s="7">
        <f>IF(ActiveDatabase=Standby,Secondary!AA613,Primary!AA613)</f>
        <v>0</v>
      </c>
      <c r="AB613" s="12"/>
      <c r="AC613" s="6"/>
      <c r="AD613" s="6"/>
      <c r="AE613" s="7"/>
      <c r="AF613" s="7"/>
      <c r="AG613" s="7"/>
      <c r="AH613" s="7"/>
      <c r="AI613" s="7"/>
      <c r="AJ613" s="7"/>
      <c r="AK613" s="7"/>
      <c r="AL613" s="7"/>
      <c r="AM613" s="7"/>
      <c r="AN613" s="7"/>
      <c r="AO613" s="6"/>
      <c r="AP613" s="7"/>
      <c r="AQ613" s="7"/>
      <c r="AR613" s="6"/>
      <c r="AS613" s="7"/>
      <c r="AT613" s="7"/>
      <c r="AU613" s="7"/>
      <c r="AV613" s="7"/>
      <c r="AW613" s="7"/>
      <c r="AX613" s="7"/>
      <c r="AY613" s="7"/>
      <c r="AZ613" s="7"/>
      <c r="BA613" s="7"/>
      <c r="BB613" s="7"/>
      <c r="BC613" s="7"/>
      <c r="BD613" s="7"/>
      <c r="BE613" s="7"/>
      <c r="BF613" s="7"/>
      <c r="BG613" s="7"/>
    </row>
    <row r="614" customHeight="1" spans="1:59">
      <c r="A614" s="9" t="str">
        <f>IF(ActiveDatabase=Standby,Secondary!A614,Primary!A614)</f>
        <v>Magda 08</v>
      </c>
      <c r="B614" s="5" t="str">
        <f>IF(ActiveDatabase=Standby,Secondary!B614,Primary!B614)</f>
        <v>Magda 11</v>
      </c>
      <c r="C614" s="5" t="str">
        <f>IF(ActiveDatabase=Standby,Secondary!C614,Primary!C614)</f>
        <v>Magda 50</v>
      </c>
      <c r="D614" s="5" t="str">
        <f>IF(ActiveDatabase=Standby,Secondary!D614,Primary!D614)</f>
        <v>Sand Cave 02L</v>
      </c>
      <c r="E614" s="6" t="str">
        <f>IF(ActiveDatabase=Standby,Secondary!E614,Primary!E614)</f>
        <v>SCave 02L</v>
      </c>
      <c r="F614" s="10">
        <f>IF(ActiveDatabase=Standby,Secondary!F614,Primary!F614)</f>
        <v>-326.943899177999</v>
      </c>
      <c r="G614" s="10">
        <f>IF(ActiveDatabase=Standby,Secondary!G614,Primary!G614)</f>
        <v>-67.9129298759999</v>
      </c>
      <c r="H614" s="10">
        <f>IF(ActiveDatabase=Standby,Secondary!H614,Primary!H614)</f>
        <v>-69.759679791</v>
      </c>
      <c r="I614" s="13">
        <f>IF(ActiveDatabase=Standby,Secondary!I614,Primary!I614)</f>
        <v>0</v>
      </c>
      <c r="J614" s="13">
        <f>IF(ActiveDatabase=Standby,Secondary!J614,Primary!J614)</f>
        <v>0</v>
      </c>
      <c r="K614" s="13">
        <f>IF(ActiveDatabase=Standby,Secondary!K614,Primary!K614)</f>
        <v>0</v>
      </c>
      <c r="L614" s="13">
        <f>IF(ActiveDatabase=Standby,Secondary!L614,Primary!L614)</f>
        <v>0</v>
      </c>
      <c r="M614" s="7" t="b">
        <f>IF(ActiveDatabase=Standby,Secondary!M614,Primary!M614)</f>
        <v>0</v>
      </c>
      <c r="N614" s="10">
        <f>IF(ActiveDatabase=Standby,Secondary!N614,Primary!N614)</f>
        <v>0</v>
      </c>
      <c r="O614" s="10">
        <f>IF(ActiveDatabase=Standby,Secondary!O614,Primary!O614)</f>
        <v>0</v>
      </c>
      <c r="P614" s="10">
        <f>IF(ActiveDatabase=Standby,Secondary!P614,Primary!P614)</f>
        <v>0</v>
      </c>
      <c r="Q614" s="6">
        <f>IF(ActiveDatabase=Standby,Secondary!Q614,Primary!Q614)</f>
        <v>0</v>
      </c>
      <c r="R614" s="18">
        <f>IF(ActiveDatabase=Standby,Secondary!R614,Primary!R614)</f>
        <v>0</v>
      </c>
      <c r="S614" s="19">
        <f>IF(ActiveDatabase=Standby,Secondary!S614,Primary!S614)</f>
        <v>0</v>
      </c>
      <c r="T614" s="10">
        <f>IF(ActiveDatabase=Standby,Secondary!T614,Primary!T614)</f>
        <v>0</v>
      </c>
      <c r="U614" s="10">
        <f>IF(ActiveDatabase=Standby,Secondary!U614,Primary!U614)</f>
        <v>0</v>
      </c>
      <c r="V614" s="10">
        <f>IF(ActiveDatabase=Standby,Secondary!V614,Primary!V614)</f>
        <v>0</v>
      </c>
      <c r="W614" s="6">
        <f>IF(ActiveDatabase=Standby,Secondary!W614,Primary!W614)</f>
        <v>0</v>
      </c>
      <c r="X614" s="6">
        <f>IF(ActiveDatabase=Standby,Secondary!X614,Primary!X614)</f>
        <v>0</v>
      </c>
      <c r="Y614" s="12">
        <f>IF(ActiveDatabase=Standby,Secondary!Y614,Primary!Y614)</f>
        <v>0</v>
      </c>
      <c r="Z614" s="12">
        <f>IF(ActiveDatabase=Standby,Secondary!Z614,Primary!Z614)</f>
        <v>0</v>
      </c>
      <c r="AA614" s="7">
        <f>IF(ActiveDatabase=Standby,Secondary!AA614,Primary!AA614)</f>
        <v>0</v>
      </c>
      <c r="AB614" s="12"/>
      <c r="AC614" s="6"/>
      <c r="AD614" s="6"/>
      <c r="AE614" s="7"/>
      <c r="AF614" s="7"/>
      <c r="AG614" s="7"/>
      <c r="AH614" s="7"/>
      <c r="AI614" s="7"/>
      <c r="AJ614" s="7"/>
      <c r="AK614" s="7"/>
      <c r="AL614" s="7"/>
      <c r="AM614" s="7"/>
      <c r="AN614" s="7"/>
      <c r="AO614" s="6"/>
      <c r="AP614" s="7"/>
      <c r="AQ614" s="7"/>
      <c r="AR614" s="6"/>
      <c r="AS614" s="7"/>
      <c r="AT614" s="7"/>
      <c r="AU614" s="7"/>
      <c r="AV614" s="7"/>
      <c r="AW614" s="7"/>
      <c r="AX614" s="7"/>
      <c r="AY614" s="7"/>
      <c r="AZ614" s="7"/>
      <c r="BA614" s="7"/>
      <c r="BB614" s="7"/>
      <c r="BC614" s="7"/>
      <c r="BD614" s="7"/>
      <c r="BE614" s="7"/>
      <c r="BF614" s="7"/>
      <c r="BG614" s="7"/>
    </row>
    <row r="615" customHeight="1" spans="1:59">
      <c r="A615" s="9" t="str">
        <f>IF(ActiveDatabase=Standby,Secondary!A615,Primary!A615)</f>
        <v>Magda 06</v>
      </c>
      <c r="B615" s="5" t="str">
        <f>IF(ActiveDatabase=Standby,Secondary!B615,Primary!B615)</f>
        <v>Magda 09</v>
      </c>
      <c r="C615" s="5" t="str">
        <f>IF(ActiveDatabase=Standby,Secondary!C615,Primary!C615)</f>
        <v>Magda 54</v>
      </c>
      <c r="D615" s="5" t="str">
        <f>IF(ActiveDatabase=Standby,Secondary!D615,Primary!D615)</f>
        <v>Sand Cave 01P</v>
      </c>
      <c r="E615" s="6" t="str">
        <f>IF(ActiveDatabase=Standby,Secondary!E615,Primary!E615)</f>
        <v>SCave 01P</v>
      </c>
      <c r="F615" s="10">
        <f>IF(ActiveDatabase=Standby,Secondary!F615,Primary!F615)</f>
        <v>-331.472231838</v>
      </c>
      <c r="G615" s="10">
        <f>IF(ActiveDatabase=Standby,Secondary!G615,Primary!G615)</f>
        <v>-14.157093695</v>
      </c>
      <c r="H615" s="10">
        <f>IF(ActiveDatabase=Standby,Secondary!H615,Primary!H615)</f>
        <v>78.564921778</v>
      </c>
      <c r="I615" s="13">
        <f>IF(ActiveDatabase=Standby,Secondary!I615,Primary!I615)</f>
        <v>0</v>
      </c>
      <c r="J615" s="13">
        <f>IF(ActiveDatabase=Standby,Secondary!J615,Primary!J615)</f>
        <v>0</v>
      </c>
      <c r="K615" s="13">
        <f>IF(ActiveDatabase=Standby,Secondary!K615,Primary!K615)</f>
        <v>0</v>
      </c>
      <c r="L615" s="13">
        <f>IF(ActiveDatabase=Standby,Secondary!L615,Primary!L615)</f>
        <v>0</v>
      </c>
      <c r="M615" s="7" t="b">
        <f>IF(ActiveDatabase=Standby,Secondary!M615,Primary!M615)</f>
        <v>0</v>
      </c>
      <c r="N615" s="10">
        <f>IF(ActiveDatabase=Standby,Secondary!N615,Primary!N615)</f>
        <v>0</v>
      </c>
      <c r="O615" s="10">
        <f>IF(ActiveDatabase=Standby,Secondary!O615,Primary!O615)</f>
        <v>0</v>
      </c>
      <c r="P615" s="10">
        <f>IF(ActiveDatabase=Standby,Secondary!P615,Primary!P615)</f>
        <v>0</v>
      </c>
      <c r="Q615" s="6">
        <f>IF(ActiveDatabase=Standby,Secondary!Q615,Primary!Q615)</f>
        <v>0</v>
      </c>
      <c r="R615" s="18">
        <f>IF(ActiveDatabase=Standby,Secondary!R615,Primary!R615)</f>
        <v>0</v>
      </c>
      <c r="S615" s="19">
        <f>IF(ActiveDatabase=Standby,Secondary!S615,Primary!S615)</f>
        <v>0</v>
      </c>
      <c r="T615" s="10">
        <f>IF(ActiveDatabase=Standby,Secondary!T615,Primary!T615)</f>
        <v>0</v>
      </c>
      <c r="U615" s="10">
        <f>IF(ActiveDatabase=Standby,Secondary!U615,Primary!U615)</f>
        <v>0</v>
      </c>
      <c r="V615" s="10">
        <f>IF(ActiveDatabase=Standby,Secondary!V615,Primary!V615)</f>
        <v>0</v>
      </c>
      <c r="W615" s="6">
        <f>IF(ActiveDatabase=Standby,Secondary!W615,Primary!W615)</f>
        <v>0</v>
      </c>
      <c r="X615" s="6">
        <f>IF(ActiveDatabase=Standby,Secondary!X615,Primary!X615)</f>
        <v>0</v>
      </c>
      <c r="Y615" s="12">
        <f>IF(ActiveDatabase=Standby,Secondary!Y615,Primary!Y615)</f>
        <v>0</v>
      </c>
      <c r="Z615" s="12">
        <f>IF(ActiveDatabase=Standby,Secondary!Z615,Primary!Z615)</f>
        <v>0</v>
      </c>
      <c r="AA615" s="7">
        <f>IF(ActiveDatabase=Standby,Secondary!AA615,Primary!AA615)</f>
        <v>0</v>
      </c>
      <c r="AB615" s="12"/>
      <c r="AC615" s="6"/>
      <c r="AD615" s="6"/>
      <c r="AE615" s="7"/>
      <c r="AF615" s="7"/>
      <c r="AG615" s="7"/>
      <c r="AH615" s="7"/>
      <c r="AI615" s="7"/>
      <c r="AJ615" s="7"/>
      <c r="AK615" s="7"/>
      <c r="AL615" s="7"/>
      <c r="AM615" s="7"/>
      <c r="AN615" s="7"/>
      <c r="AO615" s="6"/>
      <c r="AP615" s="7"/>
      <c r="AQ615" s="7"/>
      <c r="AR615" s="6"/>
      <c r="AS615" s="7"/>
      <c r="AT615" s="7"/>
      <c r="AU615" s="7"/>
      <c r="AV615" s="7"/>
      <c r="AW615" s="7"/>
      <c r="AX615" s="7"/>
      <c r="AY615" s="7"/>
      <c r="AZ615" s="7"/>
      <c r="BA615" s="7"/>
      <c r="BB615" s="7"/>
      <c r="BC615" s="7"/>
      <c r="BD615" s="7"/>
      <c r="BE615" s="7"/>
      <c r="BF615" s="7"/>
      <c r="BG615" s="7"/>
    </row>
    <row r="616" customHeight="1" spans="1:59">
      <c r="A616" s="9" t="str">
        <f>IF(ActiveDatabase=Standby,Secondary!A616,Primary!A616)</f>
        <v>Magda 10</v>
      </c>
      <c r="B616" s="5" t="str">
        <f>IF(ActiveDatabase=Standby,Secondary!B616,Primary!B616)</f>
        <v>Magda 13</v>
      </c>
      <c r="C616" s="5" t="str">
        <f>IF(ActiveDatabase=Standby,Secondary!C616,Primary!C616)</f>
        <v>Magda 48</v>
      </c>
      <c r="D616" s="5" t="str">
        <f>IF(ActiveDatabase=Standby,Secondary!D616,Primary!D616)</f>
        <v>Sand Cave 05P</v>
      </c>
      <c r="E616" s="6" t="str">
        <f>IF(ActiveDatabase=Standby,Secondary!E616,Primary!E616)</f>
        <v>SCave 05P</v>
      </c>
      <c r="F616" s="10">
        <f>IF(ActiveDatabase=Standby,Secondary!F616,Primary!F616)</f>
        <v>-296.202218896</v>
      </c>
      <c r="G616" s="10">
        <f>IF(ActiveDatabase=Standby,Secondary!G616,Primary!G616)</f>
        <v>-155.786988588</v>
      </c>
      <c r="H616" s="10">
        <f>IF(ActiveDatabase=Standby,Secondary!H616,Primary!H616)</f>
        <v>65.940540003</v>
      </c>
      <c r="I616" s="13">
        <f>IF(ActiveDatabase=Standby,Secondary!I616,Primary!I616)</f>
        <v>0</v>
      </c>
      <c r="J616" s="13">
        <f>IF(ActiveDatabase=Standby,Secondary!J616,Primary!J616)</f>
        <v>0</v>
      </c>
      <c r="K616" s="13">
        <f>IF(ActiveDatabase=Standby,Secondary!K616,Primary!K616)</f>
        <v>0</v>
      </c>
      <c r="L616" s="13">
        <f>IF(ActiveDatabase=Standby,Secondary!L616,Primary!L616)</f>
        <v>0</v>
      </c>
      <c r="M616" s="7" t="b">
        <f>IF(ActiveDatabase=Standby,Secondary!M616,Primary!M616)</f>
        <v>0</v>
      </c>
      <c r="N616" s="10">
        <f>IF(ActiveDatabase=Standby,Secondary!N616,Primary!N616)</f>
        <v>0</v>
      </c>
      <c r="O616" s="10">
        <f>IF(ActiveDatabase=Standby,Secondary!O616,Primary!O616)</f>
        <v>0</v>
      </c>
      <c r="P616" s="10">
        <f>IF(ActiveDatabase=Standby,Secondary!P616,Primary!P616)</f>
        <v>0</v>
      </c>
      <c r="Q616" s="6">
        <f>IF(ActiveDatabase=Standby,Secondary!Q616,Primary!Q616)</f>
        <v>0</v>
      </c>
      <c r="R616" s="18">
        <f>IF(ActiveDatabase=Standby,Secondary!R616,Primary!R616)</f>
        <v>0</v>
      </c>
      <c r="S616" s="19">
        <f>IF(ActiveDatabase=Standby,Secondary!S616,Primary!S616)</f>
        <v>0</v>
      </c>
      <c r="T616" s="10">
        <f>IF(ActiveDatabase=Standby,Secondary!T616,Primary!T616)</f>
        <v>0</v>
      </c>
      <c r="U616" s="10">
        <f>IF(ActiveDatabase=Standby,Secondary!U616,Primary!U616)</f>
        <v>0</v>
      </c>
      <c r="V616" s="10">
        <f>IF(ActiveDatabase=Standby,Secondary!V616,Primary!V616)</f>
        <v>0</v>
      </c>
      <c r="W616" s="6">
        <f>IF(ActiveDatabase=Standby,Secondary!W616,Primary!W616)</f>
        <v>0</v>
      </c>
      <c r="X616" s="6">
        <f>IF(ActiveDatabase=Standby,Secondary!X616,Primary!X616)</f>
        <v>0</v>
      </c>
      <c r="Y616" s="12">
        <f>IF(ActiveDatabase=Standby,Secondary!Y616,Primary!Y616)</f>
        <v>0</v>
      </c>
      <c r="Z616" s="12">
        <f>IF(ActiveDatabase=Standby,Secondary!Z616,Primary!Z616)</f>
        <v>0</v>
      </c>
      <c r="AA616" s="7">
        <f>IF(ActiveDatabase=Standby,Secondary!AA616,Primary!AA616)</f>
        <v>0</v>
      </c>
      <c r="AB616" s="12"/>
      <c r="AC616" s="6"/>
      <c r="AD616" s="6"/>
      <c r="AE616" s="7"/>
      <c r="AF616" s="7"/>
      <c r="AG616" s="7"/>
      <c r="AH616" s="7"/>
      <c r="AI616" s="7"/>
      <c r="AJ616" s="7"/>
      <c r="AK616" s="7"/>
      <c r="AL616" s="7"/>
      <c r="AM616" s="7"/>
      <c r="AN616" s="7"/>
      <c r="AO616" s="6"/>
      <c r="AP616" s="7"/>
      <c r="AQ616" s="7"/>
      <c r="AR616" s="6"/>
      <c r="AS616" s="7"/>
      <c r="AT616" s="7"/>
      <c r="AU616" s="7"/>
      <c r="AV616" s="7"/>
      <c r="AW616" s="7"/>
      <c r="AX616" s="7"/>
      <c r="AY616" s="7"/>
      <c r="AZ616" s="7"/>
      <c r="BA616" s="7"/>
      <c r="BB616" s="7"/>
      <c r="BC616" s="7"/>
      <c r="BD616" s="7"/>
      <c r="BE616" s="7"/>
      <c r="BF616" s="7"/>
      <c r="BG616" s="7"/>
    </row>
    <row r="617" customHeight="1" spans="1:59">
      <c r="A617" s="9" t="str">
        <f>IF(ActiveDatabase=Standby,Secondary!A617,Primary!A617)</f>
        <v>Magda 31</v>
      </c>
      <c r="B617" s="5" t="str">
        <f>IF(ActiveDatabase=Standby,Secondary!B617,Primary!B617)</f>
        <v>Magda 34</v>
      </c>
      <c r="C617" s="5" t="str">
        <f>IF(ActiveDatabase=Standby,Secondary!C617,Primary!C617)</f>
        <v>Magda 17</v>
      </c>
      <c r="D617" s="5" t="str">
        <f>IF(ActiveDatabase=Standby,Secondary!D617,Primary!D617)</f>
        <v>Sand Cave 47K</v>
      </c>
      <c r="E617" s="6" t="str">
        <f>IF(ActiveDatabase=Standby,Secondary!E617,Primary!E617)</f>
        <v>SCave 47K</v>
      </c>
      <c r="F617" s="10">
        <f>IF(ActiveDatabase=Standby,Secondary!F617,Primary!F617)</f>
        <v>-58.111550922</v>
      </c>
      <c r="G617" s="10">
        <f>IF(ActiveDatabase=Standby,Secondary!G617,Primary!G617)</f>
        <v>320.886930144999</v>
      </c>
      <c r="H617" s="10">
        <f>IF(ActiveDatabase=Standby,Secondary!H617,Primary!H617)</f>
        <v>-100.489221636</v>
      </c>
      <c r="I617" s="13">
        <f>IF(ActiveDatabase=Standby,Secondary!I617,Primary!I617)</f>
        <v>0</v>
      </c>
      <c r="J617" s="13">
        <f>IF(ActiveDatabase=Standby,Secondary!J617,Primary!J617)</f>
        <v>0</v>
      </c>
      <c r="K617" s="13">
        <f>IF(ActiveDatabase=Standby,Secondary!K617,Primary!K617)</f>
        <v>0</v>
      </c>
      <c r="L617" s="13">
        <f>IF(ActiveDatabase=Standby,Secondary!L617,Primary!L617)</f>
        <v>0</v>
      </c>
      <c r="M617" s="7" t="b">
        <f>IF(ActiveDatabase=Standby,Secondary!M617,Primary!M617)</f>
        <v>0</v>
      </c>
      <c r="N617" s="10">
        <f>IF(ActiveDatabase=Standby,Secondary!N617,Primary!N617)</f>
        <v>0</v>
      </c>
      <c r="O617" s="10">
        <f>IF(ActiveDatabase=Standby,Secondary!O617,Primary!O617)</f>
        <v>0</v>
      </c>
      <c r="P617" s="10">
        <f>IF(ActiveDatabase=Standby,Secondary!P617,Primary!P617)</f>
        <v>0</v>
      </c>
      <c r="Q617" s="6">
        <f>IF(ActiveDatabase=Standby,Secondary!Q617,Primary!Q617)</f>
        <v>0</v>
      </c>
      <c r="R617" s="18">
        <f>IF(ActiveDatabase=Standby,Secondary!R617,Primary!R617)</f>
        <v>0</v>
      </c>
      <c r="S617" s="19">
        <f>IF(ActiveDatabase=Standby,Secondary!S617,Primary!S617)</f>
        <v>0</v>
      </c>
      <c r="T617" s="10">
        <f>IF(ActiveDatabase=Standby,Secondary!T617,Primary!T617)</f>
        <v>0</v>
      </c>
      <c r="U617" s="10">
        <f>IF(ActiveDatabase=Standby,Secondary!U617,Primary!U617)</f>
        <v>0</v>
      </c>
      <c r="V617" s="10">
        <f>IF(ActiveDatabase=Standby,Secondary!V617,Primary!V617)</f>
        <v>0</v>
      </c>
      <c r="W617" s="6">
        <f>IF(ActiveDatabase=Standby,Secondary!W617,Primary!W617)</f>
        <v>0</v>
      </c>
      <c r="X617" s="6">
        <f>IF(ActiveDatabase=Standby,Secondary!X617,Primary!X617)</f>
        <v>0</v>
      </c>
      <c r="Y617" s="12">
        <f>IF(ActiveDatabase=Standby,Secondary!Y617,Primary!Y617)</f>
        <v>0</v>
      </c>
      <c r="Z617" s="12">
        <f>IF(ActiveDatabase=Standby,Secondary!Z617,Primary!Z617)</f>
        <v>0</v>
      </c>
      <c r="AA617" s="7">
        <f>IF(ActiveDatabase=Standby,Secondary!AA617,Primary!AA617)</f>
        <v>0</v>
      </c>
      <c r="AB617" s="12"/>
      <c r="AC617" s="6"/>
      <c r="AD617" s="6"/>
      <c r="AE617" s="7"/>
      <c r="AF617" s="7"/>
      <c r="AG617" s="7"/>
      <c r="AH617" s="7"/>
      <c r="AI617" s="7"/>
      <c r="AJ617" s="7"/>
      <c r="AK617" s="7"/>
      <c r="AL617" s="7"/>
      <c r="AM617" s="7"/>
      <c r="AN617" s="7"/>
      <c r="AO617" s="6"/>
      <c r="AP617" s="7"/>
      <c r="AQ617" s="7"/>
      <c r="AR617" s="6"/>
      <c r="AS617" s="7"/>
      <c r="AT617" s="7"/>
      <c r="AU617" s="7"/>
      <c r="AV617" s="7"/>
      <c r="AW617" s="7"/>
      <c r="AX617" s="7"/>
      <c r="AY617" s="7"/>
      <c r="AZ617" s="7"/>
      <c r="BA617" s="7"/>
      <c r="BB617" s="7"/>
      <c r="BC617" s="7"/>
      <c r="BD617" s="7"/>
      <c r="BE617" s="7"/>
      <c r="BF617" s="7"/>
      <c r="BG617" s="7"/>
    </row>
    <row r="618" customHeight="1" spans="1:59">
      <c r="A618" s="9" t="str">
        <f>IF(ActiveDatabase=Standby,Secondary!A618,Primary!A618)</f>
        <v>Magda 39</v>
      </c>
      <c r="B618" s="5" t="str">
        <f>IF(ActiveDatabase=Standby,Secondary!B618,Primary!B618)</f>
        <v>Magda 42</v>
      </c>
      <c r="C618" s="5" t="str">
        <f>IF(ActiveDatabase=Standby,Secondary!C618,Primary!C618)</f>
        <v>Magda 10</v>
      </c>
      <c r="D618" s="5" t="str">
        <f>IF(ActiveDatabase=Standby,Secondary!D618,Primary!D618)</f>
        <v>Sand Cave 51N</v>
      </c>
      <c r="E618" s="6" t="str">
        <f>IF(ActiveDatabase=Standby,Secondary!E618,Primary!E618)</f>
        <v>SCave 51N</v>
      </c>
      <c r="F618" s="10">
        <f>IF(ActiveDatabase=Standby,Secondary!F618,Primary!F618)</f>
        <v>-181.753992433</v>
      </c>
      <c r="G618" s="10">
        <f>IF(ActiveDatabase=Standby,Secondary!G618,Primary!G618)</f>
        <v>288.129055259999</v>
      </c>
      <c r="H618" s="10">
        <f>IF(ActiveDatabase=Standby,Secondary!H618,Primary!H618)</f>
        <v>19.751518957</v>
      </c>
      <c r="I618" s="13">
        <f>IF(ActiveDatabase=Standby,Secondary!I618,Primary!I618)</f>
        <v>0</v>
      </c>
      <c r="J618" s="13">
        <f>IF(ActiveDatabase=Standby,Secondary!J618,Primary!J618)</f>
        <v>0</v>
      </c>
      <c r="K618" s="13">
        <f>IF(ActiveDatabase=Standby,Secondary!K618,Primary!K618)</f>
        <v>0</v>
      </c>
      <c r="L618" s="13">
        <f>IF(ActiveDatabase=Standby,Secondary!L618,Primary!L618)</f>
        <v>0</v>
      </c>
      <c r="M618" s="7" t="b">
        <f>IF(ActiveDatabase=Standby,Secondary!M618,Primary!M618)</f>
        <v>0</v>
      </c>
      <c r="N618" s="10">
        <f>IF(ActiveDatabase=Standby,Secondary!N618,Primary!N618)</f>
        <v>0</v>
      </c>
      <c r="O618" s="10">
        <f>IF(ActiveDatabase=Standby,Secondary!O618,Primary!O618)</f>
        <v>0</v>
      </c>
      <c r="P618" s="10">
        <f>IF(ActiveDatabase=Standby,Secondary!P618,Primary!P618)</f>
        <v>0</v>
      </c>
      <c r="Q618" s="6">
        <f>IF(ActiveDatabase=Standby,Secondary!Q618,Primary!Q618)</f>
        <v>0</v>
      </c>
      <c r="R618" s="18">
        <f>IF(ActiveDatabase=Standby,Secondary!R618,Primary!R618)</f>
        <v>0</v>
      </c>
      <c r="S618" s="19">
        <f>IF(ActiveDatabase=Standby,Secondary!S618,Primary!S618)</f>
        <v>0</v>
      </c>
      <c r="T618" s="10">
        <f>IF(ActiveDatabase=Standby,Secondary!T618,Primary!T618)</f>
        <v>0</v>
      </c>
      <c r="U618" s="10">
        <f>IF(ActiveDatabase=Standby,Secondary!U618,Primary!U618)</f>
        <v>0</v>
      </c>
      <c r="V618" s="10">
        <f>IF(ActiveDatabase=Standby,Secondary!V618,Primary!V618)</f>
        <v>0</v>
      </c>
      <c r="W618" s="6">
        <f>IF(ActiveDatabase=Standby,Secondary!W618,Primary!W618)</f>
        <v>0</v>
      </c>
      <c r="X618" s="6">
        <f>IF(ActiveDatabase=Standby,Secondary!X618,Primary!X618)</f>
        <v>0</v>
      </c>
      <c r="Y618" s="12">
        <f>IF(ActiveDatabase=Standby,Secondary!Y618,Primary!Y618)</f>
        <v>0</v>
      </c>
      <c r="Z618" s="12">
        <f>IF(ActiveDatabase=Standby,Secondary!Z618,Primary!Z618)</f>
        <v>0</v>
      </c>
      <c r="AA618" s="7">
        <f>IF(ActiveDatabase=Standby,Secondary!AA618,Primary!AA618)</f>
        <v>0</v>
      </c>
      <c r="AB618" s="12"/>
      <c r="AC618" s="6"/>
      <c r="AD618" s="6"/>
      <c r="AE618" s="7"/>
      <c r="AF618" s="7"/>
      <c r="AG618" s="7"/>
      <c r="AH618" s="7"/>
      <c r="AI618" s="7"/>
      <c r="AJ618" s="7"/>
      <c r="AK618" s="7"/>
      <c r="AL618" s="7"/>
      <c r="AM618" s="7"/>
      <c r="AN618" s="7"/>
      <c r="AO618" s="6"/>
      <c r="AP618" s="7"/>
      <c r="AQ618" s="7"/>
      <c r="AR618" s="6"/>
      <c r="AS618" s="7"/>
      <c r="AT618" s="7"/>
      <c r="AU618" s="7"/>
      <c r="AV618" s="7"/>
      <c r="AW618" s="7"/>
      <c r="AX618" s="7"/>
      <c r="AY618" s="7"/>
      <c r="AZ618" s="7"/>
      <c r="BA618" s="7"/>
      <c r="BB618" s="7"/>
      <c r="BC618" s="7"/>
      <c r="BD618" s="7"/>
      <c r="BE618" s="7"/>
      <c r="BF618" s="7"/>
      <c r="BG618" s="7"/>
    </row>
    <row r="619" customHeight="1" spans="1:59">
      <c r="A619" s="9" t="str">
        <f>IF(ActiveDatabase=Standby,Secondary!A619,Primary!A619)</f>
        <v>Magda 26</v>
      </c>
      <c r="B619" s="5" t="str">
        <f>IF(ActiveDatabase=Standby,Secondary!B619,Primary!B619)</f>
        <v>Magda 29</v>
      </c>
      <c r="C619" s="5" t="str">
        <f>IF(ActiveDatabase=Standby,Secondary!C619,Primary!C619)</f>
        <v>Magda 25</v>
      </c>
      <c r="D619" s="5" t="str">
        <f>IF(ActiveDatabase=Standby,Secondary!D619,Primary!D619)</f>
        <v>Sand Cave 33K</v>
      </c>
      <c r="E619" s="6" t="str">
        <f>IF(ActiveDatabase=Standby,Secondary!E619,Primary!E619)</f>
        <v>SCave 33K</v>
      </c>
      <c r="F619" s="10">
        <f>IF(ActiveDatabase=Standby,Secondary!F619,Primary!F619)</f>
        <v>307.013492184999</v>
      </c>
      <c r="G619" s="10">
        <f>IF(ActiveDatabase=Standby,Secondary!G619,Primary!G619)</f>
        <v>95.122497673</v>
      </c>
      <c r="H619" s="10">
        <f>IF(ActiveDatabase=Standby,Secondary!H619,Primary!H619)</f>
        <v>-114.640051779</v>
      </c>
      <c r="I619" s="13">
        <f>IF(ActiveDatabase=Standby,Secondary!I619,Primary!I619)</f>
        <v>0</v>
      </c>
      <c r="J619" s="13">
        <f>IF(ActiveDatabase=Standby,Secondary!J619,Primary!J619)</f>
        <v>0</v>
      </c>
      <c r="K619" s="13">
        <f>IF(ActiveDatabase=Standby,Secondary!K619,Primary!K619)</f>
        <v>0</v>
      </c>
      <c r="L619" s="13">
        <f>IF(ActiveDatabase=Standby,Secondary!L619,Primary!L619)</f>
        <v>0</v>
      </c>
      <c r="M619" s="7" t="b">
        <f>IF(ActiveDatabase=Standby,Secondary!M619,Primary!M619)</f>
        <v>0</v>
      </c>
      <c r="N619" s="10">
        <f>IF(ActiveDatabase=Standby,Secondary!N619,Primary!N619)</f>
        <v>0</v>
      </c>
      <c r="O619" s="10">
        <f>IF(ActiveDatabase=Standby,Secondary!O619,Primary!O619)</f>
        <v>0</v>
      </c>
      <c r="P619" s="10">
        <f>IF(ActiveDatabase=Standby,Secondary!P619,Primary!P619)</f>
        <v>0</v>
      </c>
      <c r="Q619" s="6">
        <f>IF(ActiveDatabase=Standby,Secondary!Q619,Primary!Q619)</f>
        <v>0</v>
      </c>
      <c r="R619" s="18">
        <f>IF(ActiveDatabase=Standby,Secondary!R619,Primary!R619)</f>
        <v>0</v>
      </c>
      <c r="S619" s="19">
        <f>IF(ActiveDatabase=Standby,Secondary!S619,Primary!S619)</f>
        <v>0</v>
      </c>
      <c r="T619" s="10">
        <f>IF(ActiveDatabase=Standby,Secondary!T619,Primary!T619)</f>
        <v>0</v>
      </c>
      <c r="U619" s="10">
        <f>IF(ActiveDatabase=Standby,Secondary!U619,Primary!U619)</f>
        <v>0</v>
      </c>
      <c r="V619" s="10">
        <f>IF(ActiveDatabase=Standby,Secondary!V619,Primary!V619)</f>
        <v>0</v>
      </c>
      <c r="W619" s="6">
        <f>IF(ActiveDatabase=Standby,Secondary!W619,Primary!W619)</f>
        <v>0</v>
      </c>
      <c r="X619" s="6">
        <f>IF(ActiveDatabase=Standby,Secondary!X619,Primary!X619)</f>
        <v>0</v>
      </c>
      <c r="Y619" s="12">
        <f>IF(ActiveDatabase=Standby,Secondary!Y619,Primary!Y619)</f>
        <v>0</v>
      </c>
      <c r="Z619" s="12">
        <f>IF(ActiveDatabase=Standby,Secondary!Z619,Primary!Z619)</f>
        <v>0</v>
      </c>
      <c r="AA619" s="7">
        <f>IF(ActiveDatabase=Standby,Secondary!AA619,Primary!AA619)</f>
        <v>0</v>
      </c>
      <c r="AB619" s="12"/>
      <c r="AC619" s="6"/>
      <c r="AD619" s="6"/>
      <c r="AE619" s="7"/>
      <c r="AF619" s="7"/>
      <c r="AG619" s="7"/>
      <c r="AH619" s="7"/>
      <c r="AI619" s="7"/>
      <c r="AJ619" s="7"/>
      <c r="AK619" s="7"/>
      <c r="AL619" s="7"/>
      <c r="AM619" s="7"/>
      <c r="AN619" s="7"/>
      <c r="AO619" s="6"/>
      <c r="AP619" s="7"/>
      <c r="AQ619" s="7"/>
      <c r="AR619" s="6"/>
      <c r="AS619" s="7"/>
      <c r="AT619" s="7"/>
      <c r="AU619" s="7"/>
      <c r="AV619" s="7"/>
      <c r="AW619" s="7"/>
      <c r="AX619" s="7"/>
      <c r="AY619" s="7"/>
      <c r="AZ619" s="7"/>
      <c r="BA619" s="7"/>
      <c r="BB619" s="7"/>
      <c r="BC619" s="7"/>
      <c r="BD619" s="7"/>
      <c r="BE619" s="7"/>
      <c r="BF619" s="7"/>
      <c r="BG619" s="7"/>
    </row>
    <row r="620" customHeight="1" spans="1:59">
      <c r="A620" s="9" t="str">
        <f>IF(ActiveDatabase=Standby,Secondary!A620,Primary!A620)</f>
        <v>Magda 38</v>
      </c>
      <c r="B620" s="5" t="str">
        <f>IF(ActiveDatabase=Standby,Secondary!B620,Primary!B620)</f>
        <v>Magda 41</v>
      </c>
      <c r="C620" s="5" t="str">
        <f>IF(ActiveDatabase=Standby,Secondary!C620,Primary!C620)</f>
        <v>Magda 08</v>
      </c>
      <c r="D620" s="5" t="str">
        <f>IF(ActiveDatabase=Standby,Secondary!D620,Primary!D620)</f>
        <v>Sand Cave 51M</v>
      </c>
      <c r="E620" s="6" t="str">
        <f>IF(ActiveDatabase=Standby,Secondary!E620,Primary!E620)</f>
        <v>SCave 51M</v>
      </c>
      <c r="F620" s="10">
        <f>IF(ActiveDatabase=Standby,Secondary!F620,Primary!F620)</f>
        <v>-183.184829069</v>
      </c>
      <c r="G620" s="10">
        <f>IF(ActiveDatabase=Standby,Secondary!G620,Primary!G620)</f>
        <v>287.392058981999</v>
      </c>
      <c r="H620" s="10">
        <f>IF(ActiveDatabase=Standby,Secondary!H620,Primary!H620)</f>
        <v>-14.326951161</v>
      </c>
      <c r="I620" s="13">
        <f>IF(ActiveDatabase=Standby,Secondary!I620,Primary!I620)</f>
        <v>0</v>
      </c>
      <c r="J620" s="13">
        <f>IF(ActiveDatabase=Standby,Secondary!J620,Primary!J620)</f>
        <v>0</v>
      </c>
      <c r="K620" s="13">
        <f>IF(ActiveDatabase=Standby,Secondary!K620,Primary!K620)</f>
        <v>0</v>
      </c>
      <c r="L620" s="13">
        <f>IF(ActiveDatabase=Standby,Secondary!L620,Primary!L620)</f>
        <v>0</v>
      </c>
      <c r="M620" s="7" t="b">
        <f>IF(ActiveDatabase=Standby,Secondary!M620,Primary!M620)</f>
        <v>0</v>
      </c>
      <c r="N620" s="10">
        <f>IF(ActiveDatabase=Standby,Secondary!N620,Primary!N620)</f>
        <v>0</v>
      </c>
      <c r="O620" s="10">
        <f>IF(ActiveDatabase=Standby,Secondary!O620,Primary!O620)</f>
        <v>0</v>
      </c>
      <c r="P620" s="10">
        <f>IF(ActiveDatabase=Standby,Secondary!P620,Primary!P620)</f>
        <v>0</v>
      </c>
      <c r="Q620" s="6">
        <f>IF(ActiveDatabase=Standby,Secondary!Q620,Primary!Q620)</f>
        <v>0</v>
      </c>
      <c r="R620" s="18">
        <f>IF(ActiveDatabase=Standby,Secondary!R620,Primary!R620)</f>
        <v>0</v>
      </c>
      <c r="S620" s="19">
        <f>IF(ActiveDatabase=Standby,Secondary!S620,Primary!S620)</f>
        <v>0</v>
      </c>
      <c r="T620" s="10">
        <f>IF(ActiveDatabase=Standby,Secondary!T620,Primary!T620)</f>
        <v>0</v>
      </c>
      <c r="U620" s="10">
        <f>IF(ActiveDatabase=Standby,Secondary!U620,Primary!U620)</f>
        <v>0</v>
      </c>
      <c r="V620" s="10">
        <f>IF(ActiveDatabase=Standby,Secondary!V620,Primary!V620)</f>
        <v>0</v>
      </c>
      <c r="W620" s="6">
        <f>IF(ActiveDatabase=Standby,Secondary!W620,Primary!W620)</f>
        <v>0</v>
      </c>
      <c r="X620" s="6">
        <f>IF(ActiveDatabase=Standby,Secondary!X620,Primary!X620)</f>
        <v>0</v>
      </c>
      <c r="Y620" s="12">
        <f>IF(ActiveDatabase=Standby,Secondary!Y620,Primary!Y620)</f>
        <v>0</v>
      </c>
      <c r="Z620" s="12">
        <f>IF(ActiveDatabase=Standby,Secondary!Z620,Primary!Z620)</f>
        <v>0</v>
      </c>
      <c r="AA620" s="7">
        <f>IF(ActiveDatabase=Standby,Secondary!AA620,Primary!AA620)</f>
        <v>0</v>
      </c>
      <c r="AB620" s="12"/>
      <c r="AC620" s="6"/>
      <c r="AD620" s="6"/>
      <c r="AE620" s="7"/>
      <c r="AF620" s="7"/>
      <c r="AG620" s="7"/>
      <c r="AH620" s="7"/>
      <c r="AI620" s="7"/>
      <c r="AJ620" s="7"/>
      <c r="AK620" s="7"/>
      <c r="AL620" s="7"/>
      <c r="AM620" s="7"/>
      <c r="AN620" s="7"/>
      <c r="AO620" s="6"/>
      <c r="AP620" s="7"/>
      <c r="AQ620" s="7"/>
      <c r="AR620" s="6"/>
      <c r="AS620" s="7"/>
      <c r="AT620" s="7"/>
      <c r="AU620" s="7"/>
      <c r="AV620" s="7"/>
      <c r="AW620" s="7"/>
      <c r="AX620" s="7"/>
      <c r="AY620" s="7"/>
      <c r="AZ620" s="7"/>
      <c r="BA620" s="7"/>
      <c r="BB620" s="7"/>
      <c r="BC620" s="7"/>
      <c r="BD620" s="7"/>
      <c r="BE620" s="7"/>
      <c r="BF620" s="7"/>
      <c r="BG620" s="7"/>
    </row>
    <row r="621" customHeight="1" spans="1:59">
      <c r="A621" s="9" t="str">
        <f>IF(ActiveDatabase=Standby,Secondary!A621,Primary!A621)</f>
        <v>Magda 24</v>
      </c>
      <c r="B621" s="5" t="str">
        <f>IF(ActiveDatabase=Standby,Secondary!B621,Primary!B621)</f>
        <v>Magda 27</v>
      </c>
      <c r="C621" s="5" t="str">
        <f>IF(ActiveDatabase=Standby,Secondary!C621,Primary!C621)</f>
        <v>Magda 28</v>
      </c>
      <c r="D621" s="5" t="str">
        <f>IF(ActiveDatabase=Standby,Secondary!D621,Primary!D621)</f>
        <v>Sand Cave 32J</v>
      </c>
      <c r="E621" s="6" t="str">
        <f>IF(ActiveDatabase=Standby,Secondary!E621,Primary!E621)</f>
        <v>SCave 32J</v>
      </c>
      <c r="F621" s="10">
        <f>IF(ActiveDatabase=Standby,Secondary!F621,Primary!F621)</f>
        <v>288.455237413999</v>
      </c>
      <c r="G621" s="10">
        <f>IF(ActiveDatabase=Standby,Secondary!G621,Primary!G621)</f>
        <v>58.7784932919999</v>
      </c>
      <c r="H621" s="10">
        <f>IF(ActiveDatabase=Standby,Secondary!H621,Primary!H621)</f>
        <v>-172.564410394</v>
      </c>
      <c r="I621" s="13">
        <f>IF(ActiveDatabase=Standby,Secondary!I621,Primary!I621)</f>
        <v>0</v>
      </c>
      <c r="J621" s="13">
        <f>IF(ActiveDatabase=Standby,Secondary!J621,Primary!J621)</f>
        <v>0</v>
      </c>
      <c r="K621" s="13">
        <f>IF(ActiveDatabase=Standby,Secondary!K621,Primary!K621)</f>
        <v>0</v>
      </c>
      <c r="L621" s="13">
        <f>IF(ActiveDatabase=Standby,Secondary!L621,Primary!L621)</f>
        <v>0</v>
      </c>
      <c r="M621" s="7" t="b">
        <f>IF(ActiveDatabase=Standby,Secondary!M621,Primary!M621)</f>
        <v>0</v>
      </c>
      <c r="N621" s="10">
        <f>IF(ActiveDatabase=Standby,Secondary!N621,Primary!N621)</f>
        <v>0</v>
      </c>
      <c r="O621" s="10">
        <f>IF(ActiveDatabase=Standby,Secondary!O621,Primary!O621)</f>
        <v>0</v>
      </c>
      <c r="P621" s="10">
        <f>IF(ActiveDatabase=Standby,Secondary!P621,Primary!P621)</f>
        <v>0</v>
      </c>
      <c r="Q621" s="6">
        <f>IF(ActiveDatabase=Standby,Secondary!Q621,Primary!Q621)</f>
        <v>0</v>
      </c>
      <c r="R621" s="18">
        <f>IF(ActiveDatabase=Standby,Secondary!R621,Primary!R621)</f>
        <v>0</v>
      </c>
      <c r="S621" s="19">
        <f>IF(ActiveDatabase=Standby,Secondary!S621,Primary!S621)</f>
        <v>0</v>
      </c>
      <c r="T621" s="10">
        <f>IF(ActiveDatabase=Standby,Secondary!T621,Primary!T621)</f>
        <v>0</v>
      </c>
      <c r="U621" s="10">
        <f>IF(ActiveDatabase=Standby,Secondary!U621,Primary!U621)</f>
        <v>0</v>
      </c>
      <c r="V621" s="10">
        <f>IF(ActiveDatabase=Standby,Secondary!V621,Primary!V621)</f>
        <v>0</v>
      </c>
      <c r="W621" s="6">
        <f>IF(ActiveDatabase=Standby,Secondary!W621,Primary!W621)</f>
        <v>0</v>
      </c>
      <c r="X621" s="6">
        <f>IF(ActiveDatabase=Standby,Secondary!X621,Primary!X621)</f>
        <v>0</v>
      </c>
      <c r="Y621" s="12">
        <f>IF(ActiveDatabase=Standby,Secondary!Y621,Primary!Y621)</f>
        <v>0</v>
      </c>
      <c r="Z621" s="12">
        <f>IF(ActiveDatabase=Standby,Secondary!Z621,Primary!Z621)</f>
        <v>0</v>
      </c>
      <c r="AA621" s="7">
        <f>IF(ActiveDatabase=Standby,Secondary!AA621,Primary!AA621)</f>
        <v>0</v>
      </c>
      <c r="AB621" s="12"/>
      <c r="AC621" s="6"/>
      <c r="AD621" s="6"/>
      <c r="AE621" s="7"/>
      <c r="AF621" s="7"/>
      <c r="AG621" s="7"/>
      <c r="AH621" s="7"/>
      <c r="AI621" s="7"/>
      <c r="AJ621" s="7"/>
      <c r="AK621" s="7"/>
      <c r="AL621" s="7"/>
      <c r="AM621" s="7"/>
      <c r="AN621" s="7"/>
      <c r="AO621" s="6"/>
      <c r="AP621" s="7"/>
      <c r="AQ621" s="7"/>
      <c r="AR621" s="6"/>
      <c r="AS621" s="7"/>
      <c r="AT621" s="7"/>
      <c r="AU621" s="7"/>
      <c r="AV621" s="7"/>
      <c r="AW621" s="7"/>
      <c r="AX621" s="7"/>
      <c r="AY621" s="7"/>
      <c r="AZ621" s="7"/>
      <c r="BA621" s="7"/>
      <c r="BB621" s="7"/>
      <c r="BC621" s="7"/>
      <c r="BD621" s="7"/>
      <c r="BE621" s="7"/>
      <c r="BF621" s="7"/>
      <c r="BG621" s="7"/>
    </row>
    <row r="622" customHeight="1" spans="1:59">
      <c r="A622" s="9" t="str">
        <f>IF(ActiveDatabase=Standby,Secondary!A622,Primary!A622)</f>
        <v>Magda 36</v>
      </c>
      <c r="B622" s="5" t="str">
        <f>IF(ActiveDatabase=Standby,Secondary!B622,Primary!B622)</f>
        <v>Magda 39</v>
      </c>
      <c r="C622" s="5" t="str">
        <f>IF(ActiveDatabase=Standby,Secondary!C622,Primary!C622)</f>
        <v>Magda 11</v>
      </c>
      <c r="D622" s="5" t="str">
        <f>IF(ActiveDatabase=Standby,Secondary!D622,Primary!D622)</f>
        <v>Sand Cave 50M-594</v>
      </c>
      <c r="E622" s="6" t="str">
        <f>IF(ActiveDatabase=Standby,Secondary!E622,Primary!E622)</f>
        <v>SCave 50M594</v>
      </c>
      <c r="F622" s="10">
        <f>IF(ActiveDatabase=Standby,Secondary!F622,Primary!F622)</f>
        <v>-154.199021691</v>
      </c>
      <c r="G622" s="10">
        <f>IF(ActiveDatabase=Standby,Secondary!G622,Primary!G622)</f>
        <v>303.521784071</v>
      </c>
      <c r="H622" s="10">
        <f>IF(ActiveDatabase=Standby,Secondary!H622,Primary!H622)</f>
        <v>-20.9650606389999</v>
      </c>
      <c r="I622" s="13">
        <f>IF(ActiveDatabase=Standby,Secondary!I622,Primary!I622)</f>
        <v>0</v>
      </c>
      <c r="J622" s="13">
        <f>IF(ActiveDatabase=Standby,Secondary!J622,Primary!J622)</f>
        <v>0</v>
      </c>
      <c r="K622" s="13">
        <f>IF(ActiveDatabase=Standby,Secondary!K622,Primary!K622)</f>
        <v>0</v>
      </c>
      <c r="L622" s="13">
        <f>IF(ActiveDatabase=Standby,Secondary!L622,Primary!L622)</f>
        <v>0</v>
      </c>
      <c r="M622" s="7" t="b">
        <f>IF(ActiveDatabase=Standby,Secondary!M622,Primary!M622)</f>
        <v>0</v>
      </c>
      <c r="N622" s="10">
        <f>IF(ActiveDatabase=Standby,Secondary!N622,Primary!N622)</f>
        <v>0</v>
      </c>
      <c r="O622" s="10">
        <f>IF(ActiveDatabase=Standby,Secondary!O622,Primary!O622)</f>
        <v>0</v>
      </c>
      <c r="P622" s="10">
        <f>IF(ActiveDatabase=Standby,Secondary!P622,Primary!P622)</f>
        <v>0</v>
      </c>
      <c r="Q622" s="6">
        <f>IF(ActiveDatabase=Standby,Secondary!Q622,Primary!Q622)</f>
        <v>0</v>
      </c>
      <c r="R622" s="18">
        <f>IF(ActiveDatabase=Standby,Secondary!R622,Primary!R622)</f>
        <v>0</v>
      </c>
      <c r="S622" s="19">
        <f>IF(ActiveDatabase=Standby,Secondary!S622,Primary!S622)</f>
        <v>0</v>
      </c>
      <c r="T622" s="10">
        <f>IF(ActiveDatabase=Standby,Secondary!T622,Primary!T622)</f>
        <v>0</v>
      </c>
      <c r="U622" s="10">
        <f>IF(ActiveDatabase=Standby,Secondary!U622,Primary!U622)</f>
        <v>0</v>
      </c>
      <c r="V622" s="10">
        <f>IF(ActiveDatabase=Standby,Secondary!V622,Primary!V622)</f>
        <v>0</v>
      </c>
      <c r="W622" s="6">
        <f>IF(ActiveDatabase=Standby,Secondary!W622,Primary!W622)</f>
        <v>0</v>
      </c>
      <c r="X622" s="6">
        <f>IF(ActiveDatabase=Standby,Secondary!X622,Primary!X622)</f>
        <v>0</v>
      </c>
      <c r="Y622" s="12">
        <f>IF(ActiveDatabase=Standby,Secondary!Y622,Primary!Y622)</f>
        <v>0</v>
      </c>
      <c r="Z622" s="12">
        <f>IF(ActiveDatabase=Standby,Secondary!Z622,Primary!Z622)</f>
        <v>0</v>
      </c>
      <c r="AA622" s="7">
        <f>IF(ActiveDatabase=Standby,Secondary!AA622,Primary!AA622)</f>
        <v>0</v>
      </c>
      <c r="AB622" s="12"/>
      <c r="AC622" s="6"/>
      <c r="AD622" s="6"/>
      <c r="AE622" s="7"/>
      <c r="AF622" s="7"/>
      <c r="AG622" s="7"/>
      <c r="AH622" s="7"/>
      <c r="AI622" s="7"/>
      <c r="AJ622" s="7"/>
      <c r="AK622" s="7"/>
      <c r="AL622" s="7"/>
      <c r="AM622" s="7"/>
      <c r="AN622" s="7"/>
      <c r="AO622" s="6"/>
      <c r="AP622" s="7"/>
      <c r="AQ622" s="7"/>
      <c r="AR622" s="6"/>
      <c r="AS622" s="7"/>
      <c r="AT622" s="7"/>
      <c r="AU622" s="7"/>
      <c r="AV622" s="7"/>
      <c r="AW622" s="7"/>
      <c r="AX622" s="7"/>
      <c r="AY622" s="7"/>
      <c r="AZ622" s="7"/>
      <c r="BA622" s="7"/>
      <c r="BB622" s="7"/>
      <c r="BC622" s="7"/>
      <c r="BD622" s="7"/>
      <c r="BE622" s="7"/>
      <c r="BF622" s="7"/>
      <c r="BG622" s="7"/>
    </row>
    <row r="623" customHeight="1" spans="1:59">
      <c r="A623" s="9" t="str">
        <f>IF(ActiveDatabase=Standby,Secondary!A623,Primary!A623)</f>
        <v>Magda 35</v>
      </c>
      <c r="B623" s="5" t="str">
        <f>IF(ActiveDatabase=Standby,Secondary!B623,Primary!B623)</f>
        <v>Magda 38</v>
      </c>
      <c r="C623" s="5" t="str">
        <f>IF(ActiveDatabase=Standby,Secondary!C623,Primary!C623)</f>
        <v>Magda 12</v>
      </c>
      <c r="D623" s="5" t="str">
        <f>IF(ActiveDatabase=Standby,Secondary!D623,Primary!D623)</f>
        <v>Sand Cave 50M-593</v>
      </c>
      <c r="E623" s="6" t="str">
        <f>IF(ActiveDatabase=Standby,Secondary!E623,Primary!E623)</f>
        <v>SCave 50M593</v>
      </c>
      <c r="F623" s="10">
        <f>IF(ActiveDatabase=Standby,Secondary!F623,Primary!F623)</f>
        <v>-151.379565389</v>
      </c>
      <c r="G623" s="10">
        <f>IF(ActiveDatabase=Standby,Secondary!G623,Primary!G623)</f>
        <v>303.962427084999</v>
      </c>
      <c r="H623" s="10">
        <f>IF(ActiveDatabase=Standby,Secondary!H623,Primary!H623)</f>
        <v>-32.389251213</v>
      </c>
      <c r="I623" s="13">
        <f>IF(ActiveDatabase=Standby,Secondary!I623,Primary!I623)</f>
        <v>0</v>
      </c>
      <c r="J623" s="13">
        <f>IF(ActiveDatabase=Standby,Secondary!J623,Primary!J623)</f>
        <v>0</v>
      </c>
      <c r="K623" s="13">
        <f>IF(ActiveDatabase=Standby,Secondary!K623,Primary!K623)</f>
        <v>0</v>
      </c>
      <c r="L623" s="13">
        <f>IF(ActiveDatabase=Standby,Secondary!L623,Primary!L623)</f>
        <v>0</v>
      </c>
      <c r="M623" s="7" t="b">
        <f>IF(ActiveDatabase=Standby,Secondary!M623,Primary!M623)</f>
        <v>0</v>
      </c>
      <c r="N623" s="10">
        <f>IF(ActiveDatabase=Standby,Secondary!N623,Primary!N623)</f>
        <v>0</v>
      </c>
      <c r="O623" s="10">
        <f>IF(ActiveDatabase=Standby,Secondary!O623,Primary!O623)</f>
        <v>0</v>
      </c>
      <c r="P623" s="10">
        <f>IF(ActiveDatabase=Standby,Secondary!P623,Primary!P623)</f>
        <v>0</v>
      </c>
      <c r="Q623" s="6">
        <f>IF(ActiveDatabase=Standby,Secondary!Q623,Primary!Q623)</f>
        <v>0</v>
      </c>
      <c r="R623" s="18">
        <f>IF(ActiveDatabase=Standby,Secondary!R623,Primary!R623)</f>
        <v>0</v>
      </c>
      <c r="S623" s="19">
        <f>IF(ActiveDatabase=Standby,Secondary!S623,Primary!S623)</f>
        <v>0</v>
      </c>
      <c r="T623" s="10">
        <f>IF(ActiveDatabase=Standby,Secondary!T623,Primary!T623)</f>
        <v>0</v>
      </c>
      <c r="U623" s="10">
        <f>IF(ActiveDatabase=Standby,Secondary!U623,Primary!U623)</f>
        <v>0</v>
      </c>
      <c r="V623" s="10">
        <f>IF(ActiveDatabase=Standby,Secondary!V623,Primary!V623)</f>
        <v>0</v>
      </c>
      <c r="W623" s="6">
        <f>IF(ActiveDatabase=Standby,Secondary!W623,Primary!W623)</f>
        <v>0</v>
      </c>
      <c r="X623" s="6">
        <f>IF(ActiveDatabase=Standby,Secondary!X623,Primary!X623)</f>
        <v>0</v>
      </c>
      <c r="Y623" s="12">
        <f>IF(ActiveDatabase=Standby,Secondary!Y623,Primary!Y623)</f>
        <v>0</v>
      </c>
      <c r="Z623" s="12">
        <f>IF(ActiveDatabase=Standby,Secondary!Z623,Primary!Z623)</f>
        <v>0</v>
      </c>
      <c r="AA623" s="7">
        <f>IF(ActiveDatabase=Standby,Secondary!AA623,Primary!AA623)</f>
        <v>0</v>
      </c>
      <c r="AB623" s="12"/>
      <c r="AC623" s="6"/>
      <c r="AD623" s="6"/>
      <c r="AE623" s="7"/>
      <c r="AF623" s="7"/>
      <c r="AG623" s="7"/>
      <c r="AH623" s="7"/>
      <c r="AI623" s="7"/>
      <c r="AJ623" s="7"/>
      <c r="AK623" s="7"/>
      <c r="AL623" s="7"/>
      <c r="AM623" s="7"/>
      <c r="AN623" s="7"/>
      <c r="AO623" s="6"/>
      <c r="AP623" s="7"/>
      <c r="AQ623" s="7"/>
      <c r="AR623" s="6"/>
      <c r="AS623" s="7"/>
      <c r="AT623" s="7"/>
      <c r="AU623" s="7"/>
      <c r="AV623" s="7"/>
      <c r="AW623" s="7"/>
      <c r="AX623" s="7"/>
      <c r="AY623" s="7"/>
      <c r="AZ623" s="7"/>
      <c r="BA623" s="7"/>
      <c r="BB623" s="7"/>
      <c r="BC623" s="7"/>
      <c r="BD623" s="7"/>
      <c r="BE623" s="7"/>
      <c r="BF623" s="7"/>
      <c r="BG623" s="7"/>
    </row>
    <row r="624" customHeight="1" spans="1:59">
      <c r="A624" s="9" t="str">
        <f>IF(ActiveDatabase=Standby,Secondary!A624,Primary!A624)</f>
        <v>Magda 34</v>
      </c>
      <c r="B624" s="5" t="str">
        <f>IF(ActiveDatabase=Standby,Secondary!B624,Primary!B624)</f>
        <v>Magda 37</v>
      </c>
      <c r="C624" s="5" t="str">
        <f>IF(ActiveDatabase=Standby,Secondary!C624,Primary!C624)</f>
        <v>Magda 14</v>
      </c>
      <c r="D624" s="5" t="str">
        <f>IF(ActiveDatabase=Standby,Secondary!D624,Primary!D624)</f>
        <v>Sand Cave 49M</v>
      </c>
      <c r="E624" s="6" t="str">
        <f>IF(ActiveDatabase=Standby,Secondary!E624,Primary!E624)</f>
        <v>SCave 49M</v>
      </c>
      <c r="F624" s="10">
        <f>IF(ActiveDatabase=Standby,Secondary!F624,Primary!F624)</f>
        <v>-119.434371387</v>
      </c>
      <c r="G624" s="10">
        <f>IF(ActiveDatabase=Standby,Secondary!G624,Primary!G624)</f>
        <v>318.554687877</v>
      </c>
      <c r="H624" s="10">
        <f>IF(ActiveDatabase=Standby,Secondary!H624,Primary!H624)</f>
        <v>-25.755988504</v>
      </c>
      <c r="I624" s="13">
        <f>IF(ActiveDatabase=Standby,Secondary!I624,Primary!I624)</f>
        <v>0</v>
      </c>
      <c r="J624" s="13">
        <f>IF(ActiveDatabase=Standby,Secondary!J624,Primary!J624)</f>
        <v>0</v>
      </c>
      <c r="K624" s="13">
        <f>IF(ActiveDatabase=Standby,Secondary!K624,Primary!K624)</f>
        <v>0</v>
      </c>
      <c r="L624" s="13">
        <f>IF(ActiveDatabase=Standby,Secondary!L624,Primary!L624)</f>
        <v>0</v>
      </c>
      <c r="M624" s="7" t="b">
        <f>IF(ActiveDatabase=Standby,Secondary!M624,Primary!M624)</f>
        <v>0</v>
      </c>
      <c r="N624" s="10">
        <f>IF(ActiveDatabase=Standby,Secondary!N624,Primary!N624)</f>
        <v>0</v>
      </c>
      <c r="O624" s="10">
        <f>IF(ActiveDatabase=Standby,Secondary!O624,Primary!O624)</f>
        <v>0</v>
      </c>
      <c r="P624" s="10">
        <f>IF(ActiveDatabase=Standby,Secondary!P624,Primary!P624)</f>
        <v>0</v>
      </c>
      <c r="Q624" s="6">
        <f>IF(ActiveDatabase=Standby,Secondary!Q624,Primary!Q624)</f>
        <v>0</v>
      </c>
      <c r="R624" s="18">
        <f>IF(ActiveDatabase=Standby,Secondary!R624,Primary!R624)</f>
        <v>0</v>
      </c>
      <c r="S624" s="19">
        <f>IF(ActiveDatabase=Standby,Secondary!S624,Primary!S624)</f>
        <v>0</v>
      </c>
      <c r="T624" s="10">
        <f>IF(ActiveDatabase=Standby,Secondary!T624,Primary!T624)</f>
        <v>0</v>
      </c>
      <c r="U624" s="10">
        <f>IF(ActiveDatabase=Standby,Secondary!U624,Primary!U624)</f>
        <v>0</v>
      </c>
      <c r="V624" s="10">
        <f>IF(ActiveDatabase=Standby,Secondary!V624,Primary!V624)</f>
        <v>0</v>
      </c>
      <c r="W624" s="6">
        <f>IF(ActiveDatabase=Standby,Secondary!W624,Primary!W624)</f>
        <v>0</v>
      </c>
      <c r="X624" s="6">
        <f>IF(ActiveDatabase=Standby,Secondary!X624,Primary!X624)</f>
        <v>0</v>
      </c>
      <c r="Y624" s="12">
        <f>IF(ActiveDatabase=Standby,Secondary!Y624,Primary!Y624)</f>
        <v>0</v>
      </c>
      <c r="Z624" s="12">
        <f>IF(ActiveDatabase=Standby,Secondary!Z624,Primary!Z624)</f>
        <v>0</v>
      </c>
      <c r="AA624" s="7">
        <f>IF(ActiveDatabase=Standby,Secondary!AA624,Primary!AA624)</f>
        <v>0</v>
      </c>
      <c r="AB624" s="12"/>
      <c r="AC624" s="6"/>
      <c r="AD624" s="6"/>
      <c r="AE624" s="7"/>
      <c r="AF624" s="7"/>
      <c r="AG624" s="7"/>
      <c r="AH624" s="7"/>
      <c r="AI624" s="7"/>
      <c r="AJ624" s="7"/>
      <c r="AK624" s="7"/>
      <c r="AL624" s="7"/>
      <c r="AM624" s="7"/>
      <c r="AN624" s="7"/>
      <c r="AO624" s="6"/>
      <c r="AP624" s="7"/>
      <c r="AQ624" s="7"/>
      <c r="AR624" s="6"/>
      <c r="AS624" s="7"/>
      <c r="AT624" s="7"/>
      <c r="AU624" s="7"/>
      <c r="AV624" s="7"/>
      <c r="AW624" s="7"/>
      <c r="AX624" s="7"/>
      <c r="AY624" s="7"/>
      <c r="AZ624" s="7"/>
      <c r="BA624" s="7"/>
      <c r="BB624" s="7"/>
      <c r="BC624" s="7"/>
      <c r="BD624" s="7"/>
      <c r="BE624" s="7"/>
      <c r="BF624" s="7"/>
      <c r="BG624" s="7"/>
    </row>
    <row r="625" customHeight="1" spans="1:59">
      <c r="A625" s="9" t="str">
        <f>IF(ActiveDatabase=Standby,Secondary!A625,Primary!A625)</f>
        <v>Magda 20</v>
      </c>
      <c r="B625" s="5" t="str">
        <f>IF(ActiveDatabase=Standby,Secondary!B625,Primary!B625)</f>
        <v>Magda 23</v>
      </c>
      <c r="C625" s="5" t="str">
        <f>IF(ActiveDatabase=Standby,Secondary!C625,Primary!C625)</f>
        <v>Magda 32</v>
      </c>
      <c r="D625" s="5" t="str">
        <f>IF(ActiveDatabase=Standby,Secondary!D625,Primary!D625)</f>
        <v>Sand Cave 30K</v>
      </c>
      <c r="E625" s="6" t="str">
        <f>IF(ActiveDatabase=Standby,Secondary!E625,Primary!E625)</f>
        <v>SCave 30K</v>
      </c>
      <c r="F625" s="10">
        <f>IF(ActiveDatabase=Standby,Secondary!F625,Primary!F625)</f>
        <v>322.947863617</v>
      </c>
      <c r="G625" s="10">
        <f>IF(ActiveDatabase=Standby,Secondary!G625,Primary!G625)</f>
        <v>-18.057344066</v>
      </c>
      <c r="H625" s="10">
        <f>IF(ActiveDatabase=Standby,Secondary!H625,Primary!H625)</f>
        <v>-108.160726479</v>
      </c>
      <c r="I625" s="13">
        <f>IF(ActiveDatabase=Standby,Secondary!I625,Primary!I625)</f>
        <v>0</v>
      </c>
      <c r="J625" s="13">
        <f>IF(ActiveDatabase=Standby,Secondary!J625,Primary!J625)</f>
        <v>0</v>
      </c>
      <c r="K625" s="13">
        <f>IF(ActiveDatabase=Standby,Secondary!K625,Primary!K625)</f>
        <v>0</v>
      </c>
      <c r="L625" s="13">
        <f>IF(ActiveDatabase=Standby,Secondary!L625,Primary!L625)</f>
        <v>0</v>
      </c>
      <c r="M625" s="7" t="b">
        <f>IF(ActiveDatabase=Standby,Secondary!M625,Primary!M625)</f>
        <v>0</v>
      </c>
      <c r="N625" s="10">
        <f>IF(ActiveDatabase=Standby,Secondary!N625,Primary!N625)</f>
        <v>0</v>
      </c>
      <c r="O625" s="10">
        <f>IF(ActiveDatabase=Standby,Secondary!O625,Primary!O625)</f>
        <v>0</v>
      </c>
      <c r="P625" s="10">
        <f>IF(ActiveDatabase=Standby,Secondary!P625,Primary!P625)</f>
        <v>0</v>
      </c>
      <c r="Q625" s="6">
        <f>IF(ActiveDatabase=Standby,Secondary!Q625,Primary!Q625)</f>
        <v>0</v>
      </c>
      <c r="R625" s="18">
        <f>IF(ActiveDatabase=Standby,Secondary!R625,Primary!R625)</f>
        <v>0</v>
      </c>
      <c r="S625" s="19">
        <f>IF(ActiveDatabase=Standby,Secondary!S625,Primary!S625)</f>
        <v>0</v>
      </c>
      <c r="T625" s="10">
        <f>IF(ActiveDatabase=Standby,Secondary!T625,Primary!T625)</f>
        <v>0</v>
      </c>
      <c r="U625" s="10">
        <f>IF(ActiveDatabase=Standby,Secondary!U625,Primary!U625)</f>
        <v>0</v>
      </c>
      <c r="V625" s="10">
        <f>IF(ActiveDatabase=Standby,Secondary!V625,Primary!V625)</f>
        <v>0</v>
      </c>
      <c r="W625" s="6">
        <f>IF(ActiveDatabase=Standby,Secondary!W625,Primary!W625)</f>
        <v>0</v>
      </c>
      <c r="X625" s="6">
        <f>IF(ActiveDatabase=Standby,Secondary!X625,Primary!X625)</f>
        <v>0</v>
      </c>
      <c r="Y625" s="12">
        <f>IF(ActiveDatabase=Standby,Secondary!Y625,Primary!Y625)</f>
        <v>0</v>
      </c>
      <c r="Z625" s="12">
        <f>IF(ActiveDatabase=Standby,Secondary!Z625,Primary!Z625)</f>
        <v>0</v>
      </c>
      <c r="AA625" s="7">
        <f>IF(ActiveDatabase=Standby,Secondary!AA625,Primary!AA625)</f>
        <v>0</v>
      </c>
      <c r="AB625" s="12"/>
      <c r="AC625" s="6"/>
      <c r="AD625" s="6"/>
      <c r="AE625" s="7"/>
      <c r="AF625" s="7"/>
      <c r="AG625" s="7"/>
      <c r="AH625" s="7"/>
      <c r="AI625" s="7"/>
      <c r="AJ625" s="7"/>
      <c r="AK625" s="7"/>
      <c r="AL625" s="7"/>
      <c r="AM625" s="7"/>
      <c r="AN625" s="7"/>
      <c r="AO625" s="6"/>
      <c r="AP625" s="7"/>
      <c r="AQ625" s="7"/>
      <c r="AR625" s="6"/>
      <c r="AS625" s="7"/>
      <c r="AT625" s="7"/>
      <c r="AU625" s="7"/>
      <c r="AV625" s="7"/>
      <c r="AW625" s="7"/>
      <c r="AX625" s="7"/>
      <c r="AY625" s="7"/>
      <c r="AZ625" s="7"/>
      <c r="BA625" s="7"/>
      <c r="BB625" s="7"/>
      <c r="BC625" s="7"/>
      <c r="BD625" s="7"/>
      <c r="BE625" s="7"/>
      <c r="BF625" s="7"/>
      <c r="BG625" s="7"/>
    </row>
    <row r="626" customHeight="1" spans="1:59">
      <c r="A626" s="9" t="str">
        <f>IF(ActiveDatabase=Standby,Secondary!A626,Primary!A626)</f>
        <v>Magda 40</v>
      </c>
      <c r="B626" s="5" t="str">
        <f>IF(ActiveDatabase=Standby,Secondary!B626,Primary!B626)</f>
        <v>Magda 43</v>
      </c>
      <c r="C626" s="5" t="str">
        <f>IF(ActiveDatabase=Standby,Secondary!C626,Primary!C626)</f>
        <v>Magda 07</v>
      </c>
      <c r="D626" s="5" t="str">
        <f>IF(ActiveDatabase=Standby,Secondary!D626,Primary!D626)</f>
        <v>Sand Cave 51W</v>
      </c>
      <c r="E626" s="6" t="str">
        <f>IF(ActiveDatabase=Standby,Secondary!E626,Primary!E626)</f>
        <v>SCave 51W</v>
      </c>
      <c r="F626" s="10">
        <f>IF(ActiveDatabase=Standby,Secondary!F626,Primary!F626)</f>
        <v>-80.674377886</v>
      </c>
      <c r="G626" s="10">
        <f>IF(ActiveDatabase=Standby,Secondary!G626,Primary!G626)</f>
        <v>119.927906522</v>
      </c>
      <c r="H626" s="10">
        <f>IF(ActiveDatabase=Standby,Secondary!H626,Primary!H626)</f>
        <v>308.662984479999</v>
      </c>
      <c r="I626" s="13">
        <f>IF(ActiveDatabase=Standby,Secondary!I626,Primary!I626)</f>
        <v>0</v>
      </c>
      <c r="J626" s="13">
        <f>IF(ActiveDatabase=Standby,Secondary!J626,Primary!J626)</f>
        <v>0</v>
      </c>
      <c r="K626" s="13">
        <f>IF(ActiveDatabase=Standby,Secondary!K626,Primary!K626)</f>
        <v>0</v>
      </c>
      <c r="L626" s="13">
        <f>IF(ActiveDatabase=Standby,Secondary!L626,Primary!L626)</f>
        <v>0</v>
      </c>
      <c r="M626" s="7" t="b">
        <f>IF(ActiveDatabase=Standby,Secondary!M626,Primary!M626)</f>
        <v>0</v>
      </c>
      <c r="N626" s="10">
        <f>IF(ActiveDatabase=Standby,Secondary!N626,Primary!N626)</f>
        <v>0</v>
      </c>
      <c r="O626" s="10">
        <f>IF(ActiveDatabase=Standby,Secondary!O626,Primary!O626)</f>
        <v>0</v>
      </c>
      <c r="P626" s="10">
        <f>IF(ActiveDatabase=Standby,Secondary!P626,Primary!P626)</f>
        <v>0</v>
      </c>
      <c r="Q626" s="6">
        <f>IF(ActiveDatabase=Standby,Secondary!Q626,Primary!Q626)</f>
        <v>0</v>
      </c>
      <c r="R626" s="18">
        <f>IF(ActiveDatabase=Standby,Secondary!R626,Primary!R626)</f>
        <v>0</v>
      </c>
      <c r="S626" s="19">
        <f>IF(ActiveDatabase=Standby,Secondary!S626,Primary!S626)</f>
        <v>0</v>
      </c>
      <c r="T626" s="10">
        <f>IF(ActiveDatabase=Standby,Secondary!T626,Primary!T626)</f>
        <v>0</v>
      </c>
      <c r="U626" s="10">
        <f>IF(ActiveDatabase=Standby,Secondary!U626,Primary!U626)</f>
        <v>0</v>
      </c>
      <c r="V626" s="10">
        <f>IF(ActiveDatabase=Standby,Secondary!V626,Primary!V626)</f>
        <v>0</v>
      </c>
      <c r="W626" s="6">
        <f>IF(ActiveDatabase=Standby,Secondary!W626,Primary!W626)</f>
        <v>0</v>
      </c>
      <c r="X626" s="6">
        <f>IF(ActiveDatabase=Standby,Secondary!X626,Primary!X626)</f>
        <v>0</v>
      </c>
      <c r="Y626" s="12">
        <f>IF(ActiveDatabase=Standby,Secondary!Y626,Primary!Y626)</f>
        <v>0</v>
      </c>
      <c r="Z626" s="12">
        <f>IF(ActiveDatabase=Standby,Secondary!Z626,Primary!Z626)</f>
        <v>0</v>
      </c>
      <c r="AA626" s="7">
        <f>IF(ActiveDatabase=Standby,Secondary!AA626,Primary!AA626)</f>
        <v>0</v>
      </c>
      <c r="AB626" s="12"/>
      <c r="AC626" s="6"/>
      <c r="AD626" s="6"/>
      <c r="AE626" s="7"/>
      <c r="AF626" s="7"/>
      <c r="AG626" s="7"/>
      <c r="AH626" s="7"/>
      <c r="AI626" s="7"/>
      <c r="AJ626" s="7"/>
      <c r="AK626" s="7"/>
      <c r="AL626" s="7"/>
      <c r="AM626" s="7"/>
      <c r="AN626" s="7"/>
      <c r="AO626" s="6"/>
      <c r="AP626" s="7"/>
      <c r="AQ626" s="7"/>
      <c r="AR626" s="6"/>
      <c r="AS626" s="7"/>
      <c r="AT626" s="7"/>
      <c r="AU626" s="7"/>
      <c r="AV626" s="7"/>
      <c r="AW626" s="7"/>
      <c r="AX626" s="7"/>
      <c r="AY626" s="7"/>
      <c r="AZ626" s="7"/>
      <c r="BA626" s="7"/>
      <c r="BB626" s="7"/>
      <c r="BC626" s="7"/>
      <c r="BD626" s="7"/>
      <c r="BE626" s="7"/>
      <c r="BF626" s="7"/>
      <c r="BG626" s="7"/>
    </row>
    <row r="627" customHeight="1" spans="1:59">
      <c r="A627" s="9" t="str">
        <f>IF(ActiveDatabase=Standby,Secondary!A627,Primary!A627)</f>
        <v>Magda 33</v>
      </c>
      <c r="B627" s="5" t="str">
        <f>IF(ActiveDatabase=Standby,Secondary!B627,Primary!B627)</f>
        <v>Magda 36</v>
      </c>
      <c r="C627" s="5" t="str">
        <f>IF(ActiveDatabase=Standby,Secondary!C627,Primary!C627)</f>
        <v>Magda 15</v>
      </c>
      <c r="D627" s="5" t="str">
        <f>IF(ActiveDatabase=Standby,Secondary!D627,Primary!D627)</f>
        <v>Sand Cave 48M</v>
      </c>
      <c r="E627" s="6" t="str">
        <f>IF(ActiveDatabase=Standby,Secondary!E627,Primary!E627)</f>
        <v>SCave 48M</v>
      </c>
      <c r="F627" s="10">
        <f>IF(ActiveDatabase=Standby,Secondary!F627,Primary!F627)</f>
        <v>-93.819557797</v>
      </c>
      <c r="G627" s="10">
        <f>IF(ActiveDatabase=Standby,Secondary!G627,Primary!G627)</f>
        <v>328.006905272</v>
      </c>
      <c r="H627" s="10">
        <f>IF(ActiveDatabase=Standby,Secondary!H627,Primary!H627)</f>
        <v>-0.198322475</v>
      </c>
      <c r="I627" s="13">
        <f>IF(ActiveDatabase=Standby,Secondary!I627,Primary!I627)</f>
        <v>0</v>
      </c>
      <c r="J627" s="13">
        <f>IF(ActiveDatabase=Standby,Secondary!J627,Primary!J627)</f>
        <v>0</v>
      </c>
      <c r="K627" s="13">
        <f>IF(ActiveDatabase=Standby,Secondary!K627,Primary!K627)</f>
        <v>0</v>
      </c>
      <c r="L627" s="13">
        <f>IF(ActiveDatabase=Standby,Secondary!L627,Primary!L627)</f>
        <v>0</v>
      </c>
      <c r="M627" s="7" t="b">
        <f>IF(ActiveDatabase=Standby,Secondary!M627,Primary!M627)</f>
        <v>0</v>
      </c>
      <c r="N627" s="10">
        <f>IF(ActiveDatabase=Standby,Secondary!N627,Primary!N627)</f>
        <v>0</v>
      </c>
      <c r="O627" s="10">
        <f>IF(ActiveDatabase=Standby,Secondary!O627,Primary!O627)</f>
        <v>0</v>
      </c>
      <c r="P627" s="10">
        <f>IF(ActiveDatabase=Standby,Secondary!P627,Primary!P627)</f>
        <v>0</v>
      </c>
      <c r="Q627" s="6">
        <f>IF(ActiveDatabase=Standby,Secondary!Q627,Primary!Q627)</f>
        <v>0</v>
      </c>
      <c r="R627" s="18">
        <f>IF(ActiveDatabase=Standby,Secondary!R627,Primary!R627)</f>
        <v>0</v>
      </c>
      <c r="S627" s="19">
        <f>IF(ActiveDatabase=Standby,Secondary!S627,Primary!S627)</f>
        <v>0</v>
      </c>
      <c r="T627" s="10">
        <f>IF(ActiveDatabase=Standby,Secondary!T627,Primary!T627)</f>
        <v>0</v>
      </c>
      <c r="U627" s="10">
        <f>IF(ActiveDatabase=Standby,Secondary!U627,Primary!U627)</f>
        <v>0</v>
      </c>
      <c r="V627" s="10">
        <f>IF(ActiveDatabase=Standby,Secondary!V627,Primary!V627)</f>
        <v>0</v>
      </c>
      <c r="W627" s="6">
        <f>IF(ActiveDatabase=Standby,Secondary!W627,Primary!W627)</f>
        <v>0</v>
      </c>
      <c r="X627" s="6">
        <f>IF(ActiveDatabase=Standby,Secondary!X627,Primary!X627)</f>
        <v>0</v>
      </c>
      <c r="Y627" s="12">
        <f>IF(ActiveDatabase=Standby,Secondary!Y627,Primary!Y627)</f>
        <v>0</v>
      </c>
      <c r="Z627" s="12">
        <f>IF(ActiveDatabase=Standby,Secondary!Z627,Primary!Z627)</f>
        <v>0</v>
      </c>
      <c r="AA627" s="7">
        <f>IF(ActiveDatabase=Standby,Secondary!AA627,Primary!AA627)</f>
        <v>0</v>
      </c>
      <c r="AB627" s="12"/>
      <c r="AC627" s="6"/>
      <c r="AD627" s="6"/>
      <c r="AE627" s="7"/>
      <c r="AF627" s="7"/>
      <c r="AG627" s="7"/>
      <c r="AH627" s="7"/>
      <c r="AI627" s="7"/>
      <c r="AJ627" s="7"/>
      <c r="AK627" s="7"/>
      <c r="AL627" s="7"/>
      <c r="AM627" s="7"/>
      <c r="AN627" s="7"/>
      <c r="AO627" s="6"/>
      <c r="AP627" s="7"/>
      <c r="AQ627" s="7"/>
      <c r="AR627" s="6"/>
      <c r="AS627" s="7"/>
      <c r="AT627" s="7"/>
      <c r="AU627" s="7"/>
      <c r="AV627" s="7"/>
      <c r="AW627" s="7"/>
      <c r="AX627" s="7"/>
      <c r="AY627" s="7"/>
      <c r="AZ627" s="7"/>
      <c r="BA627" s="7"/>
      <c r="BB627" s="7"/>
      <c r="BC627" s="7"/>
      <c r="BD627" s="7"/>
      <c r="BE627" s="7"/>
      <c r="BF627" s="7"/>
      <c r="BG627" s="7"/>
    </row>
    <row r="628" customHeight="1" spans="1:59">
      <c r="A628" s="9" t="str">
        <f>IF(ActiveDatabase=Standby,Secondary!A628,Primary!A628)</f>
        <v>Magda 43</v>
      </c>
      <c r="B628" s="5" t="str">
        <f>IF(ActiveDatabase=Standby,Secondary!B628,Primary!B628)</f>
        <v>Magda 46</v>
      </c>
      <c r="C628" s="5" t="str">
        <f>IF(ActiveDatabase=Standby,Secondary!C628,Primary!C628)</f>
        <v>Magda 04</v>
      </c>
      <c r="D628" s="5" t="str">
        <f>IF(ActiveDatabase=Standby,Secondary!D628,Primary!D628)</f>
        <v>Sand Cave 55P</v>
      </c>
      <c r="E628" s="6" t="str">
        <f>IF(ActiveDatabase=Standby,Secondary!E628,Primary!E628)</f>
        <v>SCave 55P</v>
      </c>
      <c r="F628" s="10">
        <f>IF(ActiveDatabase=Standby,Secondary!F628,Primary!F628)</f>
        <v>-282.318309300999</v>
      </c>
      <c r="G628" s="10">
        <f>IF(ActiveDatabase=Standby,Secondary!G628,Primary!G628)</f>
        <v>182.341975387999</v>
      </c>
      <c r="H628" s="10">
        <f>IF(ActiveDatabase=Standby,Secondary!H628,Primary!H628)</f>
        <v>58.709024242</v>
      </c>
      <c r="I628" s="13">
        <f>IF(ActiveDatabase=Standby,Secondary!I628,Primary!I628)</f>
        <v>0</v>
      </c>
      <c r="J628" s="13">
        <f>IF(ActiveDatabase=Standby,Secondary!J628,Primary!J628)</f>
        <v>0</v>
      </c>
      <c r="K628" s="13">
        <f>IF(ActiveDatabase=Standby,Secondary!K628,Primary!K628)</f>
        <v>0</v>
      </c>
      <c r="L628" s="13">
        <f>IF(ActiveDatabase=Standby,Secondary!L628,Primary!L628)</f>
        <v>0</v>
      </c>
      <c r="M628" s="7" t="b">
        <f>IF(ActiveDatabase=Standby,Secondary!M628,Primary!M628)</f>
        <v>0</v>
      </c>
      <c r="N628" s="10">
        <f>IF(ActiveDatabase=Standby,Secondary!N628,Primary!N628)</f>
        <v>0</v>
      </c>
      <c r="O628" s="10">
        <f>IF(ActiveDatabase=Standby,Secondary!O628,Primary!O628)</f>
        <v>0</v>
      </c>
      <c r="P628" s="10">
        <f>IF(ActiveDatabase=Standby,Secondary!P628,Primary!P628)</f>
        <v>0</v>
      </c>
      <c r="Q628" s="6">
        <f>IF(ActiveDatabase=Standby,Secondary!Q628,Primary!Q628)</f>
        <v>0</v>
      </c>
      <c r="R628" s="18">
        <f>IF(ActiveDatabase=Standby,Secondary!R628,Primary!R628)</f>
        <v>0</v>
      </c>
      <c r="S628" s="19">
        <f>IF(ActiveDatabase=Standby,Secondary!S628,Primary!S628)</f>
        <v>0</v>
      </c>
      <c r="T628" s="10">
        <f>IF(ActiveDatabase=Standby,Secondary!T628,Primary!T628)</f>
        <v>0</v>
      </c>
      <c r="U628" s="10">
        <f>IF(ActiveDatabase=Standby,Secondary!U628,Primary!U628)</f>
        <v>0</v>
      </c>
      <c r="V628" s="10">
        <f>IF(ActiveDatabase=Standby,Secondary!V628,Primary!V628)</f>
        <v>0</v>
      </c>
      <c r="W628" s="6">
        <f>IF(ActiveDatabase=Standby,Secondary!W628,Primary!W628)</f>
        <v>0</v>
      </c>
      <c r="X628" s="6">
        <f>IF(ActiveDatabase=Standby,Secondary!X628,Primary!X628)</f>
        <v>0</v>
      </c>
      <c r="Y628" s="12">
        <f>IF(ActiveDatabase=Standby,Secondary!Y628,Primary!Y628)</f>
        <v>0</v>
      </c>
      <c r="Z628" s="12">
        <f>IF(ActiveDatabase=Standby,Secondary!Z628,Primary!Z628)</f>
        <v>0</v>
      </c>
      <c r="AA628" s="7">
        <f>IF(ActiveDatabase=Standby,Secondary!AA628,Primary!AA628)</f>
        <v>0</v>
      </c>
      <c r="AB628" s="12"/>
      <c r="AC628" s="6"/>
      <c r="AD628" s="6"/>
      <c r="AE628" s="7"/>
      <c r="AF628" s="7"/>
      <c r="AG628" s="7"/>
      <c r="AH628" s="7"/>
      <c r="AI628" s="7"/>
      <c r="AJ628" s="7"/>
      <c r="AK628" s="7"/>
      <c r="AL628" s="7"/>
      <c r="AM628" s="7"/>
      <c r="AN628" s="7"/>
      <c r="AO628" s="6"/>
      <c r="AP628" s="7"/>
      <c r="AQ628" s="7"/>
      <c r="AR628" s="6"/>
      <c r="AS628" s="7"/>
      <c r="AT628" s="7"/>
      <c r="AU628" s="7"/>
      <c r="AV628" s="7"/>
      <c r="AW628" s="7"/>
      <c r="AX628" s="7"/>
      <c r="AY628" s="7"/>
      <c r="AZ628" s="7"/>
      <c r="BA628" s="7"/>
      <c r="BB628" s="7"/>
      <c r="BC628" s="7"/>
      <c r="BD628" s="7"/>
      <c r="BE628" s="7"/>
      <c r="BF628" s="7"/>
      <c r="BG628" s="7"/>
    </row>
    <row r="629" customHeight="1" spans="1:59">
      <c r="A629" s="9" t="str">
        <f>IF(ActiveDatabase=Standby,Secondary!A629,Primary!A629)</f>
        <v>Magda 45</v>
      </c>
      <c r="B629" s="5" t="str">
        <f>IF(ActiveDatabase=Standby,Secondary!B629,Primary!B629)</f>
        <v>Magda 48</v>
      </c>
      <c r="C629" s="5" t="str">
        <f>IF(ActiveDatabase=Standby,Secondary!C629,Primary!C629)</f>
        <v>Magda 02</v>
      </c>
      <c r="D629" s="5" t="str">
        <f>IF(ActiveDatabase=Standby,Secondary!D629,Primary!D629)</f>
        <v>Sand Cave 58F</v>
      </c>
      <c r="E629" s="6" t="str">
        <f>IF(ActiveDatabase=Standby,Secondary!E629,Primary!E629)</f>
        <v>SCave 58F</v>
      </c>
      <c r="F629" s="10">
        <f>IF(ActiveDatabase=Standby,Secondary!F629,Primary!F629)</f>
        <v>-217.096190846999</v>
      </c>
      <c r="G629" s="10">
        <f>IF(ActiveDatabase=Standby,Secondary!G629,Primary!G629)</f>
        <v>61.9749695159999</v>
      </c>
      <c r="H629" s="10">
        <f>IF(ActiveDatabase=Standby,Secondary!H629,Primary!H629)</f>
        <v>-255.275488034999</v>
      </c>
      <c r="I629" s="13">
        <f>IF(ActiveDatabase=Standby,Secondary!I629,Primary!I629)</f>
        <v>0</v>
      </c>
      <c r="J629" s="13">
        <f>IF(ActiveDatabase=Standby,Secondary!J629,Primary!J629)</f>
        <v>0</v>
      </c>
      <c r="K629" s="13">
        <f>IF(ActiveDatabase=Standby,Secondary!K629,Primary!K629)</f>
        <v>0</v>
      </c>
      <c r="L629" s="13">
        <f>IF(ActiveDatabase=Standby,Secondary!L629,Primary!L629)</f>
        <v>0</v>
      </c>
      <c r="M629" s="7" t="b">
        <f>IF(ActiveDatabase=Standby,Secondary!M629,Primary!M629)</f>
        <v>0</v>
      </c>
      <c r="N629" s="10">
        <f>IF(ActiveDatabase=Standby,Secondary!N629,Primary!N629)</f>
        <v>0</v>
      </c>
      <c r="O629" s="10">
        <f>IF(ActiveDatabase=Standby,Secondary!O629,Primary!O629)</f>
        <v>0</v>
      </c>
      <c r="P629" s="10">
        <f>IF(ActiveDatabase=Standby,Secondary!P629,Primary!P629)</f>
        <v>0</v>
      </c>
      <c r="Q629" s="6">
        <f>IF(ActiveDatabase=Standby,Secondary!Q629,Primary!Q629)</f>
        <v>0</v>
      </c>
      <c r="R629" s="18">
        <f>IF(ActiveDatabase=Standby,Secondary!R629,Primary!R629)</f>
        <v>0</v>
      </c>
      <c r="S629" s="19">
        <f>IF(ActiveDatabase=Standby,Secondary!S629,Primary!S629)</f>
        <v>0</v>
      </c>
      <c r="T629" s="10">
        <f>IF(ActiveDatabase=Standby,Secondary!T629,Primary!T629)</f>
        <v>0</v>
      </c>
      <c r="U629" s="10">
        <f>IF(ActiveDatabase=Standby,Secondary!U629,Primary!U629)</f>
        <v>0</v>
      </c>
      <c r="V629" s="10">
        <f>IF(ActiveDatabase=Standby,Secondary!V629,Primary!V629)</f>
        <v>0</v>
      </c>
      <c r="W629" s="6">
        <f>IF(ActiveDatabase=Standby,Secondary!W629,Primary!W629)</f>
        <v>0</v>
      </c>
      <c r="X629" s="6">
        <f>IF(ActiveDatabase=Standby,Secondary!X629,Primary!X629)</f>
        <v>0</v>
      </c>
      <c r="Y629" s="12">
        <f>IF(ActiveDatabase=Standby,Secondary!Y629,Primary!Y629)</f>
        <v>0</v>
      </c>
      <c r="Z629" s="12">
        <f>IF(ActiveDatabase=Standby,Secondary!Z629,Primary!Z629)</f>
        <v>0</v>
      </c>
      <c r="AA629" s="7">
        <f>IF(ActiveDatabase=Standby,Secondary!AA629,Primary!AA629)</f>
        <v>0</v>
      </c>
      <c r="AB629" s="12"/>
      <c r="AC629" s="6"/>
      <c r="AD629" s="6"/>
      <c r="AE629" s="7"/>
      <c r="AF629" s="7"/>
      <c r="AG629" s="7"/>
      <c r="AH629" s="7"/>
      <c r="AI629" s="7"/>
      <c r="AJ629" s="7"/>
      <c r="AK629" s="7"/>
      <c r="AL629" s="7"/>
      <c r="AM629" s="7"/>
      <c r="AN629" s="7"/>
      <c r="AO629" s="6"/>
      <c r="AP629" s="7"/>
      <c r="AQ629" s="7"/>
      <c r="AR629" s="6"/>
      <c r="AS629" s="7"/>
      <c r="AT629" s="7"/>
      <c r="AU629" s="7"/>
      <c r="AV629" s="7"/>
      <c r="AW629" s="7"/>
      <c r="AX629" s="7"/>
      <c r="AY629" s="7"/>
      <c r="AZ629" s="7"/>
      <c r="BA629" s="7"/>
      <c r="BB629" s="7"/>
      <c r="BC629" s="7"/>
      <c r="BD629" s="7"/>
      <c r="BE629" s="7"/>
      <c r="BF629" s="7"/>
      <c r="BG629" s="7"/>
    </row>
    <row r="630" customHeight="1" spans="1:59">
      <c r="A630" s="9" t="str">
        <f>IF(ActiveDatabase=Standby,Secondary!A630,Primary!A630)</f>
        <v>Magda 18</v>
      </c>
      <c r="B630" s="5" t="str">
        <f>IF(ActiveDatabase=Standby,Secondary!B630,Primary!B630)</f>
        <v>Magda 21</v>
      </c>
      <c r="C630" s="5" t="str">
        <f>IF(ActiveDatabase=Standby,Secondary!C630,Primary!C630)</f>
        <v>Magda 36</v>
      </c>
      <c r="D630" s="5" t="str">
        <f>IF(ActiveDatabase=Standby,Secondary!D630,Primary!D630)</f>
        <v>Sand Cave 23N</v>
      </c>
      <c r="E630" s="6" t="str">
        <f>IF(ActiveDatabase=Standby,Secondary!E630,Primary!E630)</f>
        <v>SCave 23N</v>
      </c>
      <c r="F630" s="10">
        <f>IF(ActiveDatabase=Standby,Secondary!F630,Primary!F630)</f>
        <v>249.137431707999</v>
      </c>
      <c r="G630" s="10">
        <f>IF(ActiveDatabase=Standby,Secondary!G630,Primary!G630)</f>
        <v>-233.071970089</v>
      </c>
      <c r="H630" s="10">
        <f>IF(ActiveDatabase=Standby,Secondary!H630,Primary!H630)</f>
        <v>3.28111913899999</v>
      </c>
      <c r="I630" s="13">
        <f>IF(ActiveDatabase=Standby,Secondary!I630,Primary!I630)</f>
        <v>0</v>
      </c>
      <c r="J630" s="13">
        <f>IF(ActiveDatabase=Standby,Secondary!J630,Primary!J630)</f>
        <v>0</v>
      </c>
      <c r="K630" s="13">
        <f>IF(ActiveDatabase=Standby,Secondary!K630,Primary!K630)</f>
        <v>0</v>
      </c>
      <c r="L630" s="13">
        <f>IF(ActiveDatabase=Standby,Secondary!L630,Primary!L630)</f>
        <v>0</v>
      </c>
      <c r="M630" s="7" t="b">
        <f>IF(ActiveDatabase=Standby,Secondary!M630,Primary!M630)</f>
        <v>0</v>
      </c>
      <c r="N630" s="10">
        <f>IF(ActiveDatabase=Standby,Secondary!N630,Primary!N630)</f>
        <v>0</v>
      </c>
      <c r="O630" s="10">
        <f>IF(ActiveDatabase=Standby,Secondary!O630,Primary!O630)</f>
        <v>0</v>
      </c>
      <c r="P630" s="10">
        <f>IF(ActiveDatabase=Standby,Secondary!P630,Primary!P630)</f>
        <v>0</v>
      </c>
      <c r="Q630" s="6">
        <f>IF(ActiveDatabase=Standby,Secondary!Q630,Primary!Q630)</f>
        <v>0</v>
      </c>
      <c r="R630" s="18">
        <f>IF(ActiveDatabase=Standby,Secondary!R630,Primary!R630)</f>
        <v>0</v>
      </c>
      <c r="S630" s="19">
        <f>IF(ActiveDatabase=Standby,Secondary!S630,Primary!S630)</f>
        <v>0</v>
      </c>
      <c r="T630" s="10">
        <f>IF(ActiveDatabase=Standby,Secondary!T630,Primary!T630)</f>
        <v>0</v>
      </c>
      <c r="U630" s="10">
        <f>IF(ActiveDatabase=Standby,Secondary!U630,Primary!U630)</f>
        <v>0</v>
      </c>
      <c r="V630" s="10">
        <f>IF(ActiveDatabase=Standby,Secondary!V630,Primary!V630)</f>
        <v>0</v>
      </c>
      <c r="W630" s="6">
        <f>IF(ActiveDatabase=Standby,Secondary!W630,Primary!W630)</f>
        <v>0</v>
      </c>
      <c r="X630" s="6">
        <f>IF(ActiveDatabase=Standby,Secondary!X630,Primary!X630)</f>
        <v>0</v>
      </c>
      <c r="Y630" s="12">
        <f>IF(ActiveDatabase=Standby,Secondary!Y630,Primary!Y630)</f>
        <v>0</v>
      </c>
      <c r="Z630" s="12">
        <f>IF(ActiveDatabase=Standby,Secondary!Z630,Primary!Z630)</f>
        <v>0</v>
      </c>
      <c r="AA630" s="7">
        <f>IF(ActiveDatabase=Standby,Secondary!AA630,Primary!AA630)</f>
        <v>0</v>
      </c>
      <c r="AB630" s="12"/>
      <c r="AC630" s="6"/>
      <c r="AD630" s="6"/>
      <c r="AE630" s="7"/>
      <c r="AF630" s="7"/>
      <c r="AG630" s="7"/>
      <c r="AH630" s="7"/>
      <c r="AI630" s="7"/>
      <c r="AJ630" s="7"/>
      <c r="AK630" s="7"/>
      <c r="AL630" s="7"/>
      <c r="AM630" s="7"/>
      <c r="AN630" s="7"/>
      <c r="AO630" s="6"/>
      <c r="AP630" s="7"/>
      <c r="AQ630" s="7"/>
      <c r="AR630" s="6"/>
      <c r="AS630" s="7"/>
      <c r="AT630" s="7"/>
      <c r="AU630" s="7"/>
      <c r="AV630" s="7"/>
      <c r="AW630" s="7"/>
      <c r="AX630" s="7"/>
      <c r="AY630" s="7"/>
      <c r="AZ630" s="7"/>
      <c r="BA630" s="7"/>
      <c r="BB630" s="7"/>
      <c r="BC630" s="7"/>
      <c r="BD630" s="7"/>
      <c r="BE630" s="7"/>
      <c r="BF630" s="7"/>
      <c r="BG630" s="7"/>
    </row>
    <row r="631" customHeight="1" spans="1:59">
      <c r="A631" s="9" t="str">
        <f>IF(ActiveDatabase=Standby,Secondary!A631,Primary!A631)</f>
        <v>Magda 37</v>
      </c>
      <c r="B631" s="5" t="str">
        <f>IF(ActiveDatabase=Standby,Secondary!B631,Primary!B631)</f>
        <v>Magda 40</v>
      </c>
      <c r="C631" s="5" t="str">
        <f>IF(ActiveDatabase=Standby,Secondary!C631,Primary!C631)</f>
        <v>Magda 09</v>
      </c>
      <c r="D631" s="5" t="str">
        <f>IF(ActiveDatabase=Standby,Secondary!D631,Primary!D631)</f>
        <v>Sand Cave 51K</v>
      </c>
      <c r="E631" s="6" t="str">
        <f>IF(ActiveDatabase=Standby,Secondary!E631,Primary!E631)</f>
        <v>SCave 51K</v>
      </c>
      <c r="F631" s="10">
        <f>IF(ActiveDatabase=Standby,Secondary!F631,Primary!F631)</f>
        <v>-168.090762847</v>
      </c>
      <c r="G631" s="10">
        <f>IF(ActiveDatabase=Standby,Secondary!G631,Primary!G631)</f>
        <v>264.730830307</v>
      </c>
      <c r="H631" s="10">
        <f>IF(ActiveDatabase=Standby,Secondary!H631,Primary!H631)</f>
        <v>-134.604524004</v>
      </c>
      <c r="I631" s="13">
        <f>IF(ActiveDatabase=Standby,Secondary!I631,Primary!I631)</f>
        <v>0</v>
      </c>
      <c r="J631" s="13">
        <f>IF(ActiveDatabase=Standby,Secondary!J631,Primary!J631)</f>
        <v>0</v>
      </c>
      <c r="K631" s="13">
        <f>IF(ActiveDatabase=Standby,Secondary!K631,Primary!K631)</f>
        <v>0</v>
      </c>
      <c r="L631" s="13">
        <f>IF(ActiveDatabase=Standby,Secondary!L631,Primary!L631)</f>
        <v>0</v>
      </c>
      <c r="M631" s="7" t="b">
        <f>IF(ActiveDatabase=Standby,Secondary!M631,Primary!M631)</f>
        <v>0</v>
      </c>
      <c r="N631" s="10">
        <f>IF(ActiveDatabase=Standby,Secondary!N631,Primary!N631)</f>
        <v>0</v>
      </c>
      <c r="O631" s="10">
        <f>IF(ActiveDatabase=Standby,Secondary!O631,Primary!O631)</f>
        <v>0</v>
      </c>
      <c r="P631" s="10">
        <f>IF(ActiveDatabase=Standby,Secondary!P631,Primary!P631)</f>
        <v>0</v>
      </c>
      <c r="Q631" s="6">
        <f>IF(ActiveDatabase=Standby,Secondary!Q631,Primary!Q631)</f>
        <v>0</v>
      </c>
      <c r="R631" s="18">
        <f>IF(ActiveDatabase=Standby,Secondary!R631,Primary!R631)</f>
        <v>0</v>
      </c>
      <c r="S631" s="19">
        <f>IF(ActiveDatabase=Standby,Secondary!S631,Primary!S631)</f>
        <v>0</v>
      </c>
      <c r="T631" s="10">
        <f>IF(ActiveDatabase=Standby,Secondary!T631,Primary!T631)</f>
        <v>0</v>
      </c>
      <c r="U631" s="10">
        <f>IF(ActiveDatabase=Standby,Secondary!U631,Primary!U631)</f>
        <v>0</v>
      </c>
      <c r="V631" s="10">
        <f>IF(ActiveDatabase=Standby,Secondary!V631,Primary!V631)</f>
        <v>0</v>
      </c>
      <c r="W631" s="6">
        <f>IF(ActiveDatabase=Standby,Secondary!W631,Primary!W631)</f>
        <v>0</v>
      </c>
      <c r="X631" s="6">
        <f>IF(ActiveDatabase=Standby,Secondary!X631,Primary!X631)</f>
        <v>0</v>
      </c>
      <c r="Y631" s="12">
        <f>IF(ActiveDatabase=Standby,Secondary!Y631,Primary!Y631)</f>
        <v>0</v>
      </c>
      <c r="Z631" s="12">
        <f>IF(ActiveDatabase=Standby,Secondary!Z631,Primary!Z631)</f>
        <v>0</v>
      </c>
      <c r="AA631" s="7">
        <f>IF(ActiveDatabase=Standby,Secondary!AA631,Primary!AA631)</f>
        <v>0</v>
      </c>
      <c r="AB631" s="12"/>
      <c r="AC631" s="6"/>
      <c r="AD631" s="6"/>
      <c r="AE631" s="7"/>
      <c r="AF631" s="7"/>
      <c r="AG631" s="7"/>
      <c r="AH631" s="7"/>
      <c r="AI631" s="7"/>
      <c r="AJ631" s="7"/>
      <c r="AK631" s="7"/>
      <c r="AL631" s="7"/>
      <c r="AM631" s="7"/>
      <c r="AN631" s="7"/>
      <c r="AO631" s="6"/>
      <c r="AP631" s="7"/>
      <c r="AQ631" s="7"/>
      <c r="AR631" s="6"/>
      <c r="AS631" s="7"/>
      <c r="AT631" s="7"/>
      <c r="AU631" s="7"/>
      <c r="AV631" s="7"/>
      <c r="AW631" s="7"/>
      <c r="AX631" s="7"/>
      <c r="AY631" s="7"/>
      <c r="AZ631" s="7"/>
      <c r="BA631" s="7"/>
      <c r="BB631" s="7"/>
      <c r="BC631" s="7"/>
      <c r="BD631" s="7"/>
      <c r="BE631" s="7"/>
      <c r="BF631" s="7"/>
      <c r="BG631" s="7"/>
    </row>
    <row r="632" customHeight="1" spans="1:59">
      <c r="A632" s="9" t="str">
        <f>IF(ActiveDatabase=Standby,Secondary!A632,Primary!A632)</f>
        <v>Magda 41</v>
      </c>
      <c r="B632" s="5" t="str">
        <f>IF(ActiveDatabase=Standby,Secondary!B632,Primary!B632)</f>
        <v>Magda 44</v>
      </c>
      <c r="C632" s="5" t="str">
        <f>IF(ActiveDatabase=Standby,Secondary!C632,Primary!C632)</f>
        <v>Magda 06</v>
      </c>
      <c r="D632" s="5" t="str">
        <f>IF(ActiveDatabase=Standby,Secondary!D632,Primary!D632)</f>
        <v>Sand Cave 52K</v>
      </c>
      <c r="E632" s="6" t="str">
        <f>IF(ActiveDatabase=Standby,Secondary!E632,Primary!E632)</f>
        <v>SCave 52K</v>
      </c>
      <c r="F632" s="10">
        <f>IF(ActiveDatabase=Standby,Secondary!F632,Primary!F632)</f>
        <v>-201.620672098</v>
      </c>
      <c r="G632" s="10">
        <f>IF(ActiveDatabase=Standby,Secondary!G632,Primary!G632)</f>
        <v>240.276189469</v>
      </c>
      <c r="H632" s="10">
        <f>IF(ActiveDatabase=Standby,Secondary!H632,Primary!H632)</f>
        <v>-134.279230993</v>
      </c>
      <c r="I632" s="13">
        <f>IF(ActiveDatabase=Standby,Secondary!I632,Primary!I632)</f>
        <v>0</v>
      </c>
      <c r="J632" s="13">
        <f>IF(ActiveDatabase=Standby,Secondary!J632,Primary!J632)</f>
        <v>0</v>
      </c>
      <c r="K632" s="13">
        <f>IF(ActiveDatabase=Standby,Secondary!K632,Primary!K632)</f>
        <v>0</v>
      </c>
      <c r="L632" s="13">
        <f>IF(ActiveDatabase=Standby,Secondary!L632,Primary!L632)</f>
        <v>0</v>
      </c>
      <c r="M632" s="7" t="b">
        <f>IF(ActiveDatabase=Standby,Secondary!M632,Primary!M632)</f>
        <v>0</v>
      </c>
      <c r="N632" s="10">
        <f>IF(ActiveDatabase=Standby,Secondary!N632,Primary!N632)</f>
        <v>0</v>
      </c>
      <c r="O632" s="10">
        <f>IF(ActiveDatabase=Standby,Secondary!O632,Primary!O632)</f>
        <v>0</v>
      </c>
      <c r="P632" s="10">
        <f>IF(ActiveDatabase=Standby,Secondary!P632,Primary!P632)</f>
        <v>0</v>
      </c>
      <c r="Q632" s="6">
        <f>IF(ActiveDatabase=Standby,Secondary!Q632,Primary!Q632)</f>
        <v>0</v>
      </c>
      <c r="R632" s="18">
        <f>IF(ActiveDatabase=Standby,Secondary!R632,Primary!R632)</f>
        <v>0</v>
      </c>
      <c r="S632" s="19">
        <f>IF(ActiveDatabase=Standby,Secondary!S632,Primary!S632)</f>
        <v>0</v>
      </c>
      <c r="T632" s="10">
        <f>IF(ActiveDatabase=Standby,Secondary!T632,Primary!T632)</f>
        <v>0</v>
      </c>
      <c r="U632" s="10">
        <f>IF(ActiveDatabase=Standby,Secondary!U632,Primary!U632)</f>
        <v>0</v>
      </c>
      <c r="V632" s="10">
        <f>IF(ActiveDatabase=Standby,Secondary!V632,Primary!V632)</f>
        <v>0</v>
      </c>
      <c r="W632" s="6">
        <f>IF(ActiveDatabase=Standby,Secondary!W632,Primary!W632)</f>
        <v>0</v>
      </c>
      <c r="X632" s="6">
        <f>IF(ActiveDatabase=Standby,Secondary!X632,Primary!X632)</f>
        <v>0</v>
      </c>
      <c r="Y632" s="12">
        <f>IF(ActiveDatabase=Standby,Secondary!Y632,Primary!Y632)</f>
        <v>0</v>
      </c>
      <c r="Z632" s="12">
        <f>IF(ActiveDatabase=Standby,Secondary!Z632,Primary!Z632)</f>
        <v>0</v>
      </c>
      <c r="AA632" s="7">
        <f>IF(ActiveDatabase=Standby,Secondary!AA632,Primary!AA632)</f>
        <v>0</v>
      </c>
      <c r="AB632" s="12"/>
      <c r="AC632" s="6"/>
      <c r="AD632" s="6"/>
      <c r="AE632" s="7"/>
      <c r="AF632" s="7"/>
      <c r="AG632" s="7"/>
      <c r="AH632" s="7"/>
      <c r="AI632" s="7"/>
      <c r="AJ632" s="7"/>
      <c r="AK632" s="7"/>
      <c r="AL632" s="7"/>
      <c r="AM632" s="7"/>
      <c r="AN632" s="7"/>
      <c r="AO632" s="6"/>
      <c r="AP632" s="7"/>
      <c r="AQ632" s="7"/>
      <c r="AR632" s="6"/>
      <c r="AS632" s="7"/>
      <c r="AT632" s="7"/>
      <c r="AU632" s="7"/>
      <c r="AV632" s="7"/>
      <c r="AW632" s="7"/>
      <c r="AX632" s="7"/>
      <c r="AY632" s="7"/>
      <c r="AZ632" s="7"/>
      <c r="BA632" s="7"/>
      <c r="BB632" s="7"/>
      <c r="BC632" s="7"/>
      <c r="BD632" s="7"/>
      <c r="BE632" s="7"/>
      <c r="BF632" s="7"/>
      <c r="BG632" s="7"/>
    </row>
    <row r="633" customHeight="1" spans="1:59">
      <c r="A633" s="9" t="str">
        <f>IF(ActiveDatabase=Standby,Secondary!A633,Primary!A633)</f>
        <v>Magda 42</v>
      </c>
      <c r="B633" s="5" t="str">
        <f>IF(ActiveDatabase=Standby,Secondary!B633,Primary!B633)</f>
        <v>Magda 45</v>
      </c>
      <c r="C633" s="5" t="str">
        <f>IF(ActiveDatabase=Standby,Secondary!C633,Primary!C633)</f>
        <v>Magda 05</v>
      </c>
      <c r="D633" s="5" t="str">
        <f>IF(ActiveDatabase=Standby,Secondary!D633,Primary!D633)</f>
        <v>Sand Cave 53J</v>
      </c>
      <c r="E633" s="6" t="str">
        <f>IF(ActiveDatabase=Standby,Secondary!E633,Primary!E633)</f>
        <v>SCave 53J</v>
      </c>
      <c r="F633" s="10">
        <f>IF(ActiveDatabase=Standby,Secondary!F633,Primary!F633)</f>
        <v>-197.545692553</v>
      </c>
      <c r="G633" s="10">
        <f>IF(ActiveDatabase=Standby,Secondary!G633,Primary!G633)</f>
        <v>218.685740538999</v>
      </c>
      <c r="H633" s="10">
        <f>IF(ActiveDatabase=Standby,Secondary!H633,Primary!H633)</f>
        <v>-171.510450346</v>
      </c>
      <c r="I633" s="13">
        <f>IF(ActiveDatabase=Standby,Secondary!I633,Primary!I633)</f>
        <v>0</v>
      </c>
      <c r="J633" s="13">
        <f>IF(ActiveDatabase=Standby,Secondary!J633,Primary!J633)</f>
        <v>0</v>
      </c>
      <c r="K633" s="13">
        <f>IF(ActiveDatabase=Standby,Secondary!K633,Primary!K633)</f>
        <v>0</v>
      </c>
      <c r="L633" s="13">
        <f>IF(ActiveDatabase=Standby,Secondary!L633,Primary!L633)</f>
        <v>0</v>
      </c>
      <c r="M633" s="7" t="b">
        <f>IF(ActiveDatabase=Standby,Secondary!M633,Primary!M633)</f>
        <v>0</v>
      </c>
      <c r="N633" s="10">
        <f>IF(ActiveDatabase=Standby,Secondary!N633,Primary!N633)</f>
        <v>0</v>
      </c>
      <c r="O633" s="10">
        <f>IF(ActiveDatabase=Standby,Secondary!O633,Primary!O633)</f>
        <v>0</v>
      </c>
      <c r="P633" s="10">
        <f>IF(ActiveDatabase=Standby,Secondary!P633,Primary!P633)</f>
        <v>0</v>
      </c>
      <c r="Q633" s="6">
        <f>IF(ActiveDatabase=Standby,Secondary!Q633,Primary!Q633)</f>
        <v>0</v>
      </c>
      <c r="R633" s="18">
        <f>IF(ActiveDatabase=Standby,Secondary!R633,Primary!R633)</f>
        <v>0</v>
      </c>
      <c r="S633" s="19">
        <f>IF(ActiveDatabase=Standby,Secondary!S633,Primary!S633)</f>
        <v>0</v>
      </c>
      <c r="T633" s="10">
        <f>IF(ActiveDatabase=Standby,Secondary!T633,Primary!T633)</f>
        <v>0</v>
      </c>
      <c r="U633" s="10">
        <f>IF(ActiveDatabase=Standby,Secondary!U633,Primary!U633)</f>
        <v>0</v>
      </c>
      <c r="V633" s="10">
        <f>IF(ActiveDatabase=Standby,Secondary!V633,Primary!V633)</f>
        <v>0</v>
      </c>
      <c r="W633" s="6">
        <f>IF(ActiveDatabase=Standby,Secondary!W633,Primary!W633)</f>
        <v>0</v>
      </c>
      <c r="X633" s="6">
        <f>IF(ActiveDatabase=Standby,Secondary!X633,Primary!X633)</f>
        <v>0</v>
      </c>
      <c r="Y633" s="12">
        <f>IF(ActiveDatabase=Standby,Secondary!Y633,Primary!Y633)</f>
        <v>0</v>
      </c>
      <c r="Z633" s="12">
        <f>IF(ActiveDatabase=Standby,Secondary!Z633,Primary!Z633)</f>
        <v>0</v>
      </c>
      <c r="AA633" s="7">
        <f>IF(ActiveDatabase=Standby,Secondary!AA633,Primary!AA633)</f>
        <v>0</v>
      </c>
      <c r="AB633" s="12"/>
      <c r="AC633" s="6"/>
      <c r="AD633" s="6"/>
      <c r="AE633" s="7"/>
      <c r="AF633" s="7"/>
      <c r="AG633" s="7"/>
      <c r="AH633" s="7"/>
      <c r="AI633" s="7"/>
      <c r="AJ633" s="7"/>
      <c r="AK633" s="7"/>
      <c r="AL633" s="7"/>
      <c r="AM633" s="7"/>
      <c r="AN633" s="7"/>
      <c r="AO633" s="6"/>
      <c r="AP633" s="7"/>
      <c r="AQ633" s="7"/>
      <c r="AR633" s="6"/>
      <c r="AS633" s="7"/>
      <c r="AT633" s="7"/>
      <c r="AU633" s="7"/>
      <c r="AV633" s="7"/>
      <c r="AW633" s="7"/>
      <c r="AX633" s="7"/>
      <c r="AY633" s="7"/>
      <c r="AZ633" s="7"/>
      <c r="BA633" s="7"/>
      <c r="BB633" s="7"/>
      <c r="BC633" s="7"/>
      <c r="BD633" s="7"/>
      <c r="BE633" s="7"/>
      <c r="BF633" s="7"/>
      <c r="BG633" s="7"/>
    </row>
    <row r="634" customHeight="1" spans="1:59">
      <c r="A634" s="9" t="str">
        <f>IF(ActiveDatabase=Standby,Secondary!A634,Primary!A634)</f>
        <v>Magda 09</v>
      </c>
      <c r="B634" s="5" t="str">
        <f>IF(ActiveDatabase=Standby,Secondary!B634,Primary!B634)</f>
        <v>Magda 12</v>
      </c>
      <c r="C634" s="5" t="str">
        <f>IF(ActiveDatabase=Standby,Secondary!C634,Primary!C634)</f>
        <v>Magda 51</v>
      </c>
      <c r="D634" s="5" t="str">
        <f>IF(ActiveDatabase=Standby,Secondary!D634,Primary!D634)</f>
        <v>Sand Cave 02S</v>
      </c>
      <c r="E634" s="6" t="str">
        <f>IF(ActiveDatabase=Standby,Secondary!E634,Primary!E634)</f>
        <v>SCave 02S</v>
      </c>
      <c r="F634" s="10">
        <f>IF(ActiveDatabase=Standby,Secondary!F634,Primary!F634)</f>
        <v>-265.632391756</v>
      </c>
      <c r="G634" s="10">
        <f>IF(ActiveDatabase=Standby,Secondary!G634,Primary!G634)</f>
        <v>-54.2650127619999</v>
      </c>
      <c r="H634" s="10">
        <f>IF(ActiveDatabase=Standby,Secondary!H634,Primary!H634)</f>
        <v>206.474485026</v>
      </c>
      <c r="I634" s="13">
        <f>IF(ActiveDatabase=Standby,Secondary!I634,Primary!I634)</f>
        <v>0</v>
      </c>
      <c r="J634" s="13">
        <f>IF(ActiveDatabase=Standby,Secondary!J634,Primary!J634)</f>
        <v>0</v>
      </c>
      <c r="K634" s="13">
        <f>IF(ActiveDatabase=Standby,Secondary!K634,Primary!K634)</f>
        <v>0</v>
      </c>
      <c r="L634" s="13">
        <f>IF(ActiveDatabase=Standby,Secondary!L634,Primary!L634)</f>
        <v>0</v>
      </c>
      <c r="M634" s="7" t="b">
        <f>IF(ActiveDatabase=Standby,Secondary!M634,Primary!M634)</f>
        <v>0</v>
      </c>
      <c r="N634" s="10">
        <f>IF(ActiveDatabase=Standby,Secondary!N634,Primary!N634)</f>
        <v>0</v>
      </c>
      <c r="O634" s="10">
        <f>IF(ActiveDatabase=Standby,Secondary!O634,Primary!O634)</f>
        <v>0</v>
      </c>
      <c r="P634" s="10">
        <f>IF(ActiveDatabase=Standby,Secondary!P634,Primary!P634)</f>
        <v>0</v>
      </c>
      <c r="Q634" s="6">
        <f>IF(ActiveDatabase=Standby,Secondary!Q634,Primary!Q634)</f>
        <v>0</v>
      </c>
      <c r="R634" s="18">
        <f>IF(ActiveDatabase=Standby,Secondary!R634,Primary!R634)</f>
        <v>0</v>
      </c>
      <c r="S634" s="19">
        <f>IF(ActiveDatabase=Standby,Secondary!S634,Primary!S634)</f>
        <v>0</v>
      </c>
      <c r="T634" s="10">
        <f>IF(ActiveDatabase=Standby,Secondary!T634,Primary!T634)</f>
        <v>0</v>
      </c>
      <c r="U634" s="10">
        <f>IF(ActiveDatabase=Standby,Secondary!U634,Primary!U634)</f>
        <v>0</v>
      </c>
      <c r="V634" s="10">
        <f>IF(ActiveDatabase=Standby,Secondary!V634,Primary!V634)</f>
        <v>0</v>
      </c>
      <c r="W634" s="6">
        <f>IF(ActiveDatabase=Standby,Secondary!W634,Primary!W634)</f>
        <v>0</v>
      </c>
      <c r="X634" s="6">
        <f>IF(ActiveDatabase=Standby,Secondary!X634,Primary!X634)</f>
        <v>0</v>
      </c>
      <c r="Y634" s="12">
        <f>IF(ActiveDatabase=Standby,Secondary!Y634,Primary!Y634)</f>
        <v>0</v>
      </c>
      <c r="Z634" s="12">
        <f>IF(ActiveDatabase=Standby,Secondary!Z634,Primary!Z634)</f>
        <v>0</v>
      </c>
      <c r="AA634" s="7">
        <f>IF(ActiveDatabase=Standby,Secondary!AA634,Primary!AA634)</f>
        <v>0</v>
      </c>
      <c r="AB634" s="12"/>
      <c r="AC634" s="6"/>
      <c r="AD634" s="6"/>
      <c r="AE634" s="7"/>
      <c r="AF634" s="7"/>
      <c r="AG634" s="7"/>
      <c r="AH634" s="7"/>
      <c r="AI634" s="7"/>
      <c r="AJ634" s="7"/>
      <c r="AK634" s="7"/>
      <c r="AL634" s="7"/>
      <c r="AM634" s="7"/>
      <c r="AN634" s="7"/>
      <c r="AO634" s="6"/>
      <c r="AP634" s="7"/>
      <c r="AQ634" s="7"/>
      <c r="AR634" s="6"/>
      <c r="AS634" s="7"/>
      <c r="AT634" s="7"/>
      <c r="AU634" s="7"/>
      <c r="AV634" s="7"/>
      <c r="AW634" s="7"/>
      <c r="AX634" s="7"/>
      <c r="AY634" s="7"/>
      <c r="AZ634" s="7"/>
      <c r="BA634" s="7"/>
      <c r="BB634" s="7"/>
      <c r="BC634" s="7"/>
      <c r="BD634" s="7"/>
      <c r="BE634" s="7"/>
      <c r="BF634" s="7"/>
      <c r="BG634" s="7"/>
    </row>
    <row r="635" customHeight="1" spans="1:59">
      <c r="A635" s="9" t="str">
        <f>IF(ActiveDatabase=Standby,Secondary!A635,Primary!A635)</f>
        <v>Magda 25</v>
      </c>
      <c r="B635" s="5" t="str">
        <f>IF(ActiveDatabase=Standby,Secondary!B635,Primary!B635)</f>
        <v>Magda 28</v>
      </c>
      <c r="C635" s="5" t="str">
        <f>IF(ActiveDatabase=Standby,Secondary!C635,Primary!C635)</f>
        <v>Magda 27</v>
      </c>
      <c r="D635" s="5" t="str">
        <f>IF(ActiveDatabase=Standby,Secondary!D635,Primary!D635)</f>
        <v>Sand Cave 33J</v>
      </c>
      <c r="E635" s="6" t="str">
        <f>IF(ActiveDatabase=Standby,Secondary!E635,Primary!E635)</f>
        <v>SCave 33J</v>
      </c>
      <c r="F635" s="10">
        <f>IF(ActiveDatabase=Standby,Secondary!F635,Primary!F635)</f>
        <v>299.160436670999</v>
      </c>
      <c r="G635" s="10">
        <f>IF(ActiveDatabase=Standby,Secondary!G635,Primary!G635)</f>
        <v>83.072659322</v>
      </c>
      <c r="H635" s="10">
        <f>IF(ActiveDatabase=Standby,Secondary!H635,Primary!H635)</f>
        <v>-141.601822665999</v>
      </c>
      <c r="I635" s="13">
        <f>IF(ActiveDatabase=Standby,Secondary!I635,Primary!I635)</f>
        <v>0</v>
      </c>
      <c r="J635" s="13">
        <f>IF(ActiveDatabase=Standby,Secondary!J635,Primary!J635)</f>
        <v>0</v>
      </c>
      <c r="K635" s="13">
        <f>IF(ActiveDatabase=Standby,Secondary!K635,Primary!K635)</f>
        <v>0</v>
      </c>
      <c r="L635" s="13">
        <f>IF(ActiveDatabase=Standby,Secondary!L635,Primary!L635)</f>
        <v>0</v>
      </c>
      <c r="M635" s="7" t="b">
        <f>IF(ActiveDatabase=Standby,Secondary!M635,Primary!M635)</f>
        <v>0</v>
      </c>
      <c r="N635" s="10">
        <f>IF(ActiveDatabase=Standby,Secondary!N635,Primary!N635)</f>
        <v>0</v>
      </c>
      <c r="O635" s="10">
        <f>IF(ActiveDatabase=Standby,Secondary!O635,Primary!O635)</f>
        <v>0</v>
      </c>
      <c r="P635" s="10">
        <f>IF(ActiveDatabase=Standby,Secondary!P635,Primary!P635)</f>
        <v>0</v>
      </c>
      <c r="Q635" s="6">
        <f>IF(ActiveDatabase=Standby,Secondary!Q635,Primary!Q635)</f>
        <v>0</v>
      </c>
      <c r="R635" s="18">
        <f>IF(ActiveDatabase=Standby,Secondary!R635,Primary!R635)</f>
        <v>0</v>
      </c>
      <c r="S635" s="19">
        <f>IF(ActiveDatabase=Standby,Secondary!S635,Primary!S635)</f>
        <v>0</v>
      </c>
      <c r="T635" s="10">
        <f>IF(ActiveDatabase=Standby,Secondary!T635,Primary!T635)</f>
        <v>0</v>
      </c>
      <c r="U635" s="10">
        <f>IF(ActiveDatabase=Standby,Secondary!U635,Primary!U635)</f>
        <v>0</v>
      </c>
      <c r="V635" s="10">
        <f>IF(ActiveDatabase=Standby,Secondary!V635,Primary!V635)</f>
        <v>0</v>
      </c>
      <c r="W635" s="6">
        <f>IF(ActiveDatabase=Standby,Secondary!W635,Primary!W635)</f>
        <v>0</v>
      </c>
      <c r="X635" s="6">
        <f>IF(ActiveDatabase=Standby,Secondary!X635,Primary!X635)</f>
        <v>0</v>
      </c>
      <c r="Y635" s="12">
        <f>IF(ActiveDatabase=Standby,Secondary!Y635,Primary!Y635)</f>
        <v>0</v>
      </c>
      <c r="Z635" s="12">
        <f>IF(ActiveDatabase=Standby,Secondary!Z635,Primary!Z635)</f>
        <v>0</v>
      </c>
      <c r="AA635" s="7">
        <f>IF(ActiveDatabase=Standby,Secondary!AA635,Primary!AA635)</f>
        <v>0</v>
      </c>
      <c r="AB635" s="12"/>
      <c r="AC635" s="6"/>
      <c r="AD635" s="6"/>
      <c r="AE635" s="7"/>
      <c r="AF635" s="7"/>
      <c r="AG635" s="7"/>
      <c r="AH635" s="7"/>
      <c r="AI635" s="7"/>
      <c r="AJ635" s="7"/>
      <c r="AK635" s="7"/>
      <c r="AL635" s="7"/>
      <c r="AM635" s="7"/>
      <c r="AN635" s="7"/>
      <c r="AO635" s="6"/>
      <c r="AP635" s="7"/>
      <c r="AQ635" s="7"/>
      <c r="AR635" s="6"/>
      <c r="AS635" s="7"/>
      <c r="AT635" s="7"/>
      <c r="AU635" s="7"/>
      <c r="AV635" s="7"/>
      <c r="AW635" s="7"/>
      <c r="AX635" s="7"/>
      <c r="AY635" s="7"/>
      <c r="AZ635" s="7"/>
      <c r="BA635" s="7"/>
      <c r="BB635" s="7"/>
      <c r="BC635" s="7"/>
      <c r="BD635" s="7"/>
      <c r="BE635" s="7"/>
      <c r="BF635" s="7"/>
      <c r="BG635" s="7"/>
    </row>
    <row r="636" customHeight="1" spans="1:59">
      <c r="A636" s="9" t="str">
        <f>IF(ActiveDatabase=Standby,Secondary!A636,Primary!A636)</f>
        <v>Magda 22</v>
      </c>
      <c r="B636" s="5" t="str">
        <f>IF(ActiveDatabase=Standby,Secondary!B636,Primary!B636)</f>
        <v>Magda 25</v>
      </c>
      <c r="C636" s="5" t="str">
        <f>IF(ActiveDatabase=Standby,Secondary!C636,Primary!C636)</f>
        <v>Magda 29</v>
      </c>
      <c r="D636" s="5" t="str">
        <f>IF(ActiveDatabase=Standby,Secondary!D636,Primary!D636)</f>
        <v>Sand Cave 31J</v>
      </c>
      <c r="E636" s="6" t="str">
        <f>IF(ActiveDatabase=Standby,Secondary!E636,Primary!E636)</f>
        <v>SCave 31J</v>
      </c>
      <c r="F636" s="10">
        <f>IF(ActiveDatabase=Standby,Secondary!F636,Primary!F636)</f>
        <v>301.542738071</v>
      </c>
      <c r="G636" s="10">
        <f>IF(ActiveDatabase=Standby,Secondary!G636,Primary!G636)</f>
        <v>6.44132297199999</v>
      </c>
      <c r="H636" s="10">
        <f>IF(ActiveDatabase=Standby,Secondary!H636,Primary!H636)</f>
        <v>-159.624630968</v>
      </c>
      <c r="I636" s="13">
        <f>IF(ActiveDatabase=Standby,Secondary!I636,Primary!I636)</f>
        <v>0</v>
      </c>
      <c r="J636" s="13">
        <f>IF(ActiveDatabase=Standby,Secondary!J636,Primary!J636)</f>
        <v>0</v>
      </c>
      <c r="K636" s="13">
        <f>IF(ActiveDatabase=Standby,Secondary!K636,Primary!K636)</f>
        <v>0</v>
      </c>
      <c r="L636" s="13">
        <f>IF(ActiveDatabase=Standby,Secondary!L636,Primary!L636)</f>
        <v>0</v>
      </c>
      <c r="M636" s="7" t="b">
        <f>IF(ActiveDatabase=Standby,Secondary!M636,Primary!M636)</f>
        <v>0</v>
      </c>
      <c r="N636" s="10">
        <f>IF(ActiveDatabase=Standby,Secondary!N636,Primary!N636)</f>
        <v>0</v>
      </c>
      <c r="O636" s="10">
        <f>IF(ActiveDatabase=Standby,Secondary!O636,Primary!O636)</f>
        <v>0</v>
      </c>
      <c r="P636" s="10">
        <f>IF(ActiveDatabase=Standby,Secondary!P636,Primary!P636)</f>
        <v>0</v>
      </c>
      <c r="Q636" s="6">
        <f>IF(ActiveDatabase=Standby,Secondary!Q636,Primary!Q636)</f>
        <v>0</v>
      </c>
      <c r="R636" s="18">
        <f>IF(ActiveDatabase=Standby,Secondary!R636,Primary!R636)</f>
        <v>0</v>
      </c>
      <c r="S636" s="19">
        <f>IF(ActiveDatabase=Standby,Secondary!S636,Primary!S636)</f>
        <v>0</v>
      </c>
      <c r="T636" s="10">
        <f>IF(ActiveDatabase=Standby,Secondary!T636,Primary!T636)</f>
        <v>0</v>
      </c>
      <c r="U636" s="10">
        <f>IF(ActiveDatabase=Standby,Secondary!U636,Primary!U636)</f>
        <v>0</v>
      </c>
      <c r="V636" s="10">
        <f>IF(ActiveDatabase=Standby,Secondary!V636,Primary!V636)</f>
        <v>0</v>
      </c>
      <c r="W636" s="6">
        <f>IF(ActiveDatabase=Standby,Secondary!W636,Primary!W636)</f>
        <v>0</v>
      </c>
      <c r="X636" s="6">
        <f>IF(ActiveDatabase=Standby,Secondary!X636,Primary!X636)</f>
        <v>0</v>
      </c>
      <c r="Y636" s="12">
        <f>IF(ActiveDatabase=Standby,Secondary!Y636,Primary!Y636)</f>
        <v>0</v>
      </c>
      <c r="Z636" s="12">
        <f>IF(ActiveDatabase=Standby,Secondary!Z636,Primary!Z636)</f>
        <v>0</v>
      </c>
      <c r="AA636" s="7">
        <f>IF(ActiveDatabase=Standby,Secondary!AA636,Primary!AA636)</f>
        <v>0</v>
      </c>
      <c r="AB636" s="12"/>
      <c r="AC636" s="6"/>
      <c r="AD636" s="6"/>
      <c r="AE636" s="7"/>
      <c r="AF636" s="7"/>
      <c r="AG636" s="7"/>
      <c r="AH636" s="7"/>
      <c r="AI636" s="7"/>
      <c r="AJ636" s="7"/>
      <c r="AK636" s="7"/>
      <c r="AL636" s="7"/>
      <c r="AM636" s="7"/>
      <c r="AN636" s="7"/>
      <c r="AO636" s="6"/>
      <c r="AP636" s="7"/>
      <c r="AQ636" s="7"/>
      <c r="AR636" s="6"/>
      <c r="AS636" s="7"/>
      <c r="AT636" s="7"/>
      <c r="AU636" s="7"/>
      <c r="AV636" s="7"/>
      <c r="AW636" s="7"/>
      <c r="AX636" s="7"/>
      <c r="AY636" s="7"/>
      <c r="AZ636" s="7"/>
      <c r="BA636" s="7"/>
      <c r="BB636" s="7"/>
      <c r="BC636" s="7"/>
      <c r="BD636" s="7"/>
      <c r="BE636" s="7"/>
      <c r="BF636" s="7"/>
      <c r="BG636" s="7"/>
    </row>
    <row r="637" customHeight="1" spans="1:59">
      <c r="A637" s="9" t="str">
        <f>IF(ActiveDatabase=Standby,Secondary!A637,Primary!A637)</f>
        <v>Magda 23</v>
      </c>
      <c r="B637" s="5" t="str">
        <f>IF(ActiveDatabase=Standby,Secondary!B637,Primary!B637)</f>
        <v>Magda 26</v>
      </c>
      <c r="C637" s="5" t="str">
        <f>IF(ActiveDatabase=Standby,Secondary!C637,Primary!C637)</f>
        <v>Magda 30</v>
      </c>
      <c r="D637" s="5" t="str">
        <f>IF(ActiveDatabase=Standby,Secondary!D637,Primary!D637)</f>
        <v>Sand Cave 31L</v>
      </c>
      <c r="E637" s="6" t="str">
        <f>IF(ActiveDatabase=Standby,Secondary!E637,Primary!E637)</f>
        <v>SCave 31L</v>
      </c>
      <c r="F637" s="10">
        <f>IF(ActiveDatabase=Standby,Secondary!F637,Primary!F637)</f>
        <v>329.558160909</v>
      </c>
      <c r="G637" s="10">
        <f>IF(ActiveDatabase=Standby,Secondary!G637,Primary!G637)</f>
        <v>4.407244045</v>
      </c>
      <c r="H637" s="10">
        <f>IF(ActiveDatabase=Standby,Secondary!H637,Primary!H637)</f>
        <v>-87.876208843</v>
      </c>
      <c r="I637" s="13">
        <f>IF(ActiveDatabase=Standby,Secondary!I637,Primary!I637)</f>
        <v>0</v>
      </c>
      <c r="J637" s="13">
        <f>IF(ActiveDatabase=Standby,Secondary!J637,Primary!J637)</f>
        <v>0</v>
      </c>
      <c r="K637" s="13">
        <f>IF(ActiveDatabase=Standby,Secondary!K637,Primary!K637)</f>
        <v>0</v>
      </c>
      <c r="L637" s="13">
        <f>IF(ActiveDatabase=Standby,Secondary!L637,Primary!L637)</f>
        <v>0</v>
      </c>
      <c r="M637" s="7" t="b">
        <f>IF(ActiveDatabase=Standby,Secondary!M637,Primary!M637)</f>
        <v>0</v>
      </c>
      <c r="N637" s="10">
        <f>IF(ActiveDatabase=Standby,Secondary!N637,Primary!N637)</f>
        <v>0</v>
      </c>
      <c r="O637" s="10">
        <f>IF(ActiveDatabase=Standby,Secondary!O637,Primary!O637)</f>
        <v>0</v>
      </c>
      <c r="P637" s="10">
        <f>IF(ActiveDatabase=Standby,Secondary!P637,Primary!P637)</f>
        <v>0</v>
      </c>
      <c r="Q637" s="6">
        <f>IF(ActiveDatabase=Standby,Secondary!Q637,Primary!Q637)</f>
        <v>0</v>
      </c>
      <c r="R637" s="18">
        <f>IF(ActiveDatabase=Standby,Secondary!R637,Primary!R637)</f>
        <v>0</v>
      </c>
      <c r="S637" s="19">
        <f>IF(ActiveDatabase=Standby,Secondary!S637,Primary!S637)</f>
        <v>0</v>
      </c>
      <c r="T637" s="10">
        <f>IF(ActiveDatabase=Standby,Secondary!T637,Primary!T637)</f>
        <v>0</v>
      </c>
      <c r="U637" s="10">
        <f>IF(ActiveDatabase=Standby,Secondary!U637,Primary!U637)</f>
        <v>0</v>
      </c>
      <c r="V637" s="10">
        <f>IF(ActiveDatabase=Standby,Secondary!V637,Primary!V637)</f>
        <v>0</v>
      </c>
      <c r="W637" s="6">
        <f>IF(ActiveDatabase=Standby,Secondary!W637,Primary!W637)</f>
        <v>0</v>
      </c>
      <c r="X637" s="6">
        <f>IF(ActiveDatabase=Standby,Secondary!X637,Primary!X637)</f>
        <v>0</v>
      </c>
      <c r="Y637" s="12">
        <f>IF(ActiveDatabase=Standby,Secondary!Y637,Primary!Y637)</f>
        <v>0</v>
      </c>
      <c r="Z637" s="12">
        <f>IF(ActiveDatabase=Standby,Secondary!Z637,Primary!Z637)</f>
        <v>0</v>
      </c>
      <c r="AA637" s="7">
        <f>IF(ActiveDatabase=Standby,Secondary!AA637,Primary!AA637)</f>
        <v>0</v>
      </c>
      <c r="AB637" s="12"/>
      <c r="AC637" s="6"/>
      <c r="AD637" s="6"/>
      <c r="AE637" s="7"/>
      <c r="AF637" s="7"/>
      <c r="AG637" s="7"/>
      <c r="AH637" s="7"/>
      <c r="AI637" s="7"/>
      <c r="AJ637" s="7"/>
      <c r="AK637" s="7"/>
      <c r="AL637" s="7"/>
      <c r="AM637" s="7"/>
      <c r="AN637" s="7"/>
      <c r="AO637" s="6"/>
      <c r="AP637" s="7"/>
      <c r="AQ637" s="7"/>
      <c r="AR637" s="6"/>
      <c r="AS637" s="7"/>
      <c r="AT637" s="7"/>
      <c r="AU637" s="7"/>
      <c r="AV637" s="7"/>
      <c r="AW637" s="7"/>
      <c r="AX637" s="7"/>
      <c r="AY637" s="7"/>
      <c r="AZ637" s="7"/>
      <c r="BA637" s="7"/>
      <c r="BB637" s="7"/>
      <c r="BC637" s="7"/>
      <c r="BD637" s="7"/>
      <c r="BE637" s="7"/>
      <c r="BF637" s="7"/>
      <c r="BG637" s="7"/>
    </row>
    <row r="638" customHeight="1" spans="1:59">
      <c r="A638" s="9" t="str">
        <f>IF(ActiveDatabase=Standby,Secondary!A638,Primary!A638)</f>
        <v>Magda 21</v>
      </c>
      <c r="B638" s="5" t="str">
        <f>IF(ActiveDatabase=Standby,Secondary!B638,Primary!B638)</f>
        <v>Magda 24</v>
      </c>
      <c r="C638" s="5" t="str">
        <f>IF(ActiveDatabase=Standby,Secondary!C638,Primary!C638)</f>
        <v>Magda 34</v>
      </c>
      <c r="D638" s="5" t="str">
        <f>IF(ActiveDatabase=Standby,Secondary!D638,Primary!D638)</f>
        <v>Sand Cave 30L</v>
      </c>
      <c r="E638" s="6" t="str">
        <f>IF(ActiveDatabase=Standby,Secondary!E638,Primary!E638)</f>
        <v>SCave 30L</v>
      </c>
      <c r="F638" s="10">
        <f>IF(ActiveDatabase=Standby,Secondary!F638,Primary!F638)</f>
        <v>333.696862801</v>
      </c>
      <c r="G638" s="10">
        <f>IF(ActiveDatabase=Standby,Secondary!G638,Primary!G638)</f>
        <v>-31.8475602189999</v>
      </c>
      <c r="H638" s="10">
        <f>IF(ActiveDatabase=Standby,Secondary!H638,Primary!H638)</f>
        <v>-63.08439721</v>
      </c>
      <c r="I638" s="13">
        <f>IF(ActiveDatabase=Standby,Secondary!I638,Primary!I638)</f>
        <v>0</v>
      </c>
      <c r="J638" s="13">
        <f>IF(ActiveDatabase=Standby,Secondary!J638,Primary!J638)</f>
        <v>0</v>
      </c>
      <c r="K638" s="13">
        <f>IF(ActiveDatabase=Standby,Secondary!K638,Primary!K638)</f>
        <v>0</v>
      </c>
      <c r="L638" s="13">
        <f>IF(ActiveDatabase=Standby,Secondary!L638,Primary!L638)</f>
        <v>0</v>
      </c>
      <c r="M638" s="7" t="b">
        <f>IF(ActiveDatabase=Standby,Secondary!M638,Primary!M638)</f>
        <v>0</v>
      </c>
      <c r="N638" s="10">
        <f>IF(ActiveDatabase=Standby,Secondary!N638,Primary!N638)</f>
        <v>0</v>
      </c>
      <c r="O638" s="10">
        <f>IF(ActiveDatabase=Standby,Secondary!O638,Primary!O638)</f>
        <v>0</v>
      </c>
      <c r="P638" s="10">
        <f>IF(ActiveDatabase=Standby,Secondary!P638,Primary!P638)</f>
        <v>0</v>
      </c>
      <c r="Q638" s="6">
        <f>IF(ActiveDatabase=Standby,Secondary!Q638,Primary!Q638)</f>
        <v>0</v>
      </c>
      <c r="R638" s="18">
        <f>IF(ActiveDatabase=Standby,Secondary!R638,Primary!R638)</f>
        <v>0</v>
      </c>
      <c r="S638" s="19">
        <f>IF(ActiveDatabase=Standby,Secondary!S638,Primary!S638)</f>
        <v>0</v>
      </c>
      <c r="T638" s="10">
        <f>IF(ActiveDatabase=Standby,Secondary!T638,Primary!T638)</f>
        <v>0</v>
      </c>
      <c r="U638" s="10">
        <f>IF(ActiveDatabase=Standby,Secondary!U638,Primary!U638)</f>
        <v>0</v>
      </c>
      <c r="V638" s="10">
        <f>IF(ActiveDatabase=Standby,Secondary!V638,Primary!V638)</f>
        <v>0</v>
      </c>
      <c r="W638" s="6">
        <f>IF(ActiveDatabase=Standby,Secondary!W638,Primary!W638)</f>
        <v>0</v>
      </c>
      <c r="X638" s="6">
        <f>IF(ActiveDatabase=Standby,Secondary!X638,Primary!X638)</f>
        <v>0</v>
      </c>
      <c r="Y638" s="12">
        <f>IF(ActiveDatabase=Standby,Secondary!Y638,Primary!Y638)</f>
        <v>0</v>
      </c>
      <c r="Z638" s="12">
        <f>IF(ActiveDatabase=Standby,Secondary!Z638,Primary!Z638)</f>
        <v>0</v>
      </c>
      <c r="AA638" s="7">
        <f>IF(ActiveDatabase=Standby,Secondary!AA638,Primary!AA638)</f>
        <v>0</v>
      </c>
      <c r="AB638" s="12"/>
      <c r="AC638" s="6"/>
      <c r="AD638" s="6"/>
      <c r="AE638" s="7"/>
      <c r="AF638" s="7"/>
      <c r="AG638" s="7"/>
      <c r="AH638" s="7"/>
      <c r="AI638" s="7"/>
      <c r="AJ638" s="7"/>
      <c r="AK638" s="7"/>
      <c r="AL638" s="7"/>
      <c r="AM638" s="7"/>
      <c r="AN638" s="7"/>
      <c r="AO638" s="6"/>
      <c r="AP638" s="7"/>
      <c r="AQ638" s="7"/>
      <c r="AR638" s="6"/>
      <c r="AS638" s="7"/>
      <c r="AT638" s="7"/>
      <c r="AU638" s="7"/>
      <c r="AV638" s="7"/>
      <c r="AW638" s="7"/>
      <c r="AX638" s="7"/>
      <c r="AY638" s="7"/>
      <c r="AZ638" s="7"/>
      <c r="BA638" s="7"/>
      <c r="BB638" s="7"/>
      <c r="BC638" s="7"/>
      <c r="BD638" s="7"/>
      <c r="BE638" s="7"/>
      <c r="BF638" s="7"/>
      <c r="BG638" s="7"/>
    </row>
    <row r="639" customHeight="1" spans="1:59">
      <c r="A639" s="9" t="str">
        <f>IF(ActiveDatabase=Standby,Secondary!A639,Primary!A639)</f>
        <v>Magda 14</v>
      </c>
      <c r="B639" s="5" t="str">
        <f>IF(ActiveDatabase=Standby,Secondary!B639,Primary!B639)</f>
        <v>Magda 17</v>
      </c>
      <c r="C639" s="5" t="str">
        <f>IF(ActiveDatabase=Standby,Secondary!C639,Primary!C639)</f>
        <v>Magda 39</v>
      </c>
      <c r="D639" s="5" t="str">
        <f>IF(ActiveDatabase=Standby,Secondary!D639,Primary!D639)</f>
        <v>Sand Cave 18K</v>
      </c>
      <c r="E639" s="6" t="str">
        <f>IF(ActiveDatabase=Standby,Secondary!E639,Primary!E639)</f>
        <v>SCave 18K</v>
      </c>
      <c r="F639" s="10">
        <f>IF(ActiveDatabase=Standby,Secondary!F639,Primary!F639)</f>
        <v>89.0087115219999</v>
      </c>
      <c r="G639" s="10">
        <f>IF(ActiveDatabase=Standby,Secondary!G639,Primary!G639)</f>
        <v>-305.310306198999</v>
      </c>
      <c r="H639" s="10">
        <f>IF(ActiveDatabase=Standby,Secondary!H639,Primary!H639)</f>
        <v>-123.379447669999</v>
      </c>
      <c r="I639" s="13">
        <f>IF(ActiveDatabase=Standby,Secondary!I639,Primary!I639)</f>
        <v>0</v>
      </c>
      <c r="J639" s="13">
        <f>IF(ActiveDatabase=Standby,Secondary!J639,Primary!J639)</f>
        <v>0</v>
      </c>
      <c r="K639" s="13">
        <f>IF(ActiveDatabase=Standby,Secondary!K639,Primary!K639)</f>
        <v>0</v>
      </c>
      <c r="L639" s="13">
        <f>IF(ActiveDatabase=Standby,Secondary!L639,Primary!L639)</f>
        <v>0</v>
      </c>
      <c r="M639" s="7" t="b">
        <f>IF(ActiveDatabase=Standby,Secondary!M639,Primary!M639)</f>
        <v>0</v>
      </c>
      <c r="N639" s="10">
        <f>IF(ActiveDatabase=Standby,Secondary!N639,Primary!N639)</f>
        <v>0</v>
      </c>
      <c r="O639" s="10">
        <f>IF(ActiveDatabase=Standby,Secondary!O639,Primary!O639)</f>
        <v>0</v>
      </c>
      <c r="P639" s="10">
        <f>IF(ActiveDatabase=Standby,Secondary!P639,Primary!P639)</f>
        <v>0</v>
      </c>
      <c r="Q639" s="6">
        <f>IF(ActiveDatabase=Standby,Secondary!Q639,Primary!Q639)</f>
        <v>0</v>
      </c>
      <c r="R639" s="18">
        <f>IF(ActiveDatabase=Standby,Secondary!R639,Primary!R639)</f>
        <v>0</v>
      </c>
      <c r="S639" s="19">
        <f>IF(ActiveDatabase=Standby,Secondary!S639,Primary!S639)</f>
        <v>0</v>
      </c>
      <c r="T639" s="10">
        <f>IF(ActiveDatabase=Standby,Secondary!T639,Primary!T639)</f>
        <v>0</v>
      </c>
      <c r="U639" s="10">
        <f>IF(ActiveDatabase=Standby,Secondary!U639,Primary!U639)</f>
        <v>0</v>
      </c>
      <c r="V639" s="10">
        <f>IF(ActiveDatabase=Standby,Secondary!V639,Primary!V639)</f>
        <v>0</v>
      </c>
      <c r="W639" s="6">
        <f>IF(ActiveDatabase=Standby,Secondary!W639,Primary!W639)</f>
        <v>0</v>
      </c>
      <c r="X639" s="6">
        <f>IF(ActiveDatabase=Standby,Secondary!X639,Primary!X639)</f>
        <v>0</v>
      </c>
      <c r="Y639" s="12">
        <f>IF(ActiveDatabase=Standby,Secondary!Y639,Primary!Y639)</f>
        <v>0</v>
      </c>
      <c r="Z639" s="12">
        <f>IF(ActiveDatabase=Standby,Secondary!Z639,Primary!Z639)</f>
        <v>0</v>
      </c>
      <c r="AA639" s="7">
        <f>IF(ActiveDatabase=Standby,Secondary!AA639,Primary!AA639)</f>
        <v>0</v>
      </c>
      <c r="AB639" s="12"/>
      <c r="AC639" s="6"/>
      <c r="AD639" s="6"/>
      <c r="AE639" s="7"/>
      <c r="AF639" s="7"/>
      <c r="AG639" s="7"/>
      <c r="AH639" s="7"/>
      <c r="AI639" s="7"/>
      <c r="AJ639" s="7"/>
      <c r="AK639" s="7"/>
      <c r="AL639" s="7"/>
      <c r="AM639" s="7"/>
      <c r="AN639" s="7"/>
      <c r="AO639" s="6"/>
      <c r="AP639" s="7"/>
      <c r="AQ639" s="7"/>
      <c r="AR639" s="6"/>
      <c r="AS639" s="7"/>
      <c r="AT639" s="7"/>
      <c r="AU639" s="7"/>
      <c r="AV639" s="7"/>
      <c r="AW639" s="7"/>
      <c r="AX639" s="7"/>
      <c r="AY639" s="7"/>
      <c r="AZ639" s="7"/>
      <c r="BA639" s="7"/>
      <c r="BB639" s="7"/>
      <c r="BC639" s="7"/>
      <c r="BD639" s="7"/>
      <c r="BE639" s="7"/>
      <c r="BF639" s="7"/>
      <c r="BG639" s="7"/>
    </row>
    <row r="640" customHeight="1" spans="1:59">
      <c r="A640" s="9" t="str">
        <f>IF(ActiveDatabase=Standby,Secondary!A640,Primary!A640)</f>
        <v>Magda 15</v>
      </c>
      <c r="B640" s="5" t="str">
        <f>IF(ActiveDatabase=Standby,Secondary!B640,Primary!B640)</f>
        <v>Magda 18</v>
      </c>
      <c r="C640" s="5" t="str">
        <f>IF(ActiveDatabase=Standby,Secondary!C640,Primary!C640)</f>
        <v>Magda 40</v>
      </c>
      <c r="D640" s="5" t="str">
        <f>IF(ActiveDatabase=Standby,Secondary!D640,Primary!D640)</f>
        <v>Sand Cave 18L</v>
      </c>
      <c r="E640" s="6" t="str">
        <f>IF(ActiveDatabase=Standby,Secondary!E640,Primary!E640)</f>
        <v>SCave 18L</v>
      </c>
      <c r="F640" s="10">
        <f>IF(ActiveDatabase=Standby,Secondary!F640,Primary!F640)</f>
        <v>88.6026369649999</v>
      </c>
      <c r="G640" s="10">
        <f>IF(ActiveDatabase=Standby,Secondary!G640,Primary!G640)</f>
        <v>-316.726528087</v>
      </c>
      <c r="H640" s="10">
        <f>IF(ActiveDatabase=Standby,Secondary!H640,Primary!H640)</f>
        <v>-90.3123154369999</v>
      </c>
      <c r="I640" s="13">
        <f>IF(ActiveDatabase=Standby,Secondary!I640,Primary!I640)</f>
        <v>0</v>
      </c>
      <c r="J640" s="13">
        <f>IF(ActiveDatabase=Standby,Secondary!J640,Primary!J640)</f>
        <v>0</v>
      </c>
      <c r="K640" s="13">
        <f>IF(ActiveDatabase=Standby,Secondary!K640,Primary!K640)</f>
        <v>0</v>
      </c>
      <c r="L640" s="13">
        <f>IF(ActiveDatabase=Standby,Secondary!L640,Primary!L640)</f>
        <v>0</v>
      </c>
      <c r="M640" s="7" t="b">
        <f>IF(ActiveDatabase=Standby,Secondary!M640,Primary!M640)</f>
        <v>0</v>
      </c>
      <c r="N640" s="10">
        <f>IF(ActiveDatabase=Standby,Secondary!N640,Primary!N640)</f>
        <v>0</v>
      </c>
      <c r="O640" s="10">
        <f>IF(ActiveDatabase=Standby,Secondary!O640,Primary!O640)</f>
        <v>0</v>
      </c>
      <c r="P640" s="10">
        <f>IF(ActiveDatabase=Standby,Secondary!P640,Primary!P640)</f>
        <v>0</v>
      </c>
      <c r="Q640" s="6">
        <f>IF(ActiveDatabase=Standby,Secondary!Q640,Primary!Q640)</f>
        <v>0</v>
      </c>
      <c r="R640" s="18">
        <f>IF(ActiveDatabase=Standby,Secondary!R640,Primary!R640)</f>
        <v>0</v>
      </c>
      <c r="S640" s="19">
        <f>IF(ActiveDatabase=Standby,Secondary!S640,Primary!S640)</f>
        <v>0</v>
      </c>
      <c r="T640" s="10">
        <f>IF(ActiveDatabase=Standby,Secondary!T640,Primary!T640)</f>
        <v>0</v>
      </c>
      <c r="U640" s="10">
        <f>IF(ActiveDatabase=Standby,Secondary!U640,Primary!U640)</f>
        <v>0</v>
      </c>
      <c r="V640" s="10">
        <f>IF(ActiveDatabase=Standby,Secondary!V640,Primary!V640)</f>
        <v>0</v>
      </c>
      <c r="W640" s="6">
        <f>IF(ActiveDatabase=Standby,Secondary!W640,Primary!W640)</f>
        <v>0</v>
      </c>
      <c r="X640" s="6">
        <f>IF(ActiveDatabase=Standby,Secondary!X640,Primary!X640)</f>
        <v>0</v>
      </c>
      <c r="Y640" s="12">
        <f>IF(ActiveDatabase=Standby,Secondary!Y640,Primary!Y640)</f>
        <v>0</v>
      </c>
      <c r="Z640" s="12">
        <f>IF(ActiveDatabase=Standby,Secondary!Z640,Primary!Z640)</f>
        <v>0</v>
      </c>
      <c r="AA640" s="7">
        <f>IF(ActiveDatabase=Standby,Secondary!AA640,Primary!AA640)</f>
        <v>0</v>
      </c>
      <c r="AB640" s="12"/>
      <c r="AC640" s="6"/>
      <c r="AD640" s="6"/>
      <c r="AE640" s="7"/>
      <c r="AF640" s="7"/>
      <c r="AG640" s="7"/>
      <c r="AH640" s="7"/>
      <c r="AI640" s="7"/>
      <c r="AJ640" s="7"/>
      <c r="AK640" s="7"/>
      <c r="AL640" s="7"/>
      <c r="AM640" s="7"/>
      <c r="AN640" s="7"/>
      <c r="AO640" s="6"/>
      <c r="AP640" s="7"/>
      <c r="AQ640" s="7"/>
      <c r="AR640" s="6"/>
      <c r="AS640" s="7"/>
      <c r="AT640" s="7"/>
      <c r="AU640" s="7"/>
      <c r="AV640" s="7"/>
      <c r="AW640" s="7"/>
      <c r="AX640" s="7"/>
      <c r="AY640" s="7"/>
      <c r="AZ640" s="7"/>
      <c r="BA640" s="7"/>
      <c r="BB640" s="7"/>
      <c r="BC640" s="7"/>
      <c r="BD640" s="7"/>
      <c r="BE640" s="7"/>
      <c r="BF640" s="7"/>
      <c r="BG640" s="7"/>
    </row>
    <row r="641" customHeight="1" spans="1:59">
      <c r="A641" s="9" t="str">
        <f>IF(ActiveDatabase=Standby,Secondary!A641,Primary!A641)</f>
        <v>Magda 19</v>
      </c>
      <c r="B641" s="5" t="str">
        <f>IF(ActiveDatabase=Standby,Secondary!B641,Primary!B641)</f>
        <v>Magda 22</v>
      </c>
      <c r="C641" s="5" t="str">
        <f>IF(ActiveDatabase=Standby,Secondary!C641,Primary!C641)</f>
        <v>Magda 35</v>
      </c>
      <c r="D641" s="5" t="str">
        <f>IF(ActiveDatabase=Standby,Secondary!D641,Primary!D641)</f>
        <v>Sand Cave 26R</v>
      </c>
      <c r="E641" s="6" t="str">
        <f>IF(ActiveDatabase=Standby,Secondary!E641,Primary!E641)</f>
        <v>SCave 26R</v>
      </c>
      <c r="F641" s="10">
        <f>IF(ActiveDatabase=Standby,Secondary!F641,Primary!F641)</f>
        <v>256.942686605</v>
      </c>
      <c r="G641" s="10">
        <f>IF(ActiveDatabase=Standby,Secondary!G641,Primary!G641)</f>
        <v>-137.421508967</v>
      </c>
      <c r="H641" s="10">
        <f>IF(ActiveDatabase=Standby,Secondary!H641,Primary!H641)</f>
        <v>177.50817343</v>
      </c>
      <c r="I641" s="13">
        <f>IF(ActiveDatabase=Standby,Secondary!I641,Primary!I641)</f>
        <v>0</v>
      </c>
      <c r="J641" s="13">
        <f>IF(ActiveDatabase=Standby,Secondary!J641,Primary!J641)</f>
        <v>0</v>
      </c>
      <c r="K641" s="13">
        <f>IF(ActiveDatabase=Standby,Secondary!K641,Primary!K641)</f>
        <v>0</v>
      </c>
      <c r="L641" s="13">
        <f>IF(ActiveDatabase=Standby,Secondary!L641,Primary!L641)</f>
        <v>0</v>
      </c>
      <c r="M641" s="7" t="b">
        <f>IF(ActiveDatabase=Standby,Secondary!M641,Primary!M641)</f>
        <v>0</v>
      </c>
      <c r="N641" s="10">
        <f>IF(ActiveDatabase=Standby,Secondary!N641,Primary!N641)</f>
        <v>0</v>
      </c>
      <c r="O641" s="10">
        <f>IF(ActiveDatabase=Standby,Secondary!O641,Primary!O641)</f>
        <v>0</v>
      </c>
      <c r="P641" s="10">
        <f>IF(ActiveDatabase=Standby,Secondary!P641,Primary!P641)</f>
        <v>0</v>
      </c>
      <c r="Q641" s="6">
        <f>IF(ActiveDatabase=Standby,Secondary!Q641,Primary!Q641)</f>
        <v>0</v>
      </c>
      <c r="R641" s="18">
        <f>IF(ActiveDatabase=Standby,Secondary!R641,Primary!R641)</f>
        <v>0</v>
      </c>
      <c r="S641" s="19">
        <f>IF(ActiveDatabase=Standby,Secondary!S641,Primary!S641)</f>
        <v>0</v>
      </c>
      <c r="T641" s="10">
        <f>IF(ActiveDatabase=Standby,Secondary!T641,Primary!T641)</f>
        <v>0</v>
      </c>
      <c r="U641" s="10">
        <f>IF(ActiveDatabase=Standby,Secondary!U641,Primary!U641)</f>
        <v>0</v>
      </c>
      <c r="V641" s="10">
        <f>IF(ActiveDatabase=Standby,Secondary!V641,Primary!V641)</f>
        <v>0</v>
      </c>
      <c r="W641" s="6">
        <f>IF(ActiveDatabase=Standby,Secondary!W641,Primary!W641)</f>
        <v>0</v>
      </c>
      <c r="X641" s="6">
        <f>IF(ActiveDatabase=Standby,Secondary!X641,Primary!X641)</f>
        <v>0</v>
      </c>
      <c r="Y641" s="12">
        <f>IF(ActiveDatabase=Standby,Secondary!Y641,Primary!Y641)</f>
        <v>0</v>
      </c>
      <c r="Z641" s="12">
        <f>IF(ActiveDatabase=Standby,Secondary!Z641,Primary!Z641)</f>
        <v>0</v>
      </c>
      <c r="AA641" s="7">
        <f>IF(ActiveDatabase=Standby,Secondary!AA641,Primary!AA641)</f>
        <v>0</v>
      </c>
      <c r="AB641" s="12"/>
      <c r="AC641" s="6"/>
      <c r="AD641" s="6"/>
      <c r="AE641" s="7"/>
      <c r="AF641" s="7"/>
      <c r="AG641" s="7"/>
      <c r="AH641" s="7"/>
      <c r="AI641" s="7"/>
      <c r="AJ641" s="7"/>
      <c r="AK641" s="7"/>
      <c r="AL641" s="7"/>
      <c r="AM641" s="7"/>
      <c r="AN641" s="7"/>
      <c r="AO641" s="6"/>
      <c r="AP641" s="7"/>
      <c r="AQ641" s="7"/>
      <c r="AR641" s="6"/>
      <c r="AS641" s="7"/>
      <c r="AT641" s="7"/>
      <c r="AU641" s="7"/>
      <c r="AV641" s="7"/>
      <c r="AW641" s="7"/>
      <c r="AX641" s="7"/>
      <c r="AY641" s="7"/>
      <c r="AZ641" s="7"/>
      <c r="BA641" s="7"/>
      <c r="BB641" s="7"/>
      <c r="BC641" s="7"/>
      <c r="BD641" s="7"/>
      <c r="BE641" s="7"/>
      <c r="BF641" s="7"/>
      <c r="BG641" s="7"/>
    </row>
    <row r="642" customHeight="1" spans="1:59">
      <c r="A642" s="9" t="str">
        <f>IF(ActiveDatabase=Standby,Secondary!A642,Primary!A642)</f>
        <v>Magda 11</v>
      </c>
      <c r="B642" s="5" t="str">
        <f>IF(ActiveDatabase=Standby,Secondary!B642,Primary!B642)</f>
        <v>Magda 14</v>
      </c>
      <c r="C642" s="5" t="str">
        <f>IF(ActiveDatabase=Standby,Secondary!C642,Primary!C642)</f>
        <v>Magda 42</v>
      </c>
      <c r="D642" s="5" t="str">
        <f>IF(ActiveDatabase=Standby,Secondary!D642,Primary!D642)</f>
        <v>Sand Cave 16K</v>
      </c>
      <c r="E642" s="6" t="str">
        <f>IF(ActiveDatabase=Standby,Secondary!E642,Primary!E642)</f>
        <v>SCave 16K</v>
      </c>
      <c r="F642" s="10">
        <f>IF(ActiveDatabase=Standby,Secondary!F642,Primary!F642)</f>
        <v>15.794360497</v>
      </c>
      <c r="G642" s="10">
        <f>IF(ActiveDatabase=Standby,Secondary!G642,Primary!G642)</f>
        <v>-324.733333654</v>
      </c>
      <c r="H642" s="10">
        <f>IF(ActiveDatabase=Standby,Secondary!H642,Primary!H642)</f>
        <v>-103.002587484</v>
      </c>
      <c r="I642" s="13">
        <f>IF(ActiveDatabase=Standby,Secondary!I642,Primary!I642)</f>
        <v>0</v>
      </c>
      <c r="J642" s="13">
        <f>IF(ActiveDatabase=Standby,Secondary!J642,Primary!J642)</f>
        <v>0</v>
      </c>
      <c r="K642" s="13">
        <f>IF(ActiveDatabase=Standby,Secondary!K642,Primary!K642)</f>
        <v>0</v>
      </c>
      <c r="L642" s="13">
        <f>IF(ActiveDatabase=Standby,Secondary!L642,Primary!L642)</f>
        <v>0</v>
      </c>
      <c r="M642" s="7" t="b">
        <f>IF(ActiveDatabase=Standby,Secondary!M642,Primary!M642)</f>
        <v>0</v>
      </c>
      <c r="N642" s="10">
        <f>IF(ActiveDatabase=Standby,Secondary!N642,Primary!N642)</f>
        <v>0</v>
      </c>
      <c r="O642" s="10">
        <f>IF(ActiveDatabase=Standby,Secondary!O642,Primary!O642)</f>
        <v>0</v>
      </c>
      <c r="P642" s="10">
        <f>IF(ActiveDatabase=Standby,Secondary!P642,Primary!P642)</f>
        <v>0</v>
      </c>
      <c r="Q642" s="6">
        <f>IF(ActiveDatabase=Standby,Secondary!Q642,Primary!Q642)</f>
        <v>0</v>
      </c>
      <c r="R642" s="18">
        <f>IF(ActiveDatabase=Standby,Secondary!R642,Primary!R642)</f>
        <v>0</v>
      </c>
      <c r="S642" s="19">
        <f>IF(ActiveDatabase=Standby,Secondary!S642,Primary!S642)</f>
        <v>0</v>
      </c>
      <c r="T642" s="10">
        <f>IF(ActiveDatabase=Standby,Secondary!T642,Primary!T642)</f>
        <v>0</v>
      </c>
      <c r="U642" s="10">
        <f>IF(ActiveDatabase=Standby,Secondary!U642,Primary!U642)</f>
        <v>0</v>
      </c>
      <c r="V642" s="10">
        <f>IF(ActiveDatabase=Standby,Secondary!V642,Primary!V642)</f>
        <v>0</v>
      </c>
      <c r="W642" s="6">
        <f>IF(ActiveDatabase=Standby,Secondary!W642,Primary!W642)</f>
        <v>0</v>
      </c>
      <c r="X642" s="6">
        <f>IF(ActiveDatabase=Standby,Secondary!X642,Primary!X642)</f>
        <v>0</v>
      </c>
      <c r="Y642" s="12">
        <f>IF(ActiveDatabase=Standby,Secondary!Y642,Primary!Y642)</f>
        <v>0</v>
      </c>
      <c r="Z642" s="12">
        <f>IF(ActiveDatabase=Standby,Secondary!Z642,Primary!Z642)</f>
        <v>0</v>
      </c>
      <c r="AA642" s="7">
        <f>IF(ActiveDatabase=Standby,Secondary!AA642,Primary!AA642)</f>
        <v>0</v>
      </c>
      <c r="AB642" s="12"/>
      <c r="AC642" s="6"/>
      <c r="AD642" s="6"/>
      <c r="AE642" s="7"/>
      <c r="AF642" s="7"/>
      <c r="AG642" s="7"/>
      <c r="AH642" s="7"/>
      <c r="AI642" s="7"/>
      <c r="AJ642" s="7"/>
      <c r="AK642" s="7"/>
      <c r="AL642" s="7"/>
      <c r="AM642" s="7"/>
      <c r="AN642" s="7"/>
      <c r="AO642" s="6"/>
      <c r="AP642" s="7"/>
      <c r="AQ642" s="7"/>
      <c r="AR642" s="6"/>
      <c r="AS642" s="7"/>
      <c r="AT642" s="7"/>
      <c r="AU642" s="7"/>
      <c r="AV642" s="7"/>
      <c r="AW642" s="7"/>
      <c r="AX642" s="7"/>
      <c r="AY642" s="7"/>
      <c r="AZ642" s="7"/>
      <c r="BA642" s="7"/>
      <c r="BB642" s="7"/>
      <c r="BC642" s="7"/>
      <c r="BD642" s="7"/>
      <c r="BE642" s="7"/>
      <c r="BF642" s="7"/>
      <c r="BG642" s="7"/>
    </row>
    <row r="643" customHeight="1" spans="1:59">
      <c r="A643" s="9" t="str">
        <f>IF(ActiveDatabase=Standby,Secondary!A643,Primary!A643)</f>
        <v>Magda 12</v>
      </c>
      <c r="B643" s="5" t="str">
        <f>IF(ActiveDatabase=Standby,Secondary!B643,Primary!B643)</f>
        <v>Magda 15</v>
      </c>
      <c r="C643" s="5" t="str">
        <f>IF(ActiveDatabase=Standby,Secondary!C643,Primary!C643)</f>
        <v>Magda 43</v>
      </c>
      <c r="D643" s="5" t="str">
        <f>IF(ActiveDatabase=Standby,Secondary!D643,Primary!D643)</f>
        <v>Sand Cave 16M</v>
      </c>
      <c r="E643" s="6" t="str">
        <f>IF(ActiveDatabase=Standby,Secondary!E643,Primary!E643)</f>
        <v>SCave 16M</v>
      </c>
      <c r="F643" s="10">
        <f>IF(ActiveDatabase=Standby,Secondary!F643,Primary!F643)</f>
        <v>4.628156264</v>
      </c>
      <c r="G643" s="10">
        <f>IF(ActiveDatabase=Standby,Secondary!G643,Primary!G643)</f>
        <v>-341.064784410999</v>
      </c>
      <c r="H643" s="10">
        <f>IF(ActiveDatabase=Standby,Secondary!H643,Primary!H643)</f>
        <v>-2.503968433</v>
      </c>
      <c r="I643" s="13">
        <f>IF(ActiveDatabase=Standby,Secondary!I643,Primary!I643)</f>
        <v>0</v>
      </c>
      <c r="J643" s="13">
        <f>IF(ActiveDatabase=Standby,Secondary!J643,Primary!J643)</f>
        <v>0</v>
      </c>
      <c r="K643" s="13">
        <f>IF(ActiveDatabase=Standby,Secondary!K643,Primary!K643)</f>
        <v>0</v>
      </c>
      <c r="L643" s="13">
        <f>IF(ActiveDatabase=Standby,Secondary!L643,Primary!L643)</f>
        <v>0</v>
      </c>
      <c r="M643" s="7" t="b">
        <f>IF(ActiveDatabase=Standby,Secondary!M643,Primary!M643)</f>
        <v>0</v>
      </c>
      <c r="N643" s="10">
        <f>IF(ActiveDatabase=Standby,Secondary!N643,Primary!N643)</f>
        <v>0</v>
      </c>
      <c r="O643" s="10">
        <f>IF(ActiveDatabase=Standby,Secondary!O643,Primary!O643)</f>
        <v>0</v>
      </c>
      <c r="P643" s="10">
        <f>IF(ActiveDatabase=Standby,Secondary!P643,Primary!P643)</f>
        <v>0</v>
      </c>
      <c r="Q643" s="6">
        <f>IF(ActiveDatabase=Standby,Secondary!Q643,Primary!Q643)</f>
        <v>0</v>
      </c>
      <c r="R643" s="18">
        <f>IF(ActiveDatabase=Standby,Secondary!R643,Primary!R643)</f>
        <v>0</v>
      </c>
      <c r="S643" s="19">
        <f>IF(ActiveDatabase=Standby,Secondary!S643,Primary!S643)</f>
        <v>0</v>
      </c>
      <c r="T643" s="10">
        <f>IF(ActiveDatabase=Standby,Secondary!T643,Primary!T643)</f>
        <v>0</v>
      </c>
      <c r="U643" s="10">
        <f>IF(ActiveDatabase=Standby,Secondary!U643,Primary!U643)</f>
        <v>0</v>
      </c>
      <c r="V643" s="10">
        <f>IF(ActiveDatabase=Standby,Secondary!V643,Primary!V643)</f>
        <v>0</v>
      </c>
      <c r="W643" s="6">
        <f>IF(ActiveDatabase=Standby,Secondary!W643,Primary!W643)</f>
        <v>0</v>
      </c>
      <c r="X643" s="6">
        <f>IF(ActiveDatabase=Standby,Secondary!X643,Primary!X643)</f>
        <v>0</v>
      </c>
      <c r="Y643" s="12">
        <f>IF(ActiveDatabase=Standby,Secondary!Y643,Primary!Y643)</f>
        <v>0</v>
      </c>
      <c r="Z643" s="12">
        <f>IF(ActiveDatabase=Standby,Secondary!Z643,Primary!Z643)</f>
        <v>0</v>
      </c>
      <c r="AA643" s="7">
        <f>IF(ActiveDatabase=Standby,Secondary!AA643,Primary!AA643)</f>
        <v>0</v>
      </c>
      <c r="AB643" s="12"/>
      <c r="AC643" s="6"/>
      <c r="AD643" s="6"/>
      <c r="AE643" s="7"/>
      <c r="AF643" s="7"/>
      <c r="AG643" s="7"/>
      <c r="AH643" s="7"/>
      <c r="AI643" s="7"/>
      <c r="AJ643" s="7"/>
      <c r="AK643" s="7"/>
      <c r="AL643" s="7"/>
      <c r="AM643" s="7"/>
      <c r="AN643" s="7"/>
      <c r="AO643" s="6"/>
      <c r="AP643" s="7"/>
      <c r="AQ643" s="7"/>
      <c r="AR643" s="6"/>
      <c r="AS643" s="7"/>
      <c r="AT643" s="7"/>
      <c r="AU643" s="7"/>
      <c r="AV643" s="7"/>
      <c r="AW643" s="7"/>
      <c r="AX643" s="7"/>
      <c r="AY643" s="7"/>
      <c r="AZ643" s="7"/>
      <c r="BA643" s="7"/>
      <c r="BB643" s="7"/>
      <c r="BC643" s="7"/>
      <c r="BD643" s="7"/>
      <c r="BE643" s="7"/>
      <c r="BF643" s="7"/>
      <c r="BG643" s="7"/>
    </row>
    <row r="644" customHeight="1" spans="1:59">
      <c r="A644" s="9" t="str">
        <f>IF(ActiveDatabase=Standby,Secondary!A644,Primary!A644)</f>
        <v>Magda 13</v>
      </c>
      <c r="B644" s="5" t="str">
        <f>IF(ActiveDatabase=Standby,Secondary!B644,Primary!B644)</f>
        <v>Magda 16</v>
      </c>
      <c r="C644" s="5" t="str">
        <f>IF(ActiveDatabase=Standby,Secondary!C644,Primary!C644)</f>
        <v>Magda 41</v>
      </c>
      <c r="D644" s="5" t="str">
        <f>IF(ActiveDatabase=Standby,Secondary!D644,Primary!D644)</f>
        <v>Sand Cave 17Q</v>
      </c>
      <c r="E644" s="6" t="str">
        <f>IF(ActiveDatabase=Standby,Secondary!E644,Primary!E644)</f>
        <v>SCave 17Q</v>
      </c>
      <c r="F644" s="10">
        <f>IF(ActiveDatabase=Standby,Secondary!F644,Primary!F644)</f>
        <v>61.39611467</v>
      </c>
      <c r="G644" s="10">
        <f>IF(ActiveDatabase=Standby,Secondary!G644,Primary!G644)</f>
        <v>-308.035902886</v>
      </c>
      <c r="H644" s="10">
        <f>IF(ActiveDatabase=Standby,Secondary!H644,Primary!H644)</f>
        <v>132.850799040999</v>
      </c>
      <c r="I644" s="13">
        <f>IF(ActiveDatabase=Standby,Secondary!I644,Primary!I644)</f>
        <v>0</v>
      </c>
      <c r="J644" s="13">
        <f>IF(ActiveDatabase=Standby,Secondary!J644,Primary!J644)</f>
        <v>0</v>
      </c>
      <c r="K644" s="13">
        <f>IF(ActiveDatabase=Standby,Secondary!K644,Primary!K644)</f>
        <v>0</v>
      </c>
      <c r="L644" s="13">
        <f>IF(ActiveDatabase=Standby,Secondary!L644,Primary!L644)</f>
        <v>0</v>
      </c>
      <c r="M644" s="7" t="b">
        <f>IF(ActiveDatabase=Standby,Secondary!M644,Primary!M644)</f>
        <v>0</v>
      </c>
      <c r="N644" s="10">
        <f>IF(ActiveDatabase=Standby,Secondary!N644,Primary!N644)</f>
        <v>0</v>
      </c>
      <c r="O644" s="10">
        <f>IF(ActiveDatabase=Standby,Secondary!O644,Primary!O644)</f>
        <v>0</v>
      </c>
      <c r="P644" s="10">
        <f>IF(ActiveDatabase=Standby,Secondary!P644,Primary!P644)</f>
        <v>0</v>
      </c>
      <c r="Q644" s="6">
        <f>IF(ActiveDatabase=Standby,Secondary!Q644,Primary!Q644)</f>
        <v>0</v>
      </c>
      <c r="R644" s="18">
        <f>IF(ActiveDatabase=Standby,Secondary!R644,Primary!R644)</f>
        <v>0</v>
      </c>
      <c r="S644" s="19">
        <f>IF(ActiveDatabase=Standby,Secondary!S644,Primary!S644)</f>
        <v>0</v>
      </c>
      <c r="T644" s="10">
        <f>IF(ActiveDatabase=Standby,Secondary!T644,Primary!T644)</f>
        <v>0</v>
      </c>
      <c r="U644" s="10">
        <f>IF(ActiveDatabase=Standby,Secondary!U644,Primary!U644)</f>
        <v>0</v>
      </c>
      <c r="V644" s="10">
        <f>IF(ActiveDatabase=Standby,Secondary!V644,Primary!V644)</f>
        <v>0</v>
      </c>
      <c r="W644" s="6">
        <f>IF(ActiveDatabase=Standby,Secondary!W644,Primary!W644)</f>
        <v>0</v>
      </c>
      <c r="X644" s="6">
        <f>IF(ActiveDatabase=Standby,Secondary!X644,Primary!X644)</f>
        <v>0</v>
      </c>
      <c r="Y644" s="12">
        <f>IF(ActiveDatabase=Standby,Secondary!Y644,Primary!Y644)</f>
        <v>0</v>
      </c>
      <c r="Z644" s="12">
        <f>IF(ActiveDatabase=Standby,Secondary!Z644,Primary!Z644)</f>
        <v>0</v>
      </c>
      <c r="AA644" s="7">
        <f>IF(ActiveDatabase=Standby,Secondary!AA644,Primary!AA644)</f>
        <v>0</v>
      </c>
      <c r="AB644" s="12"/>
      <c r="AC644" s="6"/>
      <c r="AD644" s="6"/>
      <c r="AE644" s="7"/>
      <c r="AF644" s="7"/>
      <c r="AG644" s="7"/>
      <c r="AH644" s="7"/>
      <c r="AI644" s="7"/>
      <c r="AJ644" s="7"/>
      <c r="AK644" s="7"/>
      <c r="AL644" s="7"/>
      <c r="AM644" s="7"/>
      <c r="AN644" s="7"/>
      <c r="AO644" s="6"/>
      <c r="AP644" s="7"/>
      <c r="AQ644" s="7"/>
      <c r="AR644" s="6"/>
      <c r="AS644" s="7"/>
      <c r="AT644" s="7"/>
      <c r="AU644" s="7"/>
      <c r="AV644" s="7"/>
      <c r="AW644" s="7"/>
      <c r="AX644" s="7"/>
      <c r="AY644" s="7"/>
      <c r="AZ644" s="7"/>
      <c r="BA644" s="7"/>
      <c r="BB644" s="7"/>
      <c r="BC644" s="7"/>
      <c r="BD644" s="7"/>
      <c r="BE644" s="7"/>
      <c r="BF644" s="7"/>
      <c r="BG644" s="7"/>
    </row>
    <row r="645" customHeight="1" spans="1:59">
      <c r="A645" s="9" t="str">
        <f>IF(ActiveDatabase=Standby,Secondary!A645,Primary!A645)</f>
        <v>Magda 27</v>
      </c>
      <c r="B645" s="5" t="str">
        <f>IF(ActiveDatabase=Standby,Secondary!B645,Primary!B645)</f>
        <v>Magda 30</v>
      </c>
      <c r="C645" s="5" t="str">
        <f>IF(ActiveDatabase=Standby,Secondary!C645,Primary!C645)</f>
        <v>Magda 24</v>
      </c>
      <c r="D645" s="5" t="str">
        <f>IF(ActiveDatabase=Standby,Secondary!D645,Primary!D645)</f>
        <v>Sand Cave 36R</v>
      </c>
      <c r="E645" s="6" t="str">
        <f>IF(ActiveDatabase=Standby,Secondary!E645,Primary!E645)</f>
        <v>SCave 36R</v>
      </c>
      <c r="F645" s="10">
        <f>IF(ActiveDatabase=Standby,Secondary!F645,Primary!F645)</f>
        <v>250.097576582</v>
      </c>
      <c r="G645" s="10">
        <f>IF(ActiveDatabase=Standby,Secondary!G645,Primary!G645)</f>
        <v>176.884149874</v>
      </c>
      <c r="H645" s="10">
        <f>IF(ActiveDatabase=Standby,Secondary!H645,Primary!H645)</f>
        <v>150.369856696</v>
      </c>
      <c r="I645" s="13">
        <f>IF(ActiveDatabase=Standby,Secondary!I645,Primary!I645)</f>
        <v>0</v>
      </c>
      <c r="J645" s="13">
        <f>IF(ActiveDatabase=Standby,Secondary!J645,Primary!J645)</f>
        <v>0</v>
      </c>
      <c r="K645" s="13">
        <f>IF(ActiveDatabase=Standby,Secondary!K645,Primary!K645)</f>
        <v>0</v>
      </c>
      <c r="L645" s="13">
        <f>IF(ActiveDatabase=Standby,Secondary!L645,Primary!L645)</f>
        <v>0</v>
      </c>
      <c r="M645" s="7" t="b">
        <f>IF(ActiveDatabase=Standby,Secondary!M645,Primary!M645)</f>
        <v>0</v>
      </c>
      <c r="N645" s="10">
        <f>IF(ActiveDatabase=Standby,Secondary!N645,Primary!N645)</f>
        <v>0</v>
      </c>
      <c r="O645" s="10">
        <f>IF(ActiveDatabase=Standby,Secondary!O645,Primary!O645)</f>
        <v>0</v>
      </c>
      <c r="P645" s="10">
        <f>IF(ActiveDatabase=Standby,Secondary!P645,Primary!P645)</f>
        <v>0</v>
      </c>
      <c r="Q645" s="6">
        <f>IF(ActiveDatabase=Standby,Secondary!Q645,Primary!Q645)</f>
        <v>0</v>
      </c>
      <c r="R645" s="18">
        <f>IF(ActiveDatabase=Standby,Secondary!R645,Primary!R645)</f>
        <v>0</v>
      </c>
      <c r="S645" s="19">
        <f>IF(ActiveDatabase=Standby,Secondary!S645,Primary!S645)</f>
        <v>0</v>
      </c>
      <c r="T645" s="10">
        <f>IF(ActiveDatabase=Standby,Secondary!T645,Primary!T645)</f>
        <v>0</v>
      </c>
      <c r="U645" s="10">
        <f>IF(ActiveDatabase=Standby,Secondary!U645,Primary!U645)</f>
        <v>0</v>
      </c>
      <c r="V645" s="10">
        <f>IF(ActiveDatabase=Standby,Secondary!V645,Primary!V645)</f>
        <v>0</v>
      </c>
      <c r="W645" s="6">
        <f>IF(ActiveDatabase=Standby,Secondary!W645,Primary!W645)</f>
        <v>0</v>
      </c>
      <c r="X645" s="6">
        <f>IF(ActiveDatabase=Standby,Secondary!X645,Primary!X645)</f>
        <v>0</v>
      </c>
      <c r="Y645" s="12">
        <f>IF(ActiveDatabase=Standby,Secondary!Y645,Primary!Y645)</f>
        <v>0</v>
      </c>
      <c r="Z645" s="12">
        <f>IF(ActiveDatabase=Standby,Secondary!Z645,Primary!Z645)</f>
        <v>0</v>
      </c>
      <c r="AA645" s="7">
        <f>IF(ActiveDatabase=Standby,Secondary!AA645,Primary!AA645)</f>
        <v>0</v>
      </c>
      <c r="AB645" s="12"/>
      <c r="AC645" s="6"/>
      <c r="AD645" s="6"/>
      <c r="AE645" s="7"/>
      <c r="AF645" s="7"/>
      <c r="AG645" s="7"/>
      <c r="AH645" s="7"/>
      <c r="AI645" s="7"/>
      <c r="AJ645" s="7"/>
      <c r="AK645" s="7"/>
      <c r="AL645" s="7"/>
      <c r="AM645" s="7"/>
      <c r="AN645" s="7"/>
      <c r="AO645" s="6"/>
      <c r="AP645" s="7"/>
      <c r="AQ645" s="7"/>
      <c r="AR645" s="6"/>
      <c r="AS645" s="7"/>
      <c r="AT645" s="7"/>
      <c r="AU645" s="7"/>
      <c r="AV645" s="7"/>
      <c r="AW645" s="7"/>
      <c r="AX645" s="7"/>
      <c r="AY645" s="7"/>
      <c r="AZ645" s="7"/>
      <c r="BA645" s="7"/>
      <c r="BB645" s="7"/>
      <c r="BC645" s="7"/>
      <c r="BD645" s="7"/>
      <c r="BE645" s="7"/>
      <c r="BF645" s="7"/>
      <c r="BG645" s="7"/>
    </row>
    <row r="646" customHeight="1" spans="1:59">
      <c r="A646" s="9" t="str">
        <f>IF(ActiveDatabase=Standby,Secondary!A646,Primary!A646)</f>
        <v>Magda 28</v>
      </c>
      <c r="B646" s="5" t="str">
        <f>IF(ActiveDatabase=Standby,Secondary!B646,Primary!B646)</f>
        <v>Magda 31</v>
      </c>
      <c r="C646" s="5" t="str">
        <f>IF(ActiveDatabase=Standby,Secondary!C646,Primary!C646)</f>
        <v>Magda 22</v>
      </c>
      <c r="D646" s="5" t="str">
        <f>IF(ActiveDatabase=Standby,Secondary!D646,Primary!D646)</f>
        <v>Sand Cave 43P</v>
      </c>
      <c r="E646" s="6" t="str">
        <f>IF(ActiveDatabase=Standby,Secondary!E646,Primary!E646)</f>
        <v>SCave 43P</v>
      </c>
      <c r="F646" s="10">
        <f>IF(ActiveDatabase=Standby,Secondary!F646,Primary!F646)</f>
        <v>90.864068077</v>
      </c>
      <c r="G646" s="10">
        <f>IF(ActiveDatabase=Standby,Secondary!G646,Primary!G646)</f>
        <v>318.981595924</v>
      </c>
      <c r="H646" s="10">
        <f>IF(ActiveDatabase=Standby,Secondary!H646,Primary!H646)</f>
        <v>79.913883088</v>
      </c>
      <c r="I646" s="13">
        <f>IF(ActiveDatabase=Standby,Secondary!I646,Primary!I646)</f>
        <v>0</v>
      </c>
      <c r="J646" s="13">
        <f>IF(ActiveDatabase=Standby,Secondary!J646,Primary!J646)</f>
        <v>0</v>
      </c>
      <c r="K646" s="13">
        <f>IF(ActiveDatabase=Standby,Secondary!K646,Primary!K646)</f>
        <v>0</v>
      </c>
      <c r="L646" s="13">
        <f>IF(ActiveDatabase=Standby,Secondary!L646,Primary!L646)</f>
        <v>0</v>
      </c>
      <c r="M646" s="7" t="b">
        <f>IF(ActiveDatabase=Standby,Secondary!M646,Primary!M646)</f>
        <v>0</v>
      </c>
      <c r="N646" s="10">
        <f>IF(ActiveDatabase=Standby,Secondary!N646,Primary!N646)</f>
        <v>0</v>
      </c>
      <c r="O646" s="10">
        <f>IF(ActiveDatabase=Standby,Secondary!O646,Primary!O646)</f>
        <v>0</v>
      </c>
      <c r="P646" s="10">
        <f>IF(ActiveDatabase=Standby,Secondary!P646,Primary!P646)</f>
        <v>0</v>
      </c>
      <c r="Q646" s="6">
        <f>IF(ActiveDatabase=Standby,Secondary!Q646,Primary!Q646)</f>
        <v>0</v>
      </c>
      <c r="R646" s="18">
        <f>IF(ActiveDatabase=Standby,Secondary!R646,Primary!R646)</f>
        <v>0</v>
      </c>
      <c r="S646" s="19">
        <f>IF(ActiveDatabase=Standby,Secondary!S646,Primary!S646)</f>
        <v>0</v>
      </c>
      <c r="T646" s="10">
        <f>IF(ActiveDatabase=Standby,Secondary!T646,Primary!T646)</f>
        <v>0</v>
      </c>
      <c r="U646" s="10">
        <f>IF(ActiveDatabase=Standby,Secondary!U646,Primary!U646)</f>
        <v>0</v>
      </c>
      <c r="V646" s="10">
        <f>IF(ActiveDatabase=Standby,Secondary!V646,Primary!V646)</f>
        <v>0</v>
      </c>
      <c r="W646" s="6">
        <f>IF(ActiveDatabase=Standby,Secondary!W646,Primary!W646)</f>
        <v>0</v>
      </c>
      <c r="X646" s="6">
        <f>IF(ActiveDatabase=Standby,Secondary!X646,Primary!X646)</f>
        <v>0</v>
      </c>
      <c r="Y646" s="12">
        <f>IF(ActiveDatabase=Standby,Secondary!Y646,Primary!Y646)</f>
        <v>0</v>
      </c>
      <c r="Z646" s="12">
        <f>IF(ActiveDatabase=Standby,Secondary!Z646,Primary!Z646)</f>
        <v>0</v>
      </c>
      <c r="AA646" s="7">
        <f>IF(ActiveDatabase=Standby,Secondary!AA646,Primary!AA646)</f>
        <v>0</v>
      </c>
      <c r="AB646" s="12"/>
      <c r="AC646" s="6"/>
      <c r="AD646" s="6"/>
      <c r="AE646" s="7"/>
      <c r="AF646" s="7"/>
      <c r="AG646" s="7"/>
      <c r="AH646" s="7"/>
      <c r="AI646" s="7"/>
      <c r="AJ646" s="7"/>
      <c r="AK646" s="7"/>
      <c r="AL646" s="7"/>
      <c r="AM646" s="7"/>
      <c r="AN646" s="7"/>
      <c r="AO646" s="6"/>
      <c r="AP646" s="7"/>
      <c r="AQ646" s="7"/>
      <c r="AR646" s="6"/>
      <c r="AS646" s="7"/>
      <c r="AT646" s="7"/>
      <c r="AU646" s="7"/>
      <c r="AV646" s="7"/>
      <c r="AW646" s="7"/>
      <c r="AX646" s="7"/>
      <c r="AY646" s="7"/>
      <c r="AZ646" s="7"/>
      <c r="BA646" s="7"/>
      <c r="BB646" s="7"/>
      <c r="BC646" s="7"/>
      <c r="BD646" s="7"/>
      <c r="BE646" s="7"/>
      <c r="BF646" s="7"/>
      <c r="BG646" s="7"/>
    </row>
    <row r="647" customHeight="1" spans="1:59">
      <c r="A647" s="9" t="str">
        <f>IF(ActiveDatabase=Standby,Secondary!A647,Primary!A647)</f>
        <v>Magda 44</v>
      </c>
      <c r="B647" s="5" t="str">
        <f>IF(ActiveDatabase=Standby,Secondary!B647,Primary!B647)</f>
        <v>Magda 47</v>
      </c>
      <c r="C647" s="5" t="str">
        <f>IF(ActiveDatabase=Standby,Secondary!C647,Primary!C647)</f>
        <v>Magda 03</v>
      </c>
      <c r="D647" s="5" t="str">
        <f>IF(ActiveDatabase=Standby,Secondary!D647,Primary!D647)</f>
        <v>Sand Cave 57P</v>
      </c>
      <c r="E647" s="6" t="str">
        <f>IF(ActiveDatabase=Standby,Secondary!E647,Primary!E647)</f>
        <v>SCave 57P</v>
      </c>
      <c r="F647" s="10">
        <f>IF(ActiveDatabase=Standby,Secondary!F647,Primary!F647)</f>
        <v>-312.569947294</v>
      </c>
      <c r="G647" s="10">
        <f>IF(ActiveDatabase=Standby,Secondary!G647,Primary!G647)</f>
        <v>125.521328431999</v>
      </c>
      <c r="H647" s="10">
        <f>IF(ActiveDatabase=Standby,Secondary!H647,Primary!H647)</f>
        <v>54.650402131</v>
      </c>
      <c r="I647" s="13">
        <f>IF(ActiveDatabase=Standby,Secondary!I647,Primary!I647)</f>
        <v>0</v>
      </c>
      <c r="J647" s="13">
        <f>IF(ActiveDatabase=Standby,Secondary!J647,Primary!J647)</f>
        <v>0</v>
      </c>
      <c r="K647" s="13">
        <f>IF(ActiveDatabase=Standby,Secondary!K647,Primary!K647)</f>
        <v>0</v>
      </c>
      <c r="L647" s="13">
        <f>IF(ActiveDatabase=Standby,Secondary!L647,Primary!L647)</f>
        <v>0</v>
      </c>
      <c r="M647" s="7" t="b">
        <f>IF(ActiveDatabase=Standby,Secondary!M647,Primary!M647)</f>
        <v>0</v>
      </c>
      <c r="N647" s="10">
        <f>IF(ActiveDatabase=Standby,Secondary!N647,Primary!N647)</f>
        <v>0</v>
      </c>
      <c r="O647" s="10">
        <f>IF(ActiveDatabase=Standby,Secondary!O647,Primary!O647)</f>
        <v>0</v>
      </c>
      <c r="P647" s="10">
        <f>IF(ActiveDatabase=Standby,Secondary!P647,Primary!P647)</f>
        <v>0</v>
      </c>
      <c r="Q647" s="6">
        <f>IF(ActiveDatabase=Standby,Secondary!Q647,Primary!Q647)</f>
        <v>0</v>
      </c>
      <c r="R647" s="18">
        <f>IF(ActiveDatabase=Standby,Secondary!R647,Primary!R647)</f>
        <v>0</v>
      </c>
      <c r="S647" s="19">
        <f>IF(ActiveDatabase=Standby,Secondary!S647,Primary!S647)</f>
        <v>0</v>
      </c>
      <c r="T647" s="10">
        <f>IF(ActiveDatabase=Standby,Secondary!T647,Primary!T647)</f>
        <v>0</v>
      </c>
      <c r="U647" s="10">
        <f>IF(ActiveDatabase=Standby,Secondary!U647,Primary!U647)</f>
        <v>0</v>
      </c>
      <c r="V647" s="10">
        <f>IF(ActiveDatabase=Standby,Secondary!V647,Primary!V647)</f>
        <v>0</v>
      </c>
      <c r="W647" s="6">
        <f>IF(ActiveDatabase=Standby,Secondary!W647,Primary!W647)</f>
        <v>0</v>
      </c>
      <c r="X647" s="6">
        <f>IF(ActiveDatabase=Standby,Secondary!X647,Primary!X647)</f>
        <v>0</v>
      </c>
      <c r="Y647" s="12">
        <f>IF(ActiveDatabase=Standby,Secondary!Y647,Primary!Y647)</f>
        <v>0</v>
      </c>
      <c r="Z647" s="12">
        <f>IF(ActiveDatabase=Standby,Secondary!Z647,Primary!Z647)</f>
        <v>0</v>
      </c>
      <c r="AA647" s="7">
        <f>IF(ActiveDatabase=Standby,Secondary!AA647,Primary!AA647)</f>
        <v>0</v>
      </c>
      <c r="AB647" s="12"/>
      <c r="AC647" s="6"/>
      <c r="AD647" s="6"/>
      <c r="AE647" s="7"/>
      <c r="AF647" s="7"/>
      <c r="AG647" s="7"/>
      <c r="AH647" s="7"/>
      <c r="AI647" s="7"/>
      <c r="AJ647" s="7"/>
      <c r="AK647" s="7"/>
      <c r="AL647" s="7"/>
      <c r="AM647" s="7"/>
      <c r="AN647" s="7"/>
      <c r="AO647" s="6"/>
      <c r="AP647" s="7"/>
      <c r="AQ647" s="7"/>
      <c r="AR647" s="6"/>
      <c r="AS647" s="7"/>
      <c r="AT647" s="7"/>
      <c r="AU647" s="7"/>
      <c r="AV647" s="7"/>
      <c r="AW647" s="7"/>
      <c r="AX647" s="7"/>
      <c r="AY647" s="7"/>
      <c r="AZ647" s="7"/>
      <c r="BA647" s="7"/>
      <c r="BB647" s="7"/>
      <c r="BC647" s="7"/>
      <c r="BD647" s="7"/>
      <c r="BE647" s="7"/>
      <c r="BF647" s="7"/>
      <c r="BG647" s="7"/>
    </row>
    <row r="648" customHeight="1" spans="1:59">
      <c r="A648" s="9" t="str">
        <f>IF(ActiveDatabase=Standby,Secondary!A648,Primary!A648)</f>
        <v>Magda 16</v>
      </c>
      <c r="B648" s="5" t="str">
        <f>IF(ActiveDatabase=Standby,Secondary!B648,Primary!B648)</f>
        <v>Magda 19</v>
      </c>
      <c r="C648" s="5" t="str">
        <f>IF(ActiveDatabase=Standby,Secondary!C648,Primary!C648)</f>
        <v>Magda 38</v>
      </c>
      <c r="D648" s="5" t="str">
        <f>IF(ActiveDatabase=Standby,Secondary!D648,Primary!D648)</f>
        <v>Sand Cave 21R</v>
      </c>
      <c r="E648" s="6" t="str">
        <f>IF(ActiveDatabase=Standby,Secondary!E648,Primary!E648)</f>
        <v>SCave 21R</v>
      </c>
      <c r="F648" s="10">
        <f>IF(ActiveDatabase=Standby,Secondary!F648,Primary!F648)</f>
        <v>160.170224323</v>
      </c>
      <c r="G648" s="10">
        <f>IF(ActiveDatabase=Standby,Secondary!G648,Primary!G648)</f>
        <v>-254.642820612</v>
      </c>
      <c r="H648" s="10">
        <f>IF(ActiveDatabase=Standby,Secondary!H648,Primary!H648)</f>
        <v>160.223743997999</v>
      </c>
      <c r="I648" s="13">
        <f>IF(ActiveDatabase=Standby,Secondary!I648,Primary!I648)</f>
        <v>0</v>
      </c>
      <c r="J648" s="13">
        <f>IF(ActiveDatabase=Standby,Secondary!J648,Primary!J648)</f>
        <v>0</v>
      </c>
      <c r="K648" s="13">
        <f>IF(ActiveDatabase=Standby,Secondary!K648,Primary!K648)</f>
        <v>0</v>
      </c>
      <c r="L648" s="13">
        <f>IF(ActiveDatabase=Standby,Secondary!L648,Primary!L648)</f>
        <v>0</v>
      </c>
      <c r="M648" s="7" t="b">
        <f>IF(ActiveDatabase=Standby,Secondary!M648,Primary!M648)</f>
        <v>0</v>
      </c>
      <c r="N648" s="10">
        <f>IF(ActiveDatabase=Standby,Secondary!N648,Primary!N648)</f>
        <v>0</v>
      </c>
      <c r="O648" s="10">
        <f>IF(ActiveDatabase=Standby,Secondary!O648,Primary!O648)</f>
        <v>0</v>
      </c>
      <c r="P648" s="10">
        <f>IF(ActiveDatabase=Standby,Secondary!P648,Primary!P648)</f>
        <v>0</v>
      </c>
      <c r="Q648" s="6">
        <f>IF(ActiveDatabase=Standby,Secondary!Q648,Primary!Q648)</f>
        <v>0</v>
      </c>
      <c r="R648" s="18">
        <f>IF(ActiveDatabase=Standby,Secondary!R648,Primary!R648)</f>
        <v>0</v>
      </c>
      <c r="S648" s="19">
        <f>IF(ActiveDatabase=Standby,Secondary!S648,Primary!S648)</f>
        <v>0</v>
      </c>
      <c r="T648" s="10">
        <f>IF(ActiveDatabase=Standby,Secondary!T648,Primary!T648)</f>
        <v>0</v>
      </c>
      <c r="U648" s="10">
        <f>IF(ActiveDatabase=Standby,Secondary!U648,Primary!U648)</f>
        <v>0</v>
      </c>
      <c r="V648" s="10">
        <f>IF(ActiveDatabase=Standby,Secondary!V648,Primary!V648)</f>
        <v>0</v>
      </c>
      <c r="W648" s="6">
        <f>IF(ActiveDatabase=Standby,Secondary!W648,Primary!W648)</f>
        <v>0</v>
      </c>
      <c r="X648" s="6">
        <f>IF(ActiveDatabase=Standby,Secondary!X648,Primary!X648)</f>
        <v>0</v>
      </c>
      <c r="Y648" s="12">
        <f>IF(ActiveDatabase=Standby,Secondary!Y648,Primary!Y648)</f>
        <v>0</v>
      </c>
      <c r="Z648" s="12">
        <f>IF(ActiveDatabase=Standby,Secondary!Z648,Primary!Z648)</f>
        <v>0</v>
      </c>
      <c r="AA648" s="7">
        <f>IF(ActiveDatabase=Standby,Secondary!AA648,Primary!AA648)</f>
        <v>0</v>
      </c>
      <c r="AB648" s="12"/>
      <c r="AC648" s="6"/>
      <c r="AD648" s="6"/>
      <c r="AE648" s="7"/>
      <c r="AF648" s="7"/>
      <c r="AG648" s="7"/>
      <c r="AH648" s="7"/>
      <c r="AI648" s="7"/>
      <c r="AJ648" s="7"/>
      <c r="AK648" s="7"/>
      <c r="AL648" s="7"/>
      <c r="AM648" s="7"/>
      <c r="AN648" s="7"/>
      <c r="AO648" s="6"/>
      <c r="AP648" s="7"/>
      <c r="AQ648" s="7"/>
      <c r="AR648" s="6"/>
      <c r="AS648" s="7"/>
      <c r="AT648" s="7"/>
      <c r="AU648" s="7"/>
      <c r="AV648" s="7"/>
      <c r="AW648" s="7"/>
      <c r="AX648" s="7"/>
      <c r="AY648" s="7"/>
      <c r="AZ648" s="7"/>
      <c r="BA648" s="7"/>
      <c r="BB648" s="7"/>
      <c r="BC648" s="7"/>
      <c r="BD648" s="7"/>
      <c r="BE648" s="7"/>
      <c r="BF648" s="7"/>
      <c r="BG648" s="7"/>
    </row>
    <row r="649" customHeight="1" spans="1:59">
      <c r="A649" s="9" t="str">
        <f>IF(ActiveDatabase=Standby,Secondary!A649,Primary!A649)</f>
        <v>Magda 17</v>
      </c>
      <c r="B649" s="5" t="str">
        <f>IF(ActiveDatabase=Standby,Secondary!B649,Primary!B649)</f>
        <v>Magda 20</v>
      </c>
      <c r="C649" s="5" t="str">
        <f>IF(ActiveDatabase=Standby,Secondary!C649,Primary!C649)</f>
        <v>Magda 37</v>
      </c>
      <c r="D649" s="5" t="str">
        <f>IF(ActiveDatabase=Standby,Secondary!D649,Primary!D649)</f>
        <v>Sand Cave 23E</v>
      </c>
      <c r="E649" s="6" t="str">
        <f>IF(ActiveDatabase=Standby,Secondary!E649,Primary!E649)</f>
        <v>SCave 23E</v>
      </c>
      <c r="F649" s="10">
        <f>IF(ActiveDatabase=Standby,Secondary!F649,Primary!F649)</f>
        <v>130.791772526</v>
      </c>
      <c r="G649" s="10">
        <f>IF(ActiveDatabase=Standby,Secondary!G649,Primary!G649)</f>
        <v>-136.815347255</v>
      </c>
      <c r="H649" s="10">
        <f>IF(ActiveDatabase=Standby,Secondary!H649,Primary!H649)</f>
        <v>-283.682960979999</v>
      </c>
      <c r="I649" s="13">
        <f>IF(ActiveDatabase=Standby,Secondary!I649,Primary!I649)</f>
        <v>0</v>
      </c>
      <c r="J649" s="13">
        <f>IF(ActiveDatabase=Standby,Secondary!J649,Primary!J649)</f>
        <v>0</v>
      </c>
      <c r="K649" s="13">
        <f>IF(ActiveDatabase=Standby,Secondary!K649,Primary!K649)</f>
        <v>0</v>
      </c>
      <c r="L649" s="13">
        <f>IF(ActiveDatabase=Standby,Secondary!L649,Primary!L649)</f>
        <v>0</v>
      </c>
      <c r="M649" s="7" t="b">
        <f>IF(ActiveDatabase=Standby,Secondary!M649,Primary!M649)</f>
        <v>0</v>
      </c>
      <c r="N649" s="10">
        <f>IF(ActiveDatabase=Standby,Secondary!N649,Primary!N649)</f>
        <v>0</v>
      </c>
      <c r="O649" s="10">
        <f>IF(ActiveDatabase=Standby,Secondary!O649,Primary!O649)</f>
        <v>0</v>
      </c>
      <c r="P649" s="10">
        <f>IF(ActiveDatabase=Standby,Secondary!P649,Primary!P649)</f>
        <v>0</v>
      </c>
      <c r="Q649" s="6">
        <f>IF(ActiveDatabase=Standby,Secondary!Q649,Primary!Q649)</f>
        <v>0</v>
      </c>
      <c r="R649" s="18">
        <f>IF(ActiveDatabase=Standby,Secondary!R649,Primary!R649)</f>
        <v>0</v>
      </c>
      <c r="S649" s="19">
        <f>IF(ActiveDatabase=Standby,Secondary!S649,Primary!S649)</f>
        <v>0</v>
      </c>
      <c r="T649" s="10">
        <f>IF(ActiveDatabase=Standby,Secondary!T649,Primary!T649)</f>
        <v>0</v>
      </c>
      <c r="U649" s="10">
        <f>IF(ActiveDatabase=Standby,Secondary!U649,Primary!U649)</f>
        <v>0</v>
      </c>
      <c r="V649" s="10">
        <f>IF(ActiveDatabase=Standby,Secondary!V649,Primary!V649)</f>
        <v>0</v>
      </c>
      <c r="W649" s="6">
        <f>IF(ActiveDatabase=Standby,Secondary!W649,Primary!W649)</f>
        <v>0</v>
      </c>
      <c r="X649" s="6">
        <f>IF(ActiveDatabase=Standby,Secondary!X649,Primary!X649)</f>
        <v>0</v>
      </c>
      <c r="Y649" s="12">
        <f>IF(ActiveDatabase=Standby,Secondary!Y649,Primary!Y649)</f>
        <v>0</v>
      </c>
      <c r="Z649" s="12">
        <f>IF(ActiveDatabase=Standby,Secondary!Z649,Primary!Z649)</f>
        <v>0</v>
      </c>
      <c r="AA649" s="7">
        <f>IF(ActiveDatabase=Standby,Secondary!AA649,Primary!AA649)</f>
        <v>0</v>
      </c>
      <c r="AB649" s="12"/>
      <c r="AC649" s="6"/>
      <c r="AD649" s="6"/>
      <c r="AE649" s="7"/>
      <c r="AF649" s="7"/>
      <c r="AG649" s="7"/>
      <c r="AH649" s="7"/>
      <c r="AI649" s="7"/>
      <c r="AJ649" s="7"/>
      <c r="AK649" s="7"/>
      <c r="AL649" s="7"/>
      <c r="AM649" s="7"/>
      <c r="AN649" s="7"/>
      <c r="AO649" s="6"/>
      <c r="AP649" s="7"/>
      <c r="AQ649" s="7"/>
      <c r="AR649" s="6"/>
      <c r="AS649" s="7"/>
      <c r="AT649" s="7"/>
      <c r="AU649" s="7"/>
      <c r="AV649" s="7"/>
      <c r="AW649" s="7"/>
      <c r="AX649" s="7"/>
      <c r="AY649" s="7"/>
      <c r="AZ649" s="7"/>
      <c r="BA649" s="7"/>
      <c r="BB649" s="7"/>
      <c r="BC649" s="7"/>
      <c r="BD649" s="7"/>
      <c r="BE649" s="7"/>
      <c r="BF649" s="7"/>
      <c r="BG649" s="7"/>
    </row>
    <row r="650" customHeight="1" spans="1:59">
      <c r="A650" s="9" t="str">
        <f>IF(ActiveDatabase=Standby,Secondary!A650,Primary!A650)</f>
        <v>Magda 07</v>
      </c>
      <c r="B650" s="5" t="str">
        <f>IF(ActiveDatabase=Standby,Secondary!B650,Primary!B650)</f>
        <v>Magda 10</v>
      </c>
      <c r="C650" s="5" t="str">
        <f>IF(ActiveDatabase=Standby,Secondary!C650,Primary!C650)</f>
        <v>Magda 53</v>
      </c>
      <c r="D650" s="5" t="str">
        <f>IF(ActiveDatabase=Standby,Secondary!D650,Primary!D650)</f>
        <v>Sand Cave 01V</v>
      </c>
      <c r="E650" s="6" t="str">
        <f>IF(ActiveDatabase=Standby,Secondary!E650,Primary!E650)</f>
        <v>SCave 01V</v>
      </c>
      <c r="F650" s="10">
        <f>IF(ActiveDatabase=Standby,Secondary!F650,Primary!F650)</f>
        <v>-169.421950351</v>
      </c>
      <c r="G650" s="10">
        <f>IF(ActiveDatabase=Standby,Secondary!G650,Primary!G650)</f>
        <v>-9.72948166499999</v>
      </c>
      <c r="H650" s="10">
        <f>IF(ActiveDatabase=Standby,Secondary!H650,Primary!H650)</f>
        <v>295.755307564</v>
      </c>
      <c r="I650" s="13">
        <f>IF(ActiveDatabase=Standby,Secondary!I650,Primary!I650)</f>
        <v>0</v>
      </c>
      <c r="J650" s="13">
        <f>IF(ActiveDatabase=Standby,Secondary!J650,Primary!J650)</f>
        <v>0</v>
      </c>
      <c r="K650" s="13">
        <f>IF(ActiveDatabase=Standby,Secondary!K650,Primary!K650)</f>
        <v>0</v>
      </c>
      <c r="L650" s="13">
        <f>IF(ActiveDatabase=Standby,Secondary!L650,Primary!L650)</f>
        <v>0</v>
      </c>
      <c r="M650" s="7" t="b">
        <f>IF(ActiveDatabase=Standby,Secondary!M650,Primary!M650)</f>
        <v>0</v>
      </c>
      <c r="N650" s="10">
        <f>IF(ActiveDatabase=Standby,Secondary!N650,Primary!N650)</f>
        <v>0</v>
      </c>
      <c r="O650" s="10">
        <f>IF(ActiveDatabase=Standby,Secondary!O650,Primary!O650)</f>
        <v>0</v>
      </c>
      <c r="P650" s="10">
        <f>IF(ActiveDatabase=Standby,Secondary!P650,Primary!P650)</f>
        <v>0</v>
      </c>
      <c r="Q650" s="6">
        <f>IF(ActiveDatabase=Standby,Secondary!Q650,Primary!Q650)</f>
        <v>0</v>
      </c>
      <c r="R650" s="18">
        <f>IF(ActiveDatabase=Standby,Secondary!R650,Primary!R650)</f>
        <v>0</v>
      </c>
      <c r="S650" s="19">
        <f>IF(ActiveDatabase=Standby,Secondary!S650,Primary!S650)</f>
        <v>0</v>
      </c>
      <c r="T650" s="10">
        <f>IF(ActiveDatabase=Standby,Secondary!T650,Primary!T650)</f>
        <v>0</v>
      </c>
      <c r="U650" s="10">
        <f>IF(ActiveDatabase=Standby,Secondary!U650,Primary!U650)</f>
        <v>0</v>
      </c>
      <c r="V650" s="10">
        <f>IF(ActiveDatabase=Standby,Secondary!V650,Primary!V650)</f>
        <v>0</v>
      </c>
      <c r="W650" s="6">
        <f>IF(ActiveDatabase=Standby,Secondary!W650,Primary!W650)</f>
        <v>0</v>
      </c>
      <c r="X650" s="6">
        <f>IF(ActiveDatabase=Standby,Secondary!X650,Primary!X650)</f>
        <v>0</v>
      </c>
      <c r="Y650" s="12">
        <f>IF(ActiveDatabase=Standby,Secondary!Y650,Primary!Y650)</f>
        <v>0</v>
      </c>
      <c r="Z650" s="12">
        <f>IF(ActiveDatabase=Standby,Secondary!Z650,Primary!Z650)</f>
        <v>0</v>
      </c>
      <c r="AA650" s="7">
        <f>IF(ActiveDatabase=Standby,Secondary!AA650,Primary!AA650)</f>
        <v>0</v>
      </c>
      <c r="AB650" s="12"/>
      <c r="AC650" s="6"/>
      <c r="AD650" s="6"/>
      <c r="AE650" s="7"/>
      <c r="AF650" s="7"/>
      <c r="AG650" s="7"/>
      <c r="AH650" s="7"/>
      <c r="AI650" s="7"/>
      <c r="AJ650" s="7"/>
      <c r="AK650" s="7"/>
      <c r="AL650" s="7"/>
      <c r="AM650" s="7"/>
      <c r="AN650" s="7"/>
      <c r="AO650" s="6"/>
      <c r="AP650" s="7"/>
      <c r="AQ650" s="7"/>
      <c r="AR650" s="6"/>
      <c r="AS650" s="7"/>
      <c r="AT650" s="7"/>
      <c r="AU650" s="7"/>
      <c r="AV650" s="7"/>
      <c r="AW650" s="7"/>
      <c r="AX650" s="7"/>
      <c r="AY650" s="7"/>
      <c r="AZ650" s="7"/>
      <c r="BA650" s="7"/>
      <c r="BB650" s="7"/>
      <c r="BC650" s="7"/>
      <c r="BD650" s="7"/>
      <c r="BE650" s="7"/>
      <c r="BF650" s="7"/>
      <c r="BG650" s="7"/>
    </row>
    <row r="651" customHeight="1" spans="1:59">
      <c r="A651" s="9" t="str">
        <f>IF(ActiveDatabase=Standby,Secondary!A651,Primary!A651)</f>
        <v>Magda</v>
      </c>
      <c r="B651" s="5" t="str">
        <f>IF(ActiveDatabase=Standby,Secondary!B651,Primary!B651)</f>
        <v>Magda 50</v>
      </c>
      <c r="C651" s="5">
        <f>IF(ActiveDatabase=Standby,Secondary!C651,Primary!C651)</f>
        <v>0</v>
      </c>
      <c r="D651" s="5" t="str">
        <f>IF(ActiveDatabase=Standby,Secondary!D651,Primary!D651)</f>
        <v>Wrecks</v>
      </c>
      <c r="E651" s="6">
        <f>IF(ActiveDatabase=Standby,Secondary!E651,Primary!E651)</f>
        <v>0</v>
      </c>
      <c r="F651" s="10">
        <f>IF(ActiveDatabase=Standby,Secondary!F651,Primary!F651)</f>
        <v>0</v>
      </c>
      <c r="G651" s="10">
        <f>IF(ActiveDatabase=Standby,Secondary!G651,Primary!G651)</f>
        <v>0</v>
      </c>
      <c r="H651" s="10">
        <f>IF(ActiveDatabase=Standby,Secondary!H651,Primary!H651)</f>
        <v>0</v>
      </c>
      <c r="I651" s="13">
        <f>IF(ActiveDatabase=Standby,Secondary!I651,Primary!I651)</f>
        <v>0</v>
      </c>
      <c r="J651" s="13">
        <f>IF(ActiveDatabase=Standby,Secondary!J651,Primary!J651)</f>
        <v>0</v>
      </c>
      <c r="K651" s="13">
        <f>IF(ActiveDatabase=Standby,Secondary!K651,Primary!K651)</f>
        <v>0</v>
      </c>
      <c r="L651" s="13">
        <f>IF(ActiveDatabase=Standby,Secondary!L651,Primary!L651)</f>
        <v>0</v>
      </c>
      <c r="M651" s="7">
        <f>IF(ActiveDatabase=Standby,Secondary!M651,Primary!M651)</f>
        <v>0</v>
      </c>
      <c r="N651" s="10">
        <f>IF(ActiveDatabase=Standby,Secondary!N651,Primary!N651)</f>
        <v>0</v>
      </c>
      <c r="O651" s="10">
        <f>IF(ActiveDatabase=Standby,Secondary!O651,Primary!O651)</f>
        <v>0</v>
      </c>
      <c r="P651" s="10">
        <f>IF(ActiveDatabase=Standby,Secondary!P651,Primary!P651)</f>
        <v>0</v>
      </c>
      <c r="Q651" s="6">
        <f>IF(ActiveDatabase=Standby,Secondary!Q651,Primary!Q651)</f>
        <v>0</v>
      </c>
      <c r="R651" s="18">
        <f>IF(ActiveDatabase=Standby,Secondary!R651,Primary!R651)</f>
        <v>0</v>
      </c>
      <c r="S651" s="19">
        <f>IF(ActiveDatabase=Standby,Secondary!S651,Primary!S651)</f>
        <v>0</v>
      </c>
      <c r="T651" s="10">
        <f>IF(ActiveDatabase=Standby,Secondary!T651,Primary!T651)</f>
        <v>0</v>
      </c>
      <c r="U651" s="10">
        <f>IF(ActiveDatabase=Standby,Secondary!U651,Primary!U651)</f>
        <v>0</v>
      </c>
      <c r="V651" s="10">
        <f>IF(ActiveDatabase=Standby,Secondary!V651,Primary!V651)</f>
        <v>0</v>
      </c>
      <c r="W651" s="6">
        <f>IF(ActiveDatabase=Standby,Secondary!W651,Primary!W651)</f>
        <v>0</v>
      </c>
      <c r="X651" s="6">
        <f>IF(ActiveDatabase=Standby,Secondary!X651,Primary!X651)</f>
        <v>0</v>
      </c>
      <c r="Y651" s="12">
        <f>IF(ActiveDatabase=Standby,Secondary!Y651,Primary!Y651)</f>
        <v>0</v>
      </c>
      <c r="Z651" s="12">
        <f>IF(ActiveDatabase=Standby,Secondary!Z651,Primary!Z651)</f>
        <v>0</v>
      </c>
      <c r="AA651" s="7">
        <f>IF(ActiveDatabase=Standby,Secondary!AA651,Primary!AA651)</f>
        <v>0</v>
      </c>
      <c r="AB651" s="12"/>
      <c r="AC651" s="6"/>
      <c r="AD651" s="6"/>
      <c r="AE651" s="7"/>
      <c r="AF651" s="7"/>
      <c r="AG651" s="7"/>
      <c r="AH651" s="7"/>
      <c r="AI651" s="7"/>
      <c r="AJ651" s="7"/>
      <c r="AK651" s="7"/>
      <c r="AL651" s="7"/>
      <c r="AM651" s="7"/>
      <c r="AN651" s="7"/>
      <c r="AO651" s="6"/>
      <c r="AP651" s="7"/>
      <c r="AQ651" s="7"/>
      <c r="AR651" s="6"/>
      <c r="AS651" s="7"/>
      <c r="AT651" s="7"/>
      <c r="AU651" s="7"/>
      <c r="AV651" s="7"/>
      <c r="AW651" s="7"/>
      <c r="AX651" s="7"/>
      <c r="AY651" s="7"/>
      <c r="AZ651" s="7"/>
      <c r="BA651" s="7"/>
      <c r="BB651" s="7"/>
      <c r="BC651" s="7"/>
      <c r="BD651" s="7"/>
      <c r="BE651" s="7"/>
      <c r="BF651" s="7"/>
      <c r="BG651" s="7"/>
    </row>
    <row r="652" customHeight="1" spans="1:59">
      <c r="A652" s="9" t="str">
        <f>IF(ActiveDatabase=Standby,Secondary!A652,Primary!A652)</f>
        <v>Magda 48</v>
      </c>
      <c r="B652" s="5" t="str">
        <f>IF(ActiveDatabase=Standby,Secondary!B652,Primary!B652)</f>
        <v>Magda 53</v>
      </c>
      <c r="C652" s="5" t="str">
        <f>IF(ActiveDatabase=Standby,Secondary!C652,Primary!C652)</f>
        <v>Magda 26</v>
      </c>
      <c r="D652" s="5" t="str">
        <f>IF(ActiveDatabase=Standby,Secondary!D652,Primary!D652)</f>
        <v>Caterpillar Wreck 33P</v>
      </c>
      <c r="E652" s="6" t="str">
        <f>IF(ActiveDatabase=Standby,Secondary!E652,Primary!E652)</f>
        <v>Caterpillar 33P</v>
      </c>
      <c r="F652" s="10">
        <f>IF(ActiveDatabase=Standby,Secondary!F652,Primary!F652)</f>
        <v>320.168531741</v>
      </c>
      <c r="G652" s="10">
        <f>IF(ActiveDatabase=Standby,Secondary!G652,Primary!G652)</f>
        <v>98.7265939019999</v>
      </c>
      <c r="H652" s="10">
        <f>IF(ActiveDatabase=Standby,Secondary!H652,Primary!H652)</f>
        <v>64.42017588</v>
      </c>
      <c r="I652" s="13">
        <f>IF(ActiveDatabase=Standby,Secondary!I652,Primary!I652)</f>
        <v>0</v>
      </c>
      <c r="J652" s="13">
        <f>IF(ActiveDatabase=Standby,Secondary!J652,Primary!J652)</f>
        <v>0</v>
      </c>
      <c r="K652" s="13">
        <f>IF(ActiveDatabase=Standby,Secondary!K652,Primary!K652)</f>
        <v>0</v>
      </c>
      <c r="L652" s="13">
        <f>IF(ActiveDatabase=Standby,Secondary!L652,Primary!L652)</f>
        <v>0</v>
      </c>
      <c r="M652" s="7" t="b">
        <f>IF(ActiveDatabase=Standby,Secondary!M652,Primary!M652)</f>
        <v>0</v>
      </c>
      <c r="N652" s="10">
        <f>IF(ActiveDatabase=Standby,Secondary!N652,Primary!N652)</f>
        <v>0</v>
      </c>
      <c r="O652" s="10">
        <f>IF(ActiveDatabase=Standby,Secondary!O652,Primary!O652)</f>
        <v>0</v>
      </c>
      <c r="P652" s="10">
        <f>IF(ActiveDatabase=Standby,Secondary!P652,Primary!P652)</f>
        <v>0</v>
      </c>
      <c r="Q652" s="6">
        <f>IF(ActiveDatabase=Standby,Secondary!Q652,Primary!Q652)</f>
        <v>0</v>
      </c>
      <c r="R652" s="18">
        <f>IF(ActiveDatabase=Standby,Secondary!R652,Primary!R652)</f>
        <v>0</v>
      </c>
      <c r="S652" s="19">
        <f>IF(ActiveDatabase=Standby,Secondary!S652,Primary!S652)</f>
        <v>0</v>
      </c>
      <c r="T652" s="10">
        <f>IF(ActiveDatabase=Standby,Secondary!T652,Primary!T652)</f>
        <v>0</v>
      </c>
      <c r="U652" s="10">
        <f>IF(ActiveDatabase=Standby,Secondary!U652,Primary!U652)</f>
        <v>0</v>
      </c>
      <c r="V652" s="10">
        <f>IF(ActiveDatabase=Standby,Secondary!V652,Primary!V652)</f>
        <v>0</v>
      </c>
      <c r="W652" s="6">
        <f>IF(ActiveDatabase=Standby,Secondary!W652,Primary!W652)</f>
        <v>0</v>
      </c>
      <c r="X652" s="6">
        <f>IF(ActiveDatabase=Standby,Secondary!X652,Primary!X652)</f>
        <v>0</v>
      </c>
      <c r="Y652" s="12">
        <f>IF(ActiveDatabase=Standby,Secondary!Y652,Primary!Y652)</f>
        <v>0</v>
      </c>
      <c r="Z652" s="12">
        <f>IF(ActiveDatabase=Standby,Secondary!Z652,Primary!Z652)</f>
        <v>0</v>
      </c>
      <c r="AA652" s="7">
        <f>IF(ActiveDatabase=Standby,Secondary!AA652,Primary!AA652)</f>
        <v>0</v>
      </c>
      <c r="AB652" s="12"/>
      <c r="AC652" s="6"/>
      <c r="AD652" s="6"/>
      <c r="AE652" s="7"/>
      <c r="AF652" s="7"/>
      <c r="AG652" s="7"/>
      <c r="AH652" s="7"/>
      <c r="AI652" s="7"/>
      <c r="AJ652" s="7"/>
      <c r="AK652" s="7"/>
      <c r="AL652" s="7"/>
      <c r="AM652" s="7"/>
      <c r="AN652" s="7"/>
      <c r="AO652" s="6"/>
      <c r="AP652" s="7"/>
      <c r="AQ652" s="7"/>
      <c r="AR652" s="6"/>
      <c r="AS652" s="7"/>
      <c r="AT652" s="7"/>
      <c r="AU652" s="7"/>
      <c r="AV652" s="7"/>
      <c r="AW652" s="7"/>
      <c r="AX652" s="7"/>
      <c r="AY652" s="7"/>
      <c r="AZ652" s="7"/>
      <c r="BA652" s="7"/>
      <c r="BB652" s="7"/>
      <c r="BC652" s="7"/>
      <c r="BD652" s="7"/>
      <c r="BE652" s="7"/>
      <c r="BF652" s="7"/>
      <c r="BG652" s="7"/>
    </row>
    <row r="653" customHeight="1" spans="1:59">
      <c r="A653" s="9" t="str">
        <f>IF(ActiveDatabase=Standby,Secondary!A653,Primary!A653)</f>
        <v>Magda 46</v>
      </c>
      <c r="B653" s="5" t="str">
        <f>IF(ActiveDatabase=Standby,Secondary!B653,Primary!B653)</f>
        <v>Magda 51</v>
      </c>
      <c r="C653" s="5" t="str">
        <f>IF(ActiveDatabase=Standby,Secondary!C653,Primary!C653)</f>
        <v>Magda 47</v>
      </c>
      <c r="D653" s="5" t="str">
        <f>IF(ActiveDatabase=Standby,Secondary!D653,Primary!D653)</f>
        <v>Caterpillar Wreck 10Q</v>
      </c>
      <c r="E653" s="6" t="str">
        <f>IF(ActiveDatabase=Standby,Secondary!E653,Primary!E653)</f>
        <v>Caterpillar 10Q</v>
      </c>
      <c r="F653" s="10">
        <f>IF(ActiveDatabase=Standby,Secondary!F653,Primary!F653)</f>
        <v>-171.922849059</v>
      </c>
      <c r="G653" s="10">
        <f>IF(ActiveDatabase=Standby,Secondary!G653,Primary!G653)</f>
        <v>-278.139414347</v>
      </c>
      <c r="H653" s="10">
        <f>IF(ActiveDatabase=Standby,Secondary!H653,Primary!H653)</f>
        <v>96.952845436</v>
      </c>
      <c r="I653" s="13">
        <f>IF(ActiveDatabase=Standby,Secondary!I653,Primary!I653)</f>
        <v>0</v>
      </c>
      <c r="J653" s="13">
        <f>IF(ActiveDatabase=Standby,Secondary!J653,Primary!J653)</f>
        <v>0</v>
      </c>
      <c r="K653" s="13">
        <f>IF(ActiveDatabase=Standby,Secondary!K653,Primary!K653)</f>
        <v>0</v>
      </c>
      <c r="L653" s="13">
        <f>IF(ActiveDatabase=Standby,Secondary!L653,Primary!L653)</f>
        <v>0</v>
      </c>
      <c r="M653" s="7" t="b">
        <f>IF(ActiveDatabase=Standby,Secondary!M653,Primary!M653)</f>
        <v>0</v>
      </c>
      <c r="N653" s="10">
        <f>IF(ActiveDatabase=Standby,Secondary!N653,Primary!N653)</f>
        <v>0</v>
      </c>
      <c r="O653" s="10">
        <f>IF(ActiveDatabase=Standby,Secondary!O653,Primary!O653)</f>
        <v>0</v>
      </c>
      <c r="P653" s="10">
        <f>IF(ActiveDatabase=Standby,Secondary!P653,Primary!P653)</f>
        <v>0</v>
      </c>
      <c r="Q653" s="6">
        <f>IF(ActiveDatabase=Standby,Secondary!Q653,Primary!Q653)</f>
        <v>0</v>
      </c>
      <c r="R653" s="18">
        <f>IF(ActiveDatabase=Standby,Secondary!R653,Primary!R653)</f>
        <v>0</v>
      </c>
      <c r="S653" s="19">
        <f>IF(ActiveDatabase=Standby,Secondary!S653,Primary!S653)</f>
        <v>0</v>
      </c>
      <c r="T653" s="10">
        <f>IF(ActiveDatabase=Standby,Secondary!T653,Primary!T653)</f>
        <v>0</v>
      </c>
      <c r="U653" s="10">
        <f>IF(ActiveDatabase=Standby,Secondary!U653,Primary!U653)</f>
        <v>0</v>
      </c>
      <c r="V653" s="10">
        <f>IF(ActiveDatabase=Standby,Secondary!V653,Primary!V653)</f>
        <v>0</v>
      </c>
      <c r="W653" s="6">
        <f>IF(ActiveDatabase=Standby,Secondary!W653,Primary!W653)</f>
        <v>0</v>
      </c>
      <c r="X653" s="6">
        <f>IF(ActiveDatabase=Standby,Secondary!X653,Primary!X653)</f>
        <v>0</v>
      </c>
      <c r="Y653" s="12">
        <f>IF(ActiveDatabase=Standby,Secondary!Y653,Primary!Y653)</f>
        <v>0</v>
      </c>
      <c r="Z653" s="12">
        <f>IF(ActiveDatabase=Standby,Secondary!Z653,Primary!Z653)</f>
        <v>0</v>
      </c>
      <c r="AA653" s="9">
        <f>IF(ActiveDatabase=Standby,Secondary!AA653,Primary!AA653)</f>
        <v>0</v>
      </c>
      <c r="AB653" s="12"/>
      <c r="AC653" s="6"/>
      <c r="AD653" s="6"/>
      <c r="AE653" s="7"/>
      <c r="AF653" s="7"/>
      <c r="AG653" s="7"/>
      <c r="AH653" s="7"/>
      <c r="AI653" s="7"/>
      <c r="AJ653" s="7"/>
      <c r="AK653" s="7"/>
      <c r="AL653" s="7"/>
      <c r="AM653" s="7"/>
      <c r="AN653" s="7"/>
      <c r="AO653" s="6"/>
      <c r="AP653" s="7"/>
      <c r="AQ653" s="7"/>
      <c r="AR653" s="6"/>
      <c r="AS653" s="7"/>
      <c r="AT653" s="7"/>
      <c r="AU653" s="7"/>
      <c r="AV653" s="7"/>
      <c r="AW653" s="7"/>
      <c r="AX653" s="7"/>
      <c r="AY653" s="7"/>
      <c r="AZ653" s="7"/>
      <c r="BA653" s="7"/>
      <c r="BB653" s="7"/>
      <c r="BC653" s="7"/>
      <c r="BD653" s="7"/>
      <c r="BE653" s="7"/>
      <c r="BF653" s="7"/>
      <c r="BG653" s="7"/>
    </row>
    <row r="654" customHeight="1" spans="1:59">
      <c r="A654" s="9" t="str">
        <f>IF(ActiveDatabase=Standby,Secondary!A654,Primary!A654)</f>
        <v>Magda 47</v>
      </c>
      <c r="B654" s="5" t="str">
        <f>IF(ActiveDatabase=Standby,Secondary!B654,Primary!B654)</f>
        <v>Magda 52</v>
      </c>
      <c r="C654" s="5" t="str">
        <f>IF(ActiveDatabase=Standby,Secondary!C654,Primary!C654)</f>
        <v>Magda 45</v>
      </c>
      <c r="D654" s="5" t="str">
        <f>IF(ActiveDatabase=Standby,Secondary!D654,Primary!D654)</f>
        <v>Caterpillar Wreck 13R</v>
      </c>
      <c r="E654" s="6" t="str">
        <f>IF(ActiveDatabase=Standby,Secondary!E654,Primary!E654)</f>
        <v>Caterpillar 13R</v>
      </c>
      <c r="F654" s="10">
        <f>IF(ActiveDatabase=Standby,Secondary!F654,Primary!F654)</f>
        <v>-84.944</v>
      </c>
      <c r="G654" s="10">
        <f>IF(ActiveDatabase=Standby,Secondary!G654,Primary!G654)</f>
        <v>-284.415</v>
      </c>
      <c r="H654" s="10">
        <f>IF(ActiveDatabase=Standby,Secondary!H654,Primary!H654)</f>
        <v>168.126</v>
      </c>
      <c r="I654" s="13">
        <f>IF(ActiveDatabase=Standby,Secondary!I654,Primary!I654)</f>
        <v>0</v>
      </c>
      <c r="J654" s="13">
        <f>IF(ActiveDatabase=Standby,Secondary!J654,Primary!J654)</f>
        <v>0</v>
      </c>
      <c r="K654" s="13">
        <f>IF(ActiveDatabase=Standby,Secondary!K654,Primary!K654)</f>
        <v>0</v>
      </c>
      <c r="L654" s="13">
        <f>IF(ActiveDatabase=Standby,Secondary!L654,Primary!L654)</f>
        <v>0</v>
      </c>
      <c r="M654" s="7" t="b">
        <f>IF(ActiveDatabase=Standby,Secondary!M654,Primary!M654)</f>
        <v>0</v>
      </c>
      <c r="N654" s="10">
        <f>IF(ActiveDatabase=Standby,Secondary!N654,Primary!N654)</f>
        <v>0</v>
      </c>
      <c r="O654" s="10">
        <f>IF(ActiveDatabase=Standby,Secondary!O654,Primary!O654)</f>
        <v>0</v>
      </c>
      <c r="P654" s="10">
        <f>IF(ActiveDatabase=Standby,Secondary!P654,Primary!P654)</f>
        <v>0</v>
      </c>
      <c r="Q654" s="6">
        <f>IF(ActiveDatabase=Standby,Secondary!Q654,Primary!Q654)</f>
        <v>0</v>
      </c>
      <c r="R654" s="18">
        <f>IF(ActiveDatabase=Standby,Secondary!R654,Primary!R654)</f>
        <v>0</v>
      </c>
      <c r="S654" s="19">
        <f>IF(ActiveDatabase=Standby,Secondary!S654,Primary!S654)</f>
        <v>0</v>
      </c>
      <c r="T654" s="10">
        <f>IF(ActiveDatabase=Standby,Secondary!T654,Primary!T654)</f>
        <v>0</v>
      </c>
      <c r="U654" s="10">
        <f>IF(ActiveDatabase=Standby,Secondary!U654,Primary!U654)</f>
        <v>0</v>
      </c>
      <c r="V654" s="10">
        <f>IF(ActiveDatabase=Standby,Secondary!V654,Primary!V654)</f>
        <v>0</v>
      </c>
      <c r="W654" s="6">
        <f>IF(ActiveDatabase=Standby,Secondary!W654,Primary!W654)</f>
        <v>0</v>
      </c>
      <c r="X654" s="6">
        <f>IF(ActiveDatabase=Standby,Secondary!X654,Primary!X654)</f>
        <v>0</v>
      </c>
      <c r="Y654" s="12">
        <f>IF(ActiveDatabase=Standby,Secondary!Y654,Primary!Y654)</f>
        <v>0</v>
      </c>
      <c r="Z654" s="12">
        <f>IF(ActiveDatabase=Standby,Secondary!Z654,Primary!Z654)</f>
        <v>0</v>
      </c>
      <c r="AA654" s="9">
        <f>IF(ActiveDatabase=Standby,Secondary!AA654,Primary!AA654)</f>
        <v>0</v>
      </c>
      <c r="AB654" s="12"/>
      <c r="AC654" s="6"/>
      <c r="AD654" s="6"/>
      <c r="AE654" s="7"/>
      <c r="AF654" s="7"/>
      <c r="AG654" s="7"/>
      <c r="AH654" s="7"/>
      <c r="AI654" s="7"/>
      <c r="AJ654" s="7"/>
      <c r="AK654" s="7"/>
      <c r="AL654" s="7"/>
      <c r="AM654" s="7"/>
      <c r="AN654" s="7"/>
      <c r="AO654" s="6"/>
      <c r="AP654" s="7"/>
      <c r="AQ654" s="7"/>
      <c r="AR654" s="6"/>
      <c r="AS654" s="7"/>
      <c r="AT654" s="7"/>
      <c r="AU654" s="7"/>
      <c r="AV654" s="7"/>
      <c r="AW654" s="7"/>
      <c r="AX654" s="7"/>
      <c r="AY654" s="7"/>
      <c r="AZ654" s="7"/>
      <c r="BA654" s="7"/>
      <c r="BB654" s="7"/>
      <c r="BC654" s="7"/>
      <c r="BD654" s="7"/>
      <c r="BE654" s="7"/>
      <c r="BF654" s="7"/>
      <c r="BG654" s="7"/>
    </row>
    <row r="655" customHeight="1" spans="1:59">
      <c r="A655" s="9" t="str">
        <f>IF(ActiveDatabase=Standby,Secondary!A655,Primary!A655)</f>
        <v>Magda 49</v>
      </c>
      <c r="B655" s="5" t="str">
        <f>IF(ActiveDatabase=Standby,Secondary!B655,Primary!B655)</f>
        <v>Magda 54</v>
      </c>
      <c r="C655" s="5" t="str">
        <f>IF(ActiveDatabase=Standby,Secondary!C655,Primary!C655)</f>
        <v>Magda 33</v>
      </c>
      <c r="D655" s="5" t="str">
        <f>IF(ActiveDatabase=Standby,Secondary!D655,Primary!D655)</f>
        <v>Constellation Wreck</v>
      </c>
      <c r="E655" s="6" t="str">
        <f>IF(ActiveDatabase=Standby,Secondary!E655,Primary!E655)</f>
        <v>Constellation</v>
      </c>
      <c r="F655" s="10">
        <f>IF(ActiveDatabase=Standby,Secondary!F655,Primary!F655)</f>
        <v>195.502136686999</v>
      </c>
      <c r="G655" s="10">
        <f>IF(ActiveDatabase=Standby,Secondary!G655,Primary!G655)</f>
        <v>-14.6522399389999</v>
      </c>
      <c r="H655" s="10">
        <f>IF(ActiveDatabase=Standby,Secondary!H655,Primary!H655)</f>
        <v>-278.963494381</v>
      </c>
      <c r="I655" s="13">
        <f>IF(ActiveDatabase=Standby,Secondary!I655,Primary!I655)</f>
        <v>0</v>
      </c>
      <c r="J655" s="13">
        <f>IF(ActiveDatabase=Standby,Secondary!J655,Primary!J655)</f>
        <v>0</v>
      </c>
      <c r="K655" s="13">
        <f>IF(ActiveDatabase=Standby,Secondary!K655,Primary!K655)</f>
        <v>0</v>
      </c>
      <c r="L655" s="13">
        <f>IF(ActiveDatabase=Standby,Secondary!L655,Primary!L655)</f>
        <v>0</v>
      </c>
      <c r="M655" s="7" t="b">
        <f>IF(ActiveDatabase=Standby,Secondary!M655,Primary!M655)</f>
        <v>0</v>
      </c>
      <c r="N655" s="10">
        <f>IF(ActiveDatabase=Standby,Secondary!N655,Primary!N655)</f>
        <v>0</v>
      </c>
      <c r="O655" s="10">
        <f>IF(ActiveDatabase=Standby,Secondary!O655,Primary!O655)</f>
        <v>0</v>
      </c>
      <c r="P655" s="10">
        <f>IF(ActiveDatabase=Standby,Secondary!P655,Primary!P655)</f>
        <v>0</v>
      </c>
      <c r="Q655" s="6">
        <f>IF(ActiveDatabase=Standby,Secondary!Q655,Primary!Q655)</f>
        <v>0</v>
      </c>
      <c r="R655" s="18">
        <f>IF(ActiveDatabase=Standby,Secondary!R655,Primary!R655)</f>
        <v>0</v>
      </c>
      <c r="S655" s="19">
        <f>IF(ActiveDatabase=Standby,Secondary!S655,Primary!S655)</f>
        <v>0</v>
      </c>
      <c r="T655" s="10">
        <f>IF(ActiveDatabase=Standby,Secondary!T655,Primary!T655)</f>
        <v>0</v>
      </c>
      <c r="U655" s="10">
        <f>IF(ActiveDatabase=Standby,Secondary!U655,Primary!U655)</f>
        <v>0</v>
      </c>
      <c r="V655" s="10">
        <f>IF(ActiveDatabase=Standby,Secondary!V655,Primary!V655)</f>
        <v>0</v>
      </c>
      <c r="W655" s="6">
        <f>IF(ActiveDatabase=Standby,Secondary!W655,Primary!W655)</f>
        <v>0</v>
      </c>
      <c r="X655" s="6">
        <f>IF(ActiveDatabase=Standby,Secondary!X655,Primary!X655)</f>
        <v>0</v>
      </c>
      <c r="Y655" s="12">
        <f>IF(ActiveDatabase=Standby,Secondary!Y655,Primary!Y655)</f>
        <v>0</v>
      </c>
      <c r="Z655" s="12">
        <f>IF(ActiveDatabase=Standby,Secondary!Z655,Primary!Z655)</f>
        <v>0</v>
      </c>
      <c r="AA655" s="9">
        <f>IF(ActiveDatabase=Standby,Secondary!AA655,Primary!AA655)</f>
        <v>0</v>
      </c>
      <c r="AB655" s="12"/>
      <c r="AC655" s="6"/>
      <c r="AD655" s="6"/>
      <c r="AE655" s="7"/>
      <c r="AF655" s="7"/>
      <c r="AG655" s="7"/>
      <c r="AH655" s="7"/>
      <c r="AI655" s="7"/>
      <c r="AJ655" s="7"/>
      <c r="AK655" s="7"/>
      <c r="AL655" s="7"/>
      <c r="AM655" s="7"/>
      <c r="AN655" s="7"/>
      <c r="AO655" s="6"/>
      <c r="AP655" s="7"/>
      <c r="AQ655" s="7"/>
      <c r="AR655" s="6"/>
      <c r="AS655" s="7"/>
      <c r="AT655" s="7"/>
      <c r="AU655" s="7"/>
      <c r="AV655" s="7"/>
      <c r="AW655" s="7"/>
      <c r="AX655" s="7"/>
      <c r="AY655" s="7"/>
      <c r="AZ655" s="7"/>
      <c r="BA655" s="7"/>
      <c r="BB655" s="7"/>
      <c r="BC655" s="7"/>
      <c r="BD655" s="7"/>
      <c r="BE655" s="7"/>
      <c r="BF655" s="7"/>
      <c r="BG655" s="7"/>
    </row>
    <row r="656" customHeight="1" spans="1:59">
      <c r="A656" s="9" t="str">
        <f>IF(ActiveDatabase=Standby,Secondary!A656,Primary!A656)</f>
        <v>Magda 50</v>
      </c>
      <c r="B656" s="5" t="str">
        <f>IF(ActiveDatabase=Standby,Secondary!B656,Primary!B656)</f>
        <v>Magda 55</v>
      </c>
      <c r="C656" s="5" t="str">
        <f>IF(ActiveDatabase=Standby,Secondary!C656,Primary!C656)</f>
        <v>Magda 49</v>
      </c>
      <c r="D656" s="5" t="str">
        <f>IF(ActiveDatabase=Standby,Secondary!D656,Primary!D656)</f>
        <v>Cutlass Wreck</v>
      </c>
      <c r="E656" s="6" t="str">
        <f>IF(ActiveDatabase=Standby,Secondary!E656,Primary!E656)</f>
        <v>Cutlass</v>
      </c>
      <c r="F656" s="10">
        <f>IF(ActiveDatabase=Standby,Secondary!F656,Primary!F656)</f>
        <v>-300.821252814</v>
      </c>
      <c r="G656" s="10">
        <f>IF(ActiveDatabase=Standby,Secondary!G656,Primary!G656)</f>
        <v>-72.7844439319998</v>
      </c>
      <c r="H656" s="10">
        <f>IF(ActiveDatabase=Standby,Secondary!H656,Primary!H656)</f>
        <v>143.451797163</v>
      </c>
      <c r="I656" s="13">
        <f>IF(ActiveDatabase=Standby,Secondary!I656,Primary!I656)</f>
        <v>0</v>
      </c>
      <c r="J656" s="13">
        <f>IF(ActiveDatabase=Standby,Secondary!J656,Primary!J656)</f>
        <v>0</v>
      </c>
      <c r="K656" s="13">
        <f>IF(ActiveDatabase=Standby,Secondary!K656,Primary!K656)</f>
        <v>0</v>
      </c>
      <c r="L656" s="13">
        <f>IF(ActiveDatabase=Standby,Secondary!L656,Primary!L656)</f>
        <v>0</v>
      </c>
      <c r="M656" s="7" t="b">
        <f>IF(ActiveDatabase=Standby,Secondary!M656,Primary!M656)</f>
        <v>0</v>
      </c>
      <c r="N656" s="10">
        <f>IF(ActiveDatabase=Standby,Secondary!N656,Primary!N656)</f>
        <v>0</v>
      </c>
      <c r="O656" s="10">
        <f>IF(ActiveDatabase=Standby,Secondary!O656,Primary!O656)</f>
        <v>0</v>
      </c>
      <c r="P656" s="10">
        <f>IF(ActiveDatabase=Standby,Secondary!P656,Primary!P656)</f>
        <v>0</v>
      </c>
      <c r="Q656" s="6">
        <f>IF(ActiveDatabase=Standby,Secondary!Q656,Primary!Q656)</f>
        <v>0</v>
      </c>
      <c r="R656" s="18">
        <f>IF(ActiveDatabase=Standby,Secondary!R656,Primary!R656)</f>
        <v>0</v>
      </c>
      <c r="S656" s="19">
        <f>IF(ActiveDatabase=Standby,Secondary!S656,Primary!S656)</f>
        <v>0</v>
      </c>
      <c r="T656" s="10">
        <f>IF(ActiveDatabase=Standby,Secondary!T656,Primary!T656)</f>
        <v>0</v>
      </c>
      <c r="U656" s="10">
        <f>IF(ActiveDatabase=Standby,Secondary!U656,Primary!U656)</f>
        <v>0</v>
      </c>
      <c r="V656" s="10">
        <f>IF(ActiveDatabase=Standby,Secondary!V656,Primary!V656)</f>
        <v>0</v>
      </c>
      <c r="W656" s="6">
        <f>IF(ActiveDatabase=Standby,Secondary!W656,Primary!W656)</f>
        <v>0</v>
      </c>
      <c r="X656" s="6">
        <f>IF(ActiveDatabase=Standby,Secondary!X656,Primary!X656)</f>
        <v>0</v>
      </c>
      <c r="Y656" s="12">
        <f>IF(ActiveDatabase=Standby,Secondary!Y656,Primary!Y656)</f>
        <v>0</v>
      </c>
      <c r="Z656" s="12">
        <f>IF(ActiveDatabase=Standby,Secondary!Z656,Primary!Z656)</f>
        <v>0</v>
      </c>
      <c r="AA656" s="9">
        <f>IF(ActiveDatabase=Standby,Secondary!AA656,Primary!AA656)</f>
        <v>0</v>
      </c>
      <c r="AB656" s="12"/>
      <c r="AC656" s="6"/>
      <c r="AD656" s="6"/>
      <c r="AE656" s="7"/>
      <c r="AF656" s="7"/>
      <c r="AG656" s="7"/>
      <c r="AH656" s="7"/>
      <c r="AI656" s="7"/>
      <c r="AJ656" s="7"/>
      <c r="AK656" s="7"/>
      <c r="AL656" s="7"/>
      <c r="AM656" s="7"/>
      <c r="AN656" s="7"/>
      <c r="AO656" s="6"/>
      <c r="AP656" s="7"/>
      <c r="AQ656" s="7"/>
      <c r="AR656" s="6"/>
      <c r="AS656" s="7"/>
      <c r="AT656" s="7"/>
      <c r="AU656" s="7"/>
      <c r="AV656" s="7"/>
      <c r="AW656" s="7"/>
      <c r="AX656" s="7"/>
      <c r="AY656" s="7"/>
      <c r="AZ656" s="7"/>
      <c r="BA656" s="7"/>
      <c r="BB656" s="7"/>
      <c r="BC656" s="7"/>
      <c r="BD656" s="7"/>
      <c r="BE656" s="7"/>
      <c r="BF656" s="7"/>
      <c r="BG656" s="7"/>
    </row>
    <row r="657" customHeight="1" spans="1:59">
      <c r="A657" s="9" t="str">
        <f>IF(ActiveDatabase=Standby,Secondary!A657,Primary!A657)</f>
        <v>Magda</v>
      </c>
      <c r="B657" s="5" t="str">
        <f>IF(ActiveDatabase=Standby,Secondary!B657,Primary!B657)</f>
        <v>Magda 57</v>
      </c>
      <c r="C657" s="5">
        <f>IF(ActiveDatabase=Standby,Secondary!C657,Primary!C657)</f>
        <v>0</v>
      </c>
      <c r="D657" s="5" t="str">
        <f>IF(ActiveDatabase=Standby,Secondary!D657,Primary!D657)</f>
        <v>Comm Array</v>
      </c>
      <c r="E657" s="6">
        <f>IF(ActiveDatabase=Standby,Secondary!E657,Primary!E657)</f>
        <v>0</v>
      </c>
      <c r="F657" s="10">
        <f>IF(ActiveDatabase=Standby,Secondary!F657,Primary!F657)</f>
        <v>0</v>
      </c>
      <c r="G657" s="10">
        <f>IF(ActiveDatabase=Standby,Secondary!G657,Primary!G657)</f>
        <v>0</v>
      </c>
      <c r="H657" s="10">
        <f>IF(ActiveDatabase=Standby,Secondary!H657,Primary!H657)</f>
        <v>0</v>
      </c>
      <c r="I657" s="13">
        <f>IF(ActiveDatabase=Standby,Secondary!I657,Primary!I657)</f>
        <v>0</v>
      </c>
      <c r="J657" s="13">
        <f>IF(ActiveDatabase=Standby,Secondary!J657,Primary!J657)</f>
        <v>0</v>
      </c>
      <c r="K657" s="13">
        <f>IF(ActiveDatabase=Standby,Secondary!K657,Primary!K657)</f>
        <v>0</v>
      </c>
      <c r="L657" s="13">
        <f>IF(ActiveDatabase=Standby,Secondary!L657,Primary!L657)</f>
        <v>0</v>
      </c>
      <c r="M657" s="7">
        <f>IF(ActiveDatabase=Standby,Secondary!M657,Primary!M657)</f>
        <v>0</v>
      </c>
      <c r="N657" s="10">
        <f>IF(ActiveDatabase=Standby,Secondary!N657,Primary!N657)</f>
        <v>0</v>
      </c>
      <c r="O657" s="10">
        <f>IF(ActiveDatabase=Standby,Secondary!O657,Primary!O657)</f>
        <v>0</v>
      </c>
      <c r="P657" s="10">
        <f>IF(ActiveDatabase=Standby,Secondary!P657,Primary!P657)</f>
        <v>0</v>
      </c>
      <c r="Q657" s="6">
        <f>IF(ActiveDatabase=Standby,Secondary!Q657,Primary!Q657)</f>
        <v>0</v>
      </c>
      <c r="R657" s="18">
        <f>IF(ActiveDatabase=Standby,Secondary!R657,Primary!R657)</f>
        <v>0</v>
      </c>
      <c r="S657" s="19">
        <f>IF(ActiveDatabase=Standby,Secondary!S657,Primary!S657)</f>
        <v>0</v>
      </c>
      <c r="T657" s="10">
        <f>IF(ActiveDatabase=Standby,Secondary!T657,Primary!T657)</f>
        <v>0</v>
      </c>
      <c r="U657" s="10">
        <f>IF(ActiveDatabase=Standby,Secondary!U657,Primary!U657)</f>
        <v>0</v>
      </c>
      <c r="V657" s="10">
        <f>IF(ActiveDatabase=Standby,Secondary!V657,Primary!V657)</f>
        <v>0</v>
      </c>
      <c r="W657" s="6">
        <f>IF(ActiveDatabase=Standby,Secondary!W657,Primary!W657)</f>
        <v>0</v>
      </c>
      <c r="X657" s="6">
        <f>IF(ActiveDatabase=Standby,Secondary!X657,Primary!X657)</f>
        <v>0</v>
      </c>
      <c r="Y657" s="12">
        <f>IF(ActiveDatabase=Standby,Secondary!Y657,Primary!Y657)</f>
        <v>0</v>
      </c>
      <c r="Z657" s="12">
        <f>IF(ActiveDatabase=Standby,Secondary!Z657,Primary!Z657)</f>
        <v>0</v>
      </c>
      <c r="AA657" s="9">
        <f>IF(ActiveDatabase=Standby,Secondary!AA657,Primary!AA657)</f>
        <v>0</v>
      </c>
      <c r="AB657" s="12"/>
      <c r="AC657" s="6"/>
      <c r="AD657" s="6"/>
      <c r="AE657" s="7"/>
      <c r="AF657" s="7"/>
      <c r="AG657" s="7"/>
      <c r="AH657" s="7"/>
      <c r="AI657" s="7"/>
      <c r="AJ657" s="7"/>
      <c r="AK657" s="7"/>
      <c r="AL657" s="7"/>
      <c r="AM657" s="7"/>
      <c r="AN657" s="7"/>
      <c r="AO657" s="6"/>
      <c r="AP657" s="7"/>
      <c r="AQ657" s="7"/>
      <c r="AR657" s="6"/>
      <c r="AS657" s="7"/>
      <c r="AT657" s="7"/>
      <c r="AU657" s="7"/>
      <c r="AV657" s="7"/>
      <c r="AW657" s="7"/>
      <c r="AX657" s="7"/>
      <c r="AY657" s="7"/>
      <c r="AZ657" s="7"/>
      <c r="BA657" s="7"/>
      <c r="BB657" s="7"/>
      <c r="BC657" s="7"/>
      <c r="BD657" s="7"/>
      <c r="BE657" s="7"/>
      <c r="BF657" s="7"/>
      <c r="BG657" s="7"/>
    </row>
    <row r="658" customHeight="1" spans="1:59">
      <c r="A658" s="9" t="str">
        <f>IF(ActiveDatabase=Standby,Secondary!A658,Primary!A658)</f>
        <v>Magda 03</v>
      </c>
      <c r="B658" s="5" t="str">
        <f>IF(ActiveDatabase=Standby,Secondary!B658,Primary!B658)</f>
        <v>Magda 58</v>
      </c>
      <c r="C658" s="5" t="str">
        <f>IF(ActiveDatabase=Standby,Secondary!C658,Primary!C658)</f>
        <v>Magda 23</v>
      </c>
      <c r="D658" s="5" t="str">
        <f>IF(ActiveDatabase=Standby,Secondary!D658,Primary!D658)</f>
        <v>Comm Array ST1-48</v>
      </c>
      <c r="E658" s="6" t="str">
        <f>IF(ActiveDatabase=Standby,Secondary!E658,Primary!E658)</f>
        <v>ST1-48</v>
      </c>
      <c r="F658" s="10">
        <f>IF(ActiveDatabase=Standby,Secondary!F658,Primary!F658)</f>
        <v>295.516463199616</v>
      </c>
      <c r="G658" s="10">
        <f>IF(ActiveDatabase=Standby,Secondary!G658,Primary!G658)</f>
        <v>413.045628523111</v>
      </c>
      <c r="H658" s="10">
        <f>IF(ActiveDatabase=Standby,Secondary!H658,Primary!H658)</f>
        <v>24</v>
      </c>
      <c r="I658" s="13">
        <f>IF(ActiveDatabase=Standby,Secondary!I658,Primary!I658)</f>
        <v>0</v>
      </c>
      <c r="J658" s="13">
        <f>IF(ActiveDatabase=Standby,Secondary!J658,Primary!J658)</f>
        <v>0</v>
      </c>
      <c r="K658" s="13">
        <f>IF(ActiveDatabase=Standby,Secondary!K658,Primary!K658)</f>
        <v>0</v>
      </c>
      <c r="L658" s="13">
        <f>IF(ActiveDatabase=Standby,Secondary!L658,Primary!L658)</f>
        <v>0</v>
      </c>
      <c r="M658" s="7" t="b">
        <f>IF(ActiveDatabase=Standby,Secondary!M658,Primary!M658)</f>
        <v>1</v>
      </c>
      <c r="N658" s="10">
        <f>IF(ActiveDatabase=Standby,Secondary!N658,Primary!N658)</f>
        <v>0</v>
      </c>
      <c r="O658" s="10">
        <f>IF(ActiveDatabase=Standby,Secondary!O658,Primary!O658)</f>
        <v>0</v>
      </c>
      <c r="P658" s="10">
        <f>IF(ActiveDatabase=Standby,Secondary!P658,Primary!P658)</f>
        <v>0</v>
      </c>
      <c r="Q658" s="6">
        <f>IF(ActiveDatabase=Standby,Secondary!Q658,Primary!Q658)</f>
        <v>0</v>
      </c>
      <c r="R658" s="18">
        <f>IF(ActiveDatabase=Standby,Secondary!R658,Primary!R658)</f>
        <v>0</v>
      </c>
      <c r="S658" s="19">
        <f>IF(ActiveDatabase=Standby,Secondary!S658,Primary!S658)</f>
        <v>0</v>
      </c>
      <c r="T658" s="10">
        <f>IF(ActiveDatabase=Standby,Secondary!T658,Primary!T658)</f>
        <v>0</v>
      </c>
      <c r="U658" s="10">
        <f>IF(ActiveDatabase=Standby,Secondary!U658,Primary!U658)</f>
        <v>0</v>
      </c>
      <c r="V658" s="10">
        <f>IF(ActiveDatabase=Standby,Secondary!V658,Primary!V658)</f>
        <v>0</v>
      </c>
      <c r="W658" s="6">
        <f>IF(ActiveDatabase=Standby,Secondary!W658,Primary!W658)</f>
        <v>0</v>
      </c>
      <c r="X658" s="6">
        <f>IF(ActiveDatabase=Standby,Secondary!X658,Primary!X658)</f>
        <v>0</v>
      </c>
      <c r="Y658" s="12">
        <f>IF(ActiveDatabase=Standby,Secondary!Y658,Primary!Y658)</f>
        <v>0</v>
      </c>
      <c r="Z658" s="12">
        <f>IF(ActiveDatabase=Standby,Secondary!Z658,Primary!Z658)</f>
        <v>0</v>
      </c>
      <c r="AA658" s="9">
        <f>IF(ActiveDatabase=Standby,Secondary!AA658,Primary!AA658)</f>
        <v>0</v>
      </c>
      <c r="AB658" s="12"/>
      <c r="AC658" s="6"/>
      <c r="AD658" s="6"/>
      <c r="AE658" s="7"/>
      <c r="AF658" s="7"/>
      <c r="AG658" s="7"/>
      <c r="AH658" s="7"/>
      <c r="AI658" s="7"/>
      <c r="AJ658" s="7"/>
      <c r="AK658" s="7"/>
      <c r="AL658" s="7"/>
      <c r="AM658" s="7"/>
      <c r="AN658" s="7"/>
      <c r="AO658" s="6"/>
      <c r="AP658" s="7"/>
      <c r="AQ658" s="7"/>
      <c r="AR658" s="6"/>
      <c r="AS658" s="7"/>
      <c r="AT658" s="7"/>
      <c r="AU658" s="7"/>
      <c r="AV658" s="7"/>
      <c r="AW658" s="7"/>
      <c r="AX658" s="7"/>
      <c r="AY658" s="7"/>
      <c r="AZ658" s="7"/>
      <c r="BA658" s="7"/>
      <c r="BB658" s="7"/>
      <c r="BC658" s="7"/>
      <c r="BD658" s="7"/>
      <c r="BE658" s="7"/>
      <c r="BF658" s="7"/>
      <c r="BG658" s="7"/>
    </row>
    <row r="659" customHeight="1" spans="1:59">
      <c r="A659" s="9" t="str">
        <f>IF(ActiveDatabase=Standby,Secondary!A659,Primary!A659)</f>
        <v>Magda 51</v>
      </c>
      <c r="B659" s="5" t="str">
        <f>IF(ActiveDatabase=Standby,Secondary!B659,Primary!B659)</f>
        <v>Magda 60</v>
      </c>
      <c r="C659" s="5" t="str">
        <f>IF(ActiveDatabase=Standby,Secondary!C659,Primary!C659)</f>
        <v>Magda 01</v>
      </c>
      <c r="D659" s="5" t="str">
        <f>IF(ActiveDatabase=Standby,Secondary!D659,Primary!D659)</f>
        <v>Sketto Rock</v>
      </c>
      <c r="E659" s="6" t="str">
        <f>IF(ActiveDatabase=Standby,Secondary!E659,Primary!E659)</f>
        <v>Sketto</v>
      </c>
      <c r="F659" s="10">
        <f>IF(ActiveDatabase=Standby,Secondary!F659,Primary!F659)</f>
        <v>-335.013</v>
      </c>
      <c r="G659" s="10">
        <f>IF(ActiveDatabase=Standby,Secondary!G659,Primary!G659)</f>
        <v>45.699</v>
      </c>
      <c r="H659" s="10">
        <f>IF(ActiveDatabase=Standby,Secondary!H659,Primary!H659)</f>
        <v>50.233</v>
      </c>
      <c r="I659" s="13">
        <f>IF(ActiveDatabase=Standby,Secondary!I659,Primary!I659)</f>
        <v>0</v>
      </c>
      <c r="J659" s="13">
        <f>IF(ActiveDatabase=Standby,Secondary!J659,Primary!J659)</f>
        <v>0</v>
      </c>
      <c r="K659" s="13">
        <f>IF(ActiveDatabase=Standby,Secondary!K659,Primary!K659)</f>
        <v>0</v>
      </c>
      <c r="L659" s="13">
        <f>IF(ActiveDatabase=Standby,Secondary!L659,Primary!L659)</f>
        <v>0</v>
      </c>
      <c r="M659" s="7" t="b">
        <f>IF(ActiveDatabase=Standby,Secondary!M659,Primary!M659)</f>
        <v>0</v>
      </c>
      <c r="N659" s="10">
        <f>IF(ActiveDatabase=Standby,Secondary!N659,Primary!N659)</f>
        <v>0</v>
      </c>
      <c r="O659" s="10">
        <f>IF(ActiveDatabase=Standby,Secondary!O659,Primary!O659)</f>
        <v>0</v>
      </c>
      <c r="P659" s="10">
        <f>IF(ActiveDatabase=Standby,Secondary!P659,Primary!P659)</f>
        <v>0</v>
      </c>
      <c r="Q659" s="6">
        <f>IF(ActiveDatabase=Standby,Secondary!Q659,Primary!Q659)</f>
        <v>0</v>
      </c>
      <c r="R659" s="18">
        <f>IF(ActiveDatabase=Standby,Secondary!R659,Primary!R659)</f>
        <v>0</v>
      </c>
      <c r="S659" s="19">
        <f>IF(ActiveDatabase=Standby,Secondary!S659,Primary!S659)</f>
        <v>0</v>
      </c>
      <c r="T659" s="10">
        <f>IF(ActiveDatabase=Standby,Secondary!T659,Primary!T659)</f>
        <v>0</v>
      </c>
      <c r="U659" s="10">
        <f>IF(ActiveDatabase=Standby,Secondary!U659,Primary!U659)</f>
        <v>0</v>
      </c>
      <c r="V659" s="10">
        <f>IF(ActiveDatabase=Standby,Secondary!V659,Primary!V659)</f>
        <v>0</v>
      </c>
      <c r="W659" s="6">
        <f>IF(ActiveDatabase=Standby,Secondary!W659,Primary!W659)</f>
        <v>0</v>
      </c>
      <c r="X659" s="6">
        <f>IF(ActiveDatabase=Standby,Secondary!X659,Primary!X659)</f>
        <v>0</v>
      </c>
      <c r="Y659" s="12">
        <f>IF(ActiveDatabase=Standby,Secondary!Y659,Primary!Y659)</f>
        <v>0</v>
      </c>
      <c r="Z659" s="12">
        <f>IF(ActiveDatabase=Standby,Secondary!Z659,Primary!Z659)</f>
        <v>0</v>
      </c>
      <c r="AA659" s="9">
        <f>IF(ActiveDatabase=Standby,Secondary!AA659,Primary!AA659)</f>
        <v>0</v>
      </c>
      <c r="AB659" s="12"/>
      <c r="AC659" s="6"/>
      <c r="AD659" s="6"/>
      <c r="AE659" s="7"/>
      <c r="AF659" s="7"/>
      <c r="AG659" s="7"/>
      <c r="AH659" s="7"/>
      <c r="AI659" s="7"/>
      <c r="AJ659" s="7"/>
      <c r="AK659" s="7"/>
      <c r="AL659" s="7"/>
      <c r="AM659" s="7"/>
      <c r="AN659" s="7"/>
      <c r="AO659" s="6"/>
      <c r="AP659" s="7"/>
      <c r="AQ659" s="7"/>
      <c r="AR659" s="6"/>
      <c r="AS659" s="7"/>
      <c r="AT659" s="7"/>
      <c r="AU659" s="7"/>
      <c r="AV659" s="7"/>
      <c r="AW659" s="7"/>
      <c r="AX659" s="7"/>
      <c r="AY659" s="7"/>
      <c r="AZ659" s="7"/>
      <c r="BA659" s="7"/>
      <c r="BB659" s="7"/>
      <c r="BC659" s="7"/>
      <c r="BD659" s="7"/>
      <c r="BE659" s="7"/>
      <c r="BF659" s="7"/>
      <c r="BG659" s="7"/>
    </row>
    <row r="660" customHeight="1" spans="1:59">
      <c r="A660" s="9" t="str">
        <f>IF(ActiveDatabase=Standby,Secondary!A660,Primary!A660)</f>
        <v>Magda 52</v>
      </c>
      <c r="B660" s="5" t="str">
        <f>IF(ActiveDatabase=Standby,Secondary!B660,Primary!B660)</f>
        <v>Magda 61</v>
      </c>
      <c r="C660" s="5" t="str">
        <f>IF(ActiveDatabase=Standby,Secondary!C660,Primary!C660)</f>
        <v>Magda</v>
      </c>
      <c r="D660" s="5" t="str">
        <f>IF(ActiveDatabase=Standby,Secondary!D660,Primary!D660)</f>
        <v>Murphy's Promontory</v>
      </c>
      <c r="E660" s="6" t="str">
        <f>IF(ActiveDatabase=Standby,Secondary!E660,Primary!E660)</f>
        <v>Murphy</v>
      </c>
      <c r="F660" s="10">
        <f>IF(ActiveDatabase=Standby,Secondary!F660,Primary!F660)</f>
        <v>72.962</v>
      </c>
      <c r="G660" s="10">
        <f>IF(ActiveDatabase=Standby,Secondary!G660,Primary!G660)</f>
        <v>-232.035</v>
      </c>
      <c r="H660" s="10">
        <f>IF(ActiveDatabase=Standby,Secondary!H660,Primary!H660)</f>
        <v>239.173</v>
      </c>
      <c r="I660" s="13">
        <f>IF(ActiveDatabase=Standby,Secondary!I660,Primary!I660)</f>
        <v>0</v>
      </c>
      <c r="J660" s="13">
        <f>IF(ActiveDatabase=Standby,Secondary!J660,Primary!J660)</f>
        <v>0</v>
      </c>
      <c r="K660" s="13">
        <f>IF(ActiveDatabase=Standby,Secondary!K660,Primary!K660)</f>
        <v>0</v>
      </c>
      <c r="L660" s="13">
        <f>IF(ActiveDatabase=Standby,Secondary!L660,Primary!L660)</f>
        <v>0</v>
      </c>
      <c r="M660" s="7" t="b">
        <f>IF(ActiveDatabase=Standby,Secondary!M660,Primary!M660)</f>
        <v>0</v>
      </c>
      <c r="N660" s="10">
        <f>IF(ActiveDatabase=Standby,Secondary!N660,Primary!N660)</f>
        <v>0</v>
      </c>
      <c r="O660" s="10">
        <f>IF(ActiveDatabase=Standby,Secondary!O660,Primary!O660)</f>
        <v>0</v>
      </c>
      <c r="P660" s="10">
        <f>IF(ActiveDatabase=Standby,Secondary!P660,Primary!P660)</f>
        <v>0</v>
      </c>
      <c r="Q660" s="6">
        <f>IF(ActiveDatabase=Standby,Secondary!Q660,Primary!Q660)</f>
        <v>0</v>
      </c>
      <c r="R660" s="18">
        <f>IF(ActiveDatabase=Standby,Secondary!R660,Primary!R660)</f>
        <v>0</v>
      </c>
      <c r="S660" s="19">
        <f>IF(ActiveDatabase=Standby,Secondary!S660,Primary!S660)</f>
        <v>0</v>
      </c>
      <c r="T660" s="10">
        <f>IF(ActiveDatabase=Standby,Secondary!T660,Primary!T660)</f>
        <v>0</v>
      </c>
      <c r="U660" s="10">
        <f>IF(ActiveDatabase=Standby,Secondary!U660,Primary!U660)</f>
        <v>0</v>
      </c>
      <c r="V660" s="10">
        <f>IF(ActiveDatabase=Standby,Secondary!V660,Primary!V660)</f>
        <v>0</v>
      </c>
      <c r="W660" s="6">
        <f>IF(ActiveDatabase=Standby,Secondary!W660,Primary!W660)</f>
        <v>0</v>
      </c>
      <c r="X660" s="6">
        <f>IF(ActiveDatabase=Standby,Secondary!X660,Primary!X660)</f>
        <v>0</v>
      </c>
      <c r="Y660" s="12">
        <f>IF(ActiveDatabase=Standby,Secondary!Y660,Primary!Y660)</f>
        <v>0</v>
      </c>
      <c r="Z660" s="12">
        <f>IF(ActiveDatabase=Standby,Secondary!Z660,Primary!Z660)</f>
        <v>0</v>
      </c>
      <c r="AA660" s="6">
        <f>IF(ActiveDatabase=Standby,Secondary!AA660,Primary!AA660)</f>
        <v>0</v>
      </c>
      <c r="AB660" s="12"/>
      <c r="AC660" s="6"/>
      <c r="AD660" s="6"/>
      <c r="AE660" s="7"/>
      <c r="AF660" s="7"/>
      <c r="AG660" s="7"/>
      <c r="AH660" s="7"/>
      <c r="AI660" s="7"/>
      <c r="AJ660" s="7"/>
      <c r="AK660" s="7"/>
      <c r="AL660" s="7"/>
      <c r="AM660" s="7"/>
      <c r="AN660" s="7"/>
      <c r="AO660" s="6"/>
      <c r="AP660" s="7"/>
      <c r="AQ660" s="7"/>
      <c r="AR660" s="6"/>
      <c r="AS660" s="6"/>
      <c r="AT660" s="6"/>
      <c r="AU660" s="6"/>
      <c r="AV660" s="6"/>
      <c r="AW660" s="6"/>
      <c r="AX660" s="6"/>
      <c r="AY660" s="6"/>
      <c r="AZ660" s="6"/>
      <c r="BA660" s="6"/>
      <c r="BB660" s="6"/>
      <c r="BC660" s="6"/>
      <c r="BD660" s="6"/>
      <c r="BE660" s="6"/>
      <c r="BF660" s="6"/>
      <c r="BG660" s="6"/>
    </row>
    <row r="661" customHeight="1" spans="1:59">
      <c r="A661" s="9">
        <f>IF(ActiveDatabase=Standby,Secondary!A661,Primary!A661)</f>
        <v>0</v>
      </c>
      <c r="B661" s="5">
        <f>IF(ActiveDatabase=Standby,Secondary!B661,Primary!B661)</f>
        <v>0</v>
      </c>
      <c r="C661" s="5">
        <f>IF(ActiveDatabase=Standby,Secondary!C661,Primary!C661)</f>
        <v>0</v>
      </c>
      <c r="D661" s="5">
        <f>IF(ActiveDatabase=Standby,Secondary!D661,Primary!D661)</f>
        <v>0</v>
      </c>
      <c r="E661" s="6">
        <f>IF(ActiveDatabase=Standby,Secondary!E661,Primary!E661)</f>
        <v>0</v>
      </c>
      <c r="F661" s="10">
        <f>IF(ActiveDatabase=Standby,Secondary!F661,Primary!F661)</f>
        <v>0</v>
      </c>
      <c r="G661" s="10">
        <f>IF(ActiveDatabase=Standby,Secondary!G661,Primary!G661)</f>
        <v>0</v>
      </c>
      <c r="H661" s="10">
        <f>IF(ActiveDatabase=Standby,Secondary!H661,Primary!H661)</f>
        <v>0</v>
      </c>
      <c r="I661" s="13">
        <f>IF(ActiveDatabase=Standby,Secondary!I661,Primary!I661)</f>
        <v>0</v>
      </c>
      <c r="J661" s="13">
        <f>IF(ActiveDatabase=Standby,Secondary!J661,Primary!J661)</f>
        <v>0</v>
      </c>
      <c r="K661" s="13">
        <f>IF(ActiveDatabase=Standby,Secondary!K661,Primary!K661)</f>
        <v>0</v>
      </c>
      <c r="L661" s="13">
        <f>IF(ActiveDatabase=Standby,Secondary!L661,Primary!L661)</f>
        <v>0</v>
      </c>
      <c r="M661" s="7">
        <f>IF(ActiveDatabase=Standby,Secondary!M661,Primary!M661)</f>
        <v>0</v>
      </c>
      <c r="N661" s="10">
        <f>IF(ActiveDatabase=Standby,Secondary!N661,Primary!N661)</f>
        <v>0</v>
      </c>
      <c r="O661" s="10">
        <f>IF(ActiveDatabase=Standby,Secondary!O661,Primary!O661)</f>
        <v>0</v>
      </c>
      <c r="P661" s="10">
        <f>IF(ActiveDatabase=Standby,Secondary!P661,Primary!P661)</f>
        <v>0</v>
      </c>
      <c r="Q661" s="6">
        <f>IF(ActiveDatabase=Standby,Secondary!Q661,Primary!Q661)</f>
        <v>0</v>
      </c>
      <c r="R661" s="18">
        <f>IF(ActiveDatabase=Standby,Secondary!R661,Primary!R661)</f>
        <v>0</v>
      </c>
      <c r="S661" s="19">
        <f>IF(ActiveDatabase=Standby,Secondary!S661,Primary!S661)</f>
        <v>0</v>
      </c>
      <c r="T661" s="10">
        <f>IF(ActiveDatabase=Standby,Secondary!T661,Primary!T661)</f>
        <v>0</v>
      </c>
      <c r="U661" s="10">
        <f>IF(ActiveDatabase=Standby,Secondary!U661,Primary!U661)</f>
        <v>0</v>
      </c>
      <c r="V661" s="10">
        <f>IF(ActiveDatabase=Standby,Secondary!V661,Primary!V661)</f>
        <v>0</v>
      </c>
      <c r="W661" s="6">
        <f>IF(ActiveDatabase=Standby,Secondary!W661,Primary!W661)</f>
        <v>0</v>
      </c>
      <c r="X661" s="6">
        <f>IF(ActiveDatabase=Standby,Secondary!X661,Primary!X661)</f>
        <v>0</v>
      </c>
      <c r="Y661" s="12">
        <f>IF(ActiveDatabase=Standby,Secondary!Y661,Primary!Y661)</f>
        <v>0</v>
      </c>
      <c r="Z661" s="12">
        <f>IF(ActiveDatabase=Standby,Secondary!Z661,Primary!Z661)</f>
        <v>0</v>
      </c>
      <c r="AA661" s="6">
        <f>IF(ActiveDatabase=Standby,Secondary!AA661,Primary!AA661)</f>
        <v>0</v>
      </c>
      <c r="AB661" s="12"/>
      <c r="AC661" s="6"/>
      <c r="AD661" s="6"/>
      <c r="AE661" s="7"/>
      <c r="AF661" s="7"/>
      <c r="AG661" s="7"/>
      <c r="AH661" s="7"/>
      <c r="AI661" s="7"/>
      <c r="AJ661" s="7"/>
      <c r="AK661" s="7"/>
      <c r="AL661" s="7"/>
      <c r="AM661" s="7"/>
      <c r="AN661" s="7"/>
      <c r="AO661" s="6"/>
      <c r="AP661" s="7"/>
      <c r="AQ661" s="7"/>
      <c r="AR661" s="6"/>
      <c r="AS661" s="6"/>
      <c r="AT661" s="6"/>
      <c r="AU661" s="6"/>
      <c r="AV661" s="6"/>
      <c r="AW661" s="6"/>
      <c r="AX661" s="6"/>
      <c r="AY661" s="6"/>
      <c r="AZ661" s="6"/>
      <c r="BA661" s="6"/>
      <c r="BB661" s="6"/>
      <c r="BC661" s="6"/>
      <c r="BD661" s="6"/>
      <c r="BE661" s="6"/>
      <c r="BF661" s="6"/>
      <c r="BG661" s="6"/>
    </row>
    <row r="662" customHeight="1" spans="1:59">
      <c r="A662" s="9" t="str">
        <f>IF(ActiveDatabase=Standby,Secondary!A662,Primary!A662)</f>
        <v>microTech R01</v>
      </c>
      <c r="B662" s="5" t="str">
        <f>IF(ActiveDatabase=Standby,Secondary!B662,Primary!B662)</f>
        <v>microTech 119</v>
      </c>
      <c r="C662" s="5">
        <f>IF(ActiveDatabase=Standby,Secondary!C662,Primary!C662)</f>
        <v>0</v>
      </c>
      <c r="D662" s="5" t="str">
        <f>IF(ActiveDatabase=Standby,Secondary!D662,Primary!D662)</f>
        <v>OM-1</v>
      </c>
      <c r="E662" s="6" t="str">
        <f>IF(ActiveDatabase=Standby,Secondary!E662,Primary!E662)</f>
        <v>OM1</v>
      </c>
      <c r="F662" s="10">
        <f>IF(ActiveDatabase=Standby,Secondary!F662,Primary!F662)</f>
        <v>0</v>
      </c>
      <c r="G662" s="10">
        <f>IF(ActiveDatabase=Standby,Secondary!G662,Primary!G662)</f>
        <v>0</v>
      </c>
      <c r="H662" s="10">
        <f>IF(ActiveDatabase=Standby,Secondary!H662,Primary!H662)</f>
        <v>1439.593</v>
      </c>
      <c r="I662" s="13">
        <f>IF(ActiveDatabase=Standby,Secondary!I662,Primary!I662)</f>
        <v>0</v>
      </c>
      <c r="J662" s="13">
        <f>IF(ActiveDatabase=Standby,Secondary!J662,Primary!J662)</f>
        <v>0</v>
      </c>
      <c r="K662" s="13">
        <f>IF(ActiveDatabase=Standby,Secondary!K662,Primary!K662)</f>
        <v>0</v>
      </c>
      <c r="L662" s="13">
        <f>IF(ActiveDatabase=Standby,Secondary!L662,Primary!L662)</f>
        <v>0</v>
      </c>
      <c r="M662" s="7" t="b">
        <f>IF(ActiveDatabase=Standby,Secondary!M662,Primary!M662)</f>
        <v>1</v>
      </c>
      <c r="N662" s="10">
        <f>IF(ActiveDatabase=Standby,Secondary!N662,Primary!N662)</f>
        <v>0</v>
      </c>
      <c r="O662" s="10">
        <f>IF(ActiveDatabase=Standby,Secondary!O662,Primary!O662)</f>
        <v>0</v>
      </c>
      <c r="P662" s="10">
        <f>IF(ActiveDatabase=Standby,Secondary!P662,Primary!P662)</f>
        <v>0</v>
      </c>
      <c r="Q662" s="6">
        <f>IF(ActiveDatabase=Standby,Secondary!Q662,Primary!Q662)</f>
        <v>0</v>
      </c>
      <c r="R662" s="18">
        <f>IF(ActiveDatabase=Standby,Secondary!R662,Primary!R662)</f>
        <v>0</v>
      </c>
      <c r="S662" s="19">
        <f>IF(ActiveDatabase=Standby,Secondary!S662,Primary!S662)</f>
        <v>0</v>
      </c>
      <c r="T662" s="10">
        <f>IF(ActiveDatabase=Standby,Secondary!T662,Primary!T662)</f>
        <v>0</v>
      </c>
      <c r="U662" s="10">
        <f>IF(ActiveDatabase=Standby,Secondary!U662,Primary!U662)</f>
        <v>0</v>
      </c>
      <c r="V662" s="10">
        <f>IF(ActiveDatabase=Standby,Secondary!V662,Primary!V662)</f>
        <v>0</v>
      </c>
      <c r="W662" s="6">
        <f>IF(ActiveDatabase=Standby,Secondary!W662,Primary!W662)</f>
        <v>0</v>
      </c>
      <c r="X662" s="6">
        <f>IF(ActiveDatabase=Standby,Secondary!X662,Primary!X662)</f>
        <v>0</v>
      </c>
      <c r="Y662" s="12">
        <f>IF(ActiveDatabase=Standby,Secondary!Y662,Primary!Y662)</f>
        <v>0</v>
      </c>
      <c r="Z662" s="12">
        <f>IF(ActiveDatabase=Standby,Secondary!Z662,Primary!Z662)</f>
        <v>0</v>
      </c>
      <c r="AA662" s="6">
        <f>IF(ActiveDatabase=Standby,Secondary!AA662,Primary!AA662)</f>
        <v>0</v>
      </c>
      <c r="AB662" s="12"/>
      <c r="AC662" s="6"/>
      <c r="AD662" s="6"/>
      <c r="AE662" s="7"/>
      <c r="AF662" s="7"/>
      <c r="AG662" s="7"/>
      <c r="AH662" s="7"/>
      <c r="AI662" s="7"/>
      <c r="AJ662" s="7"/>
      <c r="AK662" s="7"/>
      <c r="AL662" s="7"/>
      <c r="AM662" s="7"/>
      <c r="AN662" s="7"/>
      <c r="AO662" s="6"/>
      <c r="AP662" s="7"/>
      <c r="AQ662" s="7"/>
      <c r="AR662" s="6"/>
      <c r="AS662" s="6"/>
      <c r="AT662" s="6"/>
      <c r="AU662" s="6"/>
      <c r="AV662" s="6"/>
      <c r="AW662" s="6"/>
      <c r="AX662" s="6"/>
      <c r="AY662" s="6"/>
      <c r="AZ662" s="6"/>
      <c r="BA662" s="6"/>
      <c r="BB662" s="6"/>
      <c r="BC662" s="6"/>
      <c r="BD662" s="6"/>
      <c r="BE662" s="6"/>
      <c r="BF662" s="6"/>
      <c r="BG662" s="6"/>
    </row>
    <row r="663" customHeight="1" spans="1:59">
      <c r="A663" s="9" t="str">
        <f>IF(ActiveDatabase=Standby,Secondary!A663,Primary!A663)</f>
        <v>microTech R02</v>
      </c>
      <c r="B663" s="5" t="str">
        <f>IF(ActiveDatabase=Standby,Secondary!B663,Primary!B663)</f>
        <v>microTech 120</v>
      </c>
      <c r="C663" s="5">
        <f>IF(ActiveDatabase=Standby,Secondary!C663,Primary!C663)</f>
        <v>0</v>
      </c>
      <c r="D663" s="5" t="str">
        <f>IF(ActiveDatabase=Standby,Secondary!D663,Primary!D663)</f>
        <v>OM-2</v>
      </c>
      <c r="E663" s="6" t="str">
        <f>IF(ActiveDatabase=Standby,Secondary!E663,Primary!E663)</f>
        <v>OM2</v>
      </c>
      <c r="F663" s="10">
        <f>IF(ActiveDatabase=Standby,Secondary!F663,Primary!F663)</f>
        <v>0</v>
      </c>
      <c r="G663" s="10">
        <f>IF(ActiveDatabase=Standby,Secondary!G663,Primary!G663)</f>
        <v>0</v>
      </c>
      <c r="H663" s="10">
        <f>IF(ActiveDatabase=Standby,Secondary!H663,Primary!H663)</f>
        <v>-1439.593</v>
      </c>
      <c r="I663" s="13">
        <f>IF(ActiveDatabase=Standby,Secondary!I663,Primary!I663)</f>
        <v>0</v>
      </c>
      <c r="J663" s="13">
        <f>IF(ActiveDatabase=Standby,Secondary!J663,Primary!J663)</f>
        <v>0</v>
      </c>
      <c r="K663" s="13">
        <f>IF(ActiveDatabase=Standby,Secondary!K663,Primary!K663)</f>
        <v>0</v>
      </c>
      <c r="L663" s="13">
        <f>IF(ActiveDatabase=Standby,Secondary!L663,Primary!L663)</f>
        <v>0</v>
      </c>
      <c r="M663" s="7" t="b">
        <f>IF(ActiveDatabase=Standby,Secondary!M663,Primary!M663)</f>
        <v>1</v>
      </c>
      <c r="N663" s="10">
        <f>IF(ActiveDatabase=Standby,Secondary!N663,Primary!N663)</f>
        <v>0</v>
      </c>
      <c r="O663" s="10">
        <f>IF(ActiveDatabase=Standby,Secondary!O663,Primary!O663)</f>
        <v>0</v>
      </c>
      <c r="P663" s="10">
        <f>IF(ActiveDatabase=Standby,Secondary!P663,Primary!P663)</f>
        <v>0</v>
      </c>
      <c r="Q663" s="6">
        <f>IF(ActiveDatabase=Standby,Secondary!Q663,Primary!Q663)</f>
        <v>0</v>
      </c>
      <c r="R663" s="18">
        <f>IF(ActiveDatabase=Standby,Secondary!R663,Primary!R663)</f>
        <v>0</v>
      </c>
      <c r="S663" s="19">
        <f>IF(ActiveDatabase=Standby,Secondary!S663,Primary!S663)</f>
        <v>0</v>
      </c>
      <c r="T663" s="10">
        <f>IF(ActiveDatabase=Standby,Secondary!T663,Primary!T663)</f>
        <v>0</v>
      </c>
      <c r="U663" s="10">
        <f>IF(ActiveDatabase=Standby,Secondary!U663,Primary!U663)</f>
        <v>0</v>
      </c>
      <c r="V663" s="10">
        <f>IF(ActiveDatabase=Standby,Secondary!V663,Primary!V663)</f>
        <v>0</v>
      </c>
      <c r="W663" s="6">
        <f>IF(ActiveDatabase=Standby,Secondary!W663,Primary!W663)</f>
        <v>0</v>
      </c>
      <c r="X663" s="6">
        <f>IF(ActiveDatabase=Standby,Secondary!X663,Primary!X663)</f>
        <v>0</v>
      </c>
      <c r="Y663" s="12">
        <f>IF(ActiveDatabase=Standby,Secondary!Y663,Primary!Y663)</f>
        <v>0</v>
      </c>
      <c r="Z663" s="12">
        <f>IF(ActiveDatabase=Standby,Secondary!Z663,Primary!Z663)</f>
        <v>0</v>
      </c>
      <c r="AA663" s="6">
        <f>IF(ActiveDatabase=Standby,Secondary!AA663,Primary!AA663)</f>
        <v>0</v>
      </c>
      <c r="AB663" s="12"/>
      <c r="AC663" s="6"/>
      <c r="AD663" s="6"/>
      <c r="AE663" s="7"/>
      <c r="AF663" s="7"/>
      <c r="AG663" s="7"/>
      <c r="AH663" s="7"/>
      <c r="AI663" s="7"/>
      <c r="AJ663" s="7"/>
      <c r="AK663" s="7"/>
      <c r="AL663" s="7"/>
      <c r="AM663" s="7"/>
      <c r="AN663" s="7"/>
      <c r="AO663" s="6"/>
      <c r="AP663" s="7"/>
      <c r="AQ663" s="7"/>
      <c r="AR663" s="6"/>
      <c r="AS663" s="6"/>
      <c r="AT663" s="6"/>
      <c r="AU663" s="6"/>
      <c r="AV663" s="6"/>
      <c r="AW663" s="6"/>
      <c r="AX663" s="6"/>
      <c r="AY663" s="6"/>
      <c r="AZ663" s="6"/>
      <c r="BA663" s="6"/>
      <c r="BB663" s="6"/>
      <c r="BC663" s="6"/>
      <c r="BD663" s="6"/>
      <c r="BE663" s="6"/>
      <c r="BF663" s="6"/>
      <c r="BG663" s="6"/>
    </row>
    <row r="664" customHeight="1" spans="1:59">
      <c r="A664" s="9" t="str">
        <f>IF(ActiveDatabase=Standby,Secondary!A664,Primary!A664)</f>
        <v>microTech R03</v>
      </c>
      <c r="B664" s="5" t="str">
        <f>IF(ActiveDatabase=Standby,Secondary!B664,Primary!B664)</f>
        <v>microTech 121</v>
      </c>
      <c r="C664" s="5" t="str">
        <f>IF(ActiveDatabase=Standby,Secondary!C664,Primary!C664)</f>
        <v>microTech 39</v>
      </c>
      <c r="D664" s="5" t="str">
        <f>IF(ActiveDatabase=Standby,Secondary!D664,Primary!D664)</f>
        <v>OM-3</v>
      </c>
      <c r="E664" s="6" t="str">
        <f>IF(ActiveDatabase=Standby,Secondary!E664,Primary!E664)</f>
        <v>OM3</v>
      </c>
      <c r="F664" s="10">
        <f>IF(ActiveDatabase=Standby,Secondary!F664,Primary!F664)</f>
        <v>0</v>
      </c>
      <c r="G664" s="10">
        <f>IF(ActiveDatabase=Standby,Secondary!G664,Primary!G664)</f>
        <v>1439.593</v>
      </c>
      <c r="H664" s="10">
        <f>IF(ActiveDatabase=Standby,Secondary!H664,Primary!H664)</f>
        <v>0</v>
      </c>
      <c r="I664" s="13">
        <f>IF(ActiveDatabase=Standby,Secondary!I664,Primary!I664)</f>
        <v>0</v>
      </c>
      <c r="J664" s="13">
        <f>IF(ActiveDatabase=Standby,Secondary!J664,Primary!J664)</f>
        <v>0</v>
      </c>
      <c r="K664" s="13">
        <f>IF(ActiveDatabase=Standby,Secondary!K664,Primary!K664)</f>
        <v>0</v>
      </c>
      <c r="L664" s="13">
        <f>IF(ActiveDatabase=Standby,Secondary!L664,Primary!L664)</f>
        <v>0</v>
      </c>
      <c r="M664" s="7" t="b">
        <f>IF(ActiveDatabase=Standby,Secondary!M664,Primary!M664)</f>
        <v>1</v>
      </c>
      <c r="N664" s="10">
        <f>IF(ActiveDatabase=Standby,Secondary!N664,Primary!N664)</f>
        <v>0</v>
      </c>
      <c r="O664" s="10">
        <f>IF(ActiveDatabase=Standby,Secondary!O664,Primary!O664)</f>
        <v>0</v>
      </c>
      <c r="P664" s="10">
        <f>IF(ActiveDatabase=Standby,Secondary!P664,Primary!P664)</f>
        <v>0</v>
      </c>
      <c r="Q664" s="6">
        <f>IF(ActiveDatabase=Standby,Secondary!Q664,Primary!Q664)</f>
        <v>0</v>
      </c>
      <c r="R664" s="18">
        <f>IF(ActiveDatabase=Standby,Secondary!R664,Primary!R664)</f>
        <v>0</v>
      </c>
      <c r="S664" s="19">
        <f>IF(ActiveDatabase=Standby,Secondary!S664,Primary!S664)</f>
        <v>0</v>
      </c>
      <c r="T664" s="10">
        <f>IF(ActiveDatabase=Standby,Secondary!T664,Primary!T664)</f>
        <v>0</v>
      </c>
      <c r="U664" s="10">
        <f>IF(ActiveDatabase=Standby,Secondary!U664,Primary!U664)</f>
        <v>0</v>
      </c>
      <c r="V664" s="10">
        <f>IF(ActiveDatabase=Standby,Secondary!V664,Primary!V664)</f>
        <v>0</v>
      </c>
      <c r="W664" s="6">
        <f>IF(ActiveDatabase=Standby,Secondary!W664,Primary!W664)</f>
        <v>0</v>
      </c>
      <c r="X664" s="6">
        <f>IF(ActiveDatabase=Standby,Secondary!X664,Primary!X664)</f>
        <v>0</v>
      </c>
      <c r="Y664" s="12">
        <f>IF(ActiveDatabase=Standby,Secondary!Y664,Primary!Y664)</f>
        <v>0</v>
      </c>
      <c r="Z664" s="12">
        <f>IF(ActiveDatabase=Standby,Secondary!Z664,Primary!Z664)</f>
        <v>0</v>
      </c>
      <c r="AA664" s="6">
        <f>IF(ActiveDatabase=Standby,Secondary!AA664,Primary!AA664)</f>
        <v>0</v>
      </c>
      <c r="AB664" s="12"/>
      <c r="AC664" s="6"/>
      <c r="AD664" s="6"/>
      <c r="AE664" s="7"/>
      <c r="AF664" s="7"/>
      <c r="AG664" s="7"/>
      <c r="AH664" s="7"/>
      <c r="AI664" s="7"/>
      <c r="AJ664" s="7"/>
      <c r="AK664" s="7"/>
      <c r="AL664" s="7"/>
      <c r="AM664" s="7"/>
      <c r="AN664" s="7"/>
      <c r="AO664" s="6"/>
      <c r="AP664" s="7"/>
      <c r="AQ664" s="7"/>
      <c r="AR664" s="6"/>
      <c r="AS664" s="6"/>
      <c r="AT664" s="6"/>
      <c r="AU664" s="6"/>
      <c r="AV664" s="6"/>
      <c r="AW664" s="6"/>
      <c r="AX664" s="6"/>
      <c r="AY664" s="6"/>
      <c r="AZ664" s="6"/>
      <c r="BA664" s="6"/>
      <c r="BB664" s="6"/>
      <c r="BC664" s="6"/>
      <c r="BD664" s="6"/>
      <c r="BE664" s="6"/>
      <c r="BF664" s="6"/>
      <c r="BG664" s="6"/>
    </row>
    <row r="665" customHeight="1" spans="1:59">
      <c r="A665" s="9" t="str">
        <f>IF(ActiveDatabase=Standby,Secondary!A665,Primary!A665)</f>
        <v>microTech R04</v>
      </c>
      <c r="B665" s="5" t="str">
        <f>IF(ActiveDatabase=Standby,Secondary!B665,Primary!B665)</f>
        <v>microTech 122</v>
      </c>
      <c r="C665" s="5" t="str">
        <f>IF(ActiveDatabase=Standby,Secondary!C665,Primary!C665)</f>
        <v>microTech 87</v>
      </c>
      <c r="D665" s="5" t="str">
        <f>IF(ActiveDatabase=Standby,Secondary!D665,Primary!D665)</f>
        <v>OM-4</v>
      </c>
      <c r="E665" s="6" t="str">
        <f>IF(ActiveDatabase=Standby,Secondary!E665,Primary!E665)</f>
        <v>OM4</v>
      </c>
      <c r="F665" s="10">
        <f>IF(ActiveDatabase=Standby,Secondary!F665,Primary!F665)</f>
        <v>0</v>
      </c>
      <c r="G665" s="10">
        <f>IF(ActiveDatabase=Standby,Secondary!G665,Primary!G665)</f>
        <v>-1439.593</v>
      </c>
      <c r="H665" s="10">
        <f>IF(ActiveDatabase=Standby,Secondary!H665,Primary!H665)</f>
        <v>0</v>
      </c>
      <c r="I665" s="13">
        <f>IF(ActiveDatabase=Standby,Secondary!I665,Primary!I665)</f>
        <v>0</v>
      </c>
      <c r="J665" s="13">
        <f>IF(ActiveDatabase=Standby,Secondary!J665,Primary!J665)</f>
        <v>0</v>
      </c>
      <c r="K665" s="13">
        <f>IF(ActiveDatabase=Standby,Secondary!K665,Primary!K665)</f>
        <v>0</v>
      </c>
      <c r="L665" s="13">
        <f>IF(ActiveDatabase=Standby,Secondary!L665,Primary!L665)</f>
        <v>0</v>
      </c>
      <c r="M665" s="7" t="b">
        <f>IF(ActiveDatabase=Standby,Secondary!M665,Primary!M665)</f>
        <v>1</v>
      </c>
      <c r="N665" s="10">
        <f>IF(ActiveDatabase=Standby,Secondary!N665,Primary!N665)</f>
        <v>0</v>
      </c>
      <c r="O665" s="10">
        <f>IF(ActiveDatabase=Standby,Secondary!O665,Primary!O665)</f>
        <v>0</v>
      </c>
      <c r="P665" s="10">
        <f>IF(ActiveDatabase=Standby,Secondary!P665,Primary!P665)</f>
        <v>0</v>
      </c>
      <c r="Q665" s="6">
        <f>IF(ActiveDatabase=Standby,Secondary!Q665,Primary!Q665)</f>
        <v>0</v>
      </c>
      <c r="R665" s="18">
        <f>IF(ActiveDatabase=Standby,Secondary!R665,Primary!R665)</f>
        <v>0</v>
      </c>
      <c r="S665" s="19">
        <f>IF(ActiveDatabase=Standby,Secondary!S665,Primary!S665)</f>
        <v>0</v>
      </c>
      <c r="T665" s="10">
        <f>IF(ActiveDatabase=Standby,Secondary!T665,Primary!T665)</f>
        <v>0</v>
      </c>
      <c r="U665" s="10">
        <f>IF(ActiveDatabase=Standby,Secondary!U665,Primary!U665)</f>
        <v>0</v>
      </c>
      <c r="V665" s="10">
        <f>IF(ActiveDatabase=Standby,Secondary!V665,Primary!V665)</f>
        <v>0</v>
      </c>
      <c r="W665" s="6">
        <f>IF(ActiveDatabase=Standby,Secondary!W665,Primary!W665)</f>
        <v>0</v>
      </c>
      <c r="X665" s="6">
        <f>IF(ActiveDatabase=Standby,Secondary!X665,Primary!X665)</f>
        <v>0</v>
      </c>
      <c r="Y665" s="12">
        <f>IF(ActiveDatabase=Standby,Secondary!Y665,Primary!Y665)</f>
        <v>0</v>
      </c>
      <c r="Z665" s="12">
        <f>IF(ActiveDatabase=Standby,Secondary!Z665,Primary!Z665)</f>
        <v>0</v>
      </c>
      <c r="AA665" s="6">
        <f>IF(ActiveDatabase=Standby,Secondary!AA665,Primary!AA665)</f>
        <v>0</v>
      </c>
      <c r="AB665" s="12"/>
      <c r="AC665" s="6"/>
      <c r="AD665" s="6"/>
      <c r="AE665" s="7"/>
      <c r="AF665" s="7"/>
      <c r="AG665" s="7"/>
      <c r="AH665" s="7"/>
      <c r="AI665" s="7"/>
      <c r="AJ665" s="7"/>
      <c r="AK665" s="7"/>
      <c r="AL665" s="7"/>
      <c r="AM665" s="7"/>
      <c r="AN665" s="7"/>
      <c r="AO665" s="6"/>
      <c r="AP665" s="7"/>
      <c r="AQ665" s="7"/>
      <c r="AR665" s="6"/>
      <c r="AS665" s="6"/>
      <c r="AT665" s="6"/>
      <c r="AU665" s="6"/>
      <c r="AV665" s="6"/>
      <c r="AW665" s="6"/>
      <c r="AX665" s="6"/>
      <c r="AY665" s="6"/>
      <c r="AZ665" s="6"/>
      <c r="BA665" s="6"/>
      <c r="BB665" s="6"/>
      <c r="BC665" s="6"/>
      <c r="BD665" s="6"/>
      <c r="BE665" s="6"/>
      <c r="BF665" s="6"/>
      <c r="BG665" s="6"/>
    </row>
    <row r="666" customHeight="1" spans="1:59">
      <c r="A666" s="9" t="str">
        <f>IF(ActiveDatabase=Standby,Secondary!A666,Primary!A666)</f>
        <v>microTech R05</v>
      </c>
      <c r="B666" s="5" t="str">
        <f>IF(ActiveDatabase=Standby,Secondary!B666,Primary!B666)</f>
        <v>microTech 123</v>
      </c>
      <c r="C666" s="5" t="str">
        <f>IF(ActiveDatabase=Standby,Secondary!C666,Primary!C666)</f>
        <v>microTech 69</v>
      </c>
      <c r="D666" s="5" t="str">
        <f>IF(ActiveDatabase=Standby,Secondary!D666,Primary!D666)</f>
        <v>OM-5</v>
      </c>
      <c r="E666" s="6" t="str">
        <f>IF(ActiveDatabase=Standby,Secondary!E666,Primary!E666)</f>
        <v>OM5</v>
      </c>
      <c r="F666" s="10">
        <f>IF(ActiveDatabase=Standby,Secondary!F666,Primary!F666)</f>
        <v>1439.593</v>
      </c>
      <c r="G666" s="10">
        <f>IF(ActiveDatabase=Standby,Secondary!G666,Primary!G666)</f>
        <v>0</v>
      </c>
      <c r="H666" s="10">
        <f>IF(ActiveDatabase=Standby,Secondary!H666,Primary!H666)</f>
        <v>0</v>
      </c>
      <c r="I666" s="13">
        <f>IF(ActiveDatabase=Standby,Secondary!I666,Primary!I666)</f>
        <v>0</v>
      </c>
      <c r="J666" s="13">
        <f>IF(ActiveDatabase=Standby,Secondary!J666,Primary!J666)</f>
        <v>0</v>
      </c>
      <c r="K666" s="13">
        <f>IF(ActiveDatabase=Standby,Secondary!K666,Primary!K666)</f>
        <v>0</v>
      </c>
      <c r="L666" s="13">
        <f>IF(ActiveDatabase=Standby,Secondary!L666,Primary!L666)</f>
        <v>0</v>
      </c>
      <c r="M666" s="7" t="b">
        <f>IF(ActiveDatabase=Standby,Secondary!M666,Primary!M666)</f>
        <v>1</v>
      </c>
      <c r="N666" s="10">
        <f>IF(ActiveDatabase=Standby,Secondary!N666,Primary!N666)</f>
        <v>0</v>
      </c>
      <c r="O666" s="10">
        <f>IF(ActiveDatabase=Standby,Secondary!O666,Primary!O666)</f>
        <v>0</v>
      </c>
      <c r="P666" s="10">
        <f>IF(ActiveDatabase=Standby,Secondary!P666,Primary!P666)</f>
        <v>0</v>
      </c>
      <c r="Q666" s="6">
        <f>IF(ActiveDatabase=Standby,Secondary!Q666,Primary!Q666)</f>
        <v>0</v>
      </c>
      <c r="R666" s="18">
        <f>IF(ActiveDatabase=Standby,Secondary!R666,Primary!R666)</f>
        <v>0</v>
      </c>
      <c r="S666" s="19">
        <f>IF(ActiveDatabase=Standby,Secondary!S666,Primary!S666)</f>
        <v>0</v>
      </c>
      <c r="T666" s="10">
        <f>IF(ActiveDatabase=Standby,Secondary!T666,Primary!T666)</f>
        <v>0</v>
      </c>
      <c r="U666" s="10">
        <f>IF(ActiveDatabase=Standby,Secondary!U666,Primary!U666)</f>
        <v>0</v>
      </c>
      <c r="V666" s="10">
        <f>IF(ActiveDatabase=Standby,Secondary!V666,Primary!V666)</f>
        <v>0</v>
      </c>
      <c r="W666" s="6">
        <f>IF(ActiveDatabase=Standby,Secondary!W666,Primary!W666)</f>
        <v>0</v>
      </c>
      <c r="X666" s="6">
        <f>IF(ActiveDatabase=Standby,Secondary!X666,Primary!X666)</f>
        <v>0</v>
      </c>
      <c r="Y666" s="12">
        <f>IF(ActiveDatabase=Standby,Secondary!Y666,Primary!Y666)</f>
        <v>0</v>
      </c>
      <c r="Z666" s="12">
        <f>IF(ActiveDatabase=Standby,Secondary!Z666,Primary!Z666)</f>
        <v>0</v>
      </c>
      <c r="AA666" s="6">
        <f>IF(ActiveDatabase=Standby,Secondary!AA666,Primary!AA666)</f>
        <v>0</v>
      </c>
      <c r="AB666" s="12"/>
      <c r="AC666" s="6"/>
      <c r="AD666" s="6"/>
      <c r="AE666" s="7"/>
      <c r="AF666" s="7"/>
      <c r="AG666" s="7"/>
      <c r="AH666" s="7"/>
      <c r="AI666" s="7"/>
      <c r="AJ666" s="7"/>
      <c r="AK666" s="7"/>
      <c r="AL666" s="7"/>
      <c r="AM666" s="7"/>
      <c r="AN666" s="7"/>
      <c r="AO666" s="6"/>
      <c r="AP666" s="7"/>
      <c r="AQ666" s="7"/>
      <c r="AR666" s="6"/>
      <c r="AS666" s="6"/>
      <c r="AT666" s="6"/>
      <c r="AU666" s="6"/>
      <c r="AV666" s="6"/>
      <c r="AW666" s="6"/>
      <c r="AX666" s="6"/>
      <c r="AY666" s="6"/>
      <c r="AZ666" s="6"/>
      <c r="BA666" s="6"/>
      <c r="BB666" s="6"/>
      <c r="BC666" s="6"/>
      <c r="BD666" s="6"/>
      <c r="BE666" s="6"/>
      <c r="BF666" s="6"/>
      <c r="BG666" s="6"/>
    </row>
    <row r="667" customHeight="1" spans="1:59">
      <c r="A667" s="9" t="str">
        <f>IF(ActiveDatabase=Standby,Secondary!A667,Primary!A667)</f>
        <v>microTech R06</v>
      </c>
      <c r="B667" s="5" t="str">
        <f>IF(ActiveDatabase=Standby,Secondary!B667,Primary!B667)</f>
        <v>microTech 124</v>
      </c>
      <c r="C667" s="5" t="str">
        <f>IF(ActiveDatabase=Standby,Secondary!C667,Primary!C667)</f>
        <v>microTech 101</v>
      </c>
      <c r="D667" s="5" t="str">
        <f>IF(ActiveDatabase=Standby,Secondary!D667,Primary!D667)</f>
        <v>OM-6</v>
      </c>
      <c r="E667" s="6" t="str">
        <f>IF(ActiveDatabase=Standby,Secondary!E667,Primary!E667)</f>
        <v>OM6</v>
      </c>
      <c r="F667" s="10">
        <f>IF(ActiveDatabase=Standby,Secondary!F667,Primary!F667)</f>
        <v>-1439.593</v>
      </c>
      <c r="G667" s="10">
        <f>IF(ActiveDatabase=Standby,Secondary!G667,Primary!G667)</f>
        <v>0</v>
      </c>
      <c r="H667" s="10">
        <f>IF(ActiveDatabase=Standby,Secondary!H667,Primary!H667)</f>
        <v>0</v>
      </c>
      <c r="I667" s="13">
        <f>IF(ActiveDatabase=Standby,Secondary!I667,Primary!I667)</f>
        <v>0</v>
      </c>
      <c r="J667" s="13">
        <f>IF(ActiveDatabase=Standby,Secondary!J667,Primary!J667)</f>
        <v>0</v>
      </c>
      <c r="K667" s="13">
        <f>IF(ActiveDatabase=Standby,Secondary!K667,Primary!K667)</f>
        <v>0</v>
      </c>
      <c r="L667" s="13">
        <f>IF(ActiveDatabase=Standby,Secondary!L667,Primary!L667)</f>
        <v>0</v>
      </c>
      <c r="M667" s="7" t="b">
        <f>IF(ActiveDatabase=Standby,Secondary!M667,Primary!M667)</f>
        <v>1</v>
      </c>
      <c r="N667" s="10">
        <f>IF(ActiveDatabase=Standby,Secondary!N667,Primary!N667)</f>
        <v>0</v>
      </c>
      <c r="O667" s="10">
        <f>IF(ActiveDatabase=Standby,Secondary!O667,Primary!O667)</f>
        <v>0</v>
      </c>
      <c r="P667" s="10">
        <f>IF(ActiveDatabase=Standby,Secondary!P667,Primary!P667)</f>
        <v>0</v>
      </c>
      <c r="Q667" s="6">
        <f>IF(ActiveDatabase=Standby,Secondary!Q667,Primary!Q667)</f>
        <v>0</v>
      </c>
      <c r="R667" s="18">
        <f>IF(ActiveDatabase=Standby,Secondary!R667,Primary!R667)</f>
        <v>0</v>
      </c>
      <c r="S667" s="19">
        <f>IF(ActiveDatabase=Standby,Secondary!S667,Primary!S667)</f>
        <v>0</v>
      </c>
      <c r="T667" s="10">
        <f>IF(ActiveDatabase=Standby,Secondary!T667,Primary!T667)</f>
        <v>0</v>
      </c>
      <c r="U667" s="10">
        <f>IF(ActiveDatabase=Standby,Secondary!U667,Primary!U667)</f>
        <v>0</v>
      </c>
      <c r="V667" s="10">
        <f>IF(ActiveDatabase=Standby,Secondary!V667,Primary!V667)</f>
        <v>0</v>
      </c>
      <c r="W667" s="6">
        <f>IF(ActiveDatabase=Standby,Secondary!W667,Primary!W667)</f>
        <v>0</v>
      </c>
      <c r="X667" s="6">
        <f>IF(ActiveDatabase=Standby,Secondary!X667,Primary!X667)</f>
        <v>0</v>
      </c>
      <c r="Y667" s="12">
        <f>IF(ActiveDatabase=Standby,Secondary!Y667,Primary!Y667)</f>
        <v>0</v>
      </c>
      <c r="Z667" s="12">
        <f>IF(ActiveDatabase=Standby,Secondary!Z667,Primary!Z667)</f>
        <v>0</v>
      </c>
      <c r="AA667" s="6">
        <f>IF(ActiveDatabase=Standby,Secondary!AA667,Primary!AA667)</f>
        <v>0</v>
      </c>
      <c r="AB667" s="12"/>
      <c r="AC667" s="6"/>
      <c r="AD667" s="6"/>
      <c r="AE667" s="7"/>
      <c r="AF667" s="7"/>
      <c r="AG667" s="7"/>
      <c r="AH667" s="7"/>
      <c r="AI667" s="7"/>
      <c r="AJ667" s="7"/>
      <c r="AK667" s="7"/>
      <c r="AL667" s="7"/>
      <c r="AM667" s="7"/>
      <c r="AN667" s="7"/>
      <c r="AO667" s="6"/>
      <c r="AP667" s="7"/>
      <c r="AQ667" s="7"/>
      <c r="AR667" s="6"/>
      <c r="AS667" s="6"/>
      <c r="AT667" s="6"/>
      <c r="AU667" s="6"/>
      <c r="AV667" s="6"/>
      <c r="AW667" s="6"/>
      <c r="AX667" s="6"/>
      <c r="AY667" s="6"/>
      <c r="AZ667" s="6"/>
      <c r="BA667" s="6"/>
      <c r="BB667" s="6"/>
      <c r="BC667" s="6"/>
      <c r="BD667" s="6"/>
      <c r="BE667" s="6"/>
      <c r="BF667" s="6"/>
      <c r="BG667" s="6"/>
    </row>
    <row r="668" customHeight="1" spans="1:59">
      <c r="A668" s="9" t="str">
        <f>IF(ActiveDatabase=Standby,Secondary!A668,Primary!A668)</f>
        <v>microTech</v>
      </c>
      <c r="B668" s="5" t="str">
        <f>IF(ActiveDatabase=Standby,Secondary!B668,Primary!B668)</f>
        <v>microTech 00</v>
      </c>
      <c r="C668" s="5">
        <f>IF(ActiveDatabase=Standby,Secondary!C668,Primary!C668)</f>
        <v>0</v>
      </c>
      <c r="D668" s="5" t="str">
        <f>IF(ActiveDatabase=Standby,Secondary!D668,Primary!D668)</f>
        <v>Landing Zone</v>
      </c>
      <c r="E668" s="6">
        <f>IF(ActiveDatabase=Standby,Secondary!E668,Primary!E668)</f>
        <v>0</v>
      </c>
      <c r="F668" s="10">
        <f>IF(ActiveDatabase=Standby,Secondary!F668,Primary!F668)</f>
        <v>0</v>
      </c>
      <c r="G668" s="10">
        <f>IF(ActiveDatabase=Standby,Secondary!G668,Primary!G668)</f>
        <v>0</v>
      </c>
      <c r="H668" s="10">
        <f>IF(ActiveDatabase=Standby,Secondary!H668,Primary!H668)</f>
        <v>0</v>
      </c>
      <c r="I668" s="13">
        <f>IF(ActiveDatabase=Standby,Secondary!I668,Primary!I668)</f>
        <v>0</v>
      </c>
      <c r="J668" s="13">
        <f>IF(ActiveDatabase=Standby,Secondary!J668,Primary!J668)</f>
        <v>0</v>
      </c>
      <c r="K668" s="13">
        <f>IF(ActiveDatabase=Standby,Secondary!K668,Primary!K668)</f>
        <v>0</v>
      </c>
      <c r="L668" s="13">
        <f>IF(ActiveDatabase=Standby,Secondary!L668,Primary!L668)</f>
        <v>0</v>
      </c>
      <c r="M668" s="7">
        <f>IF(ActiveDatabase=Standby,Secondary!M668,Primary!M668)</f>
        <v>0</v>
      </c>
      <c r="N668" s="10">
        <f>IF(ActiveDatabase=Standby,Secondary!N668,Primary!N668)</f>
        <v>0</v>
      </c>
      <c r="O668" s="10">
        <f>IF(ActiveDatabase=Standby,Secondary!O668,Primary!O668)</f>
        <v>0</v>
      </c>
      <c r="P668" s="10">
        <f>IF(ActiveDatabase=Standby,Secondary!P668,Primary!P668)</f>
        <v>0</v>
      </c>
      <c r="Q668" s="6">
        <f>IF(ActiveDatabase=Standby,Secondary!Q668,Primary!Q668)</f>
        <v>0</v>
      </c>
      <c r="R668" s="18">
        <f>IF(ActiveDatabase=Standby,Secondary!R668,Primary!R668)</f>
        <v>0</v>
      </c>
      <c r="S668" s="19">
        <f>IF(ActiveDatabase=Standby,Secondary!S668,Primary!S668)</f>
        <v>0</v>
      </c>
      <c r="T668" s="10">
        <f>IF(ActiveDatabase=Standby,Secondary!T668,Primary!T668)</f>
        <v>0</v>
      </c>
      <c r="U668" s="10">
        <f>IF(ActiveDatabase=Standby,Secondary!U668,Primary!U668)</f>
        <v>0</v>
      </c>
      <c r="V668" s="10">
        <f>IF(ActiveDatabase=Standby,Secondary!V668,Primary!V668)</f>
        <v>0</v>
      </c>
      <c r="W668" s="6">
        <f>IF(ActiveDatabase=Standby,Secondary!W668,Primary!W668)</f>
        <v>0</v>
      </c>
      <c r="X668" s="6">
        <f>IF(ActiveDatabase=Standby,Secondary!X668,Primary!X668)</f>
        <v>0</v>
      </c>
      <c r="Y668" s="12">
        <f>IF(ActiveDatabase=Standby,Secondary!Y668,Primary!Y668)</f>
        <v>0</v>
      </c>
      <c r="Z668" s="12">
        <f>IF(ActiveDatabase=Standby,Secondary!Z668,Primary!Z668)</f>
        <v>0</v>
      </c>
      <c r="AA668" s="6">
        <f>IF(ActiveDatabase=Standby,Secondary!AA668,Primary!AA668)</f>
        <v>0</v>
      </c>
      <c r="AB668" s="12"/>
      <c r="AC668" s="6"/>
      <c r="AD668" s="6"/>
      <c r="AE668" s="7"/>
      <c r="AF668" s="7"/>
      <c r="AG668" s="7"/>
      <c r="AH668" s="7"/>
      <c r="AI668" s="7"/>
      <c r="AJ668" s="7"/>
      <c r="AK668" s="7"/>
      <c r="AL668" s="7"/>
      <c r="AM668" s="7"/>
      <c r="AN668" s="7"/>
      <c r="AO668" s="6"/>
      <c r="AP668" s="7"/>
      <c r="AQ668" s="7"/>
      <c r="AR668" s="6"/>
      <c r="AS668" s="6"/>
      <c r="AT668" s="6"/>
      <c r="AU668" s="6"/>
      <c r="AV668" s="6"/>
      <c r="AW668" s="6"/>
      <c r="AX668" s="6"/>
      <c r="AY668" s="6"/>
      <c r="AZ668" s="6"/>
      <c r="BA668" s="6"/>
      <c r="BB668" s="6"/>
      <c r="BC668" s="6"/>
      <c r="BD668" s="6"/>
      <c r="BE668" s="6"/>
      <c r="BF668" s="6"/>
      <c r="BG668" s="6"/>
    </row>
    <row r="669" customHeight="1" spans="1:59">
      <c r="A669" s="9" t="str">
        <f>IF(ActiveDatabase=Standby,Secondary!A669,Primary!A669)</f>
        <v>microTech 01</v>
      </c>
      <c r="B669" s="5" t="str">
        <f>IF(ActiveDatabase=Standby,Secondary!B669,Primary!B669)</f>
        <v>microTech 01</v>
      </c>
      <c r="C669" s="5" t="str">
        <f>IF(ActiveDatabase=Standby,Secondary!C669,Primary!C669)</f>
        <v>microTech 52</v>
      </c>
      <c r="D669" s="5" t="str">
        <f>IF(ActiveDatabase=Standby,Secondary!D669,Primary!D669)</f>
        <v>New Babbage</v>
      </c>
      <c r="E669" s="6" t="str">
        <f>IF(ActiveDatabase=Standby,Secondary!E669,Primary!E669)</f>
        <v>Babbage</v>
      </c>
      <c r="F669" s="10">
        <f>IF(ActiveDatabase=Standby,Secondary!F669,Primary!F669)</f>
        <v>520.722992113</v>
      </c>
      <c r="G669" s="10">
        <f>IF(ActiveDatabase=Standby,Secondary!G669,Primary!G669)</f>
        <v>419.364313161999</v>
      </c>
      <c r="H669" s="10">
        <f>IF(ActiveDatabase=Standby,Secondary!H669,Primary!H669)</f>
        <v>743.654685314</v>
      </c>
      <c r="I669" s="13">
        <f>IF(ActiveDatabase=Standby,Secondary!I669,Primary!I669)</f>
        <v>0</v>
      </c>
      <c r="J669" s="13">
        <f>IF(ActiveDatabase=Standby,Secondary!J669,Primary!J669)</f>
        <v>0</v>
      </c>
      <c r="K669" s="13">
        <f>IF(ActiveDatabase=Standby,Secondary!K669,Primary!K669)</f>
        <v>0</v>
      </c>
      <c r="L669" s="13">
        <f>IF(ActiveDatabase=Standby,Secondary!L669,Primary!L669)</f>
        <v>0</v>
      </c>
      <c r="M669" s="7" t="b">
        <f>IF(ActiveDatabase=Standby,Secondary!M669,Primary!M669)</f>
        <v>1</v>
      </c>
      <c r="N669" s="10">
        <f>IF(ActiveDatabase=Standby,Secondary!N669,Primary!N669)</f>
        <v>0</v>
      </c>
      <c r="O669" s="10">
        <f>IF(ActiveDatabase=Standby,Secondary!O669,Primary!O669)</f>
        <v>0</v>
      </c>
      <c r="P669" s="10">
        <f>IF(ActiveDatabase=Standby,Secondary!P669,Primary!P669)</f>
        <v>0</v>
      </c>
      <c r="Q669" s="6">
        <f>IF(ActiveDatabase=Standby,Secondary!Q669,Primary!Q669)</f>
        <v>0</v>
      </c>
      <c r="R669" s="18">
        <f>IF(ActiveDatabase=Standby,Secondary!R669,Primary!R669)</f>
        <v>0</v>
      </c>
      <c r="S669" s="19">
        <f>IF(ActiveDatabase=Standby,Secondary!S669,Primary!S669)</f>
        <v>0</v>
      </c>
      <c r="T669" s="10">
        <f>IF(ActiveDatabase=Standby,Secondary!T669,Primary!T669)</f>
        <v>0</v>
      </c>
      <c r="U669" s="10">
        <f>IF(ActiveDatabase=Standby,Secondary!U669,Primary!U669)</f>
        <v>0</v>
      </c>
      <c r="V669" s="10">
        <f>IF(ActiveDatabase=Standby,Secondary!V669,Primary!V669)</f>
        <v>0</v>
      </c>
      <c r="W669" s="6">
        <f>IF(ActiveDatabase=Standby,Secondary!W669,Primary!W669)</f>
        <v>0</v>
      </c>
      <c r="X669" s="6">
        <f>IF(ActiveDatabase=Standby,Secondary!X669,Primary!X669)</f>
        <v>0</v>
      </c>
      <c r="Y669" s="12">
        <f>IF(ActiveDatabase=Standby,Secondary!Y669,Primary!Y669)</f>
        <v>0</v>
      </c>
      <c r="Z669" s="12">
        <f>IF(ActiveDatabase=Standby,Secondary!Z669,Primary!Z669)</f>
        <v>0</v>
      </c>
      <c r="AA669" s="6">
        <f>IF(ActiveDatabase=Standby,Secondary!AA669,Primary!AA669)</f>
        <v>0</v>
      </c>
      <c r="AB669" s="12"/>
      <c r="AC669" s="6"/>
      <c r="AD669" s="6"/>
      <c r="AE669" s="7"/>
      <c r="AF669" s="7"/>
      <c r="AG669" s="7"/>
      <c r="AH669" s="7"/>
      <c r="AI669" s="7"/>
      <c r="AJ669" s="7"/>
      <c r="AK669" s="7"/>
      <c r="AL669" s="7"/>
      <c r="AM669" s="7"/>
      <c r="AN669" s="7"/>
      <c r="AO669" s="6"/>
      <c r="AP669" s="7"/>
      <c r="AQ669" s="7"/>
      <c r="AR669" s="6"/>
      <c r="AS669" s="6"/>
      <c r="AT669" s="6"/>
      <c r="AU669" s="6"/>
      <c r="AV669" s="6"/>
      <c r="AW669" s="6"/>
      <c r="AX669" s="6"/>
      <c r="AY669" s="6"/>
      <c r="AZ669" s="6"/>
      <c r="BA669" s="6"/>
      <c r="BB669" s="6"/>
      <c r="BC669" s="6"/>
      <c r="BD669" s="6"/>
      <c r="BE669" s="6"/>
      <c r="BF669" s="6"/>
      <c r="BG669" s="6"/>
    </row>
    <row r="670" customHeight="1" spans="1:59">
      <c r="A670" s="9" t="str">
        <f>IF(ActiveDatabase=Standby,Secondary!A670,Primary!A670)</f>
        <v>microTech 24</v>
      </c>
      <c r="B670" s="5" t="str">
        <f>IF(ActiveDatabase=Standby,Secondary!B670,Primary!B670)</f>
        <v>microTech 02</v>
      </c>
      <c r="C670" s="5" t="str">
        <f>IF(ActiveDatabase=Standby,Secondary!C670,Primary!C670)</f>
        <v>microTech 49</v>
      </c>
      <c r="D670" s="5" t="str">
        <f>IF(ActiveDatabase=Standby,Secondary!D670,Primary!D670)</f>
        <v>New Babbage Interstellar Spaceport</v>
      </c>
      <c r="E670" s="6" t="str">
        <f>IF(ActiveDatabase=Standby,Secondary!E670,Primary!E670)</f>
        <v>Spaceport</v>
      </c>
      <c r="F670" s="10">
        <f>IF(ActiveDatabase=Standby,Secondary!F670,Primary!F670)</f>
        <v>520.320401830282</v>
      </c>
      <c r="G670" s="10">
        <f>IF(ActiveDatabase=Standby,Secondary!G670,Primary!G670)</f>
        <v>435.102213305407</v>
      </c>
      <c r="H670" s="10">
        <f>IF(ActiveDatabase=Standby,Secondary!H670,Primary!H670)</f>
        <v>736.226011636578</v>
      </c>
      <c r="I670" s="13">
        <f>IF(ActiveDatabase=Standby,Secondary!I670,Primary!I670)</f>
        <v>0</v>
      </c>
      <c r="J670" s="13">
        <f>IF(ActiveDatabase=Standby,Secondary!J670,Primary!J670)</f>
        <v>0</v>
      </c>
      <c r="K670" s="13">
        <f>IF(ActiveDatabase=Standby,Secondary!K670,Primary!K670)</f>
        <v>0</v>
      </c>
      <c r="L670" s="13">
        <f>IF(ActiveDatabase=Standby,Secondary!L670,Primary!L670)</f>
        <v>0</v>
      </c>
      <c r="M670" s="7" t="b">
        <f>IF(ActiveDatabase=Standby,Secondary!M670,Primary!M670)</f>
        <v>0</v>
      </c>
      <c r="N670" s="10">
        <f>IF(ActiveDatabase=Standby,Secondary!N670,Primary!N670)</f>
        <v>0</v>
      </c>
      <c r="O670" s="10">
        <f>IF(ActiveDatabase=Standby,Secondary!O670,Primary!O670)</f>
        <v>0</v>
      </c>
      <c r="P670" s="10">
        <f>IF(ActiveDatabase=Standby,Secondary!P670,Primary!P670)</f>
        <v>0</v>
      </c>
      <c r="Q670" s="6">
        <f>IF(ActiveDatabase=Standby,Secondary!Q670,Primary!Q670)</f>
        <v>0</v>
      </c>
      <c r="R670" s="18">
        <f>IF(ActiveDatabase=Standby,Secondary!R670,Primary!R670)</f>
        <v>0</v>
      </c>
      <c r="S670" s="19">
        <f>IF(ActiveDatabase=Standby,Secondary!S670,Primary!S670)</f>
        <v>0</v>
      </c>
      <c r="T670" s="10">
        <f>IF(ActiveDatabase=Standby,Secondary!T670,Primary!T670)</f>
        <v>0</v>
      </c>
      <c r="U670" s="10">
        <f>IF(ActiveDatabase=Standby,Secondary!U670,Primary!U670)</f>
        <v>0</v>
      </c>
      <c r="V670" s="10">
        <f>IF(ActiveDatabase=Standby,Secondary!V670,Primary!V670)</f>
        <v>0</v>
      </c>
      <c r="W670" s="6">
        <f>IF(ActiveDatabase=Standby,Secondary!W670,Primary!W670)</f>
        <v>0</v>
      </c>
      <c r="X670" s="6">
        <f>IF(ActiveDatabase=Standby,Secondary!X670,Primary!X670)</f>
        <v>0</v>
      </c>
      <c r="Y670" s="12">
        <f>IF(ActiveDatabase=Standby,Secondary!Y670,Primary!Y670)</f>
        <v>0</v>
      </c>
      <c r="Z670" s="12">
        <f>IF(ActiveDatabase=Standby,Secondary!Z670,Primary!Z670)</f>
        <v>0</v>
      </c>
      <c r="AA670" s="6">
        <f>IF(ActiveDatabase=Standby,Secondary!AA670,Primary!AA670)</f>
        <v>0</v>
      </c>
      <c r="AB670" s="12"/>
      <c r="AC670" s="6"/>
      <c r="AD670" s="6"/>
      <c r="AE670" s="7"/>
      <c r="AF670" s="7"/>
      <c r="AG670" s="7"/>
      <c r="AH670" s="7"/>
      <c r="AI670" s="7"/>
      <c r="AJ670" s="7"/>
      <c r="AK670" s="7"/>
      <c r="AL670" s="7"/>
      <c r="AM670" s="7"/>
      <c r="AN670" s="7"/>
      <c r="AO670" s="6"/>
      <c r="AP670" s="7"/>
      <c r="AQ670" s="7"/>
      <c r="AR670" s="6"/>
      <c r="AS670" s="6"/>
      <c r="AT670" s="6"/>
      <c r="AU670" s="6"/>
      <c r="AV670" s="6"/>
      <c r="AW670" s="6"/>
      <c r="AX670" s="6"/>
      <c r="AY670" s="6"/>
      <c r="AZ670" s="6"/>
      <c r="BA670" s="6"/>
      <c r="BB670" s="6"/>
      <c r="BC670" s="6"/>
      <c r="BD670" s="6"/>
      <c r="BE670" s="6"/>
      <c r="BF670" s="6"/>
      <c r="BG670" s="6"/>
    </row>
    <row r="671" customHeight="1" spans="1:59">
      <c r="A671" s="9" t="str">
        <f>IF(ActiveDatabase=Standby,Secondary!A671,Primary!A671)</f>
        <v>microTech 02</v>
      </c>
      <c r="B671" s="5" t="str">
        <f>IF(ActiveDatabase=Standby,Secondary!B671,Primary!B671)</f>
        <v>microTech 03</v>
      </c>
      <c r="C671" s="5" t="str">
        <f>IF(ActiveDatabase=Standby,Secondary!C671,Primary!C671)</f>
        <v>microTech 45</v>
      </c>
      <c r="D671" s="5" t="str">
        <f>IF(ActiveDatabase=Standby,Secondary!D671,Primary!D671)</f>
        <v>Port Tressler</v>
      </c>
      <c r="E671" s="6" t="str">
        <f>IF(ActiveDatabase=Standby,Secondary!E671,Primary!E671)</f>
        <v>Tressler</v>
      </c>
      <c r="F671" s="10">
        <f>IF(ActiveDatabase=Standby,Secondary!F671,Primary!F671)</f>
        <v>561.471046150999</v>
      </c>
      <c r="G671" s="10">
        <f>IF(ActiveDatabase=Standby,Secondary!G671,Primary!G671)</f>
        <v>545.853017028999</v>
      </c>
      <c r="H671" s="10">
        <f>IF(ActiveDatabase=Standby,Secondary!H671,Primary!H671)</f>
        <v>808.831762530999</v>
      </c>
      <c r="I671" s="13">
        <f>IF(ActiveDatabase=Standby,Secondary!I671,Primary!I671)</f>
        <v>0</v>
      </c>
      <c r="J671" s="13">
        <f>IF(ActiveDatabase=Standby,Secondary!J671,Primary!J671)</f>
        <v>0</v>
      </c>
      <c r="K671" s="13">
        <f>IF(ActiveDatabase=Standby,Secondary!K671,Primary!K671)</f>
        <v>0</v>
      </c>
      <c r="L671" s="13">
        <f>IF(ActiveDatabase=Standby,Secondary!L671,Primary!L671)</f>
        <v>0</v>
      </c>
      <c r="M671" s="7" t="b">
        <f>IF(ActiveDatabase=Standby,Secondary!M671,Primary!M671)</f>
        <v>1</v>
      </c>
      <c r="N671" s="10">
        <f>IF(ActiveDatabase=Standby,Secondary!N671,Primary!N671)</f>
        <v>0</v>
      </c>
      <c r="O671" s="10">
        <f>IF(ActiveDatabase=Standby,Secondary!O671,Primary!O671)</f>
        <v>0</v>
      </c>
      <c r="P671" s="10">
        <f>IF(ActiveDatabase=Standby,Secondary!P671,Primary!P671)</f>
        <v>0</v>
      </c>
      <c r="Q671" s="6">
        <f>IF(ActiveDatabase=Standby,Secondary!Q671,Primary!Q671)</f>
        <v>0</v>
      </c>
      <c r="R671" s="18">
        <f>IF(ActiveDatabase=Standby,Secondary!R671,Primary!R671)</f>
        <v>0</v>
      </c>
      <c r="S671" s="19">
        <f>IF(ActiveDatabase=Standby,Secondary!S671,Primary!S671)</f>
        <v>0</v>
      </c>
      <c r="T671" s="10">
        <f>IF(ActiveDatabase=Standby,Secondary!T671,Primary!T671)</f>
        <v>0</v>
      </c>
      <c r="U671" s="10">
        <f>IF(ActiveDatabase=Standby,Secondary!U671,Primary!U671)</f>
        <v>0</v>
      </c>
      <c r="V671" s="10">
        <f>IF(ActiveDatabase=Standby,Secondary!V671,Primary!V671)</f>
        <v>0</v>
      </c>
      <c r="W671" s="6">
        <f>IF(ActiveDatabase=Standby,Secondary!W671,Primary!W671)</f>
        <v>0</v>
      </c>
      <c r="X671" s="6">
        <f>IF(ActiveDatabase=Standby,Secondary!X671,Primary!X671)</f>
        <v>0</v>
      </c>
      <c r="Y671" s="12">
        <f>IF(ActiveDatabase=Standby,Secondary!Y671,Primary!Y671)</f>
        <v>0</v>
      </c>
      <c r="Z671" s="12">
        <f>IF(ActiveDatabase=Standby,Secondary!Z671,Primary!Z671)</f>
        <v>0</v>
      </c>
      <c r="AA671" s="7">
        <f>IF(ActiveDatabase=Standby,Secondary!AA671,Primary!AA671)</f>
        <v>0</v>
      </c>
      <c r="AB671" s="12"/>
      <c r="AC671" s="6"/>
      <c r="AD671" s="6"/>
      <c r="AE671" s="7"/>
      <c r="AF671" s="7"/>
      <c r="AG671" s="7"/>
      <c r="AH671" s="7"/>
      <c r="AI671" s="7"/>
      <c r="AJ671" s="7"/>
      <c r="AK671" s="7"/>
      <c r="AL671" s="7"/>
      <c r="AM671" s="7"/>
      <c r="AN671" s="7"/>
      <c r="AO671" s="6"/>
      <c r="AP671" s="7"/>
      <c r="AQ671" s="7"/>
      <c r="AR671" s="6"/>
      <c r="AS671" s="7"/>
      <c r="AT671" s="7"/>
      <c r="AU671" s="7"/>
      <c r="AV671" s="7"/>
      <c r="AW671" s="7"/>
      <c r="AX671" s="7"/>
      <c r="AY671" s="7"/>
      <c r="AZ671" s="7"/>
      <c r="BA671" s="7"/>
      <c r="BB671" s="7"/>
      <c r="BC671" s="7"/>
      <c r="BD671" s="7"/>
      <c r="BE671" s="7"/>
      <c r="BF671" s="7"/>
      <c r="BG671" s="7"/>
    </row>
    <row r="672" customHeight="1" spans="1:59">
      <c r="A672" s="9" t="str">
        <f>IF(ActiveDatabase=Standby,Secondary!A672,Primary!A672)</f>
        <v>microTech</v>
      </c>
      <c r="B672" s="5" t="str">
        <f>IF(ActiveDatabase=Standby,Secondary!B672,Primary!B672)</f>
        <v>microTech 05</v>
      </c>
      <c r="C672" s="5">
        <f>IF(ActiveDatabase=Standby,Secondary!C672,Primary!C672)</f>
        <v>0</v>
      </c>
      <c r="D672" s="5" t="str">
        <f>IF(ActiveDatabase=Standby,Secondary!D672,Primary!D672)</f>
        <v>Trading Terminals</v>
      </c>
      <c r="E672" s="6">
        <f>IF(ActiveDatabase=Standby,Secondary!E672,Primary!E672)</f>
        <v>0</v>
      </c>
      <c r="F672" s="10">
        <f>IF(ActiveDatabase=Standby,Secondary!F672,Primary!F672)</f>
        <v>0</v>
      </c>
      <c r="G672" s="10">
        <f>IF(ActiveDatabase=Standby,Secondary!G672,Primary!G672)</f>
        <v>0</v>
      </c>
      <c r="H672" s="10">
        <f>IF(ActiveDatabase=Standby,Secondary!H672,Primary!H672)</f>
        <v>0</v>
      </c>
      <c r="I672" s="13">
        <f>IF(ActiveDatabase=Standby,Secondary!I672,Primary!I672)</f>
        <v>0</v>
      </c>
      <c r="J672" s="13">
        <f>IF(ActiveDatabase=Standby,Secondary!J672,Primary!J672)</f>
        <v>0</v>
      </c>
      <c r="K672" s="13">
        <f>IF(ActiveDatabase=Standby,Secondary!K672,Primary!K672)</f>
        <v>0</v>
      </c>
      <c r="L672" s="13">
        <f>IF(ActiveDatabase=Standby,Secondary!L672,Primary!L672)</f>
        <v>0</v>
      </c>
      <c r="M672" s="7">
        <f>IF(ActiveDatabase=Standby,Secondary!M672,Primary!M672)</f>
        <v>0</v>
      </c>
      <c r="N672" s="10">
        <f>IF(ActiveDatabase=Standby,Secondary!N672,Primary!N672)</f>
        <v>0</v>
      </c>
      <c r="O672" s="10">
        <f>IF(ActiveDatabase=Standby,Secondary!O672,Primary!O672)</f>
        <v>0</v>
      </c>
      <c r="P672" s="10">
        <f>IF(ActiveDatabase=Standby,Secondary!P672,Primary!P672)</f>
        <v>0</v>
      </c>
      <c r="Q672" s="6">
        <f>IF(ActiveDatabase=Standby,Secondary!Q672,Primary!Q672)</f>
        <v>0</v>
      </c>
      <c r="R672" s="18">
        <f>IF(ActiveDatabase=Standby,Secondary!R672,Primary!R672)</f>
        <v>0</v>
      </c>
      <c r="S672" s="19">
        <f>IF(ActiveDatabase=Standby,Secondary!S672,Primary!S672)</f>
        <v>0</v>
      </c>
      <c r="T672" s="10">
        <f>IF(ActiveDatabase=Standby,Secondary!T672,Primary!T672)</f>
        <v>0</v>
      </c>
      <c r="U672" s="10">
        <f>IF(ActiveDatabase=Standby,Secondary!U672,Primary!U672)</f>
        <v>0</v>
      </c>
      <c r="V672" s="10">
        <f>IF(ActiveDatabase=Standby,Secondary!V672,Primary!V672)</f>
        <v>0</v>
      </c>
      <c r="W672" s="6">
        <f>IF(ActiveDatabase=Standby,Secondary!W672,Primary!W672)</f>
        <v>0</v>
      </c>
      <c r="X672" s="6">
        <f>IF(ActiveDatabase=Standby,Secondary!X672,Primary!X672)</f>
        <v>0</v>
      </c>
      <c r="Y672" s="12">
        <f>IF(ActiveDatabase=Standby,Secondary!Y672,Primary!Y1330)</f>
        <v>0</v>
      </c>
      <c r="Z672" s="12">
        <f>IF(ActiveDatabase=Standby,Secondary!Z672,Primary!Z1330)</f>
        <v>0</v>
      </c>
      <c r="AA672" s="7">
        <f>IF(ActiveDatabase=Standby,Secondary!AA672,Primary!AA1330)</f>
        <v>0</v>
      </c>
      <c r="AB672" s="12"/>
      <c r="AC672" s="6"/>
      <c r="AD672" s="6"/>
      <c r="AE672" s="7"/>
      <c r="AF672" s="7"/>
      <c r="AG672" s="7"/>
      <c r="AH672" s="7"/>
      <c r="AI672" s="7"/>
      <c r="AJ672" s="7"/>
      <c r="AK672" s="7"/>
      <c r="AL672" s="7"/>
      <c r="AM672" s="7"/>
      <c r="AN672" s="7"/>
      <c r="AO672" s="6"/>
      <c r="AP672" s="7"/>
      <c r="AQ672" s="7"/>
      <c r="AR672" s="6"/>
      <c r="AS672" s="7"/>
      <c r="AT672" s="7"/>
      <c r="AU672" s="7"/>
      <c r="AV672" s="7"/>
      <c r="AW672" s="7"/>
      <c r="AX672" s="7"/>
      <c r="AY672" s="7"/>
      <c r="AZ672" s="7"/>
      <c r="BA672" s="7"/>
      <c r="BB672" s="7"/>
      <c r="BC672" s="7"/>
      <c r="BD672" s="7"/>
      <c r="BE672" s="7"/>
      <c r="BF672" s="7"/>
      <c r="BG672" s="7"/>
    </row>
    <row r="673" customHeight="1" spans="1:59">
      <c r="A673" s="9" t="str">
        <f>IF(ActiveDatabase=Standby,Secondary!A673,Primary!A673)</f>
        <v>microTech 03</v>
      </c>
      <c r="B673" s="5" t="str">
        <f>IF(ActiveDatabase=Standby,Secondary!B673,Primary!B673)</f>
        <v>microTech 06</v>
      </c>
      <c r="C673" s="5" t="str">
        <f>IF(ActiveDatabase=Standby,Secondary!C673,Primary!C673)</f>
        <v>microTech 96</v>
      </c>
      <c r="D673" s="5" t="str">
        <f>IF(ActiveDatabase=Standby,Secondary!D673,Primary!D673)</f>
        <v>Rayari Deltana Research Outpost (PB)</v>
      </c>
      <c r="E673" s="6" t="str">
        <f>IF(ActiveDatabase=Standby,Secondary!E673,Primary!E673)</f>
        <v>Rayari Deltana</v>
      </c>
      <c r="F673" s="10">
        <f>IF(ActiveDatabase=Standby,Secondary!F673,Primary!F673)</f>
        <v>-693.909981009999</v>
      </c>
      <c r="G673" s="10">
        <f>IF(ActiveDatabase=Standby,Secondary!G673,Primary!G673)</f>
        <v>-648.298794758999</v>
      </c>
      <c r="H673" s="10">
        <f>IF(ActiveDatabase=Standby,Secondary!H673,Primary!H673)</f>
        <v>316.681366334</v>
      </c>
      <c r="I673" s="13">
        <f>IF(ActiveDatabase=Standby,Secondary!I673,Primary!I673)</f>
        <v>0</v>
      </c>
      <c r="J673" s="13">
        <f>IF(ActiveDatabase=Standby,Secondary!J673,Primary!J673)</f>
        <v>0</v>
      </c>
      <c r="K673" s="13">
        <f>IF(ActiveDatabase=Standby,Secondary!K673,Primary!K673)</f>
        <v>0</v>
      </c>
      <c r="L673" s="13">
        <f>IF(ActiveDatabase=Standby,Secondary!L673,Primary!L673)</f>
        <v>0</v>
      </c>
      <c r="M673" s="7" t="b">
        <f>IF(ActiveDatabase=Standby,Secondary!M673,Primary!M673)</f>
        <v>1</v>
      </c>
      <c r="N673" s="10">
        <f>IF(ActiveDatabase=Standby,Secondary!N673,Primary!N673)</f>
        <v>0</v>
      </c>
      <c r="O673" s="10">
        <f>IF(ActiveDatabase=Standby,Secondary!O673,Primary!O673)</f>
        <v>0</v>
      </c>
      <c r="P673" s="10">
        <f>IF(ActiveDatabase=Standby,Secondary!P673,Primary!P673)</f>
        <v>0</v>
      </c>
      <c r="Q673" s="6">
        <f>IF(ActiveDatabase=Standby,Secondary!Q673,Primary!Q673)</f>
        <v>0</v>
      </c>
      <c r="R673" s="18">
        <f>IF(ActiveDatabase=Standby,Secondary!R673,Primary!R673)</f>
        <v>0</v>
      </c>
      <c r="S673" s="19">
        <f>IF(ActiveDatabase=Standby,Secondary!S673,Primary!S673)</f>
        <v>0</v>
      </c>
      <c r="T673" s="10">
        <f>IF(ActiveDatabase=Standby,Secondary!T673,Primary!T673)</f>
        <v>0</v>
      </c>
      <c r="U673" s="10">
        <f>IF(ActiveDatabase=Standby,Secondary!U673,Primary!U673)</f>
        <v>0</v>
      </c>
      <c r="V673" s="10">
        <f>IF(ActiveDatabase=Standby,Secondary!V673,Primary!V673)</f>
        <v>0</v>
      </c>
      <c r="W673" s="6">
        <f>IF(ActiveDatabase=Standby,Secondary!W673,Primary!W673)</f>
        <v>0</v>
      </c>
      <c r="X673" s="6">
        <f>IF(ActiveDatabase=Standby,Secondary!X673,Primary!X673)</f>
        <v>0</v>
      </c>
      <c r="Y673" s="12">
        <f>IF(ActiveDatabase=Standby,Secondary!Y673,Primary!Y1331)</f>
        <v>0</v>
      </c>
      <c r="Z673" s="12">
        <f>IF(ActiveDatabase=Standby,Secondary!Z673,Primary!Z1331)</f>
        <v>0</v>
      </c>
      <c r="AA673" s="7">
        <f>IF(ActiveDatabase=Standby,Secondary!AA673,Primary!AA1331)</f>
        <v>0</v>
      </c>
      <c r="AB673" s="12"/>
      <c r="AC673" s="6"/>
      <c r="AD673" s="6"/>
      <c r="AE673" s="7"/>
      <c r="AF673" s="7"/>
      <c r="AG673" s="7"/>
      <c r="AH673" s="7"/>
      <c r="AI673" s="7"/>
      <c r="AJ673" s="7"/>
      <c r="AK673" s="7"/>
      <c r="AL673" s="7"/>
      <c r="AM673" s="7"/>
      <c r="AN673" s="7"/>
      <c r="AO673" s="6"/>
      <c r="AP673" s="7"/>
      <c r="AQ673" s="7"/>
      <c r="AR673" s="6"/>
      <c r="AS673" s="7"/>
      <c r="AT673" s="7"/>
      <c r="AU673" s="7"/>
      <c r="AV673" s="7"/>
      <c r="AW673" s="7"/>
      <c r="AX673" s="7"/>
      <c r="AY673" s="7"/>
      <c r="AZ673" s="7"/>
      <c r="BA673" s="7"/>
      <c r="BB673" s="7"/>
      <c r="BC673" s="7"/>
      <c r="BD673" s="7"/>
      <c r="BE673" s="7"/>
      <c r="BF673" s="7"/>
      <c r="BG673" s="7"/>
    </row>
    <row r="674" customHeight="1" spans="1:59">
      <c r="A674" s="9" t="str">
        <f>IF(ActiveDatabase=Standby,Secondary!A674,Primary!A674)</f>
        <v>microTech 04</v>
      </c>
      <c r="B674" s="5" t="str">
        <f>IF(ActiveDatabase=Standby,Secondary!B674,Primary!B674)</f>
        <v>microTech 07</v>
      </c>
      <c r="C674" s="5" t="str">
        <f>IF(ActiveDatabase=Standby,Secondary!C674,Primary!C674)</f>
        <v>microTech 84</v>
      </c>
      <c r="D674" s="5" t="str">
        <f>IF(ActiveDatabase=Standby,Secondary!D674,Primary!D674)</f>
        <v>Shubin Mining Facility SM0-10 (PB)</v>
      </c>
      <c r="E674" s="6" t="str">
        <f>IF(ActiveDatabase=Standby,Secondary!E674,Primary!E674)</f>
        <v>Shubin 10</v>
      </c>
      <c r="F674" s="10">
        <f>IF(ActiveDatabase=Standby,Secondary!F674,Primary!F674)</f>
        <v>85.476133747</v>
      </c>
      <c r="G674" s="10">
        <f>IF(ActiveDatabase=Standby,Secondary!G674,Primary!G674)</f>
        <v>-950.855885394999</v>
      </c>
      <c r="H674" s="10">
        <f>IF(ActiveDatabase=Standby,Secondary!H674,Primary!H674)</f>
        <v>298.799440766</v>
      </c>
      <c r="I674" s="13">
        <f>IF(ActiveDatabase=Standby,Secondary!I674,Primary!I674)</f>
        <v>0</v>
      </c>
      <c r="J674" s="13">
        <f>IF(ActiveDatabase=Standby,Secondary!J674,Primary!J674)</f>
        <v>0</v>
      </c>
      <c r="K674" s="13">
        <f>IF(ActiveDatabase=Standby,Secondary!K674,Primary!K674)</f>
        <v>0</v>
      </c>
      <c r="L674" s="13">
        <f>IF(ActiveDatabase=Standby,Secondary!L674,Primary!L674)</f>
        <v>0</v>
      </c>
      <c r="M674" s="7" t="b">
        <f>IF(ActiveDatabase=Standby,Secondary!M674,Primary!M674)</f>
        <v>1</v>
      </c>
      <c r="N674" s="10">
        <f>IF(ActiveDatabase=Standby,Secondary!N674,Primary!N674)</f>
        <v>0</v>
      </c>
      <c r="O674" s="10">
        <f>IF(ActiveDatabase=Standby,Secondary!O674,Primary!O674)</f>
        <v>0</v>
      </c>
      <c r="P674" s="10">
        <f>IF(ActiveDatabase=Standby,Secondary!P674,Primary!P674)</f>
        <v>0</v>
      </c>
      <c r="Q674" s="6">
        <f>IF(ActiveDatabase=Standby,Secondary!Q674,Primary!Q674)</f>
        <v>0</v>
      </c>
      <c r="R674" s="18">
        <f>IF(ActiveDatabase=Standby,Secondary!R674,Primary!R674)</f>
        <v>0</v>
      </c>
      <c r="S674" s="19">
        <f>IF(ActiveDatabase=Standby,Secondary!S674,Primary!S674)</f>
        <v>0</v>
      </c>
      <c r="T674" s="10">
        <f>IF(ActiveDatabase=Standby,Secondary!T674,Primary!T674)</f>
        <v>0</v>
      </c>
      <c r="U674" s="10">
        <f>IF(ActiveDatabase=Standby,Secondary!U674,Primary!U674)</f>
        <v>0</v>
      </c>
      <c r="V674" s="10">
        <f>IF(ActiveDatabase=Standby,Secondary!V674,Primary!V674)</f>
        <v>0</v>
      </c>
      <c r="W674" s="6">
        <f>IF(ActiveDatabase=Standby,Secondary!W674,Primary!W674)</f>
        <v>0</v>
      </c>
      <c r="X674" s="6">
        <f>IF(ActiveDatabase=Standby,Secondary!X674,Primary!X674)</f>
        <v>0</v>
      </c>
      <c r="Y674" s="12">
        <f>IF(ActiveDatabase=Standby,Secondary!Y674,Primary!Y1332)</f>
        <v>0</v>
      </c>
      <c r="Z674" s="12">
        <f>IF(ActiveDatabase=Standby,Secondary!Z674,Primary!Z1332)</f>
        <v>0</v>
      </c>
      <c r="AA674" s="7">
        <f>IF(ActiveDatabase=Standby,Secondary!AA674,Primary!AA1332)</f>
        <v>0</v>
      </c>
      <c r="AB674" s="12"/>
      <c r="AC674" s="6"/>
      <c r="AD674" s="6"/>
      <c r="AE674" s="7"/>
      <c r="AF674" s="7"/>
      <c r="AG674" s="7"/>
      <c r="AH674" s="7"/>
      <c r="AI674" s="7"/>
      <c r="AJ674" s="7"/>
      <c r="AK674" s="7"/>
      <c r="AL674" s="7"/>
      <c r="AM674" s="7"/>
      <c r="AN674" s="7"/>
      <c r="AO674" s="6"/>
      <c r="AP674" s="7"/>
      <c r="AQ674" s="7"/>
      <c r="AR674" s="6"/>
      <c r="AS674" s="7"/>
      <c r="AT674" s="7"/>
      <c r="AU674" s="7"/>
      <c r="AV674" s="7"/>
      <c r="AW674" s="7"/>
      <c r="AX674" s="7"/>
      <c r="AY674" s="7"/>
      <c r="AZ674" s="7"/>
      <c r="BA674" s="7"/>
      <c r="BB674" s="7"/>
      <c r="BC674" s="7"/>
      <c r="BD674" s="7"/>
      <c r="BE674" s="7"/>
      <c r="BF674" s="7"/>
      <c r="BG674" s="7"/>
    </row>
    <row r="675" customHeight="1" spans="1:59">
      <c r="A675" s="9" t="str">
        <f>IF(ActiveDatabase=Standby,Secondary!A675,Primary!A675)</f>
        <v>microTech 05</v>
      </c>
      <c r="B675" s="5" t="str">
        <f>IF(ActiveDatabase=Standby,Secondary!B675,Primary!B675)</f>
        <v>microTech 08</v>
      </c>
      <c r="C675" s="5" t="str">
        <f>IF(ActiveDatabase=Standby,Secondary!C675,Primary!C675)</f>
        <v>microTech 89</v>
      </c>
      <c r="D675" s="5" t="str">
        <f>IF(ActiveDatabase=Standby,Secondary!D675,Primary!D675)</f>
        <v>Shubin Mining Facility SM0-13 (PB)</v>
      </c>
      <c r="E675" s="6" t="str">
        <f>IF(ActiveDatabase=Standby,Secondary!E675,Primary!E675)</f>
        <v>Shubin 13</v>
      </c>
      <c r="F675" s="10">
        <f>IF(ActiveDatabase=Standby,Secondary!F675,Primary!F675)</f>
        <v>-172.818644799</v>
      </c>
      <c r="G675" s="10">
        <f>IF(ActiveDatabase=Standby,Secondary!G675,Primary!G675)</f>
        <v>-981.308336199</v>
      </c>
      <c r="H675" s="10">
        <f>IF(ActiveDatabase=Standby,Secondary!H675,Primary!H675)</f>
        <v>97.7671820489999</v>
      </c>
      <c r="I675" s="13">
        <f>IF(ActiveDatabase=Standby,Secondary!I675,Primary!I675)</f>
        <v>0</v>
      </c>
      <c r="J675" s="13">
        <f>IF(ActiveDatabase=Standby,Secondary!J675,Primary!J675)</f>
        <v>0</v>
      </c>
      <c r="K675" s="13">
        <f>IF(ActiveDatabase=Standby,Secondary!K675,Primary!K675)</f>
        <v>0</v>
      </c>
      <c r="L675" s="13">
        <f>IF(ActiveDatabase=Standby,Secondary!L675,Primary!L675)</f>
        <v>0</v>
      </c>
      <c r="M675" s="7" t="b">
        <f>IF(ActiveDatabase=Standby,Secondary!M675,Primary!M675)</f>
        <v>1</v>
      </c>
      <c r="N675" s="10">
        <f>IF(ActiveDatabase=Standby,Secondary!N675,Primary!N675)</f>
        <v>0</v>
      </c>
      <c r="O675" s="10">
        <f>IF(ActiveDatabase=Standby,Secondary!O675,Primary!O675)</f>
        <v>0</v>
      </c>
      <c r="P675" s="10">
        <f>IF(ActiveDatabase=Standby,Secondary!P675,Primary!P675)</f>
        <v>0</v>
      </c>
      <c r="Q675" s="6">
        <f>IF(ActiveDatabase=Standby,Secondary!Q675,Primary!Q675)</f>
        <v>0</v>
      </c>
      <c r="R675" s="18">
        <f>IF(ActiveDatabase=Standby,Secondary!R675,Primary!R675)</f>
        <v>0</v>
      </c>
      <c r="S675" s="19">
        <f>IF(ActiveDatabase=Standby,Secondary!S675,Primary!S675)</f>
        <v>0</v>
      </c>
      <c r="T675" s="10">
        <f>IF(ActiveDatabase=Standby,Secondary!T675,Primary!T675)</f>
        <v>0</v>
      </c>
      <c r="U675" s="10">
        <f>IF(ActiveDatabase=Standby,Secondary!U675,Primary!U675)</f>
        <v>0</v>
      </c>
      <c r="V675" s="10">
        <f>IF(ActiveDatabase=Standby,Secondary!V675,Primary!V675)</f>
        <v>0</v>
      </c>
      <c r="W675" s="6">
        <f>IF(ActiveDatabase=Standby,Secondary!W675,Primary!W675)</f>
        <v>0</v>
      </c>
      <c r="X675" s="6">
        <f>IF(ActiveDatabase=Standby,Secondary!X675,Primary!X675)</f>
        <v>0</v>
      </c>
      <c r="Y675" s="12">
        <f>IF(ActiveDatabase=Standby,Secondary!Y675,Primary!Y1333)</f>
        <v>0</v>
      </c>
      <c r="Z675" s="12">
        <f>IF(ActiveDatabase=Standby,Secondary!Z675,Primary!Z1333)</f>
        <v>0</v>
      </c>
      <c r="AA675" s="7">
        <f>IF(ActiveDatabase=Standby,Secondary!AA675,Primary!AA1333)</f>
        <v>0</v>
      </c>
      <c r="AB675" s="12"/>
      <c r="AC675" s="6"/>
      <c r="AD675" s="6"/>
      <c r="AE675" s="7"/>
      <c r="AF675" s="7"/>
      <c r="AG675" s="7"/>
      <c r="AH675" s="7"/>
      <c r="AI675" s="7"/>
      <c r="AJ675" s="7"/>
      <c r="AK675" s="7"/>
      <c r="AL675" s="7"/>
      <c r="AM675" s="7"/>
      <c r="AN675" s="7"/>
      <c r="AO675" s="6"/>
      <c r="AP675" s="7"/>
      <c r="AQ675" s="7"/>
      <c r="AR675" s="6"/>
      <c r="AS675" s="7"/>
      <c r="AT675" s="7"/>
      <c r="AU675" s="7"/>
      <c r="AV675" s="7"/>
      <c r="AW675" s="7"/>
      <c r="AX675" s="7"/>
      <c r="AY675" s="7"/>
      <c r="AZ675" s="7"/>
      <c r="BA675" s="7"/>
      <c r="BB675" s="7"/>
      <c r="BC675" s="7"/>
      <c r="BD675" s="7"/>
      <c r="BE675" s="7"/>
      <c r="BF675" s="7"/>
      <c r="BG675" s="7"/>
    </row>
    <row r="676" customHeight="1" spans="1:59">
      <c r="A676" s="9" t="str">
        <f>IF(ActiveDatabase=Standby,Secondary!A676,Primary!A676)</f>
        <v>microTech 06</v>
      </c>
      <c r="B676" s="5" t="str">
        <f>IF(ActiveDatabase=Standby,Secondary!B676,Primary!B676)</f>
        <v>microTech 09</v>
      </c>
      <c r="C676" s="5" t="str">
        <f>IF(ActiveDatabase=Standby,Secondary!C676,Primary!C676)</f>
        <v>microTech 77</v>
      </c>
      <c r="D676" s="5" t="str">
        <f>IF(ActiveDatabase=Standby,Secondary!D676,Primary!D676)</f>
        <v>Shubin Mining Facility SM0-18 (PB)</v>
      </c>
      <c r="E676" s="6" t="str">
        <f>IF(ActiveDatabase=Standby,Secondary!E676,Primary!E676)</f>
        <v>Shubin 18</v>
      </c>
      <c r="F676" s="10">
        <f>IF(ActiveDatabase=Standby,Secondary!F676,Primary!F676)</f>
        <v>920.210111885</v>
      </c>
      <c r="G676" s="10">
        <f>IF(ActiveDatabase=Standby,Secondary!G676,Primary!G676)</f>
        <v>-389.541681947999</v>
      </c>
      <c r="H676" s="10">
        <f>IF(ActiveDatabase=Standby,Secondary!H676,Primary!H676)</f>
        <v>43.8368626559999</v>
      </c>
      <c r="I676" s="13">
        <f>IF(ActiveDatabase=Standby,Secondary!I676,Primary!I676)</f>
        <v>0</v>
      </c>
      <c r="J676" s="13">
        <f>IF(ActiveDatabase=Standby,Secondary!J676,Primary!J676)</f>
        <v>0</v>
      </c>
      <c r="K676" s="13">
        <f>IF(ActiveDatabase=Standby,Secondary!K676,Primary!K676)</f>
        <v>0</v>
      </c>
      <c r="L676" s="13">
        <f>IF(ActiveDatabase=Standby,Secondary!L676,Primary!L676)</f>
        <v>0</v>
      </c>
      <c r="M676" s="7" t="b">
        <f>IF(ActiveDatabase=Standby,Secondary!M676,Primary!M676)</f>
        <v>1</v>
      </c>
      <c r="N676" s="10">
        <f>IF(ActiveDatabase=Standby,Secondary!N676,Primary!N676)</f>
        <v>0</v>
      </c>
      <c r="O676" s="10">
        <f>IF(ActiveDatabase=Standby,Secondary!O676,Primary!O676)</f>
        <v>0</v>
      </c>
      <c r="P676" s="10">
        <f>IF(ActiveDatabase=Standby,Secondary!P676,Primary!P676)</f>
        <v>0</v>
      </c>
      <c r="Q676" s="6">
        <f>IF(ActiveDatabase=Standby,Secondary!Q676,Primary!Q676)</f>
        <v>0</v>
      </c>
      <c r="R676" s="18">
        <f>IF(ActiveDatabase=Standby,Secondary!R676,Primary!R676)</f>
        <v>0</v>
      </c>
      <c r="S676" s="19">
        <f>IF(ActiveDatabase=Standby,Secondary!S676,Primary!S676)</f>
        <v>0</v>
      </c>
      <c r="T676" s="10">
        <f>IF(ActiveDatabase=Standby,Secondary!T676,Primary!T676)</f>
        <v>0</v>
      </c>
      <c r="U676" s="10">
        <f>IF(ActiveDatabase=Standby,Secondary!U676,Primary!U676)</f>
        <v>0</v>
      </c>
      <c r="V676" s="10">
        <f>IF(ActiveDatabase=Standby,Secondary!V676,Primary!V676)</f>
        <v>0</v>
      </c>
      <c r="W676" s="6">
        <f>IF(ActiveDatabase=Standby,Secondary!W676,Primary!W676)</f>
        <v>0</v>
      </c>
      <c r="X676" s="6">
        <f>IF(ActiveDatabase=Standby,Secondary!X676,Primary!X676)</f>
        <v>0</v>
      </c>
      <c r="Y676" s="12">
        <f>IF(ActiveDatabase=Standby,Secondary!Y676,Primary!Y1334)</f>
        <v>0</v>
      </c>
      <c r="Z676" s="12">
        <f>IF(ActiveDatabase=Standby,Secondary!Z676,Primary!Z1334)</f>
        <v>0</v>
      </c>
      <c r="AA676" s="7">
        <f>IF(ActiveDatabase=Standby,Secondary!AA676,Primary!AA1334)</f>
        <v>0</v>
      </c>
      <c r="AB676" s="12"/>
      <c r="AC676" s="6"/>
      <c r="AD676" s="6"/>
      <c r="AE676" s="7"/>
      <c r="AF676" s="7"/>
      <c r="AG676" s="7"/>
      <c r="AH676" s="7"/>
      <c r="AI676" s="7"/>
      <c r="AJ676" s="7"/>
      <c r="AK676" s="7"/>
      <c r="AL676" s="7"/>
      <c r="AM676" s="7"/>
      <c r="AN676" s="7"/>
      <c r="AO676" s="6"/>
      <c r="AP676" s="7"/>
      <c r="AQ676" s="7"/>
      <c r="AR676" s="6"/>
      <c r="AS676" s="7"/>
      <c r="AT676" s="7"/>
      <c r="AU676" s="7"/>
      <c r="AV676" s="7"/>
      <c r="AW676" s="7"/>
      <c r="AX676" s="7"/>
      <c r="AY676" s="7"/>
      <c r="AZ676" s="7"/>
      <c r="BA676" s="7"/>
      <c r="BB676" s="7"/>
      <c r="BC676" s="7"/>
      <c r="BD676" s="7"/>
      <c r="BE676" s="7"/>
      <c r="BF676" s="7"/>
      <c r="BG676" s="7"/>
    </row>
    <row r="677" customHeight="1" spans="1:59">
      <c r="A677" s="9" t="str">
        <f>IF(ActiveDatabase=Standby,Secondary!A677,Primary!A677)</f>
        <v>microTech 07</v>
      </c>
      <c r="B677" s="5" t="str">
        <f>IF(ActiveDatabase=Standby,Secondary!B677,Primary!B677)</f>
        <v>microTech 10</v>
      </c>
      <c r="C677" s="5" t="str">
        <f>IF(ActiveDatabase=Standby,Secondary!C677,Primary!C677)</f>
        <v>microTech 85</v>
      </c>
      <c r="D677" s="5" t="str">
        <f>IF(ActiveDatabase=Standby,Secondary!D677,Primary!D677)</f>
        <v>Shubin Mining Facility SM0-22 (PB)</v>
      </c>
      <c r="E677" s="6" t="str">
        <f>IF(ActiveDatabase=Standby,Secondary!E677,Primary!E677)</f>
        <v>Shubin 22</v>
      </c>
      <c r="F677" s="10">
        <f>IF(ActiveDatabase=Standby,Secondary!F677,Primary!F677)</f>
        <v>24.29854894</v>
      </c>
      <c r="G677" s="10">
        <f>IF(ActiveDatabase=Standby,Secondary!G677,Primary!G677)</f>
        <v>-822.590691274998</v>
      </c>
      <c r="H677" s="10">
        <f>IF(ActiveDatabase=Standby,Secondary!H677,Primary!H677)</f>
        <v>568.174190107999</v>
      </c>
      <c r="I677" s="13">
        <f>IF(ActiveDatabase=Standby,Secondary!I677,Primary!I677)</f>
        <v>0</v>
      </c>
      <c r="J677" s="13">
        <f>IF(ActiveDatabase=Standby,Secondary!J677,Primary!J677)</f>
        <v>0</v>
      </c>
      <c r="K677" s="13">
        <f>IF(ActiveDatabase=Standby,Secondary!K677,Primary!K677)</f>
        <v>0</v>
      </c>
      <c r="L677" s="13">
        <f>IF(ActiveDatabase=Standby,Secondary!L677,Primary!L677)</f>
        <v>0</v>
      </c>
      <c r="M677" s="7" t="b">
        <f>IF(ActiveDatabase=Standby,Secondary!M677,Primary!M677)</f>
        <v>1</v>
      </c>
      <c r="N677" s="10">
        <f>IF(ActiveDatabase=Standby,Secondary!N677,Primary!N677)</f>
        <v>0</v>
      </c>
      <c r="O677" s="10">
        <f>IF(ActiveDatabase=Standby,Secondary!O677,Primary!O677)</f>
        <v>0</v>
      </c>
      <c r="P677" s="10">
        <f>IF(ActiveDatabase=Standby,Secondary!P677,Primary!P677)</f>
        <v>0</v>
      </c>
      <c r="Q677" s="6">
        <f>IF(ActiveDatabase=Standby,Secondary!Q677,Primary!Q677)</f>
        <v>0</v>
      </c>
      <c r="R677" s="18">
        <f>IF(ActiveDatabase=Standby,Secondary!R677,Primary!R677)</f>
        <v>0</v>
      </c>
      <c r="S677" s="19">
        <f>IF(ActiveDatabase=Standby,Secondary!S677,Primary!S677)</f>
        <v>0</v>
      </c>
      <c r="T677" s="10">
        <f>IF(ActiveDatabase=Standby,Secondary!T677,Primary!T677)</f>
        <v>0</v>
      </c>
      <c r="U677" s="10">
        <f>IF(ActiveDatabase=Standby,Secondary!U677,Primary!U677)</f>
        <v>0</v>
      </c>
      <c r="V677" s="10">
        <f>IF(ActiveDatabase=Standby,Secondary!V677,Primary!V677)</f>
        <v>0</v>
      </c>
      <c r="W677" s="6">
        <f>IF(ActiveDatabase=Standby,Secondary!W677,Primary!W677)</f>
        <v>0</v>
      </c>
      <c r="X677" s="6">
        <f>IF(ActiveDatabase=Standby,Secondary!X677,Primary!X677)</f>
        <v>0</v>
      </c>
      <c r="Y677" s="12">
        <f>IF(ActiveDatabase=Standby,Secondary!Y677,Primary!Y1335)</f>
        <v>0</v>
      </c>
      <c r="Z677" s="12">
        <f>IF(ActiveDatabase=Standby,Secondary!Z677,Primary!Z1335)</f>
        <v>0</v>
      </c>
      <c r="AA677" s="7">
        <f>IF(ActiveDatabase=Standby,Secondary!AA677,Primary!AA1335)</f>
        <v>0</v>
      </c>
      <c r="AB677" s="12"/>
      <c r="AC677" s="6"/>
      <c r="AD677" s="6"/>
      <c r="AE677" s="7"/>
      <c r="AF677" s="7"/>
      <c r="AG677" s="7"/>
      <c r="AH677" s="7"/>
      <c r="AI677" s="7"/>
      <c r="AJ677" s="7"/>
      <c r="AK677" s="7"/>
      <c r="AL677" s="7"/>
      <c r="AM677" s="7"/>
      <c r="AN677" s="7"/>
      <c r="AO677" s="6"/>
      <c r="AP677" s="7"/>
      <c r="AQ677" s="7"/>
      <c r="AR677" s="6"/>
      <c r="AS677" s="7"/>
      <c r="AT677" s="7"/>
      <c r="AU677" s="7"/>
      <c r="AV677" s="7"/>
      <c r="AW677" s="7"/>
      <c r="AX677" s="7"/>
      <c r="AY677" s="7"/>
      <c r="AZ677" s="7"/>
      <c r="BA677" s="7"/>
      <c r="BB677" s="7"/>
      <c r="BC677" s="7"/>
      <c r="BD677" s="7"/>
      <c r="BE677" s="7"/>
      <c r="BF677" s="7"/>
      <c r="BG677" s="7"/>
    </row>
    <row r="678" customHeight="1" spans="1:59">
      <c r="A678" s="9" t="str">
        <f>IF(ActiveDatabase=Standby,Secondary!A678,Primary!A678)</f>
        <v>microTech 08</v>
      </c>
      <c r="B678" s="5" t="str">
        <f>IF(ActiveDatabase=Standby,Secondary!B678,Primary!B678)</f>
        <v>microTech 11</v>
      </c>
      <c r="C678" s="5" t="str">
        <f>IF(ActiveDatabase=Standby,Secondary!C678,Primary!C678)</f>
        <v>microTech 72</v>
      </c>
      <c r="D678" s="5" t="str">
        <f>IF(ActiveDatabase=Standby,Secondary!D678,Primary!D678)</f>
        <v>Raven's Roost</v>
      </c>
      <c r="E678" s="6" t="str">
        <f>IF(ActiveDatabase=Standby,Secondary!E678,Primary!E678)</f>
        <v>Raven's Roost</v>
      </c>
      <c r="F678" s="10">
        <f>IF(ActiveDatabase=Standby,Secondary!F678,Primary!F678)</f>
        <v>355.903594579999</v>
      </c>
      <c r="G678" s="10">
        <f>IF(ActiveDatabase=Standby,Secondary!G678,Primary!G678)</f>
        <v>-75.593839481</v>
      </c>
      <c r="H678" s="10">
        <f>IF(ActiveDatabase=Standby,Secondary!H678,Primary!H678)</f>
        <v>932.64525482</v>
      </c>
      <c r="I678" s="13">
        <f>IF(ActiveDatabase=Standby,Secondary!I678,Primary!I678)</f>
        <v>0</v>
      </c>
      <c r="J678" s="13">
        <f>IF(ActiveDatabase=Standby,Secondary!J678,Primary!J678)</f>
        <v>0</v>
      </c>
      <c r="K678" s="13">
        <f>IF(ActiveDatabase=Standby,Secondary!K678,Primary!K678)</f>
        <v>0</v>
      </c>
      <c r="L678" s="13">
        <f>IF(ActiveDatabase=Standby,Secondary!L678,Primary!L678)</f>
        <v>0</v>
      </c>
      <c r="M678" s="7" t="b">
        <f>IF(ActiveDatabase=Standby,Secondary!M678,Primary!M678)</f>
        <v>1</v>
      </c>
      <c r="N678" s="10">
        <f>IF(ActiveDatabase=Standby,Secondary!N678,Primary!N678)</f>
        <v>0</v>
      </c>
      <c r="O678" s="10">
        <f>IF(ActiveDatabase=Standby,Secondary!O678,Primary!O678)</f>
        <v>0</v>
      </c>
      <c r="P678" s="10">
        <f>IF(ActiveDatabase=Standby,Secondary!P678,Primary!P678)</f>
        <v>0</v>
      </c>
      <c r="Q678" s="6">
        <f>IF(ActiveDatabase=Standby,Secondary!Q678,Primary!Q678)</f>
        <v>0</v>
      </c>
      <c r="R678" s="18">
        <f>IF(ActiveDatabase=Standby,Secondary!R678,Primary!R678)</f>
        <v>0</v>
      </c>
      <c r="S678" s="19">
        <f>IF(ActiveDatabase=Standby,Secondary!S678,Primary!S678)</f>
        <v>0</v>
      </c>
      <c r="T678" s="10">
        <f>IF(ActiveDatabase=Standby,Secondary!T678,Primary!T678)</f>
        <v>0</v>
      </c>
      <c r="U678" s="10">
        <f>IF(ActiveDatabase=Standby,Secondary!U678,Primary!U678)</f>
        <v>0</v>
      </c>
      <c r="V678" s="10">
        <f>IF(ActiveDatabase=Standby,Secondary!V678,Primary!V678)</f>
        <v>0</v>
      </c>
      <c r="W678" s="6">
        <f>IF(ActiveDatabase=Standby,Secondary!W678,Primary!W678)</f>
        <v>0</v>
      </c>
      <c r="X678" s="6">
        <f>IF(ActiveDatabase=Standby,Secondary!X678,Primary!X678)</f>
        <v>0</v>
      </c>
      <c r="Y678" s="12">
        <f>IF(ActiveDatabase=Standby,Secondary!Y678,Primary!Y1336)</f>
        <v>0</v>
      </c>
      <c r="Z678" s="12">
        <f>IF(ActiveDatabase=Standby,Secondary!Z678,Primary!Z1336)</f>
        <v>0</v>
      </c>
      <c r="AA678" s="7">
        <f>IF(ActiveDatabase=Standby,Secondary!AA678,Primary!AA1336)</f>
        <v>0</v>
      </c>
      <c r="AB678" s="12"/>
      <c r="AC678" s="6"/>
      <c r="AD678" s="6"/>
      <c r="AE678" s="7"/>
      <c r="AF678" s="7"/>
      <c r="AG678" s="7"/>
      <c r="AH678" s="7"/>
      <c r="AI678" s="7"/>
      <c r="AJ678" s="7"/>
      <c r="AK678" s="7"/>
      <c r="AL678" s="7"/>
      <c r="AM678" s="7"/>
      <c r="AN678" s="7"/>
      <c r="AO678" s="6"/>
      <c r="AP678" s="7"/>
      <c r="AQ678" s="7"/>
      <c r="AR678" s="6"/>
      <c r="AS678" s="7"/>
      <c r="AT678" s="7"/>
      <c r="AU678" s="7"/>
      <c r="AV678" s="7"/>
      <c r="AW678" s="7"/>
      <c r="AX678" s="7"/>
      <c r="AY678" s="7"/>
      <c r="AZ678" s="7"/>
      <c r="BA678" s="7"/>
      <c r="BB678" s="7"/>
      <c r="BC678" s="7"/>
      <c r="BD678" s="7"/>
      <c r="BE678" s="7"/>
      <c r="BF678" s="7"/>
      <c r="BG678" s="7"/>
    </row>
    <row r="679" customHeight="1" spans="1:59">
      <c r="A679" s="9" t="str">
        <f>IF(ActiveDatabase=Standby,Secondary!A679,Primary!A679)</f>
        <v>microTech 09</v>
      </c>
      <c r="B679" s="5" t="str">
        <f>IF(ActiveDatabase=Standby,Secondary!B679,Primary!B679)</f>
        <v>microTech 12</v>
      </c>
      <c r="C679" s="5" t="str">
        <f>IF(ActiveDatabase=Standby,Secondary!C679,Primary!C679)</f>
        <v>microTech 83</v>
      </c>
      <c r="D679" s="5" t="str">
        <f>IF(ActiveDatabase=Standby,Secondary!D679,Primary!D679)</f>
        <v>Necropolis (Stash House)</v>
      </c>
      <c r="E679" s="6" t="str">
        <f>IF(ActiveDatabase=Standby,Secondary!E679,Primary!E679)</f>
        <v>Necropolis</v>
      </c>
      <c r="F679" s="10">
        <f>IF(ActiveDatabase=Standby,Secondary!F679,Primary!F679)</f>
        <v>63.642723848</v>
      </c>
      <c r="G679" s="10">
        <f>IF(ActiveDatabase=Standby,Secondary!G679,Primary!G679)</f>
        <v>-162.08523741</v>
      </c>
      <c r="H679" s="10">
        <f>IF(ActiveDatabase=Standby,Secondary!H679,Primary!H679)</f>
        <v>985.651018458</v>
      </c>
      <c r="I679" s="13">
        <f>IF(ActiveDatabase=Standby,Secondary!I679,Primary!I679)</f>
        <v>0</v>
      </c>
      <c r="J679" s="13">
        <f>IF(ActiveDatabase=Standby,Secondary!J679,Primary!J679)</f>
        <v>0</v>
      </c>
      <c r="K679" s="13">
        <f>IF(ActiveDatabase=Standby,Secondary!K679,Primary!K679)</f>
        <v>0</v>
      </c>
      <c r="L679" s="13">
        <f>IF(ActiveDatabase=Standby,Secondary!L679,Primary!L679)</f>
        <v>0</v>
      </c>
      <c r="M679" s="7" t="b">
        <f>IF(ActiveDatabase=Standby,Secondary!M679,Primary!M679)</f>
        <v>1</v>
      </c>
      <c r="N679" s="10">
        <f>IF(ActiveDatabase=Standby,Secondary!N679,Primary!N679)</f>
        <v>0</v>
      </c>
      <c r="O679" s="10">
        <f>IF(ActiveDatabase=Standby,Secondary!O679,Primary!O679)</f>
        <v>0</v>
      </c>
      <c r="P679" s="10">
        <f>IF(ActiveDatabase=Standby,Secondary!P679,Primary!P679)</f>
        <v>0</v>
      </c>
      <c r="Q679" s="6">
        <f>IF(ActiveDatabase=Standby,Secondary!Q679,Primary!Q679)</f>
        <v>0</v>
      </c>
      <c r="R679" s="18">
        <f>IF(ActiveDatabase=Standby,Secondary!R679,Primary!R679)</f>
        <v>0</v>
      </c>
      <c r="S679" s="19">
        <f>IF(ActiveDatabase=Standby,Secondary!S679,Primary!S679)</f>
        <v>0</v>
      </c>
      <c r="T679" s="10">
        <f>IF(ActiveDatabase=Standby,Secondary!T679,Primary!T679)</f>
        <v>0</v>
      </c>
      <c r="U679" s="10">
        <f>IF(ActiveDatabase=Standby,Secondary!U679,Primary!U679)</f>
        <v>0</v>
      </c>
      <c r="V679" s="10">
        <f>IF(ActiveDatabase=Standby,Secondary!V679,Primary!V679)</f>
        <v>0</v>
      </c>
      <c r="W679" s="6">
        <f>IF(ActiveDatabase=Standby,Secondary!W679,Primary!W679)</f>
        <v>0</v>
      </c>
      <c r="X679" s="6">
        <f>IF(ActiveDatabase=Standby,Secondary!X679,Primary!X679)</f>
        <v>0</v>
      </c>
      <c r="Y679" s="12">
        <f>IF(ActiveDatabase=Standby,Secondary!Y679,Primary!Y1337)</f>
        <v>0</v>
      </c>
      <c r="Z679" s="12">
        <f>IF(ActiveDatabase=Standby,Secondary!Z679,Primary!Z1337)</f>
        <v>0</v>
      </c>
      <c r="AA679" s="7">
        <f>IF(ActiveDatabase=Standby,Secondary!AA679,Primary!AA1337)</f>
        <v>0</v>
      </c>
      <c r="AB679" s="12"/>
      <c r="AC679" s="6"/>
      <c r="AD679" s="6"/>
      <c r="AE679" s="7"/>
      <c r="AF679" s="7"/>
      <c r="AG679" s="7"/>
      <c r="AH679" s="7"/>
      <c r="AI679" s="7"/>
      <c r="AJ679" s="7"/>
      <c r="AK679" s="7"/>
      <c r="AL679" s="7"/>
      <c r="AM679" s="7"/>
      <c r="AN679" s="7"/>
      <c r="AO679" s="6"/>
      <c r="AP679" s="7"/>
      <c r="AQ679" s="7"/>
      <c r="AR679" s="6"/>
      <c r="AS679" s="7"/>
      <c r="AT679" s="7"/>
      <c r="AU679" s="7"/>
      <c r="AV679" s="7"/>
      <c r="AW679" s="7"/>
      <c r="AX679" s="7"/>
      <c r="AY679" s="7"/>
      <c r="AZ679" s="7"/>
      <c r="BA679" s="7"/>
      <c r="BB679" s="7"/>
      <c r="BC679" s="7"/>
      <c r="BD679" s="7"/>
      <c r="BE679" s="7"/>
      <c r="BF679" s="7"/>
      <c r="BG679" s="7"/>
    </row>
    <row r="680" customHeight="1" spans="1:59">
      <c r="A680" s="9" t="str">
        <f>IF(ActiveDatabase=Standby,Secondary!A680,Primary!A680)</f>
        <v>microTech 10</v>
      </c>
      <c r="B680" s="5" t="str">
        <f>IF(ActiveDatabase=Standby,Secondary!B680,Primary!B680)</f>
        <v>microTech 13</v>
      </c>
      <c r="C680" s="5" t="str">
        <f>IF(ActiveDatabase=Standby,Secondary!C680,Primary!C680)</f>
        <v>microTech 67</v>
      </c>
      <c r="D680" s="5" t="str">
        <f>IF(ActiveDatabase=Standby,Secondary!D680,Primary!D680)</f>
        <v>Outpost 54 (Stash House)</v>
      </c>
      <c r="E680" s="6" t="str">
        <f>IF(ActiveDatabase=Standby,Secondary!E680,Primary!E680)</f>
        <v>Outpost 54</v>
      </c>
      <c r="F680" s="10">
        <f>IF(ActiveDatabase=Standby,Secondary!F680,Primary!F680)</f>
        <v>113.566409472</v>
      </c>
      <c r="G680" s="10">
        <f>IF(ActiveDatabase=Standby,Secondary!G680,Primary!G680)</f>
        <v>14.479383223</v>
      </c>
      <c r="H680" s="10">
        <f>IF(ActiveDatabase=Standby,Secondary!H680,Primary!H680)</f>
        <v>-994.362778214</v>
      </c>
      <c r="I680" s="13">
        <f>IF(ActiveDatabase=Standby,Secondary!I680,Primary!I680)</f>
        <v>0</v>
      </c>
      <c r="J680" s="13">
        <f>IF(ActiveDatabase=Standby,Secondary!J680,Primary!J680)</f>
        <v>0</v>
      </c>
      <c r="K680" s="13">
        <f>IF(ActiveDatabase=Standby,Secondary!K680,Primary!K680)</f>
        <v>0</v>
      </c>
      <c r="L680" s="13">
        <f>IF(ActiveDatabase=Standby,Secondary!L680,Primary!L680)</f>
        <v>0</v>
      </c>
      <c r="M680" s="7" t="b">
        <f>IF(ActiveDatabase=Standby,Secondary!M680,Primary!M680)</f>
        <v>1</v>
      </c>
      <c r="N680" s="10">
        <f>IF(ActiveDatabase=Standby,Secondary!N680,Primary!N680)</f>
        <v>0</v>
      </c>
      <c r="O680" s="10">
        <f>IF(ActiveDatabase=Standby,Secondary!O680,Primary!O680)</f>
        <v>0</v>
      </c>
      <c r="P680" s="10">
        <f>IF(ActiveDatabase=Standby,Secondary!P680,Primary!P680)</f>
        <v>0</v>
      </c>
      <c r="Q680" s="6">
        <f>IF(ActiveDatabase=Standby,Secondary!Q680,Primary!Q680)</f>
        <v>0</v>
      </c>
      <c r="R680" s="18">
        <f>IF(ActiveDatabase=Standby,Secondary!R680,Primary!R680)</f>
        <v>0</v>
      </c>
      <c r="S680" s="19">
        <f>IF(ActiveDatabase=Standby,Secondary!S680,Primary!S680)</f>
        <v>0</v>
      </c>
      <c r="T680" s="10">
        <f>IF(ActiveDatabase=Standby,Secondary!T680,Primary!T680)</f>
        <v>0</v>
      </c>
      <c r="U680" s="10">
        <f>IF(ActiveDatabase=Standby,Secondary!U680,Primary!U680)</f>
        <v>0</v>
      </c>
      <c r="V680" s="10">
        <f>IF(ActiveDatabase=Standby,Secondary!V680,Primary!V680)</f>
        <v>0</v>
      </c>
      <c r="W680" s="6">
        <f>IF(ActiveDatabase=Standby,Secondary!W680,Primary!W680)</f>
        <v>0</v>
      </c>
      <c r="X680" s="6">
        <f>IF(ActiveDatabase=Standby,Secondary!X680,Primary!X680)</f>
        <v>0</v>
      </c>
      <c r="Y680" s="12">
        <f>IF(ActiveDatabase=Standby,Secondary!Y680,Primary!Y1338)</f>
        <v>0</v>
      </c>
      <c r="Z680" s="12">
        <f>IF(ActiveDatabase=Standby,Secondary!Z680,Primary!Z1338)</f>
        <v>0</v>
      </c>
      <c r="AA680" s="7">
        <f>IF(ActiveDatabase=Standby,Secondary!AA680,Primary!AA1338)</f>
        <v>0</v>
      </c>
      <c r="AB680" s="12"/>
      <c r="AC680" s="6"/>
      <c r="AD680" s="6"/>
      <c r="AE680" s="7"/>
      <c r="AF680" s="7"/>
      <c r="AG680" s="7"/>
      <c r="AH680" s="7"/>
      <c r="AI680" s="7"/>
      <c r="AJ680" s="7"/>
      <c r="AK680" s="7"/>
      <c r="AL680" s="7"/>
      <c r="AM680" s="7"/>
      <c r="AN680" s="7"/>
      <c r="AO680" s="6"/>
      <c r="AP680" s="7"/>
      <c r="AQ680" s="7"/>
      <c r="AR680" s="6"/>
      <c r="AS680" s="7"/>
      <c r="AT680" s="7"/>
      <c r="AU680" s="7"/>
      <c r="AV680" s="7"/>
      <c r="AW680" s="7"/>
      <c r="AX680" s="7"/>
      <c r="AY680" s="7"/>
      <c r="AZ680" s="7"/>
      <c r="BA680" s="7"/>
      <c r="BB680" s="7"/>
      <c r="BC680" s="7"/>
      <c r="BD680" s="7"/>
      <c r="BE680" s="7"/>
      <c r="BF680" s="7"/>
      <c r="BG680" s="7"/>
    </row>
    <row r="681" customHeight="1" spans="1:59">
      <c r="A681" s="9" t="str">
        <f>IF(ActiveDatabase=Standby,Secondary!A681,Primary!A681)</f>
        <v>microTech</v>
      </c>
      <c r="B681" s="5" t="str">
        <f>IF(ActiveDatabase=Standby,Secondary!B681,Primary!B681)</f>
        <v>microTech 15</v>
      </c>
      <c r="C681" s="5" t="str">
        <f>IF(ActiveDatabase=Standby,Secondary!C681,Primary!C681)</f>
        <v>microTech</v>
      </c>
      <c r="D681" s="5" t="str">
        <f>IF(ActiveDatabase=Standby,Secondary!D681,Primary!D681)</f>
        <v>Distribution Centers</v>
      </c>
      <c r="E681" s="6">
        <f>IF(ActiveDatabase=Standby,Secondary!E681,Primary!E681)</f>
        <v>0</v>
      </c>
      <c r="F681" s="10">
        <f>IF(ActiveDatabase=Standby,Secondary!F681,Primary!F681)</f>
        <v>0</v>
      </c>
      <c r="G681" s="10">
        <f>IF(ActiveDatabase=Standby,Secondary!G681,Primary!G681)</f>
        <v>0</v>
      </c>
      <c r="H681" s="10">
        <f>IF(ActiveDatabase=Standby,Secondary!H681,Primary!H681)</f>
        <v>0</v>
      </c>
      <c r="I681" s="13">
        <f>IF(ActiveDatabase=Standby,Secondary!I681,Primary!I681)</f>
        <v>0</v>
      </c>
      <c r="J681" s="13">
        <f>IF(ActiveDatabase=Standby,Secondary!J681,Primary!J681)</f>
        <v>0</v>
      </c>
      <c r="K681" s="13">
        <f>IF(ActiveDatabase=Standby,Secondary!K681,Primary!K681)</f>
        <v>0</v>
      </c>
      <c r="L681" s="13">
        <f>IF(ActiveDatabase=Standby,Secondary!L681,Primary!L681)</f>
        <v>0</v>
      </c>
      <c r="M681" s="7">
        <f>IF(ActiveDatabase=Standby,Secondary!M681,Primary!M681)</f>
        <v>0</v>
      </c>
      <c r="N681" s="10">
        <f>IF(ActiveDatabase=Standby,Secondary!N681,Primary!N681)</f>
        <v>0</v>
      </c>
      <c r="O681" s="10">
        <f>IF(ActiveDatabase=Standby,Secondary!O681,Primary!O681)</f>
        <v>0</v>
      </c>
      <c r="P681" s="10">
        <f>IF(ActiveDatabase=Standby,Secondary!P681,Primary!P681)</f>
        <v>0</v>
      </c>
      <c r="Q681" s="6">
        <f>IF(ActiveDatabase=Standby,Secondary!Q681,Primary!Q681)</f>
        <v>0</v>
      </c>
      <c r="R681" s="18">
        <f>IF(ActiveDatabase=Standby,Secondary!R681,Primary!R681)</f>
        <v>0</v>
      </c>
      <c r="S681" s="19">
        <f>IF(ActiveDatabase=Standby,Secondary!S681,Primary!S681)</f>
        <v>0</v>
      </c>
      <c r="T681" s="10">
        <f>IF(ActiveDatabase=Standby,Secondary!T681,Primary!T681)</f>
        <v>0</v>
      </c>
      <c r="U681" s="10">
        <f>IF(ActiveDatabase=Standby,Secondary!U681,Primary!U681)</f>
        <v>0</v>
      </c>
      <c r="V681" s="10">
        <f>IF(ActiveDatabase=Standby,Secondary!V681,Primary!V681)</f>
        <v>0</v>
      </c>
      <c r="W681" s="6">
        <f>IF(ActiveDatabase=Standby,Secondary!W681,Primary!W681)</f>
        <v>0</v>
      </c>
      <c r="X681" s="6">
        <f>IF(ActiveDatabase=Standby,Secondary!X681,Primary!X681)</f>
        <v>0</v>
      </c>
      <c r="Y681" s="12">
        <f>IF(ActiveDatabase=Standby,Secondary!Y681,Primary!Y1339)</f>
        <v>0</v>
      </c>
      <c r="Z681" s="12">
        <f>IF(ActiveDatabase=Standby,Secondary!Z681,Primary!Z1339)</f>
        <v>0</v>
      </c>
      <c r="AA681" s="7">
        <f>IF(ActiveDatabase=Standby,Secondary!AA681,Primary!AA1339)</f>
        <v>0</v>
      </c>
      <c r="AB681" s="12"/>
      <c r="AC681" s="6"/>
      <c r="AD681" s="6"/>
      <c r="AE681" s="7"/>
      <c r="AF681" s="7"/>
      <c r="AG681" s="7"/>
      <c r="AH681" s="7"/>
      <c r="AI681" s="7"/>
      <c r="AJ681" s="7"/>
      <c r="AK681" s="7"/>
      <c r="AL681" s="7"/>
      <c r="AM681" s="7"/>
      <c r="AN681" s="7"/>
      <c r="AO681" s="6"/>
      <c r="AP681" s="7"/>
      <c r="AQ681" s="7"/>
      <c r="AR681" s="6"/>
      <c r="AS681" s="7"/>
      <c r="AT681" s="7"/>
      <c r="AU681" s="7"/>
      <c r="AV681" s="7"/>
      <c r="AW681" s="7"/>
      <c r="AX681" s="7"/>
      <c r="AY681" s="7"/>
      <c r="AZ681" s="7"/>
      <c r="BA681" s="7"/>
      <c r="BB681" s="7"/>
      <c r="BC681" s="7"/>
      <c r="BD681" s="7"/>
      <c r="BE681" s="7"/>
      <c r="BF681" s="7"/>
      <c r="BG681" s="7"/>
    </row>
    <row r="682" customHeight="1" spans="1:59">
      <c r="A682" s="9" t="str">
        <f>IF(ActiveDatabase=Standby,Secondary!A682,Primary!A682)</f>
        <v>microTech 35</v>
      </c>
      <c r="B682" s="5" t="str">
        <f>IF(ActiveDatabase=Standby,Secondary!B682,Primary!B682)</f>
        <v>microTech 16</v>
      </c>
      <c r="C682" s="5" t="str">
        <f>IF(ActiveDatabase=Standby,Secondary!C682,Primary!C682)</f>
        <v>microTech 33</v>
      </c>
      <c r="D682" s="5" t="str">
        <f>IF(ActiveDatabase=Standby,Secondary!D682,Primary!D682)</f>
        <v>Covalex Distribution Centre S4DC05</v>
      </c>
      <c r="E682" s="6" t="str">
        <f>IF(ActiveDatabase=Standby,Secondary!E682,Primary!E682)</f>
        <v>S4DC05</v>
      </c>
      <c r="F682" s="10">
        <f>IF(ActiveDatabase=Standby,Secondary!F682,Primary!F682)</f>
        <v>-332.505016295999</v>
      </c>
      <c r="G682" s="10">
        <f>IF(ActiveDatabase=Standby,Secondary!G682,Primary!G682)</f>
        <v>897.833806883999</v>
      </c>
      <c r="H682" s="10">
        <f>IF(ActiveDatabase=Standby,Secondary!H682,Primary!H682)</f>
        <v>-290.234081721</v>
      </c>
      <c r="I682" s="13">
        <f>IF(ActiveDatabase=Standby,Secondary!I682,Primary!I682)</f>
        <v>0</v>
      </c>
      <c r="J682" s="13">
        <f>IF(ActiveDatabase=Standby,Secondary!J682,Primary!J682)</f>
        <v>0</v>
      </c>
      <c r="K682" s="13">
        <f>IF(ActiveDatabase=Standby,Secondary!K682,Primary!K682)</f>
        <v>0</v>
      </c>
      <c r="L682" s="13">
        <f>IF(ActiveDatabase=Standby,Secondary!L682,Primary!L682)</f>
        <v>0</v>
      </c>
      <c r="M682" s="7" t="b">
        <f>IF(ActiveDatabase=Standby,Secondary!M682,Primary!M682)</f>
        <v>1</v>
      </c>
      <c r="N682" s="10">
        <f>IF(ActiveDatabase=Standby,Secondary!N682,Primary!N682)</f>
        <v>0</v>
      </c>
      <c r="O682" s="10">
        <f>IF(ActiveDatabase=Standby,Secondary!O682,Primary!O682)</f>
        <v>0</v>
      </c>
      <c r="P682" s="10">
        <f>IF(ActiveDatabase=Standby,Secondary!P682,Primary!P682)</f>
        <v>0</v>
      </c>
      <c r="Q682" s="6">
        <f>IF(ActiveDatabase=Standby,Secondary!Q682,Primary!Q682)</f>
        <v>0</v>
      </c>
      <c r="R682" s="18">
        <f>IF(ActiveDatabase=Standby,Secondary!R682,Primary!R682)</f>
        <v>0</v>
      </c>
      <c r="S682" s="19">
        <f>IF(ActiveDatabase=Standby,Secondary!S682,Primary!S682)</f>
        <v>0</v>
      </c>
      <c r="T682" s="10">
        <f>IF(ActiveDatabase=Standby,Secondary!T682,Primary!T682)</f>
        <v>0</v>
      </c>
      <c r="U682" s="10">
        <f>IF(ActiveDatabase=Standby,Secondary!U682,Primary!U682)</f>
        <v>0</v>
      </c>
      <c r="V682" s="10">
        <f>IF(ActiveDatabase=Standby,Secondary!V682,Primary!V682)</f>
        <v>0</v>
      </c>
      <c r="W682" s="6">
        <f>IF(ActiveDatabase=Standby,Secondary!W682,Primary!W682)</f>
        <v>0</v>
      </c>
      <c r="X682" s="6">
        <f>IF(ActiveDatabase=Standby,Secondary!X682,Primary!X682)</f>
        <v>0</v>
      </c>
      <c r="Y682" s="12">
        <f>IF(ActiveDatabase=Standby,Secondary!Y682,Primary!Y1340)</f>
        <v>0</v>
      </c>
      <c r="Z682" s="12">
        <f>IF(ActiveDatabase=Standby,Secondary!Z682,Primary!Z1340)</f>
        <v>0</v>
      </c>
      <c r="AA682" s="7">
        <f>IF(ActiveDatabase=Standby,Secondary!AA682,Primary!AA1340)</f>
        <v>0</v>
      </c>
      <c r="AB682" s="12"/>
      <c r="AC682" s="6"/>
      <c r="AD682" s="6"/>
      <c r="AE682" s="7"/>
      <c r="AF682" s="7"/>
      <c r="AG682" s="7"/>
      <c r="AH682" s="7"/>
      <c r="AI682" s="7"/>
      <c r="AJ682" s="7"/>
      <c r="AK682" s="7"/>
      <c r="AL682" s="7"/>
      <c r="AM682" s="7"/>
      <c r="AN682" s="7"/>
      <c r="AO682" s="6"/>
      <c r="AP682" s="7"/>
      <c r="AQ682" s="7"/>
      <c r="AR682" s="6"/>
      <c r="AS682" s="7"/>
      <c r="AT682" s="7"/>
      <c r="AU682" s="7"/>
      <c r="AV682" s="7"/>
      <c r="AW682" s="7"/>
      <c r="AX682" s="7"/>
      <c r="AY682" s="7"/>
      <c r="AZ682" s="7"/>
      <c r="BA682" s="7"/>
      <c r="BB682" s="7"/>
      <c r="BC682" s="7"/>
      <c r="BD682" s="7"/>
      <c r="BE682" s="7"/>
      <c r="BF682" s="7"/>
      <c r="BG682" s="7"/>
    </row>
    <row r="683" customHeight="1" spans="1:59">
      <c r="A683" s="9" t="str">
        <f>IF(ActiveDatabase=Standby,Secondary!A683,Primary!A683)</f>
        <v>microTech 36</v>
      </c>
      <c r="B683" s="5" t="str">
        <f>IF(ActiveDatabase=Standby,Secondary!B683,Primary!B683)</f>
        <v>microTech 17</v>
      </c>
      <c r="C683" s="5" t="str">
        <f>IF(ActiveDatabase=Standby,Secondary!C683,Primary!C683)</f>
        <v>microTech 70</v>
      </c>
      <c r="D683" s="5" t="str">
        <f>IF(ActiveDatabase=Standby,Secondary!D683,Primary!D683)</f>
        <v>Cry-Astro Processing Plant 19-02</v>
      </c>
      <c r="E683" s="6" t="str">
        <f>IF(ActiveDatabase=Standby,Secondary!E683,Primary!E683)</f>
        <v>CryAstro 19-02</v>
      </c>
      <c r="F683" s="10">
        <f>IF(ActiveDatabase=Standby,Secondary!F683,Primary!F683)</f>
        <v>584.139223971999</v>
      </c>
      <c r="G683" s="10">
        <f>IF(ActiveDatabase=Standby,Secondary!G683,Primary!G683)</f>
        <v>-0.789386706</v>
      </c>
      <c r="H683" s="10">
        <f>IF(ActiveDatabase=Standby,Secondary!H683,Primary!H683)</f>
        <v>812.169190745</v>
      </c>
      <c r="I683" s="13">
        <f>IF(ActiveDatabase=Standby,Secondary!I683,Primary!I683)</f>
        <v>0</v>
      </c>
      <c r="J683" s="13">
        <f>IF(ActiveDatabase=Standby,Secondary!J683,Primary!J683)</f>
        <v>0</v>
      </c>
      <c r="K683" s="13">
        <f>IF(ActiveDatabase=Standby,Secondary!K683,Primary!K683)</f>
        <v>0</v>
      </c>
      <c r="L683" s="13">
        <f>IF(ActiveDatabase=Standby,Secondary!L683,Primary!L683)</f>
        <v>0</v>
      </c>
      <c r="M683" s="7" t="b">
        <f>IF(ActiveDatabase=Standby,Secondary!M683,Primary!M683)</f>
        <v>1</v>
      </c>
      <c r="N683" s="10">
        <f>IF(ActiveDatabase=Standby,Secondary!N683,Primary!N683)</f>
        <v>0</v>
      </c>
      <c r="O683" s="10">
        <f>IF(ActiveDatabase=Standby,Secondary!O683,Primary!O683)</f>
        <v>0</v>
      </c>
      <c r="P683" s="10">
        <f>IF(ActiveDatabase=Standby,Secondary!P683,Primary!P683)</f>
        <v>0</v>
      </c>
      <c r="Q683" s="6">
        <f>IF(ActiveDatabase=Standby,Secondary!Q683,Primary!Q683)</f>
        <v>0</v>
      </c>
      <c r="R683" s="18">
        <f>IF(ActiveDatabase=Standby,Secondary!R683,Primary!R683)</f>
        <v>0</v>
      </c>
      <c r="S683" s="19">
        <f>IF(ActiveDatabase=Standby,Secondary!S683,Primary!S683)</f>
        <v>0</v>
      </c>
      <c r="T683" s="10">
        <f>IF(ActiveDatabase=Standby,Secondary!T683,Primary!T683)</f>
        <v>0</v>
      </c>
      <c r="U683" s="10">
        <f>IF(ActiveDatabase=Standby,Secondary!U683,Primary!U683)</f>
        <v>0</v>
      </c>
      <c r="V683" s="10">
        <f>IF(ActiveDatabase=Standby,Secondary!V683,Primary!V683)</f>
        <v>0</v>
      </c>
      <c r="W683" s="6">
        <f>IF(ActiveDatabase=Standby,Secondary!W683,Primary!W683)</f>
        <v>0</v>
      </c>
      <c r="X683" s="6">
        <f>IF(ActiveDatabase=Standby,Secondary!X683,Primary!X683)</f>
        <v>0</v>
      </c>
      <c r="Y683" s="12">
        <f>IF(ActiveDatabase=Standby,Secondary!Y683,Primary!Y1341)</f>
        <v>0</v>
      </c>
      <c r="Z683" s="12">
        <f>IF(ActiveDatabase=Standby,Secondary!Z683,Primary!Z1341)</f>
        <v>0</v>
      </c>
      <c r="AA683" s="7">
        <f>IF(ActiveDatabase=Standby,Secondary!AA683,Primary!AA1341)</f>
        <v>0</v>
      </c>
      <c r="AB683" s="12"/>
      <c r="AC683" s="6"/>
      <c r="AD683" s="6"/>
      <c r="AE683" s="7"/>
      <c r="AF683" s="7"/>
      <c r="AG683" s="7"/>
      <c r="AH683" s="7"/>
      <c r="AI683" s="7"/>
      <c r="AJ683" s="7"/>
      <c r="AK683" s="7"/>
      <c r="AL683" s="7"/>
      <c r="AM683" s="7"/>
      <c r="AN683" s="7"/>
      <c r="AO683" s="6"/>
      <c r="AP683" s="7"/>
      <c r="AQ683" s="7"/>
      <c r="AR683" s="6"/>
      <c r="AS683" s="7"/>
      <c r="AT683" s="7"/>
      <c r="AU683" s="7"/>
      <c r="AV683" s="7"/>
      <c r="AW683" s="7"/>
      <c r="AX683" s="7"/>
      <c r="AY683" s="7"/>
      <c r="AZ683" s="7"/>
      <c r="BA683" s="7"/>
      <c r="BB683" s="7"/>
      <c r="BC683" s="7"/>
      <c r="BD683" s="7"/>
      <c r="BE683" s="7"/>
      <c r="BF683" s="7"/>
      <c r="BG683" s="7"/>
    </row>
    <row r="684" customHeight="1" spans="1:59">
      <c r="A684" s="9" t="str">
        <f>IF(ActiveDatabase=Standby,Secondary!A684,Primary!A684)</f>
        <v>microTech 37</v>
      </c>
      <c r="B684" s="5" t="str">
        <f>IF(ActiveDatabase=Standby,Secondary!B684,Primary!B684)</f>
        <v>microTech 18</v>
      </c>
      <c r="C684" s="5" t="str">
        <f>IF(ActiveDatabase=Standby,Secondary!C684,Primary!C684)</f>
        <v>microTech 91</v>
      </c>
      <c r="D684" s="5" t="str">
        <f>IF(ActiveDatabase=Standby,Secondary!D684,Primary!D684)</f>
        <v>Cry-Astro Processing Plant 34-12</v>
      </c>
      <c r="E684" s="6" t="str">
        <f>IF(ActiveDatabase=Standby,Secondary!E684,Primary!E684)</f>
        <v>CryAstro 34-12</v>
      </c>
      <c r="F684" s="10">
        <f>IF(ActiveDatabase=Standby,Secondary!F684,Primary!F684)</f>
        <v>-316.284851151</v>
      </c>
      <c r="G684" s="10">
        <f>IF(ActiveDatabase=Standby,Secondary!G684,Primary!G684)</f>
        <v>-882.04033701</v>
      </c>
      <c r="H684" s="10">
        <f>IF(ActiveDatabase=Standby,Secondary!H684,Primary!H684)</f>
        <v>-350.639382315</v>
      </c>
      <c r="I684" s="13">
        <f>IF(ActiveDatabase=Standby,Secondary!I684,Primary!I684)</f>
        <v>0</v>
      </c>
      <c r="J684" s="13">
        <f>IF(ActiveDatabase=Standby,Secondary!J684,Primary!J684)</f>
        <v>0</v>
      </c>
      <c r="K684" s="13">
        <f>IF(ActiveDatabase=Standby,Secondary!K684,Primary!K684)</f>
        <v>0</v>
      </c>
      <c r="L684" s="13">
        <f>IF(ActiveDatabase=Standby,Secondary!L684,Primary!L684)</f>
        <v>0</v>
      </c>
      <c r="M684" s="7" t="b">
        <f>IF(ActiveDatabase=Standby,Secondary!M684,Primary!M684)</f>
        <v>1</v>
      </c>
      <c r="N684" s="10">
        <f>IF(ActiveDatabase=Standby,Secondary!N684,Primary!N684)</f>
        <v>0</v>
      </c>
      <c r="O684" s="10">
        <f>IF(ActiveDatabase=Standby,Secondary!O684,Primary!O684)</f>
        <v>0</v>
      </c>
      <c r="P684" s="10">
        <f>IF(ActiveDatabase=Standby,Secondary!P684,Primary!P684)</f>
        <v>0</v>
      </c>
      <c r="Q684" s="6">
        <f>IF(ActiveDatabase=Standby,Secondary!Q684,Primary!Q684)</f>
        <v>0</v>
      </c>
      <c r="R684" s="18">
        <f>IF(ActiveDatabase=Standby,Secondary!R684,Primary!R684)</f>
        <v>0</v>
      </c>
      <c r="S684" s="19">
        <f>IF(ActiveDatabase=Standby,Secondary!S684,Primary!S684)</f>
        <v>0</v>
      </c>
      <c r="T684" s="10">
        <f>IF(ActiveDatabase=Standby,Secondary!T684,Primary!T684)</f>
        <v>0</v>
      </c>
      <c r="U684" s="10">
        <f>IF(ActiveDatabase=Standby,Secondary!U684,Primary!U684)</f>
        <v>0</v>
      </c>
      <c r="V684" s="10">
        <f>IF(ActiveDatabase=Standby,Secondary!V684,Primary!V684)</f>
        <v>0</v>
      </c>
      <c r="W684" s="6">
        <f>IF(ActiveDatabase=Standby,Secondary!W684,Primary!W684)</f>
        <v>0</v>
      </c>
      <c r="X684" s="6">
        <f>IF(ActiveDatabase=Standby,Secondary!X684,Primary!X684)</f>
        <v>0</v>
      </c>
      <c r="Y684" s="12">
        <f>IF(ActiveDatabase=Standby,Secondary!Y684,Primary!Y1342)</f>
        <v>0</v>
      </c>
      <c r="Z684" s="12">
        <f>IF(ActiveDatabase=Standby,Secondary!Z684,Primary!Z1342)</f>
        <v>0</v>
      </c>
      <c r="AA684" s="7">
        <f>IF(ActiveDatabase=Standby,Secondary!AA684,Primary!AA1342)</f>
        <v>0</v>
      </c>
      <c r="AB684" s="12"/>
      <c r="AC684" s="6"/>
      <c r="AD684" s="6"/>
      <c r="AE684" s="7"/>
      <c r="AF684" s="7"/>
      <c r="AG684" s="7"/>
      <c r="AH684" s="7"/>
      <c r="AI684" s="7"/>
      <c r="AJ684" s="7"/>
      <c r="AK684" s="7"/>
      <c r="AL684" s="7"/>
      <c r="AM684" s="7"/>
      <c r="AN684" s="7"/>
      <c r="AO684" s="6"/>
      <c r="AP684" s="7"/>
      <c r="AQ684" s="7"/>
      <c r="AR684" s="6"/>
      <c r="AS684" s="7"/>
      <c r="AT684" s="7"/>
      <c r="AU684" s="7"/>
      <c r="AV684" s="7"/>
      <c r="AW684" s="7"/>
      <c r="AX684" s="7"/>
      <c r="AY684" s="7"/>
      <c r="AZ684" s="7"/>
      <c r="BA684" s="7"/>
      <c r="BB684" s="7"/>
      <c r="BC684" s="7"/>
      <c r="BD684" s="7"/>
      <c r="BE684" s="7"/>
      <c r="BF684" s="7"/>
      <c r="BG684" s="7"/>
    </row>
    <row r="685" customHeight="1" spans="1:59">
      <c r="A685" s="9" t="str">
        <f>IF(ActiveDatabase=Standby,Secondary!A685,Primary!A685)</f>
        <v>microTech 38</v>
      </c>
      <c r="B685" s="5" t="str">
        <f>IF(ActiveDatabase=Standby,Secondary!B685,Primary!B685)</f>
        <v>microTech 19</v>
      </c>
      <c r="C685" s="5" t="str">
        <f>IF(ActiveDatabase=Standby,Secondary!C685,Primary!C685)</f>
        <v>microTech 98</v>
      </c>
      <c r="D685" s="5" t="str">
        <f>IF(ActiveDatabase=Standby,Secondary!D685,Primary!D685)</f>
        <v>Greycat Stanton IV Production Complex-A</v>
      </c>
      <c r="E685" s="6" t="str">
        <f>IF(ActiveDatabase=Standby,Secondary!E685,Primary!E685)</f>
        <v>Greycat IV PCA</v>
      </c>
      <c r="F685" s="10">
        <f>IF(ActiveDatabase=Standby,Secondary!F685,Primary!F685)</f>
        <v>-423.347337066999</v>
      </c>
      <c r="G685" s="10">
        <f>IF(ActiveDatabase=Standby,Secondary!G685,Primary!G685)</f>
        <v>-141.168748082</v>
      </c>
      <c r="H685" s="10">
        <f>IF(ActiveDatabase=Standby,Secondary!H685,Primary!H685)</f>
        <v>-895.144870543</v>
      </c>
      <c r="I685" s="13">
        <f>IF(ActiveDatabase=Standby,Secondary!I685,Primary!I685)</f>
        <v>0</v>
      </c>
      <c r="J685" s="13">
        <f>IF(ActiveDatabase=Standby,Secondary!J685,Primary!J685)</f>
        <v>0</v>
      </c>
      <c r="K685" s="13">
        <f>IF(ActiveDatabase=Standby,Secondary!K685,Primary!K685)</f>
        <v>0</v>
      </c>
      <c r="L685" s="13">
        <f>IF(ActiveDatabase=Standby,Secondary!L685,Primary!L685)</f>
        <v>0</v>
      </c>
      <c r="M685" s="7" t="b">
        <f>IF(ActiveDatabase=Standby,Secondary!M685,Primary!M685)</f>
        <v>1</v>
      </c>
      <c r="N685" s="10">
        <f>IF(ActiveDatabase=Standby,Secondary!N685,Primary!N685)</f>
        <v>0</v>
      </c>
      <c r="O685" s="10">
        <f>IF(ActiveDatabase=Standby,Secondary!O685,Primary!O685)</f>
        <v>0</v>
      </c>
      <c r="P685" s="10">
        <f>IF(ActiveDatabase=Standby,Secondary!P685,Primary!P685)</f>
        <v>0</v>
      </c>
      <c r="Q685" s="6">
        <f>IF(ActiveDatabase=Standby,Secondary!Q685,Primary!Q685)</f>
        <v>0</v>
      </c>
      <c r="R685" s="18">
        <f>IF(ActiveDatabase=Standby,Secondary!R685,Primary!R685)</f>
        <v>0</v>
      </c>
      <c r="S685" s="19">
        <f>IF(ActiveDatabase=Standby,Secondary!S685,Primary!S685)</f>
        <v>0</v>
      </c>
      <c r="T685" s="10">
        <f>IF(ActiveDatabase=Standby,Secondary!T685,Primary!T685)</f>
        <v>0</v>
      </c>
      <c r="U685" s="10">
        <f>IF(ActiveDatabase=Standby,Secondary!U685,Primary!U685)</f>
        <v>0</v>
      </c>
      <c r="V685" s="10">
        <f>IF(ActiveDatabase=Standby,Secondary!V685,Primary!V685)</f>
        <v>0</v>
      </c>
      <c r="W685" s="6">
        <f>IF(ActiveDatabase=Standby,Secondary!W685,Primary!W685)</f>
        <v>0</v>
      </c>
      <c r="X685" s="6">
        <f>IF(ActiveDatabase=Standby,Secondary!X685,Primary!X685)</f>
        <v>0</v>
      </c>
      <c r="Y685" s="12">
        <f>IF(ActiveDatabase=Standby,Secondary!Y685,Primary!Y1343)</f>
        <v>0</v>
      </c>
      <c r="Z685" s="12">
        <f>IF(ActiveDatabase=Standby,Secondary!Z685,Primary!Z1343)</f>
        <v>0</v>
      </c>
      <c r="AA685" s="7">
        <f>IF(ActiveDatabase=Standby,Secondary!AA685,Primary!AA1343)</f>
        <v>0</v>
      </c>
      <c r="AB685" s="12"/>
      <c r="AC685" s="6"/>
      <c r="AD685" s="6"/>
      <c r="AE685" s="7"/>
      <c r="AF685" s="7"/>
      <c r="AG685" s="7"/>
      <c r="AH685" s="7"/>
      <c r="AI685" s="7"/>
      <c r="AJ685" s="7"/>
      <c r="AK685" s="7"/>
      <c r="AL685" s="7"/>
      <c r="AM685" s="7"/>
      <c r="AN685" s="7"/>
      <c r="AO685" s="6"/>
      <c r="AP685" s="7"/>
      <c r="AQ685" s="7"/>
      <c r="AR685" s="6"/>
      <c r="AS685" s="7"/>
      <c r="AT685" s="7"/>
      <c r="AU685" s="7"/>
      <c r="AV685" s="7"/>
      <c r="AW685" s="7"/>
      <c r="AX685" s="7"/>
      <c r="AY685" s="7"/>
      <c r="AZ685" s="7"/>
      <c r="BA685" s="7"/>
      <c r="BB685" s="7"/>
      <c r="BC685" s="7"/>
      <c r="BD685" s="7"/>
      <c r="BE685" s="7"/>
      <c r="BF685" s="7"/>
      <c r="BG685" s="7"/>
    </row>
    <row r="686" customHeight="1" spans="1:59">
      <c r="A686" s="9" t="str">
        <f>IF(ActiveDatabase=Standby,Secondary!A686,Primary!A686)</f>
        <v>microTech 39</v>
      </c>
      <c r="B686" s="5" t="str">
        <f>IF(ActiveDatabase=Standby,Secondary!B686,Primary!B686)</f>
        <v>microTech 20</v>
      </c>
      <c r="C686" s="5" t="str">
        <f>IF(ActiveDatabase=Standby,Secondary!C686,Primary!C686)</f>
        <v>microTech 59</v>
      </c>
      <c r="D686" s="5" t="str">
        <f>IF(ActiveDatabase=Standby,Secondary!D686,Primary!D686)</f>
        <v>microTech Logistics Depot S4LD01</v>
      </c>
      <c r="E686" s="6" t="str">
        <f>IF(ActiveDatabase=Standby,Secondary!E686,Primary!E686)</f>
        <v>S4LD01</v>
      </c>
      <c r="F686" s="10">
        <f>IF(ActiveDatabase=Standby,Secondary!F686,Primary!F686)</f>
        <v>884.615003940999</v>
      </c>
      <c r="G686" s="10">
        <f>IF(ActiveDatabase=Standby,Secondary!G686,Primary!G686)</f>
        <v>467.867816999999</v>
      </c>
      <c r="H686" s="10">
        <f>IF(ActiveDatabase=Standby,Secondary!H686,Primary!H686)</f>
        <v>-19.1525361889999</v>
      </c>
      <c r="I686" s="13">
        <f>IF(ActiveDatabase=Standby,Secondary!I686,Primary!I686)</f>
        <v>0</v>
      </c>
      <c r="J686" s="13">
        <f>IF(ActiveDatabase=Standby,Secondary!J686,Primary!J686)</f>
        <v>0</v>
      </c>
      <c r="K686" s="13">
        <f>IF(ActiveDatabase=Standby,Secondary!K686,Primary!K686)</f>
        <v>0</v>
      </c>
      <c r="L686" s="13">
        <f>IF(ActiveDatabase=Standby,Secondary!L686,Primary!L686)</f>
        <v>0</v>
      </c>
      <c r="M686" s="7" t="b">
        <f>IF(ActiveDatabase=Standby,Secondary!M686,Primary!M686)</f>
        <v>1</v>
      </c>
      <c r="N686" s="10">
        <f>IF(ActiveDatabase=Standby,Secondary!N686,Primary!N686)</f>
        <v>0</v>
      </c>
      <c r="O686" s="10">
        <f>IF(ActiveDatabase=Standby,Secondary!O686,Primary!O686)</f>
        <v>0</v>
      </c>
      <c r="P686" s="10">
        <f>IF(ActiveDatabase=Standby,Secondary!P686,Primary!P686)</f>
        <v>0</v>
      </c>
      <c r="Q686" s="6">
        <f>IF(ActiveDatabase=Standby,Secondary!Q686,Primary!Q686)</f>
        <v>0</v>
      </c>
      <c r="R686" s="18">
        <f>IF(ActiveDatabase=Standby,Secondary!R686,Primary!R686)</f>
        <v>0</v>
      </c>
      <c r="S686" s="19">
        <f>IF(ActiveDatabase=Standby,Secondary!S686,Primary!S686)</f>
        <v>0</v>
      </c>
      <c r="T686" s="10">
        <f>IF(ActiveDatabase=Standby,Secondary!T686,Primary!T686)</f>
        <v>0</v>
      </c>
      <c r="U686" s="10">
        <f>IF(ActiveDatabase=Standby,Secondary!U686,Primary!U686)</f>
        <v>0</v>
      </c>
      <c r="V686" s="10">
        <f>IF(ActiveDatabase=Standby,Secondary!V686,Primary!V686)</f>
        <v>0</v>
      </c>
      <c r="W686" s="6">
        <f>IF(ActiveDatabase=Standby,Secondary!W686,Primary!W686)</f>
        <v>0</v>
      </c>
      <c r="X686" s="6">
        <f>IF(ActiveDatabase=Standby,Secondary!X686,Primary!X686)</f>
        <v>0</v>
      </c>
      <c r="Y686" s="12">
        <f>IF(ActiveDatabase=Standby,Secondary!Y686,Primary!Y1344)</f>
        <v>0</v>
      </c>
      <c r="Z686" s="12">
        <f>IF(ActiveDatabase=Standby,Secondary!Z686,Primary!Z1344)</f>
        <v>0</v>
      </c>
      <c r="AA686" s="7">
        <f>IF(ActiveDatabase=Standby,Secondary!AA686,Primary!AA1344)</f>
        <v>0</v>
      </c>
      <c r="AB686" s="12"/>
      <c r="AC686" s="6"/>
      <c r="AD686" s="6"/>
      <c r="AE686" s="7"/>
      <c r="AF686" s="7"/>
      <c r="AG686" s="7"/>
      <c r="AH686" s="7"/>
      <c r="AI686" s="7"/>
      <c r="AJ686" s="7"/>
      <c r="AK686" s="7"/>
      <c r="AL686" s="7"/>
      <c r="AM686" s="7"/>
      <c r="AN686" s="7"/>
      <c r="AO686" s="6"/>
      <c r="AP686" s="7"/>
      <c r="AQ686" s="7"/>
      <c r="AR686" s="6"/>
      <c r="AS686" s="7"/>
      <c r="AT686" s="7"/>
      <c r="AU686" s="7"/>
      <c r="AV686" s="7"/>
      <c r="AW686" s="7"/>
      <c r="AX686" s="7"/>
      <c r="AY686" s="7"/>
      <c r="AZ686" s="7"/>
      <c r="BA686" s="7"/>
      <c r="BB686" s="7"/>
      <c r="BC686" s="7"/>
      <c r="BD686" s="7"/>
      <c r="BE686" s="7"/>
      <c r="BF686" s="7"/>
      <c r="BG686" s="7"/>
    </row>
    <row r="687" customHeight="1" spans="1:59">
      <c r="A687" s="9" t="str">
        <f>IF(ActiveDatabase=Standby,Secondary!A687,Primary!A687)</f>
        <v>microTech 40</v>
      </c>
      <c r="B687" s="5" t="str">
        <f>IF(ActiveDatabase=Standby,Secondary!B687,Primary!B687)</f>
        <v>microTech 21</v>
      </c>
      <c r="C687" s="5" t="str">
        <f>IF(ActiveDatabase=Standby,Secondary!C687,Primary!C687)</f>
        <v>microTech 73</v>
      </c>
      <c r="D687" s="5" t="str">
        <f>IF(ActiveDatabase=Standby,Secondary!D687,Primary!D687)</f>
        <v>microTech Logistics Depot S4LD13</v>
      </c>
      <c r="E687" s="6" t="str">
        <f>IF(ActiveDatabase=Standby,Secondary!E687,Primary!E687)</f>
        <v>S4LD13</v>
      </c>
      <c r="F687" s="10">
        <f>IF(ActiveDatabase=Standby,Secondary!F687,Primary!F687)</f>
        <v>843.837953494</v>
      </c>
      <c r="G687" s="10">
        <f>IF(ActiveDatabase=Standby,Secondary!G687,Primary!G687)</f>
        <v>-179.534831679</v>
      </c>
      <c r="H687" s="10">
        <f>IF(ActiveDatabase=Standby,Secondary!H687,Primary!H687)</f>
        <v>505.834097438</v>
      </c>
      <c r="I687" s="13">
        <f>IF(ActiveDatabase=Standby,Secondary!I687,Primary!I687)</f>
        <v>0</v>
      </c>
      <c r="J687" s="13">
        <f>IF(ActiveDatabase=Standby,Secondary!J687,Primary!J687)</f>
        <v>0</v>
      </c>
      <c r="K687" s="13">
        <f>IF(ActiveDatabase=Standby,Secondary!K687,Primary!K687)</f>
        <v>0</v>
      </c>
      <c r="L687" s="13">
        <f>IF(ActiveDatabase=Standby,Secondary!L687,Primary!L687)</f>
        <v>0</v>
      </c>
      <c r="M687" s="7" t="b">
        <f>IF(ActiveDatabase=Standby,Secondary!M687,Primary!M687)</f>
        <v>1</v>
      </c>
      <c r="N687" s="10">
        <f>IF(ActiveDatabase=Standby,Secondary!N687,Primary!N687)</f>
        <v>0</v>
      </c>
      <c r="O687" s="10">
        <f>IF(ActiveDatabase=Standby,Secondary!O687,Primary!O687)</f>
        <v>0</v>
      </c>
      <c r="P687" s="10">
        <f>IF(ActiveDatabase=Standby,Secondary!P687,Primary!P687)</f>
        <v>0</v>
      </c>
      <c r="Q687" s="6">
        <f>IF(ActiveDatabase=Standby,Secondary!Q687,Primary!Q687)</f>
        <v>0</v>
      </c>
      <c r="R687" s="18">
        <f>IF(ActiveDatabase=Standby,Secondary!R687,Primary!R687)</f>
        <v>0</v>
      </c>
      <c r="S687" s="19">
        <f>IF(ActiveDatabase=Standby,Secondary!S687,Primary!S687)</f>
        <v>0</v>
      </c>
      <c r="T687" s="10">
        <f>IF(ActiveDatabase=Standby,Secondary!T687,Primary!T687)</f>
        <v>0</v>
      </c>
      <c r="U687" s="10">
        <f>IF(ActiveDatabase=Standby,Secondary!U687,Primary!U687)</f>
        <v>0</v>
      </c>
      <c r="V687" s="10">
        <f>IF(ActiveDatabase=Standby,Secondary!V687,Primary!V687)</f>
        <v>0</v>
      </c>
      <c r="W687" s="6">
        <f>IF(ActiveDatabase=Standby,Secondary!W687,Primary!W687)</f>
        <v>0</v>
      </c>
      <c r="X687" s="6">
        <f>IF(ActiveDatabase=Standby,Secondary!X687,Primary!X687)</f>
        <v>0</v>
      </c>
      <c r="Y687" s="12">
        <f>IF(ActiveDatabase=Standby,Secondary!Y687,Primary!Y1345)</f>
        <v>0</v>
      </c>
      <c r="Z687" s="12">
        <f>IF(ActiveDatabase=Standby,Secondary!Z687,Primary!Z1345)</f>
        <v>0</v>
      </c>
      <c r="AA687" s="7">
        <f>IF(ActiveDatabase=Standby,Secondary!AA687,Primary!AA1345)</f>
        <v>0</v>
      </c>
      <c r="AB687" s="12"/>
      <c r="AC687" s="6"/>
      <c r="AD687" s="6"/>
      <c r="AE687" s="7"/>
      <c r="AF687" s="7"/>
      <c r="AG687" s="7"/>
      <c r="AH687" s="7"/>
      <c r="AI687" s="7"/>
      <c r="AJ687" s="7"/>
      <c r="AK687" s="7"/>
      <c r="AL687" s="7"/>
      <c r="AM687" s="7"/>
      <c r="AN687" s="7"/>
      <c r="AO687" s="6"/>
      <c r="AP687" s="7"/>
      <c r="AQ687" s="7"/>
      <c r="AR687" s="6"/>
      <c r="AS687" s="7"/>
      <c r="AT687" s="7"/>
      <c r="AU687" s="7"/>
      <c r="AV687" s="7"/>
      <c r="AW687" s="7"/>
      <c r="AX687" s="7"/>
      <c r="AY687" s="7"/>
      <c r="AZ687" s="7"/>
      <c r="BA687" s="7"/>
      <c r="BB687" s="7"/>
      <c r="BC687" s="7"/>
      <c r="BD687" s="7"/>
      <c r="BE687" s="7"/>
      <c r="BF687" s="7"/>
      <c r="BG687" s="7"/>
    </row>
    <row r="688" customHeight="1" spans="1:59">
      <c r="A688" s="9" t="str">
        <f>IF(ActiveDatabase=Standby,Secondary!A688,Primary!A688)</f>
        <v>microTech 41</v>
      </c>
      <c r="B688" s="5" t="str">
        <f>IF(ActiveDatabase=Standby,Secondary!B688,Primary!B688)</f>
        <v>microTech 22</v>
      </c>
      <c r="C688" s="5" t="str">
        <f>IF(ActiveDatabase=Standby,Secondary!C688,Primary!C688)</f>
        <v>microTech 90</v>
      </c>
      <c r="D688" s="5" t="str">
        <f>IF(ActiveDatabase=Standby,Secondary!D688,Primary!D688)</f>
        <v>Sakura Sun Goldenrod Workcenter</v>
      </c>
      <c r="E688" s="6" t="str">
        <f>IF(ActiveDatabase=Standby,Secondary!E688,Primary!E688)</f>
        <v>Goldenrod</v>
      </c>
      <c r="F688" s="10">
        <f>IF(ActiveDatabase=Standby,Secondary!F688,Primary!F688)</f>
        <v>-173.422432138</v>
      </c>
      <c r="G688" s="10">
        <f>IF(ActiveDatabase=Standby,Secondary!G688,Primary!G688)</f>
        <v>-923.630455717999</v>
      </c>
      <c r="H688" s="10">
        <f>IF(ActiveDatabase=Standby,Secondary!H688,Primary!H688)</f>
        <v>-343.264571051999</v>
      </c>
      <c r="I688" s="13">
        <f>IF(ActiveDatabase=Standby,Secondary!I688,Primary!I688)</f>
        <v>0</v>
      </c>
      <c r="J688" s="13">
        <f>IF(ActiveDatabase=Standby,Secondary!J688,Primary!J688)</f>
        <v>0</v>
      </c>
      <c r="K688" s="13">
        <f>IF(ActiveDatabase=Standby,Secondary!K688,Primary!K688)</f>
        <v>0</v>
      </c>
      <c r="L688" s="13">
        <f>IF(ActiveDatabase=Standby,Secondary!L688,Primary!L688)</f>
        <v>0</v>
      </c>
      <c r="M688" s="7" t="b">
        <f>IF(ActiveDatabase=Standby,Secondary!M688,Primary!M688)</f>
        <v>1</v>
      </c>
      <c r="N688" s="10">
        <f>IF(ActiveDatabase=Standby,Secondary!N688,Primary!N688)</f>
        <v>0</v>
      </c>
      <c r="O688" s="10">
        <f>IF(ActiveDatabase=Standby,Secondary!O688,Primary!O688)</f>
        <v>0</v>
      </c>
      <c r="P688" s="10">
        <f>IF(ActiveDatabase=Standby,Secondary!P688,Primary!P688)</f>
        <v>0</v>
      </c>
      <c r="Q688" s="6">
        <f>IF(ActiveDatabase=Standby,Secondary!Q688,Primary!Q688)</f>
        <v>0</v>
      </c>
      <c r="R688" s="18">
        <f>IF(ActiveDatabase=Standby,Secondary!R688,Primary!R688)</f>
        <v>0</v>
      </c>
      <c r="S688" s="19">
        <f>IF(ActiveDatabase=Standby,Secondary!S688,Primary!S688)</f>
        <v>0</v>
      </c>
      <c r="T688" s="10">
        <f>IF(ActiveDatabase=Standby,Secondary!T688,Primary!T688)</f>
        <v>0</v>
      </c>
      <c r="U688" s="10">
        <f>IF(ActiveDatabase=Standby,Secondary!U688,Primary!U688)</f>
        <v>0</v>
      </c>
      <c r="V688" s="10">
        <f>IF(ActiveDatabase=Standby,Secondary!V688,Primary!V688)</f>
        <v>0</v>
      </c>
      <c r="W688" s="6">
        <f>IF(ActiveDatabase=Standby,Secondary!W688,Primary!W688)</f>
        <v>0</v>
      </c>
      <c r="X688" s="6">
        <f>IF(ActiveDatabase=Standby,Secondary!X688,Primary!X688)</f>
        <v>0</v>
      </c>
      <c r="Y688" s="12">
        <f>IF(ActiveDatabase=Standby,Secondary!Y688,Primary!Y1346)</f>
        <v>0</v>
      </c>
      <c r="Z688" s="12">
        <f>IF(ActiveDatabase=Standby,Secondary!Z688,Primary!Z1346)</f>
        <v>0</v>
      </c>
      <c r="AA688" s="7">
        <f>IF(ActiveDatabase=Standby,Secondary!AA688,Primary!AA1346)</f>
        <v>0</v>
      </c>
      <c r="AB688" s="12"/>
      <c r="AC688" s="6"/>
      <c r="AD688" s="6"/>
      <c r="AE688" s="7"/>
      <c r="AF688" s="7"/>
      <c r="AG688" s="7"/>
      <c r="AH688" s="7"/>
      <c r="AI688" s="7"/>
      <c r="AJ688" s="7"/>
      <c r="AK688" s="7"/>
      <c r="AL688" s="7"/>
      <c r="AM688" s="7"/>
      <c r="AN688" s="7"/>
      <c r="AO688" s="6"/>
      <c r="AP688" s="7"/>
      <c r="AQ688" s="7"/>
      <c r="AR688" s="6"/>
      <c r="AS688" s="7"/>
      <c r="AT688" s="7"/>
      <c r="AU688" s="7"/>
      <c r="AV688" s="7"/>
      <c r="AW688" s="7"/>
      <c r="AX688" s="7"/>
      <c r="AY688" s="7"/>
      <c r="AZ688" s="7"/>
      <c r="BA688" s="7"/>
      <c r="BB688" s="7"/>
      <c r="BC688" s="7"/>
      <c r="BD688" s="7"/>
      <c r="BE688" s="7"/>
      <c r="BF688" s="7"/>
      <c r="BG688" s="7"/>
    </row>
    <row r="689" customHeight="1" spans="1:59">
      <c r="A689" s="9" t="str">
        <f>IF(ActiveDatabase=Standby,Secondary!A689,Primary!A689)</f>
        <v>microTech</v>
      </c>
      <c r="B689" s="5" t="str">
        <f>IF(ActiveDatabase=Standby,Secondary!B689,Primary!B689)</f>
        <v>microTech 24</v>
      </c>
      <c r="C689" s="5">
        <f>IF(ActiveDatabase=Standby,Secondary!C689,Primary!C689)</f>
        <v>0</v>
      </c>
      <c r="D689" s="5" t="str">
        <f>IF(ActiveDatabase=Standby,Secondary!D689,Primary!D689)</f>
        <v>Underground Bunker Facilities</v>
      </c>
      <c r="E689" s="6">
        <f>IF(ActiveDatabase=Standby,Secondary!E689,Primary!E689)</f>
        <v>0</v>
      </c>
      <c r="F689" s="10">
        <f>IF(ActiveDatabase=Standby,Secondary!F689,Primary!F689)</f>
        <v>0</v>
      </c>
      <c r="G689" s="10">
        <f>IF(ActiveDatabase=Standby,Secondary!G689,Primary!G689)</f>
        <v>0</v>
      </c>
      <c r="H689" s="10">
        <f>IF(ActiveDatabase=Standby,Secondary!H689,Primary!H689)</f>
        <v>0</v>
      </c>
      <c r="I689" s="13">
        <f>IF(ActiveDatabase=Standby,Secondary!I689,Primary!I689)</f>
        <v>0</v>
      </c>
      <c r="J689" s="13">
        <f>IF(ActiveDatabase=Standby,Secondary!J689,Primary!J689)</f>
        <v>0</v>
      </c>
      <c r="K689" s="13">
        <f>IF(ActiveDatabase=Standby,Secondary!K689,Primary!K689)</f>
        <v>0</v>
      </c>
      <c r="L689" s="13">
        <f>IF(ActiveDatabase=Standby,Secondary!L689,Primary!L689)</f>
        <v>0</v>
      </c>
      <c r="M689" s="7">
        <f>IF(ActiveDatabase=Standby,Secondary!M689,Primary!M689)</f>
        <v>0</v>
      </c>
      <c r="N689" s="10">
        <f>IF(ActiveDatabase=Standby,Secondary!N689,Primary!N689)</f>
        <v>0</v>
      </c>
      <c r="O689" s="10">
        <f>IF(ActiveDatabase=Standby,Secondary!O689,Primary!O689)</f>
        <v>0</v>
      </c>
      <c r="P689" s="10">
        <f>IF(ActiveDatabase=Standby,Secondary!P689,Primary!P689)</f>
        <v>0</v>
      </c>
      <c r="Q689" s="6">
        <f>IF(ActiveDatabase=Standby,Secondary!Q689,Primary!Q689)</f>
        <v>0</v>
      </c>
      <c r="R689" s="18">
        <f>IF(ActiveDatabase=Standby,Secondary!R689,Primary!R689)</f>
        <v>0</v>
      </c>
      <c r="S689" s="19">
        <f>IF(ActiveDatabase=Standby,Secondary!S689,Primary!S689)</f>
        <v>0</v>
      </c>
      <c r="T689" s="10">
        <f>IF(ActiveDatabase=Standby,Secondary!T689,Primary!T689)</f>
        <v>0</v>
      </c>
      <c r="U689" s="10">
        <f>IF(ActiveDatabase=Standby,Secondary!U689,Primary!U689)</f>
        <v>0</v>
      </c>
      <c r="V689" s="10">
        <f>IF(ActiveDatabase=Standby,Secondary!V689,Primary!V689)</f>
        <v>0</v>
      </c>
      <c r="W689" s="6">
        <f>IF(ActiveDatabase=Standby,Secondary!W689,Primary!W689)</f>
        <v>0</v>
      </c>
      <c r="X689" s="6">
        <f>IF(ActiveDatabase=Standby,Secondary!X689,Primary!X689)</f>
        <v>0</v>
      </c>
      <c r="Y689" s="12">
        <f>IF(ActiveDatabase=Standby,Secondary!Y689,Primary!Y1347)</f>
        <v>0</v>
      </c>
      <c r="Z689" s="12">
        <f>IF(ActiveDatabase=Standby,Secondary!Z689,Primary!Z1347)</f>
        <v>0</v>
      </c>
      <c r="AA689" s="7">
        <f>IF(ActiveDatabase=Standby,Secondary!AA689,Primary!AA1347)</f>
        <v>0</v>
      </c>
      <c r="AB689" s="12"/>
      <c r="AC689" s="6"/>
      <c r="AD689" s="6"/>
      <c r="AE689" s="7"/>
      <c r="AF689" s="7"/>
      <c r="AG689" s="7"/>
      <c r="AH689" s="7"/>
      <c r="AI689" s="7"/>
      <c r="AJ689" s="7"/>
      <c r="AK689" s="7"/>
      <c r="AL689" s="7"/>
      <c r="AM689" s="7"/>
      <c r="AN689" s="7"/>
      <c r="AO689" s="6"/>
      <c r="AP689" s="7"/>
      <c r="AQ689" s="7"/>
      <c r="AR689" s="6"/>
      <c r="AS689" s="7"/>
      <c r="AT689" s="7"/>
      <c r="AU689" s="7"/>
      <c r="AV689" s="7"/>
      <c r="AW689" s="7"/>
      <c r="AX689" s="7"/>
      <c r="AY689" s="7"/>
      <c r="AZ689" s="7"/>
      <c r="BA689" s="7"/>
      <c r="BB689" s="7"/>
      <c r="BC689" s="7"/>
      <c r="BD689" s="7"/>
      <c r="BE689" s="7"/>
      <c r="BF689" s="7"/>
      <c r="BG689" s="7"/>
    </row>
    <row r="690" customHeight="1" spans="1:59">
      <c r="A690" s="9" t="str">
        <f>IF(ActiveDatabase=Standby,Secondary!A690,Primary!A690)</f>
        <v>microTech 11</v>
      </c>
      <c r="B690" s="5" t="str">
        <f>IF(ActiveDatabase=Standby,Secondary!B690,Primary!B690)</f>
        <v>microTech 25</v>
      </c>
      <c r="C690" s="5" t="str">
        <f>IF(ActiveDatabase=Standby,Secondary!C690,Primary!C690)</f>
        <v>microTech 65</v>
      </c>
      <c r="D690" s="5" t="str">
        <f>IF(ActiveDatabase=Standby,Secondary!D690,Primary!D690)</f>
        <v>MT DataCenter 2UB-RB9-5</v>
      </c>
      <c r="E690" s="6" t="str">
        <f>IF(ActiveDatabase=Standby,Secondary!E690,Primary!E690)</f>
        <v>DC 2UB</v>
      </c>
      <c r="F690" s="10">
        <f>IF(ActiveDatabase=Standby,Secondary!F690,Primary!F690)</f>
        <v>907.001926866</v>
      </c>
      <c r="G690" s="10">
        <f>IF(ActiveDatabase=Standby,Secondary!G690,Primary!G690)</f>
        <v>139.908078669</v>
      </c>
      <c r="H690" s="10">
        <f>IF(ActiveDatabase=Standby,Secondary!H690,Primary!H690)</f>
        <v>-397.662409549999</v>
      </c>
      <c r="I690" s="13">
        <f>IF(ActiveDatabase=Standby,Secondary!I690,Primary!I690)</f>
        <v>0</v>
      </c>
      <c r="J690" s="13">
        <f>IF(ActiveDatabase=Standby,Secondary!J690,Primary!J690)</f>
        <v>0</v>
      </c>
      <c r="K690" s="13">
        <f>IF(ActiveDatabase=Standby,Secondary!K690,Primary!K690)</f>
        <v>0</v>
      </c>
      <c r="L690" s="13">
        <f>IF(ActiveDatabase=Standby,Secondary!L690,Primary!L690)</f>
        <v>0</v>
      </c>
      <c r="M690" s="7" t="b">
        <f>IF(ActiveDatabase=Standby,Secondary!M690,Primary!M690)</f>
        <v>1</v>
      </c>
      <c r="N690" s="10">
        <f>IF(ActiveDatabase=Standby,Secondary!N690,Primary!N690)</f>
        <v>0</v>
      </c>
      <c r="O690" s="10">
        <f>IF(ActiveDatabase=Standby,Secondary!O690,Primary!O690)</f>
        <v>0</v>
      </c>
      <c r="P690" s="10">
        <f>IF(ActiveDatabase=Standby,Secondary!P690,Primary!P690)</f>
        <v>0</v>
      </c>
      <c r="Q690" s="6">
        <f>IF(ActiveDatabase=Standby,Secondary!Q690,Primary!Q690)</f>
        <v>0</v>
      </c>
      <c r="R690" s="18">
        <f>IF(ActiveDatabase=Standby,Secondary!R690,Primary!R690)</f>
        <v>0</v>
      </c>
      <c r="S690" s="19">
        <f>IF(ActiveDatabase=Standby,Secondary!S690,Primary!S690)</f>
        <v>0</v>
      </c>
      <c r="T690" s="10">
        <f>IF(ActiveDatabase=Standby,Secondary!T690,Primary!T690)</f>
        <v>0</v>
      </c>
      <c r="U690" s="10">
        <f>IF(ActiveDatabase=Standby,Secondary!U690,Primary!U690)</f>
        <v>0</v>
      </c>
      <c r="V690" s="10">
        <f>IF(ActiveDatabase=Standby,Secondary!V690,Primary!V690)</f>
        <v>0</v>
      </c>
      <c r="W690" s="6">
        <f>IF(ActiveDatabase=Standby,Secondary!W690,Primary!W690)</f>
        <v>0</v>
      </c>
      <c r="X690" s="6">
        <f>IF(ActiveDatabase=Standby,Secondary!X690,Primary!X690)</f>
        <v>0</v>
      </c>
      <c r="Y690" s="12">
        <f>IF(ActiveDatabase=Standby,Secondary!Y690,Primary!Y1348)</f>
        <v>0</v>
      </c>
      <c r="Z690" s="12">
        <f>IF(ActiveDatabase=Standby,Secondary!Z690,Primary!Z1348)</f>
        <v>0</v>
      </c>
      <c r="AA690" s="7">
        <f>IF(ActiveDatabase=Standby,Secondary!AA690,Primary!AA1348)</f>
        <v>0</v>
      </c>
      <c r="AB690" s="12"/>
      <c r="AC690" s="6"/>
      <c r="AD690" s="6"/>
      <c r="AE690" s="7"/>
      <c r="AF690" s="7"/>
      <c r="AG690" s="7"/>
      <c r="AH690" s="7"/>
      <c r="AI690" s="7"/>
      <c r="AJ690" s="7"/>
      <c r="AK690" s="7"/>
      <c r="AL690" s="7"/>
      <c r="AM690" s="7"/>
      <c r="AN690" s="7"/>
      <c r="AO690" s="6"/>
      <c r="AP690" s="7"/>
      <c r="AQ690" s="7"/>
      <c r="AR690" s="6"/>
      <c r="AS690" s="7"/>
      <c r="AT690" s="7"/>
      <c r="AU690" s="7"/>
      <c r="AV690" s="7"/>
      <c r="AW690" s="7"/>
      <c r="AX690" s="7"/>
      <c r="AY690" s="7"/>
      <c r="AZ690" s="7"/>
      <c r="BA690" s="7"/>
      <c r="BB690" s="7"/>
      <c r="BC690" s="7"/>
      <c r="BD690" s="7"/>
      <c r="BE690" s="7"/>
      <c r="BF690" s="7"/>
      <c r="BG690" s="7"/>
    </row>
    <row r="691" customHeight="1" spans="1:59">
      <c r="A691" s="9" t="str">
        <f>IF(ActiveDatabase=Standby,Secondary!A691,Primary!A691)</f>
        <v>microTech 12</v>
      </c>
      <c r="B691" s="5" t="str">
        <f>IF(ActiveDatabase=Standby,Secondary!B691,Primary!B691)</f>
        <v>microTech 26</v>
      </c>
      <c r="C691" s="5" t="str">
        <f>IF(ActiveDatabase=Standby,Secondary!C691,Primary!C691)</f>
        <v>microTech 38</v>
      </c>
      <c r="D691" s="5" t="str">
        <f>IF(ActiveDatabase=Standby,Secondary!D691,Primary!D691)</f>
        <v>MT DataCenter 4HJ-LVE-A</v>
      </c>
      <c r="E691" s="6" t="str">
        <f>IF(ActiveDatabase=Standby,Secondary!E691,Primary!E691)</f>
        <v>DC 4HJ</v>
      </c>
      <c r="F691" s="10">
        <f>IF(ActiveDatabase=Standby,Secondary!F691,Primary!F691)</f>
        <v>-100.841420526999</v>
      </c>
      <c r="G691" s="10">
        <f>IF(ActiveDatabase=Standby,Secondary!G691,Primary!G691)</f>
        <v>962.406628046</v>
      </c>
      <c r="H691" s="10">
        <f>IF(ActiveDatabase=Standby,Secondary!H691,Primary!H691)</f>
        <v>-255.721361148</v>
      </c>
      <c r="I691" s="13">
        <f>IF(ActiveDatabase=Standby,Secondary!I691,Primary!I691)</f>
        <v>0</v>
      </c>
      <c r="J691" s="13">
        <f>IF(ActiveDatabase=Standby,Secondary!J691,Primary!J691)</f>
        <v>0</v>
      </c>
      <c r="K691" s="13">
        <f>IF(ActiveDatabase=Standby,Secondary!K691,Primary!K691)</f>
        <v>0</v>
      </c>
      <c r="L691" s="13">
        <f>IF(ActiveDatabase=Standby,Secondary!L691,Primary!L691)</f>
        <v>0</v>
      </c>
      <c r="M691" s="7" t="b">
        <f>IF(ActiveDatabase=Standby,Secondary!M691,Primary!M691)</f>
        <v>1</v>
      </c>
      <c r="N691" s="10">
        <f>IF(ActiveDatabase=Standby,Secondary!N691,Primary!N691)</f>
        <v>0</v>
      </c>
      <c r="O691" s="10">
        <f>IF(ActiveDatabase=Standby,Secondary!O691,Primary!O691)</f>
        <v>0</v>
      </c>
      <c r="P691" s="10">
        <f>IF(ActiveDatabase=Standby,Secondary!P691,Primary!P691)</f>
        <v>0</v>
      </c>
      <c r="Q691" s="6">
        <f>IF(ActiveDatabase=Standby,Secondary!Q691,Primary!Q691)</f>
        <v>0</v>
      </c>
      <c r="R691" s="18">
        <f>IF(ActiveDatabase=Standby,Secondary!R691,Primary!R691)</f>
        <v>0</v>
      </c>
      <c r="S691" s="19">
        <f>IF(ActiveDatabase=Standby,Secondary!S691,Primary!S691)</f>
        <v>0</v>
      </c>
      <c r="T691" s="10">
        <f>IF(ActiveDatabase=Standby,Secondary!T691,Primary!T691)</f>
        <v>0</v>
      </c>
      <c r="U691" s="10">
        <f>IF(ActiveDatabase=Standby,Secondary!U691,Primary!U691)</f>
        <v>0</v>
      </c>
      <c r="V691" s="10">
        <f>IF(ActiveDatabase=Standby,Secondary!V691,Primary!V691)</f>
        <v>0</v>
      </c>
      <c r="W691" s="6">
        <f>IF(ActiveDatabase=Standby,Secondary!W691,Primary!W691)</f>
        <v>0</v>
      </c>
      <c r="X691" s="6">
        <f>IF(ActiveDatabase=Standby,Secondary!X691,Primary!X691)</f>
        <v>0</v>
      </c>
      <c r="Y691" s="12">
        <f>IF(ActiveDatabase=Standby,Secondary!Y691,Primary!Y1349)</f>
        <v>0</v>
      </c>
      <c r="Z691" s="12">
        <f>IF(ActiveDatabase=Standby,Secondary!Z691,Primary!Z1349)</f>
        <v>0</v>
      </c>
      <c r="AA691" s="7">
        <f>IF(ActiveDatabase=Standby,Secondary!AA691,Primary!AA1349)</f>
        <v>0</v>
      </c>
      <c r="AB691" s="12"/>
      <c r="AC691" s="6"/>
      <c r="AD691" s="6"/>
      <c r="AE691" s="7"/>
      <c r="AF691" s="7"/>
      <c r="AG691" s="7"/>
      <c r="AH691" s="7"/>
      <c r="AI691" s="7"/>
      <c r="AJ691" s="7"/>
      <c r="AK691" s="7"/>
      <c r="AL691" s="7"/>
      <c r="AM691" s="7"/>
      <c r="AN691" s="7"/>
      <c r="AO691" s="6"/>
      <c r="AP691" s="7"/>
      <c r="AQ691" s="7"/>
      <c r="AR691" s="6"/>
      <c r="AS691" s="7"/>
      <c r="AT691" s="7"/>
      <c r="AU691" s="7"/>
      <c r="AV691" s="7"/>
      <c r="AW691" s="7"/>
      <c r="AX691" s="7"/>
      <c r="AY691" s="7"/>
      <c r="AZ691" s="7"/>
      <c r="BA691" s="7"/>
      <c r="BB691" s="7"/>
      <c r="BC691" s="7"/>
      <c r="BD691" s="7"/>
      <c r="BE691" s="7"/>
      <c r="BF691" s="7"/>
      <c r="BG691" s="7"/>
    </row>
    <row r="692" customHeight="1" spans="1:59">
      <c r="A692" s="9" t="str">
        <f>IF(ActiveDatabase=Standby,Secondary!A692,Primary!A692)</f>
        <v>microTech 13</v>
      </c>
      <c r="B692" s="5" t="str">
        <f>IF(ActiveDatabase=Standby,Secondary!B692,Primary!B692)</f>
        <v>microTech 27</v>
      </c>
      <c r="C692" s="5" t="str">
        <f>IF(ActiveDatabase=Standby,Secondary!C692,Primary!C692)</f>
        <v>microTech 68</v>
      </c>
      <c r="D692" s="5" t="str">
        <f>IF(ActiveDatabase=Standby,Secondary!D692,Primary!D692)</f>
        <v>MT DataCenter 5WQ-R2V-C</v>
      </c>
      <c r="E692" s="6" t="str">
        <f>IF(ActiveDatabase=Standby,Secondary!E692,Primary!E692)</f>
        <v>DC 5WQ</v>
      </c>
      <c r="F692" s="10">
        <f>IF(ActiveDatabase=Standby,Secondary!F692,Primary!F692)</f>
        <v>959.880006009</v>
      </c>
      <c r="G692" s="10">
        <f>IF(ActiveDatabase=Standby,Secondary!G692,Primary!G692)</f>
        <v>40.2947158029998</v>
      </c>
      <c r="H692" s="10">
        <f>IF(ActiveDatabase=Standby,Secondary!H692,Primary!H692)</f>
        <v>-279.073290281999</v>
      </c>
      <c r="I692" s="13">
        <f>IF(ActiveDatabase=Standby,Secondary!I692,Primary!I692)</f>
        <v>0</v>
      </c>
      <c r="J692" s="13">
        <f>IF(ActiveDatabase=Standby,Secondary!J692,Primary!J692)</f>
        <v>0</v>
      </c>
      <c r="K692" s="13">
        <f>IF(ActiveDatabase=Standby,Secondary!K692,Primary!K692)</f>
        <v>0</v>
      </c>
      <c r="L692" s="13">
        <f>IF(ActiveDatabase=Standby,Secondary!L692,Primary!L692)</f>
        <v>0</v>
      </c>
      <c r="M692" s="7" t="b">
        <f>IF(ActiveDatabase=Standby,Secondary!M692,Primary!M692)</f>
        <v>1</v>
      </c>
      <c r="N692" s="10">
        <f>IF(ActiveDatabase=Standby,Secondary!N692,Primary!N692)</f>
        <v>0</v>
      </c>
      <c r="O692" s="10">
        <f>IF(ActiveDatabase=Standby,Secondary!O692,Primary!O692)</f>
        <v>0</v>
      </c>
      <c r="P692" s="10">
        <f>IF(ActiveDatabase=Standby,Secondary!P692,Primary!P692)</f>
        <v>0</v>
      </c>
      <c r="Q692" s="6">
        <f>IF(ActiveDatabase=Standby,Secondary!Q692,Primary!Q692)</f>
        <v>0</v>
      </c>
      <c r="R692" s="18">
        <f>IF(ActiveDatabase=Standby,Secondary!R692,Primary!R692)</f>
        <v>0</v>
      </c>
      <c r="S692" s="19">
        <f>IF(ActiveDatabase=Standby,Secondary!S692,Primary!S692)</f>
        <v>0</v>
      </c>
      <c r="T692" s="10">
        <f>IF(ActiveDatabase=Standby,Secondary!T692,Primary!T692)</f>
        <v>0</v>
      </c>
      <c r="U692" s="10">
        <f>IF(ActiveDatabase=Standby,Secondary!U692,Primary!U692)</f>
        <v>0</v>
      </c>
      <c r="V692" s="10">
        <f>IF(ActiveDatabase=Standby,Secondary!V692,Primary!V692)</f>
        <v>0</v>
      </c>
      <c r="W692" s="6">
        <f>IF(ActiveDatabase=Standby,Secondary!W692,Primary!W692)</f>
        <v>0</v>
      </c>
      <c r="X692" s="6">
        <f>IF(ActiveDatabase=Standby,Secondary!X692,Primary!X692)</f>
        <v>0</v>
      </c>
      <c r="Y692" s="12">
        <f>IF(ActiveDatabase=Standby,Secondary!Y692,Primary!Y1350)</f>
        <v>0</v>
      </c>
      <c r="Z692" s="12">
        <f>IF(ActiveDatabase=Standby,Secondary!Z692,Primary!Z1350)</f>
        <v>0</v>
      </c>
      <c r="AA692" s="7">
        <f>IF(ActiveDatabase=Standby,Secondary!AA692,Primary!AA1350)</f>
        <v>0</v>
      </c>
      <c r="AB692" s="12"/>
      <c r="AC692" s="6"/>
      <c r="AD692" s="6"/>
      <c r="AE692" s="7"/>
      <c r="AF692" s="7"/>
      <c r="AG692" s="7"/>
      <c r="AH692" s="7"/>
      <c r="AI692" s="7"/>
      <c r="AJ692" s="7"/>
      <c r="AK692" s="7"/>
      <c r="AL692" s="7"/>
      <c r="AM692" s="7"/>
      <c r="AN692" s="7"/>
      <c r="AO692" s="6"/>
      <c r="AP692" s="7"/>
      <c r="AQ692" s="7"/>
      <c r="AR692" s="6"/>
      <c r="AS692" s="7"/>
      <c r="AT692" s="7"/>
      <c r="AU692" s="7"/>
      <c r="AV692" s="7"/>
      <c r="AW692" s="7"/>
      <c r="AX692" s="7"/>
      <c r="AY692" s="7"/>
      <c r="AZ692" s="7"/>
      <c r="BA692" s="7"/>
      <c r="BB692" s="7"/>
      <c r="BC692" s="7"/>
      <c r="BD692" s="7"/>
      <c r="BE692" s="7"/>
      <c r="BF692" s="7"/>
      <c r="BG692" s="7"/>
    </row>
    <row r="693" customHeight="1" spans="1:59">
      <c r="A693" s="9" t="str">
        <f>IF(ActiveDatabase=Standby,Secondary!A693,Primary!A693)</f>
        <v>microTech 14</v>
      </c>
      <c r="B693" s="5" t="str">
        <f>IF(ActiveDatabase=Standby,Secondary!B693,Primary!B693)</f>
        <v>microTech 28</v>
      </c>
      <c r="C693" s="5" t="str">
        <f>IF(ActiveDatabase=Standby,Secondary!C693,Primary!C693)</f>
        <v>microTech 66</v>
      </c>
      <c r="D693" s="5" t="str">
        <f>IF(ActiveDatabase=Standby,Secondary!D693,Primary!D693)</f>
        <v>MT DataCenter 8FK-Q2X-K</v>
      </c>
      <c r="E693" s="6" t="str">
        <f>IF(ActiveDatabase=Standby,Secondary!E693,Primary!E693)</f>
        <v>DC 8FK</v>
      </c>
      <c r="F693" s="10">
        <f>IF(ActiveDatabase=Standby,Secondary!F693,Primary!F693)</f>
        <v>22.3972399909999</v>
      </c>
      <c r="G693" s="10">
        <f>IF(ActiveDatabase=Standby,Secondary!G693,Primary!G693)</f>
        <v>2.904963732</v>
      </c>
      <c r="H693" s="10">
        <f>IF(ActiveDatabase=Standby,Secondary!H693,Primary!H693)</f>
        <v>-1000.724867091</v>
      </c>
      <c r="I693" s="13">
        <f>IF(ActiveDatabase=Standby,Secondary!I693,Primary!I693)</f>
        <v>0</v>
      </c>
      <c r="J693" s="13">
        <f>IF(ActiveDatabase=Standby,Secondary!J693,Primary!J693)</f>
        <v>0</v>
      </c>
      <c r="K693" s="13">
        <f>IF(ActiveDatabase=Standby,Secondary!K693,Primary!K693)</f>
        <v>0</v>
      </c>
      <c r="L693" s="13">
        <f>IF(ActiveDatabase=Standby,Secondary!L693,Primary!L693)</f>
        <v>0</v>
      </c>
      <c r="M693" s="7" t="b">
        <f>IF(ActiveDatabase=Standby,Secondary!M693,Primary!M693)</f>
        <v>1</v>
      </c>
      <c r="N693" s="10">
        <f>IF(ActiveDatabase=Standby,Secondary!N693,Primary!N693)</f>
        <v>0</v>
      </c>
      <c r="O693" s="10">
        <f>IF(ActiveDatabase=Standby,Secondary!O693,Primary!O693)</f>
        <v>0</v>
      </c>
      <c r="P693" s="10">
        <f>IF(ActiveDatabase=Standby,Secondary!P693,Primary!P693)</f>
        <v>0</v>
      </c>
      <c r="Q693" s="6">
        <f>IF(ActiveDatabase=Standby,Secondary!Q693,Primary!Q693)</f>
        <v>0</v>
      </c>
      <c r="R693" s="18">
        <f>IF(ActiveDatabase=Standby,Secondary!R693,Primary!R693)</f>
        <v>0</v>
      </c>
      <c r="S693" s="19">
        <f>IF(ActiveDatabase=Standby,Secondary!S693,Primary!S693)</f>
        <v>0</v>
      </c>
      <c r="T693" s="10">
        <f>IF(ActiveDatabase=Standby,Secondary!T693,Primary!T693)</f>
        <v>0</v>
      </c>
      <c r="U693" s="10">
        <f>IF(ActiveDatabase=Standby,Secondary!U693,Primary!U693)</f>
        <v>0</v>
      </c>
      <c r="V693" s="10">
        <f>IF(ActiveDatabase=Standby,Secondary!V693,Primary!V693)</f>
        <v>0</v>
      </c>
      <c r="W693" s="6">
        <f>IF(ActiveDatabase=Standby,Secondary!W693,Primary!W693)</f>
        <v>0</v>
      </c>
      <c r="X693" s="6">
        <f>IF(ActiveDatabase=Standby,Secondary!X693,Primary!X693)</f>
        <v>0</v>
      </c>
      <c r="Y693" s="12">
        <f>IF(ActiveDatabase=Standby,Secondary!Y693,Primary!Y1351)</f>
        <v>0</v>
      </c>
      <c r="Z693" s="12">
        <f>IF(ActiveDatabase=Standby,Secondary!Z693,Primary!Z1351)</f>
        <v>0</v>
      </c>
      <c r="AA693" s="7">
        <f>IF(ActiveDatabase=Standby,Secondary!AA693,Primary!AA1351)</f>
        <v>0</v>
      </c>
      <c r="AB693" s="12"/>
      <c r="AC693" s="6"/>
      <c r="AD693" s="6"/>
      <c r="AE693" s="7"/>
      <c r="AF693" s="7"/>
      <c r="AG693" s="7"/>
      <c r="AH693" s="7"/>
      <c r="AI693" s="7"/>
      <c r="AJ693" s="7"/>
      <c r="AK693" s="7"/>
      <c r="AL693" s="7"/>
      <c r="AM693" s="7"/>
      <c r="AN693" s="7"/>
      <c r="AO693" s="6"/>
      <c r="AP693" s="7"/>
      <c r="AQ693" s="7"/>
      <c r="AR693" s="6"/>
      <c r="AS693" s="7"/>
      <c r="AT693" s="7"/>
      <c r="AU693" s="7"/>
      <c r="AV693" s="7"/>
      <c r="AW693" s="7"/>
      <c r="AX693" s="7"/>
      <c r="AY693" s="7"/>
      <c r="AZ693" s="7"/>
      <c r="BA693" s="7"/>
      <c r="BB693" s="7"/>
      <c r="BC693" s="7"/>
      <c r="BD693" s="7"/>
      <c r="BE693" s="7"/>
      <c r="BF693" s="7"/>
      <c r="BG693" s="7"/>
    </row>
    <row r="694" customHeight="1" spans="1:59">
      <c r="A694" s="9" t="str">
        <f>IF(ActiveDatabase=Standby,Secondary!A694,Primary!A694)</f>
        <v>microTech 15</v>
      </c>
      <c r="B694" s="5" t="str">
        <f>IF(ActiveDatabase=Standby,Secondary!B694,Primary!B694)</f>
        <v>microTech 29</v>
      </c>
      <c r="C694" s="5" t="str">
        <f>IF(ActiveDatabase=Standby,Secondary!C694,Primary!C694)</f>
        <v>microTech 42</v>
      </c>
      <c r="D694" s="5" t="str">
        <f>IF(ActiveDatabase=Standby,Secondary!D694,Primary!D694)</f>
        <v>MT DataCenter D79-ECG-R</v>
      </c>
      <c r="E694" s="6" t="str">
        <f>IF(ActiveDatabase=Standby,Secondary!E694,Primary!E694)</f>
        <v>DC D79</v>
      </c>
      <c r="F694" s="10">
        <f>IF(ActiveDatabase=Standby,Secondary!F694,Primary!F694)</f>
        <v>200.928137781</v>
      </c>
      <c r="G694" s="10">
        <f>IF(ActiveDatabase=Standby,Secondary!G694,Primary!G694)</f>
        <v>308.739605014999</v>
      </c>
      <c r="H694" s="10">
        <f>IF(ActiveDatabase=Standby,Secondary!H694,Primary!H694)</f>
        <v>-929.820080088</v>
      </c>
      <c r="I694" s="13">
        <f>IF(ActiveDatabase=Standby,Secondary!I694,Primary!I694)</f>
        <v>0</v>
      </c>
      <c r="J694" s="13">
        <f>IF(ActiveDatabase=Standby,Secondary!J694,Primary!J694)</f>
        <v>0</v>
      </c>
      <c r="K694" s="13">
        <f>IF(ActiveDatabase=Standby,Secondary!K694,Primary!K694)</f>
        <v>0</v>
      </c>
      <c r="L694" s="13">
        <f>IF(ActiveDatabase=Standby,Secondary!L694,Primary!L694)</f>
        <v>0</v>
      </c>
      <c r="M694" s="7" t="b">
        <f>IF(ActiveDatabase=Standby,Secondary!M694,Primary!M694)</f>
        <v>1</v>
      </c>
      <c r="N694" s="10">
        <f>IF(ActiveDatabase=Standby,Secondary!N694,Primary!N694)</f>
        <v>0</v>
      </c>
      <c r="O694" s="10">
        <f>IF(ActiveDatabase=Standby,Secondary!O694,Primary!O694)</f>
        <v>0</v>
      </c>
      <c r="P694" s="10">
        <f>IF(ActiveDatabase=Standby,Secondary!P694,Primary!P694)</f>
        <v>0</v>
      </c>
      <c r="Q694" s="6">
        <f>IF(ActiveDatabase=Standby,Secondary!Q694,Primary!Q694)</f>
        <v>0</v>
      </c>
      <c r="R694" s="18">
        <f>IF(ActiveDatabase=Standby,Secondary!R694,Primary!R694)</f>
        <v>0</v>
      </c>
      <c r="S694" s="19">
        <f>IF(ActiveDatabase=Standby,Secondary!S694,Primary!S694)</f>
        <v>0</v>
      </c>
      <c r="T694" s="10">
        <f>IF(ActiveDatabase=Standby,Secondary!T694,Primary!T694)</f>
        <v>0</v>
      </c>
      <c r="U694" s="10">
        <f>IF(ActiveDatabase=Standby,Secondary!U694,Primary!U694)</f>
        <v>0</v>
      </c>
      <c r="V694" s="10">
        <f>IF(ActiveDatabase=Standby,Secondary!V694,Primary!V694)</f>
        <v>0</v>
      </c>
      <c r="W694" s="6">
        <f>IF(ActiveDatabase=Standby,Secondary!W694,Primary!W694)</f>
        <v>0</v>
      </c>
      <c r="X694" s="6">
        <f>IF(ActiveDatabase=Standby,Secondary!X694,Primary!X694)</f>
        <v>0</v>
      </c>
      <c r="Y694" s="12">
        <f>IF(ActiveDatabase=Standby,Secondary!Y694,Primary!Y1352)</f>
        <v>0</v>
      </c>
      <c r="Z694" s="12">
        <f>IF(ActiveDatabase=Standby,Secondary!Z694,Primary!Z1352)</f>
        <v>0</v>
      </c>
      <c r="AA694" s="7">
        <f>IF(ActiveDatabase=Standby,Secondary!AA694,Primary!AA1352)</f>
        <v>0</v>
      </c>
      <c r="AB694" s="12"/>
      <c r="AC694" s="6"/>
      <c r="AD694" s="6"/>
      <c r="AE694" s="7"/>
      <c r="AF694" s="7"/>
      <c r="AG694" s="7"/>
      <c r="AH694" s="7"/>
      <c r="AI694" s="7"/>
      <c r="AJ694" s="7"/>
      <c r="AK694" s="7"/>
      <c r="AL694" s="7"/>
      <c r="AM694" s="7"/>
      <c r="AN694" s="7"/>
      <c r="AO694" s="6"/>
      <c r="AP694" s="7"/>
      <c r="AQ694" s="7"/>
      <c r="AR694" s="6"/>
      <c r="AS694" s="7"/>
      <c r="AT694" s="7"/>
      <c r="AU694" s="7"/>
      <c r="AV694" s="7"/>
      <c r="AW694" s="7"/>
      <c r="AX694" s="7"/>
      <c r="AY694" s="7"/>
      <c r="AZ694" s="7"/>
      <c r="BA694" s="7"/>
      <c r="BB694" s="7"/>
      <c r="BC694" s="7"/>
      <c r="BD694" s="7"/>
      <c r="BE694" s="7"/>
      <c r="BF694" s="7"/>
      <c r="BG694" s="7"/>
    </row>
    <row r="695" customHeight="1" spans="1:59">
      <c r="A695" s="9" t="str">
        <f>IF(ActiveDatabase=Standby,Secondary!A695,Primary!A695)</f>
        <v>microTech 16</v>
      </c>
      <c r="B695" s="5" t="str">
        <f>IF(ActiveDatabase=Standby,Secondary!B695,Primary!B695)</f>
        <v>microTech 30</v>
      </c>
      <c r="C695" s="5" t="str">
        <f>IF(ActiveDatabase=Standby,Secondary!C695,Primary!C695)</f>
        <v>microTech 64</v>
      </c>
      <c r="D695" s="5" t="str">
        <f>IF(ActiveDatabase=Standby,Secondary!D695,Primary!D695)</f>
        <v>MT DataCenter E2Q-NSG-Y</v>
      </c>
      <c r="E695" s="6" t="str">
        <f>IF(ActiveDatabase=Standby,Secondary!E695,Primary!E695)</f>
        <v>DC E2Q</v>
      </c>
      <c r="F695" s="10">
        <f>IF(ActiveDatabase=Standby,Secondary!F695,Primary!F695)</f>
        <v>916.831795390999</v>
      </c>
      <c r="G695" s="10">
        <f>IF(ActiveDatabase=Standby,Secondary!G695,Primary!G695)</f>
        <v>187.159489357999</v>
      </c>
      <c r="H695" s="10">
        <f>IF(ActiveDatabase=Standby,Secondary!H695,Primary!H695)</f>
        <v>-354.144106525</v>
      </c>
      <c r="I695" s="13">
        <f>IF(ActiveDatabase=Standby,Secondary!I695,Primary!I695)</f>
        <v>0</v>
      </c>
      <c r="J695" s="13">
        <f>IF(ActiveDatabase=Standby,Secondary!J695,Primary!J695)</f>
        <v>0</v>
      </c>
      <c r="K695" s="13">
        <f>IF(ActiveDatabase=Standby,Secondary!K695,Primary!K695)</f>
        <v>0</v>
      </c>
      <c r="L695" s="13">
        <f>IF(ActiveDatabase=Standby,Secondary!L695,Primary!L695)</f>
        <v>0</v>
      </c>
      <c r="M695" s="7" t="b">
        <f>IF(ActiveDatabase=Standby,Secondary!M695,Primary!M695)</f>
        <v>1</v>
      </c>
      <c r="N695" s="10">
        <f>IF(ActiveDatabase=Standby,Secondary!N695,Primary!N695)</f>
        <v>0</v>
      </c>
      <c r="O695" s="10">
        <f>IF(ActiveDatabase=Standby,Secondary!O695,Primary!O695)</f>
        <v>0</v>
      </c>
      <c r="P695" s="10">
        <f>IF(ActiveDatabase=Standby,Secondary!P695,Primary!P695)</f>
        <v>0</v>
      </c>
      <c r="Q695" s="6">
        <f>IF(ActiveDatabase=Standby,Secondary!Q695,Primary!Q695)</f>
        <v>0</v>
      </c>
      <c r="R695" s="18">
        <f>IF(ActiveDatabase=Standby,Secondary!R695,Primary!R695)</f>
        <v>0</v>
      </c>
      <c r="S695" s="19">
        <f>IF(ActiveDatabase=Standby,Secondary!S695,Primary!S695)</f>
        <v>0</v>
      </c>
      <c r="T695" s="10">
        <f>IF(ActiveDatabase=Standby,Secondary!T695,Primary!T695)</f>
        <v>0</v>
      </c>
      <c r="U695" s="10">
        <f>IF(ActiveDatabase=Standby,Secondary!U695,Primary!U695)</f>
        <v>0</v>
      </c>
      <c r="V695" s="10">
        <f>IF(ActiveDatabase=Standby,Secondary!V695,Primary!V695)</f>
        <v>0</v>
      </c>
      <c r="W695" s="6">
        <f>IF(ActiveDatabase=Standby,Secondary!W695,Primary!W695)</f>
        <v>0</v>
      </c>
      <c r="X695" s="6">
        <f>IF(ActiveDatabase=Standby,Secondary!X695,Primary!X695)</f>
        <v>0</v>
      </c>
      <c r="Y695" s="12">
        <f>IF(ActiveDatabase=Standby,Secondary!Y695,Primary!Y1353)</f>
        <v>0</v>
      </c>
      <c r="Z695" s="12">
        <f>IF(ActiveDatabase=Standby,Secondary!Z695,Primary!Z1353)</f>
        <v>0</v>
      </c>
      <c r="AA695" s="7">
        <f>IF(ActiveDatabase=Standby,Secondary!AA695,Primary!AA1353)</f>
        <v>0</v>
      </c>
      <c r="AB695" s="12"/>
      <c r="AC695" s="6"/>
      <c r="AD695" s="6"/>
      <c r="AE695" s="7"/>
      <c r="AF695" s="7"/>
      <c r="AG695" s="7"/>
      <c r="AH695" s="7"/>
      <c r="AI695" s="7"/>
      <c r="AJ695" s="7"/>
      <c r="AK695" s="7"/>
      <c r="AL695" s="7"/>
      <c r="AM695" s="7"/>
      <c r="AN695" s="7"/>
      <c r="AO695" s="6"/>
      <c r="AP695" s="7"/>
      <c r="AQ695" s="7"/>
      <c r="AR695" s="6"/>
      <c r="AS695" s="7"/>
      <c r="AT695" s="7"/>
      <c r="AU695" s="7"/>
      <c r="AV695" s="7"/>
      <c r="AW695" s="7"/>
      <c r="AX695" s="7"/>
      <c r="AY695" s="7"/>
      <c r="AZ695" s="7"/>
      <c r="BA695" s="7"/>
      <c r="BB695" s="7"/>
      <c r="BC695" s="7"/>
      <c r="BD695" s="7"/>
      <c r="BE695" s="7"/>
      <c r="BF695" s="7"/>
      <c r="BG695" s="7"/>
    </row>
    <row r="696" customHeight="1" spans="1:59">
      <c r="A696" s="9" t="str">
        <f>IF(ActiveDatabase=Standby,Secondary!A696,Primary!A696)</f>
        <v>microTech 17</v>
      </c>
      <c r="B696" s="5" t="str">
        <f>IF(ActiveDatabase=Standby,Secondary!B696,Primary!B696)</f>
        <v>microTech 31</v>
      </c>
      <c r="C696" s="5" t="str">
        <f>IF(ActiveDatabase=Standby,Secondary!C696,Primary!C696)</f>
        <v>microTech 29</v>
      </c>
      <c r="D696" s="5" t="str">
        <f>IF(ActiveDatabase=Standby,Secondary!D696,Primary!D696)</f>
        <v>MT DataCenter KH3-AAE-L</v>
      </c>
      <c r="E696" s="6" t="str">
        <f>IF(ActiveDatabase=Standby,Secondary!E696,Primary!E696)</f>
        <v>DC KH3</v>
      </c>
      <c r="F696" s="10">
        <f>IF(ActiveDatabase=Standby,Secondary!F696,Primary!F696)</f>
        <v>-468.928187746</v>
      </c>
      <c r="G696" s="10">
        <f>IF(ActiveDatabase=Standby,Secondary!G696,Primary!G696)</f>
        <v>801.472605984</v>
      </c>
      <c r="H696" s="10">
        <f>IF(ActiveDatabase=Standby,Secondary!H696,Primary!H696)</f>
        <v>-375.315782979</v>
      </c>
      <c r="I696" s="13">
        <f>IF(ActiveDatabase=Standby,Secondary!I696,Primary!I696)</f>
        <v>0</v>
      </c>
      <c r="J696" s="13">
        <f>IF(ActiveDatabase=Standby,Secondary!J696,Primary!J696)</f>
        <v>0</v>
      </c>
      <c r="K696" s="13">
        <f>IF(ActiveDatabase=Standby,Secondary!K696,Primary!K696)</f>
        <v>0</v>
      </c>
      <c r="L696" s="13">
        <f>IF(ActiveDatabase=Standby,Secondary!L696,Primary!L696)</f>
        <v>0</v>
      </c>
      <c r="M696" s="7" t="b">
        <f>IF(ActiveDatabase=Standby,Secondary!M696,Primary!M696)</f>
        <v>1</v>
      </c>
      <c r="N696" s="10">
        <f>IF(ActiveDatabase=Standby,Secondary!N696,Primary!N696)</f>
        <v>0</v>
      </c>
      <c r="O696" s="10">
        <f>IF(ActiveDatabase=Standby,Secondary!O696,Primary!O696)</f>
        <v>0</v>
      </c>
      <c r="P696" s="10">
        <f>IF(ActiveDatabase=Standby,Secondary!P696,Primary!P696)</f>
        <v>0</v>
      </c>
      <c r="Q696" s="6">
        <f>IF(ActiveDatabase=Standby,Secondary!Q696,Primary!Q696)</f>
        <v>0</v>
      </c>
      <c r="R696" s="18">
        <f>IF(ActiveDatabase=Standby,Secondary!R696,Primary!R696)</f>
        <v>0</v>
      </c>
      <c r="S696" s="19">
        <f>IF(ActiveDatabase=Standby,Secondary!S696,Primary!S696)</f>
        <v>0</v>
      </c>
      <c r="T696" s="10">
        <f>IF(ActiveDatabase=Standby,Secondary!T696,Primary!T696)</f>
        <v>0</v>
      </c>
      <c r="U696" s="10">
        <f>IF(ActiveDatabase=Standby,Secondary!U696,Primary!U696)</f>
        <v>0</v>
      </c>
      <c r="V696" s="10">
        <f>IF(ActiveDatabase=Standby,Secondary!V696,Primary!V696)</f>
        <v>0</v>
      </c>
      <c r="W696" s="6">
        <f>IF(ActiveDatabase=Standby,Secondary!W696,Primary!W696)</f>
        <v>0</v>
      </c>
      <c r="X696" s="6">
        <f>IF(ActiveDatabase=Standby,Secondary!X696,Primary!X696)</f>
        <v>0</v>
      </c>
      <c r="Y696" s="12">
        <f>IF(ActiveDatabase=Standby,Secondary!Y696,Primary!Y1354)</f>
        <v>0</v>
      </c>
      <c r="Z696" s="12">
        <f>IF(ActiveDatabase=Standby,Secondary!Z696,Primary!Z1354)</f>
        <v>0</v>
      </c>
      <c r="AA696" s="7">
        <f>IF(ActiveDatabase=Standby,Secondary!AA696,Primary!AA1354)</f>
        <v>0</v>
      </c>
      <c r="AB696" s="12"/>
      <c r="AC696" s="6"/>
      <c r="AD696" s="6"/>
      <c r="AE696" s="7"/>
      <c r="AF696" s="7"/>
      <c r="AG696" s="7"/>
      <c r="AH696" s="7"/>
      <c r="AI696" s="7"/>
      <c r="AJ696" s="7"/>
      <c r="AK696" s="7"/>
      <c r="AL696" s="7"/>
      <c r="AM696" s="7"/>
      <c r="AN696" s="7"/>
      <c r="AO696" s="6"/>
      <c r="AP696" s="7"/>
      <c r="AQ696" s="7"/>
      <c r="AR696" s="6"/>
      <c r="AS696" s="7"/>
      <c r="AT696" s="7"/>
      <c r="AU696" s="7"/>
      <c r="AV696" s="7"/>
      <c r="AW696" s="7"/>
      <c r="AX696" s="7"/>
      <c r="AY696" s="7"/>
      <c r="AZ696" s="7"/>
      <c r="BA696" s="7"/>
      <c r="BB696" s="7"/>
      <c r="BC696" s="7"/>
      <c r="BD696" s="7"/>
      <c r="BE696" s="7"/>
      <c r="BF696" s="7"/>
      <c r="BG696" s="7"/>
    </row>
    <row r="697" customHeight="1" spans="1:59">
      <c r="A697" s="9" t="str">
        <f>IF(ActiveDatabase=Standby,Secondary!A697,Primary!A697)</f>
        <v>microTech 18</v>
      </c>
      <c r="B697" s="5" t="str">
        <f>IF(ActiveDatabase=Standby,Secondary!B697,Primary!B697)</f>
        <v>microTech 32</v>
      </c>
      <c r="C697" s="5" t="str">
        <f>IF(ActiveDatabase=Standby,Secondary!C697,Primary!C697)</f>
        <v>microTech 32</v>
      </c>
      <c r="D697" s="5" t="str">
        <f>IF(ActiveDatabase=Standby,Secondary!D697,Primary!D697)</f>
        <v>MT DataCenter L8P-JUC-8</v>
      </c>
      <c r="E697" s="6" t="str">
        <f>IF(ActiveDatabase=Standby,Secondary!E697,Primary!E697)</f>
        <v>DC L8P</v>
      </c>
      <c r="F697" s="10">
        <f>IF(ActiveDatabase=Standby,Secondary!F697,Primary!F697)</f>
        <v>-86.563453194</v>
      </c>
      <c r="G697" s="10">
        <f>IF(ActiveDatabase=Standby,Secondary!G697,Primary!G697)</f>
        <v>218.55998655</v>
      </c>
      <c r="H697" s="10">
        <f>IF(ActiveDatabase=Standby,Secondary!H697,Primary!H697)</f>
        <v>-972.069793889999</v>
      </c>
      <c r="I697" s="13">
        <f>IF(ActiveDatabase=Standby,Secondary!I697,Primary!I697)</f>
        <v>0</v>
      </c>
      <c r="J697" s="13">
        <f>IF(ActiveDatabase=Standby,Secondary!J697,Primary!J697)</f>
        <v>0</v>
      </c>
      <c r="K697" s="13">
        <f>IF(ActiveDatabase=Standby,Secondary!K697,Primary!K697)</f>
        <v>0</v>
      </c>
      <c r="L697" s="13">
        <f>IF(ActiveDatabase=Standby,Secondary!L697,Primary!L697)</f>
        <v>0</v>
      </c>
      <c r="M697" s="7" t="b">
        <f>IF(ActiveDatabase=Standby,Secondary!M697,Primary!M697)</f>
        <v>1</v>
      </c>
      <c r="N697" s="10">
        <f>IF(ActiveDatabase=Standby,Secondary!N697,Primary!N697)</f>
        <v>0</v>
      </c>
      <c r="O697" s="10">
        <f>IF(ActiveDatabase=Standby,Secondary!O697,Primary!O697)</f>
        <v>0</v>
      </c>
      <c r="P697" s="10">
        <f>IF(ActiveDatabase=Standby,Secondary!P697,Primary!P697)</f>
        <v>0</v>
      </c>
      <c r="Q697" s="6">
        <f>IF(ActiveDatabase=Standby,Secondary!Q697,Primary!Q697)</f>
        <v>0</v>
      </c>
      <c r="R697" s="18">
        <f>IF(ActiveDatabase=Standby,Secondary!R697,Primary!R697)</f>
        <v>0</v>
      </c>
      <c r="S697" s="19">
        <f>IF(ActiveDatabase=Standby,Secondary!S697,Primary!S697)</f>
        <v>0</v>
      </c>
      <c r="T697" s="10">
        <f>IF(ActiveDatabase=Standby,Secondary!T697,Primary!T697)</f>
        <v>0</v>
      </c>
      <c r="U697" s="10">
        <f>IF(ActiveDatabase=Standby,Secondary!U697,Primary!U697)</f>
        <v>0</v>
      </c>
      <c r="V697" s="10">
        <f>IF(ActiveDatabase=Standby,Secondary!V697,Primary!V697)</f>
        <v>0</v>
      </c>
      <c r="W697" s="6">
        <f>IF(ActiveDatabase=Standby,Secondary!W697,Primary!W697)</f>
        <v>0</v>
      </c>
      <c r="X697" s="6">
        <f>IF(ActiveDatabase=Standby,Secondary!X697,Primary!X697)</f>
        <v>0</v>
      </c>
      <c r="Y697" s="12">
        <f>IF(ActiveDatabase=Standby,Secondary!Y697,Primary!Y1355)</f>
        <v>0</v>
      </c>
      <c r="Z697" s="12">
        <f>IF(ActiveDatabase=Standby,Secondary!Z697,Primary!Z1355)</f>
        <v>0</v>
      </c>
      <c r="AA697" s="7">
        <f>IF(ActiveDatabase=Standby,Secondary!AA697,Primary!AA1355)</f>
        <v>0</v>
      </c>
      <c r="AB697" s="12"/>
      <c r="AC697" s="6"/>
      <c r="AD697" s="6"/>
      <c r="AE697" s="7"/>
      <c r="AF697" s="7"/>
      <c r="AG697" s="7"/>
      <c r="AH697" s="7"/>
      <c r="AI697" s="7"/>
      <c r="AJ697" s="7"/>
      <c r="AK697" s="7"/>
      <c r="AL697" s="7"/>
      <c r="AM697" s="7"/>
      <c r="AN697" s="7"/>
      <c r="AO697" s="6"/>
      <c r="AP697" s="7"/>
      <c r="AQ697" s="7"/>
      <c r="AR697" s="6"/>
      <c r="AS697" s="7"/>
      <c r="AT697" s="7"/>
      <c r="AU697" s="7"/>
      <c r="AV697" s="7"/>
      <c r="AW697" s="7"/>
      <c r="AX697" s="7"/>
      <c r="AY697" s="7"/>
      <c r="AZ697" s="7"/>
      <c r="BA697" s="7"/>
      <c r="BB697" s="7"/>
      <c r="BC697" s="7"/>
      <c r="BD697" s="7"/>
      <c r="BE697" s="7"/>
      <c r="BF697" s="7"/>
      <c r="BG697" s="7"/>
    </row>
    <row r="698" customHeight="1" spans="1:59">
      <c r="A698" s="9" t="str">
        <f>IF(ActiveDatabase=Standby,Secondary!A698,Primary!A698)</f>
        <v>microTech 19</v>
      </c>
      <c r="B698" s="5" t="str">
        <f>IF(ActiveDatabase=Standby,Secondary!B698,Primary!B698)</f>
        <v>microTech 33</v>
      </c>
      <c r="C698" s="5" t="str">
        <f>IF(ActiveDatabase=Standby,Secondary!C698,Primary!C698)</f>
        <v>microTech 34</v>
      </c>
      <c r="D698" s="5" t="str">
        <f>IF(ActiveDatabase=Standby,Secondary!D698,Primary!D698)</f>
        <v>MT DataCenter QVX-J88-J</v>
      </c>
      <c r="E698" s="6" t="str">
        <f>IF(ActiveDatabase=Standby,Secondary!E698,Primary!E698)</f>
        <v>DC QVX</v>
      </c>
      <c r="F698" s="10">
        <f>IF(ActiveDatabase=Standby,Secondary!F698,Primary!F698)</f>
        <v>-247.944541911</v>
      </c>
      <c r="G698" s="10">
        <f>IF(ActiveDatabase=Standby,Secondary!G698,Primary!G698)</f>
        <v>892.69862661</v>
      </c>
      <c r="H698" s="10">
        <f>IF(ActiveDatabase=Standby,Secondary!H698,Primary!H698)</f>
        <v>-379.677863927</v>
      </c>
      <c r="I698" s="13">
        <f>IF(ActiveDatabase=Standby,Secondary!I698,Primary!I698)</f>
        <v>0</v>
      </c>
      <c r="J698" s="13">
        <f>IF(ActiveDatabase=Standby,Secondary!J698,Primary!J698)</f>
        <v>0</v>
      </c>
      <c r="K698" s="13">
        <f>IF(ActiveDatabase=Standby,Secondary!K698,Primary!K698)</f>
        <v>0</v>
      </c>
      <c r="L698" s="13">
        <f>IF(ActiveDatabase=Standby,Secondary!L698,Primary!L698)</f>
        <v>0</v>
      </c>
      <c r="M698" s="7" t="b">
        <f>IF(ActiveDatabase=Standby,Secondary!M698,Primary!M698)</f>
        <v>1</v>
      </c>
      <c r="N698" s="10">
        <f>IF(ActiveDatabase=Standby,Secondary!N698,Primary!N698)</f>
        <v>0</v>
      </c>
      <c r="O698" s="10">
        <f>IF(ActiveDatabase=Standby,Secondary!O698,Primary!O698)</f>
        <v>0</v>
      </c>
      <c r="P698" s="10">
        <f>IF(ActiveDatabase=Standby,Secondary!P698,Primary!P698)</f>
        <v>0</v>
      </c>
      <c r="Q698" s="6">
        <f>IF(ActiveDatabase=Standby,Secondary!Q698,Primary!Q698)</f>
        <v>0</v>
      </c>
      <c r="R698" s="18">
        <f>IF(ActiveDatabase=Standby,Secondary!R698,Primary!R698)</f>
        <v>0</v>
      </c>
      <c r="S698" s="19">
        <f>IF(ActiveDatabase=Standby,Secondary!S698,Primary!S698)</f>
        <v>0</v>
      </c>
      <c r="T698" s="10">
        <f>IF(ActiveDatabase=Standby,Secondary!T698,Primary!T698)</f>
        <v>0</v>
      </c>
      <c r="U698" s="10">
        <f>IF(ActiveDatabase=Standby,Secondary!U698,Primary!U698)</f>
        <v>0</v>
      </c>
      <c r="V698" s="10">
        <f>IF(ActiveDatabase=Standby,Secondary!V698,Primary!V698)</f>
        <v>0</v>
      </c>
      <c r="W698" s="6">
        <f>IF(ActiveDatabase=Standby,Secondary!W698,Primary!W698)</f>
        <v>0</v>
      </c>
      <c r="X698" s="6">
        <f>IF(ActiveDatabase=Standby,Secondary!X698,Primary!X698)</f>
        <v>0</v>
      </c>
      <c r="Y698" s="12">
        <f>IF(ActiveDatabase=Standby,Secondary!Y698,Primary!Y1356)</f>
        <v>0</v>
      </c>
      <c r="Z698" s="12">
        <f>IF(ActiveDatabase=Standby,Secondary!Z698,Primary!Z1356)</f>
        <v>0</v>
      </c>
      <c r="AA698" s="9">
        <f>IF(ActiveDatabase=Standby,Secondary!AA698,Primary!AA1356)</f>
        <v>0</v>
      </c>
      <c r="AB698" s="12"/>
      <c r="AC698" s="6"/>
      <c r="AD698" s="6"/>
      <c r="AE698" s="7"/>
      <c r="AF698" s="7"/>
      <c r="AG698" s="7"/>
      <c r="AH698" s="7"/>
      <c r="AI698" s="7"/>
      <c r="AJ698" s="7"/>
      <c r="AK698" s="7"/>
      <c r="AL698" s="7"/>
      <c r="AM698" s="7"/>
      <c r="AN698" s="7"/>
      <c r="AO698" s="6"/>
      <c r="AP698" s="7"/>
      <c r="AQ698" s="7"/>
      <c r="AR698" s="6"/>
      <c r="AS698" s="7"/>
      <c r="AT698" s="7"/>
      <c r="AU698" s="7"/>
      <c r="AV698" s="7"/>
      <c r="AW698" s="7"/>
      <c r="AX698" s="7"/>
      <c r="AY698" s="7"/>
      <c r="AZ698" s="7"/>
      <c r="BA698" s="7"/>
      <c r="BB698" s="7"/>
      <c r="BC698" s="7"/>
      <c r="BD698" s="7"/>
      <c r="BE698" s="7"/>
      <c r="BF698" s="7"/>
      <c r="BG698" s="7"/>
    </row>
    <row r="699" customHeight="1" spans="1:59">
      <c r="A699" s="9" t="str">
        <f>IF(ActiveDatabase=Standby,Secondary!A699,Primary!A699)</f>
        <v>microTech 20</v>
      </c>
      <c r="B699" s="5" t="str">
        <f>IF(ActiveDatabase=Standby,Secondary!B699,Primary!B699)</f>
        <v>microTech 34</v>
      </c>
      <c r="C699" s="5" t="str">
        <f>IF(ActiveDatabase=Standby,Secondary!C699,Primary!C699)</f>
        <v>microTech 01</v>
      </c>
      <c r="D699" s="5" t="str">
        <f>IF(ActiveDatabase=Standby,Secondary!D699,Primary!D699)</f>
        <v>MT DataCenter TMG-XEV-2</v>
      </c>
      <c r="E699" s="6" t="str">
        <f>IF(ActiveDatabase=Standby,Secondary!E699,Primary!E699)</f>
        <v>DC TMG</v>
      </c>
      <c r="F699" s="10">
        <f>IF(ActiveDatabase=Standby,Secondary!F699,Primary!F699)</f>
        <v>-160.991677441999</v>
      </c>
      <c r="G699" s="10">
        <f>IF(ActiveDatabase=Standby,Secondary!G699,Primary!G699)</f>
        <v>62.4419799809999</v>
      </c>
      <c r="H699" s="10">
        <f>IF(ActiveDatabase=Standby,Secondary!H699,Primary!H699)</f>
        <v>985.997622497</v>
      </c>
      <c r="I699" s="13">
        <f>IF(ActiveDatabase=Standby,Secondary!I699,Primary!I699)</f>
        <v>0</v>
      </c>
      <c r="J699" s="13">
        <f>IF(ActiveDatabase=Standby,Secondary!J699,Primary!J699)</f>
        <v>0</v>
      </c>
      <c r="K699" s="13">
        <f>IF(ActiveDatabase=Standby,Secondary!K699,Primary!K699)</f>
        <v>0</v>
      </c>
      <c r="L699" s="13">
        <f>IF(ActiveDatabase=Standby,Secondary!L699,Primary!L699)</f>
        <v>0</v>
      </c>
      <c r="M699" s="7" t="b">
        <f>IF(ActiveDatabase=Standby,Secondary!M699,Primary!M699)</f>
        <v>1</v>
      </c>
      <c r="N699" s="10">
        <f>IF(ActiveDatabase=Standby,Secondary!N699,Primary!N699)</f>
        <v>0</v>
      </c>
      <c r="O699" s="10">
        <f>IF(ActiveDatabase=Standby,Secondary!O699,Primary!O699)</f>
        <v>0</v>
      </c>
      <c r="P699" s="10">
        <f>IF(ActiveDatabase=Standby,Secondary!P699,Primary!P699)</f>
        <v>0</v>
      </c>
      <c r="Q699" s="6">
        <f>IF(ActiveDatabase=Standby,Secondary!Q699,Primary!Q699)</f>
        <v>0</v>
      </c>
      <c r="R699" s="18">
        <f>IF(ActiveDatabase=Standby,Secondary!R699,Primary!R699)</f>
        <v>0</v>
      </c>
      <c r="S699" s="19">
        <f>IF(ActiveDatabase=Standby,Secondary!S699,Primary!S699)</f>
        <v>0</v>
      </c>
      <c r="T699" s="10">
        <f>IF(ActiveDatabase=Standby,Secondary!T699,Primary!T699)</f>
        <v>0</v>
      </c>
      <c r="U699" s="10">
        <f>IF(ActiveDatabase=Standby,Secondary!U699,Primary!U699)</f>
        <v>0</v>
      </c>
      <c r="V699" s="10">
        <f>IF(ActiveDatabase=Standby,Secondary!V699,Primary!V699)</f>
        <v>0</v>
      </c>
      <c r="W699" s="6">
        <f>IF(ActiveDatabase=Standby,Secondary!W699,Primary!W699)</f>
        <v>0</v>
      </c>
      <c r="X699" s="6">
        <f>IF(ActiveDatabase=Standby,Secondary!X699,Primary!X699)</f>
        <v>0</v>
      </c>
      <c r="Y699" s="12">
        <f>IF(ActiveDatabase=Standby,Secondary!Y699,Primary!Y1357)</f>
        <v>0</v>
      </c>
      <c r="Z699" s="12">
        <f>IF(ActiveDatabase=Standby,Secondary!Z699,Primary!Z1357)</f>
        <v>0</v>
      </c>
      <c r="AA699" s="9">
        <f>IF(ActiveDatabase=Standby,Secondary!AA699,Primary!AA1357)</f>
        <v>0</v>
      </c>
      <c r="AB699" s="12"/>
      <c r="AC699" s="6"/>
      <c r="AD699" s="6"/>
      <c r="AE699" s="7"/>
      <c r="AF699" s="7"/>
      <c r="AG699" s="7"/>
      <c r="AH699" s="7"/>
      <c r="AI699" s="7"/>
      <c r="AJ699" s="7"/>
      <c r="AK699" s="7"/>
      <c r="AL699" s="7"/>
      <c r="AM699" s="7"/>
      <c r="AN699" s="7"/>
      <c r="AO699" s="6"/>
      <c r="AP699" s="7"/>
      <c r="AQ699" s="7"/>
      <c r="AR699" s="6"/>
      <c r="AS699" s="7"/>
      <c r="AT699" s="7"/>
      <c r="AU699" s="7"/>
      <c r="AV699" s="7"/>
      <c r="AW699" s="7"/>
      <c r="AX699" s="7"/>
      <c r="AY699" s="7"/>
      <c r="AZ699" s="7"/>
      <c r="BA699" s="7"/>
      <c r="BB699" s="7"/>
      <c r="BC699" s="7"/>
      <c r="BD699" s="7"/>
      <c r="BE699" s="7"/>
      <c r="BF699" s="7"/>
      <c r="BG699" s="7"/>
    </row>
    <row r="700" customHeight="1" spans="1:59">
      <c r="A700" s="9" t="str">
        <f>IF(ActiveDatabase=Standby,Secondary!A700,Primary!A700)</f>
        <v>microTech 21</v>
      </c>
      <c r="B700" s="5" t="str">
        <f>IF(ActiveDatabase=Standby,Secondary!B700,Primary!B700)</f>
        <v>microTech 35</v>
      </c>
      <c r="C700" s="5" t="str">
        <f>IF(ActiveDatabase=Standby,Secondary!C700,Primary!C700)</f>
        <v>microTech 46</v>
      </c>
      <c r="D700" s="5" t="str">
        <f>IF(ActiveDatabase=Standby,Secondary!D700,Primary!D700)</f>
        <v>MT OpCenter LTI-4</v>
      </c>
      <c r="E700" s="6" t="str">
        <f>IF(ActiveDatabase=Standby,Secondary!E700,Primary!E700)</f>
        <v>OpCtr LTI-4</v>
      </c>
      <c r="F700" s="10">
        <f>IF(ActiveDatabase=Standby,Secondary!F700,Primary!F700)</f>
        <v>68.3643821809999</v>
      </c>
      <c r="G700" s="10">
        <f>IF(ActiveDatabase=Standby,Secondary!G700,Primary!G700)</f>
        <v>64.2762099499999</v>
      </c>
      <c r="H700" s="10">
        <f>IF(ActiveDatabase=Standby,Secondary!H700,Primary!H700)</f>
        <v>-996.489556525</v>
      </c>
      <c r="I700" s="13">
        <f>IF(ActiveDatabase=Standby,Secondary!I700,Primary!I700)</f>
        <v>0</v>
      </c>
      <c r="J700" s="13">
        <f>IF(ActiveDatabase=Standby,Secondary!J700,Primary!J700)</f>
        <v>0</v>
      </c>
      <c r="K700" s="13">
        <f>IF(ActiveDatabase=Standby,Secondary!K700,Primary!K700)</f>
        <v>0</v>
      </c>
      <c r="L700" s="13">
        <f>IF(ActiveDatabase=Standby,Secondary!L700,Primary!L700)</f>
        <v>0</v>
      </c>
      <c r="M700" s="7" t="b">
        <f>IF(ActiveDatabase=Standby,Secondary!M700,Primary!M700)</f>
        <v>1</v>
      </c>
      <c r="N700" s="10">
        <f>IF(ActiveDatabase=Standby,Secondary!N700,Primary!N700)</f>
        <v>0</v>
      </c>
      <c r="O700" s="10">
        <f>IF(ActiveDatabase=Standby,Secondary!O700,Primary!O700)</f>
        <v>0</v>
      </c>
      <c r="P700" s="10">
        <f>IF(ActiveDatabase=Standby,Secondary!P700,Primary!P700)</f>
        <v>0</v>
      </c>
      <c r="Q700" s="6">
        <f>IF(ActiveDatabase=Standby,Secondary!Q700,Primary!Q700)</f>
        <v>0</v>
      </c>
      <c r="R700" s="18">
        <f>IF(ActiveDatabase=Standby,Secondary!R700,Primary!R700)</f>
        <v>0</v>
      </c>
      <c r="S700" s="19">
        <f>IF(ActiveDatabase=Standby,Secondary!S700,Primary!S700)</f>
        <v>0</v>
      </c>
      <c r="T700" s="10">
        <f>IF(ActiveDatabase=Standby,Secondary!T700,Primary!T700)</f>
        <v>0</v>
      </c>
      <c r="U700" s="10">
        <f>IF(ActiveDatabase=Standby,Secondary!U700,Primary!U700)</f>
        <v>0</v>
      </c>
      <c r="V700" s="10">
        <f>IF(ActiveDatabase=Standby,Secondary!V700,Primary!V700)</f>
        <v>0</v>
      </c>
      <c r="W700" s="6">
        <f>IF(ActiveDatabase=Standby,Secondary!W700,Primary!W700)</f>
        <v>0</v>
      </c>
      <c r="X700" s="6">
        <f>IF(ActiveDatabase=Standby,Secondary!X700,Primary!X700)</f>
        <v>0</v>
      </c>
      <c r="Y700" s="12">
        <f>IF(ActiveDatabase=Standby,Secondary!Y700,Primary!Y1358)</f>
        <v>0</v>
      </c>
      <c r="Z700" s="12">
        <f>IF(ActiveDatabase=Standby,Secondary!Z700,Primary!Z1358)</f>
        <v>0</v>
      </c>
      <c r="AA700" s="9">
        <f>IF(ActiveDatabase=Standby,Secondary!AA700,Primary!AA1358)</f>
        <v>0</v>
      </c>
      <c r="AB700" s="12"/>
      <c r="AC700" s="6"/>
      <c r="AD700" s="6"/>
      <c r="AE700" s="7"/>
      <c r="AF700" s="7"/>
      <c r="AG700" s="7"/>
      <c r="AH700" s="7"/>
      <c r="AI700" s="7"/>
      <c r="AJ700" s="7"/>
      <c r="AK700" s="7"/>
      <c r="AL700" s="7"/>
      <c r="AM700" s="7"/>
      <c r="AN700" s="7"/>
      <c r="AO700" s="6"/>
      <c r="AP700" s="7"/>
      <c r="AQ700" s="7"/>
      <c r="AR700" s="6"/>
      <c r="AS700" s="7"/>
      <c r="AT700" s="7"/>
      <c r="AU700" s="7"/>
      <c r="AV700" s="7"/>
      <c r="AW700" s="7"/>
      <c r="AX700" s="7"/>
      <c r="AY700" s="7"/>
      <c r="AZ700" s="7"/>
      <c r="BA700" s="7"/>
      <c r="BB700" s="7"/>
      <c r="BC700" s="7"/>
      <c r="BD700" s="7"/>
      <c r="BE700" s="7"/>
      <c r="BF700" s="7"/>
      <c r="BG700" s="7"/>
    </row>
    <row r="701" customHeight="1" spans="1:59">
      <c r="A701" s="9" t="str">
        <f>IF(ActiveDatabase=Standby,Secondary!A701,Primary!A701)</f>
        <v>microTech</v>
      </c>
      <c r="B701" s="5" t="str">
        <f>IF(ActiveDatabase=Standby,Secondary!B701,Primary!B701)</f>
        <v>microTech 37</v>
      </c>
      <c r="C701" s="5">
        <f>IF(ActiveDatabase=Standby,Secondary!C701,Primary!C701)</f>
        <v>0</v>
      </c>
      <c r="D701" s="5" t="str">
        <f>IF(ActiveDatabase=Standby,Secondary!D701,Primary!D701)</f>
        <v>Emergency Shelters</v>
      </c>
      <c r="E701" s="6">
        <f>IF(ActiveDatabase=Standby,Secondary!E701,Primary!E701)</f>
        <v>0</v>
      </c>
      <c r="F701" s="10">
        <f>IF(ActiveDatabase=Standby,Secondary!F701,Primary!F701)</f>
        <v>0</v>
      </c>
      <c r="G701" s="10">
        <f>IF(ActiveDatabase=Standby,Secondary!G701,Primary!G701)</f>
        <v>0</v>
      </c>
      <c r="H701" s="10">
        <f>IF(ActiveDatabase=Standby,Secondary!H701,Primary!H701)</f>
        <v>0</v>
      </c>
      <c r="I701" s="13">
        <f>IF(ActiveDatabase=Standby,Secondary!I701,Primary!I701)</f>
        <v>0</v>
      </c>
      <c r="J701" s="13">
        <f>IF(ActiveDatabase=Standby,Secondary!J701,Primary!J701)</f>
        <v>0</v>
      </c>
      <c r="K701" s="13">
        <f>IF(ActiveDatabase=Standby,Secondary!K701,Primary!K701)</f>
        <v>0</v>
      </c>
      <c r="L701" s="13">
        <f>IF(ActiveDatabase=Standby,Secondary!L701,Primary!L701)</f>
        <v>0</v>
      </c>
      <c r="M701" s="7">
        <f>IF(ActiveDatabase=Standby,Secondary!M701,Primary!M701)</f>
        <v>0</v>
      </c>
      <c r="N701" s="10">
        <f>IF(ActiveDatabase=Standby,Secondary!N701,Primary!N701)</f>
        <v>0</v>
      </c>
      <c r="O701" s="10">
        <f>IF(ActiveDatabase=Standby,Secondary!O701,Primary!O701)</f>
        <v>0</v>
      </c>
      <c r="P701" s="10">
        <f>IF(ActiveDatabase=Standby,Secondary!P701,Primary!P701)</f>
        <v>0</v>
      </c>
      <c r="Q701" s="6">
        <f>IF(ActiveDatabase=Standby,Secondary!Q701,Primary!Q701)</f>
        <v>0</v>
      </c>
      <c r="R701" s="18">
        <f>IF(ActiveDatabase=Standby,Secondary!R701,Primary!R701)</f>
        <v>0</v>
      </c>
      <c r="S701" s="19">
        <f>IF(ActiveDatabase=Standby,Secondary!S701,Primary!S701)</f>
        <v>0</v>
      </c>
      <c r="T701" s="10">
        <f>IF(ActiveDatabase=Standby,Secondary!T701,Primary!T701)</f>
        <v>0</v>
      </c>
      <c r="U701" s="10">
        <f>IF(ActiveDatabase=Standby,Secondary!U701,Primary!U701)</f>
        <v>0</v>
      </c>
      <c r="V701" s="10">
        <f>IF(ActiveDatabase=Standby,Secondary!V701,Primary!V701)</f>
        <v>0</v>
      </c>
      <c r="W701" s="6">
        <f>IF(ActiveDatabase=Standby,Secondary!W701,Primary!W701)</f>
        <v>0</v>
      </c>
      <c r="X701" s="6">
        <f>IF(ActiveDatabase=Standby,Secondary!X701,Primary!X701)</f>
        <v>0</v>
      </c>
      <c r="Y701" s="12">
        <f>IF(ActiveDatabase=Standby,Secondary!Y701,Primary!Y1359)</f>
        <v>0</v>
      </c>
      <c r="Z701" s="12">
        <f>IF(ActiveDatabase=Standby,Secondary!Z701,Primary!Z1359)</f>
        <v>0</v>
      </c>
      <c r="AA701" s="9">
        <f>IF(ActiveDatabase=Standby,Secondary!AA701,Primary!AA1359)</f>
        <v>0</v>
      </c>
      <c r="AB701" s="12"/>
      <c r="AC701" s="6"/>
      <c r="AD701" s="6"/>
      <c r="AE701" s="7"/>
      <c r="AF701" s="7"/>
      <c r="AG701" s="7"/>
      <c r="AH701" s="7"/>
      <c r="AI701" s="7"/>
      <c r="AJ701" s="7"/>
      <c r="AK701" s="7"/>
      <c r="AL701" s="7"/>
      <c r="AM701" s="7"/>
      <c r="AN701" s="7"/>
      <c r="AO701" s="6"/>
      <c r="AP701" s="7"/>
      <c r="AQ701" s="7"/>
      <c r="AR701" s="6"/>
      <c r="AS701" s="7"/>
      <c r="AT701" s="7"/>
      <c r="AU701" s="7"/>
      <c r="AV701" s="7"/>
      <c r="AW701" s="7"/>
      <c r="AX701" s="7"/>
      <c r="AY701" s="7"/>
      <c r="AZ701" s="7"/>
      <c r="BA701" s="7"/>
      <c r="BB701" s="7"/>
      <c r="BC701" s="7"/>
      <c r="BD701" s="7"/>
      <c r="BE701" s="7"/>
      <c r="BF701" s="7"/>
      <c r="BG701" s="7"/>
    </row>
    <row r="702" customHeight="1" spans="1:59">
      <c r="A702" s="9" t="str">
        <f>IF(ActiveDatabase=Standby,Secondary!A702,Primary!A702)</f>
        <v>microTech 22</v>
      </c>
      <c r="B702" s="5" t="str">
        <f>IF(ActiveDatabase=Standby,Secondary!B702,Primary!B702)</f>
        <v>microTech 38</v>
      </c>
      <c r="C702" s="5" t="str">
        <f>IF(ActiveDatabase=Standby,Secondary!C702,Primary!C702)</f>
        <v>microTech 76</v>
      </c>
      <c r="D702" s="5" t="str">
        <f>IF(ActiveDatabase=Standby,Secondary!D702,Primary!D702)</f>
        <v>Calhoun Pass Emergency Shelter</v>
      </c>
      <c r="E702" s="6" t="str">
        <f>IF(ActiveDatabase=Standby,Secondary!E702,Primary!E702)</f>
        <v>Calhoun Pass</v>
      </c>
      <c r="F702" s="10">
        <f>IF(ActiveDatabase=Standby,Secondary!F702,Primary!F702)</f>
        <v>938.116231367</v>
      </c>
      <c r="G702" s="10">
        <f>IF(ActiveDatabase=Standby,Secondary!G702,Primary!G702)</f>
        <v>-347.817930592</v>
      </c>
      <c r="H702" s="10">
        <f>IF(ActiveDatabase=Standby,Secondary!H702,Primary!H702)</f>
        <v>31.707663433</v>
      </c>
      <c r="I702" s="13">
        <f>IF(ActiveDatabase=Standby,Secondary!I702,Primary!I702)</f>
        <v>0</v>
      </c>
      <c r="J702" s="13">
        <f>IF(ActiveDatabase=Standby,Secondary!J702,Primary!J702)</f>
        <v>0</v>
      </c>
      <c r="K702" s="13">
        <f>IF(ActiveDatabase=Standby,Secondary!K702,Primary!K702)</f>
        <v>0</v>
      </c>
      <c r="L702" s="13">
        <f>IF(ActiveDatabase=Standby,Secondary!L702,Primary!L702)</f>
        <v>0</v>
      </c>
      <c r="M702" s="7" t="b">
        <f>IF(ActiveDatabase=Standby,Secondary!M702,Primary!M702)</f>
        <v>1</v>
      </c>
      <c r="N702" s="10">
        <f>IF(ActiveDatabase=Standby,Secondary!N702,Primary!N702)</f>
        <v>0</v>
      </c>
      <c r="O702" s="10">
        <f>IF(ActiveDatabase=Standby,Secondary!O702,Primary!O702)</f>
        <v>0</v>
      </c>
      <c r="P702" s="10">
        <f>IF(ActiveDatabase=Standby,Secondary!P702,Primary!P702)</f>
        <v>0</v>
      </c>
      <c r="Q702" s="6">
        <f>IF(ActiveDatabase=Standby,Secondary!Q702,Primary!Q702)</f>
        <v>0</v>
      </c>
      <c r="R702" s="18">
        <f>IF(ActiveDatabase=Standby,Secondary!R702,Primary!R702)</f>
        <v>0</v>
      </c>
      <c r="S702" s="19">
        <f>IF(ActiveDatabase=Standby,Secondary!S702,Primary!S702)</f>
        <v>0</v>
      </c>
      <c r="T702" s="10">
        <f>IF(ActiveDatabase=Standby,Secondary!T702,Primary!T702)</f>
        <v>0</v>
      </c>
      <c r="U702" s="10">
        <f>IF(ActiveDatabase=Standby,Secondary!U702,Primary!U702)</f>
        <v>0</v>
      </c>
      <c r="V702" s="10">
        <f>IF(ActiveDatabase=Standby,Secondary!V702,Primary!V702)</f>
        <v>0</v>
      </c>
      <c r="W702" s="6">
        <f>IF(ActiveDatabase=Standby,Secondary!W702,Primary!W702)</f>
        <v>0</v>
      </c>
      <c r="X702" s="6">
        <f>IF(ActiveDatabase=Standby,Secondary!X702,Primary!X702)</f>
        <v>0</v>
      </c>
      <c r="Y702" s="12">
        <f>IF(ActiveDatabase=Standby,Secondary!Y702,Primary!Y1360)</f>
        <v>0</v>
      </c>
      <c r="Z702" s="12">
        <f>IF(ActiveDatabase=Standby,Secondary!Z702,Primary!Z1360)</f>
        <v>0</v>
      </c>
      <c r="AA702" s="9">
        <f>IF(ActiveDatabase=Standby,Secondary!AA702,Primary!AA1360)</f>
        <v>0</v>
      </c>
      <c r="AB702" s="12"/>
      <c r="AC702" s="6"/>
      <c r="AD702" s="6"/>
      <c r="AE702" s="7"/>
      <c r="AF702" s="7"/>
      <c r="AG702" s="7"/>
      <c r="AH702" s="7"/>
      <c r="AI702" s="7"/>
      <c r="AJ702" s="7"/>
      <c r="AK702" s="7"/>
      <c r="AL702" s="7"/>
      <c r="AM702" s="7"/>
      <c r="AN702" s="7"/>
      <c r="AO702" s="6"/>
      <c r="AP702" s="7"/>
      <c r="AQ702" s="7"/>
      <c r="AR702" s="6"/>
      <c r="AS702" s="7"/>
      <c r="AT702" s="7"/>
      <c r="AU702" s="7"/>
      <c r="AV702" s="7"/>
      <c r="AW702" s="7"/>
      <c r="AX702" s="7"/>
      <c r="AY702" s="7"/>
      <c r="AZ702" s="7"/>
      <c r="BA702" s="7"/>
      <c r="BB702" s="7"/>
      <c r="BC702" s="7"/>
      <c r="BD702" s="7"/>
      <c r="BE702" s="7"/>
      <c r="BF702" s="7"/>
      <c r="BG702" s="7"/>
    </row>
    <row r="703" customHeight="1" spans="1:59">
      <c r="A703" s="9" t="str">
        <f>IF(ActiveDatabase=Standby,Secondary!A703,Primary!A703)</f>
        <v>microTech 23</v>
      </c>
      <c r="B703" s="5" t="str">
        <f>IF(ActiveDatabase=Standby,Secondary!B703,Primary!B703)</f>
        <v>microTech 39</v>
      </c>
      <c r="C703" s="5" t="str">
        <f>IF(ActiveDatabase=Standby,Secondary!C703,Primary!C703)</f>
        <v>microTech 92</v>
      </c>
      <c r="D703" s="5" t="str">
        <f>IF(ActiveDatabase=Standby,Secondary!D703,Primary!D703)</f>
        <v>Clear View Emergency Shelter</v>
      </c>
      <c r="E703" s="6" t="str">
        <f>IF(ActiveDatabase=Standby,Secondary!E703,Primary!E703)</f>
        <v>Clear View</v>
      </c>
      <c r="F703" s="10">
        <f>IF(ActiveDatabase=Standby,Secondary!F703,Primary!F703)</f>
        <v>-609.561071826</v>
      </c>
      <c r="G703" s="10">
        <f>IF(ActiveDatabase=Standby,Secondary!G703,Primary!G703)</f>
        <v>-688.363323031999</v>
      </c>
      <c r="H703" s="10">
        <f>IF(ActiveDatabase=Standby,Secondary!H703,Primary!H703)</f>
        <v>393.203256016</v>
      </c>
      <c r="I703" s="13">
        <f>IF(ActiveDatabase=Standby,Secondary!I703,Primary!I703)</f>
        <v>0</v>
      </c>
      <c r="J703" s="13">
        <f>IF(ActiveDatabase=Standby,Secondary!J703,Primary!J703)</f>
        <v>0</v>
      </c>
      <c r="K703" s="13">
        <f>IF(ActiveDatabase=Standby,Secondary!K703,Primary!K703)</f>
        <v>0</v>
      </c>
      <c r="L703" s="13">
        <f>IF(ActiveDatabase=Standby,Secondary!L703,Primary!L703)</f>
        <v>0</v>
      </c>
      <c r="M703" s="7" t="b">
        <f>IF(ActiveDatabase=Standby,Secondary!M703,Primary!M703)</f>
        <v>1</v>
      </c>
      <c r="N703" s="10">
        <f>IF(ActiveDatabase=Standby,Secondary!N703,Primary!N703)</f>
        <v>0</v>
      </c>
      <c r="O703" s="10">
        <f>IF(ActiveDatabase=Standby,Secondary!O703,Primary!O703)</f>
        <v>0</v>
      </c>
      <c r="P703" s="10">
        <f>IF(ActiveDatabase=Standby,Secondary!P703,Primary!P703)</f>
        <v>0</v>
      </c>
      <c r="Q703" s="6">
        <f>IF(ActiveDatabase=Standby,Secondary!Q703,Primary!Q703)</f>
        <v>0</v>
      </c>
      <c r="R703" s="18">
        <f>IF(ActiveDatabase=Standby,Secondary!R703,Primary!R703)</f>
        <v>0</v>
      </c>
      <c r="S703" s="19">
        <f>IF(ActiveDatabase=Standby,Secondary!S703,Primary!S703)</f>
        <v>0</v>
      </c>
      <c r="T703" s="10">
        <f>IF(ActiveDatabase=Standby,Secondary!T703,Primary!T703)</f>
        <v>0</v>
      </c>
      <c r="U703" s="10">
        <f>IF(ActiveDatabase=Standby,Secondary!U703,Primary!U703)</f>
        <v>0</v>
      </c>
      <c r="V703" s="10">
        <f>IF(ActiveDatabase=Standby,Secondary!V703,Primary!V703)</f>
        <v>0</v>
      </c>
      <c r="W703" s="6">
        <f>IF(ActiveDatabase=Standby,Secondary!W703,Primary!W703)</f>
        <v>0</v>
      </c>
      <c r="X703" s="6">
        <f>IF(ActiveDatabase=Standby,Secondary!X703,Primary!X703)</f>
        <v>0</v>
      </c>
      <c r="Y703" s="12">
        <f>IF(ActiveDatabase=Standby,Secondary!Y703,Primary!Y1361)</f>
        <v>0</v>
      </c>
      <c r="Z703" s="12">
        <f>IF(ActiveDatabase=Standby,Secondary!Z703,Primary!Z1361)</f>
        <v>0</v>
      </c>
      <c r="AA703" s="9">
        <f>IF(ActiveDatabase=Standby,Secondary!AA703,Primary!AA1361)</f>
        <v>0</v>
      </c>
      <c r="AB703" s="12"/>
      <c r="AC703" s="6"/>
      <c r="AD703" s="6"/>
      <c r="AE703" s="7"/>
      <c r="AF703" s="7"/>
      <c r="AG703" s="7"/>
      <c r="AH703" s="7"/>
      <c r="AI703" s="7"/>
      <c r="AJ703" s="7"/>
      <c r="AK703" s="7"/>
      <c r="AL703" s="7"/>
      <c r="AM703" s="7"/>
      <c r="AN703" s="7"/>
      <c r="AO703" s="6"/>
      <c r="AP703" s="7"/>
      <c r="AQ703" s="7"/>
      <c r="AR703" s="6"/>
      <c r="AS703" s="7"/>
      <c r="AT703" s="7"/>
      <c r="AU703" s="7"/>
      <c r="AV703" s="7"/>
      <c r="AW703" s="7"/>
      <c r="AX703" s="7"/>
      <c r="AY703" s="7"/>
      <c r="AZ703" s="7"/>
      <c r="BA703" s="7"/>
      <c r="BB703" s="7"/>
      <c r="BC703" s="7"/>
      <c r="BD703" s="7"/>
      <c r="BE703" s="7"/>
      <c r="BF703" s="7"/>
      <c r="BG703" s="7"/>
    </row>
    <row r="704" customHeight="1" spans="1:59">
      <c r="A704" s="9" t="str">
        <f>IF(ActiveDatabase=Standby,Secondary!A704,Primary!A704)</f>
        <v>microTech 24</v>
      </c>
      <c r="B704" s="5" t="str">
        <f>IF(ActiveDatabase=Standby,Secondary!B704,Primary!B704)</f>
        <v>microTech 40</v>
      </c>
      <c r="C704" s="5" t="str">
        <f>IF(ActiveDatabase=Standby,Secondary!C704,Primary!C704)</f>
        <v>microTech 75</v>
      </c>
      <c r="D704" s="5" t="str">
        <f>IF(ActiveDatabase=Standby,Secondary!D704,Primary!D704)</f>
        <v>Nuiqsut Emergency Shelter</v>
      </c>
      <c r="E704" s="6" t="str">
        <f>IF(ActiveDatabase=Standby,Secondary!E704,Primary!E704)</f>
        <v>Nuiqsut</v>
      </c>
      <c r="F704" s="10">
        <f>IF(ActiveDatabase=Standby,Secondary!F704,Primary!F704)</f>
        <v>750.612869081999</v>
      </c>
      <c r="G704" s="10">
        <f>IF(ActiveDatabase=Standby,Secondary!G704,Primary!G704)</f>
        <v>-207.851592111</v>
      </c>
      <c r="H704" s="10">
        <f>IF(ActiveDatabase=Standby,Secondary!H704,Primary!H704)</f>
        <v>-627.225495054</v>
      </c>
      <c r="I704" s="13">
        <f>IF(ActiveDatabase=Standby,Secondary!I704,Primary!I704)</f>
        <v>0</v>
      </c>
      <c r="J704" s="13">
        <f>IF(ActiveDatabase=Standby,Secondary!J704,Primary!J704)</f>
        <v>0</v>
      </c>
      <c r="K704" s="13">
        <f>IF(ActiveDatabase=Standby,Secondary!K704,Primary!K704)</f>
        <v>0</v>
      </c>
      <c r="L704" s="13">
        <f>IF(ActiveDatabase=Standby,Secondary!L704,Primary!L704)</f>
        <v>0</v>
      </c>
      <c r="M704" s="7" t="b">
        <f>IF(ActiveDatabase=Standby,Secondary!M704,Primary!M704)</f>
        <v>1</v>
      </c>
      <c r="N704" s="10">
        <f>IF(ActiveDatabase=Standby,Secondary!N704,Primary!N704)</f>
        <v>0</v>
      </c>
      <c r="O704" s="10">
        <f>IF(ActiveDatabase=Standby,Secondary!O704,Primary!O704)</f>
        <v>0</v>
      </c>
      <c r="P704" s="10">
        <f>IF(ActiveDatabase=Standby,Secondary!P704,Primary!P704)</f>
        <v>0</v>
      </c>
      <c r="Q704" s="6">
        <f>IF(ActiveDatabase=Standby,Secondary!Q704,Primary!Q704)</f>
        <v>0</v>
      </c>
      <c r="R704" s="18">
        <f>IF(ActiveDatabase=Standby,Secondary!R704,Primary!R704)</f>
        <v>0</v>
      </c>
      <c r="S704" s="19">
        <f>IF(ActiveDatabase=Standby,Secondary!S704,Primary!S704)</f>
        <v>0</v>
      </c>
      <c r="T704" s="10">
        <f>IF(ActiveDatabase=Standby,Secondary!T704,Primary!T704)</f>
        <v>0</v>
      </c>
      <c r="U704" s="10">
        <f>IF(ActiveDatabase=Standby,Secondary!U704,Primary!U704)</f>
        <v>0</v>
      </c>
      <c r="V704" s="10">
        <f>IF(ActiveDatabase=Standby,Secondary!V704,Primary!V704)</f>
        <v>0</v>
      </c>
      <c r="W704" s="6">
        <f>IF(ActiveDatabase=Standby,Secondary!W704,Primary!W704)</f>
        <v>0</v>
      </c>
      <c r="X704" s="6">
        <f>IF(ActiveDatabase=Standby,Secondary!X704,Primary!X704)</f>
        <v>0</v>
      </c>
      <c r="Y704" s="12">
        <f>IF(ActiveDatabase=Standby,Secondary!Y704,Primary!Y1362)</f>
        <v>0</v>
      </c>
      <c r="Z704" s="12">
        <f>IF(ActiveDatabase=Standby,Secondary!Z704,Primary!Z1362)</f>
        <v>0</v>
      </c>
      <c r="AA704" s="9">
        <f>IF(ActiveDatabase=Standby,Secondary!AA704,Primary!AA1362)</f>
        <v>0</v>
      </c>
      <c r="AB704" s="12"/>
      <c r="AC704" s="6"/>
      <c r="AD704" s="6"/>
      <c r="AE704" s="7"/>
      <c r="AF704" s="7"/>
      <c r="AG704" s="7"/>
      <c r="AH704" s="7"/>
      <c r="AI704" s="7"/>
      <c r="AJ704" s="7"/>
      <c r="AK704" s="7"/>
      <c r="AL704" s="7"/>
      <c r="AM704" s="7"/>
      <c r="AN704" s="7"/>
      <c r="AO704" s="6"/>
      <c r="AP704" s="7"/>
      <c r="AQ704" s="7"/>
      <c r="AR704" s="6"/>
      <c r="AS704" s="7"/>
      <c r="AT704" s="7"/>
      <c r="AU704" s="7"/>
      <c r="AV704" s="7"/>
      <c r="AW704" s="7"/>
      <c r="AX704" s="7"/>
      <c r="AY704" s="7"/>
      <c r="AZ704" s="7"/>
      <c r="BA704" s="7"/>
      <c r="BB704" s="7"/>
      <c r="BC704" s="7"/>
      <c r="BD704" s="7"/>
      <c r="BE704" s="7"/>
      <c r="BF704" s="7"/>
      <c r="BG704" s="7"/>
    </row>
    <row r="705" customHeight="1" spans="1:59">
      <c r="A705" s="9" t="str">
        <f>IF(ActiveDatabase=Standby,Secondary!A705,Primary!A705)</f>
        <v>microTech 25</v>
      </c>
      <c r="B705" s="5" t="str">
        <f>IF(ActiveDatabase=Standby,Secondary!B705,Primary!B705)</f>
        <v>microTech 41</v>
      </c>
      <c r="C705" s="5" t="str">
        <f>IF(ActiveDatabase=Standby,Secondary!C705,Primary!C705)</f>
        <v>microTech 97</v>
      </c>
      <c r="D705" s="5" t="str">
        <f>IF(ActiveDatabase=Standby,Secondary!D705,Primary!D705)</f>
        <v>Point Wain Emergency Shelter</v>
      </c>
      <c r="E705" s="6" t="str">
        <f>IF(ActiveDatabase=Standby,Secondary!E705,Primary!E705)</f>
        <v>Point Wain</v>
      </c>
      <c r="F705" s="10">
        <f>IF(ActiveDatabase=Standby,Secondary!F705,Primary!F705)</f>
        <v>-627.440743631</v>
      </c>
      <c r="G705" s="10">
        <f>IF(ActiveDatabase=Standby,Secondary!G705,Primary!G705)</f>
        <v>-485.258151323998</v>
      </c>
      <c r="H705" s="10">
        <f>IF(ActiveDatabase=Standby,Secondary!H705,Primary!H705)</f>
        <v>611.733181289999</v>
      </c>
      <c r="I705" s="13">
        <f>IF(ActiveDatabase=Standby,Secondary!I705,Primary!I705)</f>
        <v>0</v>
      </c>
      <c r="J705" s="13">
        <f>IF(ActiveDatabase=Standby,Secondary!J705,Primary!J705)</f>
        <v>0</v>
      </c>
      <c r="K705" s="13">
        <f>IF(ActiveDatabase=Standby,Secondary!K705,Primary!K705)</f>
        <v>0</v>
      </c>
      <c r="L705" s="13">
        <f>IF(ActiveDatabase=Standby,Secondary!L705,Primary!L705)</f>
        <v>0</v>
      </c>
      <c r="M705" s="7" t="b">
        <f>IF(ActiveDatabase=Standby,Secondary!M705,Primary!M705)</f>
        <v>1</v>
      </c>
      <c r="N705" s="10">
        <f>IF(ActiveDatabase=Standby,Secondary!N705,Primary!N705)</f>
        <v>0</v>
      </c>
      <c r="O705" s="10">
        <f>IF(ActiveDatabase=Standby,Secondary!O705,Primary!O705)</f>
        <v>0</v>
      </c>
      <c r="P705" s="10">
        <f>IF(ActiveDatabase=Standby,Secondary!P705,Primary!P705)</f>
        <v>0</v>
      </c>
      <c r="Q705" s="6">
        <f>IF(ActiveDatabase=Standby,Secondary!Q705,Primary!Q705)</f>
        <v>0</v>
      </c>
      <c r="R705" s="18">
        <f>IF(ActiveDatabase=Standby,Secondary!R705,Primary!R705)</f>
        <v>0</v>
      </c>
      <c r="S705" s="19">
        <f>IF(ActiveDatabase=Standby,Secondary!S705,Primary!S705)</f>
        <v>0</v>
      </c>
      <c r="T705" s="10">
        <f>IF(ActiveDatabase=Standby,Secondary!T705,Primary!T705)</f>
        <v>0</v>
      </c>
      <c r="U705" s="10">
        <f>IF(ActiveDatabase=Standby,Secondary!U705,Primary!U705)</f>
        <v>0</v>
      </c>
      <c r="V705" s="10">
        <f>IF(ActiveDatabase=Standby,Secondary!V705,Primary!V705)</f>
        <v>0</v>
      </c>
      <c r="W705" s="6">
        <f>IF(ActiveDatabase=Standby,Secondary!W705,Primary!W705)</f>
        <v>0</v>
      </c>
      <c r="X705" s="6">
        <f>IF(ActiveDatabase=Standby,Secondary!X705,Primary!X705)</f>
        <v>0</v>
      </c>
      <c r="Y705" s="12">
        <f>IF(ActiveDatabase=Standby,Secondary!Y705,Primary!Y1363)</f>
        <v>0</v>
      </c>
      <c r="Z705" s="12">
        <f>IF(ActiveDatabase=Standby,Secondary!Z705,Primary!Z1363)</f>
        <v>0</v>
      </c>
      <c r="AA705" s="6">
        <f>IF(ActiveDatabase=Standby,Secondary!AA705,Primary!AA1363)</f>
        <v>0</v>
      </c>
      <c r="AB705" s="12"/>
      <c r="AC705" s="6"/>
      <c r="AD705" s="6"/>
      <c r="AE705" s="7"/>
      <c r="AF705" s="7"/>
      <c r="AG705" s="7"/>
      <c r="AH705" s="7"/>
      <c r="AI705" s="7"/>
      <c r="AJ705" s="7"/>
      <c r="AK705" s="7"/>
      <c r="AL705" s="7"/>
      <c r="AM705" s="7"/>
      <c r="AN705" s="7"/>
      <c r="AO705" s="6"/>
      <c r="AP705" s="7"/>
      <c r="AQ705" s="7"/>
      <c r="AR705" s="6"/>
      <c r="AS705" s="6"/>
      <c r="AT705" s="6"/>
      <c r="AU705" s="6"/>
      <c r="AV705" s="6"/>
      <c r="AW705" s="6"/>
      <c r="AX705" s="6"/>
      <c r="AY705" s="6"/>
      <c r="AZ705" s="6"/>
      <c r="BA705" s="6"/>
      <c r="BB705" s="6"/>
      <c r="BC705" s="6"/>
      <c r="BD705" s="6"/>
      <c r="BE705" s="6"/>
      <c r="BF705" s="6"/>
      <c r="BG705" s="6"/>
    </row>
    <row r="706" customHeight="1" spans="1:59">
      <c r="A706" s="9" t="str">
        <f>IF(ActiveDatabase=Standby,Secondary!A706,Primary!A706)</f>
        <v>microTech</v>
      </c>
      <c r="B706" s="5" t="str">
        <f>IF(ActiveDatabase=Standby,Secondary!B706,Primary!B706)</f>
        <v>microTech 43</v>
      </c>
      <c r="C706" s="5">
        <f>IF(ActiveDatabase=Standby,Secondary!C706,Primary!C706)</f>
        <v>0</v>
      </c>
      <c r="D706" s="5" t="str">
        <f>IF(ActiveDatabase=Standby,Secondary!D706,Primary!D706)</f>
        <v>Settlements</v>
      </c>
      <c r="E706" s="6">
        <f>IF(ActiveDatabase=Standby,Secondary!E706,Primary!E706)</f>
        <v>0</v>
      </c>
      <c r="F706" s="10">
        <f>IF(ActiveDatabase=Standby,Secondary!F706,Primary!F706)</f>
        <v>0</v>
      </c>
      <c r="G706" s="10">
        <f>IF(ActiveDatabase=Standby,Secondary!G706,Primary!G706)</f>
        <v>0</v>
      </c>
      <c r="H706" s="10">
        <f>IF(ActiveDatabase=Standby,Secondary!H706,Primary!H706)</f>
        <v>0</v>
      </c>
      <c r="I706" s="13">
        <f>IF(ActiveDatabase=Standby,Secondary!I706,Primary!I706)</f>
        <v>0</v>
      </c>
      <c r="J706" s="13">
        <f>IF(ActiveDatabase=Standby,Secondary!J706,Primary!J706)</f>
        <v>0</v>
      </c>
      <c r="K706" s="13">
        <f>IF(ActiveDatabase=Standby,Secondary!K706,Primary!K706)</f>
        <v>0</v>
      </c>
      <c r="L706" s="13">
        <f>IF(ActiveDatabase=Standby,Secondary!L706,Primary!L706)</f>
        <v>0</v>
      </c>
      <c r="M706" s="7">
        <f>IF(ActiveDatabase=Standby,Secondary!M706,Primary!M706)</f>
        <v>0</v>
      </c>
      <c r="N706" s="10">
        <f>IF(ActiveDatabase=Standby,Secondary!N706,Primary!N706)</f>
        <v>0</v>
      </c>
      <c r="O706" s="10">
        <f>IF(ActiveDatabase=Standby,Secondary!O706,Primary!O706)</f>
        <v>0</v>
      </c>
      <c r="P706" s="10">
        <f>IF(ActiveDatabase=Standby,Secondary!P706,Primary!P706)</f>
        <v>0</v>
      </c>
      <c r="Q706" s="6">
        <f>IF(ActiveDatabase=Standby,Secondary!Q706,Primary!Q706)</f>
        <v>0</v>
      </c>
      <c r="R706" s="18">
        <f>IF(ActiveDatabase=Standby,Secondary!R706,Primary!R706)</f>
        <v>0</v>
      </c>
      <c r="S706" s="19">
        <f>IF(ActiveDatabase=Standby,Secondary!S706,Primary!S706)</f>
        <v>0</v>
      </c>
      <c r="T706" s="10">
        <f>IF(ActiveDatabase=Standby,Secondary!T706,Primary!T706)</f>
        <v>0</v>
      </c>
      <c r="U706" s="10">
        <f>IF(ActiveDatabase=Standby,Secondary!U706,Primary!U706)</f>
        <v>0</v>
      </c>
      <c r="V706" s="10">
        <f>IF(ActiveDatabase=Standby,Secondary!V706,Primary!V706)</f>
        <v>0</v>
      </c>
      <c r="W706" s="6">
        <f>IF(ActiveDatabase=Standby,Secondary!W706,Primary!W706)</f>
        <v>0</v>
      </c>
      <c r="X706" s="6">
        <f>IF(ActiveDatabase=Standby,Secondary!X706,Primary!X706)</f>
        <v>0</v>
      </c>
      <c r="Y706" s="12">
        <f>IF(ActiveDatabase=Standby,Secondary!Y706,Primary!Y1364)</f>
        <v>0</v>
      </c>
      <c r="Z706" s="12">
        <f>IF(ActiveDatabase=Standby,Secondary!Z706,Primary!Z1364)</f>
        <v>0</v>
      </c>
      <c r="AA706" s="7">
        <f>IF(ActiveDatabase=Standby,Secondary!AA706,Primary!AA1364)</f>
        <v>0</v>
      </c>
      <c r="AB706" s="12"/>
      <c r="AC706" s="6"/>
      <c r="AD706" s="6"/>
      <c r="AE706" s="7"/>
      <c r="AF706" s="7"/>
      <c r="AG706" s="7"/>
      <c r="AH706" s="7"/>
      <c r="AI706" s="7"/>
      <c r="AJ706" s="7"/>
      <c r="AK706" s="7"/>
      <c r="AL706" s="7"/>
      <c r="AM706" s="7"/>
      <c r="AN706" s="7"/>
      <c r="AO706" s="6"/>
      <c r="AP706" s="7"/>
      <c r="AQ706" s="7"/>
      <c r="AR706" s="6"/>
      <c r="AS706" s="7"/>
      <c r="AT706" s="7"/>
      <c r="AU706" s="7"/>
      <c r="AV706" s="7"/>
      <c r="AW706" s="7"/>
      <c r="AX706" s="7"/>
      <c r="AY706" s="7"/>
      <c r="AZ706" s="7"/>
      <c r="BA706" s="7"/>
      <c r="BB706" s="7"/>
      <c r="BC706" s="7"/>
      <c r="BD706" s="7"/>
      <c r="BE706" s="7"/>
      <c r="BF706" s="7"/>
      <c r="BG706" s="7"/>
    </row>
    <row r="707" customHeight="1" spans="1:59">
      <c r="A707" s="9" t="str">
        <f>IF(ActiveDatabase=Standby,Secondary!A707,Primary!A707)</f>
        <v>microTech 28</v>
      </c>
      <c r="B707" s="5" t="str">
        <f>IF(ActiveDatabase=Standby,Secondary!B707,Primary!B707)</f>
        <v>microTech 44</v>
      </c>
      <c r="C707" s="5" t="str">
        <f>IF(ActiveDatabase=Standby,Secondary!C707,Primary!C707)</f>
        <v>microTech 03</v>
      </c>
      <c r="D707" s="5" t="str">
        <f>IF(ActiveDatabase=Standby,Secondary!D707,Primary!D707)</f>
        <v>Astor's Clearing (Ewok Village)</v>
      </c>
      <c r="E707" s="6" t="str">
        <f>IF(ActiveDatabase=Standby,Secondary!E707,Primary!E707)</f>
        <v>Astors</v>
      </c>
      <c r="F707" s="10">
        <f>IF(ActiveDatabase=Standby,Secondary!F707,Primary!F707)</f>
        <v>-810.219016957</v>
      </c>
      <c r="G707" s="10">
        <f>IF(ActiveDatabase=Standby,Secondary!G707,Primary!G707)</f>
        <v>577.883641289</v>
      </c>
      <c r="H707" s="10">
        <f>IF(ActiveDatabase=Standby,Secondary!H707,Primary!H707)</f>
        <v>-101.430451723</v>
      </c>
      <c r="I707" s="13">
        <f>IF(ActiveDatabase=Standby,Secondary!I707,Primary!I707)</f>
        <v>0</v>
      </c>
      <c r="J707" s="13">
        <f>IF(ActiveDatabase=Standby,Secondary!J707,Primary!J707)</f>
        <v>0</v>
      </c>
      <c r="K707" s="13">
        <f>IF(ActiveDatabase=Standby,Secondary!K707,Primary!K707)</f>
        <v>0</v>
      </c>
      <c r="L707" s="13">
        <f>IF(ActiveDatabase=Standby,Secondary!L707,Primary!L707)</f>
        <v>0</v>
      </c>
      <c r="M707" s="7" t="b">
        <f>IF(ActiveDatabase=Standby,Secondary!M707,Primary!M707)</f>
        <v>1</v>
      </c>
      <c r="N707" s="10">
        <f>IF(ActiveDatabase=Standby,Secondary!N707,Primary!N707)</f>
        <v>0</v>
      </c>
      <c r="O707" s="10">
        <f>IF(ActiveDatabase=Standby,Secondary!O707,Primary!O707)</f>
        <v>0</v>
      </c>
      <c r="P707" s="10">
        <f>IF(ActiveDatabase=Standby,Secondary!P707,Primary!P707)</f>
        <v>0</v>
      </c>
      <c r="Q707" s="6">
        <f>IF(ActiveDatabase=Standby,Secondary!Q707,Primary!Q707)</f>
        <v>0</v>
      </c>
      <c r="R707" s="18">
        <f>IF(ActiveDatabase=Standby,Secondary!R707,Primary!R707)</f>
        <v>0</v>
      </c>
      <c r="S707" s="19">
        <f>IF(ActiveDatabase=Standby,Secondary!S707,Primary!S707)</f>
        <v>0</v>
      </c>
      <c r="T707" s="10">
        <f>IF(ActiveDatabase=Standby,Secondary!T707,Primary!T707)</f>
        <v>0</v>
      </c>
      <c r="U707" s="10">
        <f>IF(ActiveDatabase=Standby,Secondary!U707,Primary!U707)</f>
        <v>0</v>
      </c>
      <c r="V707" s="10">
        <f>IF(ActiveDatabase=Standby,Secondary!V707,Primary!V707)</f>
        <v>0</v>
      </c>
      <c r="W707" s="6">
        <f>IF(ActiveDatabase=Standby,Secondary!W707,Primary!W707)</f>
        <v>0</v>
      </c>
      <c r="X707" s="6">
        <f>IF(ActiveDatabase=Standby,Secondary!X707,Primary!X707)</f>
        <v>0</v>
      </c>
      <c r="Y707" s="12">
        <f>IF(ActiveDatabase=Standby,Secondary!Y707,Primary!Y1365)</f>
        <v>0</v>
      </c>
      <c r="Z707" s="12">
        <f>IF(ActiveDatabase=Standby,Secondary!Z707,Primary!Z1365)</f>
        <v>0</v>
      </c>
      <c r="AA707" s="7">
        <f>IF(ActiveDatabase=Standby,Secondary!AA707,Primary!AA1365)</f>
        <v>0</v>
      </c>
      <c r="AB707" s="12"/>
      <c r="AC707" s="6"/>
      <c r="AD707" s="6"/>
      <c r="AE707" s="7"/>
      <c r="AF707" s="7"/>
      <c r="AG707" s="7"/>
      <c r="AH707" s="7"/>
      <c r="AI707" s="7"/>
      <c r="AJ707" s="7"/>
      <c r="AK707" s="7"/>
      <c r="AL707" s="7"/>
      <c r="AM707" s="7"/>
      <c r="AN707" s="7"/>
      <c r="AO707" s="6"/>
      <c r="AP707" s="7"/>
      <c r="AQ707" s="7"/>
      <c r="AR707" s="6"/>
      <c r="AS707" s="7"/>
      <c r="AT707" s="7"/>
      <c r="AU707" s="7"/>
      <c r="AV707" s="7"/>
      <c r="AW707" s="7"/>
      <c r="AX707" s="7"/>
      <c r="AY707" s="7"/>
      <c r="AZ707" s="7"/>
      <c r="BA707" s="7"/>
      <c r="BB707" s="7"/>
      <c r="BC707" s="7"/>
      <c r="BD707" s="7"/>
      <c r="BE707" s="7"/>
      <c r="BF707" s="7"/>
      <c r="BG707" s="7"/>
    </row>
    <row r="708" customHeight="1" spans="1:59">
      <c r="A708" s="9" t="str">
        <f>IF(ActiveDatabase=Standby,Secondary!A708,Primary!A708)</f>
        <v>microTech 29</v>
      </c>
      <c r="B708" s="5" t="str">
        <f>IF(ActiveDatabase=Standby,Secondary!B708,Primary!B708)</f>
        <v>microTech 45</v>
      </c>
      <c r="C708" s="5" t="str">
        <f>IF(ActiveDatabase=Standby,Secondary!C708,Primary!C708)</f>
        <v>microTech 80</v>
      </c>
      <c r="D708" s="5" t="str">
        <f>IF(ActiveDatabase=Standby,Secondary!D708,Primary!D708)</f>
        <v>Bloodshot Ridge</v>
      </c>
      <c r="E708" s="6" t="str">
        <f>IF(ActiveDatabase=Standby,Secondary!E708,Primary!E708)</f>
        <v>Bloodshot</v>
      </c>
      <c r="F708" s="10">
        <f>IF(ActiveDatabase=Standby,Secondary!F708,Primary!F708)</f>
        <v>733.939579616999</v>
      </c>
      <c r="G708" s="10">
        <f>IF(ActiveDatabase=Standby,Secondary!G708,Primary!G708)</f>
        <v>-674.64842261</v>
      </c>
      <c r="H708" s="10">
        <f>IF(ActiveDatabase=Standby,Secondary!H708,Primary!H708)</f>
        <v>101.875648837999</v>
      </c>
      <c r="I708" s="13">
        <f>IF(ActiveDatabase=Standby,Secondary!I708,Primary!I708)</f>
        <v>0</v>
      </c>
      <c r="J708" s="13">
        <f>IF(ActiveDatabase=Standby,Secondary!J708,Primary!J708)</f>
        <v>0</v>
      </c>
      <c r="K708" s="13">
        <f>IF(ActiveDatabase=Standby,Secondary!K708,Primary!K708)</f>
        <v>0</v>
      </c>
      <c r="L708" s="13">
        <f>IF(ActiveDatabase=Standby,Secondary!L708,Primary!L708)</f>
        <v>0</v>
      </c>
      <c r="M708" s="7" t="b">
        <f>IF(ActiveDatabase=Standby,Secondary!M708,Primary!M708)</f>
        <v>0</v>
      </c>
      <c r="N708" s="10">
        <f>IF(ActiveDatabase=Standby,Secondary!N708,Primary!N708)</f>
        <v>0</v>
      </c>
      <c r="O708" s="10">
        <f>IF(ActiveDatabase=Standby,Secondary!O708,Primary!O708)</f>
        <v>0</v>
      </c>
      <c r="P708" s="10">
        <f>IF(ActiveDatabase=Standby,Secondary!P708,Primary!P708)</f>
        <v>0</v>
      </c>
      <c r="Q708" s="6">
        <f>IF(ActiveDatabase=Standby,Secondary!Q708,Primary!Q708)</f>
        <v>0</v>
      </c>
      <c r="R708" s="18">
        <f>IF(ActiveDatabase=Standby,Secondary!R708,Primary!R708)</f>
        <v>0</v>
      </c>
      <c r="S708" s="19">
        <f>IF(ActiveDatabase=Standby,Secondary!S708,Primary!S708)</f>
        <v>0</v>
      </c>
      <c r="T708" s="10">
        <f>IF(ActiveDatabase=Standby,Secondary!T708,Primary!T708)</f>
        <v>0</v>
      </c>
      <c r="U708" s="10">
        <f>IF(ActiveDatabase=Standby,Secondary!U708,Primary!U708)</f>
        <v>0</v>
      </c>
      <c r="V708" s="10">
        <f>IF(ActiveDatabase=Standby,Secondary!V708,Primary!V708)</f>
        <v>0</v>
      </c>
      <c r="W708" s="6">
        <f>IF(ActiveDatabase=Standby,Secondary!W708,Primary!W708)</f>
        <v>0</v>
      </c>
      <c r="X708" s="6">
        <f>IF(ActiveDatabase=Standby,Secondary!X708,Primary!X708)</f>
        <v>0</v>
      </c>
      <c r="Y708" s="12">
        <f>IF(ActiveDatabase=Standby,Secondary!Y708,Primary!Y1366)</f>
        <v>0</v>
      </c>
      <c r="Z708" s="12">
        <f>IF(ActiveDatabase=Standby,Secondary!Z708,Primary!Z1366)</f>
        <v>0</v>
      </c>
      <c r="AA708" s="7">
        <f>IF(ActiveDatabase=Standby,Secondary!AA708,Primary!AA1366)</f>
        <v>0</v>
      </c>
      <c r="AB708" s="12"/>
      <c r="AC708" s="6"/>
      <c r="AD708" s="6"/>
      <c r="AE708" s="7"/>
      <c r="AF708" s="7"/>
      <c r="AG708" s="7"/>
      <c r="AH708" s="7"/>
      <c r="AI708" s="7"/>
      <c r="AJ708" s="7"/>
      <c r="AK708" s="7"/>
      <c r="AL708" s="7"/>
      <c r="AM708" s="7"/>
      <c r="AN708" s="7"/>
      <c r="AO708" s="6"/>
      <c r="AP708" s="7"/>
      <c r="AQ708" s="7"/>
      <c r="AR708" s="6"/>
      <c r="AS708" s="7"/>
      <c r="AT708" s="7"/>
      <c r="AU708" s="7"/>
      <c r="AV708" s="7"/>
      <c r="AW708" s="7"/>
      <c r="AX708" s="7"/>
      <c r="AY708" s="7"/>
      <c r="AZ708" s="7"/>
      <c r="BA708" s="7"/>
      <c r="BB708" s="7"/>
      <c r="BC708" s="7"/>
      <c r="BD708" s="7"/>
      <c r="BE708" s="7"/>
      <c r="BF708" s="7"/>
      <c r="BG708" s="7"/>
    </row>
    <row r="709" customHeight="1" spans="1:59">
      <c r="A709" s="9" t="str">
        <f>IF(ActiveDatabase=Standby,Secondary!A709,Primary!A709)</f>
        <v>microTech 30</v>
      </c>
      <c r="B709" s="5" t="str">
        <f>IF(ActiveDatabase=Standby,Secondary!B709,Primary!B709)</f>
        <v>microTech 46</v>
      </c>
      <c r="C709" s="5" t="str">
        <f>IF(ActiveDatabase=Standby,Secondary!C709,Primary!C709)</f>
        <v>microTech 11</v>
      </c>
      <c r="D709" s="5" t="str">
        <f>IF(ActiveDatabase=Standby,Secondary!D709,Primary!D709)</f>
        <v>Dunboro (Megaton)</v>
      </c>
      <c r="E709" s="6" t="str">
        <f>IF(ActiveDatabase=Standby,Secondary!E709,Primary!E709)</f>
        <v>Dunboro</v>
      </c>
      <c r="F709" s="10">
        <f>IF(ActiveDatabase=Standby,Secondary!F709,Primary!F709)</f>
        <v>-735.672192799999</v>
      </c>
      <c r="G709" s="10">
        <f>IF(ActiveDatabase=Standby,Secondary!G709,Primary!G709)</f>
        <v>678.040346404999</v>
      </c>
      <c r="H709" s="10">
        <f>IF(ActiveDatabase=Standby,Secondary!H709,Primary!H709)</f>
        <v>9.30993913099999</v>
      </c>
      <c r="I709" s="13">
        <f>IF(ActiveDatabase=Standby,Secondary!I709,Primary!I709)</f>
        <v>0</v>
      </c>
      <c r="J709" s="13">
        <f>IF(ActiveDatabase=Standby,Secondary!J709,Primary!J709)</f>
        <v>0</v>
      </c>
      <c r="K709" s="13">
        <f>IF(ActiveDatabase=Standby,Secondary!K709,Primary!K709)</f>
        <v>0</v>
      </c>
      <c r="L709" s="13">
        <f>IF(ActiveDatabase=Standby,Secondary!L709,Primary!L709)</f>
        <v>0</v>
      </c>
      <c r="M709" s="7" t="b">
        <f>IF(ActiveDatabase=Standby,Secondary!M709,Primary!M709)</f>
        <v>1</v>
      </c>
      <c r="N709" s="10">
        <f>IF(ActiveDatabase=Standby,Secondary!N709,Primary!N709)</f>
        <v>0</v>
      </c>
      <c r="O709" s="10">
        <f>IF(ActiveDatabase=Standby,Secondary!O709,Primary!O709)</f>
        <v>0</v>
      </c>
      <c r="P709" s="10">
        <f>IF(ActiveDatabase=Standby,Secondary!P709,Primary!P709)</f>
        <v>0</v>
      </c>
      <c r="Q709" s="6">
        <f>IF(ActiveDatabase=Standby,Secondary!Q709,Primary!Q709)</f>
        <v>0</v>
      </c>
      <c r="R709" s="18">
        <f>IF(ActiveDatabase=Standby,Secondary!R709,Primary!R709)</f>
        <v>0</v>
      </c>
      <c r="S709" s="19">
        <f>IF(ActiveDatabase=Standby,Secondary!S709,Primary!S709)</f>
        <v>0</v>
      </c>
      <c r="T709" s="10">
        <f>IF(ActiveDatabase=Standby,Secondary!T709,Primary!T709)</f>
        <v>0</v>
      </c>
      <c r="U709" s="10">
        <f>IF(ActiveDatabase=Standby,Secondary!U709,Primary!U709)</f>
        <v>0</v>
      </c>
      <c r="V709" s="10">
        <f>IF(ActiveDatabase=Standby,Secondary!V709,Primary!V709)</f>
        <v>0</v>
      </c>
      <c r="W709" s="6">
        <f>IF(ActiveDatabase=Standby,Secondary!W709,Primary!W709)</f>
        <v>0</v>
      </c>
      <c r="X709" s="6">
        <f>IF(ActiveDatabase=Standby,Secondary!X709,Primary!X709)</f>
        <v>0</v>
      </c>
      <c r="Y709" s="12">
        <f>IF(ActiveDatabase=Standby,Secondary!Y709,Primary!Y1367)</f>
        <v>0</v>
      </c>
      <c r="Z709" s="12">
        <f>IF(ActiveDatabase=Standby,Secondary!Z709,Primary!Z1367)</f>
        <v>0</v>
      </c>
      <c r="AA709" s="7">
        <f>IF(ActiveDatabase=Standby,Secondary!AA709,Primary!AA1367)</f>
        <v>0</v>
      </c>
      <c r="AB709" s="12"/>
      <c r="AC709" s="6"/>
      <c r="AD709" s="6"/>
      <c r="AE709" s="7"/>
      <c r="AF709" s="7"/>
      <c r="AG709" s="7"/>
      <c r="AH709" s="7"/>
      <c r="AI709" s="7"/>
      <c r="AJ709" s="7"/>
      <c r="AK709" s="7"/>
      <c r="AL709" s="7"/>
      <c r="AM709" s="7"/>
      <c r="AN709" s="7"/>
      <c r="AO709" s="6"/>
      <c r="AP709" s="7"/>
      <c r="AQ709" s="7"/>
      <c r="AR709" s="6"/>
      <c r="AS709" s="7"/>
      <c r="AT709" s="7"/>
      <c r="AU709" s="7"/>
      <c r="AV709" s="7"/>
      <c r="AW709" s="7"/>
      <c r="AX709" s="7"/>
      <c r="AY709" s="7"/>
      <c r="AZ709" s="7"/>
      <c r="BA709" s="7"/>
      <c r="BB709" s="7"/>
      <c r="BC709" s="7"/>
      <c r="BD709" s="7"/>
      <c r="BE709" s="7"/>
      <c r="BF709" s="7"/>
      <c r="BG709" s="7"/>
    </row>
    <row r="710" customHeight="1" spans="1:59">
      <c r="A710" s="9" t="str">
        <f>IF(ActiveDatabase=Standby,Secondary!A710,Primary!A710)</f>
        <v>microTech 31</v>
      </c>
      <c r="B710" s="5" t="str">
        <f>IF(ActiveDatabase=Standby,Secondary!B710,Primary!B710)</f>
        <v>microTech 47</v>
      </c>
      <c r="C710" s="5" t="str">
        <f>IF(ActiveDatabase=Standby,Secondary!C710,Primary!C710)</f>
        <v>microTech 43</v>
      </c>
      <c r="D710" s="5" t="str">
        <f>IF(ActiveDatabase=Standby,Secondary!D710,Primary!D710)</f>
        <v>Frostbite (Windy Cove)</v>
      </c>
      <c r="E710" s="6" t="str">
        <f>IF(ActiveDatabase=Standby,Secondary!E710,Primary!E710)</f>
        <v>Frostbite</v>
      </c>
      <c r="F710" s="10">
        <f>IF(ActiveDatabase=Standby,Secondary!F710,Primary!F710)</f>
        <v>539.619934335</v>
      </c>
      <c r="G710" s="10">
        <f>IF(ActiveDatabase=Standby,Secondary!G710,Primary!G710)</f>
        <v>762.338992717999</v>
      </c>
      <c r="H710" s="10">
        <f>IF(ActiveDatabase=Standby,Secondary!H710,Primary!H710)</f>
        <v>-361.447888067</v>
      </c>
      <c r="I710" s="13">
        <f>IF(ActiveDatabase=Standby,Secondary!I710,Primary!I710)</f>
        <v>0</v>
      </c>
      <c r="J710" s="13">
        <f>IF(ActiveDatabase=Standby,Secondary!J710,Primary!J710)</f>
        <v>0</v>
      </c>
      <c r="K710" s="13">
        <f>IF(ActiveDatabase=Standby,Secondary!K710,Primary!K710)</f>
        <v>0</v>
      </c>
      <c r="L710" s="13">
        <f>IF(ActiveDatabase=Standby,Secondary!L710,Primary!L710)</f>
        <v>0</v>
      </c>
      <c r="M710" s="7" t="b">
        <f>IF(ActiveDatabase=Standby,Secondary!M710,Primary!M710)</f>
        <v>0</v>
      </c>
      <c r="N710" s="10">
        <f>IF(ActiveDatabase=Standby,Secondary!N710,Primary!N710)</f>
        <v>0</v>
      </c>
      <c r="O710" s="10">
        <f>IF(ActiveDatabase=Standby,Secondary!O710,Primary!O710)</f>
        <v>0</v>
      </c>
      <c r="P710" s="10">
        <f>IF(ActiveDatabase=Standby,Secondary!P710,Primary!P710)</f>
        <v>0</v>
      </c>
      <c r="Q710" s="6">
        <f>IF(ActiveDatabase=Standby,Secondary!Q710,Primary!Q710)</f>
        <v>0</v>
      </c>
      <c r="R710" s="18">
        <f>IF(ActiveDatabase=Standby,Secondary!R710,Primary!R710)</f>
        <v>0</v>
      </c>
      <c r="S710" s="19">
        <f>IF(ActiveDatabase=Standby,Secondary!S710,Primary!S710)</f>
        <v>0</v>
      </c>
      <c r="T710" s="10">
        <f>IF(ActiveDatabase=Standby,Secondary!T710,Primary!T710)</f>
        <v>0</v>
      </c>
      <c r="U710" s="10">
        <f>IF(ActiveDatabase=Standby,Secondary!U710,Primary!U710)</f>
        <v>0</v>
      </c>
      <c r="V710" s="10">
        <f>IF(ActiveDatabase=Standby,Secondary!V710,Primary!V710)</f>
        <v>0</v>
      </c>
      <c r="W710" s="6">
        <f>IF(ActiveDatabase=Standby,Secondary!W710,Primary!W710)</f>
        <v>0</v>
      </c>
      <c r="X710" s="6">
        <f>IF(ActiveDatabase=Standby,Secondary!X710,Primary!X710)</f>
        <v>0</v>
      </c>
      <c r="Y710" s="12">
        <f>IF(ActiveDatabase=Standby,Secondary!Y710,Primary!Y1368)</f>
        <v>0</v>
      </c>
      <c r="Z710" s="12">
        <f>IF(ActiveDatabase=Standby,Secondary!Z710,Primary!Z1368)</f>
        <v>0</v>
      </c>
      <c r="AA710" s="7">
        <f>IF(ActiveDatabase=Standby,Secondary!AA710,Primary!AA1368)</f>
        <v>0</v>
      </c>
      <c r="AB710" s="12"/>
      <c r="AC710" s="6"/>
      <c r="AD710" s="6"/>
      <c r="AE710" s="7"/>
      <c r="AF710" s="7"/>
      <c r="AG710" s="7"/>
      <c r="AH710" s="7"/>
      <c r="AI710" s="7"/>
      <c r="AJ710" s="7"/>
      <c r="AK710" s="7"/>
      <c r="AL710" s="7"/>
      <c r="AM710" s="7"/>
      <c r="AN710" s="7"/>
      <c r="AO710" s="6"/>
      <c r="AP710" s="7"/>
      <c r="AQ710" s="7"/>
      <c r="AR710" s="6"/>
      <c r="AS710" s="7"/>
      <c r="AT710" s="7"/>
      <c r="AU710" s="7"/>
      <c r="AV710" s="7"/>
      <c r="AW710" s="7"/>
      <c r="AX710" s="7"/>
      <c r="AY710" s="7"/>
      <c r="AZ710" s="7"/>
      <c r="BA710" s="7"/>
      <c r="BB710" s="7"/>
      <c r="BC710" s="7"/>
      <c r="BD710" s="7"/>
      <c r="BE710" s="7"/>
      <c r="BF710" s="7"/>
      <c r="BG710" s="7"/>
    </row>
    <row r="711" customHeight="1" spans="1:59">
      <c r="A711" s="9" t="str">
        <f>IF(ActiveDatabase=Standby,Secondary!A711,Primary!A711)</f>
        <v>microTech 26</v>
      </c>
      <c r="B711" s="5" t="str">
        <f>IF(ActiveDatabase=Standby,Secondary!B711,Primary!B711)</f>
        <v>microTech 48</v>
      </c>
      <c r="C711" s="5" t="str">
        <f>IF(ActiveDatabase=Standby,Secondary!C711,Primary!C711)</f>
        <v>microTech 37</v>
      </c>
      <c r="D711" s="5" t="str">
        <f>IF(ActiveDatabase=Standby,Secondary!D711,Primary!D711)</f>
        <v>Ghost Hollow (Reclaimer Wreck)</v>
      </c>
      <c r="E711" s="6" t="str">
        <f>IF(ActiveDatabase=Standby,Secondary!E711,Primary!E711)</f>
        <v>Ghost Hollow</v>
      </c>
      <c r="F711" s="10">
        <f>IF(ActiveDatabase=Standby,Secondary!F711,Primary!F711)</f>
        <v>-127.193553939</v>
      </c>
      <c r="G711" s="10">
        <f>IF(ActiveDatabase=Standby,Secondary!G711,Primary!G711)</f>
        <v>982.003985381999</v>
      </c>
      <c r="H711" s="10">
        <f>IF(ActiveDatabase=Standby,Secondary!H711,Primary!H711)</f>
        <v>149.145067474999</v>
      </c>
      <c r="I711" s="13">
        <f>IF(ActiveDatabase=Standby,Secondary!I711,Primary!I711)</f>
        <v>0</v>
      </c>
      <c r="J711" s="13">
        <f>IF(ActiveDatabase=Standby,Secondary!J711,Primary!J711)</f>
        <v>0</v>
      </c>
      <c r="K711" s="13">
        <f>IF(ActiveDatabase=Standby,Secondary!K711,Primary!K711)</f>
        <v>0</v>
      </c>
      <c r="L711" s="13">
        <f>IF(ActiveDatabase=Standby,Secondary!L711,Primary!L711)</f>
        <v>0</v>
      </c>
      <c r="M711" s="7" t="b">
        <f>IF(ActiveDatabase=Standby,Secondary!M711,Primary!M711)</f>
        <v>1</v>
      </c>
      <c r="N711" s="10">
        <f>IF(ActiveDatabase=Standby,Secondary!N711,Primary!N711)</f>
        <v>0</v>
      </c>
      <c r="O711" s="10">
        <f>IF(ActiveDatabase=Standby,Secondary!O711,Primary!O711)</f>
        <v>0</v>
      </c>
      <c r="P711" s="10">
        <f>IF(ActiveDatabase=Standby,Secondary!P711,Primary!P711)</f>
        <v>0</v>
      </c>
      <c r="Q711" s="6">
        <f>IF(ActiveDatabase=Standby,Secondary!Q711,Primary!Q711)</f>
        <v>0</v>
      </c>
      <c r="R711" s="18">
        <f>IF(ActiveDatabase=Standby,Secondary!R711,Primary!R711)</f>
        <v>0</v>
      </c>
      <c r="S711" s="19">
        <f>IF(ActiveDatabase=Standby,Secondary!S711,Primary!S711)</f>
        <v>0</v>
      </c>
      <c r="T711" s="10">
        <f>IF(ActiveDatabase=Standby,Secondary!T711,Primary!T711)</f>
        <v>0</v>
      </c>
      <c r="U711" s="10">
        <f>IF(ActiveDatabase=Standby,Secondary!U711,Primary!U711)</f>
        <v>0</v>
      </c>
      <c r="V711" s="10">
        <f>IF(ActiveDatabase=Standby,Secondary!V711,Primary!V711)</f>
        <v>0</v>
      </c>
      <c r="W711" s="6">
        <f>IF(ActiveDatabase=Standby,Secondary!W711,Primary!W711)</f>
        <v>0</v>
      </c>
      <c r="X711" s="6">
        <f>IF(ActiveDatabase=Standby,Secondary!X711,Primary!X711)</f>
        <v>0</v>
      </c>
      <c r="Y711" s="12">
        <f>IF(ActiveDatabase=Standby,Secondary!Y711,Primary!Y1369)</f>
        <v>0</v>
      </c>
      <c r="Z711" s="12">
        <f>IF(ActiveDatabase=Standby,Secondary!Z711,Primary!Z1369)</f>
        <v>0</v>
      </c>
      <c r="AA711" s="7">
        <f>IF(ActiveDatabase=Standby,Secondary!AA711,Primary!AA1369)</f>
        <v>0</v>
      </c>
      <c r="AB711" s="12"/>
      <c r="AC711" s="6"/>
      <c r="AD711" s="6"/>
      <c r="AE711" s="7"/>
      <c r="AF711" s="7"/>
      <c r="AG711" s="7"/>
      <c r="AH711" s="7"/>
      <c r="AI711" s="7"/>
      <c r="AJ711" s="7"/>
      <c r="AK711" s="7"/>
      <c r="AL711" s="7"/>
      <c r="AM711" s="7"/>
      <c r="AN711" s="7"/>
      <c r="AO711" s="6"/>
      <c r="AP711" s="7"/>
      <c r="AQ711" s="7"/>
      <c r="AR711" s="6"/>
      <c r="AS711" s="7"/>
      <c r="AT711" s="7"/>
      <c r="AU711" s="7"/>
      <c r="AV711" s="7"/>
      <c r="AW711" s="7"/>
      <c r="AX711" s="7"/>
      <c r="AY711" s="7"/>
      <c r="AZ711" s="7"/>
      <c r="BA711" s="7"/>
      <c r="BB711" s="7"/>
      <c r="BC711" s="7"/>
      <c r="BD711" s="7"/>
      <c r="BE711" s="7"/>
      <c r="BF711" s="7"/>
      <c r="BG711" s="7"/>
    </row>
    <row r="712" customHeight="1" spans="1:59">
      <c r="A712" s="9" t="str">
        <f>IF(ActiveDatabase=Standby,Secondary!A712,Primary!A712)</f>
        <v>microTech 32</v>
      </c>
      <c r="B712" s="5" t="str">
        <f>IF(ActiveDatabase=Standby,Secondary!B712,Primary!B712)</f>
        <v>microTech 49</v>
      </c>
      <c r="C712" s="5" t="str">
        <f>IF(ActiveDatabase=Standby,Secondary!C712,Primary!C712)</f>
        <v>microTech 19</v>
      </c>
      <c r="D712" s="5" t="str">
        <f>IF(ActiveDatabase=Standby,Secondary!D712,Primary!D712)</f>
        <v>Harper's Point</v>
      </c>
      <c r="E712" s="6" t="str">
        <f>IF(ActiveDatabase=Standby,Secondary!E712,Primary!E712)</f>
        <v>Harpers</v>
      </c>
      <c r="F712" s="10">
        <f>IF(ActiveDatabase=Standby,Secondary!F712,Primary!F712)</f>
        <v>-687.373417784</v>
      </c>
      <c r="G712" s="10">
        <f>IF(ActiveDatabase=Standby,Secondary!G712,Primary!G712)</f>
        <v>716.61301141</v>
      </c>
      <c r="H712" s="10">
        <f>IF(ActiveDatabase=Standby,Secondary!H712,Primary!H712)</f>
        <v>128.227454472</v>
      </c>
      <c r="I712" s="13">
        <f>IF(ActiveDatabase=Standby,Secondary!I712,Primary!I712)</f>
        <v>0</v>
      </c>
      <c r="J712" s="13">
        <f>IF(ActiveDatabase=Standby,Secondary!J712,Primary!J712)</f>
        <v>0</v>
      </c>
      <c r="K712" s="13">
        <f>IF(ActiveDatabase=Standby,Secondary!K712,Primary!K712)</f>
        <v>0</v>
      </c>
      <c r="L712" s="13">
        <f>IF(ActiveDatabase=Standby,Secondary!L712,Primary!L712)</f>
        <v>0</v>
      </c>
      <c r="M712" s="7" t="b">
        <f>IF(ActiveDatabase=Standby,Secondary!M712,Primary!M712)</f>
        <v>1</v>
      </c>
      <c r="N712" s="10">
        <f>IF(ActiveDatabase=Standby,Secondary!N712,Primary!N712)</f>
        <v>0</v>
      </c>
      <c r="O712" s="10">
        <f>IF(ActiveDatabase=Standby,Secondary!O712,Primary!O712)</f>
        <v>0</v>
      </c>
      <c r="P712" s="10">
        <f>IF(ActiveDatabase=Standby,Secondary!P712,Primary!P712)</f>
        <v>0</v>
      </c>
      <c r="Q712" s="6">
        <f>IF(ActiveDatabase=Standby,Secondary!Q712,Primary!Q712)</f>
        <v>0</v>
      </c>
      <c r="R712" s="18">
        <f>IF(ActiveDatabase=Standby,Secondary!R712,Primary!R712)</f>
        <v>0</v>
      </c>
      <c r="S712" s="19">
        <f>IF(ActiveDatabase=Standby,Secondary!S712,Primary!S712)</f>
        <v>0</v>
      </c>
      <c r="T712" s="10">
        <f>IF(ActiveDatabase=Standby,Secondary!T712,Primary!T712)</f>
        <v>0</v>
      </c>
      <c r="U712" s="10">
        <f>IF(ActiveDatabase=Standby,Secondary!U712,Primary!U712)</f>
        <v>0</v>
      </c>
      <c r="V712" s="10">
        <f>IF(ActiveDatabase=Standby,Secondary!V712,Primary!V712)</f>
        <v>0</v>
      </c>
      <c r="W712" s="6">
        <f>IF(ActiveDatabase=Standby,Secondary!W712,Primary!W712)</f>
        <v>0</v>
      </c>
      <c r="X712" s="6">
        <f>IF(ActiveDatabase=Standby,Secondary!X712,Primary!X712)</f>
        <v>0</v>
      </c>
      <c r="Y712" s="12">
        <f>IF(ActiveDatabase=Standby,Secondary!Y712,Primary!Y1370)</f>
        <v>0</v>
      </c>
      <c r="Z712" s="12">
        <f>IF(ActiveDatabase=Standby,Secondary!Z712,Primary!Z1370)</f>
        <v>0</v>
      </c>
      <c r="AA712" s="7">
        <f>IF(ActiveDatabase=Standby,Secondary!AA712,Primary!AA1370)</f>
        <v>0</v>
      </c>
      <c r="AB712" s="12"/>
      <c r="AC712" s="6"/>
      <c r="AD712" s="6"/>
      <c r="AE712" s="7"/>
      <c r="AF712" s="7"/>
      <c r="AG712" s="7"/>
      <c r="AH712" s="7"/>
      <c r="AI712" s="7"/>
      <c r="AJ712" s="7"/>
      <c r="AK712" s="7"/>
      <c r="AL712" s="7"/>
      <c r="AM712" s="7"/>
      <c r="AN712" s="7"/>
      <c r="AO712" s="6"/>
      <c r="AP712" s="7"/>
      <c r="AQ712" s="7"/>
      <c r="AR712" s="6"/>
      <c r="AS712" s="7"/>
      <c r="AT712" s="7"/>
      <c r="AU712" s="7"/>
      <c r="AV712" s="7"/>
      <c r="AW712" s="7"/>
      <c r="AX712" s="7"/>
      <c r="AY712" s="7"/>
      <c r="AZ712" s="7"/>
      <c r="BA712" s="7"/>
      <c r="BB712" s="7"/>
      <c r="BC712" s="7"/>
      <c r="BD712" s="7"/>
      <c r="BE712" s="7"/>
      <c r="BF712" s="7"/>
      <c r="BG712" s="7"/>
    </row>
    <row r="713" customHeight="1" spans="1:59">
      <c r="A713" s="9" t="str">
        <f>IF(ActiveDatabase=Standby,Secondary!A713,Primary!A713)</f>
        <v>microTech 33</v>
      </c>
      <c r="B713" s="5" t="str">
        <f>IF(ActiveDatabase=Standby,Secondary!B713,Primary!B713)</f>
        <v>microTech 50</v>
      </c>
      <c r="C713" s="5" t="str">
        <f>IF(ActiveDatabase=Standby,Secondary!C713,Primary!C713)</f>
        <v>microTech 22</v>
      </c>
      <c r="D713" s="5" t="str">
        <f>IF(ActiveDatabase=Standby,Secondary!D713,Primary!D713)</f>
        <v>Moreland Hills</v>
      </c>
      <c r="E713" s="6" t="str">
        <f>IF(ActiveDatabase=Standby,Secondary!E713,Primary!E713)</f>
        <v>Moreland</v>
      </c>
      <c r="F713" s="10">
        <f>IF(ActiveDatabase=Standby,Secondary!F713,Primary!F713)</f>
        <v>-665.087764925</v>
      </c>
      <c r="G713" s="10">
        <f>IF(ActiveDatabase=Standby,Secondary!G713,Primary!G713)</f>
        <v>726.918075026</v>
      </c>
      <c r="H713" s="10">
        <f>IF(ActiveDatabase=Standby,Secondary!H713,Primary!H713)</f>
        <v>178.063924494</v>
      </c>
      <c r="I713" s="13">
        <f>IF(ActiveDatabase=Standby,Secondary!I713,Primary!I713)</f>
        <v>0</v>
      </c>
      <c r="J713" s="13">
        <f>IF(ActiveDatabase=Standby,Secondary!J713,Primary!J713)</f>
        <v>0</v>
      </c>
      <c r="K713" s="13">
        <f>IF(ActiveDatabase=Standby,Secondary!K713,Primary!K713)</f>
        <v>0</v>
      </c>
      <c r="L713" s="13">
        <f>IF(ActiveDatabase=Standby,Secondary!L713,Primary!L713)</f>
        <v>0</v>
      </c>
      <c r="M713" s="7" t="b">
        <f>IF(ActiveDatabase=Standby,Secondary!M713,Primary!M713)</f>
        <v>0</v>
      </c>
      <c r="N713" s="10">
        <f>IF(ActiveDatabase=Standby,Secondary!N713,Primary!N713)</f>
        <v>0</v>
      </c>
      <c r="O713" s="10">
        <f>IF(ActiveDatabase=Standby,Secondary!O713,Primary!O713)</f>
        <v>0</v>
      </c>
      <c r="P713" s="10">
        <f>IF(ActiveDatabase=Standby,Secondary!P713,Primary!P713)</f>
        <v>0</v>
      </c>
      <c r="Q713" s="6">
        <f>IF(ActiveDatabase=Standby,Secondary!Q713,Primary!Q713)</f>
        <v>0</v>
      </c>
      <c r="R713" s="18">
        <f>IF(ActiveDatabase=Standby,Secondary!R713,Primary!R713)</f>
        <v>0</v>
      </c>
      <c r="S713" s="19">
        <f>IF(ActiveDatabase=Standby,Secondary!S713,Primary!S713)</f>
        <v>0</v>
      </c>
      <c r="T713" s="10">
        <f>IF(ActiveDatabase=Standby,Secondary!T713,Primary!T713)</f>
        <v>0</v>
      </c>
      <c r="U713" s="10">
        <f>IF(ActiveDatabase=Standby,Secondary!U713,Primary!U713)</f>
        <v>0</v>
      </c>
      <c r="V713" s="10">
        <f>IF(ActiveDatabase=Standby,Secondary!V713,Primary!V713)</f>
        <v>0</v>
      </c>
      <c r="W713" s="6">
        <f>IF(ActiveDatabase=Standby,Secondary!W713,Primary!W713)</f>
        <v>0</v>
      </c>
      <c r="X713" s="6">
        <f>IF(ActiveDatabase=Standby,Secondary!X713,Primary!X713)</f>
        <v>0</v>
      </c>
      <c r="Y713" s="12">
        <f>IF(ActiveDatabase=Standby,Secondary!Y713,Primary!Y1371)</f>
        <v>0</v>
      </c>
      <c r="Z713" s="12">
        <f>IF(ActiveDatabase=Standby,Secondary!Z713,Primary!Z1371)</f>
        <v>0</v>
      </c>
      <c r="AA713" s="7">
        <f>IF(ActiveDatabase=Standby,Secondary!AA713,Primary!AA1371)</f>
        <v>0</v>
      </c>
      <c r="AB713" s="12"/>
      <c r="AC713" s="6"/>
      <c r="AD713" s="6"/>
      <c r="AE713" s="7"/>
      <c r="AF713" s="7"/>
      <c r="AG713" s="7"/>
      <c r="AH713" s="7"/>
      <c r="AI713" s="7"/>
      <c r="AJ713" s="7"/>
      <c r="AK713" s="7"/>
      <c r="AL713" s="7"/>
      <c r="AM713" s="7"/>
      <c r="AN713" s="7"/>
      <c r="AO713" s="6"/>
      <c r="AP713" s="7"/>
      <c r="AQ713" s="7"/>
      <c r="AR713" s="6"/>
      <c r="AS713" s="7"/>
      <c r="AT713" s="7"/>
      <c r="AU713" s="7"/>
      <c r="AV713" s="7"/>
      <c r="AW713" s="7"/>
      <c r="AX713" s="7"/>
      <c r="AY713" s="7"/>
      <c r="AZ713" s="7"/>
      <c r="BA713" s="7"/>
      <c r="BB713" s="7"/>
      <c r="BC713" s="7"/>
      <c r="BD713" s="7"/>
      <c r="BE713" s="7"/>
      <c r="BF713" s="7"/>
      <c r="BG713" s="7"/>
    </row>
    <row r="714" customHeight="1" spans="1:59">
      <c r="A714" s="9" t="str">
        <f>IF(ActiveDatabase=Standby,Secondary!A714,Primary!A714)</f>
        <v>microTech 34</v>
      </c>
      <c r="B714" s="5" t="str">
        <f>IF(ActiveDatabase=Standby,Secondary!B714,Primary!B714)</f>
        <v>microTech 51</v>
      </c>
      <c r="C714" s="5" t="str">
        <f>IF(ActiveDatabase=Standby,Secondary!C714,Primary!C714)</f>
        <v>microTech 21</v>
      </c>
      <c r="D714" s="5" t="str">
        <f>IF(ActiveDatabase=Standby,Secondary!D714,Primary!D714)</f>
        <v>Razor's Edge</v>
      </c>
      <c r="E714" s="6" t="str">
        <f>IF(ActiveDatabase=Standby,Secondary!E714,Primary!E714)</f>
        <v>Razors</v>
      </c>
      <c r="F714" s="10">
        <f>IF(ActiveDatabase=Standby,Secondary!F714,Primary!F714)</f>
        <v>-666.067306713999</v>
      </c>
      <c r="G714" s="10">
        <f>IF(ActiveDatabase=Standby,Secondary!G714,Primary!G714)</f>
        <v>726.221158387999</v>
      </c>
      <c r="H714" s="10">
        <f>IF(ActiveDatabase=Standby,Secondary!H714,Primary!H714)</f>
        <v>179.517785705999</v>
      </c>
      <c r="I714" s="13">
        <f>IF(ActiveDatabase=Standby,Secondary!I714,Primary!I714)</f>
        <v>0</v>
      </c>
      <c r="J714" s="13">
        <f>IF(ActiveDatabase=Standby,Secondary!J714,Primary!J714)</f>
        <v>0</v>
      </c>
      <c r="K714" s="13">
        <f>IF(ActiveDatabase=Standby,Secondary!K714,Primary!K714)</f>
        <v>0</v>
      </c>
      <c r="L714" s="13">
        <f>IF(ActiveDatabase=Standby,Secondary!L714,Primary!L714)</f>
        <v>0</v>
      </c>
      <c r="M714" s="7" t="b">
        <f>IF(ActiveDatabase=Standby,Secondary!M714,Primary!M714)</f>
        <v>0</v>
      </c>
      <c r="N714" s="10">
        <f>IF(ActiveDatabase=Standby,Secondary!N714,Primary!N714)</f>
        <v>0</v>
      </c>
      <c r="O714" s="10">
        <f>IF(ActiveDatabase=Standby,Secondary!O714,Primary!O714)</f>
        <v>0</v>
      </c>
      <c r="P714" s="10">
        <f>IF(ActiveDatabase=Standby,Secondary!P714,Primary!P714)</f>
        <v>0</v>
      </c>
      <c r="Q714" s="6">
        <f>IF(ActiveDatabase=Standby,Secondary!Q714,Primary!Q714)</f>
        <v>0</v>
      </c>
      <c r="R714" s="18">
        <f>IF(ActiveDatabase=Standby,Secondary!R714,Primary!R714)</f>
        <v>0</v>
      </c>
      <c r="S714" s="19">
        <f>IF(ActiveDatabase=Standby,Secondary!S714,Primary!S714)</f>
        <v>0</v>
      </c>
      <c r="T714" s="10">
        <f>IF(ActiveDatabase=Standby,Secondary!T714,Primary!T714)</f>
        <v>0</v>
      </c>
      <c r="U714" s="10">
        <f>IF(ActiveDatabase=Standby,Secondary!U714,Primary!U714)</f>
        <v>0</v>
      </c>
      <c r="V714" s="10">
        <f>IF(ActiveDatabase=Standby,Secondary!V714,Primary!V714)</f>
        <v>0</v>
      </c>
      <c r="W714" s="6">
        <f>IF(ActiveDatabase=Standby,Secondary!W714,Primary!W714)</f>
        <v>0</v>
      </c>
      <c r="X714" s="6">
        <f>IF(ActiveDatabase=Standby,Secondary!X714,Primary!X714)</f>
        <v>0</v>
      </c>
      <c r="Y714" s="12">
        <f>IF(ActiveDatabase=Standby,Secondary!Y714,Primary!Y1372)</f>
        <v>0</v>
      </c>
      <c r="Z714" s="12">
        <f>IF(ActiveDatabase=Standby,Secondary!Z714,Primary!Z1372)</f>
        <v>0</v>
      </c>
      <c r="AA714" s="7">
        <f>IF(ActiveDatabase=Standby,Secondary!AA714,Primary!AA1372)</f>
        <v>0</v>
      </c>
      <c r="AB714" s="12"/>
      <c r="AC714" s="6"/>
      <c r="AD714" s="6"/>
      <c r="AE714" s="7"/>
      <c r="AF714" s="7"/>
      <c r="AG714" s="7"/>
      <c r="AH714" s="7"/>
      <c r="AI714" s="7"/>
      <c r="AJ714" s="7"/>
      <c r="AK714" s="7"/>
      <c r="AL714" s="7"/>
      <c r="AM714" s="7"/>
      <c r="AN714" s="7"/>
      <c r="AO714" s="6"/>
      <c r="AP714" s="7"/>
      <c r="AQ714" s="7"/>
      <c r="AR714" s="6"/>
      <c r="AS714" s="7"/>
      <c r="AT714" s="7"/>
      <c r="AU714" s="7"/>
      <c r="AV714" s="7"/>
      <c r="AW714" s="7"/>
      <c r="AX714" s="7"/>
      <c r="AY714" s="7"/>
      <c r="AZ714" s="7"/>
      <c r="BA714" s="7"/>
      <c r="BB714" s="7"/>
      <c r="BC714" s="7"/>
      <c r="BD714" s="7"/>
      <c r="BE714" s="7"/>
      <c r="BF714" s="7"/>
      <c r="BG714" s="7"/>
    </row>
    <row r="715" customHeight="1" spans="1:59">
      <c r="A715" s="9" t="str">
        <f>IF(ActiveDatabase=Standby,Secondary!A715,Primary!A715)</f>
        <v>microTech 42</v>
      </c>
      <c r="B715" s="5" t="str">
        <f>IF(ActiveDatabase=Standby,Secondary!B715,Primary!B715)</f>
        <v>microTech 52</v>
      </c>
      <c r="C715" s="5" t="str">
        <f>IF(ActiveDatabase=Standby,Secondary!C715,Primary!C715)</f>
        <v>microTech 88</v>
      </c>
      <c r="D715" s="5" t="str">
        <f>IF(ActiveDatabase=Standby,Secondary!D715,Primary!D715)</f>
        <v>Settlement 14N</v>
      </c>
      <c r="E715" s="6" t="str">
        <f>IF(ActiveDatabase=Standby,Secondary!E715,Primary!E715)</f>
        <v>Settlement 14N</v>
      </c>
      <c r="F715" s="10">
        <f>IF(ActiveDatabase=Standby,Secondary!F715,Primary!F715)</f>
        <v>-154.512351289</v>
      </c>
      <c r="G715" s="10">
        <f>IF(ActiveDatabase=Standby,Secondary!G715,Primary!G715)</f>
        <v>-984.296107581999</v>
      </c>
      <c r="H715" s="10">
        <f>IF(ActiveDatabase=Standby,Secondary!H715,Primary!H715)</f>
        <v>93.975155987</v>
      </c>
      <c r="I715" s="13">
        <f>IF(ActiveDatabase=Standby,Secondary!I715,Primary!I715)</f>
        <v>0</v>
      </c>
      <c r="J715" s="13">
        <f>IF(ActiveDatabase=Standby,Secondary!J715,Primary!J715)</f>
        <v>0</v>
      </c>
      <c r="K715" s="13">
        <f>IF(ActiveDatabase=Standby,Secondary!K715,Primary!K715)</f>
        <v>0</v>
      </c>
      <c r="L715" s="13">
        <f>IF(ActiveDatabase=Standby,Secondary!L715,Primary!L715)</f>
        <v>0</v>
      </c>
      <c r="M715" s="7" t="b">
        <f>IF(ActiveDatabase=Standby,Secondary!M715,Primary!M715)</f>
        <v>0</v>
      </c>
      <c r="N715" s="10">
        <f>IF(ActiveDatabase=Standby,Secondary!N715,Primary!N715)</f>
        <v>0</v>
      </c>
      <c r="O715" s="10">
        <f>IF(ActiveDatabase=Standby,Secondary!O715,Primary!O715)</f>
        <v>0</v>
      </c>
      <c r="P715" s="10">
        <f>IF(ActiveDatabase=Standby,Secondary!P715,Primary!P715)</f>
        <v>0</v>
      </c>
      <c r="Q715" s="6">
        <f>IF(ActiveDatabase=Standby,Secondary!Q715,Primary!Q715)</f>
        <v>0</v>
      </c>
      <c r="R715" s="18">
        <f>IF(ActiveDatabase=Standby,Secondary!R715,Primary!R715)</f>
        <v>0</v>
      </c>
      <c r="S715" s="19">
        <f>IF(ActiveDatabase=Standby,Secondary!S715,Primary!S715)</f>
        <v>0</v>
      </c>
      <c r="T715" s="10">
        <f>IF(ActiveDatabase=Standby,Secondary!T715,Primary!T715)</f>
        <v>0</v>
      </c>
      <c r="U715" s="10">
        <f>IF(ActiveDatabase=Standby,Secondary!U715,Primary!U715)</f>
        <v>0</v>
      </c>
      <c r="V715" s="10">
        <f>IF(ActiveDatabase=Standby,Secondary!V715,Primary!V715)</f>
        <v>0</v>
      </c>
      <c r="W715" s="6">
        <f>IF(ActiveDatabase=Standby,Secondary!W715,Primary!W715)</f>
        <v>0</v>
      </c>
      <c r="X715" s="6">
        <f>IF(ActiveDatabase=Standby,Secondary!X715,Primary!X715)</f>
        <v>0</v>
      </c>
      <c r="Y715" s="12">
        <f>IF(ActiveDatabase=Standby,Secondary!Y715,Primary!Y1373)</f>
        <v>0</v>
      </c>
      <c r="Z715" s="12">
        <f>IF(ActiveDatabase=Standby,Secondary!Z715,Primary!Z1373)</f>
        <v>0</v>
      </c>
      <c r="AA715" s="7">
        <f>IF(ActiveDatabase=Standby,Secondary!AA715,Primary!AA1373)</f>
        <v>0</v>
      </c>
      <c r="AB715" s="12"/>
      <c r="AC715" s="6"/>
      <c r="AD715" s="6"/>
      <c r="AE715" s="7"/>
      <c r="AF715" s="7"/>
      <c r="AG715" s="7"/>
      <c r="AH715" s="7"/>
      <c r="AI715" s="7"/>
      <c r="AJ715" s="7"/>
      <c r="AK715" s="7"/>
      <c r="AL715" s="7"/>
      <c r="AM715" s="7"/>
      <c r="AN715" s="7"/>
      <c r="AO715" s="6"/>
      <c r="AP715" s="7"/>
      <c r="AQ715" s="7"/>
      <c r="AR715" s="6"/>
      <c r="AS715" s="7"/>
      <c r="AT715" s="7"/>
      <c r="AU715" s="7"/>
      <c r="AV715" s="7"/>
      <c r="AW715" s="7"/>
      <c r="AX715" s="7"/>
      <c r="AY715" s="7"/>
      <c r="AZ715" s="7"/>
      <c r="BA715" s="7"/>
      <c r="BB715" s="7"/>
      <c r="BC715" s="7"/>
      <c r="BD715" s="7"/>
      <c r="BE715" s="7"/>
      <c r="BF715" s="7"/>
      <c r="BG715" s="7"/>
    </row>
    <row r="716" customHeight="1" spans="1:59">
      <c r="A716" s="9" t="str">
        <f>IF(ActiveDatabase=Standby,Secondary!A716,Primary!A716)</f>
        <v>microTech 43</v>
      </c>
      <c r="B716" s="5" t="str">
        <f>IF(ActiveDatabase=Standby,Secondary!B716,Primary!B716)</f>
        <v>microTech 53</v>
      </c>
      <c r="C716" s="5" t="str">
        <f>IF(ActiveDatabase=Standby,Secondary!C716,Primary!C716)</f>
        <v>microTech 86</v>
      </c>
      <c r="D716" s="5" t="str">
        <f>IF(ActiveDatabase=Standby,Secondary!D716,Primary!D716)</f>
        <v>Settlement 16N</v>
      </c>
      <c r="E716" s="6" t="str">
        <f>IF(ActiveDatabase=Standby,Secondary!E716,Primary!E716)</f>
        <v>Settlement 16N</v>
      </c>
      <c r="F716" s="10">
        <f>IF(ActiveDatabase=Standby,Secondary!F716,Primary!F716)</f>
        <v>20.614093015</v>
      </c>
      <c r="G716" s="10">
        <f>IF(ActiveDatabase=Standby,Secondary!G716,Primary!G716)</f>
        <v>-1000.709692701</v>
      </c>
      <c r="H716" s="10">
        <f>IF(ActiveDatabase=Standby,Secondary!H716,Primary!H716)</f>
        <v>8.921606672</v>
      </c>
      <c r="I716" s="13">
        <f>IF(ActiveDatabase=Standby,Secondary!I716,Primary!I716)</f>
        <v>0</v>
      </c>
      <c r="J716" s="13">
        <f>IF(ActiveDatabase=Standby,Secondary!J716,Primary!J716)</f>
        <v>0</v>
      </c>
      <c r="K716" s="13">
        <f>IF(ActiveDatabase=Standby,Secondary!K716,Primary!K716)</f>
        <v>0</v>
      </c>
      <c r="L716" s="13">
        <f>IF(ActiveDatabase=Standby,Secondary!L716,Primary!L716)</f>
        <v>0</v>
      </c>
      <c r="M716" s="7" t="b">
        <f>IF(ActiveDatabase=Standby,Secondary!M716,Primary!M716)</f>
        <v>0</v>
      </c>
      <c r="N716" s="10">
        <f>IF(ActiveDatabase=Standby,Secondary!N716,Primary!N716)</f>
        <v>0</v>
      </c>
      <c r="O716" s="10">
        <f>IF(ActiveDatabase=Standby,Secondary!O716,Primary!O716)</f>
        <v>0</v>
      </c>
      <c r="P716" s="10">
        <f>IF(ActiveDatabase=Standby,Secondary!P716,Primary!P716)</f>
        <v>0</v>
      </c>
      <c r="Q716" s="6">
        <f>IF(ActiveDatabase=Standby,Secondary!Q716,Primary!Q716)</f>
        <v>0</v>
      </c>
      <c r="R716" s="18">
        <f>IF(ActiveDatabase=Standby,Secondary!R716,Primary!R716)</f>
        <v>0</v>
      </c>
      <c r="S716" s="19">
        <f>IF(ActiveDatabase=Standby,Secondary!S716,Primary!S716)</f>
        <v>0</v>
      </c>
      <c r="T716" s="10">
        <f>IF(ActiveDatabase=Standby,Secondary!T716,Primary!T716)</f>
        <v>0</v>
      </c>
      <c r="U716" s="10">
        <f>IF(ActiveDatabase=Standby,Secondary!U716,Primary!U716)</f>
        <v>0</v>
      </c>
      <c r="V716" s="10">
        <f>IF(ActiveDatabase=Standby,Secondary!V716,Primary!V716)</f>
        <v>0</v>
      </c>
      <c r="W716" s="6">
        <f>IF(ActiveDatabase=Standby,Secondary!W716,Primary!W716)</f>
        <v>0</v>
      </c>
      <c r="X716" s="6">
        <f>IF(ActiveDatabase=Standby,Secondary!X716,Primary!X716)</f>
        <v>0</v>
      </c>
      <c r="Y716" s="12">
        <f>IF(ActiveDatabase=Standby,Secondary!Y716,Primary!Y1374)</f>
        <v>0</v>
      </c>
      <c r="Z716" s="12">
        <f>IF(ActiveDatabase=Standby,Secondary!Z716,Primary!Z1374)</f>
        <v>0</v>
      </c>
      <c r="AA716" s="7">
        <f>IF(ActiveDatabase=Standby,Secondary!AA716,Primary!AA1374)</f>
        <v>0</v>
      </c>
      <c r="AB716" s="12"/>
      <c r="AC716" s="6"/>
      <c r="AD716" s="6"/>
      <c r="AE716" s="7"/>
      <c r="AF716" s="7"/>
      <c r="AG716" s="7"/>
      <c r="AH716" s="7"/>
      <c r="AI716" s="7"/>
      <c r="AJ716" s="7"/>
      <c r="AK716" s="7"/>
      <c r="AL716" s="7"/>
      <c r="AM716" s="7"/>
      <c r="AN716" s="7"/>
      <c r="AO716" s="6"/>
      <c r="AP716" s="7"/>
      <c r="AQ716" s="7"/>
      <c r="AR716" s="6"/>
      <c r="AS716" s="7"/>
      <c r="AT716" s="7"/>
      <c r="AU716" s="7"/>
      <c r="AV716" s="7"/>
      <c r="AW716" s="7"/>
      <c r="AX716" s="7"/>
      <c r="AY716" s="7"/>
      <c r="AZ716" s="7"/>
      <c r="BA716" s="7"/>
      <c r="BB716" s="7"/>
      <c r="BC716" s="7"/>
      <c r="BD716" s="7"/>
      <c r="BE716" s="7"/>
      <c r="BF716" s="7"/>
      <c r="BG716" s="7"/>
    </row>
    <row r="717" customHeight="1" spans="1:59">
      <c r="A717" s="9" t="str">
        <f>IF(ActiveDatabase=Standby,Secondary!A717,Primary!A717)</f>
        <v>microTech 44</v>
      </c>
      <c r="B717" s="5" t="str">
        <f>IF(ActiveDatabase=Standby,Secondary!B717,Primary!B717)</f>
        <v>microTech 54</v>
      </c>
      <c r="C717" s="5" t="str">
        <f>IF(ActiveDatabase=Standby,Secondary!C717,Primary!C717)</f>
        <v>microTech 81</v>
      </c>
      <c r="D717" s="5" t="str">
        <f>IF(ActiveDatabase=Standby,Secondary!D717,Primary!D717)</f>
        <v>Settlement 23N</v>
      </c>
      <c r="E717" s="6" t="str">
        <f>IF(ActiveDatabase=Standby,Secondary!E717,Primary!E717)</f>
        <v>Settlement 23N</v>
      </c>
      <c r="F717" s="10">
        <f>IF(ActiveDatabase=Standby,Secondary!F717,Primary!F717)</f>
        <v>669.478935367999</v>
      </c>
      <c r="G717" s="10">
        <f>IF(ActiveDatabase=Standby,Secondary!G717,Primary!G717)</f>
        <v>-731.271787499999</v>
      </c>
      <c r="H717" s="10">
        <f>IF(ActiveDatabase=Standby,Secondary!H717,Primary!H717)</f>
        <v>138.155074789</v>
      </c>
      <c r="I717" s="13">
        <f>IF(ActiveDatabase=Standby,Secondary!I717,Primary!I717)</f>
        <v>0</v>
      </c>
      <c r="J717" s="13">
        <f>IF(ActiveDatabase=Standby,Secondary!J717,Primary!J717)</f>
        <v>0</v>
      </c>
      <c r="K717" s="13">
        <f>IF(ActiveDatabase=Standby,Secondary!K717,Primary!K717)</f>
        <v>0</v>
      </c>
      <c r="L717" s="13">
        <f>IF(ActiveDatabase=Standby,Secondary!L717,Primary!L717)</f>
        <v>0</v>
      </c>
      <c r="M717" s="7" t="b">
        <f>IF(ActiveDatabase=Standby,Secondary!M717,Primary!M717)</f>
        <v>0</v>
      </c>
      <c r="N717" s="10">
        <f>IF(ActiveDatabase=Standby,Secondary!N717,Primary!N717)</f>
        <v>0</v>
      </c>
      <c r="O717" s="10">
        <f>IF(ActiveDatabase=Standby,Secondary!O717,Primary!O717)</f>
        <v>0</v>
      </c>
      <c r="P717" s="10">
        <f>IF(ActiveDatabase=Standby,Secondary!P717,Primary!P717)</f>
        <v>0</v>
      </c>
      <c r="Q717" s="6">
        <f>IF(ActiveDatabase=Standby,Secondary!Q717,Primary!Q717)</f>
        <v>0</v>
      </c>
      <c r="R717" s="18">
        <f>IF(ActiveDatabase=Standby,Secondary!R717,Primary!R717)</f>
        <v>0</v>
      </c>
      <c r="S717" s="19">
        <f>IF(ActiveDatabase=Standby,Secondary!S717,Primary!S717)</f>
        <v>0</v>
      </c>
      <c r="T717" s="10">
        <f>IF(ActiveDatabase=Standby,Secondary!T717,Primary!T717)</f>
        <v>0</v>
      </c>
      <c r="U717" s="10">
        <f>IF(ActiveDatabase=Standby,Secondary!U717,Primary!U717)</f>
        <v>0</v>
      </c>
      <c r="V717" s="10">
        <f>IF(ActiveDatabase=Standby,Secondary!V717,Primary!V717)</f>
        <v>0</v>
      </c>
      <c r="W717" s="6">
        <f>IF(ActiveDatabase=Standby,Secondary!W717,Primary!W717)</f>
        <v>0</v>
      </c>
      <c r="X717" s="6">
        <f>IF(ActiveDatabase=Standby,Secondary!X717,Primary!X717)</f>
        <v>0</v>
      </c>
      <c r="Y717" s="12">
        <f>IF(ActiveDatabase=Standby,Secondary!Y717,Primary!Y1375)</f>
        <v>0</v>
      </c>
      <c r="Z717" s="12">
        <f>IF(ActiveDatabase=Standby,Secondary!Z717,Primary!Z1375)</f>
        <v>0</v>
      </c>
      <c r="AA717" s="9">
        <f>IF(ActiveDatabase=Standby,Secondary!AA717,Primary!AA1375)</f>
        <v>0</v>
      </c>
      <c r="AB717" s="12"/>
      <c r="AC717" s="6"/>
      <c r="AD717" s="6"/>
      <c r="AE717" s="7"/>
      <c r="AF717" s="7"/>
      <c r="AG717" s="7"/>
      <c r="AH717" s="7"/>
      <c r="AI717" s="7"/>
      <c r="AJ717" s="7"/>
      <c r="AK717" s="7"/>
      <c r="AL717" s="7"/>
      <c r="AM717" s="7"/>
      <c r="AN717" s="7"/>
      <c r="AO717" s="6"/>
      <c r="AP717" s="7"/>
      <c r="AQ717" s="7"/>
      <c r="AR717" s="6"/>
      <c r="AS717" s="7"/>
      <c r="AT717" s="7"/>
      <c r="AU717" s="7"/>
      <c r="AV717" s="7"/>
      <c r="AW717" s="7"/>
      <c r="AX717" s="7"/>
      <c r="AY717" s="7"/>
      <c r="AZ717" s="7"/>
      <c r="BA717" s="7"/>
      <c r="BB717" s="7"/>
      <c r="BC717" s="7"/>
      <c r="BD717" s="7"/>
      <c r="BE717" s="7"/>
      <c r="BF717" s="7"/>
      <c r="BG717" s="7"/>
    </row>
    <row r="718" customHeight="1" spans="1:59">
      <c r="A718" s="9" t="str">
        <f>IF(ActiveDatabase=Standby,Secondary!A718,Primary!A718)</f>
        <v>microTech 45</v>
      </c>
      <c r="B718" s="5" t="str">
        <f>IF(ActiveDatabase=Standby,Secondary!B718,Primary!B718)</f>
        <v>microTech 55</v>
      </c>
      <c r="C718" s="5" t="str">
        <f>IF(ActiveDatabase=Standby,Secondary!C718,Primary!C718)</f>
        <v>microTech 62</v>
      </c>
      <c r="D718" s="5" t="str">
        <f>IF(ActiveDatabase=Standby,Secondary!D718,Primary!D718)</f>
        <v>Settlement 34V</v>
      </c>
      <c r="E718" s="6" t="str">
        <f>IF(ActiveDatabase=Standby,Secondary!E718,Primary!E718)</f>
        <v>Settlement 34V</v>
      </c>
      <c r="F718" s="10">
        <f>IF(ActiveDatabase=Standby,Secondary!F718,Primary!F718)</f>
        <v>420.962127608</v>
      </c>
      <c r="G718" s="10">
        <f>IF(ActiveDatabase=Standby,Secondary!G718,Primary!G718)</f>
        <v>172.436136824999</v>
      </c>
      <c r="H718" s="10">
        <f>IF(ActiveDatabase=Standby,Secondary!H718,Primary!H718)</f>
        <v>890.822923225</v>
      </c>
      <c r="I718" s="13">
        <f>IF(ActiveDatabase=Standby,Secondary!I718,Primary!I718)</f>
        <v>0</v>
      </c>
      <c r="J718" s="13">
        <f>IF(ActiveDatabase=Standby,Secondary!J718,Primary!J718)</f>
        <v>0</v>
      </c>
      <c r="K718" s="13">
        <f>IF(ActiveDatabase=Standby,Secondary!K718,Primary!K718)</f>
        <v>0</v>
      </c>
      <c r="L718" s="13">
        <f>IF(ActiveDatabase=Standby,Secondary!L718,Primary!L718)</f>
        <v>0</v>
      </c>
      <c r="M718" s="7" t="b">
        <f>IF(ActiveDatabase=Standby,Secondary!M718,Primary!M718)</f>
        <v>0</v>
      </c>
      <c r="N718" s="10">
        <f>IF(ActiveDatabase=Standby,Secondary!N718,Primary!N718)</f>
        <v>0</v>
      </c>
      <c r="O718" s="10">
        <f>IF(ActiveDatabase=Standby,Secondary!O718,Primary!O718)</f>
        <v>0</v>
      </c>
      <c r="P718" s="10">
        <f>IF(ActiveDatabase=Standby,Secondary!P718,Primary!P718)</f>
        <v>0</v>
      </c>
      <c r="Q718" s="6">
        <f>IF(ActiveDatabase=Standby,Secondary!Q718,Primary!Q718)</f>
        <v>0</v>
      </c>
      <c r="R718" s="18">
        <f>IF(ActiveDatabase=Standby,Secondary!R718,Primary!R718)</f>
        <v>0</v>
      </c>
      <c r="S718" s="19">
        <f>IF(ActiveDatabase=Standby,Secondary!S718,Primary!S718)</f>
        <v>0</v>
      </c>
      <c r="T718" s="10">
        <f>IF(ActiveDatabase=Standby,Secondary!T718,Primary!T718)</f>
        <v>0</v>
      </c>
      <c r="U718" s="10">
        <f>IF(ActiveDatabase=Standby,Secondary!U718,Primary!U718)</f>
        <v>0</v>
      </c>
      <c r="V718" s="10">
        <f>IF(ActiveDatabase=Standby,Secondary!V718,Primary!V718)</f>
        <v>0</v>
      </c>
      <c r="W718" s="6">
        <f>IF(ActiveDatabase=Standby,Secondary!W718,Primary!W718)</f>
        <v>0</v>
      </c>
      <c r="X718" s="6">
        <f>IF(ActiveDatabase=Standby,Secondary!X718,Primary!X718)</f>
        <v>0</v>
      </c>
      <c r="Y718" s="12">
        <f>IF(ActiveDatabase=Standby,Secondary!Y718,Primary!Y1376)</f>
        <v>0</v>
      </c>
      <c r="Z718" s="12">
        <f>IF(ActiveDatabase=Standby,Secondary!Z718,Primary!Z1376)</f>
        <v>0</v>
      </c>
      <c r="AA718" s="12">
        <f>IF(ActiveDatabase=Standby,Secondary!AA718,Primary!AA1376)</f>
        <v>0</v>
      </c>
      <c r="AB718" s="12"/>
      <c r="AC718" s="6"/>
      <c r="AD718" s="6"/>
      <c r="AE718" s="7"/>
      <c r="AF718" s="7"/>
      <c r="AG718" s="7"/>
      <c r="AH718" s="7"/>
      <c r="AI718" s="7"/>
      <c r="AJ718" s="7"/>
      <c r="AK718" s="7"/>
      <c r="AL718" s="7"/>
      <c r="AM718" s="7"/>
      <c r="AN718" s="7"/>
      <c r="AO718" s="6"/>
      <c r="AP718" s="7"/>
      <c r="AQ718" s="7"/>
      <c r="AR718" s="6"/>
      <c r="AS718" s="7"/>
      <c r="AT718" s="7"/>
      <c r="AU718" s="7"/>
      <c r="AV718" s="7"/>
      <c r="AW718" s="7"/>
      <c r="AX718" s="7"/>
      <c r="AY718" s="7"/>
      <c r="AZ718" s="7"/>
      <c r="BA718" s="7"/>
      <c r="BB718" s="7"/>
      <c r="BC718" s="7"/>
      <c r="BD718" s="7"/>
      <c r="BE718" s="7"/>
      <c r="BF718" s="7"/>
      <c r="BG718" s="7"/>
    </row>
    <row r="719" customHeight="1" spans="1:59">
      <c r="A719" s="9" t="str">
        <f>IF(ActiveDatabase=Standby,Secondary!A719,Primary!A719)</f>
        <v>microTech 46</v>
      </c>
      <c r="B719" s="5" t="str">
        <f>IF(ActiveDatabase=Standby,Secondary!B719,Primary!B719)</f>
        <v>microTech 56</v>
      </c>
      <c r="C719" s="5" t="str">
        <f>IF(ActiveDatabase=Standby,Secondary!C719,Primary!C719)</f>
        <v>microTech 61</v>
      </c>
      <c r="D719" s="5" t="str">
        <f>IF(ActiveDatabase=Standby,Secondary!D719,Primary!D719)</f>
        <v>Settlement 35R</v>
      </c>
      <c r="E719" s="6" t="str">
        <f>IF(ActiveDatabase=Standby,Secondary!E719,Primary!E719)</f>
        <v>Settlement 35R</v>
      </c>
      <c r="F719" s="10">
        <f>IF(ActiveDatabase=Standby,Secondary!F719,Primary!F719)</f>
        <v>808.969948483</v>
      </c>
      <c r="G719" s="10">
        <f>IF(ActiveDatabase=Standby,Secondary!G719,Primary!G719)</f>
        <v>416.799127286</v>
      </c>
      <c r="H719" s="10">
        <f>IF(ActiveDatabase=Standby,Secondary!H719,Primary!H719)</f>
        <v>415.698917468</v>
      </c>
      <c r="I719" s="13">
        <f>IF(ActiveDatabase=Standby,Secondary!I719,Primary!I719)</f>
        <v>0</v>
      </c>
      <c r="J719" s="13">
        <f>IF(ActiveDatabase=Standby,Secondary!J719,Primary!J719)</f>
        <v>0</v>
      </c>
      <c r="K719" s="13">
        <f>IF(ActiveDatabase=Standby,Secondary!K719,Primary!K719)</f>
        <v>0</v>
      </c>
      <c r="L719" s="13">
        <f>IF(ActiveDatabase=Standby,Secondary!L719,Primary!L719)</f>
        <v>0</v>
      </c>
      <c r="M719" s="7" t="b">
        <f>IF(ActiveDatabase=Standby,Secondary!M719,Primary!M719)</f>
        <v>0</v>
      </c>
      <c r="N719" s="10">
        <f>IF(ActiveDatabase=Standby,Secondary!N719,Primary!N719)</f>
        <v>0</v>
      </c>
      <c r="O719" s="10">
        <f>IF(ActiveDatabase=Standby,Secondary!O719,Primary!O719)</f>
        <v>0</v>
      </c>
      <c r="P719" s="10">
        <f>IF(ActiveDatabase=Standby,Secondary!P719,Primary!P719)</f>
        <v>0</v>
      </c>
      <c r="Q719" s="6">
        <f>IF(ActiveDatabase=Standby,Secondary!Q719,Primary!Q719)</f>
        <v>0</v>
      </c>
      <c r="R719" s="18">
        <f>IF(ActiveDatabase=Standby,Secondary!R719,Primary!R719)</f>
        <v>0</v>
      </c>
      <c r="S719" s="19">
        <f>IF(ActiveDatabase=Standby,Secondary!S719,Primary!S719)</f>
        <v>0</v>
      </c>
      <c r="T719" s="10">
        <f>IF(ActiveDatabase=Standby,Secondary!T719,Primary!T719)</f>
        <v>0</v>
      </c>
      <c r="U719" s="10">
        <f>IF(ActiveDatabase=Standby,Secondary!U719,Primary!U719)</f>
        <v>0</v>
      </c>
      <c r="V719" s="10">
        <f>IF(ActiveDatabase=Standby,Secondary!V719,Primary!V719)</f>
        <v>0</v>
      </c>
      <c r="W719" s="6">
        <f>IF(ActiveDatabase=Standby,Secondary!W719,Primary!W719)</f>
        <v>0</v>
      </c>
      <c r="X719" s="6">
        <f>IF(ActiveDatabase=Standby,Secondary!X719,Primary!X719)</f>
        <v>0</v>
      </c>
      <c r="Y719" s="12">
        <f>IF(ActiveDatabase=Standby,Secondary!Y719,Primary!Y1377)</f>
        <v>0</v>
      </c>
      <c r="Z719" s="12">
        <f>IF(ActiveDatabase=Standby,Secondary!Z719,Primary!Z1377)</f>
        <v>0</v>
      </c>
      <c r="AA719" s="7">
        <f>IF(ActiveDatabase=Standby,Secondary!AA719,Primary!AA1377)</f>
        <v>0</v>
      </c>
      <c r="AB719" s="12"/>
      <c r="AC719" s="6"/>
      <c r="AD719" s="6"/>
      <c r="AE719" s="7"/>
      <c r="AF719" s="7"/>
      <c r="AG719" s="7"/>
      <c r="AH719" s="7"/>
      <c r="AI719" s="7"/>
      <c r="AJ719" s="7"/>
      <c r="AK719" s="7"/>
      <c r="AL719" s="7"/>
      <c r="AM719" s="7"/>
      <c r="AN719" s="7"/>
      <c r="AO719" s="6"/>
      <c r="AP719" s="7"/>
      <c r="AQ719" s="7"/>
      <c r="AR719" s="6"/>
      <c r="AS719" s="7"/>
      <c r="AT719" s="7"/>
      <c r="AU719" s="7"/>
      <c r="AV719" s="7"/>
      <c r="AW719" s="7"/>
      <c r="AX719" s="7"/>
      <c r="AY719" s="7"/>
      <c r="AZ719" s="7"/>
      <c r="BA719" s="7"/>
      <c r="BB719" s="7"/>
      <c r="BC719" s="7"/>
      <c r="BD719" s="7"/>
      <c r="BE719" s="7"/>
      <c r="BF719" s="7"/>
      <c r="BG719" s="7"/>
    </row>
    <row r="720" customHeight="1" spans="1:59">
      <c r="A720" s="9" t="str">
        <f>IF(ActiveDatabase=Standby,Secondary!A720,Primary!A720)</f>
        <v>microTech 47</v>
      </c>
      <c r="B720" s="5" t="str">
        <f>IF(ActiveDatabase=Standby,Secondary!B720,Primary!B720)</f>
        <v>microTech 57</v>
      </c>
      <c r="C720" s="5" t="str">
        <f>IF(ActiveDatabase=Standby,Secondary!C720,Primary!C720)</f>
        <v>microTech 56</v>
      </c>
      <c r="D720" s="5" t="str">
        <f>IF(ActiveDatabase=Standby,Secondary!D720,Primary!D720)</f>
        <v>Settlement 36T</v>
      </c>
      <c r="E720" s="6" t="str">
        <f>IF(ActiveDatabase=Standby,Secondary!E720,Primary!E720)</f>
        <v>Settlement 36T</v>
      </c>
      <c r="F720" s="10">
        <f>IF(ActiveDatabase=Standby,Secondary!F720,Primary!F720)</f>
        <v>559.167050289</v>
      </c>
      <c r="G720" s="10">
        <f>IF(ActiveDatabase=Standby,Secondary!G720,Primary!G720)</f>
        <v>386.753813170999</v>
      </c>
      <c r="H720" s="10">
        <f>IF(ActiveDatabase=Standby,Secondary!H720,Primary!H720)</f>
        <v>733.407084939999</v>
      </c>
      <c r="I720" s="13">
        <f>IF(ActiveDatabase=Standby,Secondary!I720,Primary!I720)</f>
        <v>0</v>
      </c>
      <c r="J720" s="13">
        <f>IF(ActiveDatabase=Standby,Secondary!J720,Primary!J720)</f>
        <v>0</v>
      </c>
      <c r="K720" s="13">
        <f>IF(ActiveDatabase=Standby,Secondary!K720,Primary!K720)</f>
        <v>0</v>
      </c>
      <c r="L720" s="13">
        <f>IF(ActiveDatabase=Standby,Secondary!L720,Primary!L720)</f>
        <v>0</v>
      </c>
      <c r="M720" s="7" t="b">
        <f>IF(ActiveDatabase=Standby,Secondary!M720,Primary!M720)</f>
        <v>0</v>
      </c>
      <c r="N720" s="10">
        <f>IF(ActiveDatabase=Standby,Secondary!N720,Primary!N720)</f>
        <v>0</v>
      </c>
      <c r="O720" s="10">
        <f>IF(ActiveDatabase=Standby,Secondary!O720,Primary!O720)</f>
        <v>0</v>
      </c>
      <c r="P720" s="10">
        <f>IF(ActiveDatabase=Standby,Secondary!P720,Primary!P720)</f>
        <v>0</v>
      </c>
      <c r="Q720" s="6">
        <f>IF(ActiveDatabase=Standby,Secondary!Q720,Primary!Q720)</f>
        <v>0</v>
      </c>
      <c r="R720" s="18">
        <f>IF(ActiveDatabase=Standby,Secondary!R720,Primary!R720)</f>
        <v>0</v>
      </c>
      <c r="S720" s="19">
        <f>IF(ActiveDatabase=Standby,Secondary!S720,Primary!S720)</f>
        <v>0</v>
      </c>
      <c r="T720" s="10">
        <f>IF(ActiveDatabase=Standby,Secondary!T720,Primary!T720)</f>
        <v>0</v>
      </c>
      <c r="U720" s="10">
        <f>IF(ActiveDatabase=Standby,Secondary!U720,Primary!U720)</f>
        <v>0</v>
      </c>
      <c r="V720" s="10">
        <f>IF(ActiveDatabase=Standby,Secondary!V720,Primary!V720)</f>
        <v>0</v>
      </c>
      <c r="W720" s="6">
        <f>IF(ActiveDatabase=Standby,Secondary!W720,Primary!W720)</f>
        <v>0</v>
      </c>
      <c r="X720" s="6">
        <f>IF(ActiveDatabase=Standby,Secondary!X720,Primary!X720)</f>
        <v>0</v>
      </c>
      <c r="Y720" s="12">
        <f>IF(ActiveDatabase=Standby,Secondary!Y720,Primary!Y1378)</f>
        <v>0</v>
      </c>
      <c r="Z720" s="12">
        <f>IF(ActiveDatabase=Standby,Secondary!Z720,Primary!Z1378)</f>
        <v>0</v>
      </c>
      <c r="AA720" s="7">
        <f>IF(ActiveDatabase=Standby,Secondary!AA720,Primary!AA1378)</f>
        <v>0</v>
      </c>
      <c r="AB720" s="12"/>
      <c r="AC720" s="6"/>
      <c r="AD720" s="6"/>
      <c r="AE720" s="7"/>
      <c r="AF720" s="7"/>
      <c r="AG720" s="7"/>
      <c r="AH720" s="7"/>
      <c r="AI720" s="7"/>
      <c r="AJ720" s="7"/>
      <c r="AK720" s="7"/>
      <c r="AL720" s="7"/>
      <c r="AM720" s="7"/>
      <c r="AN720" s="7"/>
      <c r="AO720" s="6"/>
      <c r="AP720" s="7"/>
      <c r="AQ720" s="7"/>
      <c r="AR720" s="6"/>
      <c r="AS720" s="7"/>
      <c r="AT720" s="7"/>
      <c r="AU720" s="7"/>
      <c r="AV720" s="7"/>
      <c r="AW720" s="7"/>
      <c r="AX720" s="7"/>
      <c r="AY720" s="7"/>
      <c r="AZ720" s="7"/>
      <c r="BA720" s="7"/>
      <c r="BB720" s="7"/>
      <c r="BC720" s="7"/>
      <c r="BD720" s="7"/>
      <c r="BE720" s="7"/>
      <c r="BF720" s="7"/>
      <c r="BG720" s="7"/>
    </row>
    <row r="721" customHeight="1" spans="1:59">
      <c r="A721" s="9" t="str">
        <f>IF(ActiveDatabase=Standby,Secondary!A721,Primary!A721)</f>
        <v>microTech 48</v>
      </c>
      <c r="B721" s="5" t="str">
        <f>IF(ActiveDatabase=Standby,Secondary!B721,Primary!B721)</f>
        <v>microTech 58</v>
      </c>
      <c r="C721" s="5" t="str">
        <f>IF(ActiveDatabase=Standby,Secondary!C721,Primary!C721)</f>
        <v>microTech 55</v>
      </c>
      <c r="D721" s="5" t="str">
        <f>IF(ActiveDatabase=Standby,Secondary!D721,Primary!D721)</f>
        <v>Settlement 36U</v>
      </c>
      <c r="E721" s="6" t="str">
        <f>IF(ActiveDatabase=Standby,Secondary!E721,Primary!E721)</f>
        <v>Settlement 36U</v>
      </c>
      <c r="F721" s="10">
        <f>IF(ActiveDatabase=Standby,Secondary!F721,Primary!F721)</f>
        <v>517.841119621</v>
      </c>
      <c r="G721" s="10">
        <f>IF(ActiveDatabase=Standby,Secondary!G721,Primary!G721)</f>
        <v>361.649282301</v>
      </c>
      <c r="H721" s="10">
        <f>IF(ActiveDatabase=Standby,Secondary!H721,Primary!H721)</f>
        <v>777.067530642</v>
      </c>
      <c r="I721" s="13">
        <f>IF(ActiveDatabase=Standby,Secondary!I721,Primary!I721)</f>
        <v>0</v>
      </c>
      <c r="J721" s="13">
        <f>IF(ActiveDatabase=Standby,Secondary!J721,Primary!J721)</f>
        <v>0</v>
      </c>
      <c r="K721" s="13">
        <f>IF(ActiveDatabase=Standby,Secondary!K721,Primary!K721)</f>
        <v>0</v>
      </c>
      <c r="L721" s="13">
        <f>IF(ActiveDatabase=Standby,Secondary!L721,Primary!L721)</f>
        <v>0</v>
      </c>
      <c r="M721" s="7" t="b">
        <f>IF(ActiveDatabase=Standby,Secondary!M721,Primary!M721)</f>
        <v>0</v>
      </c>
      <c r="N721" s="10">
        <f>IF(ActiveDatabase=Standby,Secondary!N721,Primary!N721)</f>
        <v>0</v>
      </c>
      <c r="O721" s="10">
        <f>IF(ActiveDatabase=Standby,Secondary!O721,Primary!O721)</f>
        <v>0</v>
      </c>
      <c r="P721" s="10">
        <f>IF(ActiveDatabase=Standby,Secondary!P721,Primary!P721)</f>
        <v>0</v>
      </c>
      <c r="Q721" s="6">
        <f>IF(ActiveDatabase=Standby,Secondary!Q721,Primary!Q721)</f>
        <v>0</v>
      </c>
      <c r="R721" s="18">
        <f>IF(ActiveDatabase=Standby,Secondary!R721,Primary!R721)</f>
        <v>0</v>
      </c>
      <c r="S721" s="19">
        <f>IF(ActiveDatabase=Standby,Secondary!S721,Primary!S721)</f>
        <v>0</v>
      </c>
      <c r="T721" s="10">
        <f>IF(ActiveDatabase=Standby,Secondary!T721,Primary!T721)</f>
        <v>0</v>
      </c>
      <c r="U721" s="10">
        <f>IF(ActiveDatabase=Standby,Secondary!U721,Primary!U721)</f>
        <v>0</v>
      </c>
      <c r="V721" s="10">
        <f>IF(ActiveDatabase=Standby,Secondary!V721,Primary!V721)</f>
        <v>0</v>
      </c>
      <c r="W721" s="6">
        <f>IF(ActiveDatabase=Standby,Secondary!W721,Primary!W721)</f>
        <v>0</v>
      </c>
      <c r="X721" s="6">
        <f>IF(ActiveDatabase=Standby,Secondary!X721,Primary!X721)</f>
        <v>0</v>
      </c>
      <c r="Y721" s="12">
        <f>IF(ActiveDatabase=Standby,Secondary!Y721,Primary!Y1379)</f>
        <v>0</v>
      </c>
      <c r="Z721" s="12">
        <f>IF(ActiveDatabase=Standby,Secondary!Z721,Primary!Z1379)</f>
        <v>0</v>
      </c>
      <c r="AA721" s="7">
        <f>IF(ActiveDatabase=Standby,Secondary!AA721,Primary!AA1379)</f>
        <v>0</v>
      </c>
      <c r="AB721" s="12"/>
      <c r="AC721" s="6"/>
      <c r="AD721" s="6"/>
      <c r="AE721" s="7"/>
      <c r="AF721" s="7"/>
      <c r="AG721" s="7"/>
      <c r="AH721" s="7"/>
      <c r="AI721" s="7"/>
      <c r="AJ721" s="7"/>
      <c r="AK721" s="7"/>
      <c r="AL721" s="7"/>
      <c r="AM721" s="7"/>
      <c r="AN721" s="7"/>
      <c r="AO721" s="6"/>
      <c r="AP721" s="7"/>
      <c r="AQ721" s="7"/>
      <c r="AR721" s="6"/>
      <c r="AS721" s="7"/>
      <c r="AT721" s="7"/>
      <c r="AU721" s="7"/>
      <c r="AV721" s="7"/>
      <c r="AW721" s="7"/>
      <c r="AX721" s="7"/>
      <c r="AY721" s="7"/>
      <c r="AZ721" s="7"/>
      <c r="BA721" s="7"/>
      <c r="BB721" s="7"/>
      <c r="BC721" s="7"/>
      <c r="BD721" s="7"/>
      <c r="BE721" s="7"/>
      <c r="BF721" s="7"/>
      <c r="BG721" s="7"/>
    </row>
    <row r="722" customHeight="1" spans="1:59">
      <c r="A722" s="9" t="str">
        <f>IF(ActiveDatabase=Standby,Secondary!A722,Primary!A722)</f>
        <v>microTech 49</v>
      </c>
      <c r="B722" s="5" t="str">
        <f>IF(ActiveDatabase=Standby,Secondary!B722,Primary!B722)</f>
        <v>microTech 59</v>
      </c>
      <c r="C722" s="5" t="str">
        <f>IF(ActiveDatabase=Standby,Secondary!C722,Primary!C722)</f>
        <v>microTech 57</v>
      </c>
      <c r="D722" s="5" t="str">
        <f>IF(ActiveDatabase=Standby,Secondary!D722,Primary!D722)</f>
        <v>Settlement 36X</v>
      </c>
      <c r="E722" s="6" t="str">
        <f>IF(ActiveDatabase=Standby,Secondary!E722,Primary!E722)</f>
        <v>Settlement 36X</v>
      </c>
      <c r="F722" s="10">
        <f>IF(ActiveDatabase=Standby,Secondary!F722,Primary!F722)</f>
        <v>242.686449006999</v>
      </c>
      <c r="G722" s="10">
        <f>IF(ActiveDatabase=Standby,Secondary!G722,Primary!G722)</f>
        <v>159.040409961</v>
      </c>
      <c r="H722" s="10">
        <f>IF(ActiveDatabase=Standby,Secondary!H722,Primary!H722)</f>
        <v>957.158602271</v>
      </c>
      <c r="I722" s="13">
        <f>IF(ActiveDatabase=Standby,Secondary!I722,Primary!I722)</f>
        <v>0</v>
      </c>
      <c r="J722" s="13">
        <f>IF(ActiveDatabase=Standby,Secondary!J722,Primary!J722)</f>
        <v>0</v>
      </c>
      <c r="K722" s="13">
        <f>IF(ActiveDatabase=Standby,Secondary!K722,Primary!K722)</f>
        <v>0</v>
      </c>
      <c r="L722" s="13">
        <f>IF(ActiveDatabase=Standby,Secondary!L722,Primary!L722)</f>
        <v>0</v>
      </c>
      <c r="M722" s="7" t="b">
        <f>IF(ActiveDatabase=Standby,Secondary!M722,Primary!M722)</f>
        <v>0</v>
      </c>
      <c r="N722" s="10">
        <f>IF(ActiveDatabase=Standby,Secondary!N722,Primary!N722)</f>
        <v>0</v>
      </c>
      <c r="O722" s="10">
        <f>IF(ActiveDatabase=Standby,Secondary!O722,Primary!O722)</f>
        <v>0</v>
      </c>
      <c r="P722" s="10">
        <f>IF(ActiveDatabase=Standby,Secondary!P722,Primary!P722)</f>
        <v>0</v>
      </c>
      <c r="Q722" s="6">
        <f>IF(ActiveDatabase=Standby,Secondary!Q722,Primary!Q722)</f>
        <v>0</v>
      </c>
      <c r="R722" s="18">
        <f>IF(ActiveDatabase=Standby,Secondary!R722,Primary!R722)</f>
        <v>0</v>
      </c>
      <c r="S722" s="19">
        <f>IF(ActiveDatabase=Standby,Secondary!S722,Primary!S722)</f>
        <v>0</v>
      </c>
      <c r="T722" s="10">
        <f>IF(ActiveDatabase=Standby,Secondary!T722,Primary!T722)</f>
        <v>0</v>
      </c>
      <c r="U722" s="10">
        <f>IF(ActiveDatabase=Standby,Secondary!U722,Primary!U722)</f>
        <v>0</v>
      </c>
      <c r="V722" s="10">
        <f>IF(ActiveDatabase=Standby,Secondary!V722,Primary!V722)</f>
        <v>0</v>
      </c>
      <c r="W722" s="6">
        <f>IF(ActiveDatabase=Standby,Secondary!W722,Primary!W722)</f>
        <v>0</v>
      </c>
      <c r="X722" s="6">
        <f>IF(ActiveDatabase=Standby,Secondary!X722,Primary!X722)</f>
        <v>0</v>
      </c>
      <c r="Y722" s="12">
        <f>IF(ActiveDatabase=Standby,Secondary!Y722,Primary!Y1380)</f>
        <v>0</v>
      </c>
      <c r="Z722" s="12">
        <f>IF(ActiveDatabase=Standby,Secondary!Z722,Primary!Z1380)</f>
        <v>0</v>
      </c>
      <c r="AA722" s="9">
        <f>IF(ActiveDatabase=Standby,Secondary!AA722,Primary!AA1380)</f>
        <v>0</v>
      </c>
      <c r="AB722" s="12"/>
      <c r="AC722" s="6"/>
      <c r="AD722" s="6"/>
      <c r="AE722" s="7"/>
      <c r="AF722" s="7"/>
      <c r="AG722" s="7"/>
      <c r="AH722" s="7"/>
      <c r="AI722" s="7"/>
      <c r="AJ722" s="7"/>
      <c r="AK722" s="7"/>
      <c r="AL722" s="7"/>
      <c r="AM722" s="7"/>
      <c r="AN722" s="7"/>
      <c r="AO722" s="6"/>
      <c r="AP722" s="7"/>
      <c r="AQ722" s="7"/>
      <c r="AR722" s="6"/>
      <c r="AS722" s="7"/>
      <c r="AT722" s="7"/>
      <c r="AU722" s="7"/>
      <c r="AV722" s="7"/>
      <c r="AW722" s="7"/>
      <c r="AX722" s="7"/>
      <c r="AY722" s="7"/>
      <c r="AZ722" s="7"/>
      <c r="BA722" s="7"/>
      <c r="BB722" s="7"/>
      <c r="BC722" s="7"/>
      <c r="BD722" s="7"/>
      <c r="BE722" s="7"/>
      <c r="BF722" s="7"/>
      <c r="BG722" s="7"/>
    </row>
    <row r="723" customHeight="1" spans="1:59">
      <c r="A723" s="9" t="str">
        <f>IF(ActiveDatabase=Standby,Secondary!A723,Primary!A723)</f>
        <v>microTech 50</v>
      </c>
      <c r="B723" s="5" t="str">
        <f>IF(ActiveDatabase=Standby,Secondary!B723,Primary!B723)</f>
        <v>microTech 60</v>
      </c>
      <c r="C723" s="5" t="str">
        <f>IF(ActiveDatabase=Standby,Secondary!C723,Primary!C723)</f>
        <v>microTech 48</v>
      </c>
      <c r="D723" s="5" t="str">
        <f>IF(ActiveDatabase=Standby,Secondary!D723,Primary!D723)</f>
        <v>Settlement 38U</v>
      </c>
      <c r="E723" s="6" t="str">
        <f>IF(ActiveDatabase=Standby,Secondary!E723,Primary!E723)</f>
        <v>Settlement 38U</v>
      </c>
      <c r="F723" s="10">
        <f>IF(ActiveDatabase=Standby,Secondary!F723,Primary!F723)</f>
        <v>488.986771232999</v>
      </c>
      <c r="G723" s="10">
        <f>IF(ActiveDatabase=Standby,Secondary!G723,Primary!G723)</f>
        <v>440.90672323</v>
      </c>
      <c r="H723" s="10">
        <f>IF(ActiveDatabase=Standby,Secondary!H723,Primary!H723)</f>
        <v>753.943556719999</v>
      </c>
      <c r="I723" s="13">
        <f>IF(ActiveDatabase=Standby,Secondary!I723,Primary!I723)</f>
        <v>0</v>
      </c>
      <c r="J723" s="13">
        <f>IF(ActiveDatabase=Standby,Secondary!J723,Primary!J723)</f>
        <v>0</v>
      </c>
      <c r="K723" s="13">
        <f>IF(ActiveDatabase=Standby,Secondary!K723,Primary!K723)</f>
        <v>0</v>
      </c>
      <c r="L723" s="13">
        <f>IF(ActiveDatabase=Standby,Secondary!L723,Primary!L723)</f>
        <v>0</v>
      </c>
      <c r="M723" s="7" t="b">
        <f>IF(ActiveDatabase=Standby,Secondary!M723,Primary!M723)</f>
        <v>0</v>
      </c>
      <c r="N723" s="10">
        <f>IF(ActiveDatabase=Standby,Secondary!N723,Primary!N723)</f>
        <v>0</v>
      </c>
      <c r="O723" s="10">
        <f>IF(ActiveDatabase=Standby,Secondary!O723,Primary!O723)</f>
        <v>0</v>
      </c>
      <c r="P723" s="10">
        <f>IF(ActiveDatabase=Standby,Secondary!P723,Primary!P723)</f>
        <v>0</v>
      </c>
      <c r="Q723" s="6">
        <f>IF(ActiveDatabase=Standby,Secondary!Q723,Primary!Q723)</f>
        <v>0</v>
      </c>
      <c r="R723" s="18">
        <f>IF(ActiveDatabase=Standby,Secondary!R723,Primary!R723)</f>
        <v>0</v>
      </c>
      <c r="S723" s="19">
        <f>IF(ActiveDatabase=Standby,Secondary!S723,Primary!S723)</f>
        <v>0</v>
      </c>
      <c r="T723" s="10">
        <f>IF(ActiveDatabase=Standby,Secondary!T723,Primary!T723)</f>
        <v>0</v>
      </c>
      <c r="U723" s="10">
        <f>IF(ActiveDatabase=Standby,Secondary!U723,Primary!U723)</f>
        <v>0</v>
      </c>
      <c r="V723" s="10">
        <f>IF(ActiveDatabase=Standby,Secondary!V723,Primary!V723)</f>
        <v>0</v>
      </c>
      <c r="W723" s="6">
        <f>IF(ActiveDatabase=Standby,Secondary!W723,Primary!W723)</f>
        <v>0</v>
      </c>
      <c r="X723" s="6">
        <f>IF(ActiveDatabase=Standby,Secondary!X723,Primary!X723)</f>
        <v>0</v>
      </c>
      <c r="Y723" s="12">
        <f>IF(ActiveDatabase=Standby,Secondary!Y723,Primary!Y1381)</f>
        <v>0</v>
      </c>
      <c r="Z723" s="12">
        <f>IF(ActiveDatabase=Standby,Secondary!Z723,Primary!Z1381)</f>
        <v>0</v>
      </c>
      <c r="AA723" s="9">
        <f>IF(ActiveDatabase=Standby,Secondary!AA723,Primary!AA1381)</f>
        <v>0</v>
      </c>
      <c r="AB723" s="12"/>
      <c r="AC723" s="6"/>
      <c r="AD723" s="6"/>
      <c r="AE723" s="7"/>
      <c r="AF723" s="7"/>
      <c r="AG723" s="7"/>
      <c r="AH723" s="7"/>
      <c r="AI723" s="7"/>
      <c r="AJ723" s="7"/>
      <c r="AK723" s="7"/>
      <c r="AL723" s="7"/>
      <c r="AM723" s="7"/>
      <c r="AN723" s="7"/>
      <c r="AO723" s="6"/>
      <c r="AP723" s="7"/>
      <c r="AQ723" s="7"/>
      <c r="AR723" s="6"/>
      <c r="AS723" s="7"/>
      <c r="AT723" s="7"/>
      <c r="AU723" s="7"/>
      <c r="AV723" s="7"/>
      <c r="AW723" s="7"/>
      <c r="AX723" s="7"/>
      <c r="AY723" s="7"/>
      <c r="AZ723" s="7"/>
      <c r="BA723" s="7"/>
      <c r="BB723" s="7"/>
      <c r="BC723" s="7"/>
      <c r="BD723" s="7"/>
      <c r="BE723" s="7"/>
      <c r="BF723" s="7"/>
      <c r="BG723" s="7"/>
    </row>
    <row r="724" customHeight="1" spans="1:59">
      <c r="A724" s="9" t="str">
        <f>IF(ActiveDatabase=Standby,Secondary!A724,Primary!A724)</f>
        <v>microTech 51</v>
      </c>
      <c r="B724" s="5" t="str">
        <f>IF(ActiveDatabase=Standby,Secondary!B724,Primary!B724)</f>
        <v>microTech 61</v>
      </c>
      <c r="C724" s="5" t="str">
        <f>IF(ActiveDatabase=Standby,Secondary!C724,Primary!C724)</f>
        <v>microTech 30</v>
      </c>
      <c r="D724" s="5" t="str">
        <f>IF(ActiveDatabase=Standby,Secondary!D724,Primary!D724)</f>
        <v>Settlement 50K</v>
      </c>
      <c r="E724" s="6" t="str">
        <f>IF(ActiveDatabase=Standby,Secondary!E724,Primary!E724)</f>
        <v>Settlement 50K</v>
      </c>
      <c r="F724" s="10">
        <f>IF(ActiveDatabase=Standby,Secondary!F724,Primary!F724)</f>
        <v>-458.492768339</v>
      </c>
      <c r="G724" s="10">
        <f>IF(ActiveDatabase=Standby,Secondary!G724,Primary!G724)</f>
        <v>807.380966956999</v>
      </c>
      <c r="H724" s="10">
        <f>IF(ActiveDatabase=Standby,Secondary!H724,Primary!H724)</f>
        <v>-371.930131793999</v>
      </c>
      <c r="I724" s="13">
        <f>IF(ActiveDatabase=Standby,Secondary!I724,Primary!I724)</f>
        <v>0</v>
      </c>
      <c r="J724" s="13">
        <f>IF(ActiveDatabase=Standby,Secondary!J724,Primary!J724)</f>
        <v>0</v>
      </c>
      <c r="K724" s="13">
        <f>IF(ActiveDatabase=Standby,Secondary!K724,Primary!K724)</f>
        <v>0</v>
      </c>
      <c r="L724" s="13">
        <f>IF(ActiveDatabase=Standby,Secondary!L724,Primary!L724)</f>
        <v>0</v>
      </c>
      <c r="M724" s="7" t="b">
        <f>IF(ActiveDatabase=Standby,Secondary!M724,Primary!M724)</f>
        <v>0</v>
      </c>
      <c r="N724" s="10">
        <f>IF(ActiveDatabase=Standby,Secondary!N724,Primary!N724)</f>
        <v>0</v>
      </c>
      <c r="O724" s="10">
        <f>IF(ActiveDatabase=Standby,Secondary!O724,Primary!O724)</f>
        <v>0</v>
      </c>
      <c r="P724" s="10">
        <f>IF(ActiveDatabase=Standby,Secondary!P724,Primary!P724)</f>
        <v>0</v>
      </c>
      <c r="Q724" s="6">
        <f>IF(ActiveDatabase=Standby,Secondary!Q724,Primary!Q724)</f>
        <v>0</v>
      </c>
      <c r="R724" s="18">
        <f>IF(ActiveDatabase=Standby,Secondary!R724,Primary!R724)</f>
        <v>0</v>
      </c>
      <c r="S724" s="19">
        <f>IF(ActiveDatabase=Standby,Secondary!S724,Primary!S724)</f>
        <v>0</v>
      </c>
      <c r="T724" s="10">
        <f>IF(ActiveDatabase=Standby,Secondary!T724,Primary!T724)</f>
        <v>0</v>
      </c>
      <c r="U724" s="10">
        <f>IF(ActiveDatabase=Standby,Secondary!U724,Primary!U724)</f>
        <v>0</v>
      </c>
      <c r="V724" s="10">
        <f>IF(ActiveDatabase=Standby,Secondary!V724,Primary!V724)</f>
        <v>0</v>
      </c>
      <c r="W724" s="6">
        <f>IF(ActiveDatabase=Standby,Secondary!W724,Primary!W724)</f>
        <v>0</v>
      </c>
      <c r="X724" s="6">
        <f>IF(ActiveDatabase=Standby,Secondary!X724,Primary!X724)</f>
        <v>0</v>
      </c>
      <c r="Y724" s="12">
        <f>IF(ActiveDatabase=Standby,Secondary!Y724,Primary!Y1382)</f>
        <v>0</v>
      </c>
      <c r="Z724" s="12">
        <f>IF(ActiveDatabase=Standby,Secondary!Z724,Primary!Z1382)</f>
        <v>0</v>
      </c>
      <c r="AA724" s="9">
        <f>IF(ActiveDatabase=Standby,Secondary!AA724,Primary!AA1382)</f>
        <v>0</v>
      </c>
      <c r="AB724" s="12"/>
      <c r="AC724" s="6"/>
      <c r="AD724" s="6"/>
      <c r="AE724" s="7"/>
      <c r="AF724" s="7"/>
      <c r="AG724" s="7"/>
      <c r="AH724" s="7"/>
      <c r="AI724" s="7"/>
      <c r="AJ724" s="7"/>
      <c r="AK724" s="7"/>
      <c r="AL724" s="7"/>
      <c r="AM724" s="7"/>
      <c r="AN724" s="7"/>
      <c r="AO724" s="6"/>
      <c r="AP724" s="7"/>
      <c r="AQ724" s="7"/>
      <c r="AR724" s="6"/>
      <c r="AS724" s="7"/>
      <c r="AT724" s="7"/>
      <c r="AU724" s="7"/>
      <c r="AV724" s="7"/>
      <c r="AW724" s="7"/>
      <c r="AX724" s="7"/>
      <c r="AY724" s="7"/>
      <c r="AZ724" s="7"/>
      <c r="BA724" s="7"/>
      <c r="BB724" s="7"/>
      <c r="BC724" s="7"/>
      <c r="BD724" s="7"/>
      <c r="BE724" s="7"/>
      <c r="BF724" s="7"/>
      <c r="BG724" s="7"/>
    </row>
    <row r="725" customHeight="1" spans="1:59">
      <c r="A725" s="9" t="str">
        <f>IF(ActiveDatabase=Standby,Secondary!A725,Primary!A725)</f>
        <v>microTech</v>
      </c>
      <c r="B725" s="5" t="str">
        <f>IF(ActiveDatabase=Standby,Secondary!B725,Primary!B725)</f>
        <v>microTech 63</v>
      </c>
      <c r="C725" s="5">
        <f>IF(ActiveDatabase=Standby,Secondary!C725,Primary!C725)</f>
        <v>0</v>
      </c>
      <c r="D725" s="5" t="str">
        <f>IF(ActiveDatabase=Standby,Secondary!D725,Primary!D725)</f>
        <v>Caves</v>
      </c>
      <c r="E725" s="6">
        <f>IF(ActiveDatabase=Standby,Secondary!E725,Primary!E725)</f>
        <v>0</v>
      </c>
      <c r="F725" s="10">
        <f>IF(ActiveDatabase=Standby,Secondary!F725,Primary!F725)</f>
        <v>0</v>
      </c>
      <c r="G725" s="10">
        <f>IF(ActiveDatabase=Standby,Secondary!G725,Primary!G725)</f>
        <v>0</v>
      </c>
      <c r="H725" s="10">
        <f>IF(ActiveDatabase=Standby,Secondary!H725,Primary!H725)</f>
        <v>0</v>
      </c>
      <c r="I725" s="13">
        <f>IF(ActiveDatabase=Standby,Secondary!I725,Primary!I725)</f>
        <v>0</v>
      </c>
      <c r="J725" s="13">
        <f>IF(ActiveDatabase=Standby,Secondary!J725,Primary!J725)</f>
        <v>0</v>
      </c>
      <c r="K725" s="13">
        <f>IF(ActiveDatabase=Standby,Secondary!K725,Primary!K725)</f>
        <v>0</v>
      </c>
      <c r="L725" s="13">
        <f>IF(ActiveDatabase=Standby,Secondary!L725,Primary!L725)</f>
        <v>0</v>
      </c>
      <c r="M725" s="7">
        <f>IF(ActiveDatabase=Standby,Secondary!M725,Primary!M725)</f>
        <v>0</v>
      </c>
      <c r="N725" s="10">
        <f>IF(ActiveDatabase=Standby,Secondary!N725,Primary!N725)</f>
        <v>0</v>
      </c>
      <c r="O725" s="10">
        <f>IF(ActiveDatabase=Standby,Secondary!O725,Primary!O725)</f>
        <v>0</v>
      </c>
      <c r="P725" s="10">
        <f>IF(ActiveDatabase=Standby,Secondary!P725,Primary!P725)</f>
        <v>0</v>
      </c>
      <c r="Q725" s="6">
        <f>IF(ActiveDatabase=Standby,Secondary!Q725,Primary!Q725)</f>
        <v>0</v>
      </c>
      <c r="R725" s="18">
        <f>IF(ActiveDatabase=Standby,Secondary!R725,Primary!R725)</f>
        <v>0</v>
      </c>
      <c r="S725" s="19">
        <f>IF(ActiveDatabase=Standby,Secondary!S725,Primary!S725)</f>
        <v>0</v>
      </c>
      <c r="T725" s="10">
        <f>IF(ActiveDatabase=Standby,Secondary!T725,Primary!T725)</f>
        <v>0</v>
      </c>
      <c r="U725" s="10">
        <f>IF(ActiveDatabase=Standby,Secondary!U725,Primary!U725)</f>
        <v>0</v>
      </c>
      <c r="V725" s="10">
        <f>IF(ActiveDatabase=Standby,Secondary!V725,Primary!V725)</f>
        <v>0</v>
      </c>
      <c r="W725" s="6">
        <f>IF(ActiveDatabase=Standby,Secondary!W725,Primary!W725)</f>
        <v>0</v>
      </c>
      <c r="X725" s="6">
        <f>IF(ActiveDatabase=Standby,Secondary!X725,Primary!X725)</f>
        <v>0</v>
      </c>
      <c r="Y725" s="12">
        <f>IF(ActiveDatabase=Standby,Secondary!Y725,Primary!Y1383)</f>
        <v>0</v>
      </c>
      <c r="Z725" s="12">
        <f>IF(ActiveDatabase=Standby,Secondary!Z725,Primary!Z1383)</f>
        <v>0</v>
      </c>
      <c r="AA725" s="9">
        <f>IF(ActiveDatabase=Standby,Secondary!AA725,Primary!AA1383)</f>
        <v>0</v>
      </c>
      <c r="AB725" s="12"/>
      <c r="AC725" s="6"/>
      <c r="AD725" s="6"/>
      <c r="AE725" s="7"/>
      <c r="AF725" s="7"/>
      <c r="AG725" s="7"/>
      <c r="AH725" s="7"/>
      <c r="AI725" s="7"/>
      <c r="AJ725" s="7"/>
      <c r="AK725" s="7"/>
      <c r="AL725" s="7"/>
      <c r="AM725" s="7"/>
      <c r="AN725" s="7"/>
      <c r="AO725" s="6"/>
      <c r="AP725" s="7"/>
      <c r="AQ725" s="7"/>
      <c r="AR725" s="6"/>
      <c r="AS725" s="7"/>
      <c r="AT725" s="7"/>
      <c r="AU725" s="7"/>
      <c r="AV725" s="7"/>
      <c r="AW725" s="7"/>
      <c r="AX725" s="7"/>
      <c r="AY725" s="7"/>
      <c r="AZ725" s="7"/>
      <c r="BA725" s="7"/>
      <c r="BB725" s="7"/>
      <c r="BC725" s="7"/>
      <c r="BD725" s="7"/>
      <c r="BE725" s="7"/>
      <c r="BF725" s="7"/>
      <c r="BG725" s="7"/>
    </row>
    <row r="726" customHeight="1" spans="1:59">
      <c r="A726" s="9" t="str">
        <f>IF(ActiveDatabase=Standby,Secondary!A726,Primary!A726)</f>
        <v>microTech 53</v>
      </c>
      <c r="B726" s="5" t="str">
        <f>IF(ActiveDatabase=Standby,Secondary!B726,Primary!B726)</f>
        <v>microTech 65</v>
      </c>
      <c r="C726" s="5" t="str">
        <f>IF(ActiveDatabase=Standby,Secondary!C726,Primary!C726)</f>
        <v>microTech 78</v>
      </c>
      <c r="D726" s="5" t="str">
        <f>IF(ActiveDatabase=Standby,Secondary!D726,Primary!D726)</f>
        <v>Rock Cave 27N</v>
      </c>
      <c r="E726" s="6" t="str">
        <f>IF(ActiveDatabase=Standby,Secondary!E726,Primary!E726)</f>
        <v>RCave 27N</v>
      </c>
      <c r="F726" s="10">
        <f>IF(ActiveDatabase=Standby,Secondary!F726,Primary!F726)</f>
        <v>914.966506301299</v>
      </c>
      <c r="G726" s="10">
        <f>IF(ActiveDatabase=Standby,Secondary!G726,Primary!G726)</f>
        <v>-405.202815290598</v>
      </c>
      <c r="H726" s="10">
        <f>IF(ActiveDatabase=Standby,Secondary!H726,Primary!H726)</f>
        <v>40.824910437408</v>
      </c>
      <c r="I726" s="13">
        <f>IF(ActiveDatabase=Standby,Secondary!I726,Primary!I726)</f>
        <v>0</v>
      </c>
      <c r="J726" s="13">
        <f>IF(ActiveDatabase=Standby,Secondary!J726,Primary!J726)</f>
        <v>0</v>
      </c>
      <c r="K726" s="13">
        <f>IF(ActiveDatabase=Standby,Secondary!K726,Primary!K726)</f>
        <v>0</v>
      </c>
      <c r="L726" s="13">
        <f>IF(ActiveDatabase=Standby,Secondary!L726,Primary!L726)</f>
        <v>0</v>
      </c>
      <c r="M726" s="7" t="b">
        <f>IF(ActiveDatabase=Standby,Secondary!M726,Primary!M726)</f>
        <v>0</v>
      </c>
      <c r="N726" s="10">
        <f>IF(ActiveDatabase=Standby,Secondary!N726,Primary!N726)</f>
        <v>0</v>
      </c>
      <c r="O726" s="10">
        <f>IF(ActiveDatabase=Standby,Secondary!O726,Primary!O726)</f>
        <v>0</v>
      </c>
      <c r="P726" s="10">
        <f>IF(ActiveDatabase=Standby,Secondary!P726,Primary!P726)</f>
        <v>0</v>
      </c>
      <c r="Q726" s="6">
        <f>IF(ActiveDatabase=Standby,Secondary!Q726,Primary!Q726)</f>
        <v>0</v>
      </c>
      <c r="R726" s="18">
        <f>IF(ActiveDatabase=Standby,Secondary!R726,Primary!R726)</f>
        <v>0</v>
      </c>
      <c r="S726" s="19">
        <f>IF(ActiveDatabase=Standby,Secondary!S726,Primary!S726)</f>
        <v>0</v>
      </c>
      <c r="T726" s="10">
        <f>IF(ActiveDatabase=Standby,Secondary!T726,Primary!T726)</f>
        <v>0</v>
      </c>
      <c r="U726" s="10">
        <f>IF(ActiveDatabase=Standby,Secondary!U726,Primary!U726)</f>
        <v>0</v>
      </c>
      <c r="V726" s="10">
        <f>IF(ActiveDatabase=Standby,Secondary!V726,Primary!V726)</f>
        <v>0</v>
      </c>
      <c r="W726" s="6">
        <f>IF(ActiveDatabase=Standby,Secondary!W726,Primary!W726)</f>
        <v>0</v>
      </c>
      <c r="X726" s="6">
        <f>IF(ActiveDatabase=Standby,Secondary!X726,Primary!X726)</f>
        <v>0</v>
      </c>
      <c r="Y726" s="12">
        <f>IF(ActiveDatabase=Standby,Secondary!Y726,Primary!Y1384)</f>
        <v>0</v>
      </c>
      <c r="Z726" s="12">
        <f>IF(ActiveDatabase=Standby,Secondary!Z726,Primary!Z1384)</f>
        <v>0</v>
      </c>
      <c r="AA726" s="9">
        <f>IF(ActiveDatabase=Standby,Secondary!AA726,Primary!AA1384)</f>
        <v>0</v>
      </c>
      <c r="AB726" s="12"/>
      <c r="AC726" s="6"/>
      <c r="AD726" s="6"/>
      <c r="AE726" s="7"/>
      <c r="AF726" s="7"/>
      <c r="AG726" s="7"/>
      <c r="AH726" s="7"/>
      <c r="AI726" s="7"/>
      <c r="AJ726" s="7"/>
      <c r="AK726" s="7"/>
      <c r="AL726" s="7"/>
      <c r="AM726" s="7"/>
      <c r="AN726" s="7"/>
      <c r="AO726" s="6"/>
      <c r="AP726" s="7"/>
      <c r="AQ726" s="7"/>
      <c r="AR726" s="6"/>
      <c r="AS726" s="7"/>
      <c r="AT726" s="7"/>
      <c r="AU726" s="7"/>
      <c r="AV726" s="7"/>
      <c r="AW726" s="7"/>
      <c r="AX726" s="7"/>
      <c r="AY726" s="7"/>
      <c r="AZ726" s="7"/>
      <c r="BA726" s="7"/>
      <c r="BB726" s="7"/>
      <c r="BC726" s="7"/>
      <c r="BD726" s="7"/>
      <c r="BE726" s="7"/>
      <c r="BF726" s="7"/>
      <c r="BG726" s="7"/>
    </row>
    <row r="727" customHeight="1" spans="1:59">
      <c r="A727" s="9" t="str">
        <f>IF(ActiveDatabase=Standby,Secondary!A727,Primary!A727)</f>
        <v>microTech 54</v>
      </c>
      <c r="B727" s="5" t="str">
        <f>IF(ActiveDatabase=Standby,Secondary!B727,Primary!B727)</f>
        <v>microTech 66</v>
      </c>
      <c r="C727" s="5" t="str">
        <f>IF(ActiveDatabase=Standby,Secondary!C727,Primary!C727)</f>
        <v>microTech 71</v>
      </c>
      <c r="D727" s="5" t="str">
        <f>IF(ActiveDatabase=Standby,Secondary!D727,Primary!D727)</f>
        <v>Rock Cave 30Q</v>
      </c>
      <c r="E727" s="6" t="str">
        <f>IF(ActiveDatabase=Standby,Secondary!E727,Primary!E727)</f>
        <v>RCave 30Q</v>
      </c>
      <c r="F727" s="10">
        <f>IF(ActiveDatabase=Standby,Secondary!F727,Primary!F727)</f>
        <v>940.940022176765</v>
      </c>
      <c r="G727" s="10">
        <f>IF(ActiveDatabase=Standby,Secondary!G727,Primary!G727)</f>
        <v>-23.790363417196</v>
      </c>
      <c r="H727" s="10">
        <f>IF(ActiveDatabase=Standby,Secondary!H727,Primary!H727)</f>
        <v>343.678614255491</v>
      </c>
      <c r="I727" s="13">
        <f>IF(ActiveDatabase=Standby,Secondary!I727,Primary!I727)</f>
        <v>0</v>
      </c>
      <c r="J727" s="13">
        <f>IF(ActiveDatabase=Standby,Secondary!J727,Primary!J727)</f>
        <v>0</v>
      </c>
      <c r="K727" s="13">
        <f>IF(ActiveDatabase=Standby,Secondary!K727,Primary!K727)</f>
        <v>0</v>
      </c>
      <c r="L727" s="13">
        <f>IF(ActiveDatabase=Standby,Secondary!L727,Primary!L727)</f>
        <v>0</v>
      </c>
      <c r="M727" s="7" t="b">
        <f>IF(ActiveDatabase=Standby,Secondary!M727,Primary!M727)</f>
        <v>0</v>
      </c>
      <c r="N727" s="10">
        <f>IF(ActiveDatabase=Standby,Secondary!N727,Primary!N727)</f>
        <v>0</v>
      </c>
      <c r="O727" s="10">
        <f>IF(ActiveDatabase=Standby,Secondary!O727,Primary!O727)</f>
        <v>0</v>
      </c>
      <c r="P727" s="10">
        <f>IF(ActiveDatabase=Standby,Secondary!P727,Primary!P727)</f>
        <v>0</v>
      </c>
      <c r="Q727" s="6">
        <f>IF(ActiveDatabase=Standby,Secondary!Q727,Primary!Q727)</f>
        <v>0</v>
      </c>
      <c r="R727" s="18">
        <f>IF(ActiveDatabase=Standby,Secondary!R727,Primary!R727)</f>
        <v>0</v>
      </c>
      <c r="S727" s="19">
        <f>IF(ActiveDatabase=Standby,Secondary!S727,Primary!S727)</f>
        <v>0</v>
      </c>
      <c r="T727" s="10">
        <f>IF(ActiveDatabase=Standby,Secondary!T727,Primary!T727)</f>
        <v>0</v>
      </c>
      <c r="U727" s="10">
        <f>IF(ActiveDatabase=Standby,Secondary!U727,Primary!U727)</f>
        <v>0</v>
      </c>
      <c r="V727" s="10">
        <f>IF(ActiveDatabase=Standby,Secondary!V727,Primary!V727)</f>
        <v>0</v>
      </c>
      <c r="W727" s="6">
        <f>IF(ActiveDatabase=Standby,Secondary!W727,Primary!W727)</f>
        <v>0</v>
      </c>
      <c r="X727" s="6">
        <f>IF(ActiveDatabase=Standby,Secondary!X727,Primary!X727)</f>
        <v>0</v>
      </c>
      <c r="Y727" s="12">
        <f>IF(ActiveDatabase=Standby,Secondary!Y727,Primary!Y1385)</f>
        <v>0</v>
      </c>
      <c r="Z727" s="12">
        <f>IF(ActiveDatabase=Standby,Secondary!Z727,Primary!Z1385)</f>
        <v>0</v>
      </c>
      <c r="AA727" s="9">
        <f>IF(ActiveDatabase=Standby,Secondary!AA727,Primary!AA1385)</f>
        <v>0</v>
      </c>
      <c r="AB727" s="12"/>
      <c r="AC727" s="6"/>
      <c r="AD727" s="6"/>
      <c r="AE727" s="7"/>
      <c r="AF727" s="7"/>
      <c r="AG727" s="7"/>
      <c r="AH727" s="7"/>
      <c r="AI727" s="7"/>
      <c r="AJ727" s="7"/>
      <c r="AK727" s="7"/>
      <c r="AL727" s="7"/>
      <c r="AM727" s="7"/>
      <c r="AN727" s="7"/>
      <c r="AO727" s="6"/>
      <c r="AP727" s="7"/>
      <c r="AQ727" s="7"/>
      <c r="AR727" s="6"/>
      <c r="AS727" s="7"/>
      <c r="AT727" s="7"/>
      <c r="AU727" s="7"/>
      <c r="AV727" s="7"/>
      <c r="AW727" s="7"/>
      <c r="AX727" s="7"/>
      <c r="AY727" s="7"/>
      <c r="AZ727" s="7"/>
      <c r="BA727" s="7"/>
      <c r="BB727" s="7"/>
      <c r="BC727" s="7"/>
      <c r="BD727" s="7"/>
      <c r="BE727" s="7"/>
      <c r="BF727" s="7"/>
      <c r="BG727" s="7"/>
    </row>
    <row r="728" customHeight="1" spans="1:59">
      <c r="A728" s="9" t="str">
        <f>IF(ActiveDatabase=Standby,Secondary!A728,Primary!A728)</f>
        <v>microTech 55</v>
      </c>
      <c r="B728" s="5" t="str">
        <f>IF(ActiveDatabase=Standby,Secondary!B728,Primary!B728)</f>
        <v>microTech 67</v>
      </c>
      <c r="C728" s="5" t="str">
        <f>IF(ActiveDatabase=Standby,Secondary!C728,Primary!C728)</f>
        <v>microTech 58</v>
      </c>
      <c r="D728" s="5" t="str">
        <f>IF(ActiveDatabase=Standby,Secondary!D728,Primary!D728)</f>
        <v>Rock Cave 35S</v>
      </c>
      <c r="E728" s="6" t="str">
        <f>IF(ActiveDatabase=Standby,Secondary!E728,Primary!E728)</f>
        <v>RCave 35S</v>
      </c>
      <c r="F728" s="10">
        <f>IF(ActiveDatabase=Standby,Secondary!F728,Primary!F728)</f>
        <v>679.115112802588</v>
      </c>
      <c r="G728" s="10">
        <f>IF(ActiveDatabase=Standby,Secondary!G728,Primary!G728)</f>
        <v>379.184993189556</v>
      </c>
      <c r="H728" s="10">
        <f>IF(ActiveDatabase=Standby,Secondary!H728,Primary!H728)</f>
        <v>630.074051183402</v>
      </c>
      <c r="I728" s="13">
        <f>IF(ActiveDatabase=Standby,Secondary!I728,Primary!I728)</f>
        <v>0</v>
      </c>
      <c r="J728" s="13">
        <f>IF(ActiveDatabase=Standby,Secondary!J728,Primary!J728)</f>
        <v>0</v>
      </c>
      <c r="K728" s="13">
        <f>IF(ActiveDatabase=Standby,Secondary!K728,Primary!K728)</f>
        <v>0</v>
      </c>
      <c r="L728" s="13">
        <f>IF(ActiveDatabase=Standby,Secondary!L728,Primary!L728)</f>
        <v>0</v>
      </c>
      <c r="M728" s="7" t="b">
        <f>IF(ActiveDatabase=Standby,Secondary!M728,Primary!M728)</f>
        <v>0</v>
      </c>
      <c r="N728" s="10">
        <f>IF(ActiveDatabase=Standby,Secondary!N728,Primary!N728)</f>
        <v>0</v>
      </c>
      <c r="O728" s="10">
        <f>IF(ActiveDatabase=Standby,Secondary!O728,Primary!O728)</f>
        <v>0</v>
      </c>
      <c r="P728" s="10">
        <f>IF(ActiveDatabase=Standby,Secondary!P728,Primary!P728)</f>
        <v>0</v>
      </c>
      <c r="Q728" s="6">
        <f>IF(ActiveDatabase=Standby,Secondary!Q728,Primary!Q728)</f>
        <v>0</v>
      </c>
      <c r="R728" s="18">
        <f>IF(ActiveDatabase=Standby,Secondary!R728,Primary!R728)</f>
        <v>0</v>
      </c>
      <c r="S728" s="19">
        <f>IF(ActiveDatabase=Standby,Secondary!S728,Primary!S728)</f>
        <v>0</v>
      </c>
      <c r="T728" s="10">
        <f>IF(ActiveDatabase=Standby,Secondary!T728,Primary!T728)</f>
        <v>0</v>
      </c>
      <c r="U728" s="10">
        <f>IF(ActiveDatabase=Standby,Secondary!U728,Primary!U728)</f>
        <v>0</v>
      </c>
      <c r="V728" s="10">
        <f>IF(ActiveDatabase=Standby,Secondary!V728,Primary!V728)</f>
        <v>0</v>
      </c>
      <c r="W728" s="6">
        <f>IF(ActiveDatabase=Standby,Secondary!W728,Primary!W728)</f>
        <v>0</v>
      </c>
      <c r="X728" s="6">
        <f>IF(ActiveDatabase=Standby,Secondary!X728,Primary!X728)</f>
        <v>0</v>
      </c>
      <c r="Y728" s="12">
        <f>IF(ActiveDatabase=Standby,Secondary!Y728,Primary!Y1386)</f>
        <v>0</v>
      </c>
      <c r="Z728" s="12">
        <f>IF(ActiveDatabase=Standby,Secondary!Z728,Primary!Z1386)</f>
        <v>0</v>
      </c>
      <c r="AA728" s="7">
        <f>IF(ActiveDatabase=Standby,Secondary!AA728,Primary!AA1386)</f>
        <v>0</v>
      </c>
      <c r="AB728" s="12"/>
      <c r="AC728" s="6"/>
      <c r="AD728" s="6"/>
      <c r="AE728" s="7"/>
      <c r="AF728" s="7"/>
      <c r="AG728" s="7"/>
      <c r="AH728" s="7"/>
      <c r="AI728" s="7"/>
      <c r="AJ728" s="7"/>
      <c r="AK728" s="7"/>
      <c r="AL728" s="7"/>
      <c r="AM728" s="7"/>
      <c r="AN728" s="7"/>
      <c r="AO728" s="6"/>
      <c r="AP728" s="7"/>
      <c r="AQ728" s="7"/>
      <c r="AR728" s="6"/>
      <c r="AS728" s="7"/>
      <c r="AT728" s="7"/>
      <c r="AU728" s="7"/>
      <c r="AV728" s="7"/>
      <c r="AW728" s="7"/>
      <c r="AX728" s="7"/>
      <c r="AY728" s="7"/>
      <c r="AZ728" s="7"/>
      <c r="BA728" s="7"/>
      <c r="BB728" s="7"/>
      <c r="BC728" s="7"/>
      <c r="BD728" s="7"/>
      <c r="BE728" s="7"/>
      <c r="BF728" s="7"/>
      <c r="BG728" s="7"/>
    </row>
    <row r="729" customHeight="1" spans="1:59">
      <c r="A729" s="9" t="str">
        <f>IF(ActiveDatabase=Standby,Secondary!A729,Primary!A729)</f>
        <v>microTech 56</v>
      </c>
      <c r="B729" s="5" t="str">
        <f>IF(ActiveDatabase=Standby,Secondary!B729,Primary!B729)</f>
        <v>microTech 68</v>
      </c>
      <c r="C729" s="5" t="str">
        <f>IF(ActiveDatabase=Standby,Secondary!C729,Primary!C729)</f>
        <v>microTech 47</v>
      </c>
      <c r="D729" s="5" t="str">
        <f>IF(ActiveDatabase=Standby,Secondary!D729,Primary!D729)</f>
        <v>Rock Cave 38U</v>
      </c>
      <c r="E729" s="6" t="str">
        <f>IF(ActiveDatabase=Standby,Secondary!E729,Primary!E729)</f>
        <v>RCave 38U</v>
      </c>
      <c r="F729" s="10">
        <f>IF(ActiveDatabase=Standby,Secondary!F729,Primary!F729)</f>
        <v>495.284955224999</v>
      </c>
      <c r="G729" s="10">
        <f>IF(ActiveDatabase=Standby,Secondary!G729,Primary!G729)</f>
        <v>446.712846874999</v>
      </c>
      <c r="H729" s="10">
        <f>IF(ActiveDatabase=Standby,Secondary!H729,Primary!H729)</f>
        <v>749.188305691999</v>
      </c>
      <c r="I729" s="13">
        <f>IF(ActiveDatabase=Standby,Secondary!I729,Primary!I729)</f>
        <v>0</v>
      </c>
      <c r="J729" s="13">
        <f>IF(ActiveDatabase=Standby,Secondary!J729,Primary!J729)</f>
        <v>0</v>
      </c>
      <c r="K729" s="13">
        <f>IF(ActiveDatabase=Standby,Secondary!K729,Primary!K729)</f>
        <v>0</v>
      </c>
      <c r="L729" s="13">
        <f>IF(ActiveDatabase=Standby,Secondary!L729,Primary!L729)</f>
        <v>0</v>
      </c>
      <c r="M729" s="7" t="b">
        <f>IF(ActiveDatabase=Standby,Secondary!M729,Primary!M729)</f>
        <v>0</v>
      </c>
      <c r="N729" s="10">
        <f>IF(ActiveDatabase=Standby,Secondary!N729,Primary!N729)</f>
        <v>0</v>
      </c>
      <c r="O729" s="10">
        <f>IF(ActiveDatabase=Standby,Secondary!O729,Primary!O729)</f>
        <v>0</v>
      </c>
      <c r="P729" s="10">
        <f>IF(ActiveDatabase=Standby,Secondary!P729,Primary!P729)</f>
        <v>0</v>
      </c>
      <c r="Q729" s="6">
        <f>IF(ActiveDatabase=Standby,Secondary!Q729,Primary!Q729)</f>
        <v>0</v>
      </c>
      <c r="R729" s="18">
        <f>IF(ActiveDatabase=Standby,Secondary!R729,Primary!R729)</f>
        <v>0</v>
      </c>
      <c r="S729" s="19">
        <f>IF(ActiveDatabase=Standby,Secondary!S729,Primary!S729)</f>
        <v>0</v>
      </c>
      <c r="T729" s="10">
        <f>IF(ActiveDatabase=Standby,Secondary!T729,Primary!T729)</f>
        <v>0</v>
      </c>
      <c r="U729" s="10">
        <f>IF(ActiveDatabase=Standby,Secondary!U729,Primary!U729)</f>
        <v>0</v>
      </c>
      <c r="V729" s="10">
        <f>IF(ActiveDatabase=Standby,Secondary!V729,Primary!V729)</f>
        <v>0</v>
      </c>
      <c r="W729" s="6">
        <f>IF(ActiveDatabase=Standby,Secondary!W729,Primary!W729)</f>
        <v>0</v>
      </c>
      <c r="X729" s="6">
        <f>IF(ActiveDatabase=Standby,Secondary!X729,Primary!X729)</f>
        <v>0</v>
      </c>
      <c r="Y729" s="12">
        <f>IF(ActiveDatabase=Standby,Secondary!Y729,Primary!Y1387)</f>
        <v>0</v>
      </c>
      <c r="Z729" s="12">
        <f>IF(ActiveDatabase=Standby,Secondary!Z729,Primary!Z1387)</f>
        <v>0</v>
      </c>
      <c r="AA729" s="7">
        <f>IF(ActiveDatabase=Standby,Secondary!AA729,Primary!AA1387)</f>
        <v>0</v>
      </c>
      <c r="AB729" s="12"/>
      <c r="AC729" s="6"/>
      <c r="AD729" s="6"/>
      <c r="AE729" s="7"/>
      <c r="AF729" s="7"/>
      <c r="AG729" s="7"/>
      <c r="AH729" s="7"/>
      <c r="AI729" s="7"/>
      <c r="AJ729" s="7"/>
      <c r="AK729" s="7"/>
      <c r="AL729" s="7"/>
      <c r="AM729" s="7"/>
      <c r="AN729" s="7"/>
      <c r="AO729" s="6"/>
      <c r="AP729" s="7"/>
      <c r="AQ729" s="7"/>
      <c r="AR729" s="6"/>
      <c r="AS729" s="7"/>
      <c r="AT729" s="7"/>
      <c r="AU729" s="7"/>
      <c r="AV729" s="7"/>
      <c r="AW729" s="7"/>
      <c r="AX729" s="7"/>
      <c r="AY729" s="7"/>
      <c r="AZ729" s="7"/>
      <c r="BA729" s="7"/>
      <c r="BB729" s="7"/>
      <c r="BC729" s="7"/>
      <c r="BD729" s="7"/>
      <c r="BE729" s="7"/>
      <c r="BF729" s="7"/>
      <c r="BG729" s="7"/>
    </row>
    <row r="730" customHeight="1" spans="1:59">
      <c r="A730" s="9" t="str">
        <f>IF(ActiveDatabase=Standby,Secondary!A730,Primary!A730)</f>
        <v>microTech 52</v>
      </c>
      <c r="B730" s="5" t="str">
        <f>IF(ActiveDatabase=Standby,Secondary!B730,Primary!B730)</f>
        <v>microTech 64</v>
      </c>
      <c r="C730" s="5" t="str">
        <f>IF(ActiveDatabase=Standby,Secondary!C730,Primary!C730)</f>
        <v>microTech 82</v>
      </c>
      <c r="D730" s="5" t="str">
        <f>IF(ActiveDatabase=Standby,Secondary!D730,Primary!D730)</f>
        <v>Rock Cave 22W</v>
      </c>
      <c r="E730" s="6" t="str">
        <f>IF(ActiveDatabase=Standby,Secondary!E730,Primary!E730)</f>
        <v>RCave 22W</v>
      </c>
      <c r="F730" s="10">
        <f>IF(ActiveDatabase=Standby,Secondary!F730,Primary!F730)</f>
        <v>209.18863974215</v>
      </c>
      <c r="G730" s="10">
        <f>IF(ActiveDatabase=Standby,Secondary!G730,Primary!G730)</f>
        <v>-260.050155152496</v>
      </c>
      <c r="H730" s="10">
        <f>IF(ActiveDatabase=Standby,Secondary!H730,Primary!H730)</f>
        <v>944.768433512743</v>
      </c>
      <c r="I730" s="13">
        <f>IF(ActiveDatabase=Standby,Secondary!I730,Primary!I730)</f>
        <v>0</v>
      </c>
      <c r="J730" s="13">
        <f>IF(ActiveDatabase=Standby,Secondary!J730,Primary!J730)</f>
        <v>0</v>
      </c>
      <c r="K730" s="13">
        <f>IF(ActiveDatabase=Standby,Secondary!K730,Primary!K730)</f>
        <v>0</v>
      </c>
      <c r="L730" s="13">
        <f>IF(ActiveDatabase=Standby,Secondary!L730,Primary!L730)</f>
        <v>0</v>
      </c>
      <c r="M730" s="7" t="b">
        <f>IF(ActiveDatabase=Standby,Secondary!M730,Primary!M730)</f>
        <v>0</v>
      </c>
      <c r="N730" s="10">
        <f>IF(ActiveDatabase=Standby,Secondary!N730,Primary!N730)</f>
        <v>0</v>
      </c>
      <c r="O730" s="10">
        <f>IF(ActiveDatabase=Standby,Secondary!O730,Primary!O730)</f>
        <v>0</v>
      </c>
      <c r="P730" s="10">
        <f>IF(ActiveDatabase=Standby,Secondary!P730,Primary!P730)</f>
        <v>0</v>
      </c>
      <c r="Q730" s="6">
        <f>IF(ActiveDatabase=Standby,Secondary!Q730,Primary!Q730)</f>
        <v>0</v>
      </c>
      <c r="R730" s="18">
        <f>IF(ActiveDatabase=Standby,Secondary!R730,Primary!R730)</f>
        <v>0</v>
      </c>
      <c r="S730" s="19">
        <f>IF(ActiveDatabase=Standby,Secondary!S730,Primary!S730)</f>
        <v>0</v>
      </c>
      <c r="T730" s="10">
        <f>IF(ActiveDatabase=Standby,Secondary!T730,Primary!T730)</f>
        <v>0</v>
      </c>
      <c r="U730" s="10">
        <f>IF(ActiveDatabase=Standby,Secondary!U730,Primary!U730)</f>
        <v>0</v>
      </c>
      <c r="V730" s="10">
        <f>IF(ActiveDatabase=Standby,Secondary!V730,Primary!V730)</f>
        <v>0</v>
      </c>
      <c r="W730" s="6">
        <f>IF(ActiveDatabase=Standby,Secondary!W730,Primary!W730)</f>
        <v>0</v>
      </c>
      <c r="X730" s="6">
        <f>IF(ActiveDatabase=Standby,Secondary!X730,Primary!X730)</f>
        <v>0</v>
      </c>
      <c r="Y730" s="12">
        <f>IF(ActiveDatabase=Standby,Secondary!Y730,Primary!Y1388)</f>
        <v>0</v>
      </c>
      <c r="Z730" s="12">
        <f>IF(ActiveDatabase=Standby,Secondary!Z730,Primary!Z1388)</f>
        <v>0</v>
      </c>
      <c r="AA730" s="7">
        <f>IF(ActiveDatabase=Standby,Secondary!AA730,Primary!AA1388)</f>
        <v>0</v>
      </c>
      <c r="AB730" s="12"/>
      <c r="AC730" s="6"/>
      <c r="AD730" s="6"/>
      <c r="AE730" s="7"/>
      <c r="AF730" s="7"/>
      <c r="AG730" s="7"/>
      <c r="AH730" s="7"/>
      <c r="AI730" s="7"/>
      <c r="AJ730" s="7"/>
      <c r="AK730" s="7"/>
      <c r="AL730" s="7"/>
      <c r="AM730" s="7"/>
      <c r="AN730" s="7"/>
      <c r="AO730" s="6"/>
      <c r="AP730" s="7"/>
      <c r="AQ730" s="7"/>
      <c r="AR730" s="6"/>
      <c r="AS730" s="7"/>
      <c r="AT730" s="7"/>
      <c r="AU730" s="7"/>
      <c r="AV730" s="7"/>
      <c r="AW730" s="7"/>
      <c r="AX730" s="7"/>
      <c r="AY730" s="7"/>
      <c r="AZ730" s="7"/>
      <c r="BA730" s="7"/>
      <c r="BB730" s="7"/>
      <c r="BC730" s="7"/>
      <c r="BD730" s="7"/>
      <c r="BE730" s="7"/>
      <c r="BF730" s="7"/>
      <c r="BG730" s="7"/>
    </row>
    <row r="731" customHeight="1" spans="1:59">
      <c r="A731" s="9" t="str">
        <f>IF(ActiveDatabase=Standby,Secondary!A731,Primary!A731)</f>
        <v>microTech 57</v>
      </c>
      <c r="B731" s="5" t="str">
        <f>IF(ActiveDatabase=Standby,Secondary!B731,Primary!B731)</f>
        <v>microTech 69</v>
      </c>
      <c r="C731" s="5" t="str">
        <f>IF(ActiveDatabase=Standby,Secondary!C731,Primary!C731)</f>
        <v>microTech 31</v>
      </c>
      <c r="D731" s="5" t="str">
        <f>IF(ActiveDatabase=Standby,Secondary!D731,Primary!D731)</f>
        <v>Rock Cave 50M</v>
      </c>
      <c r="E731" s="6" t="str">
        <f>IF(ActiveDatabase=Standby,Secondary!E731,Primary!E731)</f>
        <v>RCave 50M</v>
      </c>
      <c r="F731" s="10">
        <f>IF(ActiveDatabase=Standby,Secondary!F731,Primary!F731)</f>
        <v>-428.145065818594</v>
      </c>
      <c r="G731" s="10">
        <f>IF(ActiveDatabase=Standby,Secondary!G731,Primary!G731)</f>
        <v>903.758319505118</v>
      </c>
      <c r="H731" s="10">
        <f>IF(ActiveDatabase=Standby,Secondary!H731,Primary!H731)</f>
        <v>-31.123730709993</v>
      </c>
      <c r="I731" s="13">
        <f>IF(ActiveDatabase=Standby,Secondary!I731,Primary!I731)</f>
        <v>0</v>
      </c>
      <c r="J731" s="13">
        <f>IF(ActiveDatabase=Standby,Secondary!J731,Primary!J731)</f>
        <v>0</v>
      </c>
      <c r="K731" s="13">
        <f>IF(ActiveDatabase=Standby,Secondary!K731,Primary!K731)</f>
        <v>0</v>
      </c>
      <c r="L731" s="13">
        <f>IF(ActiveDatabase=Standby,Secondary!L731,Primary!L731)</f>
        <v>0</v>
      </c>
      <c r="M731" s="7" t="b">
        <f>IF(ActiveDatabase=Standby,Secondary!M731,Primary!M731)</f>
        <v>0</v>
      </c>
      <c r="N731" s="10">
        <f>IF(ActiveDatabase=Standby,Secondary!N731,Primary!N731)</f>
        <v>0</v>
      </c>
      <c r="O731" s="10">
        <f>IF(ActiveDatabase=Standby,Secondary!O731,Primary!O731)</f>
        <v>0</v>
      </c>
      <c r="P731" s="10">
        <f>IF(ActiveDatabase=Standby,Secondary!P731,Primary!P731)</f>
        <v>0</v>
      </c>
      <c r="Q731" s="6">
        <f>IF(ActiveDatabase=Standby,Secondary!Q731,Primary!Q731)</f>
        <v>0</v>
      </c>
      <c r="R731" s="18">
        <f>IF(ActiveDatabase=Standby,Secondary!R731,Primary!R731)</f>
        <v>0</v>
      </c>
      <c r="S731" s="19">
        <f>IF(ActiveDatabase=Standby,Secondary!S731,Primary!S731)</f>
        <v>0</v>
      </c>
      <c r="T731" s="10">
        <f>IF(ActiveDatabase=Standby,Secondary!T731,Primary!T731)</f>
        <v>0</v>
      </c>
      <c r="U731" s="10">
        <f>IF(ActiveDatabase=Standby,Secondary!U731,Primary!U731)</f>
        <v>0</v>
      </c>
      <c r="V731" s="10">
        <f>IF(ActiveDatabase=Standby,Secondary!V731,Primary!V731)</f>
        <v>0</v>
      </c>
      <c r="W731" s="6">
        <f>IF(ActiveDatabase=Standby,Secondary!W731,Primary!W731)</f>
        <v>0</v>
      </c>
      <c r="X731" s="6">
        <f>IF(ActiveDatabase=Standby,Secondary!X731,Primary!X731)</f>
        <v>0</v>
      </c>
      <c r="Y731" s="12">
        <f>IF(ActiveDatabase=Standby,Secondary!Y731,Primary!Y1389)</f>
        <v>0</v>
      </c>
      <c r="Z731" s="12">
        <f>IF(ActiveDatabase=Standby,Secondary!Z731,Primary!Z1389)</f>
        <v>0</v>
      </c>
      <c r="AA731" s="9">
        <f>IF(ActiveDatabase=Standby,Secondary!AA731,Primary!AA1389)</f>
        <v>0</v>
      </c>
      <c r="AB731" s="12"/>
      <c r="AC731" s="6"/>
      <c r="AD731" s="6"/>
      <c r="AE731" s="7"/>
      <c r="AF731" s="7"/>
      <c r="AG731" s="7"/>
      <c r="AH731" s="7"/>
      <c r="AI731" s="7"/>
      <c r="AJ731" s="7"/>
      <c r="AK731" s="7"/>
      <c r="AL731" s="7"/>
      <c r="AM731" s="7"/>
      <c r="AN731" s="7"/>
      <c r="AO731" s="6"/>
      <c r="AP731" s="7"/>
      <c r="AQ731" s="7"/>
      <c r="AR731" s="6"/>
      <c r="AS731" s="7"/>
      <c r="AT731" s="7"/>
      <c r="AU731" s="7"/>
      <c r="AV731" s="7"/>
      <c r="AW731" s="7"/>
      <c r="AX731" s="7"/>
      <c r="AY731" s="7"/>
      <c r="AZ731" s="7"/>
      <c r="BA731" s="7"/>
      <c r="BB731" s="7"/>
      <c r="BC731" s="7"/>
      <c r="BD731" s="7"/>
      <c r="BE731" s="7"/>
      <c r="BF731" s="7"/>
      <c r="BG731" s="7"/>
    </row>
    <row r="732" customHeight="1" spans="1:59">
      <c r="A732" s="9" t="str">
        <f>IF(ActiveDatabase=Standby,Secondary!A732,Primary!A732)</f>
        <v>microTech</v>
      </c>
      <c r="B732" s="5" t="str">
        <f>IF(ActiveDatabase=Standby,Secondary!B732,Primary!B732)</f>
        <v>microTech 71</v>
      </c>
      <c r="C732" s="5">
        <f>IF(ActiveDatabase=Standby,Secondary!C732,Primary!C732)</f>
        <v>0</v>
      </c>
      <c r="D732" s="5" t="str">
        <f>IF(ActiveDatabase=Standby,Secondary!D732,Primary!D732)</f>
        <v>Wrecks</v>
      </c>
      <c r="E732" s="6">
        <f>IF(ActiveDatabase=Standby,Secondary!E732,Primary!E732)</f>
        <v>0</v>
      </c>
      <c r="F732" s="10">
        <f>IF(ActiveDatabase=Standby,Secondary!F732,Primary!F732)</f>
        <v>0</v>
      </c>
      <c r="G732" s="10">
        <f>IF(ActiveDatabase=Standby,Secondary!G732,Primary!G732)</f>
        <v>0</v>
      </c>
      <c r="H732" s="10">
        <f>IF(ActiveDatabase=Standby,Secondary!H732,Primary!H732)</f>
        <v>0</v>
      </c>
      <c r="I732" s="13">
        <f>IF(ActiveDatabase=Standby,Secondary!I732,Primary!I732)</f>
        <v>0</v>
      </c>
      <c r="J732" s="13">
        <f>IF(ActiveDatabase=Standby,Secondary!J732,Primary!J732)</f>
        <v>0</v>
      </c>
      <c r="K732" s="13">
        <f>IF(ActiveDatabase=Standby,Secondary!K732,Primary!K732)</f>
        <v>0</v>
      </c>
      <c r="L732" s="13">
        <f>IF(ActiveDatabase=Standby,Secondary!L732,Primary!L732)</f>
        <v>0</v>
      </c>
      <c r="M732" s="7">
        <f>IF(ActiveDatabase=Standby,Secondary!M732,Primary!M732)</f>
        <v>0</v>
      </c>
      <c r="N732" s="10">
        <f>IF(ActiveDatabase=Standby,Secondary!N732,Primary!N732)</f>
        <v>0</v>
      </c>
      <c r="O732" s="10">
        <f>IF(ActiveDatabase=Standby,Secondary!O732,Primary!O732)</f>
        <v>0</v>
      </c>
      <c r="P732" s="10">
        <f>IF(ActiveDatabase=Standby,Secondary!P732,Primary!P732)</f>
        <v>0</v>
      </c>
      <c r="Q732" s="6">
        <f>IF(ActiveDatabase=Standby,Secondary!Q732,Primary!Q732)</f>
        <v>0</v>
      </c>
      <c r="R732" s="18">
        <f>IF(ActiveDatabase=Standby,Secondary!R732,Primary!R732)</f>
        <v>0</v>
      </c>
      <c r="S732" s="19">
        <f>IF(ActiveDatabase=Standby,Secondary!S732,Primary!S732)</f>
        <v>0</v>
      </c>
      <c r="T732" s="10">
        <f>IF(ActiveDatabase=Standby,Secondary!T732,Primary!T732)</f>
        <v>0</v>
      </c>
      <c r="U732" s="10">
        <f>IF(ActiveDatabase=Standby,Secondary!U732,Primary!U732)</f>
        <v>0</v>
      </c>
      <c r="V732" s="10">
        <f>IF(ActiveDatabase=Standby,Secondary!V732,Primary!V732)</f>
        <v>0</v>
      </c>
      <c r="W732" s="6">
        <f>IF(ActiveDatabase=Standby,Secondary!W732,Primary!W732)</f>
        <v>0</v>
      </c>
      <c r="X732" s="6">
        <f>IF(ActiveDatabase=Standby,Secondary!X732,Primary!X732)</f>
        <v>0</v>
      </c>
      <c r="Y732" s="12">
        <f>IF(ActiveDatabase=Standby,Secondary!Y732,Primary!Y1390)</f>
        <v>0</v>
      </c>
      <c r="Z732" s="12">
        <f>IF(ActiveDatabase=Standby,Secondary!Z732,Primary!Z1390)</f>
        <v>0</v>
      </c>
      <c r="AA732" s="9">
        <f>IF(ActiveDatabase=Standby,Secondary!AA732,Primary!AA1390)</f>
        <v>0</v>
      </c>
      <c r="AB732" s="12"/>
      <c r="AC732" s="6"/>
      <c r="AD732" s="6"/>
      <c r="AE732" s="7"/>
      <c r="AF732" s="7"/>
      <c r="AG732" s="7"/>
      <c r="AH732" s="7"/>
      <c r="AI732" s="7"/>
      <c r="AJ732" s="7"/>
      <c r="AK732" s="7"/>
      <c r="AL732" s="7"/>
      <c r="AM732" s="7"/>
      <c r="AN732" s="7"/>
      <c r="AO732" s="6"/>
      <c r="AP732" s="7"/>
      <c r="AQ732" s="7"/>
      <c r="AR732" s="6"/>
      <c r="AS732" s="7"/>
      <c r="AT732" s="7"/>
      <c r="AU732" s="7"/>
      <c r="AV732" s="7"/>
      <c r="AW732" s="7"/>
      <c r="AX732" s="7"/>
      <c r="AY732" s="7"/>
      <c r="AZ732" s="7"/>
      <c r="BA732" s="7"/>
      <c r="BB732" s="7"/>
      <c r="BC732" s="7"/>
      <c r="BD732" s="7"/>
      <c r="BE732" s="7"/>
      <c r="BF732" s="7"/>
      <c r="BG732" s="7"/>
    </row>
    <row r="733" customHeight="1" spans="1:59">
      <c r="A733" s="9" t="str">
        <f>IF(ActiveDatabase=Standby,Secondary!A733,Primary!A733)</f>
        <v>microTech 58</v>
      </c>
      <c r="B733" s="5" t="str">
        <f>IF(ActiveDatabase=Standby,Secondary!B733,Primary!B733)</f>
        <v>microTech 72</v>
      </c>
      <c r="C733" s="5" t="str">
        <f>IF(ActiveDatabase=Standby,Secondary!C733,Primary!C733)</f>
        <v>microTech 63</v>
      </c>
      <c r="D733" s="5" t="str">
        <f>IF(ActiveDatabase=Standby,Secondary!D733,Primary!D733)</f>
        <v>Caterpillar Wreck 34V</v>
      </c>
      <c r="E733" s="6" t="str">
        <f>IF(ActiveDatabase=Standby,Secondary!E733,Primary!E733)</f>
        <v>Caterpillar 34V</v>
      </c>
      <c r="F733" s="10">
        <f>IF(ActiveDatabase=Standby,Secondary!F733,Primary!F733)</f>
        <v>422.030565493172</v>
      </c>
      <c r="G733" s="10">
        <f>IF(ActiveDatabase=Standby,Secondary!G733,Primary!G733)</f>
        <v>170.8188762115</v>
      </c>
      <c r="H733" s="10">
        <f>IF(ActiveDatabase=Standby,Secondary!H733,Primary!H733)</f>
        <v>890.497381315684</v>
      </c>
      <c r="I733" s="13">
        <f>IF(ActiveDatabase=Standby,Secondary!I733,Primary!I733)</f>
        <v>0</v>
      </c>
      <c r="J733" s="13">
        <f>IF(ActiveDatabase=Standby,Secondary!J733,Primary!J733)</f>
        <v>0</v>
      </c>
      <c r="K733" s="13">
        <f>IF(ActiveDatabase=Standby,Secondary!K733,Primary!K733)</f>
        <v>0</v>
      </c>
      <c r="L733" s="13">
        <f>IF(ActiveDatabase=Standby,Secondary!L733,Primary!L733)</f>
        <v>0</v>
      </c>
      <c r="M733" s="7" t="b">
        <f>IF(ActiveDatabase=Standby,Secondary!M733,Primary!M733)</f>
        <v>0</v>
      </c>
      <c r="N733" s="10">
        <f>IF(ActiveDatabase=Standby,Secondary!N733,Primary!N733)</f>
        <v>0</v>
      </c>
      <c r="O733" s="10">
        <f>IF(ActiveDatabase=Standby,Secondary!O733,Primary!O733)</f>
        <v>0</v>
      </c>
      <c r="P733" s="10">
        <f>IF(ActiveDatabase=Standby,Secondary!P733,Primary!P733)</f>
        <v>0</v>
      </c>
      <c r="Q733" s="6">
        <f>IF(ActiveDatabase=Standby,Secondary!Q733,Primary!Q733)</f>
        <v>0</v>
      </c>
      <c r="R733" s="18">
        <f>IF(ActiveDatabase=Standby,Secondary!R733,Primary!R733)</f>
        <v>0</v>
      </c>
      <c r="S733" s="19">
        <f>IF(ActiveDatabase=Standby,Secondary!S733,Primary!S733)</f>
        <v>0</v>
      </c>
      <c r="T733" s="10">
        <f>IF(ActiveDatabase=Standby,Secondary!T733,Primary!T733)</f>
        <v>0</v>
      </c>
      <c r="U733" s="10">
        <f>IF(ActiveDatabase=Standby,Secondary!U733,Primary!U733)</f>
        <v>0</v>
      </c>
      <c r="V733" s="10">
        <f>IF(ActiveDatabase=Standby,Secondary!V733,Primary!V733)</f>
        <v>0</v>
      </c>
      <c r="W733" s="6">
        <f>IF(ActiveDatabase=Standby,Secondary!W733,Primary!W733)</f>
        <v>0</v>
      </c>
      <c r="X733" s="6">
        <f>IF(ActiveDatabase=Standby,Secondary!X733,Primary!X733)</f>
        <v>0</v>
      </c>
      <c r="Y733" s="12">
        <f>IF(ActiveDatabase=Standby,Secondary!Y733,Primary!Y1391)</f>
        <v>0</v>
      </c>
      <c r="Z733" s="12">
        <f>IF(ActiveDatabase=Standby,Secondary!Z733,Primary!Z1391)</f>
        <v>0</v>
      </c>
      <c r="AA733" s="7">
        <f>IF(ActiveDatabase=Standby,Secondary!AA733,Primary!AA1391)</f>
        <v>0</v>
      </c>
      <c r="AB733" s="12"/>
      <c r="AC733" s="6"/>
      <c r="AD733" s="6"/>
      <c r="AE733" s="7"/>
      <c r="AF733" s="7"/>
      <c r="AG733" s="7"/>
      <c r="AH733" s="7"/>
      <c r="AI733" s="7"/>
      <c r="AJ733" s="7"/>
      <c r="AK733" s="7"/>
      <c r="AL733" s="7"/>
      <c r="AM733" s="7"/>
      <c r="AN733" s="7"/>
      <c r="AO733" s="6"/>
      <c r="AP733" s="7"/>
      <c r="AQ733" s="7"/>
      <c r="AR733" s="6"/>
      <c r="AS733" s="7"/>
      <c r="AT733" s="7"/>
      <c r="AU733" s="7"/>
      <c r="AV733" s="7"/>
      <c r="AW733" s="7"/>
      <c r="AX733" s="7"/>
      <c r="AY733" s="7"/>
      <c r="AZ733" s="7"/>
      <c r="BA733" s="7"/>
      <c r="BB733" s="7"/>
      <c r="BC733" s="7"/>
      <c r="BD733" s="7"/>
      <c r="BE733" s="7"/>
      <c r="BF733" s="7"/>
      <c r="BG733" s="7"/>
    </row>
    <row r="734" customHeight="1" spans="1:59">
      <c r="A734" s="9" t="str">
        <f>IF(ActiveDatabase=Standby,Secondary!A734,Primary!A734)</f>
        <v>microTech 59</v>
      </c>
      <c r="B734" s="5" t="str">
        <f>IF(ActiveDatabase=Standby,Secondary!B734,Primary!B734)</f>
        <v>microTech 73</v>
      </c>
      <c r="C734" s="5" t="str">
        <f>IF(ActiveDatabase=Standby,Secondary!C734,Primary!C734)</f>
        <v>microTech 35</v>
      </c>
      <c r="D734" s="5" t="str">
        <f>IF(ActiveDatabase=Standby,Secondary!D734,Primary!D734)</f>
        <v>Caterpillar Wreck 47M</v>
      </c>
      <c r="E734" s="6" t="str">
        <f>IF(ActiveDatabase=Standby,Secondary!E734,Primary!E734)</f>
        <v>Caterpillar 47M</v>
      </c>
      <c r="F734" s="10">
        <f>IF(ActiveDatabase=Standby,Secondary!F734,Primary!F734)</f>
        <v>-174.985191389468</v>
      </c>
      <c r="G734" s="10">
        <f>IF(ActiveDatabase=Standby,Secondary!G734,Primary!G734)</f>
        <v>978.25858424416</v>
      </c>
      <c r="H734" s="10">
        <f>IF(ActiveDatabase=Standby,Secondary!H734,Primary!H734)</f>
        <v>-116.906611973531</v>
      </c>
      <c r="I734" s="13">
        <f>IF(ActiveDatabase=Standby,Secondary!I734,Primary!I734)</f>
        <v>0</v>
      </c>
      <c r="J734" s="13">
        <f>IF(ActiveDatabase=Standby,Secondary!J734,Primary!J734)</f>
        <v>0</v>
      </c>
      <c r="K734" s="13">
        <f>IF(ActiveDatabase=Standby,Secondary!K734,Primary!K734)</f>
        <v>0</v>
      </c>
      <c r="L734" s="13">
        <f>IF(ActiveDatabase=Standby,Secondary!L734,Primary!L734)</f>
        <v>0</v>
      </c>
      <c r="M734" s="7" t="b">
        <f>IF(ActiveDatabase=Standby,Secondary!M734,Primary!M734)</f>
        <v>0</v>
      </c>
      <c r="N734" s="10">
        <f>IF(ActiveDatabase=Standby,Secondary!N734,Primary!N734)</f>
        <v>0</v>
      </c>
      <c r="O734" s="10">
        <f>IF(ActiveDatabase=Standby,Secondary!O734,Primary!O734)</f>
        <v>0</v>
      </c>
      <c r="P734" s="10">
        <f>IF(ActiveDatabase=Standby,Secondary!P734,Primary!P734)</f>
        <v>0</v>
      </c>
      <c r="Q734" s="6">
        <f>IF(ActiveDatabase=Standby,Secondary!Q734,Primary!Q734)</f>
        <v>0</v>
      </c>
      <c r="R734" s="18">
        <f>IF(ActiveDatabase=Standby,Secondary!R734,Primary!R734)</f>
        <v>0</v>
      </c>
      <c r="S734" s="19">
        <f>IF(ActiveDatabase=Standby,Secondary!S734,Primary!S734)</f>
        <v>0</v>
      </c>
      <c r="T734" s="10">
        <f>IF(ActiveDatabase=Standby,Secondary!T734,Primary!T734)</f>
        <v>0</v>
      </c>
      <c r="U734" s="10">
        <f>IF(ActiveDatabase=Standby,Secondary!U734,Primary!U734)</f>
        <v>0</v>
      </c>
      <c r="V734" s="10">
        <f>IF(ActiveDatabase=Standby,Secondary!V734,Primary!V734)</f>
        <v>0</v>
      </c>
      <c r="W734" s="6">
        <f>IF(ActiveDatabase=Standby,Secondary!W734,Primary!W734)</f>
        <v>0</v>
      </c>
      <c r="X734" s="6">
        <f>IF(ActiveDatabase=Standby,Secondary!X734,Primary!X734)</f>
        <v>0</v>
      </c>
      <c r="Y734" s="12">
        <f>IF(ActiveDatabase=Standby,Secondary!Y734,Primary!Y1392)</f>
        <v>0</v>
      </c>
      <c r="Z734" s="12">
        <f>IF(ActiveDatabase=Standby,Secondary!Z734,Primary!Z1392)</f>
        <v>0</v>
      </c>
      <c r="AA734" s="9">
        <f>IF(ActiveDatabase=Standby,Secondary!AA734,Primary!AA1392)</f>
        <v>0</v>
      </c>
      <c r="AB734" s="12"/>
      <c r="AC734" s="6"/>
      <c r="AD734" s="6"/>
      <c r="AE734" s="7"/>
      <c r="AF734" s="7"/>
      <c r="AG734" s="7"/>
      <c r="AH734" s="7"/>
      <c r="AI734" s="7"/>
      <c r="AJ734" s="7"/>
      <c r="AK734" s="7"/>
      <c r="AL734" s="7"/>
      <c r="AM734" s="7"/>
      <c r="AN734" s="7"/>
      <c r="AO734" s="6"/>
      <c r="AP734" s="7"/>
      <c r="AQ734" s="7"/>
      <c r="AR734" s="6"/>
      <c r="AS734" s="7"/>
      <c r="AT734" s="7"/>
      <c r="AU734" s="7"/>
      <c r="AV734" s="7"/>
      <c r="AW734" s="7"/>
      <c r="AX734" s="7"/>
      <c r="AY734" s="7"/>
      <c r="AZ734" s="7"/>
      <c r="BA734" s="7"/>
      <c r="BB734" s="7"/>
      <c r="BC734" s="7"/>
      <c r="BD734" s="7"/>
      <c r="BE734" s="7"/>
      <c r="BF734" s="7"/>
      <c r="BG734" s="7"/>
    </row>
    <row r="735" customHeight="1" spans="1:59">
      <c r="A735" s="9" t="str">
        <f>IF(ActiveDatabase=Standby,Secondary!A735,Primary!A735)</f>
        <v>microTech 60</v>
      </c>
      <c r="B735" s="5" t="str">
        <f>IF(ActiveDatabase=Standby,Secondary!B735,Primary!B735)</f>
        <v>microTech 74</v>
      </c>
      <c r="C735" s="5" t="str">
        <f>IF(ActiveDatabase=Standby,Secondary!C735,Primary!C735)</f>
        <v>microTech 25</v>
      </c>
      <c r="D735" s="5" t="str">
        <f>IF(ActiveDatabase=Standby,Secondary!D735,Primary!D735)</f>
        <v>Caterpillar Wreck 52W</v>
      </c>
      <c r="E735" s="6" t="str">
        <f>IF(ActiveDatabase=Standby,Secondary!E735,Primary!E735)</f>
        <v>Caterpillar 52W</v>
      </c>
      <c r="F735" s="10">
        <f>IF(ActiveDatabase=Standby,Secondary!F735,Primary!F735)</f>
        <v>-267.953108728863</v>
      </c>
      <c r="G735" s="10">
        <f>IF(ActiveDatabase=Standby,Secondary!G735,Primary!G735)</f>
        <v>310.782251487106</v>
      </c>
      <c r="H735" s="10">
        <f>IF(ActiveDatabase=Standby,Secondary!H735,Primary!H735)</f>
        <v>912.085579711613</v>
      </c>
      <c r="I735" s="13">
        <f>IF(ActiveDatabase=Standby,Secondary!I735,Primary!I735)</f>
        <v>0</v>
      </c>
      <c r="J735" s="13">
        <f>IF(ActiveDatabase=Standby,Secondary!J735,Primary!J735)</f>
        <v>0</v>
      </c>
      <c r="K735" s="13">
        <f>IF(ActiveDatabase=Standby,Secondary!K735,Primary!K735)</f>
        <v>0</v>
      </c>
      <c r="L735" s="13">
        <f>IF(ActiveDatabase=Standby,Secondary!L735,Primary!L735)</f>
        <v>0</v>
      </c>
      <c r="M735" s="7" t="b">
        <f>IF(ActiveDatabase=Standby,Secondary!M735,Primary!M735)</f>
        <v>0</v>
      </c>
      <c r="N735" s="10">
        <f>IF(ActiveDatabase=Standby,Secondary!N735,Primary!N735)</f>
        <v>0</v>
      </c>
      <c r="O735" s="10">
        <f>IF(ActiveDatabase=Standby,Secondary!O735,Primary!O735)</f>
        <v>0</v>
      </c>
      <c r="P735" s="10">
        <f>IF(ActiveDatabase=Standby,Secondary!P735,Primary!P735)</f>
        <v>0</v>
      </c>
      <c r="Q735" s="6">
        <f>IF(ActiveDatabase=Standby,Secondary!Q735,Primary!Q735)</f>
        <v>0</v>
      </c>
      <c r="R735" s="18">
        <f>IF(ActiveDatabase=Standby,Secondary!R735,Primary!R735)</f>
        <v>0</v>
      </c>
      <c r="S735" s="19">
        <f>IF(ActiveDatabase=Standby,Secondary!S735,Primary!S735)</f>
        <v>0</v>
      </c>
      <c r="T735" s="10">
        <f>IF(ActiveDatabase=Standby,Secondary!T735,Primary!T735)</f>
        <v>0</v>
      </c>
      <c r="U735" s="10">
        <f>IF(ActiveDatabase=Standby,Secondary!U735,Primary!U735)</f>
        <v>0</v>
      </c>
      <c r="V735" s="10">
        <f>IF(ActiveDatabase=Standby,Secondary!V735,Primary!V735)</f>
        <v>0</v>
      </c>
      <c r="W735" s="6">
        <f>IF(ActiveDatabase=Standby,Secondary!W735,Primary!W735)</f>
        <v>0</v>
      </c>
      <c r="X735" s="6">
        <f>IF(ActiveDatabase=Standby,Secondary!X735,Primary!X735)</f>
        <v>0</v>
      </c>
      <c r="Y735" s="12">
        <f>IF(ActiveDatabase=Standby,Secondary!Y735,Primary!Y1393)</f>
        <v>0</v>
      </c>
      <c r="Z735" s="12">
        <f>IF(ActiveDatabase=Standby,Secondary!Z735,Primary!Z1393)</f>
        <v>0</v>
      </c>
      <c r="AA735" s="9">
        <f>IF(ActiveDatabase=Standby,Secondary!AA735,Primary!AA1393)</f>
        <v>0</v>
      </c>
      <c r="AB735" s="12"/>
      <c r="AC735" s="6"/>
      <c r="AD735" s="6"/>
      <c r="AE735" s="7"/>
      <c r="AF735" s="7"/>
      <c r="AG735" s="7"/>
      <c r="AH735" s="7"/>
      <c r="AI735" s="7"/>
      <c r="AJ735" s="7"/>
      <c r="AK735" s="7"/>
      <c r="AL735" s="7"/>
      <c r="AM735" s="7"/>
      <c r="AN735" s="7"/>
      <c r="AO735" s="6"/>
      <c r="AP735" s="7"/>
      <c r="AQ735" s="7"/>
      <c r="AR735" s="6"/>
      <c r="AS735" s="7"/>
      <c r="AT735" s="7"/>
      <c r="AU735" s="7"/>
      <c r="AV735" s="7"/>
      <c r="AW735" s="7"/>
      <c r="AX735" s="7"/>
      <c r="AY735" s="7"/>
      <c r="AZ735" s="7"/>
      <c r="BA735" s="7"/>
      <c r="BB735" s="7"/>
      <c r="BC735" s="7"/>
      <c r="BD735" s="7"/>
      <c r="BE735" s="7"/>
      <c r="BF735" s="7"/>
      <c r="BG735" s="7"/>
    </row>
    <row r="736" customHeight="1" spans="1:59">
      <c r="A736" s="9" t="str">
        <f>IF(ActiveDatabase=Standby,Secondary!A736,Primary!A736)</f>
        <v>microTech 61</v>
      </c>
      <c r="B736" s="5" t="str">
        <f>IF(ActiveDatabase=Standby,Secondary!B736,Primary!B736)</f>
        <v>microTech 75</v>
      </c>
      <c r="C736" s="5" t="str">
        <f>IF(ActiveDatabase=Standby,Secondary!C736,Primary!C736)</f>
        <v>microTech 14</v>
      </c>
      <c r="D736" s="5" t="str">
        <f>IF(ActiveDatabase=Standby,Secondary!D736,Primary!D736)</f>
        <v>Caterpillar Wreck 53W</v>
      </c>
      <c r="E736" s="6" t="str">
        <f>IF(ActiveDatabase=Standby,Secondary!E736,Primary!E736)</f>
        <v>Caterpillar 53W</v>
      </c>
      <c r="F736" s="10">
        <f>IF(ActiveDatabase=Standby,Secondary!F736,Primary!F736)</f>
        <v>-223.633552985958</v>
      </c>
      <c r="G736" s="10">
        <f>IF(ActiveDatabase=Standby,Secondary!G736,Primary!G736)</f>
        <v>218.51939659621</v>
      </c>
      <c r="H736" s="10">
        <f>IF(ActiveDatabase=Standby,Secondary!H736,Primary!H736)</f>
        <v>949.902150956804</v>
      </c>
      <c r="I736" s="13">
        <f>IF(ActiveDatabase=Standby,Secondary!I736,Primary!I736)</f>
        <v>0</v>
      </c>
      <c r="J736" s="13">
        <f>IF(ActiveDatabase=Standby,Secondary!J736,Primary!J736)</f>
        <v>0</v>
      </c>
      <c r="K736" s="13">
        <f>IF(ActiveDatabase=Standby,Secondary!K736,Primary!K736)</f>
        <v>0</v>
      </c>
      <c r="L736" s="13">
        <f>IF(ActiveDatabase=Standby,Secondary!L736,Primary!L736)</f>
        <v>0</v>
      </c>
      <c r="M736" s="7" t="b">
        <f>IF(ActiveDatabase=Standby,Secondary!M736,Primary!M736)</f>
        <v>0</v>
      </c>
      <c r="N736" s="10">
        <f>IF(ActiveDatabase=Standby,Secondary!N736,Primary!N736)</f>
        <v>0</v>
      </c>
      <c r="O736" s="10">
        <f>IF(ActiveDatabase=Standby,Secondary!O736,Primary!O736)</f>
        <v>0</v>
      </c>
      <c r="P736" s="10">
        <f>IF(ActiveDatabase=Standby,Secondary!P736,Primary!P736)</f>
        <v>0</v>
      </c>
      <c r="Q736" s="6">
        <f>IF(ActiveDatabase=Standby,Secondary!Q736,Primary!Q736)</f>
        <v>0</v>
      </c>
      <c r="R736" s="18">
        <f>IF(ActiveDatabase=Standby,Secondary!R736,Primary!R736)</f>
        <v>0</v>
      </c>
      <c r="S736" s="19">
        <f>IF(ActiveDatabase=Standby,Secondary!S736,Primary!S736)</f>
        <v>0</v>
      </c>
      <c r="T736" s="10">
        <f>IF(ActiveDatabase=Standby,Secondary!T736,Primary!T736)</f>
        <v>0</v>
      </c>
      <c r="U736" s="10">
        <f>IF(ActiveDatabase=Standby,Secondary!U736,Primary!U736)</f>
        <v>0</v>
      </c>
      <c r="V736" s="10">
        <f>IF(ActiveDatabase=Standby,Secondary!V736,Primary!V736)</f>
        <v>0</v>
      </c>
      <c r="W736" s="6">
        <f>IF(ActiveDatabase=Standby,Secondary!W736,Primary!W736)</f>
        <v>0</v>
      </c>
      <c r="X736" s="6">
        <f>IF(ActiveDatabase=Standby,Secondary!X736,Primary!X736)</f>
        <v>0</v>
      </c>
      <c r="Y736" s="12">
        <f>IF(ActiveDatabase=Standby,Secondary!Y736,Primary!Y1394)</f>
        <v>0</v>
      </c>
      <c r="Z736" s="12">
        <f>IF(ActiveDatabase=Standby,Secondary!Z736,Primary!Z1394)</f>
        <v>0</v>
      </c>
      <c r="AA736" s="9">
        <f>IF(ActiveDatabase=Standby,Secondary!AA736,Primary!AA1394)</f>
        <v>0</v>
      </c>
      <c r="AB736" s="12"/>
      <c r="AC736" s="6"/>
      <c r="AD736" s="6"/>
      <c r="AE736" s="7"/>
      <c r="AF736" s="7"/>
      <c r="AG736" s="7"/>
      <c r="AH736" s="7"/>
      <c r="AI736" s="7"/>
      <c r="AJ736" s="7"/>
      <c r="AK736" s="7"/>
      <c r="AL736" s="7"/>
      <c r="AM736" s="7"/>
      <c r="AN736" s="7"/>
      <c r="AO736" s="6"/>
      <c r="AP736" s="7"/>
      <c r="AQ736" s="7"/>
      <c r="AR736" s="6"/>
      <c r="AS736" s="7"/>
      <c r="AT736" s="7"/>
      <c r="AU736" s="7"/>
      <c r="AV736" s="7"/>
      <c r="AW736" s="7"/>
      <c r="AX736" s="7"/>
      <c r="AY736" s="7"/>
      <c r="AZ736" s="7"/>
      <c r="BA736" s="7"/>
      <c r="BB736" s="7"/>
      <c r="BC736" s="7"/>
      <c r="BD736" s="7"/>
      <c r="BE736" s="7"/>
      <c r="BF736" s="7"/>
      <c r="BG736" s="7"/>
    </row>
    <row r="737" customHeight="1" spans="1:59">
      <c r="A737" s="9" t="str">
        <f>IF(ActiveDatabase=Standby,Secondary!A737,Primary!A737)</f>
        <v>microTech 62</v>
      </c>
      <c r="B737" s="5" t="str">
        <f>IF(ActiveDatabase=Standby,Secondary!B737,Primary!B737)</f>
        <v>microTech 76</v>
      </c>
      <c r="C737" s="5" t="str">
        <f>IF(ActiveDatabase=Standby,Secondary!C737,Primary!C737)</f>
        <v>microTech 93</v>
      </c>
      <c r="D737" s="5" t="str">
        <f>IF(ActiveDatabase=Standby,Secondary!D737,Primary!D737)</f>
        <v>Constellation Wreck 08N</v>
      </c>
      <c r="E737" s="6" t="str">
        <f>IF(ActiveDatabase=Standby,Secondary!E737,Primary!E737)</f>
        <v>Constellation 08N</v>
      </c>
      <c r="F737" s="10">
        <f>IF(ActiveDatabase=Standby,Secondary!F737,Primary!F737)</f>
        <v>-676.717865094178</v>
      </c>
      <c r="G737" s="10">
        <f>IF(ActiveDatabase=Standby,Secondary!G737,Primary!G737)</f>
        <v>-728.925426829962</v>
      </c>
      <c r="H737" s="10">
        <f>IF(ActiveDatabase=Standby,Secondary!H737,Primary!H737)</f>
        <v>112.129584296142</v>
      </c>
      <c r="I737" s="13">
        <f>IF(ActiveDatabase=Standby,Secondary!I737,Primary!I737)</f>
        <v>0</v>
      </c>
      <c r="J737" s="13">
        <f>IF(ActiveDatabase=Standby,Secondary!J737,Primary!J737)</f>
        <v>0</v>
      </c>
      <c r="K737" s="13">
        <f>IF(ActiveDatabase=Standby,Secondary!K737,Primary!K737)</f>
        <v>0</v>
      </c>
      <c r="L737" s="13">
        <f>IF(ActiveDatabase=Standby,Secondary!L737,Primary!L737)</f>
        <v>0</v>
      </c>
      <c r="M737" s="7" t="b">
        <f>IF(ActiveDatabase=Standby,Secondary!M737,Primary!M737)</f>
        <v>0</v>
      </c>
      <c r="N737" s="10">
        <f>IF(ActiveDatabase=Standby,Secondary!N737,Primary!N737)</f>
        <v>0</v>
      </c>
      <c r="O737" s="10">
        <f>IF(ActiveDatabase=Standby,Secondary!O737,Primary!O737)</f>
        <v>0</v>
      </c>
      <c r="P737" s="10">
        <f>IF(ActiveDatabase=Standby,Secondary!P737,Primary!P737)</f>
        <v>0</v>
      </c>
      <c r="Q737" s="6">
        <f>IF(ActiveDatabase=Standby,Secondary!Q737,Primary!Q737)</f>
        <v>0</v>
      </c>
      <c r="R737" s="18">
        <f>IF(ActiveDatabase=Standby,Secondary!R737,Primary!R737)</f>
        <v>0</v>
      </c>
      <c r="S737" s="19">
        <f>IF(ActiveDatabase=Standby,Secondary!S737,Primary!S737)</f>
        <v>0</v>
      </c>
      <c r="T737" s="10">
        <f>IF(ActiveDatabase=Standby,Secondary!T737,Primary!T737)</f>
        <v>0</v>
      </c>
      <c r="U737" s="10">
        <f>IF(ActiveDatabase=Standby,Secondary!U737,Primary!U737)</f>
        <v>0</v>
      </c>
      <c r="V737" s="10">
        <f>IF(ActiveDatabase=Standby,Secondary!V737,Primary!V737)</f>
        <v>0</v>
      </c>
      <c r="W737" s="6">
        <f>IF(ActiveDatabase=Standby,Secondary!W737,Primary!W737)</f>
        <v>0</v>
      </c>
      <c r="X737" s="6">
        <f>IF(ActiveDatabase=Standby,Secondary!X737,Primary!X737)</f>
        <v>0</v>
      </c>
      <c r="Y737" s="12">
        <f>IF(ActiveDatabase=Standby,Secondary!Y737,Primary!Y1395)</f>
        <v>0</v>
      </c>
      <c r="Z737" s="12">
        <f>IF(ActiveDatabase=Standby,Secondary!Z737,Primary!Z1395)</f>
        <v>0</v>
      </c>
      <c r="AA737" s="9">
        <f>IF(ActiveDatabase=Standby,Secondary!AA737,Primary!AA1395)</f>
        <v>0</v>
      </c>
      <c r="AB737" s="12"/>
      <c r="AC737" s="6"/>
      <c r="AD737" s="6"/>
      <c r="AE737" s="7"/>
      <c r="AF737" s="7"/>
      <c r="AG737" s="7"/>
      <c r="AH737" s="7"/>
      <c r="AI737" s="7"/>
      <c r="AJ737" s="7"/>
      <c r="AK737" s="7"/>
      <c r="AL737" s="7"/>
      <c r="AM737" s="7"/>
      <c r="AN737" s="7"/>
      <c r="AO737" s="6"/>
      <c r="AP737" s="7"/>
      <c r="AQ737" s="7"/>
      <c r="AR737" s="6"/>
      <c r="AS737" s="7"/>
      <c r="AT737" s="7"/>
      <c r="AU737" s="7"/>
      <c r="AV737" s="7"/>
      <c r="AW737" s="7"/>
      <c r="AX737" s="7"/>
      <c r="AY737" s="7"/>
      <c r="AZ737" s="7"/>
      <c r="BA737" s="7"/>
      <c r="BB737" s="7"/>
      <c r="BC737" s="7"/>
      <c r="BD737" s="7"/>
      <c r="BE737" s="7"/>
      <c r="BF737" s="7"/>
      <c r="BG737" s="7"/>
    </row>
    <row r="738" customHeight="1" spans="1:59">
      <c r="A738" s="9" t="str">
        <f>IF(ActiveDatabase=Standby,Secondary!A738,Primary!A738)</f>
        <v>microTech 63</v>
      </c>
      <c r="B738" s="5" t="str">
        <f>IF(ActiveDatabase=Standby,Secondary!B738,Primary!B738)</f>
        <v>microTech 77</v>
      </c>
      <c r="C738" s="5" t="str">
        <f>IF(ActiveDatabase=Standby,Secondary!C738,Primary!C738)</f>
        <v>microTech 79</v>
      </c>
      <c r="D738" s="5" t="str">
        <f>IF(ActiveDatabase=Standby,Secondary!D738,Primary!D738)</f>
        <v>Constellation Wreck 26L</v>
      </c>
      <c r="E738" s="6" t="str">
        <f>IF(ActiveDatabase=Standby,Secondary!E738,Primary!E738)</f>
        <v>Constellation 26L</v>
      </c>
      <c r="F738" s="10">
        <f>IF(ActiveDatabase=Standby,Secondary!F738,Primary!F738)</f>
        <v>875.200546632067</v>
      </c>
      <c r="G738" s="10">
        <f>IF(ActiveDatabase=Standby,Secondary!G738,Primary!G738)</f>
        <v>-465.380147321214</v>
      </c>
      <c r="H738" s="10">
        <f>IF(ActiveDatabase=Standby,Secondary!H738,Primary!H738)</f>
        <v>-142.68191251041</v>
      </c>
      <c r="I738" s="13">
        <f>IF(ActiveDatabase=Standby,Secondary!I738,Primary!I738)</f>
        <v>0</v>
      </c>
      <c r="J738" s="13">
        <f>IF(ActiveDatabase=Standby,Secondary!J738,Primary!J738)</f>
        <v>0</v>
      </c>
      <c r="K738" s="13">
        <f>IF(ActiveDatabase=Standby,Secondary!K738,Primary!K738)</f>
        <v>0</v>
      </c>
      <c r="L738" s="13">
        <f>IF(ActiveDatabase=Standby,Secondary!L738,Primary!L738)</f>
        <v>0</v>
      </c>
      <c r="M738" s="7" t="b">
        <f>IF(ActiveDatabase=Standby,Secondary!M738,Primary!M738)</f>
        <v>0</v>
      </c>
      <c r="N738" s="10">
        <f>IF(ActiveDatabase=Standby,Secondary!N738,Primary!N738)</f>
        <v>0</v>
      </c>
      <c r="O738" s="10">
        <f>IF(ActiveDatabase=Standby,Secondary!O738,Primary!O738)</f>
        <v>0</v>
      </c>
      <c r="P738" s="10">
        <f>IF(ActiveDatabase=Standby,Secondary!P738,Primary!P738)</f>
        <v>0</v>
      </c>
      <c r="Q738" s="6">
        <f>IF(ActiveDatabase=Standby,Secondary!Q738,Primary!Q738)</f>
        <v>0</v>
      </c>
      <c r="R738" s="18">
        <f>IF(ActiveDatabase=Standby,Secondary!R738,Primary!R738)</f>
        <v>0</v>
      </c>
      <c r="S738" s="19">
        <f>IF(ActiveDatabase=Standby,Secondary!S738,Primary!S738)</f>
        <v>0</v>
      </c>
      <c r="T738" s="10">
        <f>IF(ActiveDatabase=Standby,Secondary!T738,Primary!T738)</f>
        <v>0</v>
      </c>
      <c r="U738" s="10">
        <f>IF(ActiveDatabase=Standby,Secondary!U738,Primary!U738)</f>
        <v>0</v>
      </c>
      <c r="V738" s="10">
        <f>IF(ActiveDatabase=Standby,Secondary!V738,Primary!V738)</f>
        <v>0</v>
      </c>
      <c r="W738" s="6">
        <f>IF(ActiveDatabase=Standby,Secondary!W738,Primary!W738)</f>
        <v>0</v>
      </c>
      <c r="X738" s="6">
        <f>IF(ActiveDatabase=Standby,Secondary!X738,Primary!X738)</f>
        <v>0</v>
      </c>
      <c r="Y738" s="12">
        <f>IF(ActiveDatabase=Standby,Secondary!Y738,Primary!Y1396)</f>
        <v>0</v>
      </c>
      <c r="Z738" s="12">
        <f>IF(ActiveDatabase=Standby,Secondary!Z738,Primary!Z1396)</f>
        <v>0</v>
      </c>
      <c r="AA738" s="9">
        <f>IF(ActiveDatabase=Standby,Secondary!AA738,Primary!AA1396)</f>
        <v>0</v>
      </c>
      <c r="AB738" s="12"/>
      <c r="AC738" s="6"/>
      <c r="AD738" s="6"/>
      <c r="AE738" s="7"/>
      <c r="AF738" s="7"/>
      <c r="AG738" s="7"/>
      <c r="AH738" s="7"/>
      <c r="AI738" s="7"/>
      <c r="AJ738" s="7"/>
      <c r="AK738" s="7"/>
      <c r="AL738" s="7"/>
      <c r="AM738" s="7"/>
      <c r="AN738" s="7"/>
      <c r="AO738" s="6"/>
      <c r="AP738" s="7"/>
      <c r="AQ738" s="7"/>
      <c r="AR738" s="6"/>
      <c r="AS738" s="7"/>
      <c r="AT738" s="7"/>
      <c r="AU738" s="7"/>
      <c r="AV738" s="7"/>
      <c r="AW738" s="7"/>
      <c r="AX738" s="7"/>
      <c r="AY738" s="7"/>
      <c r="AZ738" s="7"/>
      <c r="BA738" s="7"/>
      <c r="BB738" s="7"/>
      <c r="BC738" s="7"/>
      <c r="BD738" s="7"/>
      <c r="BE738" s="7"/>
      <c r="BF738" s="7"/>
      <c r="BG738" s="7"/>
    </row>
    <row r="739" customHeight="1" spans="1:59">
      <c r="A739" s="9" t="str">
        <f>IF(ActiveDatabase=Standby,Secondary!A739,Primary!A739)</f>
        <v>microTech 64</v>
      </c>
      <c r="B739" s="5" t="str">
        <f>IF(ActiveDatabase=Standby,Secondary!B739,Primary!B739)</f>
        <v>microTech 78</v>
      </c>
      <c r="C739" s="5" t="str">
        <f>IF(ActiveDatabase=Standby,Secondary!C739,Primary!C739)</f>
        <v>microTech 41</v>
      </c>
      <c r="D739" s="5" t="str">
        <f>IF(ActiveDatabase=Standby,Secondary!D739,Primary!D739)</f>
        <v>Constellation Wreck 42M</v>
      </c>
      <c r="E739" s="6" t="str">
        <f>IF(ActiveDatabase=Standby,Secondary!E739,Primary!E739)</f>
        <v>Constellation 42M</v>
      </c>
      <c r="F739" s="10">
        <f>IF(ActiveDatabase=Standby,Secondary!F739,Primary!F739)</f>
        <v>376.775847030883</v>
      </c>
      <c r="G739" s="10">
        <f>IF(ActiveDatabase=Standby,Secondary!G739,Primary!G739)</f>
        <v>920.915695519137</v>
      </c>
      <c r="H739" s="10">
        <f>IF(ActiveDatabase=Standby,Secondary!H739,Primary!H739)</f>
        <v>-105.955657172639</v>
      </c>
      <c r="I739" s="13">
        <f>IF(ActiveDatabase=Standby,Secondary!I739,Primary!I739)</f>
        <v>0</v>
      </c>
      <c r="J739" s="13">
        <f>IF(ActiveDatabase=Standby,Secondary!J739,Primary!J739)</f>
        <v>0</v>
      </c>
      <c r="K739" s="13">
        <f>IF(ActiveDatabase=Standby,Secondary!K739,Primary!K739)</f>
        <v>0</v>
      </c>
      <c r="L739" s="13">
        <f>IF(ActiveDatabase=Standby,Secondary!L739,Primary!L739)</f>
        <v>0</v>
      </c>
      <c r="M739" s="7" t="b">
        <f>IF(ActiveDatabase=Standby,Secondary!M739,Primary!M739)</f>
        <v>0</v>
      </c>
      <c r="N739" s="10">
        <f>IF(ActiveDatabase=Standby,Secondary!N739,Primary!N739)</f>
        <v>0</v>
      </c>
      <c r="O739" s="10">
        <f>IF(ActiveDatabase=Standby,Secondary!O739,Primary!O739)</f>
        <v>0</v>
      </c>
      <c r="P739" s="10">
        <f>IF(ActiveDatabase=Standby,Secondary!P739,Primary!P739)</f>
        <v>0</v>
      </c>
      <c r="Q739" s="6">
        <f>IF(ActiveDatabase=Standby,Secondary!Q739,Primary!Q739)</f>
        <v>0</v>
      </c>
      <c r="R739" s="18">
        <f>IF(ActiveDatabase=Standby,Secondary!R739,Primary!R739)</f>
        <v>0</v>
      </c>
      <c r="S739" s="19">
        <f>IF(ActiveDatabase=Standby,Secondary!S739,Primary!S739)</f>
        <v>0</v>
      </c>
      <c r="T739" s="10">
        <f>IF(ActiveDatabase=Standby,Secondary!T739,Primary!T739)</f>
        <v>0</v>
      </c>
      <c r="U739" s="10">
        <f>IF(ActiveDatabase=Standby,Secondary!U739,Primary!U739)</f>
        <v>0</v>
      </c>
      <c r="V739" s="10">
        <f>IF(ActiveDatabase=Standby,Secondary!V739,Primary!V739)</f>
        <v>0</v>
      </c>
      <c r="W739" s="6">
        <f>IF(ActiveDatabase=Standby,Secondary!W739,Primary!W739)</f>
        <v>0</v>
      </c>
      <c r="X739" s="6">
        <f>IF(ActiveDatabase=Standby,Secondary!X739,Primary!X739)</f>
        <v>0</v>
      </c>
      <c r="Y739" s="12">
        <f>IF(ActiveDatabase=Standby,Secondary!Y739,Primary!Y1397)</f>
        <v>0</v>
      </c>
      <c r="Z739" s="12">
        <f>IF(ActiveDatabase=Standby,Secondary!Z739,Primary!Z1397)</f>
        <v>0</v>
      </c>
      <c r="AA739" s="9">
        <f>IF(ActiveDatabase=Standby,Secondary!AA739,Primary!AA1397)</f>
        <v>0</v>
      </c>
      <c r="AB739" s="12"/>
      <c r="AC739" s="6"/>
      <c r="AD739" s="6"/>
      <c r="AE739" s="7"/>
      <c r="AF739" s="7"/>
      <c r="AG739" s="7"/>
      <c r="AH739" s="7"/>
      <c r="AI739" s="7"/>
      <c r="AJ739" s="7"/>
      <c r="AK739" s="7"/>
      <c r="AL739" s="7"/>
      <c r="AM739" s="7"/>
      <c r="AN739" s="7"/>
      <c r="AO739" s="6"/>
      <c r="AP739" s="7"/>
      <c r="AQ739" s="7"/>
      <c r="AR739" s="6"/>
      <c r="AS739" s="7"/>
      <c r="AT739" s="7"/>
      <c r="AU739" s="7"/>
      <c r="AV739" s="7"/>
      <c r="AW739" s="7"/>
      <c r="AX739" s="7"/>
      <c r="AY739" s="7"/>
      <c r="AZ739" s="7"/>
      <c r="BA739" s="7"/>
      <c r="BB739" s="7"/>
      <c r="BC739" s="7"/>
      <c r="BD739" s="7"/>
      <c r="BE739" s="7"/>
      <c r="BF739" s="7"/>
      <c r="BG739" s="7"/>
    </row>
    <row r="740" customHeight="1" spans="1:59">
      <c r="A740" s="9" t="str">
        <f>IF(ActiveDatabase=Standby,Secondary!A740,Primary!A740)</f>
        <v>microTech 65</v>
      </c>
      <c r="B740" s="5" t="str">
        <f>IF(ActiveDatabase=Standby,Secondary!B740,Primary!B740)</f>
        <v>microTech 79</v>
      </c>
      <c r="C740" s="5" t="str">
        <f>IF(ActiveDatabase=Standby,Secondary!C740,Primary!C740)</f>
        <v>microTech 36</v>
      </c>
      <c r="D740" s="5" t="str">
        <f>IF(ActiveDatabase=Standby,Secondary!D740,Primary!D740)</f>
        <v>Constellation Wreck 47L</v>
      </c>
      <c r="E740" s="6" t="str">
        <f>IF(ActiveDatabase=Standby,Secondary!E740,Primary!E740)</f>
        <v>Constellation 47L</v>
      </c>
      <c r="F740" s="10">
        <f>IF(ActiveDatabase=Standby,Secondary!F740,Primary!F740)</f>
        <v>-167.210361350261</v>
      </c>
      <c r="G740" s="10">
        <f>IF(ActiveDatabase=Standby,Secondary!G740,Primary!G740)</f>
        <v>960.391198845134</v>
      </c>
      <c r="H740" s="10">
        <f>IF(ActiveDatabase=Standby,Secondary!H740,Primary!H740)</f>
        <v>-228.479705824038</v>
      </c>
      <c r="I740" s="13">
        <f>IF(ActiveDatabase=Standby,Secondary!I740,Primary!I740)</f>
        <v>0</v>
      </c>
      <c r="J740" s="13">
        <f>IF(ActiveDatabase=Standby,Secondary!J740,Primary!J740)</f>
        <v>0</v>
      </c>
      <c r="K740" s="13">
        <f>IF(ActiveDatabase=Standby,Secondary!K740,Primary!K740)</f>
        <v>0</v>
      </c>
      <c r="L740" s="13">
        <f>IF(ActiveDatabase=Standby,Secondary!L740,Primary!L740)</f>
        <v>0</v>
      </c>
      <c r="M740" s="7" t="b">
        <f>IF(ActiveDatabase=Standby,Secondary!M740,Primary!M740)</f>
        <v>0</v>
      </c>
      <c r="N740" s="10">
        <f>IF(ActiveDatabase=Standby,Secondary!N740,Primary!N740)</f>
        <v>0</v>
      </c>
      <c r="O740" s="10">
        <f>IF(ActiveDatabase=Standby,Secondary!O740,Primary!O740)</f>
        <v>0</v>
      </c>
      <c r="P740" s="10">
        <f>IF(ActiveDatabase=Standby,Secondary!P740,Primary!P740)</f>
        <v>0</v>
      </c>
      <c r="Q740" s="6">
        <f>IF(ActiveDatabase=Standby,Secondary!Q740,Primary!Q740)</f>
        <v>0</v>
      </c>
      <c r="R740" s="18">
        <f>IF(ActiveDatabase=Standby,Secondary!R740,Primary!R740)</f>
        <v>0</v>
      </c>
      <c r="S740" s="19">
        <f>IF(ActiveDatabase=Standby,Secondary!S740,Primary!S740)</f>
        <v>0</v>
      </c>
      <c r="T740" s="10">
        <f>IF(ActiveDatabase=Standby,Secondary!T740,Primary!T740)</f>
        <v>0</v>
      </c>
      <c r="U740" s="10">
        <f>IF(ActiveDatabase=Standby,Secondary!U740,Primary!U740)</f>
        <v>0</v>
      </c>
      <c r="V740" s="10">
        <f>IF(ActiveDatabase=Standby,Secondary!V740,Primary!V740)</f>
        <v>0</v>
      </c>
      <c r="W740" s="6">
        <f>IF(ActiveDatabase=Standby,Secondary!W740,Primary!W740)</f>
        <v>0</v>
      </c>
      <c r="X740" s="6">
        <f>IF(ActiveDatabase=Standby,Secondary!X740,Primary!X740)</f>
        <v>0</v>
      </c>
      <c r="Y740" s="12">
        <f>IF(ActiveDatabase=Standby,Secondary!Y740,Primary!Y1398)</f>
        <v>0</v>
      </c>
      <c r="Z740" s="12">
        <f>IF(ActiveDatabase=Standby,Secondary!Z740,Primary!Z1398)</f>
        <v>0</v>
      </c>
      <c r="AA740" s="9">
        <f>IF(ActiveDatabase=Standby,Secondary!AA740,Primary!AA1398)</f>
        <v>0</v>
      </c>
      <c r="AB740" s="12"/>
      <c r="AC740" s="6"/>
      <c r="AD740" s="6"/>
      <c r="AE740" s="7"/>
      <c r="AF740" s="7"/>
      <c r="AG740" s="7"/>
      <c r="AH740" s="7"/>
      <c r="AI740" s="7"/>
      <c r="AJ740" s="7"/>
      <c r="AK740" s="7"/>
      <c r="AL740" s="7"/>
      <c r="AM740" s="7"/>
      <c r="AN740" s="7"/>
      <c r="AO740" s="6"/>
      <c r="AP740" s="7"/>
      <c r="AQ740" s="7"/>
      <c r="AR740" s="6"/>
      <c r="AS740" s="7"/>
      <c r="AT740" s="7"/>
      <c r="AU740" s="7"/>
      <c r="AV740" s="7"/>
      <c r="AW740" s="7"/>
      <c r="AX740" s="7"/>
      <c r="AY740" s="7"/>
      <c r="AZ740" s="7"/>
      <c r="BA740" s="7"/>
      <c r="BB740" s="7"/>
      <c r="BC740" s="7"/>
      <c r="BD740" s="7"/>
      <c r="BE740" s="7"/>
      <c r="BF740" s="7"/>
      <c r="BG740" s="7"/>
    </row>
    <row r="741" customHeight="1" spans="1:59">
      <c r="A741" s="9" t="str">
        <f>IF(ActiveDatabase=Standby,Secondary!A741,Primary!A741)</f>
        <v>microTech 66</v>
      </c>
      <c r="B741" s="5" t="str">
        <f>IF(ActiveDatabase=Standby,Secondary!B741,Primary!B741)</f>
        <v>microTech 80</v>
      </c>
      <c r="C741" s="5" t="str">
        <f>IF(ActiveDatabase=Standby,Secondary!C741,Primary!C741)</f>
        <v>microTech 100</v>
      </c>
      <c r="D741" s="5" t="str">
        <f>IF(ActiveDatabase=Standby,Secondary!D741,Primary!D741)</f>
        <v>Freelancer Wreck 03N</v>
      </c>
      <c r="E741" s="6" t="str">
        <f>IF(ActiveDatabase=Standby,Secondary!E741,Primary!E741)</f>
        <v>Freelancer 03N</v>
      </c>
      <c r="F741" s="10">
        <f>IF(ActiveDatabase=Standby,Secondary!F741,Primary!F741)</f>
        <v>-973.703809272717</v>
      </c>
      <c r="G741" s="10">
        <f>IF(ActiveDatabase=Standby,Secondary!G741,Primary!G741)</f>
        <v>-225.634764877147</v>
      </c>
      <c r="H741" s="10">
        <f>IF(ActiveDatabase=Standby,Secondary!H741,Primary!H741)</f>
        <v>40.800499864769</v>
      </c>
      <c r="I741" s="13">
        <f>IF(ActiveDatabase=Standby,Secondary!I741,Primary!I741)</f>
        <v>0</v>
      </c>
      <c r="J741" s="13">
        <f>IF(ActiveDatabase=Standby,Secondary!J741,Primary!J741)</f>
        <v>0</v>
      </c>
      <c r="K741" s="13">
        <f>IF(ActiveDatabase=Standby,Secondary!K741,Primary!K741)</f>
        <v>0</v>
      </c>
      <c r="L741" s="13">
        <f>IF(ActiveDatabase=Standby,Secondary!L741,Primary!L741)</f>
        <v>0</v>
      </c>
      <c r="M741" s="7" t="b">
        <f>IF(ActiveDatabase=Standby,Secondary!M741,Primary!M741)</f>
        <v>0</v>
      </c>
      <c r="N741" s="10">
        <f>IF(ActiveDatabase=Standby,Secondary!N741,Primary!N741)</f>
        <v>0</v>
      </c>
      <c r="O741" s="10">
        <f>IF(ActiveDatabase=Standby,Secondary!O741,Primary!O741)</f>
        <v>0</v>
      </c>
      <c r="P741" s="10">
        <f>IF(ActiveDatabase=Standby,Secondary!P741,Primary!P741)</f>
        <v>0</v>
      </c>
      <c r="Q741" s="6">
        <f>IF(ActiveDatabase=Standby,Secondary!Q741,Primary!Q741)</f>
        <v>0</v>
      </c>
      <c r="R741" s="18">
        <f>IF(ActiveDatabase=Standby,Secondary!R741,Primary!R741)</f>
        <v>0</v>
      </c>
      <c r="S741" s="19">
        <f>IF(ActiveDatabase=Standby,Secondary!S741,Primary!S741)</f>
        <v>0</v>
      </c>
      <c r="T741" s="10">
        <f>IF(ActiveDatabase=Standby,Secondary!T741,Primary!T741)</f>
        <v>0</v>
      </c>
      <c r="U741" s="10">
        <f>IF(ActiveDatabase=Standby,Secondary!U741,Primary!U741)</f>
        <v>0</v>
      </c>
      <c r="V741" s="10">
        <f>IF(ActiveDatabase=Standby,Secondary!V741,Primary!V741)</f>
        <v>0</v>
      </c>
      <c r="W741" s="6">
        <f>IF(ActiveDatabase=Standby,Secondary!W741,Primary!W741)</f>
        <v>0</v>
      </c>
      <c r="X741" s="6">
        <f>IF(ActiveDatabase=Standby,Secondary!X741,Primary!X741)</f>
        <v>0</v>
      </c>
      <c r="Y741" s="12">
        <f>IF(ActiveDatabase=Standby,Secondary!Y741,Primary!Y1399)</f>
        <v>0</v>
      </c>
      <c r="Z741" s="12">
        <f>IF(ActiveDatabase=Standby,Secondary!Z741,Primary!Z1399)</f>
        <v>0</v>
      </c>
      <c r="AA741" s="6">
        <f>IF(ActiveDatabase=Standby,Secondary!AA741,Primary!AA1399)</f>
        <v>0</v>
      </c>
      <c r="AB741" s="12"/>
      <c r="AC741" s="6"/>
      <c r="AD741" s="6"/>
      <c r="AE741" s="7"/>
      <c r="AF741" s="7"/>
      <c r="AG741" s="7"/>
      <c r="AH741" s="7"/>
      <c r="AI741" s="7"/>
      <c r="AJ741" s="7"/>
      <c r="AK741" s="7"/>
      <c r="AL741" s="7"/>
      <c r="AM741" s="7"/>
      <c r="AN741" s="7"/>
      <c r="AO741" s="6"/>
      <c r="AP741" s="7"/>
      <c r="AQ741" s="7"/>
      <c r="AR741" s="6"/>
      <c r="AS741" s="6"/>
      <c r="AT741" s="6"/>
      <c r="AU741" s="6"/>
      <c r="AV741" s="6"/>
      <c r="AW741" s="6"/>
      <c r="AX741" s="6"/>
      <c r="AY741" s="6"/>
      <c r="AZ741" s="6"/>
      <c r="BA741" s="6"/>
      <c r="BB741" s="6"/>
      <c r="BC741" s="6"/>
      <c r="BD741" s="6"/>
      <c r="BE741" s="6"/>
      <c r="BF741" s="6"/>
      <c r="BG741" s="6"/>
    </row>
    <row r="742" customHeight="1" spans="1:59">
      <c r="A742" s="9" t="str">
        <f>IF(ActiveDatabase=Standby,Secondary!A742,Primary!A742)</f>
        <v>microTech 67</v>
      </c>
      <c r="B742" s="5" t="str">
        <f>IF(ActiveDatabase=Standby,Secondary!B742,Primary!B742)</f>
        <v>microTech 81</v>
      </c>
      <c r="C742" s="5" t="str">
        <f>IF(ActiveDatabase=Standby,Secondary!C742,Primary!C742)</f>
        <v>microTech 99</v>
      </c>
      <c r="D742" s="5" t="str">
        <f>IF(ActiveDatabase=Standby,Secondary!D742,Primary!D742)</f>
        <v>Freelancer Wreck 04L</v>
      </c>
      <c r="E742" s="6" t="str">
        <f>IF(ActiveDatabase=Standby,Secondary!E742,Primary!E742)</f>
        <v>Freelancer 04L</v>
      </c>
      <c r="F742" s="10">
        <f>IF(ActiveDatabase=Standby,Secondary!F742,Primary!F742)</f>
        <v>-933.299747754197</v>
      </c>
      <c r="G742" s="10">
        <f>IF(ActiveDatabase=Standby,Secondary!G742,Primary!G742)</f>
        <v>-309.024262314054</v>
      </c>
      <c r="H742" s="10">
        <f>IF(ActiveDatabase=Standby,Secondary!H742,Primary!H742)</f>
        <v>-189.531586515152</v>
      </c>
      <c r="I742" s="13">
        <f>IF(ActiveDatabase=Standby,Secondary!I742,Primary!I742)</f>
        <v>0</v>
      </c>
      <c r="J742" s="13">
        <f>IF(ActiveDatabase=Standby,Secondary!J742,Primary!J742)</f>
        <v>0</v>
      </c>
      <c r="K742" s="13">
        <f>IF(ActiveDatabase=Standby,Secondary!K742,Primary!K742)</f>
        <v>0</v>
      </c>
      <c r="L742" s="13">
        <f>IF(ActiveDatabase=Standby,Secondary!L742,Primary!L742)</f>
        <v>0</v>
      </c>
      <c r="M742" s="7" t="b">
        <f>IF(ActiveDatabase=Standby,Secondary!M742,Primary!M742)</f>
        <v>0</v>
      </c>
      <c r="N742" s="10">
        <f>IF(ActiveDatabase=Standby,Secondary!N742,Primary!N742)</f>
        <v>0</v>
      </c>
      <c r="O742" s="10">
        <f>IF(ActiveDatabase=Standby,Secondary!O742,Primary!O742)</f>
        <v>0</v>
      </c>
      <c r="P742" s="10">
        <f>IF(ActiveDatabase=Standby,Secondary!P742,Primary!P742)</f>
        <v>0</v>
      </c>
      <c r="Q742" s="6">
        <f>IF(ActiveDatabase=Standby,Secondary!Q742,Primary!Q742)</f>
        <v>0</v>
      </c>
      <c r="R742" s="18">
        <f>IF(ActiveDatabase=Standby,Secondary!R742,Primary!R742)</f>
        <v>0</v>
      </c>
      <c r="S742" s="19">
        <f>IF(ActiveDatabase=Standby,Secondary!S742,Primary!S742)</f>
        <v>0</v>
      </c>
      <c r="T742" s="10">
        <f>IF(ActiveDatabase=Standby,Secondary!T742,Primary!T742)</f>
        <v>0</v>
      </c>
      <c r="U742" s="10">
        <f>IF(ActiveDatabase=Standby,Secondary!U742,Primary!U742)</f>
        <v>0</v>
      </c>
      <c r="V742" s="10">
        <f>IF(ActiveDatabase=Standby,Secondary!V742,Primary!V742)</f>
        <v>0</v>
      </c>
      <c r="W742" s="6">
        <f>IF(ActiveDatabase=Standby,Secondary!W742,Primary!W742)</f>
        <v>0</v>
      </c>
      <c r="X742" s="6">
        <f>IF(ActiveDatabase=Standby,Secondary!X742,Primary!X742)</f>
        <v>0</v>
      </c>
      <c r="Y742" s="12">
        <f>IF(ActiveDatabase=Standby,Secondary!Y742,Primary!Y1400)</f>
        <v>0</v>
      </c>
      <c r="Z742" s="12">
        <f>IF(ActiveDatabase=Standby,Secondary!Z742,Primary!Z1400)</f>
        <v>0</v>
      </c>
      <c r="AA742" s="6">
        <f>IF(ActiveDatabase=Standby,Secondary!AA742,Primary!AA1400)</f>
        <v>0</v>
      </c>
      <c r="AB742" s="12"/>
      <c r="AC742" s="6"/>
      <c r="AD742" s="6"/>
      <c r="AE742" s="7"/>
      <c r="AF742" s="7"/>
      <c r="AG742" s="7"/>
      <c r="AH742" s="7"/>
      <c r="AI742" s="7"/>
      <c r="AJ742" s="7"/>
      <c r="AK742" s="7"/>
      <c r="AL742" s="7"/>
      <c r="AM742" s="7"/>
      <c r="AN742" s="7"/>
      <c r="AO742" s="6"/>
      <c r="AP742" s="7"/>
      <c r="AQ742" s="7"/>
      <c r="AR742" s="6"/>
      <c r="AS742" s="6"/>
      <c r="AT742" s="6"/>
      <c r="AU742" s="6"/>
      <c r="AV742" s="6"/>
      <c r="AW742" s="6"/>
      <c r="AX742" s="6"/>
      <c r="AY742" s="6"/>
      <c r="AZ742" s="6"/>
      <c r="BA742" s="6"/>
      <c r="BB742" s="6"/>
      <c r="BC742" s="6"/>
      <c r="BD742" s="6"/>
      <c r="BE742" s="6"/>
      <c r="BF742" s="6"/>
      <c r="BG742" s="6"/>
    </row>
    <row r="743" customHeight="1" spans="1:59">
      <c r="A743" s="9" t="str">
        <f>IF(ActiveDatabase=Standby,Secondary!A743,Primary!A743)</f>
        <v>microTech 68</v>
      </c>
      <c r="B743" s="5" t="str">
        <f>IF(ActiveDatabase=Standby,Secondary!B743,Primary!B743)</f>
        <v>microTech 82</v>
      </c>
      <c r="C743" s="5" t="str">
        <f>IF(ActiveDatabase=Standby,Secondary!C743,Primary!C743)</f>
        <v>microTech 95</v>
      </c>
      <c r="D743" s="5" t="str">
        <f>IF(ActiveDatabase=Standby,Secondary!D743,Primary!D743)</f>
        <v>Freelancer Wreck 08N-A24</v>
      </c>
      <c r="E743" s="6" t="str">
        <f>IF(ActiveDatabase=Standby,Secondary!E743,Primary!E743)</f>
        <v>Freelancer 08NA24</v>
      </c>
      <c r="F743" s="10">
        <f>IF(ActiveDatabase=Standby,Secondary!F743,Primary!F743)</f>
        <v>-686.687642149452</v>
      </c>
      <c r="G743" s="10">
        <f>IF(ActiveDatabase=Standby,Secondary!G743,Primary!G743)</f>
        <v>-719.066830458095</v>
      </c>
      <c r="H743" s="10">
        <f>IF(ActiveDatabase=Standby,Secondary!H743,Primary!H743)</f>
        <v>111.168182463832</v>
      </c>
      <c r="I743" s="13">
        <f>IF(ActiveDatabase=Standby,Secondary!I743,Primary!I743)</f>
        <v>0</v>
      </c>
      <c r="J743" s="13">
        <f>IF(ActiveDatabase=Standby,Secondary!J743,Primary!J743)</f>
        <v>0</v>
      </c>
      <c r="K743" s="13">
        <f>IF(ActiveDatabase=Standby,Secondary!K743,Primary!K743)</f>
        <v>0</v>
      </c>
      <c r="L743" s="13">
        <f>IF(ActiveDatabase=Standby,Secondary!L743,Primary!L743)</f>
        <v>0</v>
      </c>
      <c r="M743" s="7" t="b">
        <f>IF(ActiveDatabase=Standby,Secondary!M743,Primary!M743)</f>
        <v>0</v>
      </c>
      <c r="N743" s="10">
        <f>IF(ActiveDatabase=Standby,Secondary!N743,Primary!N743)</f>
        <v>0</v>
      </c>
      <c r="O743" s="10">
        <f>IF(ActiveDatabase=Standby,Secondary!O743,Primary!O743)</f>
        <v>0</v>
      </c>
      <c r="P743" s="10">
        <f>IF(ActiveDatabase=Standby,Secondary!P743,Primary!P743)</f>
        <v>0</v>
      </c>
      <c r="Q743" s="6">
        <f>IF(ActiveDatabase=Standby,Secondary!Q743,Primary!Q743)</f>
        <v>0</v>
      </c>
      <c r="R743" s="18">
        <f>IF(ActiveDatabase=Standby,Secondary!R743,Primary!R743)</f>
        <v>0</v>
      </c>
      <c r="S743" s="19">
        <f>IF(ActiveDatabase=Standby,Secondary!S743,Primary!S743)</f>
        <v>0</v>
      </c>
      <c r="T743" s="10">
        <f>IF(ActiveDatabase=Standby,Secondary!T743,Primary!T743)</f>
        <v>0</v>
      </c>
      <c r="U743" s="10">
        <f>IF(ActiveDatabase=Standby,Secondary!U743,Primary!U743)</f>
        <v>0</v>
      </c>
      <c r="V743" s="10">
        <f>IF(ActiveDatabase=Standby,Secondary!V743,Primary!V743)</f>
        <v>0</v>
      </c>
      <c r="W743" s="6">
        <f>IF(ActiveDatabase=Standby,Secondary!W743,Primary!W743)</f>
        <v>0</v>
      </c>
      <c r="X743" s="6">
        <f>IF(ActiveDatabase=Standby,Secondary!X743,Primary!X743)</f>
        <v>0</v>
      </c>
      <c r="Y743" s="12">
        <f>IF(ActiveDatabase=Standby,Secondary!Y743,Primary!Y1401)</f>
        <v>0</v>
      </c>
      <c r="Z743" s="12">
        <f>IF(ActiveDatabase=Standby,Secondary!Z743,Primary!Z1401)</f>
        <v>0</v>
      </c>
      <c r="AA743" s="6">
        <f>IF(ActiveDatabase=Standby,Secondary!AA743,Primary!AA1401)</f>
        <v>0</v>
      </c>
      <c r="AB743" s="12"/>
      <c r="AC743" s="6"/>
      <c r="AD743" s="6"/>
      <c r="AE743" s="7"/>
      <c r="AF743" s="7"/>
      <c r="AG743" s="7"/>
      <c r="AH743" s="7"/>
      <c r="AI743" s="7"/>
      <c r="AJ743" s="7"/>
      <c r="AK743" s="7"/>
      <c r="AL743" s="7"/>
      <c r="AM743" s="7"/>
      <c r="AN743" s="7"/>
      <c r="AO743" s="6"/>
      <c r="AP743" s="7"/>
      <c r="AQ743" s="7"/>
      <c r="AR743" s="6"/>
      <c r="AS743" s="6"/>
      <c r="AT743" s="6"/>
      <c r="AU743" s="6"/>
      <c r="AV743" s="6"/>
      <c r="AW743" s="6"/>
      <c r="AX743" s="6"/>
      <c r="AY743" s="6"/>
      <c r="AZ743" s="6"/>
      <c r="BA743" s="6"/>
      <c r="BB743" s="6"/>
      <c r="BC743" s="6"/>
      <c r="BD743" s="6"/>
      <c r="BE743" s="6"/>
      <c r="BF743" s="6"/>
      <c r="BG743" s="6"/>
    </row>
    <row r="744" customHeight="1" spans="1:59">
      <c r="A744" s="9" t="str">
        <f>IF(ActiveDatabase=Standby,Secondary!A744,Primary!A744)</f>
        <v>microTech 69</v>
      </c>
      <c r="B744" s="5" t="str">
        <f>IF(ActiveDatabase=Standby,Secondary!B744,Primary!B744)</f>
        <v>microTech 83</v>
      </c>
      <c r="C744" s="5" t="str">
        <f>IF(ActiveDatabase=Standby,Secondary!C744,Primary!C744)</f>
        <v>microTech 94</v>
      </c>
      <c r="D744" s="5" t="str">
        <f>IF(ActiveDatabase=Standby,Secondary!D744,Primary!D744)</f>
        <v>Freelancer Wreck 08N-D43</v>
      </c>
      <c r="E744" s="6" t="str">
        <f>IF(ActiveDatabase=Standby,Secondary!E744,Primary!E744)</f>
        <v>Freelancer 08ND43</v>
      </c>
      <c r="F744" s="10">
        <f>IF(ActiveDatabase=Standby,Secondary!F744,Primary!F744)</f>
        <v>-683.47693031583</v>
      </c>
      <c r="G744" s="10">
        <f>IF(ActiveDatabase=Standby,Secondary!G744,Primary!G744)</f>
        <v>-719.404561508934</v>
      </c>
      <c r="H744" s="10">
        <f>IF(ActiveDatabase=Standby,Secondary!H744,Primary!H744)</f>
        <v>134.431148172863</v>
      </c>
      <c r="I744" s="13">
        <f>IF(ActiveDatabase=Standby,Secondary!I744,Primary!I744)</f>
        <v>0</v>
      </c>
      <c r="J744" s="13">
        <f>IF(ActiveDatabase=Standby,Secondary!J744,Primary!J744)</f>
        <v>0</v>
      </c>
      <c r="K744" s="13">
        <f>IF(ActiveDatabase=Standby,Secondary!K744,Primary!K744)</f>
        <v>0</v>
      </c>
      <c r="L744" s="13">
        <f>IF(ActiveDatabase=Standby,Secondary!L744,Primary!L744)</f>
        <v>0</v>
      </c>
      <c r="M744" s="7" t="b">
        <f>IF(ActiveDatabase=Standby,Secondary!M744,Primary!M744)</f>
        <v>0</v>
      </c>
      <c r="N744" s="10">
        <f>IF(ActiveDatabase=Standby,Secondary!N744,Primary!N744)</f>
        <v>0</v>
      </c>
      <c r="O744" s="10">
        <f>IF(ActiveDatabase=Standby,Secondary!O744,Primary!O744)</f>
        <v>0</v>
      </c>
      <c r="P744" s="10">
        <f>IF(ActiveDatabase=Standby,Secondary!P744,Primary!P744)</f>
        <v>0</v>
      </c>
      <c r="Q744" s="6">
        <f>IF(ActiveDatabase=Standby,Secondary!Q744,Primary!Q744)</f>
        <v>0</v>
      </c>
      <c r="R744" s="18">
        <f>IF(ActiveDatabase=Standby,Secondary!R744,Primary!R744)</f>
        <v>0</v>
      </c>
      <c r="S744" s="19">
        <f>IF(ActiveDatabase=Standby,Secondary!S744,Primary!S744)</f>
        <v>0</v>
      </c>
      <c r="T744" s="10">
        <f>IF(ActiveDatabase=Standby,Secondary!T744,Primary!T744)</f>
        <v>0</v>
      </c>
      <c r="U744" s="10">
        <f>IF(ActiveDatabase=Standby,Secondary!U744,Primary!U744)</f>
        <v>0</v>
      </c>
      <c r="V744" s="10">
        <f>IF(ActiveDatabase=Standby,Secondary!V744,Primary!V744)</f>
        <v>0</v>
      </c>
      <c r="W744" s="6">
        <f>IF(ActiveDatabase=Standby,Secondary!W744,Primary!W744)</f>
        <v>0</v>
      </c>
      <c r="X744" s="6">
        <f>IF(ActiveDatabase=Standby,Secondary!X744,Primary!X744)</f>
        <v>0</v>
      </c>
      <c r="Y744" s="12">
        <f>IF(ActiveDatabase=Standby,Secondary!Y744,Primary!Y1402)</f>
        <v>0</v>
      </c>
      <c r="Z744" s="12">
        <f>IF(ActiveDatabase=Standby,Secondary!Z744,Primary!Z1402)</f>
        <v>0</v>
      </c>
      <c r="AA744" s="6">
        <f>IF(ActiveDatabase=Standby,Secondary!AA744,Primary!AA1402)</f>
        <v>0</v>
      </c>
      <c r="AB744" s="12"/>
      <c r="AC744" s="6"/>
      <c r="AD744" s="6"/>
      <c r="AE744" s="7"/>
      <c r="AF744" s="7"/>
      <c r="AG744" s="7"/>
      <c r="AH744" s="7"/>
      <c r="AI744" s="7"/>
      <c r="AJ744" s="7"/>
      <c r="AK744" s="7"/>
      <c r="AL744" s="7"/>
      <c r="AM744" s="7"/>
      <c r="AN744" s="7"/>
      <c r="AO744" s="6"/>
      <c r="AP744" s="7"/>
      <c r="AQ744" s="7"/>
      <c r="AR744" s="6"/>
      <c r="AS744" s="6"/>
      <c r="AT744" s="6"/>
      <c r="AU744" s="6"/>
      <c r="AV744" s="6"/>
      <c r="AW744" s="6"/>
      <c r="AX744" s="6"/>
      <c r="AY744" s="6"/>
      <c r="AZ744" s="6"/>
      <c r="BA744" s="6"/>
      <c r="BB744" s="6"/>
      <c r="BC744" s="6"/>
      <c r="BD744" s="6"/>
      <c r="BE744" s="6"/>
      <c r="BF744" s="6"/>
      <c r="BG744" s="6"/>
    </row>
    <row r="745" customHeight="1" spans="1:59">
      <c r="A745" s="9" t="str">
        <f>IF(ActiveDatabase=Standby,Secondary!A745,Primary!A745)</f>
        <v>microTech 70</v>
      </c>
      <c r="B745" s="5" t="str">
        <f>IF(ActiveDatabase=Standby,Secondary!B745,Primary!B745)</f>
        <v>microTech 84</v>
      </c>
      <c r="C745" s="5" t="str">
        <f>IF(ActiveDatabase=Standby,Secondary!C745,Primary!C745)</f>
        <v>microTech 28</v>
      </c>
      <c r="D745" s="5" t="str">
        <f>IF(ActiveDatabase=Standby,Secondary!D745,Primary!D745)</f>
        <v>Starfarer Wreck 52M</v>
      </c>
      <c r="E745" s="6" t="str">
        <f>IF(ActiveDatabase=Standby,Secondary!E745,Primary!E745)</f>
        <v>Starfarer 52M</v>
      </c>
      <c r="F745" s="10">
        <f>IF(ActiveDatabase=Standby,Secondary!F745,Primary!F745)</f>
        <v>-588.08975842639</v>
      </c>
      <c r="G745" s="10">
        <f>IF(ActiveDatabase=Standby,Secondary!G745,Primary!G745)</f>
        <v>805.331386539117</v>
      </c>
      <c r="H745" s="10">
        <f>IF(ActiveDatabase=Standby,Secondary!H745,Primary!H745)</f>
        <v>-78.362321435307</v>
      </c>
      <c r="I745" s="13">
        <f>IF(ActiveDatabase=Standby,Secondary!I745,Primary!I745)</f>
        <v>0</v>
      </c>
      <c r="J745" s="13">
        <f>IF(ActiveDatabase=Standby,Secondary!J745,Primary!J745)</f>
        <v>0</v>
      </c>
      <c r="K745" s="13">
        <f>IF(ActiveDatabase=Standby,Secondary!K745,Primary!K745)</f>
        <v>0</v>
      </c>
      <c r="L745" s="13">
        <f>IF(ActiveDatabase=Standby,Secondary!L745,Primary!L745)</f>
        <v>0</v>
      </c>
      <c r="M745" s="7" t="b">
        <f>IF(ActiveDatabase=Standby,Secondary!M745,Primary!M745)</f>
        <v>0</v>
      </c>
      <c r="N745" s="10">
        <f>IF(ActiveDatabase=Standby,Secondary!N745,Primary!N745)</f>
        <v>0</v>
      </c>
      <c r="O745" s="10">
        <f>IF(ActiveDatabase=Standby,Secondary!O745,Primary!O745)</f>
        <v>0</v>
      </c>
      <c r="P745" s="10">
        <f>IF(ActiveDatabase=Standby,Secondary!P745,Primary!P745)</f>
        <v>0</v>
      </c>
      <c r="Q745" s="6">
        <f>IF(ActiveDatabase=Standby,Secondary!Q745,Primary!Q745)</f>
        <v>0</v>
      </c>
      <c r="R745" s="18">
        <f>IF(ActiveDatabase=Standby,Secondary!R745,Primary!R745)</f>
        <v>0</v>
      </c>
      <c r="S745" s="19">
        <f>IF(ActiveDatabase=Standby,Secondary!S745,Primary!S745)</f>
        <v>0</v>
      </c>
      <c r="T745" s="10">
        <f>IF(ActiveDatabase=Standby,Secondary!T745,Primary!T745)</f>
        <v>0</v>
      </c>
      <c r="U745" s="10">
        <f>IF(ActiveDatabase=Standby,Secondary!U745,Primary!U745)</f>
        <v>0</v>
      </c>
      <c r="V745" s="10">
        <f>IF(ActiveDatabase=Standby,Secondary!V745,Primary!V745)</f>
        <v>0</v>
      </c>
      <c r="W745" s="6">
        <f>IF(ActiveDatabase=Standby,Secondary!W745,Primary!W745)</f>
        <v>0</v>
      </c>
      <c r="X745" s="6">
        <f>IF(ActiveDatabase=Standby,Secondary!X745,Primary!X745)</f>
        <v>0</v>
      </c>
      <c r="Y745" s="12">
        <f>IF(ActiveDatabase=Standby,Secondary!Y745,Primary!Y1403)</f>
        <v>0</v>
      </c>
      <c r="Z745" s="12">
        <f>IF(ActiveDatabase=Standby,Secondary!Z745,Primary!Z1403)</f>
        <v>0</v>
      </c>
      <c r="AA745" s="6">
        <f>IF(ActiveDatabase=Standby,Secondary!AA745,Primary!AA1403)</f>
        <v>0</v>
      </c>
      <c r="AB745" s="12"/>
      <c r="AC745" s="6"/>
      <c r="AD745" s="6"/>
      <c r="AE745" s="7"/>
      <c r="AF745" s="7"/>
      <c r="AG745" s="7"/>
      <c r="AH745" s="7"/>
      <c r="AI745" s="7"/>
      <c r="AJ745" s="7"/>
      <c r="AK745" s="7"/>
      <c r="AL745" s="7"/>
      <c r="AM745" s="7"/>
      <c r="AN745" s="7"/>
      <c r="AO745" s="6"/>
      <c r="AP745" s="7"/>
      <c r="AQ745" s="7"/>
      <c r="AR745" s="6"/>
      <c r="AS745" s="6"/>
      <c r="AT745" s="6"/>
      <c r="AU745" s="6"/>
      <c r="AV745" s="6"/>
      <c r="AW745" s="6"/>
      <c r="AX745" s="6"/>
      <c r="AY745" s="6"/>
      <c r="AZ745" s="6"/>
      <c r="BA745" s="6"/>
      <c r="BB745" s="6"/>
      <c r="BC745" s="6"/>
      <c r="BD745" s="6"/>
      <c r="BE745" s="6"/>
      <c r="BF745" s="6"/>
      <c r="BG745" s="6"/>
    </row>
    <row r="746" customHeight="1" spans="1:59">
      <c r="A746" s="9" t="str">
        <f>IF(ActiveDatabase=Standby,Secondary!A746,Primary!A746)</f>
        <v>microTech 71</v>
      </c>
      <c r="B746" s="5" t="str">
        <f>IF(ActiveDatabase=Standby,Secondary!B746,Primary!B746)</f>
        <v>microTech 85</v>
      </c>
      <c r="C746" s="5" t="str">
        <f>IF(ActiveDatabase=Standby,Secondary!C746,Primary!C746)</f>
        <v>microTech 27</v>
      </c>
      <c r="D746" s="5" t="str">
        <f>IF(ActiveDatabase=Standby,Secondary!D746,Primary!D746)</f>
        <v>Starfarer Wreck 52P</v>
      </c>
      <c r="E746" s="6" t="str">
        <f>IF(ActiveDatabase=Standby,Secondary!E746,Primary!E746)</f>
        <v>Starfarer 52P</v>
      </c>
      <c r="F746" s="10">
        <f>IF(ActiveDatabase=Standby,Secondary!F746,Primary!F746)</f>
        <v>-637.938300534408</v>
      </c>
      <c r="G746" s="10">
        <f>IF(ActiveDatabase=Standby,Secondary!G746,Primary!G746)</f>
        <v>747.781923474108</v>
      </c>
      <c r="H746" s="10">
        <f>IF(ActiveDatabase=Standby,Secondary!H746,Primary!H746)</f>
        <v>185.557559019559</v>
      </c>
      <c r="I746" s="13">
        <f>IF(ActiveDatabase=Standby,Secondary!I746,Primary!I746)</f>
        <v>0</v>
      </c>
      <c r="J746" s="13">
        <f>IF(ActiveDatabase=Standby,Secondary!J746,Primary!J746)</f>
        <v>0</v>
      </c>
      <c r="K746" s="13">
        <f>IF(ActiveDatabase=Standby,Secondary!K746,Primary!K746)</f>
        <v>0</v>
      </c>
      <c r="L746" s="13">
        <f>IF(ActiveDatabase=Standby,Secondary!L746,Primary!L746)</f>
        <v>0</v>
      </c>
      <c r="M746" s="7" t="b">
        <f>IF(ActiveDatabase=Standby,Secondary!M746,Primary!M746)</f>
        <v>0</v>
      </c>
      <c r="N746" s="10">
        <f>IF(ActiveDatabase=Standby,Secondary!N746,Primary!N746)</f>
        <v>0</v>
      </c>
      <c r="O746" s="10">
        <f>IF(ActiveDatabase=Standby,Secondary!O746,Primary!O746)</f>
        <v>0</v>
      </c>
      <c r="P746" s="10">
        <f>IF(ActiveDatabase=Standby,Secondary!P746,Primary!P746)</f>
        <v>0</v>
      </c>
      <c r="Q746" s="6">
        <f>IF(ActiveDatabase=Standby,Secondary!Q746,Primary!Q746)</f>
        <v>0</v>
      </c>
      <c r="R746" s="18">
        <f>IF(ActiveDatabase=Standby,Secondary!R746,Primary!R746)</f>
        <v>0</v>
      </c>
      <c r="S746" s="19">
        <f>IF(ActiveDatabase=Standby,Secondary!S746,Primary!S746)</f>
        <v>0</v>
      </c>
      <c r="T746" s="10">
        <f>IF(ActiveDatabase=Standby,Secondary!T746,Primary!T746)</f>
        <v>0</v>
      </c>
      <c r="U746" s="10">
        <f>IF(ActiveDatabase=Standby,Secondary!U746,Primary!U746)</f>
        <v>0</v>
      </c>
      <c r="V746" s="10">
        <f>IF(ActiveDatabase=Standby,Secondary!V746,Primary!V746)</f>
        <v>0</v>
      </c>
      <c r="W746" s="6">
        <f>IF(ActiveDatabase=Standby,Secondary!W746,Primary!W746)</f>
        <v>0</v>
      </c>
      <c r="X746" s="6">
        <f>IF(ActiveDatabase=Standby,Secondary!X746,Primary!X746)</f>
        <v>0</v>
      </c>
      <c r="Y746" s="12">
        <f>IF(ActiveDatabase=Standby,Secondary!Y746,Primary!Y1404)</f>
        <v>0</v>
      </c>
      <c r="Z746" s="12">
        <f>IF(ActiveDatabase=Standby,Secondary!Z746,Primary!Z1404)</f>
        <v>0</v>
      </c>
      <c r="AA746" s="6">
        <f>IF(ActiveDatabase=Standby,Secondary!AA746,Primary!AA1404)</f>
        <v>0</v>
      </c>
      <c r="AB746" s="12"/>
      <c r="AC746" s="6"/>
      <c r="AD746" s="6"/>
      <c r="AE746" s="7"/>
      <c r="AF746" s="7"/>
      <c r="AG746" s="7"/>
      <c r="AH746" s="7"/>
      <c r="AI746" s="7"/>
      <c r="AJ746" s="7"/>
      <c r="AK746" s="7"/>
      <c r="AL746" s="7"/>
      <c r="AM746" s="7"/>
      <c r="AN746" s="7"/>
      <c r="AO746" s="6"/>
      <c r="AP746" s="7"/>
      <c r="AQ746" s="7"/>
      <c r="AR746" s="6"/>
      <c r="AS746" s="6"/>
      <c r="AT746" s="6"/>
      <c r="AU746" s="6"/>
      <c r="AV746" s="6"/>
      <c r="AW746" s="6"/>
      <c r="AX746" s="6"/>
      <c r="AY746" s="6"/>
      <c r="AZ746" s="6"/>
      <c r="BA746" s="6"/>
      <c r="BB746" s="6"/>
      <c r="BC746" s="6"/>
      <c r="BD746" s="6"/>
      <c r="BE746" s="6"/>
      <c r="BF746" s="6"/>
      <c r="BG746" s="6"/>
    </row>
    <row r="747" customHeight="1" spans="1:59">
      <c r="A747" s="9" t="str">
        <f>IF(ActiveDatabase=Standby,Secondary!A747,Primary!A747)</f>
        <v>microTech 72</v>
      </c>
      <c r="B747" s="5" t="str">
        <f>IF(ActiveDatabase=Standby,Secondary!B747,Primary!B747)</f>
        <v>microTech 86</v>
      </c>
      <c r="C747" s="5" t="str">
        <f>IF(ActiveDatabase=Standby,Secondary!C747,Primary!C747)</f>
        <v>microTech 12</v>
      </c>
      <c r="D747" s="5" t="str">
        <f>IF(ActiveDatabase=Standby,Secondary!D747,Primary!D747)</f>
        <v>Starfarer Wreck 53W</v>
      </c>
      <c r="E747" s="6" t="str">
        <f>IF(ActiveDatabase=Standby,Secondary!E747,Primary!E747)</f>
        <v>Starfarer 53W</v>
      </c>
      <c r="F747" s="10">
        <f>IF(ActiveDatabase=Standby,Secondary!F747,Primary!F747)</f>
        <v>-226.007572205983</v>
      </c>
      <c r="G747" s="10">
        <f>IF(ActiveDatabase=Standby,Secondary!G747,Primary!G747)</f>
        <v>212.796556926972</v>
      </c>
      <c r="H747" s="10">
        <f>IF(ActiveDatabase=Standby,Secondary!H747,Primary!H747)</f>
        <v>950.747037600446</v>
      </c>
      <c r="I747" s="13">
        <f>IF(ActiveDatabase=Standby,Secondary!I747,Primary!I747)</f>
        <v>0</v>
      </c>
      <c r="J747" s="13">
        <f>IF(ActiveDatabase=Standby,Secondary!J747,Primary!J747)</f>
        <v>0</v>
      </c>
      <c r="K747" s="13">
        <f>IF(ActiveDatabase=Standby,Secondary!K747,Primary!K747)</f>
        <v>0</v>
      </c>
      <c r="L747" s="13">
        <f>IF(ActiveDatabase=Standby,Secondary!L747,Primary!L747)</f>
        <v>0</v>
      </c>
      <c r="M747" s="7" t="b">
        <f>IF(ActiveDatabase=Standby,Secondary!M747,Primary!M747)</f>
        <v>0</v>
      </c>
      <c r="N747" s="10">
        <f>IF(ActiveDatabase=Standby,Secondary!N747,Primary!N747)</f>
        <v>0</v>
      </c>
      <c r="O747" s="10">
        <f>IF(ActiveDatabase=Standby,Secondary!O747,Primary!O747)</f>
        <v>0</v>
      </c>
      <c r="P747" s="10">
        <f>IF(ActiveDatabase=Standby,Secondary!P747,Primary!P747)</f>
        <v>0</v>
      </c>
      <c r="Q747" s="6">
        <f>IF(ActiveDatabase=Standby,Secondary!Q747,Primary!Q747)</f>
        <v>0</v>
      </c>
      <c r="R747" s="18">
        <f>IF(ActiveDatabase=Standby,Secondary!R747,Primary!R747)</f>
        <v>0</v>
      </c>
      <c r="S747" s="19">
        <f>IF(ActiveDatabase=Standby,Secondary!S747,Primary!S747)</f>
        <v>0</v>
      </c>
      <c r="T747" s="10">
        <f>IF(ActiveDatabase=Standby,Secondary!T747,Primary!T747)</f>
        <v>0</v>
      </c>
      <c r="U747" s="10">
        <f>IF(ActiveDatabase=Standby,Secondary!U747,Primary!U747)</f>
        <v>0</v>
      </c>
      <c r="V747" s="10">
        <f>IF(ActiveDatabase=Standby,Secondary!V747,Primary!V747)</f>
        <v>0</v>
      </c>
      <c r="W747" s="6">
        <f>IF(ActiveDatabase=Standby,Secondary!W747,Primary!W747)</f>
        <v>0</v>
      </c>
      <c r="X747" s="6">
        <f>IF(ActiveDatabase=Standby,Secondary!X747,Primary!X747)</f>
        <v>0</v>
      </c>
      <c r="Y747" s="12">
        <f>IF(ActiveDatabase=Standby,Secondary!Y747,Primary!Y1405)</f>
        <v>0</v>
      </c>
      <c r="Z747" s="12">
        <f>IF(ActiveDatabase=Standby,Secondary!Z747,Primary!Z1405)</f>
        <v>0</v>
      </c>
      <c r="AA747" s="6">
        <f>IF(ActiveDatabase=Standby,Secondary!AA747,Primary!AA1405)</f>
        <v>0</v>
      </c>
      <c r="AB747" s="12"/>
      <c r="AC747" s="6"/>
      <c r="AD747" s="6"/>
      <c r="AE747" s="7"/>
      <c r="AF747" s="7"/>
      <c r="AG747" s="7"/>
      <c r="AH747" s="7"/>
      <c r="AI747" s="7"/>
      <c r="AJ747" s="7"/>
      <c r="AK747" s="7"/>
      <c r="AL747" s="7"/>
      <c r="AM747" s="7"/>
      <c r="AN747" s="7"/>
      <c r="AO747" s="6"/>
      <c r="AP747" s="7"/>
      <c r="AQ747" s="7"/>
      <c r="AR747" s="6"/>
      <c r="AS747" s="6"/>
      <c r="AT747" s="6"/>
      <c r="AU747" s="6"/>
      <c r="AV747" s="6"/>
      <c r="AW747" s="6"/>
      <c r="AX747" s="6"/>
      <c r="AY747" s="6"/>
      <c r="AZ747" s="6"/>
      <c r="BA747" s="6"/>
      <c r="BB747" s="6"/>
      <c r="BC747" s="6"/>
      <c r="BD747" s="6"/>
      <c r="BE747" s="6"/>
      <c r="BF747" s="6"/>
      <c r="BG747" s="6"/>
    </row>
    <row r="748" customHeight="1" spans="1:59">
      <c r="A748" s="9" t="str">
        <f>IF(ActiveDatabase=Standby,Secondary!A748,Primary!A748)</f>
        <v>microTech 73</v>
      </c>
      <c r="B748" s="5" t="str">
        <f>IF(ActiveDatabase=Standby,Secondary!B748,Primary!B748)</f>
        <v>microTech 87</v>
      </c>
      <c r="C748" s="5" t="str">
        <f>IF(ActiveDatabase=Standby,Secondary!C748,Primary!C748)</f>
        <v>microTech 40</v>
      </c>
      <c r="D748" s="5" t="str">
        <f>IF(ActiveDatabase=Standby,Secondary!D748,Primary!D748)</f>
        <v>Starfarer Wreck ZBG</v>
      </c>
      <c r="E748" s="6" t="str">
        <f>IF(ActiveDatabase=Standby,Secondary!E748,Primary!E748)</f>
        <v>Starfarer ZBG</v>
      </c>
      <c r="F748" s="10">
        <f>IF(ActiveDatabase=Standby,Secondary!F748,Primary!F748)</f>
        <v>9.472077956748</v>
      </c>
      <c r="G748" s="10">
        <f>IF(ActiveDatabase=Standby,Secondary!G748,Primary!G748)</f>
        <v>103.799998156201</v>
      </c>
      <c r="H748" s="10">
        <f>IF(ActiveDatabase=Standby,Secondary!H748,Primary!H748)</f>
        <v>995.340544819772</v>
      </c>
      <c r="I748" s="13">
        <f>IF(ActiveDatabase=Standby,Secondary!I748,Primary!I748)</f>
        <v>0</v>
      </c>
      <c r="J748" s="13">
        <f>IF(ActiveDatabase=Standby,Secondary!J748,Primary!J748)</f>
        <v>0</v>
      </c>
      <c r="K748" s="13">
        <f>IF(ActiveDatabase=Standby,Secondary!K748,Primary!K748)</f>
        <v>0</v>
      </c>
      <c r="L748" s="13">
        <f>IF(ActiveDatabase=Standby,Secondary!L748,Primary!L748)</f>
        <v>0</v>
      </c>
      <c r="M748" s="7" t="b">
        <f>IF(ActiveDatabase=Standby,Secondary!M748,Primary!M748)</f>
        <v>0</v>
      </c>
      <c r="N748" s="10">
        <f>IF(ActiveDatabase=Standby,Secondary!N748,Primary!N748)</f>
        <v>0</v>
      </c>
      <c r="O748" s="10">
        <f>IF(ActiveDatabase=Standby,Secondary!O748,Primary!O748)</f>
        <v>0</v>
      </c>
      <c r="P748" s="10">
        <f>IF(ActiveDatabase=Standby,Secondary!P748,Primary!P748)</f>
        <v>0</v>
      </c>
      <c r="Q748" s="6">
        <f>IF(ActiveDatabase=Standby,Secondary!Q748,Primary!Q748)</f>
        <v>0</v>
      </c>
      <c r="R748" s="18">
        <f>IF(ActiveDatabase=Standby,Secondary!R748,Primary!R748)</f>
        <v>0</v>
      </c>
      <c r="S748" s="19">
        <f>IF(ActiveDatabase=Standby,Secondary!S748,Primary!S748)</f>
        <v>0</v>
      </c>
      <c r="T748" s="10">
        <f>IF(ActiveDatabase=Standby,Secondary!T748,Primary!T748)</f>
        <v>0</v>
      </c>
      <c r="U748" s="10">
        <f>IF(ActiveDatabase=Standby,Secondary!U748,Primary!U748)</f>
        <v>0</v>
      </c>
      <c r="V748" s="10">
        <f>IF(ActiveDatabase=Standby,Secondary!V748,Primary!V748)</f>
        <v>0</v>
      </c>
      <c r="W748" s="6">
        <f>IF(ActiveDatabase=Standby,Secondary!W748,Primary!W748)</f>
        <v>0</v>
      </c>
      <c r="X748" s="6">
        <f>IF(ActiveDatabase=Standby,Secondary!X748,Primary!X748)</f>
        <v>0</v>
      </c>
      <c r="Y748" s="12">
        <f>IF(ActiveDatabase=Standby,Secondary!Y748,Primary!Y1406)</f>
        <v>0</v>
      </c>
      <c r="Z748" s="12">
        <f>IF(ActiveDatabase=Standby,Secondary!Z748,Primary!Z1406)</f>
        <v>0</v>
      </c>
      <c r="AA748" s="6">
        <f>IF(ActiveDatabase=Standby,Secondary!AA748,Primary!AA1406)</f>
        <v>0</v>
      </c>
      <c r="AB748" s="12"/>
      <c r="AC748" s="6"/>
      <c r="AD748" s="6"/>
      <c r="AE748" s="7"/>
      <c r="AF748" s="7"/>
      <c r="AG748" s="7"/>
      <c r="AH748" s="7"/>
      <c r="AI748" s="7"/>
      <c r="AJ748" s="7"/>
      <c r="AK748" s="7"/>
      <c r="AL748" s="7"/>
      <c r="AM748" s="7"/>
      <c r="AN748" s="7"/>
      <c r="AO748" s="6"/>
      <c r="AP748" s="7"/>
      <c r="AQ748" s="7"/>
      <c r="AR748" s="6"/>
      <c r="AS748" s="6"/>
      <c r="AT748" s="6"/>
      <c r="AU748" s="6"/>
      <c r="AV748" s="6"/>
      <c r="AW748" s="6"/>
      <c r="AX748" s="6"/>
      <c r="AY748" s="6"/>
      <c r="AZ748" s="6"/>
      <c r="BA748" s="6"/>
      <c r="BB748" s="6"/>
      <c r="BC748" s="6"/>
      <c r="BD748" s="6"/>
      <c r="BE748" s="6"/>
      <c r="BF748" s="6"/>
      <c r="BG748" s="6"/>
    </row>
    <row r="749" customHeight="1" spans="1:59">
      <c r="A749" s="9" t="str">
        <f>IF(ActiveDatabase=Standby,Secondary!A749,Primary!A749)</f>
        <v>microTech</v>
      </c>
      <c r="B749" s="5" t="str">
        <f>IF(ActiveDatabase=Standby,Secondary!B749,Primary!B749)</f>
        <v>microTech 89</v>
      </c>
      <c r="C749" s="5">
        <f>IF(ActiveDatabase=Standby,Secondary!C749,Primary!C749)</f>
        <v>0</v>
      </c>
      <c r="D749" s="5" t="str">
        <f>IF(ActiveDatabase=Standby,Secondary!D749,Primary!D749)</f>
        <v>Comm Array</v>
      </c>
      <c r="E749" s="6">
        <f>IF(ActiveDatabase=Standby,Secondary!E749,Primary!E749)</f>
        <v>0</v>
      </c>
      <c r="F749" s="10">
        <f>IF(ActiveDatabase=Standby,Secondary!F749,Primary!F749)</f>
        <v>0</v>
      </c>
      <c r="G749" s="10">
        <f>IF(ActiveDatabase=Standby,Secondary!G749,Primary!G749)</f>
        <v>0</v>
      </c>
      <c r="H749" s="10">
        <f>IF(ActiveDatabase=Standby,Secondary!H749,Primary!H749)</f>
        <v>0</v>
      </c>
      <c r="I749" s="13">
        <f>IF(ActiveDatabase=Standby,Secondary!I749,Primary!I749)</f>
        <v>0</v>
      </c>
      <c r="J749" s="13">
        <f>IF(ActiveDatabase=Standby,Secondary!J749,Primary!J749)</f>
        <v>0</v>
      </c>
      <c r="K749" s="13">
        <f>IF(ActiveDatabase=Standby,Secondary!K749,Primary!K749)</f>
        <v>0</v>
      </c>
      <c r="L749" s="13">
        <f>IF(ActiveDatabase=Standby,Secondary!L749,Primary!L749)</f>
        <v>0</v>
      </c>
      <c r="M749" s="7">
        <f>IF(ActiveDatabase=Standby,Secondary!M749,Primary!M749)</f>
        <v>0</v>
      </c>
      <c r="N749" s="10">
        <f>IF(ActiveDatabase=Standby,Secondary!N749,Primary!N749)</f>
        <v>0</v>
      </c>
      <c r="O749" s="10">
        <f>IF(ActiveDatabase=Standby,Secondary!O749,Primary!O749)</f>
        <v>0</v>
      </c>
      <c r="P749" s="10">
        <f>IF(ActiveDatabase=Standby,Secondary!P749,Primary!P749)</f>
        <v>0</v>
      </c>
      <c r="Q749" s="6">
        <f>IF(ActiveDatabase=Standby,Secondary!Q749,Primary!Q749)</f>
        <v>0</v>
      </c>
      <c r="R749" s="18">
        <f>IF(ActiveDatabase=Standby,Secondary!R749,Primary!R749)</f>
        <v>0</v>
      </c>
      <c r="S749" s="19">
        <f>IF(ActiveDatabase=Standby,Secondary!S749,Primary!S749)</f>
        <v>0</v>
      </c>
      <c r="T749" s="10">
        <f>IF(ActiveDatabase=Standby,Secondary!T749,Primary!T749)</f>
        <v>0</v>
      </c>
      <c r="U749" s="10">
        <f>IF(ActiveDatabase=Standby,Secondary!U749,Primary!U749)</f>
        <v>0</v>
      </c>
      <c r="V749" s="10">
        <f>IF(ActiveDatabase=Standby,Secondary!V749,Primary!V749)</f>
        <v>0</v>
      </c>
      <c r="W749" s="6">
        <f>IF(ActiveDatabase=Standby,Secondary!W749,Primary!W749)</f>
        <v>0</v>
      </c>
      <c r="X749" s="6">
        <f>IF(ActiveDatabase=Standby,Secondary!X749,Primary!X749)</f>
        <v>0</v>
      </c>
      <c r="Y749" s="12">
        <f>IF(ActiveDatabase=Standby,Secondary!Y749,Primary!Y1407)</f>
        <v>0</v>
      </c>
      <c r="Z749" s="12">
        <f>IF(ActiveDatabase=Standby,Secondary!Z749,Primary!Z1407)</f>
        <v>0</v>
      </c>
      <c r="AA749" s="6">
        <f>IF(ActiveDatabase=Standby,Secondary!AA749,Primary!AA1407)</f>
        <v>0</v>
      </c>
      <c r="AB749" s="12"/>
      <c r="AC749" s="6"/>
      <c r="AD749" s="6"/>
      <c r="AE749" s="7"/>
      <c r="AF749" s="7"/>
      <c r="AG749" s="7"/>
      <c r="AH749" s="7"/>
      <c r="AI749" s="7"/>
      <c r="AJ749" s="7"/>
      <c r="AK749" s="7"/>
      <c r="AL749" s="7"/>
      <c r="AM749" s="7"/>
      <c r="AN749" s="7"/>
      <c r="AO749" s="6"/>
      <c r="AP749" s="7"/>
      <c r="AQ749" s="7"/>
      <c r="AR749" s="6"/>
      <c r="AS749" s="6"/>
      <c r="AT749" s="6"/>
      <c r="AU749" s="6"/>
      <c r="AV749" s="6"/>
      <c r="AW749" s="6"/>
      <c r="AX749" s="6"/>
      <c r="AY749" s="6"/>
      <c r="AZ749" s="6"/>
      <c r="BA749" s="6"/>
      <c r="BB749" s="6"/>
      <c r="BC749" s="6"/>
      <c r="BD749" s="6"/>
      <c r="BE749" s="6"/>
      <c r="BF749" s="6"/>
      <c r="BG749" s="6"/>
    </row>
    <row r="750" customHeight="1" spans="1:59">
      <c r="A750" s="9" t="str">
        <f>IF(ActiveDatabase=Standby,Secondary!A750,Primary!A750)</f>
        <v>microTech 27</v>
      </c>
      <c r="B750" s="5" t="str">
        <f>IF(ActiveDatabase=Standby,Secondary!B750,Primary!B750)</f>
        <v>microTech 90</v>
      </c>
      <c r="C750" s="5" t="str">
        <f>IF(ActiveDatabase=Standby,Secondary!C750,Primary!C750)</f>
        <v>microTech 44</v>
      </c>
      <c r="D750" s="5" t="str">
        <f>IF(ActiveDatabase=Standby,Secondary!D750,Primary!D750)</f>
        <v>Comm Array ST4-22</v>
      </c>
      <c r="E750" s="6" t="str">
        <f>IF(ActiveDatabase=Standby,Secondary!E750,Primary!E750)</f>
        <v>ST4-22</v>
      </c>
      <c r="F750" s="10">
        <f>IF(ActiveDatabase=Standby,Secondary!F750,Primary!F750)</f>
        <v>1395.18702770233</v>
      </c>
      <c r="G750" s="10">
        <f>IF(ActiveDatabase=Standby,Secondary!G750,Primary!G750)</f>
        <v>1967.74453779602</v>
      </c>
      <c r="H750" s="10">
        <f>IF(ActiveDatabase=Standby,Secondary!H750,Primary!H750)</f>
        <v>24</v>
      </c>
      <c r="I750" s="13">
        <f>IF(ActiveDatabase=Standby,Secondary!I750,Primary!I750)</f>
        <v>0</v>
      </c>
      <c r="J750" s="13">
        <f>IF(ActiveDatabase=Standby,Secondary!J750,Primary!J750)</f>
        <v>0</v>
      </c>
      <c r="K750" s="13">
        <f>IF(ActiveDatabase=Standby,Secondary!K750,Primary!K750)</f>
        <v>0</v>
      </c>
      <c r="L750" s="13">
        <f>IF(ActiveDatabase=Standby,Secondary!L750,Primary!L750)</f>
        <v>0</v>
      </c>
      <c r="M750" s="7" t="b">
        <f>IF(ActiveDatabase=Standby,Secondary!M750,Primary!M750)</f>
        <v>1</v>
      </c>
      <c r="N750" s="10">
        <f>IF(ActiveDatabase=Standby,Secondary!N750,Primary!N750)</f>
        <v>0</v>
      </c>
      <c r="O750" s="10">
        <f>IF(ActiveDatabase=Standby,Secondary!O750,Primary!O750)</f>
        <v>0</v>
      </c>
      <c r="P750" s="10">
        <f>IF(ActiveDatabase=Standby,Secondary!P750,Primary!P750)</f>
        <v>0</v>
      </c>
      <c r="Q750" s="6">
        <f>IF(ActiveDatabase=Standby,Secondary!Q750,Primary!Q750)</f>
        <v>0</v>
      </c>
      <c r="R750" s="18">
        <f>IF(ActiveDatabase=Standby,Secondary!R750,Primary!R750)</f>
        <v>0</v>
      </c>
      <c r="S750" s="19">
        <f>IF(ActiveDatabase=Standby,Secondary!S750,Primary!S750)</f>
        <v>0</v>
      </c>
      <c r="T750" s="10">
        <f>IF(ActiveDatabase=Standby,Secondary!T750,Primary!T750)</f>
        <v>0</v>
      </c>
      <c r="U750" s="10">
        <f>IF(ActiveDatabase=Standby,Secondary!U750,Primary!U750)</f>
        <v>0</v>
      </c>
      <c r="V750" s="10">
        <f>IF(ActiveDatabase=Standby,Secondary!V750,Primary!V750)</f>
        <v>0</v>
      </c>
      <c r="W750" s="6">
        <f>IF(ActiveDatabase=Standby,Secondary!W750,Primary!W750)</f>
        <v>0</v>
      </c>
      <c r="X750" s="6">
        <f>IF(ActiveDatabase=Standby,Secondary!X750,Primary!X750)</f>
        <v>0</v>
      </c>
      <c r="Y750" s="12">
        <f>IF(ActiveDatabase=Standby,Secondary!Y750,Primary!Y1408)</f>
        <v>0</v>
      </c>
      <c r="Z750" s="12">
        <f>IF(ActiveDatabase=Standby,Secondary!Z750,Primary!Z1408)</f>
        <v>0</v>
      </c>
      <c r="AA750" s="6">
        <f>IF(ActiveDatabase=Standby,Secondary!AA750,Primary!AA1408)</f>
        <v>0</v>
      </c>
      <c r="AB750" s="12"/>
      <c r="AC750" s="6"/>
      <c r="AD750" s="6"/>
      <c r="AE750" s="7"/>
      <c r="AF750" s="7"/>
      <c r="AG750" s="7"/>
      <c r="AH750" s="7"/>
      <c r="AI750" s="7"/>
      <c r="AJ750" s="7"/>
      <c r="AK750" s="7"/>
      <c r="AL750" s="7"/>
      <c r="AM750" s="7"/>
      <c r="AN750" s="7"/>
      <c r="AO750" s="6"/>
      <c r="AP750" s="7"/>
      <c r="AQ750" s="7"/>
      <c r="AR750" s="6"/>
      <c r="AS750" s="6"/>
      <c r="AT750" s="6"/>
      <c r="AU750" s="6"/>
      <c r="AV750" s="6"/>
      <c r="AW750" s="6"/>
      <c r="AX750" s="6"/>
      <c r="AY750" s="6"/>
      <c r="AZ750" s="6"/>
      <c r="BA750" s="6"/>
      <c r="BB750" s="6"/>
      <c r="BC750" s="6"/>
      <c r="BD750" s="6"/>
      <c r="BE750" s="6"/>
      <c r="BF750" s="6"/>
      <c r="BG750" s="6"/>
    </row>
    <row r="751" customHeight="1" spans="1:59">
      <c r="A751" s="9" t="str">
        <f>IF(ActiveDatabase=Standby,Secondary!A751,Primary!A751)</f>
        <v>microTech</v>
      </c>
      <c r="B751" s="5" t="str">
        <f>IF(ActiveDatabase=Standby,Secondary!B751,Primary!B751)</f>
        <v>microTech 92</v>
      </c>
      <c r="C751" s="5">
        <f>IF(ActiveDatabase=Standby,Secondary!C751,Primary!C751)</f>
        <v>0</v>
      </c>
      <c r="D751" s="5" t="str">
        <f>IF(ActiveDatabase=Standby,Secondary!D751,Primary!D751)</f>
        <v>Rivers</v>
      </c>
      <c r="E751" s="6">
        <f>IF(ActiveDatabase=Standby,Secondary!E751,Primary!E751)</f>
        <v>0</v>
      </c>
      <c r="F751" s="10">
        <f>IF(ActiveDatabase=Standby,Secondary!F751,Primary!F751)</f>
        <v>0</v>
      </c>
      <c r="G751" s="10">
        <f>IF(ActiveDatabase=Standby,Secondary!G751,Primary!G751)</f>
        <v>0</v>
      </c>
      <c r="H751" s="10">
        <f>IF(ActiveDatabase=Standby,Secondary!H751,Primary!H751)</f>
        <v>0</v>
      </c>
      <c r="I751" s="13">
        <f>IF(ActiveDatabase=Standby,Secondary!I751,Primary!I751)</f>
        <v>0</v>
      </c>
      <c r="J751" s="13">
        <f>IF(ActiveDatabase=Standby,Secondary!J751,Primary!J751)</f>
        <v>0</v>
      </c>
      <c r="K751" s="13">
        <f>IF(ActiveDatabase=Standby,Secondary!K751,Primary!K751)</f>
        <v>0</v>
      </c>
      <c r="L751" s="13">
        <f>IF(ActiveDatabase=Standby,Secondary!L751,Primary!L751)</f>
        <v>0</v>
      </c>
      <c r="M751" s="7">
        <f>IF(ActiveDatabase=Standby,Secondary!M751,Primary!M751)</f>
        <v>0</v>
      </c>
      <c r="N751" s="10">
        <f>IF(ActiveDatabase=Standby,Secondary!N751,Primary!N751)</f>
        <v>0</v>
      </c>
      <c r="O751" s="10">
        <f>IF(ActiveDatabase=Standby,Secondary!O751,Primary!O751)</f>
        <v>0</v>
      </c>
      <c r="P751" s="10">
        <f>IF(ActiveDatabase=Standby,Secondary!P751,Primary!P751)</f>
        <v>0</v>
      </c>
      <c r="Q751" s="6">
        <f>IF(ActiveDatabase=Standby,Secondary!Q751,Primary!Q751)</f>
        <v>0</v>
      </c>
      <c r="R751" s="18">
        <f>IF(ActiveDatabase=Standby,Secondary!R751,Primary!R751)</f>
        <v>0</v>
      </c>
      <c r="S751" s="19">
        <f>IF(ActiveDatabase=Standby,Secondary!S751,Primary!S751)</f>
        <v>0</v>
      </c>
      <c r="T751" s="10">
        <f>IF(ActiveDatabase=Standby,Secondary!T751,Primary!T751)</f>
        <v>0</v>
      </c>
      <c r="U751" s="10">
        <f>IF(ActiveDatabase=Standby,Secondary!U751,Primary!U751)</f>
        <v>0</v>
      </c>
      <c r="V751" s="10">
        <f>IF(ActiveDatabase=Standby,Secondary!V751,Primary!V751)</f>
        <v>0</v>
      </c>
      <c r="W751" s="6">
        <f>IF(ActiveDatabase=Standby,Secondary!W751,Primary!W751)</f>
        <v>0</v>
      </c>
      <c r="X751" s="6">
        <f>IF(ActiveDatabase=Standby,Secondary!X751,Primary!X751)</f>
        <v>0</v>
      </c>
      <c r="Y751" s="12">
        <f>IF(ActiveDatabase=Standby,Secondary!Y751,Primary!Y1409)</f>
        <v>0</v>
      </c>
      <c r="Z751" s="12">
        <f>IF(ActiveDatabase=Standby,Secondary!Z751,Primary!Z1409)</f>
        <v>0</v>
      </c>
      <c r="AA751" s="6">
        <f>IF(ActiveDatabase=Standby,Secondary!AA751,Primary!AA1409)</f>
        <v>0</v>
      </c>
      <c r="AB751" s="12"/>
      <c r="AC751" s="6"/>
      <c r="AD751" s="6"/>
      <c r="AE751" s="7"/>
      <c r="AF751" s="7"/>
      <c r="AG751" s="7"/>
      <c r="AH751" s="7"/>
      <c r="AI751" s="7"/>
      <c r="AJ751" s="7"/>
      <c r="AK751" s="7"/>
      <c r="AL751" s="7"/>
      <c r="AM751" s="7"/>
      <c r="AN751" s="7"/>
      <c r="AO751" s="6"/>
      <c r="AP751" s="7"/>
      <c r="AQ751" s="7"/>
      <c r="AR751" s="6"/>
      <c r="AS751" s="6"/>
      <c r="AT751" s="6"/>
      <c r="AU751" s="6"/>
      <c r="AV751" s="6"/>
      <c r="AW751" s="6"/>
      <c r="AX751" s="6"/>
      <c r="AY751" s="6"/>
      <c r="AZ751" s="6"/>
      <c r="BA751" s="6"/>
      <c r="BB751" s="6"/>
      <c r="BC751" s="6"/>
      <c r="BD751" s="6"/>
      <c r="BE751" s="6"/>
      <c r="BF751" s="6"/>
      <c r="BG751" s="6"/>
    </row>
    <row r="752" customHeight="1" spans="1:59">
      <c r="A752" s="9" t="str">
        <f>IF(ActiveDatabase=Standby,Secondary!A752,Primary!A752)</f>
        <v>microTech 74</v>
      </c>
      <c r="B752" s="5" t="str">
        <f>IF(ActiveDatabase=Standby,Secondary!B752,Primary!B752)</f>
        <v>microTech 93</v>
      </c>
      <c r="C752" s="5" t="str">
        <f>IF(ActiveDatabase=Standby,Secondary!C752,Primary!C752)</f>
        <v>microTech 60</v>
      </c>
      <c r="D752" s="5" t="str">
        <f>IF(ActiveDatabase=Standby,Secondary!D752,Primary!D752)</f>
        <v>River 35R</v>
      </c>
      <c r="E752" s="6" t="str">
        <f>IF(ActiveDatabase=Standby,Secondary!E752,Primary!E752)</f>
        <v>River 35R</v>
      </c>
      <c r="F752" s="10">
        <f>IF(ActiveDatabase=Standby,Secondary!F752,Primary!F752)</f>
        <v>806.12952788544</v>
      </c>
      <c r="G752" s="10">
        <f>IF(ActiveDatabase=Standby,Secondary!G752,Primary!G752)</f>
        <v>424.64153803191</v>
      </c>
      <c r="H752" s="10">
        <f>IF(ActiveDatabase=Standby,Secondary!H752,Primary!H752)</f>
        <v>414.60756717617</v>
      </c>
      <c r="I752" s="13">
        <f>IF(ActiveDatabase=Standby,Secondary!I752,Primary!I752)</f>
        <v>0</v>
      </c>
      <c r="J752" s="13">
        <f>IF(ActiveDatabase=Standby,Secondary!J752,Primary!J752)</f>
        <v>0</v>
      </c>
      <c r="K752" s="13">
        <f>IF(ActiveDatabase=Standby,Secondary!K752,Primary!K752)</f>
        <v>0</v>
      </c>
      <c r="L752" s="13">
        <f>IF(ActiveDatabase=Standby,Secondary!L752,Primary!L752)</f>
        <v>0</v>
      </c>
      <c r="M752" s="7" t="b">
        <f>IF(ActiveDatabase=Standby,Secondary!M752,Primary!M752)</f>
        <v>0</v>
      </c>
      <c r="N752" s="10">
        <f>IF(ActiveDatabase=Standby,Secondary!N752,Primary!N752)</f>
        <v>0</v>
      </c>
      <c r="O752" s="10">
        <f>IF(ActiveDatabase=Standby,Secondary!O752,Primary!O752)</f>
        <v>0</v>
      </c>
      <c r="P752" s="10">
        <f>IF(ActiveDatabase=Standby,Secondary!P752,Primary!P752)</f>
        <v>0</v>
      </c>
      <c r="Q752" s="6">
        <f>IF(ActiveDatabase=Standby,Secondary!Q752,Primary!Q752)</f>
        <v>0</v>
      </c>
      <c r="R752" s="18">
        <f>IF(ActiveDatabase=Standby,Secondary!R752,Primary!R752)</f>
        <v>0</v>
      </c>
      <c r="S752" s="19">
        <f>IF(ActiveDatabase=Standby,Secondary!S752,Primary!S752)</f>
        <v>0</v>
      </c>
      <c r="T752" s="10">
        <f>IF(ActiveDatabase=Standby,Secondary!T752,Primary!T752)</f>
        <v>0</v>
      </c>
      <c r="U752" s="10">
        <f>IF(ActiveDatabase=Standby,Secondary!U752,Primary!U752)</f>
        <v>0</v>
      </c>
      <c r="V752" s="10">
        <f>IF(ActiveDatabase=Standby,Secondary!V752,Primary!V752)</f>
        <v>0</v>
      </c>
      <c r="W752" s="6">
        <f>IF(ActiveDatabase=Standby,Secondary!W752,Primary!W752)</f>
        <v>0</v>
      </c>
      <c r="X752" s="6">
        <f>IF(ActiveDatabase=Standby,Secondary!X752,Primary!X752)</f>
        <v>0</v>
      </c>
      <c r="Y752" s="12">
        <f>IF(ActiveDatabase=Standby,Secondary!Y752,Primary!Y1410)</f>
        <v>0</v>
      </c>
      <c r="Z752" s="12">
        <f>IF(ActiveDatabase=Standby,Secondary!Z752,Primary!Z1410)</f>
        <v>0</v>
      </c>
      <c r="AA752" s="6">
        <f>IF(ActiveDatabase=Standby,Secondary!AA752,Primary!AA1410)</f>
        <v>0</v>
      </c>
      <c r="AB752" s="12"/>
      <c r="AC752" s="6"/>
      <c r="AD752" s="6"/>
      <c r="AE752" s="7"/>
      <c r="AF752" s="7"/>
      <c r="AG752" s="7"/>
      <c r="AH752" s="7"/>
      <c r="AI752" s="7"/>
      <c r="AJ752" s="7"/>
      <c r="AK752" s="7"/>
      <c r="AL752" s="7"/>
      <c r="AM752" s="7"/>
      <c r="AN752" s="7"/>
      <c r="AO752" s="6"/>
      <c r="AP752" s="7"/>
      <c r="AQ752" s="7"/>
      <c r="AR752" s="6"/>
      <c r="AS752" s="6"/>
      <c r="AT752" s="6"/>
      <c r="AU752" s="6"/>
      <c r="AV752" s="6"/>
      <c r="AW752" s="6"/>
      <c r="AX752" s="6"/>
      <c r="AY752" s="6"/>
      <c r="AZ752" s="6"/>
      <c r="BA752" s="6"/>
      <c r="BB752" s="6"/>
      <c r="BC752" s="6"/>
      <c r="BD752" s="6"/>
      <c r="BE752" s="6"/>
      <c r="BF752" s="6"/>
      <c r="BG752" s="6"/>
    </row>
    <row r="753" customHeight="1" spans="1:59">
      <c r="A753" s="9" t="str">
        <f>IF(ActiveDatabase=Standby,Secondary!A753,Primary!A753)</f>
        <v>microTech 75</v>
      </c>
      <c r="B753" s="5" t="str">
        <f>IF(ActiveDatabase=Standby,Secondary!B753,Primary!B753)</f>
        <v>microTech 94</v>
      </c>
      <c r="C753" s="5" t="str">
        <f>IF(ActiveDatabase=Standby,Secondary!C753,Primary!C753)</f>
        <v>microTech 26</v>
      </c>
      <c r="D753" s="5" t="str">
        <f>IF(ActiveDatabase=Standby,Secondary!D753,Primary!D753)</f>
        <v>River 52M</v>
      </c>
      <c r="E753" s="6" t="str">
        <f>IF(ActiveDatabase=Standby,Secondary!E753,Primary!E753)</f>
        <v>River 52M</v>
      </c>
      <c r="F753" s="10">
        <f>IF(ActiveDatabase=Standby,Secondary!F753,Primary!F753)</f>
        <v>-653.17005538579</v>
      </c>
      <c r="G753" s="10">
        <f>IF(ActiveDatabase=Standby,Secondary!G753,Primary!G753)</f>
        <v>758.01399892978</v>
      </c>
      <c r="H753" s="10">
        <f>IF(ActiveDatabase=Standby,Secondary!H753,Primary!H753)</f>
        <v>-1.19610378766</v>
      </c>
      <c r="I753" s="13">
        <f>IF(ActiveDatabase=Standby,Secondary!I753,Primary!I753)</f>
        <v>0</v>
      </c>
      <c r="J753" s="13">
        <f>IF(ActiveDatabase=Standby,Secondary!J753,Primary!J753)</f>
        <v>0</v>
      </c>
      <c r="K753" s="13">
        <f>IF(ActiveDatabase=Standby,Secondary!K753,Primary!K753)</f>
        <v>0</v>
      </c>
      <c r="L753" s="13">
        <f>IF(ActiveDatabase=Standby,Secondary!L753,Primary!L753)</f>
        <v>0</v>
      </c>
      <c r="M753" s="7" t="b">
        <f>IF(ActiveDatabase=Standby,Secondary!M753,Primary!M753)</f>
        <v>0</v>
      </c>
      <c r="N753" s="10">
        <f>IF(ActiveDatabase=Standby,Secondary!N753,Primary!N753)</f>
        <v>0</v>
      </c>
      <c r="O753" s="10">
        <f>IF(ActiveDatabase=Standby,Secondary!O753,Primary!O753)</f>
        <v>0</v>
      </c>
      <c r="P753" s="10">
        <f>IF(ActiveDatabase=Standby,Secondary!P753,Primary!P753)</f>
        <v>0</v>
      </c>
      <c r="Q753" s="6">
        <f>IF(ActiveDatabase=Standby,Secondary!Q753,Primary!Q753)</f>
        <v>0</v>
      </c>
      <c r="R753" s="18">
        <f>IF(ActiveDatabase=Standby,Secondary!R753,Primary!R753)</f>
        <v>0</v>
      </c>
      <c r="S753" s="19">
        <f>IF(ActiveDatabase=Standby,Secondary!S753,Primary!S753)</f>
        <v>0</v>
      </c>
      <c r="T753" s="10">
        <f>IF(ActiveDatabase=Standby,Secondary!T753,Primary!T753)</f>
        <v>0</v>
      </c>
      <c r="U753" s="10">
        <f>IF(ActiveDatabase=Standby,Secondary!U753,Primary!U753)</f>
        <v>0</v>
      </c>
      <c r="V753" s="10">
        <f>IF(ActiveDatabase=Standby,Secondary!V753,Primary!V753)</f>
        <v>0</v>
      </c>
      <c r="W753" s="6">
        <f>IF(ActiveDatabase=Standby,Secondary!W753,Primary!W753)</f>
        <v>0</v>
      </c>
      <c r="X753" s="6">
        <f>IF(ActiveDatabase=Standby,Secondary!X753,Primary!X753)</f>
        <v>0</v>
      </c>
      <c r="Y753" s="12">
        <f>IF(ActiveDatabase=Standby,Secondary!Y753,Primary!Y1411)</f>
        <v>0</v>
      </c>
      <c r="Z753" s="12">
        <f>IF(ActiveDatabase=Standby,Secondary!Z753,Primary!Z1411)</f>
        <v>0</v>
      </c>
      <c r="AA753" s="6">
        <f>IF(ActiveDatabase=Standby,Secondary!AA753,Primary!AA1411)</f>
        <v>0</v>
      </c>
      <c r="AB753" s="12"/>
      <c r="AC753" s="6"/>
      <c r="AD753" s="6"/>
      <c r="AE753" s="7"/>
      <c r="AF753" s="7"/>
      <c r="AG753" s="7"/>
      <c r="AH753" s="7"/>
      <c r="AI753" s="7"/>
      <c r="AJ753" s="7"/>
      <c r="AK753" s="7"/>
      <c r="AL753" s="7"/>
      <c r="AM753" s="7"/>
      <c r="AN753" s="7"/>
      <c r="AO753" s="6"/>
      <c r="AP753" s="7"/>
      <c r="AQ753" s="7"/>
      <c r="AR753" s="6"/>
      <c r="AS753" s="6"/>
      <c r="AT753" s="6"/>
      <c r="AU753" s="6"/>
      <c r="AV753" s="6"/>
      <c r="AW753" s="6"/>
      <c r="AX753" s="6"/>
      <c r="AY753" s="6"/>
      <c r="AZ753" s="6"/>
      <c r="BA753" s="6"/>
      <c r="BB753" s="6"/>
      <c r="BC753" s="6"/>
      <c r="BD753" s="6"/>
      <c r="BE753" s="6"/>
      <c r="BF753" s="6"/>
      <c r="BG753" s="6"/>
    </row>
    <row r="754" customHeight="1" spans="1:59">
      <c r="A754" s="9" t="str">
        <f>IF(ActiveDatabase=Standby,Secondary!A754,Primary!A754)</f>
        <v>microTech 90</v>
      </c>
      <c r="B754" s="5" t="str">
        <f>IF(ActiveDatabase=Standby,Secondary!B754,Primary!B754)</f>
        <v>microTech 109</v>
      </c>
      <c r="C754" s="5" t="str">
        <f>IF(ActiveDatabase=Standby,Secondary!C754,Primary!C754)</f>
        <v>microTech 04</v>
      </c>
      <c r="D754" s="5" t="str">
        <f>IF(ActiveDatabase=Standby,Secondary!D754,Primary!D754)</f>
        <v>River 54N-647</v>
      </c>
      <c r="E754" s="6" t="str">
        <f>IF(ActiveDatabase=Standby,Secondary!E754,Primary!E754)</f>
        <v>River 54N647</v>
      </c>
      <c r="F754" s="10">
        <f>IF(ActiveDatabase=Standby,Secondary!F754,Primary!F754)</f>
        <v>-803.65533737428</v>
      </c>
      <c r="G754" s="10">
        <f>IF(ActiveDatabase=Standby,Secondary!G754,Primary!G754)</f>
        <v>596.95426384438</v>
      </c>
      <c r="H754" s="10">
        <f>IF(ActiveDatabase=Standby,Secondary!H754,Primary!H754)</f>
        <v>6.09849944024</v>
      </c>
      <c r="I754" s="13">
        <f>IF(ActiveDatabase=Standby,Secondary!I754,Primary!I754)</f>
        <v>0</v>
      </c>
      <c r="J754" s="13">
        <f>IF(ActiveDatabase=Standby,Secondary!J754,Primary!J754)</f>
        <v>0</v>
      </c>
      <c r="K754" s="13">
        <f>IF(ActiveDatabase=Standby,Secondary!K754,Primary!K754)</f>
        <v>0</v>
      </c>
      <c r="L754" s="13">
        <f>IF(ActiveDatabase=Standby,Secondary!L754,Primary!L754)</f>
        <v>0</v>
      </c>
      <c r="M754" s="7" t="b">
        <f>IF(ActiveDatabase=Standby,Secondary!M754,Primary!M754)</f>
        <v>0</v>
      </c>
      <c r="N754" s="10">
        <f>IF(ActiveDatabase=Standby,Secondary!N754,Primary!N754)</f>
        <v>0</v>
      </c>
      <c r="O754" s="10">
        <f>IF(ActiveDatabase=Standby,Secondary!O754,Primary!O754)</f>
        <v>0</v>
      </c>
      <c r="P754" s="10">
        <f>IF(ActiveDatabase=Standby,Secondary!P754,Primary!P754)</f>
        <v>0</v>
      </c>
      <c r="Q754" s="6">
        <f>IF(ActiveDatabase=Standby,Secondary!Q754,Primary!Q754)</f>
        <v>0</v>
      </c>
      <c r="R754" s="18">
        <f>IF(ActiveDatabase=Standby,Secondary!R754,Primary!R754)</f>
        <v>0</v>
      </c>
      <c r="S754" s="19">
        <f>IF(ActiveDatabase=Standby,Secondary!S754,Primary!S754)</f>
        <v>0</v>
      </c>
      <c r="T754" s="10">
        <f>IF(ActiveDatabase=Standby,Secondary!T754,Primary!T754)</f>
        <v>0</v>
      </c>
      <c r="U754" s="10">
        <f>IF(ActiveDatabase=Standby,Secondary!U754,Primary!U754)</f>
        <v>0</v>
      </c>
      <c r="V754" s="10">
        <f>IF(ActiveDatabase=Standby,Secondary!V754,Primary!V754)</f>
        <v>0</v>
      </c>
      <c r="W754" s="6">
        <f>IF(ActiveDatabase=Standby,Secondary!W754,Primary!W754)</f>
        <v>0</v>
      </c>
      <c r="X754" s="6">
        <f>IF(ActiveDatabase=Standby,Secondary!X754,Primary!X754)</f>
        <v>0</v>
      </c>
      <c r="Y754" s="12">
        <f>IF(ActiveDatabase=Standby,Secondary!Y754,Primary!Y1412)</f>
        <v>0</v>
      </c>
      <c r="Z754" s="12">
        <f>IF(ActiveDatabase=Standby,Secondary!Z754,Primary!Z1412)</f>
        <v>0</v>
      </c>
      <c r="AA754" s="7">
        <f>IF(ActiveDatabase=Standby,Secondary!AA754,Primary!AA1412)</f>
        <v>0</v>
      </c>
      <c r="AB754" s="12"/>
      <c r="AC754" s="6"/>
      <c r="AD754" s="6"/>
      <c r="AE754" s="7"/>
      <c r="AF754" s="7"/>
      <c r="AG754" s="7"/>
      <c r="AH754" s="7"/>
      <c r="AI754" s="7"/>
      <c r="AJ754" s="7"/>
      <c r="AK754" s="7"/>
      <c r="AL754" s="7"/>
      <c r="AM754" s="7"/>
      <c r="AN754" s="7"/>
      <c r="AO754" s="6"/>
      <c r="AP754" s="7"/>
      <c r="AQ754" s="7"/>
      <c r="AR754" s="6"/>
      <c r="AS754" s="7"/>
      <c r="AT754" s="7"/>
      <c r="AU754" s="7"/>
      <c r="AV754" s="7"/>
      <c r="AW754" s="7"/>
      <c r="AX754" s="7"/>
      <c r="AY754" s="7"/>
      <c r="AZ754" s="7"/>
      <c r="BA754" s="7"/>
      <c r="BB754" s="7"/>
      <c r="BC754" s="7"/>
      <c r="BD754" s="7"/>
      <c r="BE754" s="7"/>
      <c r="BF754" s="7"/>
      <c r="BG754" s="7"/>
    </row>
    <row r="755" customHeight="1" spans="1:59">
      <c r="A755" s="9" t="str">
        <f>IF(ActiveDatabase=Standby,Secondary!A755,Primary!A755)</f>
        <v>microTech 86</v>
      </c>
      <c r="B755" s="5" t="str">
        <f>IF(ActiveDatabase=Standby,Secondary!B755,Primary!B755)</f>
        <v>microTech 105</v>
      </c>
      <c r="C755" s="5" t="str">
        <f>IF(ActiveDatabase=Standby,Secondary!C755,Primary!C755)</f>
        <v>microTech 05</v>
      </c>
      <c r="D755" s="5" t="str">
        <f>IF(ActiveDatabase=Standby,Secondary!D755,Primary!D755)</f>
        <v>River 54M</v>
      </c>
      <c r="E755" s="6" t="str">
        <f>IF(ActiveDatabase=Standby,Secondary!E755,Primary!E755)</f>
        <v>River 54M</v>
      </c>
      <c r="F755" s="10">
        <f>IF(ActiveDatabase=Standby,Secondary!F755,Primary!F755)</f>
        <v>-801.08808977709</v>
      </c>
      <c r="G755" s="10">
        <f>IF(ActiveDatabase=Standby,Secondary!G755,Primary!G755)</f>
        <v>601.46299101323</v>
      </c>
      <c r="H755" s="10">
        <f>IF(ActiveDatabase=Standby,Secondary!H755,Primary!H755)</f>
        <v>-5.71770008787</v>
      </c>
      <c r="I755" s="13">
        <f>IF(ActiveDatabase=Standby,Secondary!I755,Primary!I755)</f>
        <v>0</v>
      </c>
      <c r="J755" s="13">
        <f>IF(ActiveDatabase=Standby,Secondary!J755,Primary!J755)</f>
        <v>0</v>
      </c>
      <c r="K755" s="13">
        <f>IF(ActiveDatabase=Standby,Secondary!K755,Primary!K755)</f>
        <v>0</v>
      </c>
      <c r="L755" s="13">
        <f>IF(ActiveDatabase=Standby,Secondary!L755,Primary!L755)</f>
        <v>0</v>
      </c>
      <c r="M755" s="7" t="b">
        <f>IF(ActiveDatabase=Standby,Secondary!M755,Primary!M755)</f>
        <v>0</v>
      </c>
      <c r="N755" s="10">
        <f>IF(ActiveDatabase=Standby,Secondary!N755,Primary!N755)</f>
        <v>0</v>
      </c>
      <c r="O755" s="10">
        <f>IF(ActiveDatabase=Standby,Secondary!O755,Primary!O755)</f>
        <v>0</v>
      </c>
      <c r="P755" s="10">
        <f>IF(ActiveDatabase=Standby,Secondary!P755,Primary!P755)</f>
        <v>0</v>
      </c>
      <c r="Q755" s="6">
        <f>IF(ActiveDatabase=Standby,Secondary!Q755,Primary!Q755)</f>
        <v>0</v>
      </c>
      <c r="R755" s="18">
        <f>IF(ActiveDatabase=Standby,Secondary!R755,Primary!R755)</f>
        <v>0</v>
      </c>
      <c r="S755" s="19">
        <f>IF(ActiveDatabase=Standby,Secondary!S755,Primary!S755)</f>
        <v>0</v>
      </c>
      <c r="T755" s="10">
        <f>IF(ActiveDatabase=Standby,Secondary!T755,Primary!T755)</f>
        <v>0</v>
      </c>
      <c r="U755" s="10">
        <f>IF(ActiveDatabase=Standby,Secondary!U755,Primary!U755)</f>
        <v>0</v>
      </c>
      <c r="V755" s="10">
        <f>IF(ActiveDatabase=Standby,Secondary!V755,Primary!V755)</f>
        <v>0</v>
      </c>
      <c r="W755" s="6">
        <f>IF(ActiveDatabase=Standby,Secondary!W755,Primary!W755)</f>
        <v>0</v>
      </c>
      <c r="X755" s="6">
        <f>IF(ActiveDatabase=Standby,Secondary!X755,Primary!X755)</f>
        <v>0</v>
      </c>
      <c r="Y755" s="12">
        <f>IF(ActiveDatabase=Standby,Secondary!Y755,Primary!Y1413)</f>
        <v>0</v>
      </c>
      <c r="Z755" s="12">
        <f>IF(ActiveDatabase=Standby,Secondary!Z755,Primary!Z1413)</f>
        <v>0</v>
      </c>
      <c r="AA755" s="7">
        <f>IF(ActiveDatabase=Standby,Secondary!AA755,Primary!AA1413)</f>
        <v>0</v>
      </c>
      <c r="AB755" s="12"/>
      <c r="AC755" s="6"/>
      <c r="AD755" s="6"/>
      <c r="AE755" s="7"/>
      <c r="AF755" s="7"/>
      <c r="AG755" s="7"/>
      <c r="AH755" s="7"/>
      <c r="AI755" s="7"/>
      <c r="AJ755" s="7"/>
      <c r="AK755" s="7"/>
      <c r="AL755" s="7"/>
      <c r="AM755" s="7"/>
      <c r="AN755" s="7"/>
      <c r="AO755" s="6"/>
      <c r="AP755" s="7"/>
      <c r="AQ755" s="7"/>
      <c r="AR755" s="6"/>
      <c r="AS755" s="7"/>
      <c r="AT755" s="7"/>
      <c r="AU755" s="7"/>
      <c r="AV755" s="7"/>
      <c r="AW755" s="7"/>
      <c r="AX755" s="7"/>
      <c r="AY755" s="7"/>
      <c r="AZ755" s="7"/>
      <c r="BA755" s="7"/>
      <c r="BB755" s="7"/>
      <c r="BC755" s="7"/>
      <c r="BD755" s="7"/>
      <c r="BE755" s="7"/>
      <c r="BF755" s="7"/>
      <c r="BG755" s="7"/>
    </row>
    <row r="756" customHeight="1" spans="1:59">
      <c r="A756" s="9" t="str">
        <f>IF(ActiveDatabase=Standby,Secondary!A756,Primary!A756)</f>
        <v>microTech 82</v>
      </c>
      <c r="B756" s="5" t="str">
        <f>IF(ActiveDatabase=Standby,Secondary!B756,Primary!B756)</f>
        <v>microTech 101</v>
      </c>
      <c r="C756" s="5" t="str">
        <f>IF(ActiveDatabase=Standby,Secondary!C756,Primary!C756)</f>
        <v>microTech 09</v>
      </c>
      <c r="D756" s="5" t="str">
        <f>IF(ActiveDatabase=Standby,Secondary!D756,Primary!D756)</f>
        <v>River 53N-636</v>
      </c>
      <c r="E756" s="6" t="str">
        <f>IF(ActiveDatabase=Standby,Secondary!E756,Primary!E756)</f>
        <v>River 53N636</v>
      </c>
      <c r="F756" s="10">
        <f>IF(ActiveDatabase=Standby,Secondary!F756,Primary!F756)</f>
        <v>-740.63392725701</v>
      </c>
      <c r="G756" s="10">
        <f>IF(ActiveDatabase=Standby,Secondary!G756,Primary!G756)</f>
        <v>673.33522484449</v>
      </c>
      <c r="H756" s="10">
        <f>IF(ActiveDatabase=Standby,Secondary!H756,Primary!H756)</f>
        <v>8.85046959811</v>
      </c>
      <c r="I756" s="13">
        <f>IF(ActiveDatabase=Standby,Secondary!I756,Primary!I756)</f>
        <v>0</v>
      </c>
      <c r="J756" s="13">
        <f>IF(ActiveDatabase=Standby,Secondary!J756,Primary!J756)</f>
        <v>0</v>
      </c>
      <c r="K756" s="13">
        <f>IF(ActiveDatabase=Standby,Secondary!K756,Primary!K756)</f>
        <v>0</v>
      </c>
      <c r="L756" s="13">
        <f>IF(ActiveDatabase=Standby,Secondary!L756,Primary!L756)</f>
        <v>0</v>
      </c>
      <c r="M756" s="7" t="b">
        <f>IF(ActiveDatabase=Standby,Secondary!M756,Primary!M756)</f>
        <v>0</v>
      </c>
      <c r="N756" s="10">
        <f>IF(ActiveDatabase=Standby,Secondary!N756,Primary!N756)</f>
        <v>0</v>
      </c>
      <c r="O756" s="10">
        <f>IF(ActiveDatabase=Standby,Secondary!O756,Primary!O756)</f>
        <v>0</v>
      </c>
      <c r="P756" s="10">
        <f>IF(ActiveDatabase=Standby,Secondary!P756,Primary!P756)</f>
        <v>0</v>
      </c>
      <c r="Q756" s="6">
        <f>IF(ActiveDatabase=Standby,Secondary!Q756,Primary!Q756)</f>
        <v>0</v>
      </c>
      <c r="R756" s="18">
        <f>IF(ActiveDatabase=Standby,Secondary!R756,Primary!R756)</f>
        <v>0</v>
      </c>
      <c r="S756" s="19">
        <f>IF(ActiveDatabase=Standby,Secondary!S756,Primary!S756)</f>
        <v>0</v>
      </c>
      <c r="T756" s="10">
        <f>IF(ActiveDatabase=Standby,Secondary!T756,Primary!T756)</f>
        <v>0</v>
      </c>
      <c r="U756" s="10">
        <f>IF(ActiveDatabase=Standby,Secondary!U756,Primary!U756)</f>
        <v>0</v>
      </c>
      <c r="V756" s="10">
        <f>IF(ActiveDatabase=Standby,Secondary!V756,Primary!V756)</f>
        <v>0</v>
      </c>
      <c r="W756" s="6">
        <f>IF(ActiveDatabase=Standby,Secondary!W756,Primary!W756)</f>
        <v>0</v>
      </c>
      <c r="X756" s="6">
        <f>IF(ActiveDatabase=Standby,Secondary!X756,Primary!X756)</f>
        <v>0</v>
      </c>
      <c r="Y756" s="12">
        <f>IF(ActiveDatabase=Standby,Secondary!Y756,Primary!Y1414)</f>
        <v>0</v>
      </c>
      <c r="Z756" s="12">
        <f>IF(ActiveDatabase=Standby,Secondary!Z756,Primary!Z1414)</f>
        <v>0</v>
      </c>
      <c r="AA756" s="7">
        <f>IF(ActiveDatabase=Standby,Secondary!AA756,Primary!AA1414)</f>
        <v>0</v>
      </c>
      <c r="AB756" s="12"/>
      <c r="AC756" s="6"/>
      <c r="AD756" s="6"/>
      <c r="AE756" s="7"/>
      <c r="AF756" s="7"/>
      <c r="AG756" s="7"/>
      <c r="AH756" s="7"/>
      <c r="AI756" s="7"/>
      <c r="AJ756" s="7"/>
      <c r="AK756" s="7"/>
      <c r="AL756" s="7"/>
      <c r="AM756" s="7"/>
      <c r="AN756" s="7"/>
      <c r="AO756" s="6"/>
      <c r="AP756" s="7"/>
      <c r="AQ756" s="7"/>
      <c r="AR756" s="6"/>
      <c r="AS756" s="7"/>
      <c r="AT756" s="7"/>
      <c r="AU756" s="7"/>
      <c r="AV756" s="7"/>
      <c r="AW756" s="7"/>
      <c r="AX756" s="7"/>
      <c r="AY756" s="7"/>
      <c r="AZ756" s="7"/>
      <c r="BA756" s="7"/>
      <c r="BB756" s="7"/>
      <c r="BC756" s="7"/>
      <c r="BD756" s="7"/>
      <c r="BE756" s="7"/>
      <c r="BF756" s="7"/>
      <c r="BG756" s="7"/>
    </row>
    <row r="757" customHeight="1" spans="1:59">
      <c r="A757" s="9" t="str">
        <f>IF(ActiveDatabase=Standby,Secondary!A757,Primary!A757)</f>
        <v>microTech 81</v>
      </c>
      <c r="B757" s="5" t="str">
        <f>IF(ActiveDatabase=Standby,Secondary!B757,Primary!B757)</f>
        <v>microTech 100</v>
      </c>
      <c r="C757" s="5" t="str">
        <f>IF(ActiveDatabase=Standby,Secondary!C757,Primary!C757)</f>
        <v>microTech 10</v>
      </c>
      <c r="D757" s="5" t="str">
        <f>IF(ActiveDatabase=Standby,Secondary!D757,Primary!D757)</f>
        <v>River 53N-635</v>
      </c>
      <c r="E757" s="6" t="str">
        <f>IF(ActiveDatabase=Standby,Secondary!E757,Primary!E757)</f>
        <v>River 53N635</v>
      </c>
      <c r="F757" s="10">
        <f>IF(ActiveDatabase=Standby,Secondary!F757,Primary!F757)</f>
        <v>-737.61605488143</v>
      </c>
      <c r="G757" s="10">
        <f>IF(ActiveDatabase=Standby,Secondary!G757,Primary!G757)</f>
        <v>676.62032420707</v>
      </c>
      <c r="H757" s="10">
        <f>IF(ActiveDatabase=Standby,Secondary!H757,Primary!H757)</f>
        <v>0.80486141263</v>
      </c>
      <c r="I757" s="13">
        <f>IF(ActiveDatabase=Standby,Secondary!I757,Primary!I757)</f>
        <v>0</v>
      </c>
      <c r="J757" s="13">
        <f>IF(ActiveDatabase=Standby,Secondary!J757,Primary!J757)</f>
        <v>0</v>
      </c>
      <c r="K757" s="13">
        <f>IF(ActiveDatabase=Standby,Secondary!K757,Primary!K757)</f>
        <v>0</v>
      </c>
      <c r="L757" s="13">
        <f>IF(ActiveDatabase=Standby,Secondary!L757,Primary!L757)</f>
        <v>0</v>
      </c>
      <c r="M757" s="7" t="b">
        <f>IF(ActiveDatabase=Standby,Secondary!M757,Primary!M757)</f>
        <v>0</v>
      </c>
      <c r="N757" s="10">
        <f>IF(ActiveDatabase=Standby,Secondary!N757,Primary!N757)</f>
        <v>0</v>
      </c>
      <c r="O757" s="10">
        <f>IF(ActiveDatabase=Standby,Secondary!O757,Primary!O757)</f>
        <v>0</v>
      </c>
      <c r="P757" s="10">
        <f>IF(ActiveDatabase=Standby,Secondary!P757,Primary!P757)</f>
        <v>0</v>
      </c>
      <c r="Q757" s="6">
        <f>IF(ActiveDatabase=Standby,Secondary!Q757,Primary!Q757)</f>
        <v>0</v>
      </c>
      <c r="R757" s="18">
        <f>IF(ActiveDatabase=Standby,Secondary!R757,Primary!R757)</f>
        <v>0</v>
      </c>
      <c r="S757" s="19">
        <f>IF(ActiveDatabase=Standby,Secondary!S757,Primary!S757)</f>
        <v>0</v>
      </c>
      <c r="T757" s="10">
        <f>IF(ActiveDatabase=Standby,Secondary!T757,Primary!T757)</f>
        <v>0</v>
      </c>
      <c r="U757" s="10">
        <f>IF(ActiveDatabase=Standby,Secondary!U757,Primary!U757)</f>
        <v>0</v>
      </c>
      <c r="V757" s="10">
        <f>IF(ActiveDatabase=Standby,Secondary!V757,Primary!V757)</f>
        <v>0</v>
      </c>
      <c r="W757" s="6">
        <f>IF(ActiveDatabase=Standby,Secondary!W757,Primary!W757)</f>
        <v>0</v>
      </c>
      <c r="X757" s="6">
        <f>IF(ActiveDatabase=Standby,Secondary!X757,Primary!X757)</f>
        <v>0</v>
      </c>
      <c r="Y757" s="12">
        <f>IF(ActiveDatabase=Standby,Secondary!Y757,Primary!Y1415)</f>
        <v>0</v>
      </c>
      <c r="Z757" s="12">
        <f>IF(ActiveDatabase=Standby,Secondary!Z757,Primary!Z1415)</f>
        <v>0</v>
      </c>
      <c r="AA757" s="7">
        <f>IF(ActiveDatabase=Standby,Secondary!AA757,Primary!AA1415)</f>
        <v>0</v>
      </c>
      <c r="AB757" s="12"/>
      <c r="AC757" s="6"/>
      <c r="AD757" s="6"/>
      <c r="AE757" s="7"/>
      <c r="AF757" s="7"/>
      <c r="AG757" s="7"/>
      <c r="AH757" s="7"/>
      <c r="AI757" s="7"/>
      <c r="AJ757" s="7"/>
      <c r="AK757" s="7"/>
      <c r="AL757" s="7"/>
      <c r="AM757" s="7"/>
      <c r="AN757" s="7"/>
      <c r="AO757" s="6"/>
      <c r="AP757" s="7"/>
      <c r="AQ757" s="7"/>
      <c r="AR757" s="6"/>
      <c r="AS757" s="7"/>
      <c r="AT757" s="7"/>
      <c r="AU757" s="7"/>
      <c r="AV757" s="7"/>
      <c r="AW757" s="7"/>
      <c r="AX757" s="7"/>
      <c r="AY757" s="7"/>
      <c r="AZ757" s="7"/>
      <c r="BA757" s="7"/>
      <c r="BB757" s="7"/>
      <c r="BC757" s="7"/>
      <c r="BD757" s="7"/>
      <c r="BE757" s="7"/>
      <c r="BF757" s="7"/>
      <c r="BG757" s="7"/>
    </row>
    <row r="758" customHeight="1" spans="1:59">
      <c r="A758" s="9" t="str">
        <f>IF(ActiveDatabase=Standby,Secondary!A758,Primary!A758)</f>
        <v>microTech 79</v>
      </c>
      <c r="B758" s="5" t="str">
        <f>IF(ActiveDatabase=Standby,Secondary!B758,Primary!B758)</f>
        <v>microTech 98</v>
      </c>
      <c r="C758" s="5" t="str">
        <f>IF(ActiveDatabase=Standby,Secondary!C758,Primary!C758)</f>
        <v>microTech 16</v>
      </c>
      <c r="D758" s="5" t="str">
        <f>IF(ActiveDatabase=Standby,Secondary!D758,Primary!D758)</f>
        <v>River 53N-630</v>
      </c>
      <c r="E758" s="6" t="str">
        <f>IF(ActiveDatabase=Standby,Secondary!E758,Primary!E758)</f>
        <v>River 53N630</v>
      </c>
      <c r="F758" s="10">
        <f>IF(ActiveDatabase=Standby,Secondary!F758,Primary!F758)</f>
        <v>-707.00629584817</v>
      </c>
      <c r="G758" s="10">
        <f>IF(ActiveDatabase=Standby,Secondary!G758,Primary!G758)</f>
        <v>708.48388936968</v>
      </c>
      <c r="H758" s="10">
        <f>IF(ActiveDatabase=Standby,Secondary!H758,Primary!H758)</f>
        <v>3.99330654078</v>
      </c>
      <c r="I758" s="13">
        <f>IF(ActiveDatabase=Standby,Secondary!I758,Primary!I758)</f>
        <v>0</v>
      </c>
      <c r="J758" s="13">
        <f>IF(ActiveDatabase=Standby,Secondary!J758,Primary!J758)</f>
        <v>0</v>
      </c>
      <c r="K758" s="13">
        <f>IF(ActiveDatabase=Standby,Secondary!K758,Primary!K758)</f>
        <v>0</v>
      </c>
      <c r="L758" s="13">
        <f>IF(ActiveDatabase=Standby,Secondary!L758,Primary!L758)</f>
        <v>0</v>
      </c>
      <c r="M758" s="7" t="b">
        <f>IF(ActiveDatabase=Standby,Secondary!M758,Primary!M758)</f>
        <v>0</v>
      </c>
      <c r="N758" s="10">
        <f>IF(ActiveDatabase=Standby,Secondary!N758,Primary!N758)</f>
        <v>0</v>
      </c>
      <c r="O758" s="10">
        <f>IF(ActiveDatabase=Standby,Secondary!O758,Primary!O758)</f>
        <v>0</v>
      </c>
      <c r="P758" s="10">
        <f>IF(ActiveDatabase=Standby,Secondary!P758,Primary!P758)</f>
        <v>0</v>
      </c>
      <c r="Q758" s="6">
        <f>IF(ActiveDatabase=Standby,Secondary!Q758,Primary!Q758)</f>
        <v>0</v>
      </c>
      <c r="R758" s="18">
        <f>IF(ActiveDatabase=Standby,Secondary!R758,Primary!R758)</f>
        <v>0</v>
      </c>
      <c r="S758" s="19">
        <f>IF(ActiveDatabase=Standby,Secondary!S758,Primary!S758)</f>
        <v>0</v>
      </c>
      <c r="T758" s="10">
        <f>IF(ActiveDatabase=Standby,Secondary!T758,Primary!T758)</f>
        <v>0</v>
      </c>
      <c r="U758" s="10">
        <f>IF(ActiveDatabase=Standby,Secondary!U758,Primary!U758)</f>
        <v>0</v>
      </c>
      <c r="V758" s="10">
        <f>IF(ActiveDatabase=Standby,Secondary!V758,Primary!V758)</f>
        <v>0</v>
      </c>
      <c r="W758" s="6">
        <f>IF(ActiveDatabase=Standby,Secondary!W758,Primary!W758)</f>
        <v>0</v>
      </c>
      <c r="X758" s="6">
        <f>IF(ActiveDatabase=Standby,Secondary!X758,Primary!X758)</f>
        <v>0</v>
      </c>
      <c r="Y758" s="12">
        <f>IF(ActiveDatabase=Standby,Secondary!Y758,Primary!Y1416)</f>
        <v>0</v>
      </c>
      <c r="Z758" s="12">
        <f>IF(ActiveDatabase=Standby,Secondary!Z758,Primary!Z1416)</f>
        <v>0</v>
      </c>
      <c r="AA758" s="7">
        <f>IF(ActiveDatabase=Standby,Secondary!AA758,Primary!AA1416)</f>
        <v>0</v>
      </c>
      <c r="AB758" s="12"/>
      <c r="AC758" s="6"/>
      <c r="AD758" s="6"/>
      <c r="AE758" s="7"/>
      <c r="AF758" s="7"/>
      <c r="AG758" s="7"/>
      <c r="AH758" s="7"/>
      <c r="AI758" s="7"/>
      <c r="AJ758" s="7"/>
      <c r="AK758" s="7"/>
      <c r="AL758" s="7"/>
      <c r="AM758" s="7"/>
      <c r="AN758" s="7"/>
      <c r="AO758" s="6"/>
      <c r="AP758" s="7"/>
      <c r="AQ758" s="7"/>
      <c r="AR758" s="6"/>
      <c r="AS758" s="7"/>
      <c r="AT758" s="7"/>
      <c r="AU758" s="7"/>
      <c r="AV758" s="7"/>
      <c r="AW758" s="7"/>
      <c r="AX758" s="7"/>
      <c r="AY758" s="7"/>
      <c r="AZ758" s="7"/>
      <c r="BA758" s="7"/>
      <c r="BB758" s="7"/>
      <c r="BC758" s="7"/>
      <c r="BD758" s="7"/>
      <c r="BE758" s="7"/>
      <c r="BF758" s="7"/>
      <c r="BG758" s="7"/>
    </row>
    <row r="759" customHeight="1" spans="1:59">
      <c r="A759" s="9" t="str">
        <f>IF(ActiveDatabase=Standby,Secondary!A759,Primary!A759)</f>
        <v>microTech 80</v>
      </c>
      <c r="B759" s="5" t="str">
        <f>IF(ActiveDatabase=Standby,Secondary!B759,Primary!B759)</f>
        <v>microTech 99</v>
      </c>
      <c r="C759" s="5" t="str">
        <f>IF(ActiveDatabase=Standby,Secondary!C759,Primary!C759)</f>
        <v>microTech 13</v>
      </c>
      <c r="D759" s="5" t="str">
        <f>IF(ActiveDatabase=Standby,Secondary!D759,Primary!D759)</f>
        <v>River 53N-633</v>
      </c>
      <c r="E759" s="6" t="str">
        <f>IF(ActiveDatabase=Standby,Secondary!E759,Primary!E759)</f>
        <v>River 53N633</v>
      </c>
      <c r="F759" s="10">
        <f>IF(ActiveDatabase=Standby,Secondary!F759,Primary!F759)</f>
        <v>-724.49010855951</v>
      </c>
      <c r="G759" s="10">
        <f>IF(ActiveDatabase=Standby,Secondary!G759,Primary!G759)</f>
        <v>690.56441334727</v>
      </c>
      <c r="H759" s="10">
        <f>IF(ActiveDatabase=Standby,Secondary!H759,Primary!H759)</f>
        <v>11.37279001968</v>
      </c>
      <c r="I759" s="13">
        <f>IF(ActiveDatabase=Standby,Secondary!I759,Primary!I759)</f>
        <v>0</v>
      </c>
      <c r="J759" s="13">
        <f>IF(ActiveDatabase=Standby,Secondary!J759,Primary!J759)</f>
        <v>0</v>
      </c>
      <c r="K759" s="13">
        <f>IF(ActiveDatabase=Standby,Secondary!K759,Primary!K759)</f>
        <v>0</v>
      </c>
      <c r="L759" s="13">
        <f>IF(ActiveDatabase=Standby,Secondary!L759,Primary!L759)</f>
        <v>0</v>
      </c>
      <c r="M759" s="7" t="b">
        <f>IF(ActiveDatabase=Standby,Secondary!M759,Primary!M759)</f>
        <v>0</v>
      </c>
      <c r="N759" s="10">
        <f>IF(ActiveDatabase=Standby,Secondary!N759,Primary!N759)</f>
        <v>0</v>
      </c>
      <c r="O759" s="10">
        <f>IF(ActiveDatabase=Standby,Secondary!O759,Primary!O759)</f>
        <v>0</v>
      </c>
      <c r="P759" s="10">
        <f>IF(ActiveDatabase=Standby,Secondary!P759,Primary!P759)</f>
        <v>0</v>
      </c>
      <c r="Q759" s="6">
        <f>IF(ActiveDatabase=Standby,Secondary!Q759,Primary!Q759)</f>
        <v>0</v>
      </c>
      <c r="R759" s="18">
        <f>IF(ActiveDatabase=Standby,Secondary!R759,Primary!R759)</f>
        <v>0</v>
      </c>
      <c r="S759" s="19">
        <f>IF(ActiveDatabase=Standby,Secondary!S759,Primary!S759)</f>
        <v>0</v>
      </c>
      <c r="T759" s="10">
        <f>IF(ActiveDatabase=Standby,Secondary!T759,Primary!T759)</f>
        <v>0</v>
      </c>
      <c r="U759" s="10">
        <f>IF(ActiveDatabase=Standby,Secondary!U759,Primary!U759)</f>
        <v>0</v>
      </c>
      <c r="V759" s="10">
        <f>IF(ActiveDatabase=Standby,Secondary!V759,Primary!V759)</f>
        <v>0</v>
      </c>
      <c r="W759" s="6">
        <f>IF(ActiveDatabase=Standby,Secondary!W759,Primary!W759)</f>
        <v>0</v>
      </c>
      <c r="X759" s="6">
        <f>IF(ActiveDatabase=Standby,Secondary!X759,Primary!X759)</f>
        <v>0</v>
      </c>
      <c r="Y759" s="12">
        <f>IF(ActiveDatabase=Standby,Secondary!Y759,Primary!Y1417)</f>
        <v>0</v>
      </c>
      <c r="Z759" s="12">
        <f>IF(ActiveDatabase=Standby,Secondary!Z759,Primary!Z1417)</f>
        <v>0</v>
      </c>
      <c r="AA759" s="7">
        <f>IF(ActiveDatabase=Standby,Secondary!AA759,Primary!AA1417)</f>
        <v>0</v>
      </c>
      <c r="AB759" s="12"/>
      <c r="AC759" s="6"/>
      <c r="AD759" s="6"/>
      <c r="AE759" s="7"/>
      <c r="AF759" s="7"/>
      <c r="AG759" s="7"/>
      <c r="AH759" s="7"/>
      <c r="AI759" s="7"/>
      <c r="AJ759" s="7"/>
      <c r="AK759" s="7"/>
      <c r="AL759" s="7"/>
      <c r="AM759" s="7"/>
      <c r="AN759" s="7"/>
      <c r="AO759" s="6"/>
      <c r="AP759" s="7"/>
      <c r="AQ759" s="7"/>
      <c r="AR759" s="6"/>
      <c r="AS759" s="7"/>
      <c r="AT759" s="7"/>
      <c r="AU759" s="7"/>
      <c r="AV759" s="7"/>
      <c r="AW759" s="7"/>
      <c r="AX759" s="7"/>
      <c r="AY759" s="7"/>
      <c r="AZ759" s="7"/>
      <c r="BA759" s="7"/>
      <c r="BB759" s="7"/>
      <c r="BC759" s="7"/>
      <c r="BD759" s="7"/>
      <c r="BE759" s="7"/>
      <c r="BF759" s="7"/>
      <c r="BG759" s="7"/>
    </row>
    <row r="760" customHeight="1" spans="1:59">
      <c r="A760" s="9" t="str">
        <f>IF(ActiveDatabase=Standby,Secondary!A760,Primary!A760)</f>
        <v>microTech 83</v>
      </c>
      <c r="B760" s="5" t="str">
        <f>IF(ActiveDatabase=Standby,Secondary!B760,Primary!B760)</f>
        <v>microTech 102</v>
      </c>
      <c r="C760" s="5" t="str">
        <f>IF(ActiveDatabase=Standby,Secondary!C760,Primary!C760)</f>
        <v>microTech 23</v>
      </c>
      <c r="D760" s="5" t="str">
        <f>IF(ActiveDatabase=Standby,Secondary!D760,Primary!D760)</f>
        <v>River 53P-625</v>
      </c>
      <c r="E760" s="6" t="str">
        <f>IF(ActiveDatabase=Standby,Secondary!E760,Primary!E760)</f>
        <v>River 53P625</v>
      </c>
      <c r="F760" s="10">
        <f>IF(ActiveDatabase=Standby,Secondary!F760,Primary!F760)</f>
        <v>-661.28154028757</v>
      </c>
      <c r="G760" s="10">
        <f>IF(ActiveDatabase=Standby,Secondary!G760,Primary!G760)</f>
        <v>725.22427655367</v>
      </c>
      <c r="H760" s="10">
        <f>IF(ActiveDatabase=Standby,Secondary!H760,Primary!H760)</f>
        <v>196.11160539173</v>
      </c>
      <c r="I760" s="13">
        <f>IF(ActiveDatabase=Standby,Secondary!I760,Primary!I760)</f>
        <v>0</v>
      </c>
      <c r="J760" s="13">
        <f>IF(ActiveDatabase=Standby,Secondary!J760,Primary!J760)</f>
        <v>0</v>
      </c>
      <c r="K760" s="13">
        <f>IF(ActiveDatabase=Standby,Secondary!K760,Primary!K760)</f>
        <v>0</v>
      </c>
      <c r="L760" s="13">
        <f>IF(ActiveDatabase=Standby,Secondary!L760,Primary!L760)</f>
        <v>0</v>
      </c>
      <c r="M760" s="7" t="b">
        <f>IF(ActiveDatabase=Standby,Secondary!M760,Primary!M760)</f>
        <v>0</v>
      </c>
      <c r="N760" s="10">
        <f>IF(ActiveDatabase=Standby,Secondary!N760,Primary!N760)</f>
        <v>0</v>
      </c>
      <c r="O760" s="10">
        <f>IF(ActiveDatabase=Standby,Secondary!O760,Primary!O760)</f>
        <v>0</v>
      </c>
      <c r="P760" s="10">
        <f>IF(ActiveDatabase=Standby,Secondary!P760,Primary!P760)</f>
        <v>0</v>
      </c>
      <c r="Q760" s="6">
        <f>IF(ActiveDatabase=Standby,Secondary!Q760,Primary!Q760)</f>
        <v>0</v>
      </c>
      <c r="R760" s="18">
        <f>IF(ActiveDatabase=Standby,Secondary!R760,Primary!R760)</f>
        <v>0</v>
      </c>
      <c r="S760" s="19">
        <f>IF(ActiveDatabase=Standby,Secondary!S760,Primary!S760)</f>
        <v>0</v>
      </c>
      <c r="T760" s="10">
        <f>IF(ActiveDatabase=Standby,Secondary!T760,Primary!T760)</f>
        <v>0</v>
      </c>
      <c r="U760" s="10">
        <f>IF(ActiveDatabase=Standby,Secondary!U760,Primary!U760)</f>
        <v>0</v>
      </c>
      <c r="V760" s="10">
        <f>IF(ActiveDatabase=Standby,Secondary!V760,Primary!V760)</f>
        <v>0</v>
      </c>
      <c r="W760" s="6">
        <f>IF(ActiveDatabase=Standby,Secondary!W760,Primary!W760)</f>
        <v>0</v>
      </c>
      <c r="X760" s="6">
        <f>IF(ActiveDatabase=Standby,Secondary!X760,Primary!X760)</f>
        <v>0</v>
      </c>
      <c r="Y760" s="12">
        <f>IF(ActiveDatabase=Standby,Secondary!Y760,Primary!Y1418)</f>
        <v>0</v>
      </c>
      <c r="Z760" s="12">
        <f>IF(ActiveDatabase=Standby,Secondary!Z760,Primary!Z1418)</f>
        <v>0</v>
      </c>
      <c r="AA760" s="7">
        <f>IF(ActiveDatabase=Standby,Secondary!AA760,Primary!AA1418)</f>
        <v>0</v>
      </c>
      <c r="AB760" s="12"/>
      <c r="AC760" s="6"/>
      <c r="AD760" s="6"/>
      <c r="AE760" s="7"/>
      <c r="AF760" s="7"/>
      <c r="AG760" s="7"/>
      <c r="AH760" s="7"/>
      <c r="AI760" s="7"/>
      <c r="AJ760" s="7"/>
      <c r="AK760" s="7"/>
      <c r="AL760" s="7"/>
      <c r="AM760" s="7"/>
      <c r="AN760" s="7"/>
      <c r="AO760" s="6"/>
      <c r="AP760" s="7"/>
      <c r="AQ760" s="7"/>
      <c r="AR760" s="6"/>
      <c r="AS760" s="7"/>
      <c r="AT760" s="7"/>
      <c r="AU760" s="7"/>
      <c r="AV760" s="7"/>
      <c r="AW760" s="7"/>
      <c r="AX760" s="7"/>
      <c r="AY760" s="7"/>
      <c r="AZ760" s="7"/>
      <c r="BA760" s="7"/>
      <c r="BB760" s="7"/>
      <c r="BC760" s="7"/>
      <c r="BD760" s="7"/>
      <c r="BE760" s="7"/>
      <c r="BF760" s="7"/>
      <c r="BG760" s="7"/>
    </row>
    <row r="761" customHeight="1" spans="1:59">
      <c r="A761" s="9" t="str">
        <f>IF(ActiveDatabase=Standby,Secondary!A761,Primary!A761)</f>
        <v>microTech 77</v>
      </c>
      <c r="B761" s="5" t="str">
        <f>IF(ActiveDatabase=Standby,Secondary!B761,Primary!B761)</f>
        <v>microTech 96</v>
      </c>
      <c r="C761" s="5" t="str">
        <f>IF(ActiveDatabase=Standby,Secondary!C761,Primary!C761)</f>
        <v>microTech 20</v>
      </c>
      <c r="D761" s="5" t="str">
        <f>IF(ActiveDatabase=Standby,Secondary!D761,Primary!D761)</f>
        <v>River 53N-627</v>
      </c>
      <c r="E761" s="6" t="str">
        <f>IF(ActiveDatabase=Standby,Secondary!E761,Primary!E761)</f>
        <v>River 53N627</v>
      </c>
      <c r="F761" s="10">
        <f>IF(ActiveDatabase=Standby,Secondary!F761,Primary!F761)</f>
        <v>-682.27331957135</v>
      </c>
      <c r="G761" s="10">
        <f>IF(ActiveDatabase=Standby,Secondary!G761,Primary!G761)</f>
        <v>731.64156839804</v>
      </c>
      <c r="H761" s="10">
        <f>IF(ActiveDatabase=Standby,Secondary!H761,Primary!H761)</f>
        <v>6.84236910808</v>
      </c>
      <c r="I761" s="13">
        <f>IF(ActiveDatabase=Standby,Secondary!I761,Primary!I761)</f>
        <v>0</v>
      </c>
      <c r="J761" s="13">
        <f>IF(ActiveDatabase=Standby,Secondary!J761,Primary!J761)</f>
        <v>0</v>
      </c>
      <c r="K761" s="13">
        <f>IF(ActiveDatabase=Standby,Secondary!K761,Primary!K761)</f>
        <v>0</v>
      </c>
      <c r="L761" s="13">
        <f>IF(ActiveDatabase=Standby,Secondary!L761,Primary!L761)</f>
        <v>0</v>
      </c>
      <c r="M761" s="7" t="b">
        <f>IF(ActiveDatabase=Standby,Secondary!M761,Primary!M761)</f>
        <v>0</v>
      </c>
      <c r="N761" s="10">
        <f>IF(ActiveDatabase=Standby,Secondary!N761,Primary!N761)</f>
        <v>0</v>
      </c>
      <c r="O761" s="10">
        <f>IF(ActiveDatabase=Standby,Secondary!O761,Primary!O761)</f>
        <v>0</v>
      </c>
      <c r="P761" s="10">
        <f>IF(ActiveDatabase=Standby,Secondary!P761,Primary!P761)</f>
        <v>0</v>
      </c>
      <c r="Q761" s="6">
        <f>IF(ActiveDatabase=Standby,Secondary!Q761,Primary!Q761)</f>
        <v>0</v>
      </c>
      <c r="R761" s="18">
        <f>IF(ActiveDatabase=Standby,Secondary!R761,Primary!R761)</f>
        <v>0</v>
      </c>
      <c r="S761" s="19">
        <f>IF(ActiveDatabase=Standby,Secondary!S761,Primary!S761)</f>
        <v>0</v>
      </c>
      <c r="T761" s="10">
        <f>IF(ActiveDatabase=Standby,Secondary!T761,Primary!T761)</f>
        <v>0</v>
      </c>
      <c r="U761" s="10">
        <f>IF(ActiveDatabase=Standby,Secondary!U761,Primary!U761)</f>
        <v>0</v>
      </c>
      <c r="V761" s="10">
        <f>IF(ActiveDatabase=Standby,Secondary!V761,Primary!V761)</f>
        <v>0</v>
      </c>
      <c r="W761" s="6">
        <f>IF(ActiveDatabase=Standby,Secondary!W761,Primary!W761)</f>
        <v>0</v>
      </c>
      <c r="X761" s="6">
        <f>IF(ActiveDatabase=Standby,Secondary!X761,Primary!X761)</f>
        <v>0</v>
      </c>
      <c r="Y761" s="12">
        <f>IF(ActiveDatabase=Standby,Secondary!Y761,Primary!Y1419)</f>
        <v>0</v>
      </c>
      <c r="Z761" s="12">
        <f>IF(ActiveDatabase=Standby,Secondary!Z761,Primary!Z1419)</f>
        <v>0</v>
      </c>
      <c r="AA761" s="7">
        <f>IF(ActiveDatabase=Standby,Secondary!AA761,Primary!AA1419)</f>
        <v>0</v>
      </c>
      <c r="AB761" s="12"/>
      <c r="AC761" s="6"/>
      <c r="AD761" s="6"/>
      <c r="AE761" s="7"/>
      <c r="AF761" s="7"/>
      <c r="AG761" s="7"/>
      <c r="AH761" s="7"/>
      <c r="AI761" s="7"/>
      <c r="AJ761" s="7"/>
      <c r="AK761" s="7"/>
      <c r="AL761" s="7"/>
      <c r="AM761" s="7"/>
      <c r="AN761" s="7"/>
      <c r="AO761" s="6"/>
      <c r="AP761" s="7"/>
      <c r="AQ761" s="7"/>
      <c r="AR761" s="6"/>
      <c r="AS761" s="7"/>
      <c r="AT761" s="7"/>
      <c r="AU761" s="7"/>
      <c r="AV761" s="7"/>
      <c r="AW761" s="7"/>
      <c r="AX761" s="7"/>
      <c r="AY761" s="7"/>
      <c r="AZ761" s="7"/>
      <c r="BA761" s="7"/>
      <c r="BB761" s="7"/>
      <c r="BC761" s="7"/>
      <c r="BD761" s="7"/>
      <c r="BE761" s="7"/>
      <c r="BF761" s="7"/>
      <c r="BG761" s="7"/>
    </row>
    <row r="762" customHeight="1" spans="1:59">
      <c r="A762" s="9" t="str">
        <f>IF(ActiveDatabase=Standby,Secondary!A762,Primary!A762)</f>
        <v>microTech 88</v>
      </c>
      <c r="B762" s="5" t="str">
        <f>IF(ActiveDatabase=Standby,Secondary!B762,Primary!B762)</f>
        <v>microTech 107</v>
      </c>
      <c r="C762" s="5" t="str">
        <f>IF(ActiveDatabase=Standby,Secondary!C762,Primary!C762)</f>
        <v>microTech 07</v>
      </c>
      <c r="D762" s="5" t="str">
        <f>IF(ActiveDatabase=Standby,Secondary!D762,Primary!D762)</f>
        <v>River 54N-639</v>
      </c>
      <c r="E762" s="6" t="str">
        <f>IF(ActiveDatabase=Standby,Secondary!E762,Primary!E762)</f>
        <v>River 54N639</v>
      </c>
      <c r="F762" s="10">
        <f>IF(ActiveDatabase=Standby,Secondary!F762,Primary!F762)</f>
        <v>-758.59063795013</v>
      </c>
      <c r="G762" s="10">
        <f>IF(ActiveDatabase=Standby,Secondary!G762,Primary!G762)</f>
        <v>653.09384087314</v>
      </c>
      <c r="H762" s="10">
        <f>IF(ActiveDatabase=Standby,Secondary!H762,Primary!H762)</f>
        <v>16.50549280405</v>
      </c>
      <c r="I762" s="13">
        <f>IF(ActiveDatabase=Standby,Secondary!I762,Primary!I762)</f>
        <v>0</v>
      </c>
      <c r="J762" s="13">
        <f>IF(ActiveDatabase=Standby,Secondary!J762,Primary!J762)</f>
        <v>0</v>
      </c>
      <c r="K762" s="13">
        <f>IF(ActiveDatabase=Standby,Secondary!K762,Primary!K762)</f>
        <v>0</v>
      </c>
      <c r="L762" s="13">
        <f>IF(ActiveDatabase=Standby,Secondary!L762,Primary!L762)</f>
        <v>0</v>
      </c>
      <c r="M762" s="7" t="b">
        <f>IF(ActiveDatabase=Standby,Secondary!M762,Primary!M762)</f>
        <v>0</v>
      </c>
      <c r="N762" s="10">
        <f>IF(ActiveDatabase=Standby,Secondary!N762,Primary!N762)</f>
        <v>0</v>
      </c>
      <c r="O762" s="10">
        <f>IF(ActiveDatabase=Standby,Secondary!O762,Primary!O762)</f>
        <v>0</v>
      </c>
      <c r="P762" s="10">
        <f>IF(ActiveDatabase=Standby,Secondary!P762,Primary!P762)</f>
        <v>0</v>
      </c>
      <c r="Q762" s="6">
        <f>IF(ActiveDatabase=Standby,Secondary!Q762,Primary!Q762)</f>
        <v>0</v>
      </c>
      <c r="R762" s="18">
        <f>IF(ActiveDatabase=Standby,Secondary!R762,Primary!R762)</f>
        <v>0</v>
      </c>
      <c r="S762" s="19">
        <f>IF(ActiveDatabase=Standby,Secondary!S762,Primary!S762)</f>
        <v>0</v>
      </c>
      <c r="T762" s="10">
        <f>IF(ActiveDatabase=Standby,Secondary!T762,Primary!T762)</f>
        <v>0</v>
      </c>
      <c r="U762" s="10">
        <f>IF(ActiveDatabase=Standby,Secondary!U762,Primary!U762)</f>
        <v>0</v>
      </c>
      <c r="V762" s="10">
        <f>IF(ActiveDatabase=Standby,Secondary!V762,Primary!V762)</f>
        <v>0</v>
      </c>
      <c r="W762" s="6">
        <f>IF(ActiveDatabase=Standby,Secondary!W762,Primary!W762)</f>
        <v>0</v>
      </c>
      <c r="X762" s="6">
        <f>IF(ActiveDatabase=Standby,Secondary!X762,Primary!X762)</f>
        <v>0</v>
      </c>
      <c r="Y762" s="12">
        <f>IF(ActiveDatabase=Standby,Secondary!Y762,Primary!Y1420)</f>
        <v>0</v>
      </c>
      <c r="Z762" s="12">
        <f>IF(ActiveDatabase=Standby,Secondary!Z762,Primary!Z1420)</f>
        <v>0</v>
      </c>
      <c r="AA762" s="7">
        <f>IF(ActiveDatabase=Standby,Secondary!AA762,Primary!AA1420)</f>
        <v>0</v>
      </c>
      <c r="AB762" s="12"/>
      <c r="AC762" s="6"/>
      <c r="AD762" s="6"/>
      <c r="AE762" s="7"/>
      <c r="AF762" s="7"/>
      <c r="AG762" s="7"/>
      <c r="AH762" s="7"/>
      <c r="AI762" s="7"/>
      <c r="AJ762" s="7"/>
      <c r="AK762" s="7"/>
      <c r="AL762" s="7"/>
      <c r="AM762" s="7"/>
      <c r="AN762" s="7"/>
      <c r="AO762" s="6"/>
      <c r="AP762" s="7"/>
      <c r="AQ762" s="7"/>
      <c r="AR762" s="6"/>
      <c r="AS762" s="7"/>
      <c r="AT762" s="7"/>
      <c r="AU762" s="7"/>
      <c r="AV762" s="7"/>
      <c r="AW762" s="7"/>
      <c r="AX762" s="7"/>
      <c r="AY762" s="7"/>
      <c r="AZ762" s="7"/>
      <c r="BA762" s="7"/>
      <c r="BB762" s="7"/>
      <c r="BC762" s="7"/>
      <c r="BD762" s="7"/>
      <c r="BE762" s="7"/>
      <c r="BF762" s="7"/>
      <c r="BG762" s="7"/>
    </row>
    <row r="763" customHeight="1" spans="1:59">
      <c r="A763" s="9" t="str">
        <f>IF(ActiveDatabase=Standby,Secondary!A763,Primary!A763)</f>
        <v>microTech 78</v>
      </c>
      <c r="B763" s="5" t="str">
        <f>IF(ActiveDatabase=Standby,Secondary!B763,Primary!B763)</f>
        <v>microTech 97</v>
      </c>
      <c r="C763" s="5" t="str">
        <f>IF(ActiveDatabase=Standby,Secondary!C763,Primary!C763)</f>
        <v>microTech 18</v>
      </c>
      <c r="D763" s="5" t="str">
        <f>IF(ActiveDatabase=Standby,Secondary!D763,Primary!D763)</f>
        <v>River 53N-628</v>
      </c>
      <c r="E763" s="6" t="str">
        <f>IF(ActiveDatabase=Standby,Secondary!E763,Primary!E763)</f>
        <v>River 53N628</v>
      </c>
      <c r="F763" s="10">
        <f>IF(ActiveDatabase=Standby,Secondary!F763,Primary!F763)</f>
        <v>-690.11601783916</v>
      </c>
      <c r="G763" s="10">
        <f>IF(ActiveDatabase=Standby,Secondary!G763,Primary!G763)</f>
        <v>715.07065117631</v>
      </c>
      <c r="H763" s="10">
        <f>IF(ActiveDatabase=Standby,Secondary!H763,Primary!H763)</f>
        <v>126.72312525077</v>
      </c>
      <c r="I763" s="13">
        <f>IF(ActiveDatabase=Standby,Secondary!I763,Primary!I763)</f>
        <v>0</v>
      </c>
      <c r="J763" s="13">
        <f>IF(ActiveDatabase=Standby,Secondary!J763,Primary!J763)</f>
        <v>0</v>
      </c>
      <c r="K763" s="13">
        <f>IF(ActiveDatabase=Standby,Secondary!K763,Primary!K763)</f>
        <v>0</v>
      </c>
      <c r="L763" s="13">
        <f>IF(ActiveDatabase=Standby,Secondary!L763,Primary!L763)</f>
        <v>0</v>
      </c>
      <c r="M763" s="7" t="b">
        <f>IF(ActiveDatabase=Standby,Secondary!M763,Primary!M763)</f>
        <v>0</v>
      </c>
      <c r="N763" s="10">
        <f>IF(ActiveDatabase=Standby,Secondary!N763,Primary!N763)</f>
        <v>0</v>
      </c>
      <c r="O763" s="10">
        <f>IF(ActiveDatabase=Standby,Secondary!O763,Primary!O763)</f>
        <v>0</v>
      </c>
      <c r="P763" s="10">
        <f>IF(ActiveDatabase=Standby,Secondary!P763,Primary!P763)</f>
        <v>0</v>
      </c>
      <c r="Q763" s="6">
        <f>IF(ActiveDatabase=Standby,Secondary!Q763,Primary!Q763)</f>
        <v>0</v>
      </c>
      <c r="R763" s="18">
        <f>IF(ActiveDatabase=Standby,Secondary!R763,Primary!R763)</f>
        <v>0</v>
      </c>
      <c r="S763" s="19">
        <f>IF(ActiveDatabase=Standby,Secondary!S763,Primary!S763)</f>
        <v>0</v>
      </c>
      <c r="T763" s="10">
        <f>IF(ActiveDatabase=Standby,Secondary!T763,Primary!T763)</f>
        <v>0</v>
      </c>
      <c r="U763" s="10">
        <f>IF(ActiveDatabase=Standby,Secondary!U763,Primary!U763)</f>
        <v>0</v>
      </c>
      <c r="V763" s="10">
        <f>IF(ActiveDatabase=Standby,Secondary!V763,Primary!V763)</f>
        <v>0</v>
      </c>
      <c r="W763" s="6">
        <f>IF(ActiveDatabase=Standby,Secondary!W763,Primary!W763)</f>
        <v>0</v>
      </c>
      <c r="X763" s="6">
        <f>IF(ActiveDatabase=Standby,Secondary!X763,Primary!X763)</f>
        <v>0</v>
      </c>
      <c r="Y763" s="12">
        <f>IF(ActiveDatabase=Standby,Secondary!Y763,Primary!Y1421)</f>
        <v>0</v>
      </c>
      <c r="Z763" s="12">
        <f>IF(ActiveDatabase=Standby,Secondary!Z763,Primary!Z1421)</f>
        <v>0</v>
      </c>
      <c r="AA763" s="7">
        <f>IF(ActiveDatabase=Standby,Secondary!AA763,Primary!AA1421)</f>
        <v>0</v>
      </c>
      <c r="AB763" s="12"/>
      <c r="AC763" s="6"/>
      <c r="AD763" s="6"/>
      <c r="AE763" s="7"/>
      <c r="AF763" s="7"/>
      <c r="AG763" s="7"/>
      <c r="AH763" s="7"/>
      <c r="AI763" s="7"/>
      <c r="AJ763" s="7"/>
      <c r="AK763" s="7"/>
      <c r="AL763" s="7"/>
      <c r="AM763" s="7"/>
      <c r="AN763" s="7"/>
      <c r="AO763" s="6"/>
      <c r="AP763" s="7"/>
      <c r="AQ763" s="7"/>
      <c r="AR763" s="6"/>
      <c r="AS763" s="7"/>
      <c r="AT763" s="7"/>
      <c r="AU763" s="7"/>
      <c r="AV763" s="7"/>
      <c r="AW763" s="7"/>
      <c r="AX763" s="7"/>
      <c r="AY763" s="7"/>
      <c r="AZ763" s="7"/>
      <c r="BA763" s="7"/>
      <c r="BB763" s="7"/>
      <c r="BC763" s="7"/>
      <c r="BD763" s="7"/>
      <c r="BE763" s="7"/>
      <c r="BF763" s="7"/>
      <c r="BG763" s="7"/>
    </row>
    <row r="764" customHeight="1" spans="1:59">
      <c r="A764" s="9" t="str">
        <f>IF(ActiveDatabase=Standby,Secondary!A764,Primary!A764)</f>
        <v>microTech 91</v>
      </c>
      <c r="B764" s="5" t="str">
        <f>IF(ActiveDatabase=Standby,Secondary!B764,Primary!B764)</f>
        <v>microTech 110</v>
      </c>
      <c r="C764" s="5" t="str">
        <f>IF(ActiveDatabase=Standby,Secondary!C764,Primary!C764)</f>
        <v>microTech 02</v>
      </c>
      <c r="D764" s="5" t="str">
        <f>IF(ActiveDatabase=Standby,Secondary!D764,Primary!D764)</f>
        <v>River 55N</v>
      </c>
      <c r="E764" s="6" t="str">
        <f>IF(ActiveDatabase=Standby,Secondary!E764,Primary!E764)</f>
        <v>River 55N</v>
      </c>
      <c r="F764" s="10">
        <f>IF(ActiveDatabase=Standby,Secondary!F764,Primary!F764)</f>
        <v>-820.73159667614</v>
      </c>
      <c r="G764" s="10">
        <f>IF(ActiveDatabase=Standby,Secondary!G764,Primary!G764)</f>
        <v>568.35011354749</v>
      </c>
      <c r="H764" s="10">
        <f>IF(ActiveDatabase=Standby,Secondary!H764,Primary!H764)</f>
        <v>72.12896686881</v>
      </c>
      <c r="I764" s="13">
        <f>IF(ActiveDatabase=Standby,Secondary!I764,Primary!I764)</f>
        <v>0</v>
      </c>
      <c r="J764" s="13">
        <f>IF(ActiveDatabase=Standby,Secondary!J764,Primary!J764)</f>
        <v>0</v>
      </c>
      <c r="K764" s="13">
        <f>IF(ActiveDatabase=Standby,Secondary!K764,Primary!K764)</f>
        <v>0</v>
      </c>
      <c r="L764" s="13">
        <f>IF(ActiveDatabase=Standby,Secondary!L764,Primary!L764)</f>
        <v>0</v>
      </c>
      <c r="M764" s="7" t="b">
        <f>IF(ActiveDatabase=Standby,Secondary!M764,Primary!M764)</f>
        <v>0</v>
      </c>
      <c r="N764" s="10">
        <f>IF(ActiveDatabase=Standby,Secondary!N764,Primary!N764)</f>
        <v>0</v>
      </c>
      <c r="O764" s="10">
        <f>IF(ActiveDatabase=Standby,Secondary!O764,Primary!O764)</f>
        <v>0</v>
      </c>
      <c r="P764" s="10">
        <f>IF(ActiveDatabase=Standby,Secondary!P764,Primary!P764)</f>
        <v>0</v>
      </c>
      <c r="Q764" s="6">
        <f>IF(ActiveDatabase=Standby,Secondary!Q764,Primary!Q764)</f>
        <v>0</v>
      </c>
      <c r="R764" s="18">
        <f>IF(ActiveDatabase=Standby,Secondary!R764,Primary!R764)</f>
        <v>0</v>
      </c>
      <c r="S764" s="19">
        <f>IF(ActiveDatabase=Standby,Secondary!S764,Primary!S764)</f>
        <v>0</v>
      </c>
      <c r="T764" s="10">
        <f>IF(ActiveDatabase=Standby,Secondary!T764,Primary!T764)</f>
        <v>0</v>
      </c>
      <c r="U764" s="10">
        <f>IF(ActiveDatabase=Standby,Secondary!U764,Primary!U764)</f>
        <v>0</v>
      </c>
      <c r="V764" s="10">
        <f>IF(ActiveDatabase=Standby,Secondary!V764,Primary!V764)</f>
        <v>0</v>
      </c>
      <c r="W764" s="6">
        <f>IF(ActiveDatabase=Standby,Secondary!W764,Primary!W764)</f>
        <v>0</v>
      </c>
      <c r="X764" s="6">
        <f>IF(ActiveDatabase=Standby,Secondary!X764,Primary!X764)</f>
        <v>0</v>
      </c>
      <c r="Y764" s="12">
        <f>IF(ActiveDatabase=Standby,Secondary!Y764,Primary!Y1422)</f>
        <v>0</v>
      </c>
      <c r="Z764" s="12">
        <f>IF(ActiveDatabase=Standby,Secondary!Z764,Primary!Z1422)</f>
        <v>0</v>
      </c>
      <c r="AA764" s="7">
        <f>IF(ActiveDatabase=Standby,Secondary!AA764,Primary!AA1422)</f>
        <v>0</v>
      </c>
      <c r="AB764" s="12"/>
      <c r="AC764" s="6"/>
      <c r="AD764" s="6"/>
      <c r="AE764" s="7"/>
      <c r="AF764" s="7"/>
      <c r="AG764" s="7"/>
      <c r="AH764" s="7"/>
      <c r="AI764" s="7"/>
      <c r="AJ764" s="7"/>
      <c r="AK764" s="7"/>
      <c r="AL764" s="7"/>
      <c r="AM764" s="7"/>
      <c r="AN764" s="7"/>
      <c r="AO764" s="6"/>
      <c r="AP764" s="7"/>
      <c r="AQ764" s="7"/>
      <c r="AR764" s="6"/>
      <c r="AS764" s="7"/>
      <c r="AT764" s="7"/>
      <c r="AU764" s="7"/>
      <c r="AV764" s="7"/>
      <c r="AW764" s="7"/>
      <c r="AX764" s="7"/>
      <c r="AY764" s="7"/>
      <c r="AZ764" s="7"/>
      <c r="BA764" s="7"/>
      <c r="BB764" s="7"/>
      <c r="BC764" s="7"/>
      <c r="BD764" s="7"/>
      <c r="BE764" s="7"/>
      <c r="BF764" s="7"/>
      <c r="BG764" s="7"/>
    </row>
    <row r="765" customHeight="1" spans="1:59">
      <c r="A765" s="9" t="str">
        <f>IF(ActiveDatabase=Standby,Secondary!A765,Primary!A765)</f>
        <v>microTech 85</v>
      </c>
      <c r="B765" s="5" t="str">
        <f>IF(ActiveDatabase=Standby,Secondary!B765,Primary!B765)</f>
        <v>microTech 104</v>
      </c>
      <c r="C765" s="5" t="str">
        <f>IF(ActiveDatabase=Standby,Secondary!C765,Primary!C765)</f>
        <v>microTech 15</v>
      </c>
      <c r="D765" s="5" t="str">
        <f>IF(ActiveDatabase=Standby,Secondary!D765,Primary!D765)</f>
        <v>River 53P-631</v>
      </c>
      <c r="E765" s="6" t="str">
        <f>IF(ActiveDatabase=Standby,Secondary!E765,Primary!E765)</f>
        <v>River 53P631</v>
      </c>
      <c r="F765" s="10">
        <f>IF(ActiveDatabase=Standby,Secondary!F765,Primary!F765)</f>
        <v>-693.64940424645</v>
      </c>
      <c r="G765" s="10">
        <f>IF(ActiveDatabase=Standby,Secondary!G765,Primary!G765)</f>
        <v>687.63526013252</v>
      </c>
      <c r="H765" s="10">
        <f>IF(ActiveDatabase=Standby,Secondary!H765,Primary!H765)</f>
        <v>219.20152316351</v>
      </c>
      <c r="I765" s="13">
        <f>IF(ActiveDatabase=Standby,Secondary!I765,Primary!I765)</f>
        <v>0</v>
      </c>
      <c r="J765" s="13">
        <f>IF(ActiveDatabase=Standby,Secondary!J765,Primary!J765)</f>
        <v>0</v>
      </c>
      <c r="K765" s="13">
        <f>IF(ActiveDatabase=Standby,Secondary!K765,Primary!K765)</f>
        <v>0</v>
      </c>
      <c r="L765" s="13">
        <f>IF(ActiveDatabase=Standby,Secondary!L765,Primary!L765)</f>
        <v>0</v>
      </c>
      <c r="M765" s="7" t="b">
        <f>IF(ActiveDatabase=Standby,Secondary!M765,Primary!M765)</f>
        <v>0</v>
      </c>
      <c r="N765" s="10">
        <f>IF(ActiveDatabase=Standby,Secondary!N765,Primary!N765)</f>
        <v>0</v>
      </c>
      <c r="O765" s="10">
        <f>IF(ActiveDatabase=Standby,Secondary!O765,Primary!O765)</f>
        <v>0</v>
      </c>
      <c r="P765" s="10">
        <f>IF(ActiveDatabase=Standby,Secondary!P765,Primary!P765)</f>
        <v>0</v>
      </c>
      <c r="Q765" s="6">
        <f>IF(ActiveDatabase=Standby,Secondary!Q765,Primary!Q765)</f>
        <v>0</v>
      </c>
      <c r="R765" s="18">
        <f>IF(ActiveDatabase=Standby,Secondary!R765,Primary!R765)</f>
        <v>0</v>
      </c>
      <c r="S765" s="19">
        <f>IF(ActiveDatabase=Standby,Secondary!S765,Primary!S765)</f>
        <v>0</v>
      </c>
      <c r="T765" s="10">
        <f>IF(ActiveDatabase=Standby,Secondary!T765,Primary!T765)</f>
        <v>0</v>
      </c>
      <c r="U765" s="10">
        <f>IF(ActiveDatabase=Standby,Secondary!U765,Primary!U765)</f>
        <v>0</v>
      </c>
      <c r="V765" s="10">
        <f>IF(ActiveDatabase=Standby,Secondary!V765,Primary!V765)</f>
        <v>0</v>
      </c>
      <c r="W765" s="6">
        <f>IF(ActiveDatabase=Standby,Secondary!W765,Primary!W765)</f>
        <v>0</v>
      </c>
      <c r="X765" s="6">
        <f>IF(ActiveDatabase=Standby,Secondary!X765,Primary!X765)</f>
        <v>0</v>
      </c>
      <c r="Y765" s="12">
        <f>IF(ActiveDatabase=Standby,Secondary!Y765,Primary!Y1423)</f>
        <v>0</v>
      </c>
      <c r="Z765" s="12">
        <f>IF(ActiveDatabase=Standby,Secondary!Z765,Primary!Z1423)</f>
        <v>0</v>
      </c>
      <c r="AA765" s="7">
        <f>IF(ActiveDatabase=Standby,Secondary!AA765,Primary!AA1423)</f>
        <v>0</v>
      </c>
      <c r="AB765" s="12"/>
      <c r="AC765" s="6"/>
      <c r="AD765" s="6"/>
      <c r="AE765" s="7"/>
      <c r="AF765" s="7"/>
      <c r="AG765" s="7"/>
      <c r="AH765" s="7"/>
      <c r="AI765" s="7"/>
      <c r="AJ765" s="7"/>
      <c r="AK765" s="7"/>
      <c r="AL765" s="7"/>
      <c r="AM765" s="7"/>
      <c r="AN765" s="7"/>
      <c r="AO765" s="6"/>
      <c r="AP765" s="7"/>
      <c r="AQ765" s="7"/>
      <c r="AR765" s="6"/>
      <c r="AS765" s="7"/>
      <c r="AT765" s="7"/>
      <c r="AU765" s="7"/>
      <c r="AV765" s="7"/>
      <c r="AW765" s="7"/>
      <c r="AX765" s="7"/>
      <c r="AY765" s="7"/>
      <c r="AZ765" s="7"/>
      <c r="BA765" s="7"/>
      <c r="BB765" s="7"/>
      <c r="BC765" s="7"/>
      <c r="BD765" s="7"/>
      <c r="BE765" s="7"/>
      <c r="BF765" s="7"/>
      <c r="BG765" s="7"/>
    </row>
    <row r="766" customHeight="1" spans="1:59">
      <c r="A766" s="9" t="str">
        <f>IF(ActiveDatabase=Standby,Secondary!A766,Primary!A766)</f>
        <v>microTech 87</v>
      </c>
      <c r="B766" s="5" t="str">
        <f>IF(ActiveDatabase=Standby,Secondary!B766,Primary!B766)</f>
        <v>microTech 106</v>
      </c>
      <c r="C766" s="5" t="str">
        <f>IF(ActiveDatabase=Standby,Secondary!C766,Primary!C766)</f>
        <v>microTech 08</v>
      </c>
      <c r="D766" s="5" t="str">
        <f>IF(ActiveDatabase=Standby,Secondary!D766,Primary!D766)</f>
        <v>River 54N-638</v>
      </c>
      <c r="E766" s="6" t="str">
        <f>IF(ActiveDatabase=Standby,Secondary!E766,Primary!E766)</f>
        <v>River 54N638</v>
      </c>
      <c r="F766" s="10">
        <f>IF(ActiveDatabase=Standby,Secondary!F766,Primary!F766)</f>
        <v>-754.61837282719</v>
      </c>
      <c r="G766" s="10">
        <f>IF(ActiveDatabase=Standby,Secondary!G766,Primary!G766)</f>
        <v>657.4929587854</v>
      </c>
      <c r="H766" s="10">
        <f>IF(ActiveDatabase=Standby,Secondary!H766,Primary!H766)</f>
        <v>15.87634694054</v>
      </c>
      <c r="I766" s="13">
        <f>IF(ActiveDatabase=Standby,Secondary!I766,Primary!I766)</f>
        <v>0</v>
      </c>
      <c r="J766" s="13">
        <f>IF(ActiveDatabase=Standby,Secondary!J766,Primary!J766)</f>
        <v>0</v>
      </c>
      <c r="K766" s="13">
        <f>IF(ActiveDatabase=Standby,Secondary!K766,Primary!K766)</f>
        <v>0</v>
      </c>
      <c r="L766" s="13">
        <f>IF(ActiveDatabase=Standby,Secondary!L766,Primary!L766)</f>
        <v>0</v>
      </c>
      <c r="M766" s="7" t="b">
        <f>IF(ActiveDatabase=Standby,Secondary!M766,Primary!M766)</f>
        <v>0</v>
      </c>
      <c r="N766" s="10">
        <f>IF(ActiveDatabase=Standby,Secondary!N766,Primary!N766)</f>
        <v>0</v>
      </c>
      <c r="O766" s="10">
        <f>IF(ActiveDatabase=Standby,Secondary!O766,Primary!O766)</f>
        <v>0</v>
      </c>
      <c r="P766" s="10">
        <f>IF(ActiveDatabase=Standby,Secondary!P766,Primary!P766)</f>
        <v>0</v>
      </c>
      <c r="Q766" s="6">
        <f>IF(ActiveDatabase=Standby,Secondary!Q766,Primary!Q766)</f>
        <v>0</v>
      </c>
      <c r="R766" s="18">
        <f>IF(ActiveDatabase=Standby,Secondary!R766,Primary!R766)</f>
        <v>0</v>
      </c>
      <c r="S766" s="19">
        <f>IF(ActiveDatabase=Standby,Secondary!S766,Primary!S766)</f>
        <v>0</v>
      </c>
      <c r="T766" s="10">
        <f>IF(ActiveDatabase=Standby,Secondary!T766,Primary!T766)</f>
        <v>0</v>
      </c>
      <c r="U766" s="10">
        <f>IF(ActiveDatabase=Standby,Secondary!U766,Primary!U766)</f>
        <v>0</v>
      </c>
      <c r="V766" s="10">
        <f>IF(ActiveDatabase=Standby,Secondary!V766,Primary!V766)</f>
        <v>0</v>
      </c>
      <c r="W766" s="6">
        <f>IF(ActiveDatabase=Standby,Secondary!W766,Primary!W766)</f>
        <v>0</v>
      </c>
      <c r="X766" s="6">
        <f>IF(ActiveDatabase=Standby,Secondary!X766,Primary!X766)</f>
        <v>0</v>
      </c>
      <c r="Y766" s="12">
        <f>IF(ActiveDatabase=Standby,Secondary!Y766,Primary!Y1424)</f>
        <v>0</v>
      </c>
      <c r="Z766" s="12">
        <f>IF(ActiveDatabase=Standby,Secondary!Z766,Primary!Z1424)</f>
        <v>0</v>
      </c>
      <c r="AA766" s="7">
        <f>IF(ActiveDatabase=Standby,Secondary!AA766,Primary!AA1424)</f>
        <v>0</v>
      </c>
      <c r="AB766" s="12"/>
      <c r="AC766" s="6"/>
      <c r="AD766" s="6"/>
      <c r="AE766" s="7"/>
      <c r="AF766" s="7"/>
      <c r="AG766" s="7"/>
      <c r="AH766" s="7"/>
      <c r="AI766" s="7"/>
      <c r="AJ766" s="7"/>
      <c r="AK766" s="7"/>
      <c r="AL766" s="7"/>
      <c r="AM766" s="7"/>
      <c r="AN766" s="7"/>
      <c r="AO766" s="6"/>
      <c r="AP766" s="7"/>
      <c r="AQ766" s="7"/>
      <c r="AR766" s="6"/>
      <c r="AS766" s="7"/>
      <c r="AT766" s="7"/>
      <c r="AU766" s="7"/>
      <c r="AV766" s="7"/>
      <c r="AW766" s="7"/>
      <c r="AX766" s="7"/>
      <c r="AY766" s="7"/>
      <c r="AZ766" s="7"/>
      <c r="BA766" s="7"/>
      <c r="BB766" s="7"/>
      <c r="BC766" s="7"/>
      <c r="BD766" s="7"/>
      <c r="BE766" s="7"/>
      <c r="BF766" s="7"/>
      <c r="BG766" s="7"/>
    </row>
    <row r="767" customHeight="1" spans="1:59">
      <c r="A767" s="9" t="str">
        <f>IF(ActiveDatabase=Standby,Secondary!A767,Primary!A767)</f>
        <v>microTech 76</v>
      </c>
      <c r="B767" s="5" t="str">
        <f>IF(ActiveDatabase=Standby,Secondary!B767,Primary!B767)</f>
        <v>microTech 95</v>
      </c>
      <c r="C767" s="5" t="str">
        <f>IF(ActiveDatabase=Standby,Secondary!C767,Primary!C767)</f>
        <v>microTech 24</v>
      </c>
      <c r="D767" s="5" t="str">
        <f>IF(ActiveDatabase=Standby,Secondary!D767,Primary!D767)</f>
        <v>River 53N-625</v>
      </c>
      <c r="E767" s="6" t="str">
        <f>IF(ActiveDatabase=Standby,Secondary!E767,Primary!E767)</f>
        <v>River 53N625</v>
      </c>
      <c r="F767" s="10">
        <f>IF(ActiveDatabase=Standby,Secondary!F767,Primary!F767)</f>
        <v>-671.95912652879</v>
      </c>
      <c r="G767" s="10">
        <f>IF(ActiveDatabase=Standby,Secondary!G767,Primary!G767)</f>
        <v>741.26646720449</v>
      </c>
      <c r="H767" s="10">
        <f>IF(ActiveDatabase=Standby,Secondary!H767,Primary!H767)</f>
        <v>19.68942692564</v>
      </c>
      <c r="I767" s="13">
        <f>IF(ActiveDatabase=Standby,Secondary!I767,Primary!I767)</f>
        <v>0</v>
      </c>
      <c r="J767" s="13">
        <f>IF(ActiveDatabase=Standby,Secondary!J767,Primary!J767)</f>
        <v>0</v>
      </c>
      <c r="K767" s="13">
        <f>IF(ActiveDatabase=Standby,Secondary!K767,Primary!K767)</f>
        <v>0</v>
      </c>
      <c r="L767" s="13">
        <f>IF(ActiveDatabase=Standby,Secondary!L767,Primary!L767)</f>
        <v>0</v>
      </c>
      <c r="M767" s="7" t="b">
        <f>IF(ActiveDatabase=Standby,Secondary!M767,Primary!M767)</f>
        <v>0</v>
      </c>
      <c r="N767" s="10">
        <f>IF(ActiveDatabase=Standby,Secondary!N767,Primary!N767)</f>
        <v>0</v>
      </c>
      <c r="O767" s="10">
        <f>IF(ActiveDatabase=Standby,Secondary!O767,Primary!O767)</f>
        <v>0</v>
      </c>
      <c r="P767" s="10">
        <f>IF(ActiveDatabase=Standby,Secondary!P767,Primary!P767)</f>
        <v>0</v>
      </c>
      <c r="Q767" s="6">
        <f>IF(ActiveDatabase=Standby,Secondary!Q767,Primary!Q767)</f>
        <v>0</v>
      </c>
      <c r="R767" s="18">
        <f>IF(ActiveDatabase=Standby,Secondary!R767,Primary!R767)</f>
        <v>0</v>
      </c>
      <c r="S767" s="19">
        <f>IF(ActiveDatabase=Standby,Secondary!S767,Primary!S767)</f>
        <v>0</v>
      </c>
      <c r="T767" s="10">
        <f>IF(ActiveDatabase=Standby,Secondary!T767,Primary!T767)</f>
        <v>0</v>
      </c>
      <c r="U767" s="10">
        <f>IF(ActiveDatabase=Standby,Secondary!U767,Primary!U767)</f>
        <v>0</v>
      </c>
      <c r="V767" s="10">
        <f>IF(ActiveDatabase=Standby,Secondary!V767,Primary!V767)</f>
        <v>0</v>
      </c>
      <c r="W767" s="6">
        <f>IF(ActiveDatabase=Standby,Secondary!W767,Primary!W767)</f>
        <v>0</v>
      </c>
      <c r="X767" s="6">
        <f>IF(ActiveDatabase=Standby,Secondary!X767,Primary!X767)</f>
        <v>0</v>
      </c>
      <c r="Y767" s="12">
        <f>IF(ActiveDatabase=Standby,Secondary!Y767,Primary!Y1425)</f>
        <v>0</v>
      </c>
      <c r="Z767" s="12">
        <f>IF(ActiveDatabase=Standby,Secondary!Z767,Primary!Z1425)</f>
        <v>0</v>
      </c>
      <c r="AA767" s="7">
        <f>IF(ActiveDatabase=Standby,Secondary!AA767,Primary!AA1425)</f>
        <v>0</v>
      </c>
      <c r="AB767" s="12"/>
      <c r="AC767" s="6"/>
      <c r="AD767" s="6"/>
      <c r="AE767" s="7"/>
      <c r="AF767" s="7"/>
      <c r="AG767" s="7"/>
      <c r="AH767" s="7"/>
      <c r="AI767" s="7"/>
      <c r="AJ767" s="7"/>
      <c r="AK767" s="7"/>
      <c r="AL767" s="7"/>
      <c r="AM767" s="7"/>
      <c r="AN767" s="7"/>
      <c r="AO767" s="6"/>
      <c r="AP767" s="7"/>
      <c r="AQ767" s="7"/>
      <c r="AR767" s="6"/>
      <c r="AS767" s="7"/>
      <c r="AT767" s="7"/>
      <c r="AU767" s="7"/>
      <c r="AV767" s="7"/>
      <c r="AW767" s="7"/>
      <c r="AX767" s="7"/>
      <c r="AY767" s="7"/>
      <c r="AZ767" s="7"/>
      <c r="BA767" s="7"/>
      <c r="BB767" s="7"/>
      <c r="BC767" s="7"/>
      <c r="BD767" s="7"/>
      <c r="BE767" s="7"/>
      <c r="BF767" s="7"/>
      <c r="BG767" s="7"/>
    </row>
    <row r="768" customHeight="1" spans="1:59">
      <c r="A768" s="9" t="str">
        <f>IF(ActiveDatabase=Standby,Secondary!A768,Primary!A768)</f>
        <v>microTech 84</v>
      </c>
      <c r="B768" s="5" t="str">
        <f>IF(ActiveDatabase=Standby,Secondary!B768,Primary!B768)</f>
        <v>microTech 103</v>
      </c>
      <c r="C768" s="5" t="str">
        <f>IF(ActiveDatabase=Standby,Secondary!C768,Primary!C768)</f>
        <v>microTech 17</v>
      </c>
      <c r="D768" s="5" t="str">
        <f>IF(ActiveDatabase=Standby,Secondary!D768,Primary!D768)</f>
        <v>River 53P-630</v>
      </c>
      <c r="E768" s="6" t="str">
        <f>IF(ActiveDatabase=Standby,Secondary!E768,Primary!E768)</f>
        <v>River 53P630</v>
      </c>
      <c r="F768" s="10">
        <f>IF(ActiveDatabase=Standby,Secondary!F768,Primary!F768)</f>
        <v>-694.519747280249</v>
      </c>
      <c r="G768" s="10">
        <f>IF(ActiveDatabase=Standby,Secondary!G768,Primary!G768)</f>
        <v>703.15465518414</v>
      </c>
      <c r="H768" s="10">
        <f>IF(ActiveDatabase=Standby,Secondary!H768,Primary!H768)</f>
        <v>166.0948089991</v>
      </c>
      <c r="I768" s="13">
        <f>IF(ActiveDatabase=Standby,Secondary!I768,Primary!I768)</f>
        <v>0</v>
      </c>
      <c r="J768" s="13">
        <f>IF(ActiveDatabase=Standby,Secondary!J768,Primary!J768)</f>
        <v>0</v>
      </c>
      <c r="K768" s="13">
        <f>IF(ActiveDatabase=Standby,Secondary!K768,Primary!K768)</f>
        <v>0</v>
      </c>
      <c r="L768" s="13">
        <f>IF(ActiveDatabase=Standby,Secondary!L768,Primary!L768)</f>
        <v>0</v>
      </c>
      <c r="M768" s="7" t="b">
        <f>IF(ActiveDatabase=Standby,Secondary!M768,Primary!M768)</f>
        <v>0</v>
      </c>
      <c r="N768" s="10">
        <f>IF(ActiveDatabase=Standby,Secondary!N768,Primary!N768)</f>
        <v>0</v>
      </c>
      <c r="O768" s="10">
        <f>IF(ActiveDatabase=Standby,Secondary!O768,Primary!O768)</f>
        <v>0</v>
      </c>
      <c r="P768" s="10">
        <f>IF(ActiveDatabase=Standby,Secondary!P768,Primary!P768)</f>
        <v>0</v>
      </c>
      <c r="Q768" s="6">
        <f>IF(ActiveDatabase=Standby,Secondary!Q768,Primary!Q768)</f>
        <v>0</v>
      </c>
      <c r="R768" s="18">
        <f>IF(ActiveDatabase=Standby,Secondary!R768,Primary!R768)</f>
        <v>0</v>
      </c>
      <c r="S768" s="19">
        <f>IF(ActiveDatabase=Standby,Secondary!S768,Primary!S768)</f>
        <v>0</v>
      </c>
      <c r="T768" s="10">
        <f>IF(ActiveDatabase=Standby,Secondary!T768,Primary!T768)</f>
        <v>0</v>
      </c>
      <c r="U768" s="10">
        <f>IF(ActiveDatabase=Standby,Secondary!U768,Primary!U768)</f>
        <v>0</v>
      </c>
      <c r="V768" s="10">
        <f>IF(ActiveDatabase=Standby,Secondary!V768,Primary!V768)</f>
        <v>0</v>
      </c>
      <c r="W768" s="6">
        <f>IF(ActiveDatabase=Standby,Secondary!W768,Primary!W768)</f>
        <v>0</v>
      </c>
      <c r="X768" s="6">
        <f>IF(ActiveDatabase=Standby,Secondary!X768,Primary!X768)</f>
        <v>0</v>
      </c>
      <c r="Y768" s="12">
        <f>IF(ActiveDatabase=Standby,Secondary!Y768,Primary!Y1426)</f>
        <v>0</v>
      </c>
      <c r="Z768" s="12">
        <f>IF(ActiveDatabase=Standby,Secondary!Z768,Primary!Z1426)</f>
        <v>0</v>
      </c>
      <c r="AA768" s="7">
        <f>IF(ActiveDatabase=Standby,Secondary!AA768,Primary!AA1426)</f>
        <v>0</v>
      </c>
      <c r="AB768" s="12"/>
      <c r="AC768" s="6"/>
      <c r="AD768" s="6"/>
      <c r="AE768" s="7"/>
      <c r="AF768" s="7"/>
      <c r="AG768" s="7"/>
      <c r="AH768" s="7"/>
      <c r="AI768" s="7"/>
      <c r="AJ768" s="7"/>
      <c r="AK768" s="7"/>
      <c r="AL768" s="7"/>
      <c r="AM768" s="7"/>
      <c r="AN768" s="7"/>
      <c r="AO768" s="6"/>
      <c r="AP768" s="7"/>
      <c r="AQ768" s="7"/>
      <c r="AR768" s="6"/>
      <c r="AS768" s="7"/>
      <c r="AT768" s="7"/>
      <c r="AU768" s="7"/>
      <c r="AV768" s="7"/>
      <c r="AW768" s="7"/>
      <c r="AX768" s="7"/>
      <c r="AY768" s="7"/>
      <c r="AZ768" s="7"/>
      <c r="BA768" s="7"/>
      <c r="BB768" s="7"/>
      <c r="BC768" s="7"/>
      <c r="BD768" s="7"/>
      <c r="BE768" s="7"/>
      <c r="BF768" s="7"/>
      <c r="BG768" s="7"/>
    </row>
    <row r="769" customHeight="1" spans="1:59">
      <c r="A769" s="9" t="str">
        <f>IF(ActiveDatabase=Standby,Secondary!A769,Primary!A769)</f>
        <v>microTech 89</v>
      </c>
      <c r="B769" s="5" t="str">
        <f>IF(ActiveDatabase=Standby,Secondary!B769,Primary!B769)</f>
        <v>microTech 108</v>
      </c>
      <c r="C769" s="5" t="str">
        <f>IF(ActiveDatabase=Standby,Secondary!C769,Primary!C769)</f>
        <v>microTech 06</v>
      </c>
      <c r="D769" s="5" t="str">
        <f>IF(ActiveDatabase=Standby,Secondary!D769,Primary!D769)</f>
        <v>River 54N-642</v>
      </c>
      <c r="E769" s="6" t="str">
        <f>IF(ActiveDatabase=Standby,Secondary!E769,Primary!E769)</f>
        <v>River 54N642</v>
      </c>
      <c r="F769" s="10">
        <f>IF(ActiveDatabase=Standby,Secondary!F769,Primary!F769)</f>
        <v>-776.95680492816</v>
      </c>
      <c r="G769" s="10">
        <f>IF(ActiveDatabase=Standby,Secondary!G769,Primary!G769)</f>
        <v>631.82575742003</v>
      </c>
      <c r="H769" s="10">
        <f>IF(ActiveDatabase=Standby,Secondary!H769,Primary!H769)</f>
        <v>12.12209835673</v>
      </c>
      <c r="I769" s="13">
        <f>IF(ActiveDatabase=Standby,Secondary!I769,Primary!I769)</f>
        <v>0</v>
      </c>
      <c r="J769" s="13">
        <f>IF(ActiveDatabase=Standby,Secondary!J769,Primary!J769)</f>
        <v>0</v>
      </c>
      <c r="K769" s="13">
        <f>IF(ActiveDatabase=Standby,Secondary!K769,Primary!K769)</f>
        <v>0</v>
      </c>
      <c r="L769" s="13">
        <f>IF(ActiveDatabase=Standby,Secondary!L769,Primary!L769)</f>
        <v>0</v>
      </c>
      <c r="M769" s="7" t="b">
        <f>IF(ActiveDatabase=Standby,Secondary!M769,Primary!M769)</f>
        <v>0</v>
      </c>
      <c r="N769" s="10">
        <f>IF(ActiveDatabase=Standby,Secondary!N769,Primary!N769)</f>
        <v>0</v>
      </c>
      <c r="O769" s="10">
        <f>IF(ActiveDatabase=Standby,Secondary!O769,Primary!O769)</f>
        <v>0</v>
      </c>
      <c r="P769" s="10">
        <f>IF(ActiveDatabase=Standby,Secondary!P769,Primary!P769)</f>
        <v>0</v>
      </c>
      <c r="Q769" s="6">
        <f>IF(ActiveDatabase=Standby,Secondary!Q769,Primary!Q769)</f>
        <v>0</v>
      </c>
      <c r="R769" s="18">
        <f>IF(ActiveDatabase=Standby,Secondary!R769,Primary!R769)</f>
        <v>0</v>
      </c>
      <c r="S769" s="19">
        <f>IF(ActiveDatabase=Standby,Secondary!S769,Primary!S769)</f>
        <v>0</v>
      </c>
      <c r="T769" s="10">
        <f>IF(ActiveDatabase=Standby,Secondary!T769,Primary!T769)</f>
        <v>0</v>
      </c>
      <c r="U769" s="10">
        <f>IF(ActiveDatabase=Standby,Secondary!U769,Primary!U769)</f>
        <v>0</v>
      </c>
      <c r="V769" s="10">
        <f>IF(ActiveDatabase=Standby,Secondary!V769,Primary!V769)</f>
        <v>0</v>
      </c>
      <c r="W769" s="6">
        <f>IF(ActiveDatabase=Standby,Secondary!W769,Primary!W769)</f>
        <v>0</v>
      </c>
      <c r="X769" s="6">
        <f>IF(ActiveDatabase=Standby,Secondary!X769,Primary!X769)</f>
        <v>0</v>
      </c>
      <c r="Y769" s="12">
        <f>IF(ActiveDatabase=Standby,Secondary!Y769,Primary!Y1427)</f>
        <v>0</v>
      </c>
      <c r="Z769" s="12">
        <f>IF(ActiveDatabase=Standby,Secondary!Z769,Primary!Z1427)</f>
        <v>0</v>
      </c>
      <c r="AA769" s="7">
        <f>IF(ActiveDatabase=Standby,Secondary!AA769,Primary!AA1427)</f>
        <v>0</v>
      </c>
      <c r="AB769" s="12"/>
      <c r="AC769" s="6"/>
      <c r="AD769" s="6"/>
      <c r="AE769" s="7"/>
      <c r="AF769" s="7"/>
      <c r="AG769" s="7"/>
      <c r="AH769" s="7"/>
      <c r="AI769" s="7"/>
      <c r="AJ769" s="7"/>
      <c r="AK769" s="7"/>
      <c r="AL769" s="7"/>
      <c r="AM769" s="7"/>
      <c r="AN769" s="7"/>
      <c r="AO769" s="6"/>
      <c r="AP769" s="7"/>
      <c r="AQ769" s="7"/>
      <c r="AR769" s="6"/>
      <c r="AS769" s="7"/>
      <c r="AT769" s="7"/>
      <c r="AU769" s="7"/>
      <c r="AV769" s="7"/>
      <c r="AW769" s="7"/>
      <c r="AX769" s="7"/>
      <c r="AY769" s="7"/>
      <c r="AZ769" s="7"/>
      <c r="BA769" s="7"/>
      <c r="BB769" s="7"/>
      <c r="BC769" s="7"/>
      <c r="BD769" s="7"/>
      <c r="BE769" s="7"/>
      <c r="BF769" s="7"/>
      <c r="BG769" s="7"/>
    </row>
    <row r="770" customHeight="1" spans="1:59">
      <c r="A770" s="9" t="str">
        <f>IF(ActiveDatabase=Standby,Secondary!A770,Primary!A770)</f>
        <v>microTech</v>
      </c>
      <c r="B770" s="5" t="str">
        <f>IF(ActiveDatabase=Standby,Secondary!B770,Primary!B770)</f>
        <v>microTech 112</v>
      </c>
      <c r="C770" s="5">
        <f>IF(ActiveDatabase=Standby,Secondary!C770,Primary!C770)</f>
        <v>0</v>
      </c>
      <c r="D770" s="5" t="str">
        <f>IF(ActiveDatabase=Standby,Secondary!D770,Primary!D770)</f>
        <v>Other Locations</v>
      </c>
      <c r="E770" s="6">
        <f>IF(ActiveDatabase=Standby,Secondary!E770,Primary!E770)</f>
        <v>0</v>
      </c>
      <c r="F770" s="10">
        <f>IF(ActiveDatabase=Standby,Secondary!F770,Primary!F770)</f>
        <v>0</v>
      </c>
      <c r="G770" s="10">
        <f>IF(ActiveDatabase=Standby,Secondary!G770,Primary!G770)</f>
        <v>0</v>
      </c>
      <c r="H770" s="10">
        <f>IF(ActiveDatabase=Standby,Secondary!H770,Primary!H770)</f>
        <v>0</v>
      </c>
      <c r="I770" s="13">
        <f>IF(ActiveDatabase=Standby,Secondary!I770,Primary!I770)</f>
        <v>0</v>
      </c>
      <c r="J770" s="13">
        <f>IF(ActiveDatabase=Standby,Secondary!J770,Primary!J770)</f>
        <v>0</v>
      </c>
      <c r="K770" s="13">
        <f>IF(ActiveDatabase=Standby,Secondary!K770,Primary!K770)</f>
        <v>0</v>
      </c>
      <c r="L770" s="13">
        <f>IF(ActiveDatabase=Standby,Secondary!L770,Primary!L770)</f>
        <v>0</v>
      </c>
      <c r="M770" s="7">
        <f>IF(ActiveDatabase=Standby,Secondary!M770,Primary!M770)</f>
        <v>0</v>
      </c>
      <c r="N770" s="10">
        <f>IF(ActiveDatabase=Standby,Secondary!N770,Primary!N770)</f>
        <v>0</v>
      </c>
      <c r="O770" s="10">
        <f>IF(ActiveDatabase=Standby,Secondary!O770,Primary!O770)</f>
        <v>0</v>
      </c>
      <c r="P770" s="10">
        <f>IF(ActiveDatabase=Standby,Secondary!P770,Primary!P770)</f>
        <v>0</v>
      </c>
      <c r="Q770" s="6">
        <f>IF(ActiveDatabase=Standby,Secondary!Q770,Primary!Q770)</f>
        <v>0</v>
      </c>
      <c r="R770" s="18">
        <f>IF(ActiveDatabase=Standby,Secondary!R770,Primary!R770)</f>
        <v>0</v>
      </c>
      <c r="S770" s="19">
        <f>IF(ActiveDatabase=Standby,Secondary!S770,Primary!S770)</f>
        <v>0</v>
      </c>
      <c r="T770" s="10">
        <f>IF(ActiveDatabase=Standby,Secondary!T770,Primary!T770)</f>
        <v>0</v>
      </c>
      <c r="U770" s="10">
        <f>IF(ActiveDatabase=Standby,Secondary!U770,Primary!U770)</f>
        <v>0</v>
      </c>
      <c r="V770" s="10">
        <f>IF(ActiveDatabase=Standby,Secondary!V770,Primary!V770)</f>
        <v>0</v>
      </c>
      <c r="W770" s="6">
        <f>IF(ActiveDatabase=Standby,Secondary!W770,Primary!W770)</f>
        <v>0</v>
      </c>
      <c r="X770" s="6">
        <f>IF(ActiveDatabase=Standby,Secondary!X770,Primary!X770)</f>
        <v>0</v>
      </c>
      <c r="Y770" s="12">
        <f>IF(ActiveDatabase=Standby,Secondary!Y770,Primary!Y1428)</f>
        <v>0</v>
      </c>
      <c r="Z770" s="12">
        <f>IF(ActiveDatabase=Standby,Secondary!Z770,Primary!Z1428)</f>
        <v>0</v>
      </c>
      <c r="AA770" s="7">
        <f>IF(ActiveDatabase=Standby,Secondary!AA770,Primary!AA1428)</f>
        <v>0</v>
      </c>
      <c r="AB770" s="12"/>
      <c r="AC770" s="6"/>
      <c r="AD770" s="6"/>
      <c r="AE770" s="7"/>
      <c r="AF770" s="7"/>
      <c r="AG770" s="7"/>
      <c r="AH770" s="7"/>
      <c r="AI770" s="7"/>
      <c r="AJ770" s="7"/>
      <c r="AK770" s="7"/>
      <c r="AL770" s="7"/>
      <c r="AM770" s="7"/>
      <c r="AN770" s="7"/>
      <c r="AO770" s="6"/>
      <c r="AP770" s="7"/>
      <c r="AQ770" s="7"/>
      <c r="AR770" s="6"/>
      <c r="AS770" s="7"/>
      <c r="AT770" s="7"/>
      <c r="AU770" s="7"/>
      <c r="AV770" s="7"/>
      <c r="AW770" s="7"/>
      <c r="AX770" s="7"/>
      <c r="AY770" s="7"/>
      <c r="AZ770" s="7"/>
      <c r="BA770" s="7"/>
      <c r="BB770" s="7"/>
      <c r="BC770" s="7"/>
      <c r="BD770" s="7"/>
      <c r="BE770" s="7"/>
      <c r="BF770" s="7"/>
      <c r="BG770" s="7"/>
    </row>
    <row r="771" customHeight="1" spans="1:59">
      <c r="A771" s="9" t="str">
        <f>IF(ActiveDatabase=Standby,Secondary!A771,Primary!A771)</f>
        <v>microTech 92</v>
      </c>
      <c r="B771" s="5" t="str">
        <f>IF(ActiveDatabase=Standby,Secondary!B771,Primary!B771)</f>
        <v>microTech 113</v>
      </c>
      <c r="C771" s="5" t="str">
        <f>IF(ActiveDatabase=Standby,Secondary!C771,Primary!C771)</f>
        <v>microTech 74</v>
      </c>
      <c r="D771" s="5" t="str">
        <f>IF(ActiveDatabase=Standby,Secondary!D771,Primary!D771)</f>
        <v>Test Facility Octagon</v>
      </c>
      <c r="E771" s="6" t="str">
        <f>IF(ActiveDatabase=Standby,Secondary!E771,Primary!E771)</f>
        <v>Octagon</v>
      </c>
      <c r="F771" s="10">
        <f>IF(ActiveDatabase=Standby,Secondary!F771,Primary!F771)</f>
        <v>635.765</v>
      </c>
      <c r="G771" s="10">
        <f>IF(ActiveDatabase=Standby,Secondary!G771,Primary!G771)</f>
        <v>-155.464</v>
      </c>
      <c r="H771" s="10">
        <f>IF(ActiveDatabase=Standby,Secondary!H771,Primary!H771)</f>
        <v>758.837</v>
      </c>
      <c r="I771" s="13">
        <f>IF(ActiveDatabase=Standby,Secondary!I771,Primary!I771)</f>
        <v>0</v>
      </c>
      <c r="J771" s="13">
        <f>IF(ActiveDatabase=Standby,Secondary!J771,Primary!J771)</f>
        <v>0</v>
      </c>
      <c r="K771" s="13">
        <f>IF(ActiveDatabase=Standby,Secondary!K771,Primary!K771)</f>
        <v>0</v>
      </c>
      <c r="L771" s="13">
        <f>IF(ActiveDatabase=Standby,Secondary!L771,Primary!L771)</f>
        <v>0</v>
      </c>
      <c r="M771" s="7" t="b">
        <f>IF(ActiveDatabase=Standby,Secondary!M771,Primary!M771)</f>
        <v>0</v>
      </c>
      <c r="N771" s="10">
        <f>IF(ActiveDatabase=Standby,Secondary!N771,Primary!N771)</f>
        <v>0</v>
      </c>
      <c r="O771" s="10">
        <f>IF(ActiveDatabase=Standby,Secondary!O771,Primary!O771)</f>
        <v>0</v>
      </c>
      <c r="P771" s="10">
        <f>IF(ActiveDatabase=Standby,Secondary!P771,Primary!P771)</f>
        <v>0</v>
      </c>
      <c r="Q771" s="6">
        <f>IF(ActiveDatabase=Standby,Secondary!Q771,Primary!Q771)</f>
        <v>0</v>
      </c>
      <c r="R771" s="18">
        <f>IF(ActiveDatabase=Standby,Secondary!R771,Primary!R771)</f>
        <v>0</v>
      </c>
      <c r="S771" s="19">
        <f>IF(ActiveDatabase=Standby,Secondary!S771,Primary!S771)</f>
        <v>0</v>
      </c>
      <c r="T771" s="10">
        <f>IF(ActiveDatabase=Standby,Secondary!T771,Primary!T771)</f>
        <v>0</v>
      </c>
      <c r="U771" s="10">
        <f>IF(ActiveDatabase=Standby,Secondary!U771,Primary!U771)</f>
        <v>0</v>
      </c>
      <c r="V771" s="10">
        <f>IF(ActiveDatabase=Standby,Secondary!V771,Primary!V771)</f>
        <v>0</v>
      </c>
      <c r="W771" s="6">
        <f>IF(ActiveDatabase=Standby,Secondary!W771,Primary!W771)</f>
        <v>0</v>
      </c>
      <c r="X771" s="6">
        <f>IF(ActiveDatabase=Standby,Secondary!X771,Primary!X771)</f>
        <v>0</v>
      </c>
      <c r="Y771" s="12">
        <f>IF(ActiveDatabase=Standby,Secondary!Y771,Primary!Y1429)</f>
        <v>0</v>
      </c>
      <c r="Z771" s="12">
        <f>IF(ActiveDatabase=Standby,Secondary!Z771,Primary!Z1429)</f>
        <v>0</v>
      </c>
      <c r="AA771" s="7">
        <f>IF(ActiveDatabase=Standby,Secondary!AA771,Primary!AA1429)</f>
        <v>0</v>
      </c>
      <c r="AB771" s="12"/>
      <c r="AC771" s="6"/>
      <c r="AD771" s="6"/>
      <c r="AE771" s="7"/>
      <c r="AF771" s="7"/>
      <c r="AG771" s="7"/>
      <c r="AH771" s="7"/>
      <c r="AI771" s="7"/>
      <c r="AJ771" s="7"/>
      <c r="AK771" s="7"/>
      <c r="AL771" s="7"/>
      <c r="AM771" s="7"/>
      <c r="AN771" s="7"/>
      <c r="AO771" s="6"/>
      <c r="AP771" s="7"/>
      <c r="AQ771" s="7"/>
      <c r="AR771" s="6"/>
      <c r="AS771" s="7"/>
      <c r="AT771" s="7"/>
      <c r="AU771" s="7"/>
      <c r="AV771" s="7"/>
      <c r="AW771" s="7"/>
      <c r="AX771" s="7"/>
      <c r="AY771" s="7"/>
      <c r="AZ771" s="7"/>
      <c r="BA771" s="7"/>
      <c r="BB771" s="7"/>
      <c r="BC771" s="7"/>
      <c r="BD771" s="7"/>
      <c r="BE771" s="7"/>
      <c r="BF771" s="7"/>
      <c r="BG771" s="7"/>
    </row>
    <row r="772" customHeight="1" spans="1:59">
      <c r="A772" s="9" t="str">
        <f>IF(ActiveDatabase=Standby,Secondary!A772,Primary!A772)</f>
        <v>microTech 93</v>
      </c>
      <c r="B772" s="5" t="str">
        <f>IF(ActiveDatabase=Standby,Secondary!B772,Primary!B772)</f>
        <v>microTech 114</v>
      </c>
      <c r="C772" s="5" t="str">
        <f>IF(ActiveDatabase=Standby,Secondary!C772,Primary!C772)</f>
        <v>microTech 53</v>
      </c>
      <c r="D772" s="5" t="str">
        <f>IF(ActiveDatabase=Standby,Secondary!D772,Primary!D772)</f>
        <v>Chestnuts on an open fire</v>
      </c>
      <c r="E772" s="6" t="str">
        <f>IF(ActiveDatabase=Standby,Secondary!E772,Primary!E772)</f>
        <v>Campfire</v>
      </c>
      <c r="F772" s="10">
        <f>IF(ActiveDatabase=Standby,Secondary!F772,Primary!F772)</f>
        <v>520.693326411756</v>
      </c>
      <c r="G772" s="10">
        <f>IF(ActiveDatabase=Standby,Secondary!G772,Primary!G772)</f>
        <v>419.260263867295</v>
      </c>
      <c r="H772" s="10">
        <f>IF(ActiveDatabase=Standby,Secondary!H772,Primary!H772)</f>
        <v>743.713993715584</v>
      </c>
      <c r="I772" s="13">
        <f>IF(ActiveDatabase=Standby,Secondary!I772,Primary!I772)</f>
        <v>0</v>
      </c>
      <c r="J772" s="13">
        <f>IF(ActiveDatabase=Standby,Secondary!J772,Primary!J772)</f>
        <v>0</v>
      </c>
      <c r="K772" s="13">
        <f>IF(ActiveDatabase=Standby,Secondary!K772,Primary!K772)</f>
        <v>0</v>
      </c>
      <c r="L772" s="13">
        <f>IF(ActiveDatabase=Standby,Secondary!L772,Primary!L772)</f>
        <v>0</v>
      </c>
      <c r="M772" s="7" t="b">
        <f>IF(ActiveDatabase=Standby,Secondary!M772,Primary!M772)</f>
        <v>0</v>
      </c>
      <c r="N772" s="10">
        <f>IF(ActiveDatabase=Standby,Secondary!N772,Primary!N772)</f>
        <v>0</v>
      </c>
      <c r="O772" s="10">
        <f>IF(ActiveDatabase=Standby,Secondary!O772,Primary!O772)</f>
        <v>0</v>
      </c>
      <c r="P772" s="10">
        <f>IF(ActiveDatabase=Standby,Secondary!P772,Primary!P772)</f>
        <v>0</v>
      </c>
      <c r="Q772" s="6">
        <f>IF(ActiveDatabase=Standby,Secondary!Q772,Primary!Q772)</f>
        <v>0</v>
      </c>
      <c r="R772" s="18">
        <f>IF(ActiveDatabase=Standby,Secondary!R772,Primary!R772)</f>
        <v>0</v>
      </c>
      <c r="S772" s="19">
        <f>IF(ActiveDatabase=Standby,Secondary!S772,Primary!S772)</f>
        <v>0</v>
      </c>
      <c r="T772" s="10">
        <f>IF(ActiveDatabase=Standby,Secondary!T772,Primary!T772)</f>
        <v>0</v>
      </c>
      <c r="U772" s="10">
        <f>IF(ActiveDatabase=Standby,Secondary!U772,Primary!U772)</f>
        <v>0</v>
      </c>
      <c r="V772" s="10">
        <f>IF(ActiveDatabase=Standby,Secondary!V772,Primary!V772)</f>
        <v>0</v>
      </c>
      <c r="W772" s="6">
        <f>IF(ActiveDatabase=Standby,Secondary!W772,Primary!W772)</f>
        <v>0</v>
      </c>
      <c r="X772" s="6">
        <f>IF(ActiveDatabase=Standby,Secondary!X772,Primary!X772)</f>
        <v>0</v>
      </c>
      <c r="Y772" s="12">
        <f>IF(ActiveDatabase=Standby,Secondary!Y772,Primary!Y1430)</f>
        <v>0</v>
      </c>
      <c r="Z772" s="12">
        <f>IF(ActiveDatabase=Standby,Secondary!Z772,Primary!Z1430)</f>
        <v>0</v>
      </c>
      <c r="AA772" s="7">
        <f>IF(ActiveDatabase=Standby,Secondary!AA772,Primary!AA1430)</f>
        <v>0</v>
      </c>
      <c r="AB772" s="12"/>
      <c r="AC772" s="6"/>
      <c r="AD772" s="6"/>
      <c r="AE772" s="7"/>
      <c r="AF772" s="7"/>
      <c r="AG772" s="7"/>
      <c r="AH772" s="7"/>
      <c r="AI772" s="7"/>
      <c r="AJ772" s="7"/>
      <c r="AK772" s="7"/>
      <c r="AL772" s="7"/>
      <c r="AM772" s="7"/>
      <c r="AN772" s="7"/>
      <c r="AO772" s="6"/>
      <c r="AP772" s="7"/>
      <c r="AQ772" s="7"/>
      <c r="AR772" s="6"/>
      <c r="AS772" s="7"/>
      <c r="AT772" s="7"/>
      <c r="AU772" s="7"/>
      <c r="AV772" s="7"/>
      <c r="AW772" s="7"/>
      <c r="AX772" s="7"/>
      <c r="AY772" s="7"/>
      <c r="AZ772" s="7"/>
      <c r="BA772" s="7"/>
      <c r="BB772" s="7"/>
      <c r="BC772" s="7"/>
      <c r="BD772" s="7"/>
      <c r="BE772" s="7"/>
      <c r="BF772" s="7"/>
      <c r="BG772" s="7"/>
    </row>
    <row r="773" customHeight="1" spans="1:59">
      <c r="A773" s="9" t="str">
        <f>IF(ActiveDatabase=Standby,Secondary!A773,Primary!A773)</f>
        <v>microTech 94</v>
      </c>
      <c r="B773" s="5" t="str">
        <f>IF(ActiveDatabase=Standby,Secondary!B773,Primary!B773)</f>
        <v>microTech 115</v>
      </c>
      <c r="C773" s="5" t="str">
        <f>IF(ActiveDatabase=Standby,Secondary!C773,Primary!C773)</f>
        <v>microTech 51</v>
      </c>
      <c r="D773" s="5" t="str">
        <f>IF(ActiveDatabase=Standby,Secondary!D773,Primary!D773)</f>
        <v>Lakeside Chairs</v>
      </c>
      <c r="E773" s="6" t="str">
        <f>IF(ActiveDatabase=Standby,Secondary!E773,Primary!E773)</f>
        <v>Lake Chair</v>
      </c>
      <c r="F773" s="10">
        <f>IF(ActiveDatabase=Standby,Secondary!F773,Primary!F773)</f>
        <v>524.873227220621</v>
      </c>
      <c r="G773" s="10">
        <f>IF(ActiveDatabase=Standby,Secondary!G773,Primary!G773)</f>
        <v>425.682953869917</v>
      </c>
      <c r="H773" s="10">
        <f>IF(ActiveDatabase=Standby,Secondary!H773,Primary!H773)</f>
        <v>737.102441837138</v>
      </c>
      <c r="I773" s="13">
        <f>IF(ActiveDatabase=Standby,Secondary!I773,Primary!I773)</f>
        <v>0</v>
      </c>
      <c r="J773" s="13">
        <f>IF(ActiveDatabase=Standby,Secondary!J773,Primary!J773)</f>
        <v>0</v>
      </c>
      <c r="K773" s="13">
        <f>IF(ActiveDatabase=Standby,Secondary!K773,Primary!K773)</f>
        <v>0</v>
      </c>
      <c r="L773" s="13">
        <f>IF(ActiveDatabase=Standby,Secondary!L773,Primary!L773)</f>
        <v>0</v>
      </c>
      <c r="M773" s="7" t="b">
        <f>IF(ActiveDatabase=Standby,Secondary!M773,Primary!M773)</f>
        <v>0</v>
      </c>
      <c r="N773" s="10">
        <f>IF(ActiveDatabase=Standby,Secondary!N773,Primary!N773)</f>
        <v>0</v>
      </c>
      <c r="O773" s="10">
        <f>IF(ActiveDatabase=Standby,Secondary!O773,Primary!O773)</f>
        <v>0</v>
      </c>
      <c r="P773" s="10">
        <f>IF(ActiveDatabase=Standby,Secondary!P773,Primary!P773)</f>
        <v>0</v>
      </c>
      <c r="Q773" s="6">
        <f>IF(ActiveDatabase=Standby,Secondary!Q773,Primary!Q773)</f>
        <v>0</v>
      </c>
      <c r="R773" s="18">
        <f>IF(ActiveDatabase=Standby,Secondary!R773,Primary!R773)</f>
        <v>0</v>
      </c>
      <c r="S773" s="19">
        <f>IF(ActiveDatabase=Standby,Secondary!S773,Primary!S773)</f>
        <v>0</v>
      </c>
      <c r="T773" s="10">
        <f>IF(ActiveDatabase=Standby,Secondary!T773,Primary!T773)</f>
        <v>0</v>
      </c>
      <c r="U773" s="10">
        <f>IF(ActiveDatabase=Standby,Secondary!U773,Primary!U773)</f>
        <v>0</v>
      </c>
      <c r="V773" s="10">
        <f>IF(ActiveDatabase=Standby,Secondary!V773,Primary!V773)</f>
        <v>0</v>
      </c>
      <c r="W773" s="6">
        <f>IF(ActiveDatabase=Standby,Secondary!W773,Primary!W773)</f>
        <v>0</v>
      </c>
      <c r="X773" s="6">
        <f>IF(ActiveDatabase=Standby,Secondary!X773,Primary!X773)</f>
        <v>0</v>
      </c>
      <c r="Y773" s="12">
        <f>IF(ActiveDatabase=Standby,Secondary!Y773,Primary!Y1431)</f>
        <v>0</v>
      </c>
      <c r="Z773" s="12">
        <f>IF(ActiveDatabase=Standby,Secondary!Z773,Primary!Z1431)</f>
        <v>0</v>
      </c>
      <c r="AA773" s="7">
        <f>IF(ActiveDatabase=Standby,Secondary!AA773,Primary!AA1431)</f>
        <v>0</v>
      </c>
      <c r="AB773" s="12"/>
      <c r="AC773" s="6"/>
      <c r="AD773" s="6"/>
      <c r="AE773" s="7"/>
      <c r="AF773" s="7"/>
      <c r="AG773" s="7"/>
      <c r="AH773" s="7"/>
      <c r="AI773" s="7"/>
      <c r="AJ773" s="7"/>
      <c r="AK773" s="7"/>
      <c r="AL773" s="7"/>
      <c r="AM773" s="7"/>
      <c r="AN773" s="7"/>
      <c r="AO773" s="6"/>
      <c r="AP773" s="7"/>
      <c r="AQ773" s="7"/>
      <c r="AR773" s="6"/>
      <c r="AS773" s="7"/>
      <c r="AT773" s="7"/>
      <c r="AU773" s="7"/>
      <c r="AV773" s="7"/>
      <c r="AW773" s="7"/>
      <c r="AX773" s="7"/>
      <c r="AY773" s="7"/>
      <c r="AZ773" s="7"/>
      <c r="BA773" s="7"/>
      <c r="BB773" s="7"/>
      <c r="BC773" s="7"/>
      <c r="BD773" s="7"/>
      <c r="BE773" s="7"/>
      <c r="BF773" s="7"/>
      <c r="BG773" s="7"/>
    </row>
    <row r="774" customHeight="1" spans="1:59">
      <c r="A774" s="9" t="str">
        <f>IF(ActiveDatabase=Standby,Secondary!A774,Primary!A774)</f>
        <v>microTech 95</v>
      </c>
      <c r="B774" s="5" t="str">
        <f>IF(ActiveDatabase=Standby,Secondary!B774,Primary!B774)</f>
        <v>microTech 116</v>
      </c>
      <c r="C774" s="5" t="str">
        <f>IF(ActiveDatabase=Standby,Secondary!C774,Primary!C774)</f>
        <v>microTech 50</v>
      </c>
      <c r="D774" s="5" t="str">
        <f>IF(ActiveDatabase=Standby,Secondary!D774,Primary!D774)</f>
        <v>Mountainside Chairs</v>
      </c>
      <c r="E774" s="6" t="str">
        <f>IF(ActiveDatabase=Standby,Secondary!E774,Primary!E774)</f>
        <v>Mtn Chair</v>
      </c>
      <c r="F774" s="10">
        <f>IF(ActiveDatabase=Standby,Secondary!F774,Primary!F774)</f>
        <v>506.681654210353</v>
      </c>
      <c r="G774" s="10">
        <f>IF(ActiveDatabase=Standby,Secondary!G774,Primary!G774)</f>
        <v>421.171165357204</v>
      </c>
      <c r="H774" s="10">
        <f>IF(ActiveDatabase=Standby,Secondary!H774,Primary!H774)</f>
        <v>754.682731680966</v>
      </c>
      <c r="I774" s="13">
        <f>IF(ActiveDatabase=Standby,Secondary!I774,Primary!I774)</f>
        <v>0</v>
      </c>
      <c r="J774" s="13">
        <f>IF(ActiveDatabase=Standby,Secondary!J774,Primary!J774)</f>
        <v>0</v>
      </c>
      <c r="K774" s="13">
        <f>IF(ActiveDatabase=Standby,Secondary!K774,Primary!K774)</f>
        <v>0</v>
      </c>
      <c r="L774" s="13">
        <f>IF(ActiveDatabase=Standby,Secondary!L774,Primary!L774)</f>
        <v>0</v>
      </c>
      <c r="M774" s="7" t="b">
        <f>IF(ActiveDatabase=Standby,Secondary!M774,Primary!M774)</f>
        <v>0</v>
      </c>
      <c r="N774" s="10">
        <f>IF(ActiveDatabase=Standby,Secondary!N774,Primary!N774)</f>
        <v>0</v>
      </c>
      <c r="O774" s="10">
        <f>IF(ActiveDatabase=Standby,Secondary!O774,Primary!O774)</f>
        <v>0</v>
      </c>
      <c r="P774" s="10">
        <f>IF(ActiveDatabase=Standby,Secondary!P774,Primary!P774)</f>
        <v>0</v>
      </c>
      <c r="Q774" s="6">
        <f>IF(ActiveDatabase=Standby,Secondary!Q774,Primary!Q774)</f>
        <v>0</v>
      </c>
      <c r="R774" s="18">
        <f>IF(ActiveDatabase=Standby,Secondary!R774,Primary!R774)</f>
        <v>0</v>
      </c>
      <c r="S774" s="19">
        <f>IF(ActiveDatabase=Standby,Secondary!S774,Primary!S774)</f>
        <v>0</v>
      </c>
      <c r="T774" s="10">
        <f>IF(ActiveDatabase=Standby,Secondary!T774,Primary!T774)</f>
        <v>0</v>
      </c>
      <c r="U774" s="10">
        <f>IF(ActiveDatabase=Standby,Secondary!U774,Primary!U774)</f>
        <v>0</v>
      </c>
      <c r="V774" s="10">
        <f>IF(ActiveDatabase=Standby,Secondary!V774,Primary!V774)</f>
        <v>0</v>
      </c>
      <c r="W774" s="6">
        <f>IF(ActiveDatabase=Standby,Secondary!W774,Primary!W774)</f>
        <v>0</v>
      </c>
      <c r="X774" s="6">
        <f>IF(ActiveDatabase=Standby,Secondary!X774,Primary!X774)</f>
        <v>0</v>
      </c>
      <c r="Y774" s="12">
        <f>IF(ActiveDatabase=Standby,Secondary!Y774,Primary!Y1432)</f>
        <v>0</v>
      </c>
      <c r="Z774" s="12">
        <f>IF(ActiveDatabase=Standby,Secondary!Z774,Primary!Z1432)</f>
        <v>0</v>
      </c>
      <c r="AA774" s="7">
        <f>IF(ActiveDatabase=Standby,Secondary!AA774,Primary!AA1432)</f>
        <v>0</v>
      </c>
      <c r="AB774" s="12"/>
      <c r="AC774" s="6"/>
      <c r="AD774" s="6"/>
      <c r="AE774" s="7"/>
      <c r="AF774" s="7"/>
      <c r="AG774" s="7"/>
      <c r="AH774" s="7"/>
      <c r="AI774" s="7"/>
      <c r="AJ774" s="7"/>
      <c r="AK774" s="7"/>
      <c r="AL774" s="7"/>
      <c r="AM774" s="7"/>
      <c r="AN774" s="7"/>
      <c r="AO774" s="6"/>
      <c r="AP774" s="7"/>
      <c r="AQ774" s="7"/>
      <c r="AR774" s="6"/>
      <c r="AS774" s="7"/>
      <c r="AT774" s="7"/>
      <c r="AU774" s="7"/>
      <c r="AV774" s="7"/>
      <c r="AW774" s="7"/>
      <c r="AX774" s="7"/>
      <c r="AY774" s="7"/>
      <c r="AZ774" s="7"/>
      <c r="BA774" s="7"/>
      <c r="BB774" s="7"/>
      <c r="BC774" s="7"/>
      <c r="BD774" s="7"/>
      <c r="BE774" s="7"/>
      <c r="BF774" s="7"/>
      <c r="BG774" s="7"/>
    </row>
    <row r="775" customHeight="1" spans="1:59">
      <c r="A775" s="9" t="str">
        <f>IF(ActiveDatabase=Standby,Secondary!A775,Primary!A775)</f>
        <v>microTech 96</v>
      </c>
      <c r="B775" s="5" t="str">
        <f>IF(ActiveDatabase=Standby,Secondary!B775,Primary!B775)</f>
        <v>microTech 117</v>
      </c>
      <c r="C775" s="5" t="str">
        <f>IF(ActiveDatabase=Standby,Secondary!C775,Primary!C775)</f>
        <v>microTech 54</v>
      </c>
      <c r="D775" s="5" t="str">
        <f>IF(ActiveDatabase=Standby,Secondary!D775,Primary!D775)</f>
        <v>Tears of Fire Painting</v>
      </c>
      <c r="E775" s="6" t="str">
        <f>IF(ActiveDatabase=Standby,Secondary!E775,Primary!E775)</f>
        <v>Tears of Fire</v>
      </c>
      <c r="F775" s="10">
        <f>IF(ActiveDatabase=Standby,Secondary!F775,Primary!F775)</f>
        <v>518.388064604595</v>
      </c>
      <c r="G775" s="10">
        <f>IF(ActiveDatabase=Standby,Secondary!G775,Primary!G775)</f>
        <v>416.270524745018</v>
      </c>
      <c r="H775" s="10">
        <f>IF(ActiveDatabase=Standby,Secondary!H775,Primary!H775)</f>
        <v>747.875548809016</v>
      </c>
      <c r="I775" s="13">
        <f>IF(ActiveDatabase=Standby,Secondary!I775,Primary!I775)</f>
        <v>0</v>
      </c>
      <c r="J775" s="13">
        <f>IF(ActiveDatabase=Standby,Secondary!J775,Primary!J775)</f>
        <v>0</v>
      </c>
      <c r="K775" s="13">
        <f>IF(ActiveDatabase=Standby,Secondary!K775,Primary!K775)</f>
        <v>0</v>
      </c>
      <c r="L775" s="13">
        <f>IF(ActiveDatabase=Standby,Secondary!L775,Primary!L775)</f>
        <v>0</v>
      </c>
      <c r="M775" s="7" t="b">
        <f>IF(ActiveDatabase=Standby,Secondary!M775,Primary!M775)</f>
        <v>0</v>
      </c>
      <c r="N775" s="10">
        <f>IF(ActiveDatabase=Standby,Secondary!N775,Primary!N775)</f>
        <v>0</v>
      </c>
      <c r="O775" s="10">
        <f>IF(ActiveDatabase=Standby,Secondary!O775,Primary!O775)</f>
        <v>0</v>
      </c>
      <c r="P775" s="10">
        <f>IF(ActiveDatabase=Standby,Secondary!P775,Primary!P775)</f>
        <v>0</v>
      </c>
      <c r="Q775" s="6">
        <f>IF(ActiveDatabase=Standby,Secondary!Q775,Primary!Q775)</f>
        <v>0</v>
      </c>
      <c r="R775" s="18">
        <f>IF(ActiveDatabase=Standby,Secondary!R775,Primary!R775)</f>
        <v>0</v>
      </c>
      <c r="S775" s="19">
        <f>IF(ActiveDatabase=Standby,Secondary!S775,Primary!S775)</f>
        <v>0</v>
      </c>
      <c r="T775" s="10">
        <f>IF(ActiveDatabase=Standby,Secondary!T775,Primary!T775)</f>
        <v>0</v>
      </c>
      <c r="U775" s="10">
        <f>IF(ActiveDatabase=Standby,Secondary!U775,Primary!U775)</f>
        <v>0</v>
      </c>
      <c r="V775" s="10">
        <f>IF(ActiveDatabase=Standby,Secondary!V775,Primary!V775)</f>
        <v>0</v>
      </c>
      <c r="W775" s="6">
        <f>IF(ActiveDatabase=Standby,Secondary!W775,Primary!W775)</f>
        <v>0</v>
      </c>
      <c r="X775" s="6">
        <f>IF(ActiveDatabase=Standby,Secondary!X775,Primary!X775)</f>
        <v>0</v>
      </c>
      <c r="Y775" s="12">
        <f>IF(ActiveDatabase=Standby,Secondary!Y775,Primary!Y1433)</f>
        <v>0</v>
      </c>
      <c r="Z775" s="12">
        <f>IF(ActiveDatabase=Standby,Secondary!Z775,Primary!Z1433)</f>
        <v>0</v>
      </c>
      <c r="AA775" s="7">
        <f>IF(ActiveDatabase=Standby,Secondary!AA775,Primary!AA1433)</f>
        <v>0</v>
      </c>
      <c r="AB775" s="12"/>
      <c r="AC775" s="6"/>
      <c r="AD775" s="6"/>
      <c r="AE775" s="7"/>
      <c r="AF775" s="7"/>
      <c r="AG775" s="7"/>
      <c r="AH775" s="7"/>
      <c r="AI775" s="7"/>
      <c r="AJ775" s="7"/>
      <c r="AK775" s="7"/>
      <c r="AL775" s="7"/>
      <c r="AM775" s="7"/>
      <c r="AN775" s="7"/>
      <c r="AO775" s="6"/>
      <c r="AP775" s="7"/>
      <c r="AQ775" s="7"/>
      <c r="AR775" s="6"/>
      <c r="AS775" s="7"/>
      <c r="AT775" s="7"/>
      <c r="AU775" s="7"/>
      <c r="AV775" s="7"/>
      <c r="AW775" s="7"/>
      <c r="AX775" s="7"/>
      <c r="AY775" s="7"/>
      <c r="AZ775" s="7"/>
      <c r="BA775" s="7"/>
      <c r="BB775" s="7"/>
      <c r="BC775" s="7"/>
      <c r="BD775" s="7"/>
      <c r="BE775" s="7"/>
      <c r="BF775" s="7"/>
      <c r="BG775" s="7"/>
    </row>
    <row r="776" customHeight="1" spans="1:59">
      <c r="A776" s="9">
        <f>IF(ActiveDatabase=Standby,Secondary!A776,Primary!A776)</f>
        <v>0</v>
      </c>
      <c r="B776" s="5">
        <f>IF(ActiveDatabase=Standby,Secondary!B776,Primary!B776)</f>
        <v>0</v>
      </c>
      <c r="C776" s="5">
        <f>IF(ActiveDatabase=Standby,Secondary!C776,Primary!C776)</f>
        <v>0</v>
      </c>
      <c r="D776" s="5">
        <f>IF(ActiveDatabase=Standby,Secondary!D776,Primary!D776)</f>
        <v>0</v>
      </c>
      <c r="E776" s="6">
        <f>IF(ActiveDatabase=Standby,Secondary!E776,Primary!E776)</f>
        <v>0</v>
      </c>
      <c r="F776" s="10">
        <f>IF(ActiveDatabase=Standby,Secondary!F776,Primary!F776)</f>
        <v>0</v>
      </c>
      <c r="G776" s="10">
        <f>IF(ActiveDatabase=Standby,Secondary!G776,Primary!G776)</f>
        <v>0</v>
      </c>
      <c r="H776" s="10">
        <f>IF(ActiveDatabase=Standby,Secondary!H776,Primary!H776)</f>
        <v>0</v>
      </c>
      <c r="I776" s="13">
        <f>IF(ActiveDatabase=Standby,Secondary!I776,Primary!I776)</f>
        <v>0</v>
      </c>
      <c r="J776" s="13">
        <f>IF(ActiveDatabase=Standby,Secondary!J776,Primary!J776)</f>
        <v>0</v>
      </c>
      <c r="K776" s="13">
        <f>IF(ActiveDatabase=Standby,Secondary!K776,Primary!K776)</f>
        <v>0</v>
      </c>
      <c r="L776" s="13">
        <f>IF(ActiveDatabase=Standby,Secondary!L776,Primary!L776)</f>
        <v>0</v>
      </c>
      <c r="M776" s="7">
        <f>IF(ActiveDatabase=Standby,Secondary!M776,Primary!M776)</f>
        <v>0</v>
      </c>
      <c r="N776" s="10">
        <f>IF(ActiveDatabase=Standby,Secondary!N776,Primary!N776)</f>
        <v>0</v>
      </c>
      <c r="O776" s="10">
        <f>IF(ActiveDatabase=Standby,Secondary!O776,Primary!O776)</f>
        <v>0</v>
      </c>
      <c r="P776" s="10">
        <f>IF(ActiveDatabase=Standby,Secondary!P776,Primary!P776)</f>
        <v>0</v>
      </c>
      <c r="Q776" s="6">
        <f>IF(ActiveDatabase=Standby,Secondary!Q776,Primary!Q776)</f>
        <v>0</v>
      </c>
      <c r="R776" s="18">
        <f>IF(ActiveDatabase=Standby,Secondary!R776,Primary!R776)</f>
        <v>0</v>
      </c>
      <c r="S776" s="19">
        <f>IF(ActiveDatabase=Standby,Secondary!S776,Primary!S776)</f>
        <v>0</v>
      </c>
      <c r="T776" s="10">
        <f>IF(ActiveDatabase=Standby,Secondary!T776,Primary!T776)</f>
        <v>0</v>
      </c>
      <c r="U776" s="10">
        <f>IF(ActiveDatabase=Standby,Secondary!U776,Primary!U776)</f>
        <v>0</v>
      </c>
      <c r="V776" s="10">
        <f>IF(ActiveDatabase=Standby,Secondary!V776,Primary!V776)</f>
        <v>0</v>
      </c>
      <c r="W776" s="6">
        <f>IF(ActiveDatabase=Standby,Secondary!W776,Primary!W776)</f>
        <v>0</v>
      </c>
      <c r="X776" s="6">
        <f>IF(ActiveDatabase=Standby,Secondary!X776,Primary!X776)</f>
        <v>0</v>
      </c>
      <c r="Y776" s="12">
        <f>IF(ActiveDatabase=Standby,Secondary!Y776,Primary!Y1434)</f>
        <v>0</v>
      </c>
      <c r="Z776" s="12">
        <f>IF(ActiveDatabase=Standby,Secondary!Z776,Primary!Z1434)</f>
        <v>0</v>
      </c>
      <c r="AA776" s="7">
        <f>IF(ActiveDatabase=Standby,Secondary!AA776,Primary!AA1434)</f>
        <v>0</v>
      </c>
      <c r="AB776" s="12"/>
      <c r="AC776" s="6"/>
      <c r="AD776" s="6"/>
      <c r="AE776" s="7"/>
      <c r="AF776" s="7"/>
      <c r="AG776" s="7"/>
      <c r="AH776" s="7"/>
      <c r="AI776" s="7"/>
      <c r="AJ776" s="7"/>
      <c r="AK776" s="7"/>
      <c r="AL776" s="7"/>
      <c r="AM776" s="7"/>
      <c r="AN776" s="7"/>
      <c r="AO776" s="6"/>
      <c r="AP776" s="7"/>
      <c r="AQ776" s="7"/>
      <c r="AR776" s="6"/>
      <c r="AS776" s="7"/>
      <c r="AT776" s="7"/>
      <c r="AU776" s="7"/>
      <c r="AV776" s="7"/>
      <c r="AW776" s="7"/>
      <c r="AX776" s="7"/>
      <c r="AY776" s="7"/>
      <c r="AZ776" s="7"/>
      <c r="BA776" s="7"/>
      <c r="BB776" s="7"/>
      <c r="BC776" s="7"/>
      <c r="BD776" s="7"/>
      <c r="BE776" s="7"/>
      <c r="BF776" s="7"/>
      <c r="BG776" s="7"/>
    </row>
    <row r="777" customHeight="1" spans="1:59">
      <c r="A777" s="9" t="str">
        <f>IF(ActiveDatabase=Standby,Secondary!A777,Primary!A777)</f>
        <v>Wala R01</v>
      </c>
      <c r="B777" s="5" t="str">
        <f>IF(ActiveDatabase=Standby,Secondary!B777,Primary!B777)</f>
        <v>Wala 50</v>
      </c>
      <c r="C777" s="5">
        <f>IF(ActiveDatabase=Standby,Secondary!C777,Primary!C777)</f>
        <v>0</v>
      </c>
      <c r="D777" s="5" t="str">
        <f>IF(ActiveDatabase=Standby,Secondary!D777,Primary!D777)</f>
        <v>OM-1</v>
      </c>
      <c r="E777" s="6" t="str">
        <f>IF(ActiveDatabase=Standby,Secondary!E777,Primary!E777)</f>
        <v>OM1</v>
      </c>
      <c r="F777" s="10">
        <f>IF(ActiveDatabase=Standby,Secondary!F777,Primary!F777)</f>
        <v>0</v>
      </c>
      <c r="G777" s="10">
        <f>IF(ActiveDatabase=Standby,Secondary!G777,Primary!G777)</f>
        <v>0</v>
      </c>
      <c r="H777" s="10">
        <f>IF(ActiveDatabase=Standby,Secondary!H777,Primary!H777)</f>
        <v>413.056</v>
      </c>
      <c r="I777" s="13">
        <f>IF(ActiveDatabase=Standby,Secondary!I777,Primary!I777)</f>
        <v>0</v>
      </c>
      <c r="J777" s="13">
        <f>IF(ActiveDatabase=Standby,Secondary!J777,Primary!J777)</f>
        <v>0</v>
      </c>
      <c r="K777" s="13">
        <f>IF(ActiveDatabase=Standby,Secondary!K777,Primary!K777)</f>
        <v>0</v>
      </c>
      <c r="L777" s="13">
        <f>IF(ActiveDatabase=Standby,Secondary!L777,Primary!L777)</f>
        <v>0</v>
      </c>
      <c r="M777" s="7" t="b">
        <f>IF(ActiveDatabase=Standby,Secondary!M777,Primary!M777)</f>
        <v>1</v>
      </c>
      <c r="N777" s="10">
        <f>IF(ActiveDatabase=Standby,Secondary!N777,Primary!N777)</f>
        <v>0</v>
      </c>
      <c r="O777" s="10">
        <f>IF(ActiveDatabase=Standby,Secondary!O777,Primary!O777)</f>
        <v>0</v>
      </c>
      <c r="P777" s="10">
        <f>IF(ActiveDatabase=Standby,Secondary!P777,Primary!P777)</f>
        <v>0</v>
      </c>
      <c r="Q777" s="6">
        <f>IF(ActiveDatabase=Standby,Secondary!Q777,Primary!Q777)</f>
        <v>0</v>
      </c>
      <c r="R777" s="18">
        <f>IF(ActiveDatabase=Standby,Secondary!R777,Primary!R777)</f>
        <v>0</v>
      </c>
      <c r="S777" s="19">
        <f>IF(ActiveDatabase=Standby,Secondary!S777,Primary!S777)</f>
        <v>0</v>
      </c>
      <c r="T777" s="10">
        <f>IF(ActiveDatabase=Standby,Secondary!T777,Primary!T777)</f>
        <v>0</v>
      </c>
      <c r="U777" s="10">
        <f>IF(ActiveDatabase=Standby,Secondary!U777,Primary!U777)</f>
        <v>0</v>
      </c>
      <c r="V777" s="10">
        <f>IF(ActiveDatabase=Standby,Secondary!V777,Primary!V777)</f>
        <v>0</v>
      </c>
      <c r="W777" s="6">
        <f>IF(ActiveDatabase=Standby,Secondary!W777,Primary!W777)</f>
        <v>0</v>
      </c>
      <c r="X777" s="6">
        <f>IF(ActiveDatabase=Standby,Secondary!X777,Primary!X777)</f>
        <v>0</v>
      </c>
      <c r="Y777" s="12">
        <f>IF(ActiveDatabase=Standby,Secondary!Y777,Primary!Y1435)</f>
        <v>0</v>
      </c>
      <c r="Z777" s="12">
        <f>IF(ActiveDatabase=Standby,Secondary!Z777,Primary!Z1435)</f>
        <v>0</v>
      </c>
      <c r="AA777" s="7">
        <f>IF(ActiveDatabase=Standby,Secondary!AA777,Primary!AA1435)</f>
        <v>0</v>
      </c>
      <c r="AB777" s="12"/>
      <c r="AC777" s="6"/>
      <c r="AD777" s="6"/>
      <c r="AE777" s="7"/>
      <c r="AF777" s="7"/>
      <c r="AG777" s="7"/>
      <c r="AH777" s="7"/>
      <c r="AI777" s="7"/>
      <c r="AJ777" s="7"/>
      <c r="AK777" s="7"/>
      <c r="AL777" s="7"/>
      <c r="AM777" s="7"/>
      <c r="AN777" s="7"/>
      <c r="AO777" s="6"/>
      <c r="AP777" s="7"/>
      <c r="AQ777" s="7"/>
      <c r="AR777" s="6"/>
      <c r="AS777" s="7"/>
      <c r="AT777" s="7"/>
      <c r="AU777" s="7"/>
      <c r="AV777" s="7"/>
      <c r="AW777" s="7"/>
      <c r="AX777" s="7"/>
      <c r="AY777" s="7"/>
      <c r="AZ777" s="7"/>
      <c r="BA777" s="7"/>
      <c r="BB777" s="7"/>
      <c r="BC777" s="7"/>
      <c r="BD777" s="7"/>
      <c r="BE777" s="7"/>
      <c r="BF777" s="7"/>
      <c r="BG777" s="7"/>
    </row>
    <row r="778" customHeight="1" spans="1:59">
      <c r="A778" s="9" t="str">
        <f>IF(ActiveDatabase=Standby,Secondary!A778,Primary!A778)</f>
        <v>Wala R02</v>
      </c>
      <c r="B778" s="5" t="str">
        <f>IF(ActiveDatabase=Standby,Secondary!B778,Primary!B778)</f>
        <v>Wala 51</v>
      </c>
      <c r="C778" s="5">
        <f>IF(ActiveDatabase=Standby,Secondary!C778,Primary!C778)</f>
        <v>0</v>
      </c>
      <c r="D778" s="5" t="str">
        <f>IF(ActiveDatabase=Standby,Secondary!D778,Primary!D778)</f>
        <v>OM-2</v>
      </c>
      <c r="E778" s="6" t="str">
        <f>IF(ActiveDatabase=Standby,Secondary!E778,Primary!E778)</f>
        <v>OM2</v>
      </c>
      <c r="F778" s="10">
        <f>IF(ActiveDatabase=Standby,Secondary!F778,Primary!F778)</f>
        <v>0</v>
      </c>
      <c r="G778" s="10">
        <f>IF(ActiveDatabase=Standby,Secondary!G778,Primary!G778)</f>
        <v>0</v>
      </c>
      <c r="H778" s="10">
        <f>IF(ActiveDatabase=Standby,Secondary!H778,Primary!H778)</f>
        <v>-413.056</v>
      </c>
      <c r="I778" s="13">
        <f>IF(ActiveDatabase=Standby,Secondary!I778,Primary!I778)</f>
        <v>0</v>
      </c>
      <c r="J778" s="13">
        <f>IF(ActiveDatabase=Standby,Secondary!J778,Primary!J778)</f>
        <v>0</v>
      </c>
      <c r="K778" s="13">
        <f>IF(ActiveDatabase=Standby,Secondary!K778,Primary!K778)</f>
        <v>0</v>
      </c>
      <c r="L778" s="13">
        <f>IF(ActiveDatabase=Standby,Secondary!L778,Primary!L778)</f>
        <v>0</v>
      </c>
      <c r="M778" s="7" t="b">
        <f>IF(ActiveDatabase=Standby,Secondary!M778,Primary!M778)</f>
        <v>1</v>
      </c>
      <c r="N778" s="10">
        <f>IF(ActiveDatabase=Standby,Secondary!N778,Primary!N778)</f>
        <v>0</v>
      </c>
      <c r="O778" s="10">
        <f>IF(ActiveDatabase=Standby,Secondary!O778,Primary!O778)</f>
        <v>0</v>
      </c>
      <c r="P778" s="10">
        <f>IF(ActiveDatabase=Standby,Secondary!P778,Primary!P778)</f>
        <v>0</v>
      </c>
      <c r="Q778" s="6">
        <f>IF(ActiveDatabase=Standby,Secondary!Q778,Primary!Q778)</f>
        <v>0</v>
      </c>
      <c r="R778" s="18">
        <f>IF(ActiveDatabase=Standby,Secondary!R778,Primary!R778)</f>
        <v>0</v>
      </c>
      <c r="S778" s="19">
        <f>IF(ActiveDatabase=Standby,Secondary!S778,Primary!S778)</f>
        <v>0</v>
      </c>
      <c r="T778" s="10">
        <f>IF(ActiveDatabase=Standby,Secondary!T778,Primary!T778)</f>
        <v>0</v>
      </c>
      <c r="U778" s="10">
        <f>IF(ActiveDatabase=Standby,Secondary!U778,Primary!U778)</f>
        <v>0</v>
      </c>
      <c r="V778" s="10">
        <f>IF(ActiveDatabase=Standby,Secondary!V778,Primary!V778)</f>
        <v>0</v>
      </c>
      <c r="W778" s="6">
        <f>IF(ActiveDatabase=Standby,Secondary!W778,Primary!W778)</f>
        <v>0</v>
      </c>
      <c r="X778" s="6">
        <f>IF(ActiveDatabase=Standby,Secondary!X778,Primary!X778)</f>
        <v>0</v>
      </c>
      <c r="Y778" s="12">
        <f>IF(ActiveDatabase=Standby,Secondary!Y778,Primary!Y1436)</f>
        <v>0</v>
      </c>
      <c r="Z778" s="12">
        <f>IF(ActiveDatabase=Standby,Secondary!Z778,Primary!Z1436)</f>
        <v>0</v>
      </c>
      <c r="AA778" s="7">
        <f>IF(ActiveDatabase=Standby,Secondary!AA778,Primary!AA1436)</f>
        <v>0</v>
      </c>
      <c r="AB778" s="12"/>
      <c r="AC778" s="6"/>
      <c r="AD778" s="6"/>
      <c r="AE778" s="7"/>
      <c r="AF778" s="7"/>
      <c r="AG778" s="7"/>
      <c r="AH778" s="7"/>
      <c r="AI778" s="7"/>
      <c r="AJ778" s="7"/>
      <c r="AK778" s="7"/>
      <c r="AL778" s="7"/>
      <c r="AM778" s="7"/>
      <c r="AN778" s="7"/>
      <c r="AO778" s="6"/>
      <c r="AP778" s="7"/>
      <c r="AQ778" s="7"/>
      <c r="AR778" s="6"/>
      <c r="AS778" s="7"/>
      <c r="AT778" s="7"/>
      <c r="AU778" s="7"/>
      <c r="AV778" s="7"/>
      <c r="AW778" s="7"/>
      <c r="AX778" s="7"/>
      <c r="AY778" s="7"/>
      <c r="AZ778" s="7"/>
      <c r="BA778" s="7"/>
      <c r="BB778" s="7"/>
      <c r="BC778" s="7"/>
      <c r="BD778" s="7"/>
      <c r="BE778" s="7"/>
      <c r="BF778" s="7"/>
      <c r="BG778" s="7"/>
    </row>
    <row r="779" customHeight="1" spans="1:59">
      <c r="A779" s="9" t="str">
        <f>IF(ActiveDatabase=Standby,Secondary!A779,Primary!A779)</f>
        <v>Wala R03</v>
      </c>
      <c r="B779" s="5" t="str">
        <f>IF(ActiveDatabase=Standby,Secondary!B779,Primary!B779)</f>
        <v>Wala 52</v>
      </c>
      <c r="C779" s="5" t="str">
        <f>IF(ActiveDatabase=Standby,Secondary!C779,Primary!C779)</f>
        <v>Wala 12</v>
      </c>
      <c r="D779" s="5" t="str">
        <f>IF(ActiveDatabase=Standby,Secondary!D779,Primary!D779)</f>
        <v>OM-3</v>
      </c>
      <c r="E779" s="6" t="str">
        <f>IF(ActiveDatabase=Standby,Secondary!E779,Primary!E779)</f>
        <v>OM3</v>
      </c>
      <c r="F779" s="10">
        <f>IF(ActiveDatabase=Standby,Secondary!F779,Primary!F779)</f>
        <v>0</v>
      </c>
      <c r="G779" s="10">
        <f>IF(ActiveDatabase=Standby,Secondary!G779,Primary!G779)</f>
        <v>413.056</v>
      </c>
      <c r="H779" s="10">
        <f>IF(ActiveDatabase=Standby,Secondary!H779,Primary!H779)</f>
        <v>0</v>
      </c>
      <c r="I779" s="13">
        <f>IF(ActiveDatabase=Standby,Secondary!I779,Primary!I779)</f>
        <v>0</v>
      </c>
      <c r="J779" s="13">
        <f>IF(ActiveDatabase=Standby,Secondary!J779,Primary!J779)</f>
        <v>0</v>
      </c>
      <c r="K779" s="13">
        <f>IF(ActiveDatabase=Standby,Secondary!K779,Primary!K779)</f>
        <v>0</v>
      </c>
      <c r="L779" s="13">
        <f>IF(ActiveDatabase=Standby,Secondary!L779,Primary!L779)</f>
        <v>0</v>
      </c>
      <c r="M779" s="7" t="b">
        <f>IF(ActiveDatabase=Standby,Secondary!M779,Primary!M779)</f>
        <v>1</v>
      </c>
      <c r="N779" s="10">
        <f>IF(ActiveDatabase=Standby,Secondary!N779,Primary!N779)</f>
        <v>0</v>
      </c>
      <c r="O779" s="10">
        <f>IF(ActiveDatabase=Standby,Secondary!O779,Primary!O779)</f>
        <v>0</v>
      </c>
      <c r="P779" s="10">
        <f>IF(ActiveDatabase=Standby,Secondary!P779,Primary!P779)</f>
        <v>0</v>
      </c>
      <c r="Q779" s="6">
        <f>IF(ActiveDatabase=Standby,Secondary!Q779,Primary!Q779)</f>
        <v>0</v>
      </c>
      <c r="R779" s="18">
        <f>IF(ActiveDatabase=Standby,Secondary!R779,Primary!R779)</f>
        <v>0</v>
      </c>
      <c r="S779" s="19">
        <f>IF(ActiveDatabase=Standby,Secondary!S779,Primary!S779)</f>
        <v>0</v>
      </c>
      <c r="T779" s="10">
        <f>IF(ActiveDatabase=Standby,Secondary!T779,Primary!T779)</f>
        <v>0</v>
      </c>
      <c r="U779" s="10">
        <f>IF(ActiveDatabase=Standby,Secondary!U779,Primary!U779)</f>
        <v>0</v>
      </c>
      <c r="V779" s="10">
        <f>IF(ActiveDatabase=Standby,Secondary!V779,Primary!V779)</f>
        <v>0</v>
      </c>
      <c r="W779" s="6">
        <f>IF(ActiveDatabase=Standby,Secondary!W779,Primary!W779)</f>
        <v>0</v>
      </c>
      <c r="X779" s="6">
        <f>IF(ActiveDatabase=Standby,Secondary!X779,Primary!X779)</f>
        <v>0</v>
      </c>
      <c r="Y779" s="12">
        <f>IF(ActiveDatabase=Standby,Secondary!Y779,Primary!Y1437)</f>
        <v>0</v>
      </c>
      <c r="Z779" s="12">
        <f>IF(ActiveDatabase=Standby,Secondary!Z779,Primary!Z1437)</f>
        <v>0</v>
      </c>
      <c r="AA779" s="7">
        <f>IF(ActiveDatabase=Standby,Secondary!AA779,Primary!AA1437)</f>
        <v>0</v>
      </c>
      <c r="AB779" s="12"/>
      <c r="AC779" s="6"/>
      <c r="AD779" s="6"/>
      <c r="AE779" s="7"/>
      <c r="AF779" s="7"/>
      <c r="AG779" s="7"/>
      <c r="AH779" s="7"/>
      <c r="AI779" s="7"/>
      <c r="AJ779" s="7"/>
      <c r="AK779" s="7"/>
      <c r="AL779" s="7"/>
      <c r="AM779" s="7"/>
      <c r="AN779" s="7"/>
      <c r="AO779" s="6"/>
      <c r="AP779" s="7"/>
      <c r="AQ779" s="7"/>
      <c r="AR779" s="6"/>
      <c r="AS779" s="7"/>
      <c r="AT779" s="7"/>
      <c r="AU779" s="7"/>
      <c r="AV779" s="7"/>
      <c r="AW779" s="7"/>
      <c r="AX779" s="7"/>
      <c r="AY779" s="7"/>
      <c r="AZ779" s="7"/>
      <c r="BA779" s="7"/>
      <c r="BB779" s="7"/>
      <c r="BC779" s="7"/>
      <c r="BD779" s="7"/>
      <c r="BE779" s="7"/>
      <c r="BF779" s="7"/>
      <c r="BG779" s="7"/>
    </row>
    <row r="780" customHeight="1" spans="1:59">
      <c r="A780" s="9" t="str">
        <f>IF(ActiveDatabase=Standby,Secondary!A780,Primary!A780)</f>
        <v>Wala R04</v>
      </c>
      <c r="B780" s="5" t="str">
        <f>IF(ActiveDatabase=Standby,Secondary!B780,Primary!B780)</f>
        <v>Wala 53</v>
      </c>
      <c r="C780" s="5" t="str">
        <f>IF(ActiveDatabase=Standby,Secondary!C780,Primary!C780)</f>
        <v>Wala 32</v>
      </c>
      <c r="D780" s="5" t="str">
        <f>IF(ActiveDatabase=Standby,Secondary!D780,Primary!D780)</f>
        <v>OM-4</v>
      </c>
      <c r="E780" s="6" t="str">
        <f>IF(ActiveDatabase=Standby,Secondary!E780,Primary!E780)</f>
        <v>OM4</v>
      </c>
      <c r="F780" s="10">
        <f>IF(ActiveDatabase=Standby,Secondary!F780,Primary!F780)</f>
        <v>0</v>
      </c>
      <c r="G780" s="10">
        <f>IF(ActiveDatabase=Standby,Secondary!G780,Primary!G780)</f>
        <v>-413.056</v>
      </c>
      <c r="H780" s="10">
        <f>IF(ActiveDatabase=Standby,Secondary!H780,Primary!H780)</f>
        <v>0</v>
      </c>
      <c r="I780" s="13">
        <f>IF(ActiveDatabase=Standby,Secondary!I780,Primary!I780)</f>
        <v>0</v>
      </c>
      <c r="J780" s="13">
        <f>IF(ActiveDatabase=Standby,Secondary!J780,Primary!J780)</f>
        <v>0</v>
      </c>
      <c r="K780" s="13">
        <f>IF(ActiveDatabase=Standby,Secondary!K780,Primary!K780)</f>
        <v>0</v>
      </c>
      <c r="L780" s="13">
        <f>IF(ActiveDatabase=Standby,Secondary!L780,Primary!L780)</f>
        <v>0</v>
      </c>
      <c r="M780" s="7" t="b">
        <f>IF(ActiveDatabase=Standby,Secondary!M780,Primary!M780)</f>
        <v>1</v>
      </c>
      <c r="N780" s="10">
        <f>IF(ActiveDatabase=Standby,Secondary!N780,Primary!N780)</f>
        <v>0</v>
      </c>
      <c r="O780" s="10">
        <f>IF(ActiveDatabase=Standby,Secondary!O780,Primary!O780)</f>
        <v>0</v>
      </c>
      <c r="P780" s="10">
        <f>IF(ActiveDatabase=Standby,Secondary!P780,Primary!P780)</f>
        <v>0</v>
      </c>
      <c r="Q780" s="6">
        <f>IF(ActiveDatabase=Standby,Secondary!Q780,Primary!Q780)</f>
        <v>0</v>
      </c>
      <c r="R780" s="18">
        <f>IF(ActiveDatabase=Standby,Secondary!R780,Primary!R780)</f>
        <v>0</v>
      </c>
      <c r="S780" s="19">
        <f>IF(ActiveDatabase=Standby,Secondary!S780,Primary!S780)</f>
        <v>0</v>
      </c>
      <c r="T780" s="10">
        <f>IF(ActiveDatabase=Standby,Secondary!T780,Primary!T780)</f>
        <v>0</v>
      </c>
      <c r="U780" s="10">
        <f>IF(ActiveDatabase=Standby,Secondary!U780,Primary!U780)</f>
        <v>0</v>
      </c>
      <c r="V780" s="10">
        <f>IF(ActiveDatabase=Standby,Secondary!V780,Primary!V780)</f>
        <v>0</v>
      </c>
      <c r="W780" s="6">
        <f>IF(ActiveDatabase=Standby,Secondary!W780,Primary!W780)</f>
        <v>0</v>
      </c>
      <c r="X780" s="6">
        <f>IF(ActiveDatabase=Standby,Secondary!X780,Primary!X780)</f>
        <v>0</v>
      </c>
      <c r="Y780" s="12">
        <f>IF(ActiveDatabase=Standby,Secondary!Y780,Primary!Y1438)</f>
        <v>0</v>
      </c>
      <c r="Z780" s="12">
        <f>IF(ActiveDatabase=Standby,Secondary!Z780,Primary!Z1438)</f>
        <v>0</v>
      </c>
      <c r="AA780" s="9">
        <f>IF(ActiveDatabase=Standby,Secondary!AA780,Primary!AA1438)</f>
        <v>0</v>
      </c>
      <c r="AB780" s="12"/>
      <c r="AC780" s="6"/>
      <c r="AD780" s="6"/>
      <c r="AE780" s="7"/>
      <c r="AF780" s="7"/>
      <c r="AG780" s="7"/>
      <c r="AH780" s="7"/>
      <c r="AI780" s="7"/>
      <c r="AJ780" s="7"/>
      <c r="AK780" s="7"/>
      <c r="AL780" s="7"/>
      <c r="AM780" s="7"/>
      <c r="AN780" s="7"/>
      <c r="AO780" s="6"/>
      <c r="AP780" s="7"/>
      <c r="AQ780" s="7"/>
      <c r="AR780" s="6"/>
      <c r="AS780" s="7"/>
      <c r="AT780" s="7"/>
      <c r="AU780" s="7"/>
      <c r="AV780" s="7"/>
      <c r="AW780" s="7"/>
      <c r="AX780" s="7"/>
      <c r="AY780" s="7"/>
      <c r="AZ780" s="7"/>
      <c r="BA780" s="7"/>
      <c r="BB780" s="7"/>
      <c r="BC780" s="7"/>
      <c r="BD780" s="7"/>
      <c r="BE780" s="7"/>
      <c r="BF780" s="7"/>
      <c r="BG780" s="7"/>
    </row>
    <row r="781" customHeight="1" spans="1:59">
      <c r="A781" s="9" t="str">
        <f>IF(ActiveDatabase=Standby,Secondary!A781,Primary!A781)</f>
        <v>Wala R05</v>
      </c>
      <c r="B781" s="5" t="str">
        <f>IF(ActiveDatabase=Standby,Secondary!B781,Primary!B781)</f>
        <v>Wala 54</v>
      </c>
      <c r="C781" s="5" t="str">
        <f>IF(ActiveDatabase=Standby,Secondary!C781,Primary!C781)</f>
        <v>Wala 24</v>
      </c>
      <c r="D781" s="5" t="str">
        <f>IF(ActiveDatabase=Standby,Secondary!D781,Primary!D781)</f>
        <v>OM-5</v>
      </c>
      <c r="E781" s="6" t="str">
        <f>IF(ActiveDatabase=Standby,Secondary!E781,Primary!E781)</f>
        <v>OM5</v>
      </c>
      <c r="F781" s="10">
        <f>IF(ActiveDatabase=Standby,Secondary!F781,Primary!F781)</f>
        <v>413.056</v>
      </c>
      <c r="G781" s="10">
        <f>IF(ActiveDatabase=Standby,Secondary!G781,Primary!G781)</f>
        <v>0</v>
      </c>
      <c r="H781" s="10">
        <f>IF(ActiveDatabase=Standby,Secondary!H781,Primary!H781)</f>
        <v>0</v>
      </c>
      <c r="I781" s="13">
        <f>IF(ActiveDatabase=Standby,Secondary!I781,Primary!I781)</f>
        <v>0</v>
      </c>
      <c r="J781" s="13">
        <f>IF(ActiveDatabase=Standby,Secondary!J781,Primary!J781)</f>
        <v>0</v>
      </c>
      <c r="K781" s="13">
        <f>IF(ActiveDatabase=Standby,Secondary!K781,Primary!K781)</f>
        <v>0</v>
      </c>
      <c r="L781" s="13">
        <f>IF(ActiveDatabase=Standby,Secondary!L781,Primary!L781)</f>
        <v>0</v>
      </c>
      <c r="M781" s="7" t="b">
        <f>IF(ActiveDatabase=Standby,Secondary!M781,Primary!M781)</f>
        <v>1</v>
      </c>
      <c r="N781" s="10">
        <f>IF(ActiveDatabase=Standby,Secondary!N781,Primary!N781)</f>
        <v>0</v>
      </c>
      <c r="O781" s="10">
        <f>IF(ActiveDatabase=Standby,Secondary!O781,Primary!O781)</f>
        <v>0</v>
      </c>
      <c r="P781" s="10">
        <f>IF(ActiveDatabase=Standby,Secondary!P781,Primary!P781)</f>
        <v>0</v>
      </c>
      <c r="Q781" s="6">
        <f>IF(ActiveDatabase=Standby,Secondary!Q781,Primary!Q781)</f>
        <v>0</v>
      </c>
      <c r="R781" s="18">
        <f>IF(ActiveDatabase=Standby,Secondary!R781,Primary!R781)</f>
        <v>0</v>
      </c>
      <c r="S781" s="19">
        <f>IF(ActiveDatabase=Standby,Secondary!S781,Primary!S781)</f>
        <v>0</v>
      </c>
      <c r="T781" s="10">
        <f>IF(ActiveDatabase=Standby,Secondary!T781,Primary!T781)</f>
        <v>0</v>
      </c>
      <c r="U781" s="10">
        <f>IF(ActiveDatabase=Standby,Secondary!U781,Primary!U781)</f>
        <v>0</v>
      </c>
      <c r="V781" s="10">
        <f>IF(ActiveDatabase=Standby,Secondary!V781,Primary!V781)</f>
        <v>0</v>
      </c>
      <c r="W781" s="6">
        <f>IF(ActiveDatabase=Standby,Secondary!W781,Primary!W781)</f>
        <v>0</v>
      </c>
      <c r="X781" s="6">
        <f>IF(ActiveDatabase=Standby,Secondary!X781,Primary!X781)</f>
        <v>0</v>
      </c>
      <c r="Y781" s="12">
        <f>IF(ActiveDatabase=Standby,Secondary!Y781,Primary!Y1439)</f>
        <v>0</v>
      </c>
      <c r="Z781" s="12">
        <f>IF(ActiveDatabase=Standby,Secondary!Z781,Primary!Z1439)</f>
        <v>0</v>
      </c>
      <c r="AA781" s="9">
        <f>IF(ActiveDatabase=Standby,Secondary!AA781,Primary!AA1439)</f>
        <v>0</v>
      </c>
      <c r="AB781" s="12"/>
      <c r="AC781" s="6"/>
      <c r="AD781" s="6"/>
      <c r="AE781" s="7"/>
      <c r="AF781" s="7"/>
      <c r="AG781" s="7"/>
      <c r="AH781" s="7"/>
      <c r="AI781" s="7"/>
      <c r="AJ781" s="7"/>
      <c r="AK781" s="7"/>
      <c r="AL781" s="7"/>
      <c r="AM781" s="7"/>
      <c r="AN781" s="7"/>
      <c r="AO781" s="6"/>
      <c r="AP781" s="7"/>
      <c r="AQ781" s="7"/>
      <c r="AR781" s="6"/>
      <c r="AS781" s="7"/>
      <c r="AT781" s="7"/>
      <c r="AU781" s="7"/>
      <c r="AV781" s="7"/>
      <c r="AW781" s="7"/>
      <c r="AX781" s="7"/>
      <c r="AY781" s="7"/>
      <c r="AZ781" s="7"/>
      <c r="BA781" s="7"/>
      <c r="BB781" s="7"/>
      <c r="BC781" s="7"/>
      <c r="BD781" s="7"/>
      <c r="BE781" s="7"/>
      <c r="BF781" s="7"/>
      <c r="BG781" s="7"/>
    </row>
    <row r="782" customHeight="1" spans="1:59">
      <c r="A782" s="9" t="str">
        <f>IF(ActiveDatabase=Standby,Secondary!A782,Primary!A782)</f>
        <v>Wala R06</v>
      </c>
      <c r="B782" s="5" t="str">
        <f>IF(ActiveDatabase=Standby,Secondary!B782,Primary!B782)</f>
        <v>Wala 55</v>
      </c>
      <c r="C782" s="5" t="str">
        <f>IF(ActiveDatabase=Standby,Secondary!C782,Primary!C782)</f>
        <v>Wala 42</v>
      </c>
      <c r="D782" s="5" t="str">
        <f>IF(ActiveDatabase=Standby,Secondary!D782,Primary!D782)</f>
        <v>OM-6</v>
      </c>
      <c r="E782" s="6" t="str">
        <f>IF(ActiveDatabase=Standby,Secondary!E782,Primary!E782)</f>
        <v>OM6</v>
      </c>
      <c r="F782" s="10">
        <f>IF(ActiveDatabase=Standby,Secondary!F782,Primary!F782)</f>
        <v>-413.056</v>
      </c>
      <c r="G782" s="10">
        <f>IF(ActiveDatabase=Standby,Secondary!G782,Primary!G782)</f>
        <v>0</v>
      </c>
      <c r="H782" s="10">
        <f>IF(ActiveDatabase=Standby,Secondary!H782,Primary!H782)</f>
        <v>0</v>
      </c>
      <c r="I782" s="13">
        <f>IF(ActiveDatabase=Standby,Secondary!I782,Primary!I782)</f>
        <v>0</v>
      </c>
      <c r="J782" s="13">
        <f>IF(ActiveDatabase=Standby,Secondary!J782,Primary!J782)</f>
        <v>0</v>
      </c>
      <c r="K782" s="13">
        <f>IF(ActiveDatabase=Standby,Secondary!K782,Primary!K782)</f>
        <v>0</v>
      </c>
      <c r="L782" s="13">
        <f>IF(ActiveDatabase=Standby,Secondary!L782,Primary!L782)</f>
        <v>0</v>
      </c>
      <c r="M782" s="7" t="b">
        <f>IF(ActiveDatabase=Standby,Secondary!M782,Primary!M782)</f>
        <v>1</v>
      </c>
      <c r="N782" s="10">
        <f>IF(ActiveDatabase=Standby,Secondary!N782,Primary!N782)</f>
        <v>0</v>
      </c>
      <c r="O782" s="10">
        <f>IF(ActiveDatabase=Standby,Secondary!O782,Primary!O782)</f>
        <v>0</v>
      </c>
      <c r="P782" s="10">
        <f>IF(ActiveDatabase=Standby,Secondary!P782,Primary!P782)</f>
        <v>0</v>
      </c>
      <c r="Q782" s="6">
        <f>IF(ActiveDatabase=Standby,Secondary!Q782,Primary!Q782)</f>
        <v>0</v>
      </c>
      <c r="R782" s="18">
        <f>IF(ActiveDatabase=Standby,Secondary!R782,Primary!R782)</f>
        <v>0</v>
      </c>
      <c r="S782" s="19">
        <f>IF(ActiveDatabase=Standby,Secondary!S782,Primary!S782)</f>
        <v>0</v>
      </c>
      <c r="T782" s="10">
        <f>IF(ActiveDatabase=Standby,Secondary!T782,Primary!T782)</f>
        <v>0</v>
      </c>
      <c r="U782" s="10">
        <f>IF(ActiveDatabase=Standby,Secondary!U782,Primary!U782)</f>
        <v>0</v>
      </c>
      <c r="V782" s="10">
        <f>IF(ActiveDatabase=Standby,Secondary!V782,Primary!V782)</f>
        <v>0</v>
      </c>
      <c r="W782" s="6">
        <f>IF(ActiveDatabase=Standby,Secondary!W782,Primary!W782)</f>
        <v>0</v>
      </c>
      <c r="X782" s="6">
        <f>IF(ActiveDatabase=Standby,Secondary!X782,Primary!X782)</f>
        <v>0</v>
      </c>
      <c r="Y782" s="12">
        <f>IF(ActiveDatabase=Standby,Secondary!Y782,Primary!Y1440)</f>
        <v>0</v>
      </c>
      <c r="Z782" s="12">
        <f>IF(ActiveDatabase=Standby,Secondary!Z782,Primary!Z1440)</f>
        <v>0</v>
      </c>
      <c r="AA782" s="9">
        <f>IF(ActiveDatabase=Standby,Secondary!AA782,Primary!AA1440)</f>
        <v>0</v>
      </c>
      <c r="AB782" s="12"/>
      <c r="AC782" s="6"/>
      <c r="AD782" s="6"/>
      <c r="AE782" s="7"/>
      <c r="AF782" s="7"/>
      <c r="AG782" s="7"/>
      <c r="AH782" s="7"/>
      <c r="AI782" s="7"/>
      <c r="AJ782" s="7"/>
      <c r="AK782" s="7"/>
      <c r="AL782" s="7"/>
      <c r="AM782" s="7"/>
      <c r="AN782" s="7"/>
      <c r="AO782" s="6"/>
      <c r="AP782" s="7"/>
      <c r="AQ782" s="7"/>
      <c r="AR782" s="6"/>
      <c r="AS782" s="7"/>
      <c r="AT782" s="7"/>
      <c r="AU782" s="7"/>
      <c r="AV782" s="7"/>
      <c r="AW782" s="7"/>
      <c r="AX782" s="7"/>
      <c r="AY782" s="7"/>
      <c r="AZ782" s="7"/>
      <c r="BA782" s="7"/>
      <c r="BB782" s="7"/>
      <c r="BC782" s="7"/>
      <c r="BD782" s="7"/>
      <c r="BE782" s="7"/>
      <c r="BF782" s="7"/>
      <c r="BG782" s="7"/>
    </row>
    <row r="783" customHeight="1" spans="1:59">
      <c r="A783" s="9" t="str">
        <f>IF(ActiveDatabase=Standby,Secondary!A783,Primary!A783)</f>
        <v>Wala</v>
      </c>
      <c r="B783" s="5" t="str">
        <f>IF(ActiveDatabase=Standby,Secondary!B783,Primary!B783)</f>
        <v>Wala 00</v>
      </c>
      <c r="C783" s="5">
        <f>IF(ActiveDatabase=Standby,Secondary!C783,Primary!C783)</f>
        <v>0</v>
      </c>
      <c r="D783" s="5" t="str">
        <f>IF(ActiveDatabase=Standby,Secondary!D783,Primary!D783)</f>
        <v>Trading Terminals</v>
      </c>
      <c r="E783" s="6">
        <f>IF(ActiveDatabase=Standby,Secondary!E783,Primary!E783)</f>
        <v>0</v>
      </c>
      <c r="F783" s="10">
        <f>IF(ActiveDatabase=Standby,Secondary!F783,Primary!F783)</f>
        <v>0</v>
      </c>
      <c r="G783" s="10">
        <f>IF(ActiveDatabase=Standby,Secondary!G783,Primary!G783)</f>
        <v>0</v>
      </c>
      <c r="H783" s="10">
        <f>IF(ActiveDatabase=Standby,Secondary!H783,Primary!H783)</f>
        <v>0</v>
      </c>
      <c r="I783" s="13">
        <f>IF(ActiveDatabase=Standby,Secondary!I783,Primary!I783)</f>
        <v>0</v>
      </c>
      <c r="J783" s="13">
        <f>IF(ActiveDatabase=Standby,Secondary!J783,Primary!J783)</f>
        <v>0</v>
      </c>
      <c r="K783" s="13">
        <f>IF(ActiveDatabase=Standby,Secondary!K783,Primary!K783)</f>
        <v>0</v>
      </c>
      <c r="L783" s="13">
        <f>IF(ActiveDatabase=Standby,Secondary!L783,Primary!L783)</f>
        <v>0</v>
      </c>
      <c r="M783" s="7">
        <f>IF(ActiveDatabase=Standby,Secondary!M783,Primary!M783)</f>
        <v>0</v>
      </c>
      <c r="N783" s="10">
        <f>IF(ActiveDatabase=Standby,Secondary!N783,Primary!N783)</f>
        <v>0</v>
      </c>
      <c r="O783" s="10">
        <f>IF(ActiveDatabase=Standby,Secondary!O783,Primary!O783)</f>
        <v>0</v>
      </c>
      <c r="P783" s="10">
        <f>IF(ActiveDatabase=Standby,Secondary!P783,Primary!P783)</f>
        <v>0</v>
      </c>
      <c r="Q783" s="6">
        <f>IF(ActiveDatabase=Standby,Secondary!Q783,Primary!Q783)</f>
        <v>0</v>
      </c>
      <c r="R783" s="18">
        <f>IF(ActiveDatabase=Standby,Secondary!R783,Primary!R783)</f>
        <v>0</v>
      </c>
      <c r="S783" s="19">
        <f>IF(ActiveDatabase=Standby,Secondary!S783,Primary!S783)</f>
        <v>0</v>
      </c>
      <c r="T783" s="10">
        <f>IF(ActiveDatabase=Standby,Secondary!T783,Primary!T783)</f>
        <v>0</v>
      </c>
      <c r="U783" s="10">
        <f>IF(ActiveDatabase=Standby,Secondary!U783,Primary!U783)</f>
        <v>0</v>
      </c>
      <c r="V783" s="10">
        <f>IF(ActiveDatabase=Standby,Secondary!V783,Primary!V783)</f>
        <v>0</v>
      </c>
      <c r="W783" s="6">
        <f>IF(ActiveDatabase=Standby,Secondary!W783,Primary!W783)</f>
        <v>0</v>
      </c>
      <c r="X783" s="6">
        <f>IF(ActiveDatabase=Standby,Secondary!X783,Primary!X783)</f>
        <v>0</v>
      </c>
      <c r="Y783" s="12">
        <f>IF(ActiveDatabase=Standby,Secondary!Y783,Primary!Y1441)</f>
        <v>0</v>
      </c>
      <c r="Z783" s="12">
        <f>IF(ActiveDatabase=Standby,Secondary!Z783,Primary!Z1441)</f>
        <v>0</v>
      </c>
      <c r="AA783" s="9">
        <f>IF(ActiveDatabase=Standby,Secondary!AA783,Primary!AA1441)</f>
        <v>0</v>
      </c>
      <c r="AB783" s="12"/>
      <c r="AC783" s="6"/>
      <c r="AD783" s="6"/>
      <c r="AE783" s="7"/>
      <c r="AF783" s="7"/>
      <c r="AG783" s="7"/>
      <c r="AH783" s="7"/>
      <c r="AI783" s="7"/>
      <c r="AJ783" s="7"/>
      <c r="AK783" s="7"/>
      <c r="AL783" s="7"/>
      <c r="AM783" s="7"/>
      <c r="AN783" s="7"/>
      <c r="AO783" s="6"/>
      <c r="AP783" s="7"/>
      <c r="AQ783" s="7"/>
      <c r="AR783" s="6"/>
      <c r="AS783" s="7"/>
      <c r="AT783" s="7"/>
      <c r="AU783" s="7"/>
      <c r="AV783" s="7"/>
      <c r="AW783" s="7"/>
      <c r="AX783" s="7"/>
      <c r="AY783" s="7"/>
      <c r="AZ783" s="7"/>
      <c r="BA783" s="7"/>
      <c r="BB783" s="7"/>
      <c r="BC783" s="7"/>
      <c r="BD783" s="7"/>
      <c r="BE783" s="7"/>
      <c r="BF783" s="7"/>
      <c r="BG783" s="7"/>
    </row>
    <row r="784" customHeight="1" spans="1:59">
      <c r="A784" s="9" t="str">
        <f>IF(ActiveDatabase=Standby,Secondary!A784,Primary!A784)</f>
        <v>Wala 01</v>
      </c>
      <c r="B784" s="5" t="str">
        <f>IF(ActiveDatabase=Standby,Secondary!B784,Primary!B784)</f>
        <v>Wala 01</v>
      </c>
      <c r="C784" s="5" t="str">
        <f>IF(ActiveDatabase=Standby,Secondary!C784,Primary!C784)</f>
        <v>Wala 02</v>
      </c>
      <c r="D784" s="5" t="str">
        <f>IF(ActiveDatabase=Standby,Secondary!D784,Primary!D784)</f>
        <v>ArcCorp Mining Area 045 (PB)</v>
      </c>
      <c r="E784" s="6" t="str">
        <f>IF(ActiveDatabase=Standby,Secondary!E784,Primary!E784)</f>
        <v>ArcCorp 045</v>
      </c>
      <c r="F784" s="10">
        <f>IF(ActiveDatabase=Standby,Secondary!F784,Primary!F784)</f>
        <v>-282.798440474131</v>
      </c>
      <c r="G784" s="10">
        <f>IF(ActiveDatabase=Standby,Secondary!G784,Primary!G784)</f>
        <v>14.1079913593082</v>
      </c>
      <c r="H784" s="10">
        <f>IF(ActiveDatabase=Standby,Secondary!H784,Primary!H784)</f>
        <v>10.6203682757545</v>
      </c>
      <c r="I784" s="13">
        <f>IF(ActiveDatabase=Standby,Secondary!I784,Primary!I784)</f>
        <v>0</v>
      </c>
      <c r="J784" s="13">
        <f>IF(ActiveDatabase=Standby,Secondary!J784,Primary!J784)</f>
        <v>0</v>
      </c>
      <c r="K784" s="13">
        <f>IF(ActiveDatabase=Standby,Secondary!K784,Primary!K784)</f>
        <v>0</v>
      </c>
      <c r="L784" s="13">
        <f>IF(ActiveDatabase=Standby,Secondary!L784,Primary!L784)</f>
        <v>0</v>
      </c>
      <c r="M784" s="7" t="b">
        <f>IF(ActiveDatabase=Standby,Secondary!M784,Primary!M784)</f>
        <v>1</v>
      </c>
      <c r="N784" s="10">
        <f>IF(ActiveDatabase=Standby,Secondary!N784,Primary!N784)</f>
        <v>0</v>
      </c>
      <c r="O784" s="10">
        <f>IF(ActiveDatabase=Standby,Secondary!O784,Primary!O784)</f>
        <v>0</v>
      </c>
      <c r="P784" s="10">
        <f>IF(ActiveDatabase=Standby,Secondary!P784,Primary!P784)</f>
        <v>0</v>
      </c>
      <c r="Q784" s="6">
        <f>IF(ActiveDatabase=Standby,Secondary!Q784,Primary!Q784)</f>
        <v>0</v>
      </c>
      <c r="R784" s="18">
        <f>IF(ActiveDatabase=Standby,Secondary!R784,Primary!R784)</f>
        <v>0</v>
      </c>
      <c r="S784" s="19">
        <f>IF(ActiveDatabase=Standby,Secondary!S784,Primary!S784)</f>
        <v>0</v>
      </c>
      <c r="T784" s="10">
        <f>IF(ActiveDatabase=Standby,Secondary!T784,Primary!T784)</f>
        <v>0</v>
      </c>
      <c r="U784" s="10">
        <f>IF(ActiveDatabase=Standby,Secondary!U784,Primary!U784)</f>
        <v>0</v>
      </c>
      <c r="V784" s="10">
        <f>IF(ActiveDatabase=Standby,Secondary!V784,Primary!V784)</f>
        <v>0</v>
      </c>
      <c r="W784" s="6">
        <f>IF(ActiveDatabase=Standby,Secondary!W784,Primary!W784)</f>
        <v>0</v>
      </c>
      <c r="X784" s="6">
        <f>IF(ActiveDatabase=Standby,Secondary!X784,Primary!X784)</f>
        <v>0</v>
      </c>
      <c r="Y784" s="12">
        <f>IF(ActiveDatabase=Standby,Secondary!Y784,Primary!Y1442)</f>
        <v>0</v>
      </c>
      <c r="Z784" s="12">
        <f>IF(ActiveDatabase=Standby,Secondary!Z784,Primary!Z1442)</f>
        <v>0</v>
      </c>
      <c r="AA784" s="9">
        <f>IF(ActiveDatabase=Standby,Secondary!AA784,Primary!AA1442)</f>
        <v>0</v>
      </c>
      <c r="AB784" s="12"/>
      <c r="AC784" s="6"/>
      <c r="AD784" s="6"/>
      <c r="AE784" s="7"/>
      <c r="AF784" s="7"/>
      <c r="AG784" s="7"/>
      <c r="AH784" s="7"/>
      <c r="AI784" s="7"/>
      <c r="AJ784" s="7"/>
      <c r="AK784" s="7"/>
      <c r="AL784" s="7"/>
      <c r="AM784" s="7"/>
      <c r="AN784" s="7"/>
      <c r="AO784" s="6"/>
      <c r="AP784" s="7"/>
      <c r="AQ784" s="7"/>
      <c r="AR784" s="6"/>
      <c r="AS784" s="7"/>
      <c r="AT784" s="7"/>
      <c r="AU784" s="7"/>
      <c r="AV784" s="7"/>
      <c r="AW784" s="7"/>
      <c r="AX784" s="7"/>
      <c r="AY784" s="7"/>
      <c r="AZ784" s="7"/>
      <c r="BA784" s="7"/>
      <c r="BB784" s="7"/>
      <c r="BC784" s="7"/>
      <c r="BD784" s="7"/>
      <c r="BE784" s="7"/>
      <c r="BF784" s="7"/>
      <c r="BG784" s="7"/>
    </row>
    <row r="785" customHeight="1" spans="1:59">
      <c r="A785" s="9" t="str">
        <f>IF(ActiveDatabase=Standby,Secondary!A785,Primary!A785)</f>
        <v>Wala 02</v>
      </c>
      <c r="B785" s="5" t="str">
        <f>IF(ActiveDatabase=Standby,Secondary!B785,Primary!B785)</f>
        <v>Wala 02</v>
      </c>
      <c r="C785" s="5" t="str">
        <f>IF(ActiveDatabase=Standby,Secondary!C785,Primary!C785)</f>
        <v>Wala 06</v>
      </c>
      <c r="D785" s="5" t="str">
        <f>IF(ActiveDatabase=Standby,Secondary!D785,Primary!D785)</f>
        <v>ArcCorp Mining Area 048 (PB)</v>
      </c>
      <c r="E785" s="6" t="str">
        <f>IF(ActiveDatabase=Standby,Secondary!E785,Primary!E785)</f>
        <v>ArcCorp 048</v>
      </c>
      <c r="F785" s="10">
        <f>IF(ActiveDatabase=Standby,Secondary!F785,Primary!F785)</f>
        <v>-178.192667984196</v>
      </c>
      <c r="G785" s="10">
        <f>IF(ActiveDatabase=Standby,Secondary!G785,Primary!G785)</f>
        <v>97.7564822405057</v>
      </c>
      <c r="H785" s="10">
        <f>IF(ActiveDatabase=Standby,Secondary!H785,Primary!H785)</f>
        <v>-196.339526962963</v>
      </c>
      <c r="I785" s="13">
        <f>IF(ActiveDatabase=Standby,Secondary!I785,Primary!I785)</f>
        <v>0</v>
      </c>
      <c r="J785" s="13">
        <f>IF(ActiveDatabase=Standby,Secondary!J785,Primary!J785)</f>
        <v>0</v>
      </c>
      <c r="K785" s="13">
        <f>IF(ActiveDatabase=Standby,Secondary!K785,Primary!K785)</f>
        <v>0</v>
      </c>
      <c r="L785" s="13">
        <f>IF(ActiveDatabase=Standby,Secondary!L785,Primary!L785)</f>
        <v>0</v>
      </c>
      <c r="M785" s="7" t="b">
        <f>IF(ActiveDatabase=Standby,Secondary!M785,Primary!M785)</f>
        <v>1</v>
      </c>
      <c r="N785" s="10">
        <f>IF(ActiveDatabase=Standby,Secondary!N785,Primary!N785)</f>
        <v>0</v>
      </c>
      <c r="O785" s="10">
        <f>IF(ActiveDatabase=Standby,Secondary!O785,Primary!O785)</f>
        <v>0</v>
      </c>
      <c r="P785" s="10">
        <f>IF(ActiveDatabase=Standby,Secondary!P785,Primary!P785)</f>
        <v>0</v>
      </c>
      <c r="Q785" s="6">
        <f>IF(ActiveDatabase=Standby,Secondary!Q785,Primary!Q785)</f>
        <v>0</v>
      </c>
      <c r="R785" s="18">
        <f>IF(ActiveDatabase=Standby,Secondary!R785,Primary!R785)</f>
        <v>0</v>
      </c>
      <c r="S785" s="19">
        <f>IF(ActiveDatabase=Standby,Secondary!S785,Primary!S785)</f>
        <v>0</v>
      </c>
      <c r="T785" s="10">
        <f>IF(ActiveDatabase=Standby,Secondary!T785,Primary!T785)</f>
        <v>0</v>
      </c>
      <c r="U785" s="10">
        <f>IF(ActiveDatabase=Standby,Secondary!U785,Primary!U785)</f>
        <v>0</v>
      </c>
      <c r="V785" s="10">
        <f>IF(ActiveDatabase=Standby,Secondary!V785,Primary!V785)</f>
        <v>0</v>
      </c>
      <c r="W785" s="6">
        <f>IF(ActiveDatabase=Standby,Secondary!W785,Primary!W785)</f>
        <v>0</v>
      </c>
      <c r="X785" s="6">
        <f>IF(ActiveDatabase=Standby,Secondary!X785,Primary!X785)</f>
        <v>0</v>
      </c>
      <c r="Y785" s="12">
        <f>IF(ActiveDatabase=Standby,Secondary!Y785,Primary!Y1443)</f>
        <v>0</v>
      </c>
      <c r="Z785" s="12">
        <f>IF(ActiveDatabase=Standby,Secondary!Z785,Primary!Z1443)</f>
        <v>0</v>
      </c>
      <c r="AA785" s="9">
        <f>IF(ActiveDatabase=Standby,Secondary!AA785,Primary!AA1443)</f>
        <v>0</v>
      </c>
      <c r="AB785" s="12"/>
      <c r="AC785" s="6"/>
      <c r="AD785" s="6"/>
      <c r="AE785" s="7"/>
      <c r="AF785" s="7"/>
      <c r="AG785" s="7"/>
      <c r="AH785" s="7"/>
      <c r="AI785" s="7"/>
      <c r="AJ785" s="7"/>
      <c r="AK785" s="7"/>
      <c r="AL785" s="7"/>
      <c r="AM785" s="7"/>
      <c r="AN785" s="7"/>
      <c r="AO785" s="6"/>
      <c r="AP785" s="7"/>
      <c r="AQ785" s="7"/>
      <c r="AR785" s="6"/>
      <c r="AS785" s="7"/>
      <c r="AT785" s="7"/>
      <c r="AU785" s="7"/>
      <c r="AV785" s="7"/>
      <c r="AW785" s="7"/>
      <c r="AX785" s="7"/>
      <c r="AY785" s="7"/>
      <c r="AZ785" s="7"/>
      <c r="BA785" s="7"/>
      <c r="BB785" s="7"/>
      <c r="BC785" s="7"/>
      <c r="BD785" s="7"/>
      <c r="BE785" s="7"/>
      <c r="BF785" s="7"/>
      <c r="BG785" s="7"/>
    </row>
    <row r="786" customHeight="1" spans="1:59">
      <c r="A786" s="9" t="str">
        <f>IF(ActiveDatabase=Standby,Secondary!A786,Primary!A786)</f>
        <v>Wala 03</v>
      </c>
      <c r="B786" s="5" t="str">
        <f>IF(ActiveDatabase=Standby,Secondary!B786,Primary!B786)</f>
        <v>Wala 03</v>
      </c>
      <c r="C786" s="5" t="str">
        <f>IF(ActiveDatabase=Standby,Secondary!C786,Primary!C786)</f>
        <v>Wala 27</v>
      </c>
      <c r="D786" s="5" t="str">
        <f>IF(ActiveDatabase=Standby,Secondary!D786,Primary!D786)</f>
        <v>ArcCorp Mining Area 056 (PB)</v>
      </c>
      <c r="E786" s="6" t="str">
        <f>IF(ActiveDatabase=Standby,Secondary!E786,Primary!E786)</f>
        <v>ArcCorp 056</v>
      </c>
      <c r="F786" s="10">
        <f>IF(ActiveDatabase=Standby,Secondary!F786,Primary!F786)</f>
        <v>116.545697035018</v>
      </c>
      <c r="G786" s="10">
        <f>IF(ActiveDatabase=Standby,Secondary!G786,Primary!G786)</f>
        <v>-50.1465905849049</v>
      </c>
      <c r="H786" s="10">
        <f>IF(ActiveDatabase=Standby,Secondary!H786,Primary!H786)</f>
        <v>253.154550616565</v>
      </c>
      <c r="I786" s="13">
        <f>IF(ActiveDatabase=Standby,Secondary!I786,Primary!I786)</f>
        <v>0</v>
      </c>
      <c r="J786" s="13">
        <f>IF(ActiveDatabase=Standby,Secondary!J786,Primary!J786)</f>
        <v>0</v>
      </c>
      <c r="K786" s="13">
        <f>IF(ActiveDatabase=Standby,Secondary!K786,Primary!K786)</f>
        <v>0</v>
      </c>
      <c r="L786" s="13">
        <f>IF(ActiveDatabase=Standby,Secondary!L786,Primary!L786)</f>
        <v>0</v>
      </c>
      <c r="M786" s="7" t="b">
        <f>IF(ActiveDatabase=Standby,Secondary!M786,Primary!M786)</f>
        <v>1</v>
      </c>
      <c r="N786" s="10">
        <f>IF(ActiveDatabase=Standby,Secondary!N786,Primary!N786)</f>
        <v>0</v>
      </c>
      <c r="O786" s="10">
        <f>IF(ActiveDatabase=Standby,Secondary!O786,Primary!O786)</f>
        <v>0</v>
      </c>
      <c r="P786" s="10">
        <f>IF(ActiveDatabase=Standby,Secondary!P786,Primary!P786)</f>
        <v>0</v>
      </c>
      <c r="Q786" s="6">
        <f>IF(ActiveDatabase=Standby,Secondary!Q786,Primary!Q786)</f>
        <v>0</v>
      </c>
      <c r="R786" s="18">
        <f>IF(ActiveDatabase=Standby,Secondary!R786,Primary!R786)</f>
        <v>0</v>
      </c>
      <c r="S786" s="19">
        <f>IF(ActiveDatabase=Standby,Secondary!S786,Primary!S786)</f>
        <v>0</v>
      </c>
      <c r="T786" s="10">
        <f>IF(ActiveDatabase=Standby,Secondary!T786,Primary!T786)</f>
        <v>0</v>
      </c>
      <c r="U786" s="10">
        <f>IF(ActiveDatabase=Standby,Secondary!U786,Primary!U786)</f>
        <v>0</v>
      </c>
      <c r="V786" s="10">
        <f>IF(ActiveDatabase=Standby,Secondary!V786,Primary!V786)</f>
        <v>0</v>
      </c>
      <c r="W786" s="6">
        <f>IF(ActiveDatabase=Standby,Secondary!W786,Primary!W786)</f>
        <v>0</v>
      </c>
      <c r="X786" s="6">
        <f>IF(ActiveDatabase=Standby,Secondary!X786,Primary!X786)</f>
        <v>0</v>
      </c>
      <c r="Y786" s="12">
        <f>IF(ActiveDatabase=Standby,Secondary!Y786,Primary!Y1444)</f>
        <v>0</v>
      </c>
      <c r="Z786" s="12">
        <f>IF(ActiveDatabase=Standby,Secondary!Z786,Primary!Z1444)</f>
        <v>0</v>
      </c>
      <c r="AA786" s="9">
        <f>IF(ActiveDatabase=Standby,Secondary!AA786,Primary!AA1444)</f>
        <v>0</v>
      </c>
      <c r="AB786" s="12"/>
      <c r="AC786" s="6"/>
      <c r="AD786" s="6"/>
      <c r="AE786" s="7"/>
      <c r="AF786" s="7"/>
      <c r="AG786" s="7"/>
      <c r="AH786" s="7"/>
      <c r="AI786" s="7"/>
      <c r="AJ786" s="7"/>
      <c r="AK786" s="7"/>
      <c r="AL786" s="7"/>
      <c r="AM786" s="7"/>
      <c r="AN786" s="7"/>
      <c r="AO786" s="6"/>
      <c r="AP786" s="7"/>
      <c r="AQ786" s="7"/>
      <c r="AR786" s="6"/>
      <c r="AS786" s="7"/>
      <c r="AT786" s="7"/>
      <c r="AU786" s="7"/>
      <c r="AV786" s="7"/>
      <c r="AW786" s="7"/>
      <c r="AX786" s="7"/>
      <c r="AY786" s="7"/>
      <c r="AZ786" s="7"/>
      <c r="BA786" s="7"/>
      <c r="BB786" s="7"/>
      <c r="BC786" s="7"/>
      <c r="BD786" s="7"/>
      <c r="BE786" s="7"/>
      <c r="BF786" s="7"/>
      <c r="BG786" s="7"/>
    </row>
    <row r="787" customHeight="1" spans="1:59">
      <c r="A787" s="9" t="str">
        <f>IF(ActiveDatabase=Standby,Secondary!A787,Primary!A787)</f>
        <v>Wala 04</v>
      </c>
      <c r="B787" s="5" t="str">
        <f>IF(ActiveDatabase=Standby,Secondary!B787,Primary!B787)</f>
        <v>Wala 04</v>
      </c>
      <c r="C787" s="5" t="str">
        <f>IF(ActiveDatabase=Standby,Secondary!C787,Primary!C787)</f>
        <v>Wala 33</v>
      </c>
      <c r="D787" s="5" t="str">
        <f>IF(ActiveDatabase=Standby,Secondary!D787,Primary!D787)</f>
        <v>ArcCorp Mining Area 061 (PB)</v>
      </c>
      <c r="E787" s="6" t="str">
        <f>IF(ActiveDatabase=Standby,Secondary!E787,Primary!E787)</f>
        <v>ArcCorp 061</v>
      </c>
      <c r="F787" s="10">
        <f>IF(ActiveDatabase=Standby,Secondary!F787,Primary!F787)</f>
        <v>-21.0398674825543</v>
      </c>
      <c r="G787" s="10">
        <f>IF(ActiveDatabase=Standby,Secondary!G787,Primary!G787)</f>
        <v>-247.547925346509</v>
      </c>
      <c r="H787" s="10">
        <f>IF(ActiveDatabase=Standby,Secondary!H787,Primary!H787)</f>
        <v>-132.569892484105</v>
      </c>
      <c r="I787" s="13">
        <f>IF(ActiveDatabase=Standby,Secondary!I787,Primary!I787)</f>
        <v>0</v>
      </c>
      <c r="J787" s="13">
        <f>IF(ActiveDatabase=Standby,Secondary!J787,Primary!J787)</f>
        <v>0</v>
      </c>
      <c r="K787" s="13">
        <f>IF(ActiveDatabase=Standby,Secondary!K787,Primary!K787)</f>
        <v>0</v>
      </c>
      <c r="L787" s="13">
        <f>IF(ActiveDatabase=Standby,Secondary!L787,Primary!L787)</f>
        <v>0</v>
      </c>
      <c r="M787" s="7" t="b">
        <f>IF(ActiveDatabase=Standby,Secondary!M787,Primary!M787)</f>
        <v>1</v>
      </c>
      <c r="N787" s="10">
        <f>IF(ActiveDatabase=Standby,Secondary!N787,Primary!N787)</f>
        <v>0</v>
      </c>
      <c r="O787" s="10">
        <f>IF(ActiveDatabase=Standby,Secondary!O787,Primary!O787)</f>
        <v>0</v>
      </c>
      <c r="P787" s="10">
        <f>IF(ActiveDatabase=Standby,Secondary!P787,Primary!P787)</f>
        <v>0</v>
      </c>
      <c r="Q787" s="6">
        <f>IF(ActiveDatabase=Standby,Secondary!Q787,Primary!Q787)</f>
        <v>0</v>
      </c>
      <c r="R787" s="18">
        <f>IF(ActiveDatabase=Standby,Secondary!R787,Primary!R787)</f>
        <v>0</v>
      </c>
      <c r="S787" s="19">
        <f>IF(ActiveDatabase=Standby,Secondary!S787,Primary!S787)</f>
        <v>0</v>
      </c>
      <c r="T787" s="10">
        <f>IF(ActiveDatabase=Standby,Secondary!T787,Primary!T787)</f>
        <v>0</v>
      </c>
      <c r="U787" s="10">
        <f>IF(ActiveDatabase=Standby,Secondary!U787,Primary!U787)</f>
        <v>0</v>
      </c>
      <c r="V787" s="10">
        <f>IF(ActiveDatabase=Standby,Secondary!V787,Primary!V787)</f>
        <v>0</v>
      </c>
      <c r="W787" s="6">
        <f>IF(ActiveDatabase=Standby,Secondary!W787,Primary!W787)</f>
        <v>0</v>
      </c>
      <c r="X787" s="6">
        <f>IF(ActiveDatabase=Standby,Secondary!X787,Primary!X787)</f>
        <v>0</v>
      </c>
      <c r="Y787" s="12">
        <f>IF(ActiveDatabase=Standby,Secondary!Y787,Primary!Y1445)</f>
        <v>0</v>
      </c>
      <c r="Z787" s="12">
        <f>IF(ActiveDatabase=Standby,Secondary!Z787,Primary!Z1445)</f>
        <v>0</v>
      </c>
      <c r="AA787" s="9">
        <f>IF(ActiveDatabase=Standby,Secondary!AA787,Primary!AA1445)</f>
        <v>0</v>
      </c>
      <c r="AB787" s="12"/>
      <c r="AC787" s="6"/>
      <c r="AD787" s="6"/>
      <c r="AE787" s="7"/>
      <c r="AF787" s="7"/>
      <c r="AG787" s="7"/>
      <c r="AH787" s="7"/>
      <c r="AI787" s="7"/>
      <c r="AJ787" s="7"/>
      <c r="AK787" s="7"/>
      <c r="AL787" s="7"/>
      <c r="AM787" s="7"/>
      <c r="AN787" s="7"/>
      <c r="AO787" s="6"/>
      <c r="AP787" s="7"/>
      <c r="AQ787" s="7"/>
      <c r="AR787" s="6"/>
      <c r="AS787" s="7"/>
      <c r="AT787" s="7"/>
      <c r="AU787" s="7"/>
      <c r="AV787" s="7"/>
      <c r="AW787" s="7"/>
      <c r="AX787" s="7"/>
      <c r="AY787" s="7"/>
      <c r="AZ787" s="7"/>
      <c r="BA787" s="7"/>
      <c r="BB787" s="7"/>
      <c r="BC787" s="7"/>
      <c r="BD787" s="7"/>
      <c r="BE787" s="7"/>
      <c r="BF787" s="7"/>
      <c r="BG787" s="7"/>
    </row>
    <row r="788" customHeight="1" spans="1:59">
      <c r="A788" s="9" t="str">
        <f>IF(ActiveDatabase=Standby,Secondary!A788,Primary!A788)</f>
        <v>Wala 06</v>
      </c>
      <c r="B788" s="5" t="str">
        <f>IF(ActiveDatabase=Standby,Secondary!B788,Primary!B788)</f>
        <v>Wala 06</v>
      </c>
      <c r="C788" s="5" t="str">
        <f>IF(ActiveDatabase=Standby,Secondary!C788,Primary!C788)</f>
        <v>Wala 11</v>
      </c>
      <c r="D788" s="5" t="str">
        <f>IF(ActiveDatabase=Standby,Secondary!D788,Primary!D788)</f>
        <v>Shady Glen Farms</v>
      </c>
      <c r="E788" s="6" t="str">
        <f>IF(ActiveDatabase=Standby,Secondary!E788,Primary!E788)</f>
        <v>ShadyGlen</v>
      </c>
      <c r="F788" s="10">
        <f>IF(ActiveDatabase=Standby,Secondary!F788,Primary!F788)</f>
        <v>-20.622454704</v>
      </c>
      <c r="G788" s="10">
        <f>IF(ActiveDatabase=Standby,Secondary!G788,Primary!G788)</f>
        <v>268.985307624</v>
      </c>
      <c r="H788" s="10">
        <f>IF(ActiveDatabase=Standby,Secondary!H788,Primary!H788)</f>
        <v>87.5342171629999</v>
      </c>
      <c r="I788" s="13">
        <f>IF(ActiveDatabase=Standby,Secondary!I788,Primary!I788)</f>
        <v>0</v>
      </c>
      <c r="J788" s="13">
        <f>IF(ActiveDatabase=Standby,Secondary!J788,Primary!J788)</f>
        <v>0</v>
      </c>
      <c r="K788" s="13">
        <f>IF(ActiveDatabase=Standby,Secondary!K788,Primary!K788)</f>
        <v>0</v>
      </c>
      <c r="L788" s="13">
        <f>IF(ActiveDatabase=Standby,Secondary!L788,Primary!L788)</f>
        <v>0</v>
      </c>
      <c r="M788" s="7" t="b">
        <f>IF(ActiveDatabase=Standby,Secondary!M788,Primary!M788)</f>
        <v>1</v>
      </c>
      <c r="N788" s="10">
        <f>IF(ActiveDatabase=Standby,Secondary!N788,Primary!N788)</f>
        <v>0</v>
      </c>
      <c r="O788" s="10">
        <f>IF(ActiveDatabase=Standby,Secondary!O788,Primary!O788)</f>
        <v>0</v>
      </c>
      <c r="P788" s="10">
        <f>IF(ActiveDatabase=Standby,Secondary!P788,Primary!P788)</f>
        <v>0</v>
      </c>
      <c r="Q788" s="6">
        <f>IF(ActiveDatabase=Standby,Secondary!Q788,Primary!Q788)</f>
        <v>0</v>
      </c>
      <c r="R788" s="18">
        <f>IF(ActiveDatabase=Standby,Secondary!R788,Primary!R788)</f>
        <v>0</v>
      </c>
      <c r="S788" s="19">
        <f>IF(ActiveDatabase=Standby,Secondary!S788,Primary!S788)</f>
        <v>0</v>
      </c>
      <c r="T788" s="10">
        <f>IF(ActiveDatabase=Standby,Secondary!T788,Primary!T788)</f>
        <v>0</v>
      </c>
      <c r="U788" s="10">
        <f>IF(ActiveDatabase=Standby,Secondary!U788,Primary!U788)</f>
        <v>0</v>
      </c>
      <c r="V788" s="10">
        <f>IF(ActiveDatabase=Standby,Secondary!V788,Primary!V788)</f>
        <v>0</v>
      </c>
      <c r="W788" s="6">
        <f>IF(ActiveDatabase=Standby,Secondary!W788,Primary!W788)</f>
        <v>0</v>
      </c>
      <c r="X788" s="6">
        <f>IF(ActiveDatabase=Standby,Secondary!X788,Primary!X788)</f>
        <v>0</v>
      </c>
      <c r="Y788" s="12">
        <f>IF(ActiveDatabase=Standby,Secondary!Y788,Primary!Y1446)</f>
        <v>0</v>
      </c>
      <c r="Z788" s="12">
        <f>IF(ActiveDatabase=Standby,Secondary!Z788,Primary!Z1446)</f>
        <v>0</v>
      </c>
      <c r="AA788" s="9">
        <f>IF(ActiveDatabase=Standby,Secondary!AA788,Primary!AA1446)</f>
        <v>0</v>
      </c>
      <c r="AB788" s="12"/>
      <c r="AC788" s="6"/>
      <c r="AD788" s="6"/>
      <c r="AE788" s="7"/>
      <c r="AF788" s="7"/>
      <c r="AG788" s="7"/>
      <c r="AH788" s="7"/>
      <c r="AI788" s="7"/>
      <c r="AJ788" s="7"/>
      <c r="AK788" s="7"/>
      <c r="AL788" s="7"/>
      <c r="AM788" s="7"/>
      <c r="AN788" s="7"/>
      <c r="AO788" s="6"/>
      <c r="AP788" s="7"/>
      <c r="AQ788" s="7"/>
      <c r="AR788" s="6"/>
      <c r="AS788" s="7"/>
      <c r="AT788" s="7"/>
      <c r="AU788" s="7"/>
      <c r="AV788" s="7"/>
      <c r="AW788" s="7"/>
      <c r="AX788" s="7"/>
      <c r="AY788" s="7"/>
      <c r="AZ788" s="7"/>
      <c r="BA788" s="7"/>
      <c r="BB788" s="7"/>
      <c r="BC788" s="7"/>
      <c r="BD788" s="7"/>
      <c r="BE788" s="7"/>
      <c r="BF788" s="7"/>
      <c r="BG788" s="7"/>
    </row>
    <row r="789" customHeight="1" spans="1:59">
      <c r="A789" s="9" t="str">
        <f>IF(ActiveDatabase=Standby,Secondary!A789,Primary!A789)</f>
        <v>Wala 05</v>
      </c>
      <c r="B789" s="5" t="str">
        <f>IF(ActiveDatabase=Standby,Secondary!B789,Primary!B789)</f>
        <v>Wala 05</v>
      </c>
      <c r="C789" s="5" t="str">
        <f>IF(ActiveDatabase=Standby,Secondary!C789,Primary!C789)</f>
        <v>Wala 10</v>
      </c>
      <c r="D789" s="5" t="str">
        <f>IF(ActiveDatabase=Standby,Secondary!D789,Primary!D789)</f>
        <v>Samson &amp; Son's Salvage Yard</v>
      </c>
      <c r="E789" s="6" t="str">
        <f>IF(ActiveDatabase=Standby,Secondary!E789,Primary!E789)</f>
        <v>Samson &amp; Son's</v>
      </c>
      <c r="F789" s="10">
        <f>IF(ActiveDatabase=Standby,Secondary!F789,Primary!F789)</f>
        <v>-42.60003562</v>
      </c>
      <c r="G789" s="10">
        <f>IF(ActiveDatabase=Standby,Secondary!G789,Primary!G789)</f>
        <v>279.055209386</v>
      </c>
      <c r="H789" s="10">
        <f>IF(ActiveDatabase=Standby,Secondary!H789,Primary!H789)</f>
        <v>19.230105734</v>
      </c>
      <c r="I789" s="13">
        <f>IF(ActiveDatabase=Standby,Secondary!I789,Primary!I789)</f>
        <v>0</v>
      </c>
      <c r="J789" s="13">
        <f>IF(ActiveDatabase=Standby,Secondary!J789,Primary!J789)</f>
        <v>0</v>
      </c>
      <c r="K789" s="13">
        <f>IF(ActiveDatabase=Standby,Secondary!K789,Primary!K789)</f>
        <v>0</v>
      </c>
      <c r="L789" s="13">
        <f>IF(ActiveDatabase=Standby,Secondary!L789,Primary!L789)</f>
        <v>0</v>
      </c>
      <c r="M789" s="7" t="b">
        <f>IF(ActiveDatabase=Standby,Secondary!M789,Primary!M789)</f>
        <v>1</v>
      </c>
      <c r="N789" s="10">
        <f>IF(ActiveDatabase=Standby,Secondary!N789,Primary!N789)</f>
        <v>0</v>
      </c>
      <c r="O789" s="10">
        <f>IF(ActiveDatabase=Standby,Secondary!O789,Primary!O789)</f>
        <v>0</v>
      </c>
      <c r="P789" s="10">
        <f>IF(ActiveDatabase=Standby,Secondary!P789,Primary!P789)</f>
        <v>0</v>
      </c>
      <c r="Q789" s="6">
        <f>IF(ActiveDatabase=Standby,Secondary!Q789,Primary!Q789)</f>
        <v>0</v>
      </c>
      <c r="R789" s="18">
        <f>IF(ActiveDatabase=Standby,Secondary!R789,Primary!R789)</f>
        <v>0</v>
      </c>
      <c r="S789" s="19">
        <f>IF(ActiveDatabase=Standby,Secondary!S789,Primary!S789)</f>
        <v>0</v>
      </c>
      <c r="T789" s="10">
        <f>IF(ActiveDatabase=Standby,Secondary!T789,Primary!T789)</f>
        <v>0</v>
      </c>
      <c r="U789" s="10">
        <f>IF(ActiveDatabase=Standby,Secondary!U789,Primary!U789)</f>
        <v>0</v>
      </c>
      <c r="V789" s="10">
        <f>IF(ActiveDatabase=Standby,Secondary!V789,Primary!V789)</f>
        <v>0</v>
      </c>
      <c r="W789" s="6">
        <f>IF(ActiveDatabase=Standby,Secondary!W789,Primary!W789)</f>
        <v>0</v>
      </c>
      <c r="X789" s="6">
        <f>IF(ActiveDatabase=Standby,Secondary!X789,Primary!X789)</f>
        <v>0</v>
      </c>
      <c r="Y789" s="12">
        <f>IF(ActiveDatabase=Standby,Secondary!Y789,Primary!Y1447)</f>
        <v>0</v>
      </c>
      <c r="Z789" s="12">
        <f>IF(ActiveDatabase=Standby,Secondary!Z789,Primary!Z1447)</f>
        <v>0</v>
      </c>
      <c r="AA789" s="9">
        <f>IF(ActiveDatabase=Standby,Secondary!AA789,Primary!AA1447)</f>
        <v>0</v>
      </c>
      <c r="AB789" s="12"/>
      <c r="AC789" s="6"/>
      <c r="AD789" s="6"/>
      <c r="AE789" s="7"/>
      <c r="AF789" s="7"/>
      <c r="AG789" s="7"/>
      <c r="AH789" s="7"/>
      <c r="AI789" s="7"/>
      <c r="AJ789" s="7"/>
      <c r="AK789" s="7"/>
      <c r="AL789" s="7"/>
      <c r="AM789" s="7"/>
      <c r="AN789" s="7"/>
      <c r="AO789" s="6"/>
      <c r="AP789" s="7"/>
      <c r="AQ789" s="7"/>
      <c r="AR789" s="6"/>
      <c r="AS789" s="7"/>
      <c r="AT789" s="7"/>
      <c r="AU789" s="7"/>
      <c r="AV789" s="7"/>
      <c r="AW789" s="7"/>
      <c r="AX789" s="7"/>
      <c r="AY789" s="7"/>
      <c r="AZ789" s="7"/>
      <c r="BA789" s="7"/>
      <c r="BB789" s="7"/>
      <c r="BC789" s="7"/>
      <c r="BD789" s="7"/>
      <c r="BE789" s="7"/>
      <c r="BF789" s="7"/>
      <c r="BG789" s="7"/>
    </row>
    <row r="790" customHeight="1" spans="1:59">
      <c r="A790" s="9" t="str">
        <f>IF(ActiveDatabase=Standby,Secondary!A790,Primary!A790)</f>
        <v>Wala 07</v>
      </c>
      <c r="B790" s="5" t="str">
        <f>IF(ActiveDatabase=Standby,Secondary!B790,Primary!B790)</f>
        <v>Wala 07</v>
      </c>
      <c r="C790" s="5" t="str">
        <f>IF(ActiveDatabase=Standby,Secondary!C790,Primary!C790)</f>
        <v>Wala 41</v>
      </c>
      <c r="D790" s="5" t="str">
        <f>IF(ActiveDatabase=Standby,Secondary!D790,Primary!D790)</f>
        <v>Paradise Cove</v>
      </c>
      <c r="E790" s="6" t="str">
        <f>IF(ActiveDatabase=Standby,Secondary!E790,Primary!E790)</f>
        <v>Paradise</v>
      </c>
      <c r="F790" s="10">
        <f>IF(ActiveDatabase=Standby,Secondary!F790,Primary!F790)</f>
        <v>79.975409619</v>
      </c>
      <c r="G790" s="10">
        <f>IF(ActiveDatabase=Standby,Secondary!G790,Primary!G790)</f>
        <v>-217.911185587</v>
      </c>
      <c r="H790" s="10">
        <f>IF(ActiveDatabase=Standby,Secondary!H790,Primary!H790)</f>
        <v>162.334817229</v>
      </c>
      <c r="I790" s="13">
        <f>IF(ActiveDatabase=Standby,Secondary!I790,Primary!I790)</f>
        <v>0</v>
      </c>
      <c r="J790" s="13">
        <f>IF(ActiveDatabase=Standby,Secondary!J790,Primary!J790)</f>
        <v>0</v>
      </c>
      <c r="K790" s="13">
        <f>IF(ActiveDatabase=Standby,Secondary!K790,Primary!K790)</f>
        <v>0</v>
      </c>
      <c r="L790" s="13">
        <f>IF(ActiveDatabase=Standby,Secondary!L790,Primary!L790)</f>
        <v>0</v>
      </c>
      <c r="M790" s="7" t="b">
        <f>IF(ActiveDatabase=Standby,Secondary!M790,Primary!M790)</f>
        <v>0</v>
      </c>
      <c r="N790" s="10">
        <f>IF(ActiveDatabase=Standby,Secondary!N790,Primary!N790)</f>
        <v>0</v>
      </c>
      <c r="O790" s="10">
        <f>IF(ActiveDatabase=Standby,Secondary!O790,Primary!O790)</f>
        <v>0</v>
      </c>
      <c r="P790" s="10">
        <f>IF(ActiveDatabase=Standby,Secondary!P790,Primary!P790)</f>
        <v>0</v>
      </c>
      <c r="Q790" s="6">
        <f>IF(ActiveDatabase=Standby,Secondary!Q790,Primary!Q790)</f>
        <v>0</v>
      </c>
      <c r="R790" s="18">
        <f>IF(ActiveDatabase=Standby,Secondary!R790,Primary!R790)</f>
        <v>0</v>
      </c>
      <c r="S790" s="19">
        <f>IF(ActiveDatabase=Standby,Secondary!S790,Primary!S790)</f>
        <v>0</v>
      </c>
      <c r="T790" s="10">
        <f>IF(ActiveDatabase=Standby,Secondary!T790,Primary!T790)</f>
        <v>0</v>
      </c>
      <c r="U790" s="10">
        <f>IF(ActiveDatabase=Standby,Secondary!U790,Primary!U790)</f>
        <v>0</v>
      </c>
      <c r="V790" s="10">
        <f>IF(ActiveDatabase=Standby,Secondary!V790,Primary!V790)</f>
        <v>0</v>
      </c>
      <c r="W790" s="6">
        <f>IF(ActiveDatabase=Standby,Secondary!W790,Primary!W790)</f>
        <v>0</v>
      </c>
      <c r="X790" s="6">
        <f>IF(ActiveDatabase=Standby,Secondary!X790,Primary!X790)</f>
        <v>0</v>
      </c>
      <c r="Y790" s="12">
        <f>IF(ActiveDatabase=Standby,Secondary!Y790,Primary!Y1448)</f>
        <v>0</v>
      </c>
      <c r="Z790" s="12">
        <f>IF(ActiveDatabase=Standby,Secondary!Z790,Primary!Z1448)</f>
        <v>0</v>
      </c>
      <c r="AA790" s="6">
        <f>IF(ActiveDatabase=Standby,Secondary!AA790,Primary!AA1448)</f>
        <v>0</v>
      </c>
      <c r="AB790" s="12"/>
      <c r="AC790" s="6"/>
      <c r="AD790" s="6"/>
      <c r="AE790" s="7"/>
      <c r="AF790" s="7"/>
      <c r="AG790" s="7"/>
      <c r="AH790" s="7"/>
      <c r="AI790" s="7"/>
      <c r="AJ790" s="7"/>
      <c r="AK790" s="7"/>
      <c r="AL790" s="7"/>
      <c r="AM790" s="7"/>
      <c r="AN790" s="7"/>
      <c r="AO790" s="6"/>
      <c r="AP790" s="7"/>
      <c r="AQ790" s="7"/>
      <c r="AR790" s="6"/>
      <c r="AS790" s="6"/>
      <c r="AT790" s="6"/>
      <c r="AU790" s="6"/>
      <c r="AV790" s="6"/>
      <c r="AW790" s="6"/>
      <c r="AX790" s="6"/>
      <c r="AY790" s="6"/>
      <c r="AZ790" s="6"/>
      <c r="BA790" s="6"/>
      <c r="BB790" s="6"/>
      <c r="BC790" s="6"/>
      <c r="BD790" s="6"/>
      <c r="BE790" s="6"/>
      <c r="BF790" s="6"/>
      <c r="BG790" s="6"/>
    </row>
    <row r="791" customHeight="1" spans="1:59">
      <c r="A791" s="9" t="str">
        <f>IF(ActiveDatabase=Standby,Secondary!A791,Primary!A791)</f>
        <v>Wala</v>
      </c>
      <c r="B791" s="5" t="str">
        <f>IF(ActiveDatabase=Standby,Secondary!B791,Primary!B791)</f>
        <v>Wala 09</v>
      </c>
      <c r="C791" s="5">
        <f>IF(ActiveDatabase=Standby,Secondary!C791,Primary!C791)</f>
        <v>0</v>
      </c>
      <c r="D791" s="5" t="str">
        <f>IF(ActiveDatabase=Standby,Secondary!D791,Primary!D791)</f>
        <v>Underground Bunker Facilities</v>
      </c>
      <c r="E791" s="6">
        <f>IF(ActiveDatabase=Standby,Secondary!E791,Primary!E791)</f>
        <v>0</v>
      </c>
      <c r="F791" s="10">
        <f>IF(ActiveDatabase=Standby,Secondary!F791,Primary!F791)</f>
        <v>0</v>
      </c>
      <c r="G791" s="10">
        <f>IF(ActiveDatabase=Standby,Secondary!G791,Primary!G791)</f>
        <v>0</v>
      </c>
      <c r="H791" s="10">
        <f>IF(ActiveDatabase=Standby,Secondary!H791,Primary!H791)</f>
        <v>0</v>
      </c>
      <c r="I791" s="13">
        <f>IF(ActiveDatabase=Standby,Secondary!I791,Primary!I791)</f>
        <v>0</v>
      </c>
      <c r="J791" s="13">
        <f>IF(ActiveDatabase=Standby,Secondary!J791,Primary!J791)</f>
        <v>0</v>
      </c>
      <c r="K791" s="13">
        <f>IF(ActiveDatabase=Standby,Secondary!K791,Primary!K791)</f>
        <v>0</v>
      </c>
      <c r="L791" s="13">
        <f>IF(ActiveDatabase=Standby,Secondary!L791,Primary!L791)</f>
        <v>0</v>
      </c>
      <c r="M791" s="7">
        <f>IF(ActiveDatabase=Standby,Secondary!M791,Primary!M791)</f>
        <v>0</v>
      </c>
      <c r="N791" s="10">
        <f>IF(ActiveDatabase=Standby,Secondary!N791,Primary!N791)</f>
        <v>0</v>
      </c>
      <c r="O791" s="10">
        <f>IF(ActiveDatabase=Standby,Secondary!O791,Primary!O791)</f>
        <v>0</v>
      </c>
      <c r="P791" s="10">
        <f>IF(ActiveDatabase=Standby,Secondary!P791,Primary!P791)</f>
        <v>0</v>
      </c>
      <c r="Q791" s="6">
        <f>IF(ActiveDatabase=Standby,Secondary!Q791,Primary!Q791)</f>
        <v>0</v>
      </c>
      <c r="R791" s="18">
        <f>IF(ActiveDatabase=Standby,Secondary!R791,Primary!R791)</f>
        <v>0</v>
      </c>
      <c r="S791" s="19">
        <f>IF(ActiveDatabase=Standby,Secondary!S791,Primary!S791)</f>
        <v>0</v>
      </c>
      <c r="T791" s="10">
        <f>IF(ActiveDatabase=Standby,Secondary!T791,Primary!T791)</f>
        <v>0</v>
      </c>
      <c r="U791" s="10">
        <f>IF(ActiveDatabase=Standby,Secondary!U791,Primary!U791)</f>
        <v>0</v>
      </c>
      <c r="V791" s="10">
        <f>IF(ActiveDatabase=Standby,Secondary!V791,Primary!V791)</f>
        <v>0</v>
      </c>
      <c r="W791" s="6">
        <f>IF(ActiveDatabase=Standby,Secondary!W791,Primary!W791)</f>
        <v>0</v>
      </c>
      <c r="X791" s="6">
        <f>IF(ActiveDatabase=Standby,Secondary!X791,Primary!X791)</f>
        <v>0</v>
      </c>
      <c r="Y791" s="12">
        <f>IF(ActiveDatabase=Standby,Secondary!Y791,Primary!Y1449)</f>
        <v>0</v>
      </c>
      <c r="Z791" s="12">
        <f>IF(ActiveDatabase=Standby,Secondary!Z791,Primary!Z1449)</f>
        <v>0</v>
      </c>
      <c r="AA791" s="7">
        <f>IF(ActiveDatabase=Standby,Secondary!AA791,Primary!AA1449)</f>
        <v>0</v>
      </c>
      <c r="AB791" s="12"/>
      <c r="AC791" s="6"/>
      <c r="AD791" s="6"/>
      <c r="AE791" s="7"/>
      <c r="AF791" s="7"/>
      <c r="AG791" s="7"/>
      <c r="AH791" s="7"/>
      <c r="AI791" s="7"/>
      <c r="AJ791" s="7"/>
      <c r="AK791" s="7"/>
      <c r="AL791" s="7"/>
      <c r="AM791" s="7"/>
      <c r="AN791" s="7"/>
      <c r="AO791" s="6"/>
      <c r="AP791" s="7"/>
      <c r="AQ791" s="7"/>
      <c r="AR791" s="6"/>
      <c r="AS791" s="7"/>
      <c r="AT791" s="7"/>
      <c r="AU791" s="7"/>
      <c r="AV791" s="7"/>
      <c r="AW791" s="7"/>
      <c r="AX791" s="7"/>
      <c r="AY791" s="7"/>
      <c r="AZ791" s="7"/>
      <c r="BA791" s="7"/>
      <c r="BB791" s="7"/>
      <c r="BC791" s="7"/>
      <c r="BD791" s="7"/>
      <c r="BE791" s="7"/>
      <c r="BF791" s="7"/>
      <c r="BG791" s="7"/>
    </row>
    <row r="792" customHeight="1" spans="1:59">
      <c r="A792" s="9" t="str">
        <f>IF(ActiveDatabase=Standby,Secondary!A792,Primary!A792)</f>
        <v>Wala 08</v>
      </c>
      <c r="B792" s="5" t="str">
        <f>IF(ActiveDatabase=Standby,Secondary!B792,Primary!B792)</f>
        <v>Wala 10</v>
      </c>
      <c r="C792" s="5" t="str">
        <f>IF(ActiveDatabase=Standby,Secondary!C792,Primary!C792)</f>
        <v>Wala 04</v>
      </c>
      <c r="D792" s="5" t="str">
        <f>IF(ActiveDatabase=Standby,Secondary!D792,Primary!D792)</f>
        <v>ArcCorp Processing Center 115</v>
      </c>
      <c r="E792" s="6" t="str">
        <f>IF(ActiveDatabase=Standby,Secondary!E792,Primary!E792)</f>
        <v>ArcCorp 115</v>
      </c>
      <c r="F792" s="10">
        <f>IF(ActiveDatabase=Standby,Secondary!F792,Primary!F792)</f>
        <v>-277.355976978</v>
      </c>
      <c r="G792" s="10">
        <f>IF(ActiveDatabase=Standby,Secondary!G792,Primary!G792)</f>
        <v>50.109954874</v>
      </c>
      <c r="H792" s="10">
        <f>IF(ActiveDatabase=Standby,Secondary!H792,Primary!H792)</f>
        <v>27.88014772</v>
      </c>
      <c r="I792" s="13">
        <f>IF(ActiveDatabase=Standby,Secondary!I792,Primary!I792)</f>
        <v>0</v>
      </c>
      <c r="J792" s="13">
        <f>IF(ActiveDatabase=Standby,Secondary!J792,Primary!J792)</f>
        <v>0</v>
      </c>
      <c r="K792" s="13">
        <f>IF(ActiveDatabase=Standby,Secondary!K792,Primary!K792)</f>
        <v>0</v>
      </c>
      <c r="L792" s="13">
        <f>IF(ActiveDatabase=Standby,Secondary!L792,Primary!L792)</f>
        <v>0</v>
      </c>
      <c r="M792" s="7" t="b">
        <f>IF(ActiveDatabase=Standby,Secondary!M792,Primary!M792)</f>
        <v>1</v>
      </c>
      <c r="N792" s="10">
        <f>IF(ActiveDatabase=Standby,Secondary!N792,Primary!N792)</f>
        <v>0</v>
      </c>
      <c r="O792" s="10">
        <f>IF(ActiveDatabase=Standby,Secondary!O792,Primary!O792)</f>
        <v>0</v>
      </c>
      <c r="P792" s="10">
        <f>IF(ActiveDatabase=Standby,Secondary!P792,Primary!P792)</f>
        <v>0</v>
      </c>
      <c r="Q792" s="6">
        <f>IF(ActiveDatabase=Standby,Secondary!Q792,Primary!Q792)</f>
        <v>0</v>
      </c>
      <c r="R792" s="18">
        <f>IF(ActiveDatabase=Standby,Secondary!R792,Primary!R792)</f>
        <v>0</v>
      </c>
      <c r="S792" s="19">
        <f>IF(ActiveDatabase=Standby,Secondary!S792,Primary!S792)</f>
        <v>0</v>
      </c>
      <c r="T792" s="10">
        <f>IF(ActiveDatabase=Standby,Secondary!T792,Primary!T792)</f>
        <v>0</v>
      </c>
      <c r="U792" s="10">
        <f>IF(ActiveDatabase=Standby,Secondary!U792,Primary!U792)</f>
        <v>0</v>
      </c>
      <c r="V792" s="10">
        <f>IF(ActiveDatabase=Standby,Secondary!V792,Primary!V792)</f>
        <v>0</v>
      </c>
      <c r="W792" s="6">
        <f>IF(ActiveDatabase=Standby,Secondary!W792,Primary!W792)</f>
        <v>0</v>
      </c>
      <c r="X792" s="6">
        <f>IF(ActiveDatabase=Standby,Secondary!X792,Primary!X792)</f>
        <v>0</v>
      </c>
      <c r="Y792" s="12">
        <f>IF(ActiveDatabase=Standby,Secondary!Y792,Primary!Y1450)</f>
        <v>0</v>
      </c>
      <c r="Z792" s="12">
        <f>IF(ActiveDatabase=Standby,Secondary!Z792,Primary!Z1450)</f>
        <v>0</v>
      </c>
      <c r="AA792" s="7">
        <f>IF(ActiveDatabase=Standby,Secondary!AA792,Primary!AA1450)</f>
        <v>0</v>
      </c>
      <c r="AB792" s="12"/>
      <c r="AC792" s="6"/>
      <c r="AD792" s="6"/>
      <c r="AE792" s="7"/>
      <c r="AF792" s="7"/>
      <c r="AG792" s="7"/>
      <c r="AH792" s="7"/>
      <c r="AI792" s="7"/>
      <c r="AJ792" s="7"/>
      <c r="AK792" s="7"/>
      <c r="AL792" s="7"/>
      <c r="AM792" s="7"/>
      <c r="AN792" s="7"/>
      <c r="AO792" s="6"/>
      <c r="AP792" s="7"/>
      <c r="AQ792" s="7"/>
      <c r="AR792" s="6"/>
      <c r="AS792" s="7"/>
      <c r="AT792" s="7"/>
      <c r="AU792" s="7"/>
      <c r="AV792" s="7"/>
      <c r="AW792" s="7"/>
      <c r="AX792" s="7"/>
      <c r="AY792" s="7"/>
      <c r="AZ792" s="7"/>
      <c r="BA792" s="7"/>
      <c r="BB792" s="7"/>
      <c r="BC792" s="7"/>
      <c r="BD792" s="7"/>
      <c r="BE792" s="7"/>
      <c r="BF792" s="7"/>
      <c r="BG792" s="7"/>
    </row>
    <row r="793" customHeight="1" spans="1:59">
      <c r="A793" s="9" t="str">
        <f>IF(ActiveDatabase=Standby,Secondary!A793,Primary!A793)</f>
        <v>Wala 09</v>
      </c>
      <c r="B793" s="5" t="str">
        <f>IF(ActiveDatabase=Standby,Secondary!B793,Primary!B793)</f>
        <v>Wala 11</v>
      </c>
      <c r="C793" s="5" t="str">
        <f>IF(ActiveDatabase=Standby,Secondary!C793,Primary!C793)</f>
        <v>Wala 30</v>
      </c>
      <c r="D793" s="5" t="str">
        <f>IF(ActiveDatabase=Standby,Secondary!D793,Primary!D793)</f>
        <v>ArcCorp Processing Center 123</v>
      </c>
      <c r="E793" s="6" t="str">
        <f>IF(ActiveDatabase=Standby,Secondary!E793,Primary!E793)</f>
        <v>ArcCorp 123</v>
      </c>
      <c r="F793" s="10">
        <f>IF(ActiveDatabase=Standby,Secondary!F793,Primary!F793)</f>
        <v>130.624319533</v>
      </c>
      <c r="G793" s="10">
        <f>IF(ActiveDatabase=Standby,Secondary!G793,Primary!G793)</f>
        <v>-247.520551264999</v>
      </c>
      <c r="H793" s="10">
        <f>IF(ActiveDatabase=Standby,Secondary!H793,Primary!H793)</f>
        <v>43.128612045</v>
      </c>
      <c r="I793" s="13">
        <f>IF(ActiveDatabase=Standby,Secondary!I793,Primary!I793)</f>
        <v>0</v>
      </c>
      <c r="J793" s="13">
        <f>IF(ActiveDatabase=Standby,Secondary!J793,Primary!J793)</f>
        <v>0</v>
      </c>
      <c r="K793" s="13">
        <f>IF(ActiveDatabase=Standby,Secondary!K793,Primary!K793)</f>
        <v>0</v>
      </c>
      <c r="L793" s="13">
        <f>IF(ActiveDatabase=Standby,Secondary!L793,Primary!L793)</f>
        <v>0</v>
      </c>
      <c r="M793" s="7" t="b">
        <f>IF(ActiveDatabase=Standby,Secondary!M793,Primary!M793)</f>
        <v>1</v>
      </c>
      <c r="N793" s="10">
        <f>IF(ActiveDatabase=Standby,Secondary!N793,Primary!N793)</f>
        <v>0</v>
      </c>
      <c r="O793" s="10">
        <f>IF(ActiveDatabase=Standby,Secondary!O793,Primary!O793)</f>
        <v>0</v>
      </c>
      <c r="P793" s="10">
        <f>IF(ActiveDatabase=Standby,Secondary!P793,Primary!P793)</f>
        <v>0</v>
      </c>
      <c r="Q793" s="6">
        <f>IF(ActiveDatabase=Standby,Secondary!Q793,Primary!Q793)</f>
        <v>0</v>
      </c>
      <c r="R793" s="18">
        <f>IF(ActiveDatabase=Standby,Secondary!R793,Primary!R793)</f>
        <v>0</v>
      </c>
      <c r="S793" s="19">
        <f>IF(ActiveDatabase=Standby,Secondary!S793,Primary!S793)</f>
        <v>0</v>
      </c>
      <c r="T793" s="10">
        <f>IF(ActiveDatabase=Standby,Secondary!T793,Primary!T793)</f>
        <v>0</v>
      </c>
      <c r="U793" s="10">
        <f>IF(ActiveDatabase=Standby,Secondary!U793,Primary!U793)</f>
        <v>0</v>
      </c>
      <c r="V793" s="10">
        <f>IF(ActiveDatabase=Standby,Secondary!V793,Primary!V793)</f>
        <v>0</v>
      </c>
      <c r="W793" s="6">
        <f>IF(ActiveDatabase=Standby,Secondary!W793,Primary!W793)</f>
        <v>0</v>
      </c>
      <c r="X793" s="6">
        <f>IF(ActiveDatabase=Standby,Secondary!X793,Primary!X793)</f>
        <v>0</v>
      </c>
      <c r="Y793" s="12">
        <f>IF(ActiveDatabase=Standby,Secondary!Y793,Primary!Y1451)</f>
        <v>0</v>
      </c>
      <c r="Z793" s="12">
        <f>IF(ActiveDatabase=Standby,Secondary!Z793,Primary!Z1451)</f>
        <v>0</v>
      </c>
      <c r="AA793" s="7">
        <f>IF(ActiveDatabase=Standby,Secondary!AA793,Primary!AA1451)</f>
        <v>0</v>
      </c>
      <c r="AB793" s="12"/>
      <c r="AC793" s="6"/>
      <c r="AD793" s="6"/>
      <c r="AE793" s="7"/>
      <c r="AF793" s="7"/>
      <c r="AG793" s="7"/>
      <c r="AH793" s="7"/>
      <c r="AI793" s="7"/>
      <c r="AJ793" s="7"/>
      <c r="AK793" s="7"/>
      <c r="AL793" s="7"/>
      <c r="AM793" s="7"/>
      <c r="AN793" s="7"/>
      <c r="AO793" s="6"/>
      <c r="AP793" s="7"/>
      <c r="AQ793" s="7"/>
      <c r="AR793" s="6"/>
      <c r="AS793" s="7"/>
      <c r="AT793" s="7"/>
      <c r="AU793" s="7"/>
      <c r="AV793" s="7"/>
      <c r="AW793" s="7"/>
      <c r="AX793" s="7"/>
      <c r="AY793" s="7"/>
      <c r="AZ793" s="7"/>
      <c r="BA793" s="7"/>
      <c r="BB793" s="7"/>
      <c r="BC793" s="7"/>
      <c r="BD793" s="7"/>
      <c r="BE793" s="7"/>
      <c r="BF793" s="7"/>
      <c r="BG793" s="7"/>
    </row>
    <row r="794" customHeight="1" spans="1:59">
      <c r="A794" s="9" t="str">
        <f>IF(ActiveDatabase=Standby,Secondary!A794,Primary!A794)</f>
        <v>Wala 10</v>
      </c>
      <c r="B794" s="5" t="str">
        <f>IF(ActiveDatabase=Standby,Secondary!B794,Primary!B794)</f>
        <v>Wala 12</v>
      </c>
      <c r="C794" s="5" t="str">
        <f>IF(ActiveDatabase=Standby,Secondary!C794,Primary!C794)</f>
        <v>Wala 08</v>
      </c>
      <c r="D794" s="5" t="str">
        <f>IF(ActiveDatabase=Standby,Secondary!D794,Primary!D794)</f>
        <v>Good Times Temple</v>
      </c>
      <c r="E794" s="6" t="str">
        <f>IF(ActiveDatabase=Standby,Secondary!E794,Primary!E794)</f>
        <v>GoodTimes</v>
      </c>
      <c r="F794" s="10">
        <f>IF(ActiveDatabase=Standby,Secondary!F794,Primary!F794)</f>
        <v>-113.299669524</v>
      </c>
      <c r="G794" s="10">
        <f>IF(ActiveDatabase=Standby,Secondary!G794,Primary!G794)</f>
        <v>179.510183592999</v>
      </c>
      <c r="H794" s="10">
        <f>IF(ActiveDatabase=Standby,Secondary!H794,Primary!H794)</f>
        <v>187.365807493</v>
      </c>
      <c r="I794" s="13">
        <f>IF(ActiveDatabase=Standby,Secondary!I794,Primary!I794)</f>
        <v>0</v>
      </c>
      <c r="J794" s="13">
        <f>IF(ActiveDatabase=Standby,Secondary!J794,Primary!J794)</f>
        <v>0</v>
      </c>
      <c r="K794" s="13">
        <f>IF(ActiveDatabase=Standby,Secondary!K794,Primary!K794)</f>
        <v>0</v>
      </c>
      <c r="L794" s="13">
        <f>IF(ActiveDatabase=Standby,Secondary!L794,Primary!L794)</f>
        <v>0</v>
      </c>
      <c r="M794" s="7" t="b">
        <f>IF(ActiveDatabase=Standby,Secondary!M794,Primary!M794)</f>
        <v>1</v>
      </c>
      <c r="N794" s="10">
        <f>IF(ActiveDatabase=Standby,Secondary!N794,Primary!N794)</f>
        <v>0</v>
      </c>
      <c r="O794" s="10">
        <f>IF(ActiveDatabase=Standby,Secondary!O794,Primary!O794)</f>
        <v>0</v>
      </c>
      <c r="P794" s="10">
        <f>IF(ActiveDatabase=Standby,Secondary!P794,Primary!P794)</f>
        <v>0</v>
      </c>
      <c r="Q794" s="6">
        <f>IF(ActiveDatabase=Standby,Secondary!Q794,Primary!Q794)</f>
        <v>0</v>
      </c>
      <c r="R794" s="18">
        <f>IF(ActiveDatabase=Standby,Secondary!R794,Primary!R794)</f>
        <v>0</v>
      </c>
      <c r="S794" s="19">
        <f>IF(ActiveDatabase=Standby,Secondary!S794,Primary!S794)</f>
        <v>0</v>
      </c>
      <c r="T794" s="10">
        <f>IF(ActiveDatabase=Standby,Secondary!T794,Primary!T794)</f>
        <v>0</v>
      </c>
      <c r="U794" s="10">
        <f>IF(ActiveDatabase=Standby,Secondary!U794,Primary!U794)</f>
        <v>0</v>
      </c>
      <c r="V794" s="10">
        <f>IF(ActiveDatabase=Standby,Secondary!V794,Primary!V794)</f>
        <v>0</v>
      </c>
      <c r="W794" s="6">
        <f>IF(ActiveDatabase=Standby,Secondary!W794,Primary!W794)</f>
        <v>0</v>
      </c>
      <c r="X794" s="6">
        <f>IF(ActiveDatabase=Standby,Secondary!X794,Primary!X794)</f>
        <v>0</v>
      </c>
      <c r="Y794" s="12">
        <f>IF(ActiveDatabase=Standby,Secondary!Y794,Primary!Y1452)</f>
        <v>0</v>
      </c>
      <c r="Z794" s="12">
        <f>IF(ActiveDatabase=Standby,Secondary!Z794,Primary!Z1452)</f>
        <v>0</v>
      </c>
      <c r="AA794" s="7">
        <f>IF(ActiveDatabase=Standby,Secondary!AA794,Primary!AA1452)</f>
        <v>0</v>
      </c>
      <c r="AB794" s="12"/>
      <c r="AC794" s="6"/>
      <c r="AD794" s="6"/>
      <c r="AE794" s="7"/>
      <c r="AF794" s="7"/>
      <c r="AG794" s="7"/>
      <c r="AH794" s="7"/>
      <c r="AI794" s="7"/>
      <c r="AJ794" s="7"/>
      <c r="AK794" s="7"/>
      <c r="AL794" s="7"/>
      <c r="AM794" s="7"/>
      <c r="AN794" s="7"/>
      <c r="AO794" s="6"/>
      <c r="AP794" s="7"/>
      <c r="AQ794" s="7"/>
      <c r="AR794" s="6"/>
      <c r="AS794" s="7"/>
      <c r="AT794" s="7"/>
      <c r="AU794" s="7"/>
      <c r="AV794" s="7"/>
      <c r="AW794" s="7"/>
      <c r="AX794" s="7"/>
      <c r="AY794" s="7"/>
      <c r="AZ794" s="7"/>
      <c r="BA794" s="7"/>
      <c r="BB794" s="7"/>
      <c r="BC794" s="7"/>
      <c r="BD794" s="7"/>
      <c r="BE794" s="7"/>
      <c r="BF794" s="7"/>
      <c r="BG794" s="7"/>
    </row>
    <row r="795" customHeight="1" spans="1:59">
      <c r="A795" s="9" t="str">
        <f>IF(ActiveDatabase=Standby,Secondary!A795,Primary!A795)</f>
        <v>Wala 11</v>
      </c>
      <c r="B795" s="5" t="str">
        <f>IF(ActiveDatabase=Standby,Secondary!B795,Primary!B795)</f>
        <v>Wala 13</v>
      </c>
      <c r="C795" s="5" t="str">
        <f>IF(ActiveDatabase=Standby,Secondary!C795,Primary!C795)</f>
        <v>Wala 18</v>
      </c>
      <c r="D795" s="5" t="str">
        <f>IF(ActiveDatabase=Standby,Secondary!D795,Primary!D795)</f>
        <v>Lost and Found</v>
      </c>
      <c r="E795" s="6" t="str">
        <f>IF(ActiveDatabase=Standby,Secondary!E795,Primary!E795)</f>
        <v>LostFound</v>
      </c>
      <c r="F795" s="10">
        <f>IF(ActiveDatabase=Standby,Secondary!F795,Primary!F795)</f>
        <v>62.556055113</v>
      </c>
      <c r="G795" s="10">
        <f>IF(ActiveDatabase=Standby,Secondary!G795,Primary!G795)</f>
        <v>114.329512422999</v>
      </c>
      <c r="H795" s="10">
        <f>IF(ActiveDatabase=Standby,Secondary!H795,Primary!H795)</f>
        <v>251.558728612</v>
      </c>
      <c r="I795" s="13">
        <f>IF(ActiveDatabase=Standby,Secondary!I795,Primary!I795)</f>
        <v>0</v>
      </c>
      <c r="J795" s="13">
        <f>IF(ActiveDatabase=Standby,Secondary!J795,Primary!J795)</f>
        <v>0</v>
      </c>
      <c r="K795" s="13">
        <f>IF(ActiveDatabase=Standby,Secondary!K795,Primary!K795)</f>
        <v>0</v>
      </c>
      <c r="L795" s="13">
        <f>IF(ActiveDatabase=Standby,Secondary!L795,Primary!L795)</f>
        <v>0</v>
      </c>
      <c r="M795" s="7" t="b">
        <f>IF(ActiveDatabase=Standby,Secondary!M795,Primary!M795)</f>
        <v>1</v>
      </c>
      <c r="N795" s="10">
        <f>IF(ActiveDatabase=Standby,Secondary!N795,Primary!N795)</f>
        <v>0</v>
      </c>
      <c r="O795" s="10">
        <f>IF(ActiveDatabase=Standby,Secondary!O795,Primary!O795)</f>
        <v>0</v>
      </c>
      <c r="P795" s="10">
        <f>IF(ActiveDatabase=Standby,Secondary!P795,Primary!P795)</f>
        <v>0</v>
      </c>
      <c r="Q795" s="6">
        <f>IF(ActiveDatabase=Standby,Secondary!Q795,Primary!Q795)</f>
        <v>0</v>
      </c>
      <c r="R795" s="18">
        <f>IF(ActiveDatabase=Standby,Secondary!R795,Primary!R795)</f>
        <v>0</v>
      </c>
      <c r="S795" s="19">
        <f>IF(ActiveDatabase=Standby,Secondary!S795,Primary!S795)</f>
        <v>0</v>
      </c>
      <c r="T795" s="10">
        <f>IF(ActiveDatabase=Standby,Secondary!T795,Primary!T795)</f>
        <v>0</v>
      </c>
      <c r="U795" s="10">
        <f>IF(ActiveDatabase=Standby,Secondary!U795,Primary!U795)</f>
        <v>0</v>
      </c>
      <c r="V795" s="10">
        <f>IF(ActiveDatabase=Standby,Secondary!V795,Primary!V795)</f>
        <v>0</v>
      </c>
      <c r="W795" s="6">
        <f>IF(ActiveDatabase=Standby,Secondary!W795,Primary!W795)</f>
        <v>0</v>
      </c>
      <c r="X795" s="6">
        <f>IF(ActiveDatabase=Standby,Secondary!X795,Primary!X795)</f>
        <v>0</v>
      </c>
      <c r="Y795" s="12">
        <f>IF(ActiveDatabase=Standby,Secondary!Y795,Primary!Y1453)</f>
        <v>0</v>
      </c>
      <c r="Z795" s="12">
        <f>IF(ActiveDatabase=Standby,Secondary!Z795,Primary!Z1453)</f>
        <v>0</v>
      </c>
      <c r="AA795" s="7">
        <f>IF(ActiveDatabase=Standby,Secondary!AA795,Primary!AA1453)</f>
        <v>0</v>
      </c>
      <c r="AB795" s="12"/>
      <c r="AC795" s="6"/>
      <c r="AD795" s="6"/>
      <c r="AE795" s="7"/>
      <c r="AF795" s="7"/>
      <c r="AG795" s="7"/>
      <c r="AH795" s="7"/>
      <c r="AI795" s="7"/>
      <c r="AJ795" s="7"/>
      <c r="AK795" s="7"/>
      <c r="AL795" s="7"/>
      <c r="AM795" s="7"/>
      <c r="AN795" s="7"/>
      <c r="AO795" s="6"/>
      <c r="AP795" s="7"/>
      <c r="AQ795" s="7"/>
      <c r="AR795" s="6"/>
      <c r="AS795" s="7"/>
      <c r="AT795" s="7"/>
      <c r="AU795" s="7"/>
      <c r="AV795" s="7"/>
      <c r="AW795" s="7"/>
      <c r="AX795" s="7"/>
      <c r="AY795" s="7"/>
      <c r="AZ795" s="7"/>
      <c r="BA795" s="7"/>
      <c r="BB795" s="7"/>
      <c r="BC795" s="7"/>
      <c r="BD795" s="7"/>
      <c r="BE795" s="7"/>
      <c r="BF795" s="7"/>
      <c r="BG795" s="7"/>
    </row>
    <row r="796" customHeight="1" spans="1:59">
      <c r="A796" s="9" t="str">
        <f>IF(ActiveDatabase=Standby,Secondary!A796,Primary!A796)</f>
        <v>Wala</v>
      </c>
      <c r="B796" s="5" t="str">
        <f>IF(ActiveDatabase=Standby,Secondary!B796,Primary!B796)</f>
        <v>Wala 15</v>
      </c>
      <c r="C796" s="5">
        <f>IF(ActiveDatabase=Standby,Secondary!C796,Primary!C796)</f>
        <v>0</v>
      </c>
      <c r="D796" s="5" t="str">
        <f>IF(ActiveDatabase=Standby,Secondary!D796,Primary!D796)</f>
        <v>Settlements</v>
      </c>
      <c r="E796" s="6">
        <f>IF(ActiveDatabase=Standby,Secondary!E796,Primary!E796)</f>
        <v>0</v>
      </c>
      <c r="F796" s="10">
        <f>IF(ActiveDatabase=Standby,Secondary!F796,Primary!F796)</f>
        <v>0</v>
      </c>
      <c r="G796" s="10">
        <f>IF(ActiveDatabase=Standby,Secondary!G796,Primary!G796)</f>
        <v>0</v>
      </c>
      <c r="H796" s="10">
        <f>IF(ActiveDatabase=Standby,Secondary!H796,Primary!H796)</f>
        <v>0</v>
      </c>
      <c r="I796" s="13">
        <f>IF(ActiveDatabase=Standby,Secondary!I796,Primary!I796)</f>
        <v>0</v>
      </c>
      <c r="J796" s="13">
        <f>IF(ActiveDatabase=Standby,Secondary!J796,Primary!J796)</f>
        <v>0</v>
      </c>
      <c r="K796" s="13">
        <f>IF(ActiveDatabase=Standby,Secondary!K796,Primary!K796)</f>
        <v>0</v>
      </c>
      <c r="L796" s="13">
        <f>IF(ActiveDatabase=Standby,Secondary!L796,Primary!L796)</f>
        <v>0</v>
      </c>
      <c r="M796" s="7">
        <f>IF(ActiveDatabase=Standby,Secondary!M796,Primary!M796)</f>
        <v>0</v>
      </c>
      <c r="N796" s="10">
        <f>IF(ActiveDatabase=Standby,Secondary!N796,Primary!N796)</f>
        <v>0</v>
      </c>
      <c r="O796" s="10">
        <f>IF(ActiveDatabase=Standby,Secondary!O796,Primary!O796)</f>
        <v>0</v>
      </c>
      <c r="P796" s="10">
        <f>IF(ActiveDatabase=Standby,Secondary!P796,Primary!P796)</f>
        <v>0</v>
      </c>
      <c r="Q796" s="6">
        <f>IF(ActiveDatabase=Standby,Secondary!Q796,Primary!Q796)</f>
        <v>0</v>
      </c>
      <c r="R796" s="18">
        <f>IF(ActiveDatabase=Standby,Secondary!R796,Primary!R796)</f>
        <v>0</v>
      </c>
      <c r="S796" s="19">
        <f>IF(ActiveDatabase=Standby,Secondary!S796,Primary!S796)</f>
        <v>0</v>
      </c>
      <c r="T796" s="10">
        <f>IF(ActiveDatabase=Standby,Secondary!T796,Primary!T796)</f>
        <v>0</v>
      </c>
      <c r="U796" s="10">
        <f>IF(ActiveDatabase=Standby,Secondary!U796,Primary!U796)</f>
        <v>0</v>
      </c>
      <c r="V796" s="10">
        <f>IF(ActiveDatabase=Standby,Secondary!V796,Primary!V796)</f>
        <v>0</v>
      </c>
      <c r="W796" s="6">
        <f>IF(ActiveDatabase=Standby,Secondary!W796,Primary!W796)</f>
        <v>0</v>
      </c>
      <c r="X796" s="6">
        <f>IF(ActiveDatabase=Standby,Secondary!X796,Primary!X796)</f>
        <v>0</v>
      </c>
      <c r="Y796" s="12">
        <f>IF(ActiveDatabase=Standby,Secondary!Y796,Primary!Y1454)</f>
        <v>0</v>
      </c>
      <c r="Z796" s="12">
        <f>IF(ActiveDatabase=Standby,Secondary!Z796,Primary!Z1454)</f>
        <v>0</v>
      </c>
      <c r="AA796" s="7">
        <f>IF(ActiveDatabase=Standby,Secondary!AA796,Primary!AA1454)</f>
        <v>0</v>
      </c>
      <c r="AB796" s="12"/>
      <c r="AC796" s="6"/>
      <c r="AD796" s="6"/>
      <c r="AE796" s="7"/>
      <c r="AF796" s="7"/>
      <c r="AG796" s="7"/>
      <c r="AH796" s="7"/>
      <c r="AI796" s="7"/>
      <c r="AJ796" s="7"/>
      <c r="AK796" s="7"/>
      <c r="AL796" s="7"/>
      <c r="AM796" s="7"/>
      <c r="AN796" s="7"/>
      <c r="AO796" s="6"/>
      <c r="AP796" s="7"/>
      <c r="AQ796" s="7"/>
      <c r="AR796" s="6"/>
      <c r="AS796" s="7"/>
      <c r="AT796" s="7"/>
      <c r="AU796" s="7"/>
      <c r="AV796" s="7"/>
      <c r="AW796" s="7"/>
      <c r="AX796" s="7"/>
      <c r="AY796" s="7"/>
      <c r="AZ796" s="7"/>
      <c r="BA796" s="7"/>
      <c r="BB796" s="7"/>
      <c r="BC796" s="7"/>
      <c r="BD796" s="7"/>
      <c r="BE796" s="7"/>
      <c r="BF796" s="7"/>
      <c r="BG796" s="7"/>
    </row>
    <row r="797" customHeight="1" spans="1:59">
      <c r="A797" s="9" t="str">
        <f>IF(ActiveDatabase=Standby,Secondary!A797,Primary!A797)</f>
        <v>Wala 13</v>
      </c>
      <c r="B797" s="5" t="str">
        <f>IF(ActiveDatabase=Standby,Secondary!B797,Primary!B797)</f>
        <v>Wala 16</v>
      </c>
      <c r="C797" s="5" t="str">
        <f>IF(ActiveDatabase=Standby,Secondary!C797,Primary!C797)</f>
        <v>Wala 03</v>
      </c>
      <c r="D797" s="5" t="str">
        <f>IF(ActiveDatabase=Standby,Secondary!D797,Primary!D797)</f>
        <v>Wala Settlement</v>
      </c>
      <c r="E797" s="6" t="str">
        <f>IF(ActiveDatabase=Standby,Secondary!E797,Primary!E797)</f>
        <v>Settlement 3b</v>
      </c>
      <c r="F797" s="10">
        <f>IF(ActiveDatabase=Standby,Secondary!F797,Primary!F797)</f>
        <v>-282.215569006</v>
      </c>
      <c r="G797" s="10">
        <f>IF(ActiveDatabase=Standby,Secondary!G797,Primary!G797)</f>
        <v>24.874644376</v>
      </c>
      <c r="H797" s="10">
        <f>IF(ActiveDatabase=Standby,Secondary!H797,Primary!H797)</f>
        <v>5.802410767</v>
      </c>
      <c r="I797" s="13">
        <f>IF(ActiveDatabase=Standby,Secondary!I797,Primary!I797)</f>
        <v>0</v>
      </c>
      <c r="J797" s="13">
        <f>IF(ActiveDatabase=Standby,Secondary!J797,Primary!J797)</f>
        <v>0</v>
      </c>
      <c r="K797" s="13">
        <f>IF(ActiveDatabase=Standby,Secondary!K797,Primary!K797)</f>
        <v>0</v>
      </c>
      <c r="L797" s="13">
        <f>IF(ActiveDatabase=Standby,Secondary!L797,Primary!L797)</f>
        <v>0</v>
      </c>
      <c r="M797" s="7" t="b">
        <f>IF(ActiveDatabase=Standby,Secondary!M797,Primary!M797)</f>
        <v>0</v>
      </c>
      <c r="N797" s="10">
        <f>IF(ActiveDatabase=Standby,Secondary!N797,Primary!N797)</f>
        <v>0</v>
      </c>
      <c r="O797" s="10">
        <f>IF(ActiveDatabase=Standby,Secondary!O797,Primary!O797)</f>
        <v>0</v>
      </c>
      <c r="P797" s="10">
        <f>IF(ActiveDatabase=Standby,Secondary!P797,Primary!P797)</f>
        <v>0</v>
      </c>
      <c r="Q797" s="6">
        <f>IF(ActiveDatabase=Standby,Secondary!Q797,Primary!Q797)</f>
        <v>0</v>
      </c>
      <c r="R797" s="18">
        <f>IF(ActiveDatabase=Standby,Secondary!R797,Primary!R797)</f>
        <v>0</v>
      </c>
      <c r="S797" s="19">
        <f>IF(ActiveDatabase=Standby,Secondary!S797,Primary!S797)</f>
        <v>0</v>
      </c>
      <c r="T797" s="10">
        <f>IF(ActiveDatabase=Standby,Secondary!T797,Primary!T797)</f>
        <v>0</v>
      </c>
      <c r="U797" s="10">
        <f>IF(ActiveDatabase=Standby,Secondary!U797,Primary!U797)</f>
        <v>0</v>
      </c>
      <c r="V797" s="10">
        <f>IF(ActiveDatabase=Standby,Secondary!V797,Primary!V797)</f>
        <v>0</v>
      </c>
      <c r="W797" s="6">
        <f>IF(ActiveDatabase=Standby,Secondary!W797,Primary!W797)</f>
        <v>0</v>
      </c>
      <c r="X797" s="6">
        <f>IF(ActiveDatabase=Standby,Secondary!X797,Primary!X797)</f>
        <v>0</v>
      </c>
      <c r="Y797" s="12">
        <f>IF(ActiveDatabase=Standby,Secondary!Y797,Primary!Y1455)</f>
        <v>0</v>
      </c>
      <c r="Z797" s="12">
        <f>IF(ActiveDatabase=Standby,Secondary!Z797,Primary!Z1455)</f>
        <v>0</v>
      </c>
      <c r="AA797" s="7">
        <f>IF(ActiveDatabase=Standby,Secondary!AA797,Primary!AA1455)</f>
        <v>0</v>
      </c>
      <c r="AB797" s="12"/>
      <c r="AC797" s="6"/>
      <c r="AD797" s="6"/>
      <c r="AE797" s="7"/>
      <c r="AF797" s="7"/>
      <c r="AG797" s="7"/>
      <c r="AH797" s="7"/>
      <c r="AI797" s="7"/>
      <c r="AJ797" s="7"/>
      <c r="AK797" s="7"/>
      <c r="AL797" s="7"/>
      <c r="AM797" s="7"/>
      <c r="AN797" s="7"/>
      <c r="AO797" s="6"/>
      <c r="AP797" s="7"/>
      <c r="AQ797" s="7"/>
      <c r="AR797" s="6"/>
      <c r="AS797" s="7"/>
      <c r="AT797" s="7"/>
      <c r="AU797" s="7"/>
      <c r="AV797" s="7"/>
      <c r="AW797" s="7"/>
      <c r="AX797" s="7"/>
      <c r="AY797" s="7"/>
      <c r="AZ797" s="7"/>
      <c r="BA797" s="7"/>
      <c r="BB797" s="7"/>
      <c r="BC797" s="7"/>
      <c r="BD797" s="7"/>
      <c r="BE797" s="7"/>
      <c r="BF797" s="7"/>
      <c r="BG797" s="7"/>
    </row>
    <row r="798" customHeight="1" spans="1:59">
      <c r="A798" s="9" t="str">
        <f>IF(ActiveDatabase=Standby,Secondary!A798,Primary!A798)</f>
        <v>Wala</v>
      </c>
      <c r="B798" s="5" t="str">
        <f>IF(ActiveDatabase=Standby,Secondary!B798,Primary!B798)</f>
        <v>Wala 18</v>
      </c>
      <c r="C798" s="5">
        <f>IF(ActiveDatabase=Standby,Secondary!C798,Primary!C798)</f>
        <v>0</v>
      </c>
      <c r="D798" s="5" t="str">
        <f>IF(ActiveDatabase=Standby,Secondary!D798,Primary!D798)</f>
        <v>Caves</v>
      </c>
      <c r="E798" s="6">
        <f>IF(ActiveDatabase=Standby,Secondary!E798,Primary!E798)</f>
        <v>0</v>
      </c>
      <c r="F798" s="10">
        <f>IF(ActiveDatabase=Standby,Secondary!F798,Primary!F798)</f>
        <v>0</v>
      </c>
      <c r="G798" s="10">
        <f>IF(ActiveDatabase=Standby,Secondary!G798,Primary!G798)</f>
        <v>0</v>
      </c>
      <c r="H798" s="10">
        <f>IF(ActiveDatabase=Standby,Secondary!H798,Primary!H798)</f>
        <v>0</v>
      </c>
      <c r="I798" s="13">
        <f>IF(ActiveDatabase=Standby,Secondary!I798,Primary!I798)</f>
        <v>0</v>
      </c>
      <c r="J798" s="13">
        <f>IF(ActiveDatabase=Standby,Secondary!J798,Primary!J798)</f>
        <v>0</v>
      </c>
      <c r="K798" s="13">
        <f>IF(ActiveDatabase=Standby,Secondary!K798,Primary!K798)</f>
        <v>0</v>
      </c>
      <c r="L798" s="13">
        <f>IF(ActiveDatabase=Standby,Secondary!L798,Primary!L798)</f>
        <v>0</v>
      </c>
      <c r="M798" s="7">
        <f>IF(ActiveDatabase=Standby,Secondary!M798,Primary!M798)</f>
        <v>0</v>
      </c>
      <c r="N798" s="10">
        <f>IF(ActiveDatabase=Standby,Secondary!N798,Primary!N798)</f>
        <v>0</v>
      </c>
      <c r="O798" s="10">
        <f>IF(ActiveDatabase=Standby,Secondary!O798,Primary!O798)</f>
        <v>0</v>
      </c>
      <c r="P798" s="10">
        <f>IF(ActiveDatabase=Standby,Secondary!P798,Primary!P798)</f>
        <v>0</v>
      </c>
      <c r="Q798" s="6">
        <f>IF(ActiveDatabase=Standby,Secondary!Q798,Primary!Q798)</f>
        <v>0</v>
      </c>
      <c r="R798" s="18">
        <f>IF(ActiveDatabase=Standby,Secondary!R798,Primary!R798)</f>
        <v>0</v>
      </c>
      <c r="S798" s="19">
        <f>IF(ActiveDatabase=Standby,Secondary!S798,Primary!S798)</f>
        <v>0</v>
      </c>
      <c r="T798" s="10">
        <f>IF(ActiveDatabase=Standby,Secondary!T798,Primary!T798)</f>
        <v>0</v>
      </c>
      <c r="U798" s="10">
        <f>IF(ActiveDatabase=Standby,Secondary!U798,Primary!U798)</f>
        <v>0</v>
      </c>
      <c r="V798" s="10">
        <f>IF(ActiveDatabase=Standby,Secondary!V798,Primary!V798)</f>
        <v>0</v>
      </c>
      <c r="W798" s="6">
        <f>IF(ActiveDatabase=Standby,Secondary!W798,Primary!W798)</f>
        <v>0</v>
      </c>
      <c r="X798" s="6">
        <f>IF(ActiveDatabase=Standby,Secondary!X798,Primary!X798)</f>
        <v>0</v>
      </c>
      <c r="Y798" s="12">
        <f>IF(ActiveDatabase=Standby,Secondary!Y798,Primary!Y1456)</f>
        <v>0</v>
      </c>
      <c r="Z798" s="12">
        <f>IF(ActiveDatabase=Standby,Secondary!Z798,Primary!Z1456)</f>
        <v>0</v>
      </c>
      <c r="AA798" s="7">
        <f>IF(ActiveDatabase=Standby,Secondary!AA798,Primary!AA1456)</f>
        <v>0</v>
      </c>
      <c r="AB798" s="12"/>
      <c r="AC798" s="6"/>
      <c r="AD798" s="6"/>
      <c r="AE798" s="7"/>
      <c r="AF798" s="7"/>
      <c r="AG798" s="7"/>
      <c r="AH798" s="7"/>
      <c r="AI798" s="7"/>
      <c r="AJ798" s="7"/>
      <c r="AK798" s="7"/>
      <c r="AL798" s="7"/>
      <c r="AM798" s="7"/>
      <c r="AN798" s="7"/>
      <c r="AO798" s="6"/>
      <c r="AP798" s="7"/>
      <c r="AQ798" s="7"/>
      <c r="AR798" s="6"/>
      <c r="AS798" s="7"/>
      <c r="AT798" s="7"/>
      <c r="AU798" s="7"/>
      <c r="AV798" s="7"/>
      <c r="AW798" s="7"/>
      <c r="AX798" s="7"/>
      <c r="AY798" s="7"/>
      <c r="AZ798" s="7"/>
      <c r="BA798" s="7"/>
      <c r="BB798" s="7"/>
      <c r="BC798" s="7"/>
      <c r="BD798" s="7"/>
      <c r="BE798" s="7"/>
      <c r="BF798" s="7"/>
      <c r="BG798" s="7"/>
    </row>
    <row r="799" customHeight="1" spans="1:59">
      <c r="A799" s="9" t="str">
        <f>IF(ActiveDatabase=Standby,Secondary!A799,Primary!A799)</f>
        <v>Wala 30</v>
      </c>
      <c r="B799" s="5" t="str">
        <f>IF(ActiveDatabase=Standby,Secondary!B799,Primary!B799)</f>
        <v>Wala 35</v>
      </c>
      <c r="C799" s="5" t="str">
        <f>IF(ActiveDatabase=Standby,Secondary!C799,Primary!C799)</f>
        <v>Wala 14</v>
      </c>
      <c r="D799" s="5" t="str">
        <f>IF(ActiveDatabase=Standby,Secondary!D799,Primary!D799)</f>
        <v>Sand Cave 42S</v>
      </c>
      <c r="E799" s="6" t="str">
        <f>IF(ActiveDatabase=Standby,Secondary!E799,Primary!E799)</f>
        <v>SCave 42S</v>
      </c>
      <c r="F799" s="10">
        <f>IF(ActiveDatabase=Standby,Secondary!F799,Primary!F799)</f>
        <v>75.3781792279999</v>
      </c>
      <c r="G799" s="10">
        <f>IF(ActiveDatabase=Standby,Secondary!G799,Primary!G799)</f>
        <v>224.132840023</v>
      </c>
      <c r="H799" s="10">
        <f>IF(ActiveDatabase=Standby,Secondary!H799,Primary!H799)</f>
        <v>155.442797820999</v>
      </c>
      <c r="I799" s="13">
        <f>IF(ActiveDatabase=Standby,Secondary!I799,Primary!I799)</f>
        <v>0</v>
      </c>
      <c r="J799" s="13">
        <f>IF(ActiveDatabase=Standby,Secondary!J799,Primary!J799)</f>
        <v>0</v>
      </c>
      <c r="K799" s="13">
        <f>IF(ActiveDatabase=Standby,Secondary!K799,Primary!K799)</f>
        <v>0</v>
      </c>
      <c r="L799" s="13">
        <f>IF(ActiveDatabase=Standby,Secondary!L799,Primary!L799)</f>
        <v>0</v>
      </c>
      <c r="M799" s="7" t="b">
        <f>IF(ActiveDatabase=Standby,Secondary!M799,Primary!M799)</f>
        <v>0</v>
      </c>
      <c r="N799" s="10">
        <f>IF(ActiveDatabase=Standby,Secondary!N799,Primary!N799)</f>
        <v>0</v>
      </c>
      <c r="O799" s="10">
        <f>IF(ActiveDatabase=Standby,Secondary!O799,Primary!O799)</f>
        <v>0</v>
      </c>
      <c r="P799" s="10">
        <f>IF(ActiveDatabase=Standby,Secondary!P799,Primary!P799)</f>
        <v>0</v>
      </c>
      <c r="Q799" s="6">
        <f>IF(ActiveDatabase=Standby,Secondary!Q799,Primary!Q799)</f>
        <v>0</v>
      </c>
      <c r="R799" s="18">
        <f>IF(ActiveDatabase=Standby,Secondary!R799,Primary!R799)</f>
        <v>0</v>
      </c>
      <c r="S799" s="19">
        <f>IF(ActiveDatabase=Standby,Secondary!S799,Primary!S799)</f>
        <v>0</v>
      </c>
      <c r="T799" s="10">
        <f>IF(ActiveDatabase=Standby,Secondary!T799,Primary!T799)</f>
        <v>0</v>
      </c>
      <c r="U799" s="10">
        <f>IF(ActiveDatabase=Standby,Secondary!U799,Primary!U799)</f>
        <v>0</v>
      </c>
      <c r="V799" s="10">
        <f>IF(ActiveDatabase=Standby,Secondary!V799,Primary!V799)</f>
        <v>0</v>
      </c>
      <c r="W799" s="6">
        <f>IF(ActiveDatabase=Standby,Secondary!W799,Primary!W799)</f>
        <v>0</v>
      </c>
      <c r="X799" s="6">
        <f>IF(ActiveDatabase=Standby,Secondary!X799,Primary!X799)</f>
        <v>0</v>
      </c>
      <c r="Y799" s="12">
        <f>IF(ActiveDatabase=Standby,Secondary!Y799,Primary!Y1457)</f>
        <v>0</v>
      </c>
      <c r="Z799" s="12">
        <f>IF(ActiveDatabase=Standby,Secondary!Z799,Primary!Z1457)</f>
        <v>0</v>
      </c>
      <c r="AA799" s="7">
        <f>IF(ActiveDatabase=Standby,Secondary!AA799,Primary!AA1457)</f>
        <v>0</v>
      </c>
      <c r="AB799" s="12"/>
      <c r="AC799" s="6"/>
      <c r="AD799" s="6"/>
      <c r="AE799" s="7"/>
      <c r="AF799" s="7"/>
      <c r="AG799" s="7"/>
      <c r="AH799" s="7"/>
      <c r="AI799" s="7"/>
      <c r="AJ799" s="7"/>
      <c r="AK799" s="7"/>
      <c r="AL799" s="7"/>
      <c r="AM799" s="7"/>
      <c r="AN799" s="7"/>
      <c r="AO799" s="6"/>
      <c r="AP799" s="7"/>
      <c r="AQ799" s="7"/>
      <c r="AR799" s="6"/>
      <c r="AS799" s="7"/>
      <c r="AT799" s="7"/>
      <c r="AU799" s="7"/>
      <c r="AV799" s="7"/>
      <c r="AW799" s="7"/>
      <c r="AX799" s="7"/>
      <c r="AY799" s="7"/>
      <c r="AZ799" s="7"/>
      <c r="BA799" s="7"/>
      <c r="BB799" s="7"/>
      <c r="BC799" s="7"/>
      <c r="BD799" s="7"/>
      <c r="BE799" s="7"/>
      <c r="BF799" s="7"/>
      <c r="BG799" s="7"/>
    </row>
    <row r="800" customHeight="1" spans="1:59">
      <c r="A800" s="9" t="str">
        <f>IF(ActiveDatabase=Standby,Secondary!A800,Primary!A800)</f>
        <v>Wala 27</v>
      </c>
      <c r="B800" s="5" t="str">
        <f>IF(ActiveDatabase=Standby,Secondary!B800,Primary!B800)</f>
        <v>Wala 32</v>
      </c>
      <c r="C800" s="5" t="str">
        <f>IF(ActiveDatabase=Standby,Secondary!C800,Primary!C800)</f>
        <v>Wala 17</v>
      </c>
      <c r="D800" s="5" t="str">
        <f>IF(ActiveDatabase=Standby,Secondary!D800,Primary!D800)</f>
        <v>Sand Cave 41Q</v>
      </c>
      <c r="E800" s="6" t="str">
        <f>IF(ActiveDatabase=Standby,Secondary!E800,Primary!E800)</f>
        <v>SCave 41Q</v>
      </c>
      <c r="F800" s="10">
        <f>IF(ActiveDatabase=Standby,Secondary!F800,Primary!F800)</f>
        <v>109.525723191</v>
      </c>
      <c r="G800" s="10">
        <f>IF(ActiveDatabase=Standby,Secondary!G800,Primary!G800)</f>
        <v>242.627691511</v>
      </c>
      <c r="H800" s="10">
        <f>IF(ActiveDatabase=Standby,Secondary!H800,Primary!H800)</f>
        <v>99.072811524</v>
      </c>
      <c r="I800" s="13">
        <f>IF(ActiveDatabase=Standby,Secondary!I800,Primary!I800)</f>
        <v>0</v>
      </c>
      <c r="J800" s="13">
        <f>IF(ActiveDatabase=Standby,Secondary!J800,Primary!J800)</f>
        <v>0</v>
      </c>
      <c r="K800" s="13">
        <f>IF(ActiveDatabase=Standby,Secondary!K800,Primary!K800)</f>
        <v>0</v>
      </c>
      <c r="L800" s="13">
        <f>IF(ActiveDatabase=Standby,Secondary!L800,Primary!L800)</f>
        <v>0</v>
      </c>
      <c r="M800" s="7" t="b">
        <f>IF(ActiveDatabase=Standby,Secondary!M800,Primary!M800)</f>
        <v>0</v>
      </c>
      <c r="N800" s="10">
        <f>IF(ActiveDatabase=Standby,Secondary!N800,Primary!N800)</f>
        <v>0</v>
      </c>
      <c r="O800" s="10">
        <f>IF(ActiveDatabase=Standby,Secondary!O800,Primary!O800)</f>
        <v>0</v>
      </c>
      <c r="P800" s="10">
        <f>IF(ActiveDatabase=Standby,Secondary!P800,Primary!P800)</f>
        <v>0</v>
      </c>
      <c r="Q800" s="6">
        <f>IF(ActiveDatabase=Standby,Secondary!Q800,Primary!Q800)</f>
        <v>0</v>
      </c>
      <c r="R800" s="18">
        <f>IF(ActiveDatabase=Standby,Secondary!R800,Primary!R800)</f>
        <v>0</v>
      </c>
      <c r="S800" s="19">
        <f>IF(ActiveDatabase=Standby,Secondary!S800,Primary!S800)</f>
        <v>0</v>
      </c>
      <c r="T800" s="10">
        <f>IF(ActiveDatabase=Standby,Secondary!T800,Primary!T800)</f>
        <v>0</v>
      </c>
      <c r="U800" s="10">
        <f>IF(ActiveDatabase=Standby,Secondary!U800,Primary!U800)</f>
        <v>0</v>
      </c>
      <c r="V800" s="10">
        <f>IF(ActiveDatabase=Standby,Secondary!V800,Primary!V800)</f>
        <v>0</v>
      </c>
      <c r="W800" s="6">
        <f>IF(ActiveDatabase=Standby,Secondary!W800,Primary!W800)</f>
        <v>0</v>
      </c>
      <c r="X800" s="6">
        <f>IF(ActiveDatabase=Standby,Secondary!X800,Primary!X800)</f>
        <v>0</v>
      </c>
      <c r="Y800" s="12">
        <f>IF(ActiveDatabase=Standby,Secondary!Y800,Primary!Y1458)</f>
        <v>0</v>
      </c>
      <c r="Z800" s="12">
        <f>IF(ActiveDatabase=Standby,Secondary!Z800,Primary!Z1458)</f>
        <v>0</v>
      </c>
      <c r="AA800" s="7">
        <f>IF(ActiveDatabase=Standby,Secondary!AA800,Primary!AA1458)</f>
        <v>0</v>
      </c>
      <c r="AB800" s="12"/>
      <c r="AC800" s="6"/>
      <c r="AD800" s="6"/>
      <c r="AE800" s="7"/>
      <c r="AF800" s="7"/>
      <c r="AG800" s="7"/>
      <c r="AH800" s="7"/>
      <c r="AI800" s="7"/>
      <c r="AJ800" s="7"/>
      <c r="AK800" s="7"/>
      <c r="AL800" s="7"/>
      <c r="AM800" s="7"/>
      <c r="AN800" s="7"/>
      <c r="AO800" s="6"/>
      <c r="AP800" s="7"/>
      <c r="AQ800" s="7"/>
      <c r="AR800" s="6"/>
      <c r="AS800" s="7"/>
      <c r="AT800" s="7"/>
      <c r="AU800" s="7"/>
      <c r="AV800" s="7"/>
      <c r="AW800" s="7"/>
      <c r="AX800" s="7"/>
      <c r="AY800" s="7"/>
      <c r="AZ800" s="7"/>
      <c r="BA800" s="7"/>
      <c r="BB800" s="7"/>
      <c r="BC800" s="7"/>
      <c r="BD800" s="7"/>
      <c r="BE800" s="7"/>
      <c r="BF800" s="7"/>
      <c r="BG800" s="7"/>
    </row>
    <row r="801" customHeight="1" spans="1:59">
      <c r="A801" s="9" t="str">
        <f>IF(ActiveDatabase=Standby,Secondary!A801,Primary!A801)</f>
        <v>Wala 29</v>
      </c>
      <c r="B801" s="5" t="str">
        <f>IF(ActiveDatabase=Standby,Secondary!B801,Primary!B801)</f>
        <v>Wala 34</v>
      </c>
      <c r="C801" s="5" t="str">
        <f>IF(ActiveDatabase=Standby,Secondary!C801,Primary!C801)</f>
        <v>Wala 16</v>
      </c>
      <c r="D801" s="5" t="str">
        <f>IF(ActiveDatabase=Standby,Secondary!D801,Primary!D801)</f>
        <v>Sand Cave 42P</v>
      </c>
      <c r="E801" s="6" t="str">
        <f>IF(ActiveDatabase=Standby,Secondary!E801,Primary!E801)</f>
        <v>SCave 42P</v>
      </c>
      <c r="F801" s="10">
        <f>IF(ActiveDatabase=Standby,Secondary!F801,Primary!F801)</f>
        <v>99.3419145319998</v>
      </c>
      <c r="G801" s="10">
        <f>IF(ActiveDatabase=Standby,Secondary!G801,Primary!G801)</f>
        <v>259.995649440999</v>
      </c>
      <c r="H801" s="10">
        <f>IF(ActiveDatabase=Standby,Secondary!H801,Primary!H801)</f>
        <v>51.610348591</v>
      </c>
      <c r="I801" s="13">
        <f>IF(ActiveDatabase=Standby,Secondary!I801,Primary!I801)</f>
        <v>0</v>
      </c>
      <c r="J801" s="13">
        <f>IF(ActiveDatabase=Standby,Secondary!J801,Primary!J801)</f>
        <v>0</v>
      </c>
      <c r="K801" s="13">
        <f>IF(ActiveDatabase=Standby,Secondary!K801,Primary!K801)</f>
        <v>0</v>
      </c>
      <c r="L801" s="13">
        <f>IF(ActiveDatabase=Standby,Secondary!L801,Primary!L801)</f>
        <v>0</v>
      </c>
      <c r="M801" s="7" t="b">
        <f>IF(ActiveDatabase=Standby,Secondary!M801,Primary!M801)</f>
        <v>0</v>
      </c>
      <c r="N801" s="10">
        <f>IF(ActiveDatabase=Standby,Secondary!N801,Primary!N801)</f>
        <v>0</v>
      </c>
      <c r="O801" s="10">
        <f>IF(ActiveDatabase=Standby,Secondary!O801,Primary!O801)</f>
        <v>0</v>
      </c>
      <c r="P801" s="10">
        <f>IF(ActiveDatabase=Standby,Secondary!P801,Primary!P801)</f>
        <v>0</v>
      </c>
      <c r="Q801" s="6">
        <f>IF(ActiveDatabase=Standby,Secondary!Q801,Primary!Q801)</f>
        <v>0</v>
      </c>
      <c r="R801" s="18">
        <f>IF(ActiveDatabase=Standby,Secondary!R801,Primary!R801)</f>
        <v>0</v>
      </c>
      <c r="S801" s="19">
        <f>IF(ActiveDatabase=Standby,Secondary!S801,Primary!S801)</f>
        <v>0</v>
      </c>
      <c r="T801" s="10">
        <f>IF(ActiveDatabase=Standby,Secondary!T801,Primary!T801)</f>
        <v>0</v>
      </c>
      <c r="U801" s="10">
        <f>IF(ActiveDatabase=Standby,Secondary!U801,Primary!U801)</f>
        <v>0</v>
      </c>
      <c r="V801" s="10">
        <f>IF(ActiveDatabase=Standby,Secondary!V801,Primary!V801)</f>
        <v>0</v>
      </c>
      <c r="W801" s="6">
        <f>IF(ActiveDatabase=Standby,Secondary!W801,Primary!W801)</f>
        <v>0</v>
      </c>
      <c r="X801" s="6">
        <f>IF(ActiveDatabase=Standby,Secondary!X801,Primary!X801)</f>
        <v>0</v>
      </c>
      <c r="Y801" s="12">
        <f>IF(ActiveDatabase=Standby,Secondary!Y801,Primary!Y1459)</f>
        <v>0</v>
      </c>
      <c r="Z801" s="12">
        <f>IF(ActiveDatabase=Standby,Secondary!Z801,Primary!Z1459)</f>
        <v>0</v>
      </c>
      <c r="AA801" s="7">
        <f>IF(ActiveDatabase=Standby,Secondary!AA801,Primary!AA1459)</f>
        <v>0</v>
      </c>
      <c r="AB801" s="12"/>
      <c r="AC801" s="6"/>
      <c r="AD801" s="6"/>
      <c r="AE801" s="7"/>
      <c r="AF801" s="7"/>
      <c r="AG801" s="7"/>
      <c r="AH801" s="7"/>
      <c r="AI801" s="7"/>
      <c r="AJ801" s="7"/>
      <c r="AK801" s="7"/>
      <c r="AL801" s="7"/>
      <c r="AM801" s="7"/>
      <c r="AN801" s="7"/>
      <c r="AO801" s="6"/>
      <c r="AP801" s="7"/>
      <c r="AQ801" s="7"/>
      <c r="AR801" s="6"/>
      <c r="AS801" s="7"/>
      <c r="AT801" s="7"/>
      <c r="AU801" s="7"/>
      <c r="AV801" s="7"/>
      <c r="AW801" s="7"/>
      <c r="AX801" s="7"/>
      <c r="AY801" s="7"/>
      <c r="AZ801" s="7"/>
      <c r="BA801" s="7"/>
      <c r="BB801" s="7"/>
      <c r="BC801" s="7"/>
      <c r="BD801" s="7"/>
      <c r="BE801" s="7"/>
      <c r="BF801" s="7"/>
      <c r="BG801" s="7"/>
    </row>
    <row r="802" customHeight="1" spans="1:59">
      <c r="A802" s="9" t="str">
        <f>IF(ActiveDatabase=Standby,Secondary!A802,Primary!A802)</f>
        <v>Wala 26</v>
      </c>
      <c r="B802" s="5" t="str">
        <f>IF(ActiveDatabase=Standby,Secondary!B802,Primary!B802)</f>
        <v>Wala 31</v>
      </c>
      <c r="C802" s="5" t="str">
        <f>IF(ActiveDatabase=Standby,Secondary!C802,Primary!C802)</f>
        <v>Wala 19</v>
      </c>
      <c r="D802" s="5" t="str">
        <f>IF(ActiveDatabase=Standby,Secondary!D802,Primary!D802)</f>
        <v>Sand Cave 37L</v>
      </c>
      <c r="E802" s="6" t="str">
        <f>IF(ActiveDatabase=Standby,Secondary!E802,Primary!E802)</f>
        <v>SCave 37L</v>
      </c>
      <c r="F802" s="10">
        <f>IF(ActiveDatabase=Standby,Secondary!F802,Primary!F802)</f>
        <v>208.809538657</v>
      </c>
      <c r="G802" s="10">
        <f>IF(ActiveDatabase=Standby,Secondary!G802,Primary!G802)</f>
        <v>185.675666514999</v>
      </c>
      <c r="H802" s="10">
        <f>IF(ActiveDatabase=Standby,Secondary!H802,Primary!H802)</f>
        <v>-47.3710333889999</v>
      </c>
      <c r="I802" s="13">
        <f>IF(ActiveDatabase=Standby,Secondary!I802,Primary!I802)</f>
        <v>0</v>
      </c>
      <c r="J802" s="13">
        <f>IF(ActiveDatabase=Standby,Secondary!J802,Primary!J802)</f>
        <v>0</v>
      </c>
      <c r="K802" s="13">
        <f>IF(ActiveDatabase=Standby,Secondary!K802,Primary!K802)</f>
        <v>0</v>
      </c>
      <c r="L802" s="13">
        <f>IF(ActiveDatabase=Standby,Secondary!L802,Primary!L802)</f>
        <v>0</v>
      </c>
      <c r="M802" s="7" t="b">
        <f>IF(ActiveDatabase=Standby,Secondary!M802,Primary!M802)</f>
        <v>0</v>
      </c>
      <c r="N802" s="10">
        <f>IF(ActiveDatabase=Standby,Secondary!N802,Primary!N802)</f>
        <v>0</v>
      </c>
      <c r="O802" s="10">
        <f>IF(ActiveDatabase=Standby,Secondary!O802,Primary!O802)</f>
        <v>0</v>
      </c>
      <c r="P802" s="10">
        <f>IF(ActiveDatabase=Standby,Secondary!P802,Primary!P802)</f>
        <v>0</v>
      </c>
      <c r="Q802" s="6">
        <f>IF(ActiveDatabase=Standby,Secondary!Q802,Primary!Q802)</f>
        <v>0</v>
      </c>
      <c r="R802" s="18">
        <f>IF(ActiveDatabase=Standby,Secondary!R802,Primary!R802)</f>
        <v>0</v>
      </c>
      <c r="S802" s="19">
        <f>IF(ActiveDatabase=Standby,Secondary!S802,Primary!S802)</f>
        <v>0</v>
      </c>
      <c r="T802" s="10">
        <f>IF(ActiveDatabase=Standby,Secondary!T802,Primary!T802)</f>
        <v>0</v>
      </c>
      <c r="U802" s="10">
        <f>IF(ActiveDatabase=Standby,Secondary!U802,Primary!U802)</f>
        <v>0</v>
      </c>
      <c r="V802" s="10">
        <f>IF(ActiveDatabase=Standby,Secondary!V802,Primary!V802)</f>
        <v>0</v>
      </c>
      <c r="W802" s="6">
        <f>IF(ActiveDatabase=Standby,Secondary!W802,Primary!W802)</f>
        <v>0</v>
      </c>
      <c r="X802" s="6">
        <f>IF(ActiveDatabase=Standby,Secondary!X802,Primary!X802)</f>
        <v>0</v>
      </c>
      <c r="Y802" s="12">
        <f>IF(ActiveDatabase=Standby,Secondary!Y802,Primary!Y1460)</f>
        <v>0</v>
      </c>
      <c r="Z802" s="12">
        <f>IF(ActiveDatabase=Standby,Secondary!Z802,Primary!Z1460)</f>
        <v>0</v>
      </c>
      <c r="AA802" s="7">
        <f>IF(ActiveDatabase=Standby,Secondary!AA802,Primary!AA1460)</f>
        <v>0</v>
      </c>
      <c r="AB802" s="12"/>
      <c r="AC802" s="6"/>
      <c r="AD802" s="6"/>
      <c r="AE802" s="7"/>
      <c r="AF802" s="7"/>
      <c r="AG802" s="7"/>
      <c r="AH802" s="7"/>
      <c r="AI802" s="7"/>
      <c r="AJ802" s="7"/>
      <c r="AK802" s="7"/>
      <c r="AL802" s="7"/>
      <c r="AM802" s="7"/>
      <c r="AN802" s="7"/>
      <c r="AO802" s="6"/>
      <c r="AP802" s="7"/>
      <c r="AQ802" s="7"/>
      <c r="AR802" s="6"/>
      <c r="AS802" s="7"/>
      <c r="AT802" s="7"/>
      <c r="AU802" s="7"/>
      <c r="AV802" s="7"/>
      <c r="AW802" s="7"/>
      <c r="AX802" s="7"/>
      <c r="AY802" s="7"/>
      <c r="AZ802" s="7"/>
      <c r="BA802" s="7"/>
      <c r="BB802" s="7"/>
      <c r="BC802" s="7"/>
      <c r="BD802" s="7"/>
      <c r="BE802" s="7"/>
      <c r="BF802" s="7"/>
      <c r="BG802" s="7"/>
    </row>
    <row r="803" customHeight="1" spans="1:59">
      <c r="A803" s="9" t="str">
        <f>IF(ActiveDatabase=Standby,Secondary!A803,Primary!A803)</f>
        <v>Wala 31</v>
      </c>
      <c r="B803" s="5" t="str">
        <f>IF(ActiveDatabase=Standby,Secondary!B803,Primary!B803)</f>
        <v>Wala 36</v>
      </c>
      <c r="C803" s="5" t="str">
        <f>IF(ActiveDatabase=Standby,Secondary!C803,Primary!C803)</f>
        <v>Wala 13</v>
      </c>
      <c r="D803" s="5" t="str">
        <f>IF(ActiveDatabase=Standby,Secondary!D803,Primary!D803)</f>
        <v>Sand Cave 43K</v>
      </c>
      <c r="E803" s="6" t="str">
        <f>IF(ActiveDatabase=Standby,Secondary!E803,Primary!E803)</f>
        <v>SCave 43K</v>
      </c>
      <c r="F803" s="10">
        <f>IF(ActiveDatabase=Standby,Secondary!F803,Primary!F803)</f>
        <v>63.7878897149999</v>
      </c>
      <c r="G803" s="10">
        <f>IF(ActiveDatabase=Standby,Secondary!G803,Primary!G803)</f>
        <v>251.641255278</v>
      </c>
      <c r="H803" s="10">
        <f>IF(ActiveDatabase=Standby,Secondary!H803,Primary!H803)</f>
        <v>-113.115833787</v>
      </c>
      <c r="I803" s="13">
        <f>IF(ActiveDatabase=Standby,Secondary!I803,Primary!I803)</f>
        <v>0</v>
      </c>
      <c r="J803" s="13">
        <f>IF(ActiveDatabase=Standby,Secondary!J803,Primary!J803)</f>
        <v>0</v>
      </c>
      <c r="K803" s="13">
        <f>IF(ActiveDatabase=Standby,Secondary!K803,Primary!K803)</f>
        <v>0</v>
      </c>
      <c r="L803" s="13">
        <f>IF(ActiveDatabase=Standby,Secondary!L803,Primary!L803)</f>
        <v>0</v>
      </c>
      <c r="M803" s="7" t="b">
        <f>IF(ActiveDatabase=Standby,Secondary!M803,Primary!M803)</f>
        <v>0</v>
      </c>
      <c r="N803" s="10">
        <f>IF(ActiveDatabase=Standby,Secondary!N803,Primary!N803)</f>
        <v>0</v>
      </c>
      <c r="O803" s="10">
        <f>IF(ActiveDatabase=Standby,Secondary!O803,Primary!O803)</f>
        <v>0</v>
      </c>
      <c r="P803" s="10">
        <f>IF(ActiveDatabase=Standby,Secondary!P803,Primary!P803)</f>
        <v>0</v>
      </c>
      <c r="Q803" s="6">
        <f>IF(ActiveDatabase=Standby,Secondary!Q803,Primary!Q803)</f>
        <v>0</v>
      </c>
      <c r="R803" s="18">
        <f>IF(ActiveDatabase=Standby,Secondary!R803,Primary!R803)</f>
        <v>0</v>
      </c>
      <c r="S803" s="19">
        <f>IF(ActiveDatabase=Standby,Secondary!S803,Primary!S803)</f>
        <v>0</v>
      </c>
      <c r="T803" s="10">
        <f>IF(ActiveDatabase=Standby,Secondary!T803,Primary!T803)</f>
        <v>0</v>
      </c>
      <c r="U803" s="10">
        <f>IF(ActiveDatabase=Standby,Secondary!U803,Primary!U803)</f>
        <v>0</v>
      </c>
      <c r="V803" s="10">
        <f>IF(ActiveDatabase=Standby,Secondary!V803,Primary!V803)</f>
        <v>0</v>
      </c>
      <c r="W803" s="6">
        <f>IF(ActiveDatabase=Standby,Secondary!W803,Primary!W803)</f>
        <v>0</v>
      </c>
      <c r="X803" s="6">
        <f>IF(ActiveDatabase=Standby,Secondary!X803,Primary!X803)</f>
        <v>0</v>
      </c>
      <c r="Y803" s="12">
        <f>IF(ActiveDatabase=Standby,Secondary!Y803,Primary!Y1461)</f>
        <v>0</v>
      </c>
      <c r="Z803" s="12">
        <f>IF(ActiveDatabase=Standby,Secondary!Z803,Primary!Z1461)</f>
        <v>0</v>
      </c>
      <c r="AA803" s="7">
        <f>IF(ActiveDatabase=Standby,Secondary!AA803,Primary!AA1461)</f>
        <v>0</v>
      </c>
      <c r="AB803" s="12"/>
      <c r="AC803" s="6"/>
      <c r="AD803" s="6"/>
      <c r="AE803" s="7"/>
      <c r="AF803" s="7"/>
      <c r="AG803" s="7"/>
      <c r="AH803" s="7"/>
      <c r="AI803" s="7"/>
      <c r="AJ803" s="7"/>
      <c r="AK803" s="7"/>
      <c r="AL803" s="7"/>
      <c r="AM803" s="7"/>
      <c r="AN803" s="7"/>
      <c r="AO803" s="6"/>
      <c r="AP803" s="7"/>
      <c r="AQ803" s="7"/>
      <c r="AR803" s="6"/>
      <c r="AS803" s="7"/>
      <c r="AT803" s="7"/>
      <c r="AU803" s="7"/>
      <c r="AV803" s="7"/>
      <c r="AW803" s="7"/>
      <c r="AX803" s="7"/>
      <c r="AY803" s="7"/>
      <c r="AZ803" s="7"/>
      <c r="BA803" s="7"/>
      <c r="BB803" s="7"/>
      <c r="BC803" s="7"/>
      <c r="BD803" s="7"/>
      <c r="BE803" s="7"/>
      <c r="BF803" s="7"/>
      <c r="BG803" s="7"/>
    </row>
    <row r="804" customHeight="1" spans="1:59">
      <c r="A804" s="9" t="str">
        <f>IF(ActiveDatabase=Standby,Secondary!A804,Primary!A804)</f>
        <v>Wala 32</v>
      </c>
      <c r="B804" s="5" t="str">
        <f>IF(ActiveDatabase=Standby,Secondary!B804,Primary!B804)</f>
        <v>Wala 37</v>
      </c>
      <c r="C804" s="5" t="str">
        <f>IF(ActiveDatabase=Standby,Secondary!C804,Primary!C804)</f>
        <v>Wala 09</v>
      </c>
      <c r="D804" s="5" t="str">
        <f>IF(ActiveDatabase=Standby,Secondary!D804,Primary!D804)</f>
        <v>Sand Cave 48L</v>
      </c>
      <c r="E804" s="6" t="str">
        <f>IF(ActiveDatabase=Standby,Secondary!E804,Primary!E804)</f>
        <v>SCave 48L</v>
      </c>
      <c r="F804" s="10">
        <f>IF(ActiveDatabase=Standby,Secondary!F804,Primary!F804)</f>
        <v>-61.961991905</v>
      </c>
      <c r="G804" s="10">
        <f>IF(ActiveDatabase=Standby,Secondary!G804,Primary!G804)</f>
        <v>273.111300006999</v>
      </c>
      <c r="H804" s="10">
        <f>IF(ActiveDatabase=Standby,Secondary!H804,Primary!H804)</f>
        <v>-41.8759401369999</v>
      </c>
      <c r="I804" s="13">
        <f>IF(ActiveDatabase=Standby,Secondary!I804,Primary!I804)</f>
        <v>0</v>
      </c>
      <c r="J804" s="13">
        <f>IF(ActiveDatabase=Standby,Secondary!J804,Primary!J804)</f>
        <v>0</v>
      </c>
      <c r="K804" s="13">
        <f>IF(ActiveDatabase=Standby,Secondary!K804,Primary!K804)</f>
        <v>0</v>
      </c>
      <c r="L804" s="13">
        <f>IF(ActiveDatabase=Standby,Secondary!L804,Primary!L804)</f>
        <v>0</v>
      </c>
      <c r="M804" s="7" t="b">
        <f>IF(ActiveDatabase=Standby,Secondary!M804,Primary!M804)</f>
        <v>0</v>
      </c>
      <c r="N804" s="10">
        <f>IF(ActiveDatabase=Standby,Secondary!N804,Primary!N804)</f>
        <v>0</v>
      </c>
      <c r="O804" s="10">
        <f>IF(ActiveDatabase=Standby,Secondary!O804,Primary!O804)</f>
        <v>0</v>
      </c>
      <c r="P804" s="10">
        <f>IF(ActiveDatabase=Standby,Secondary!P804,Primary!P804)</f>
        <v>0</v>
      </c>
      <c r="Q804" s="6">
        <f>IF(ActiveDatabase=Standby,Secondary!Q804,Primary!Q804)</f>
        <v>0</v>
      </c>
      <c r="R804" s="18">
        <f>IF(ActiveDatabase=Standby,Secondary!R804,Primary!R804)</f>
        <v>0</v>
      </c>
      <c r="S804" s="19">
        <f>IF(ActiveDatabase=Standby,Secondary!S804,Primary!S804)</f>
        <v>0</v>
      </c>
      <c r="T804" s="10">
        <f>IF(ActiveDatabase=Standby,Secondary!T804,Primary!T804)</f>
        <v>0</v>
      </c>
      <c r="U804" s="10">
        <f>IF(ActiveDatabase=Standby,Secondary!U804,Primary!U804)</f>
        <v>0</v>
      </c>
      <c r="V804" s="10">
        <f>IF(ActiveDatabase=Standby,Secondary!V804,Primary!V804)</f>
        <v>0</v>
      </c>
      <c r="W804" s="6">
        <f>IF(ActiveDatabase=Standby,Secondary!W804,Primary!W804)</f>
        <v>0</v>
      </c>
      <c r="X804" s="6">
        <f>IF(ActiveDatabase=Standby,Secondary!X804,Primary!X804)</f>
        <v>0</v>
      </c>
      <c r="Y804" s="12">
        <f>IF(ActiveDatabase=Standby,Secondary!Y804,Primary!Y1462)</f>
        <v>0</v>
      </c>
      <c r="Z804" s="12">
        <f>IF(ActiveDatabase=Standby,Secondary!Z804,Primary!Z1462)</f>
        <v>0</v>
      </c>
      <c r="AA804" s="7">
        <f>IF(ActiveDatabase=Standby,Secondary!AA804,Primary!AA1462)</f>
        <v>0</v>
      </c>
      <c r="AB804" s="12"/>
      <c r="AC804" s="6"/>
      <c r="AD804" s="6"/>
      <c r="AE804" s="7"/>
      <c r="AF804" s="7"/>
      <c r="AG804" s="7"/>
      <c r="AH804" s="7"/>
      <c r="AI804" s="7"/>
      <c r="AJ804" s="7"/>
      <c r="AK804" s="7"/>
      <c r="AL804" s="7"/>
      <c r="AM804" s="7"/>
      <c r="AN804" s="7"/>
      <c r="AO804" s="6"/>
      <c r="AP804" s="7"/>
      <c r="AQ804" s="7"/>
      <c r="AR804" s="6"/>
      <c r="AS804" s="7"/>
      <c r="AT804" s="7"/>
      <c r="AU804" s="7"/>
      <c r="AV804" s="7"/>
      <c r="AW804" s="7"/>
      <c r="AX804" s="7"/>
      <c r="AY804" s="7"/>
      <c r="AZ804" s="7"/>
      <c r="BA804" s="7"/>
      <c r="BB804" s="7"/>
      <c r="BC804" s="7"/>
      <c r="BD804" s="7"/>
      <c r="BE804" s="7"/>
      <c r="BF804" s="7"/>
      <c r="BG804" s="7"/>
    </row>
    <row r="805" customHeight="1" spans="1:59">
      <c r="A805" s="9" t="str">
        <f>IF(ActiveDatabase=Standby,Secondary!A805,Primary!A805)</f>
        <v>Wala 33</v>
      </c>
      <c r="B805" s="5" t="str">
        <f>IF(ActiveDatabase=Standby,Secondary!B805,Primary!B805)</f>
        <v>Wala 38</v>
      </c>
      <c r="C805" s="5" t="str">
        <f>IF(ActiveDatabase=Standby,Secondary!C805,Primary!C805)</f>
        <v>Wala 07</v>
      </c>
      <c r="D805" s="5" t="str">
        <f>IF(ActiveDatabase=Standby,Secondary!D805,Primary!D805)</f>
        <v>Sand Cave 54K</v>
      </c>
      <c r="E805" s="6" t="str">
        <f>IF(ActiveDatabase=Standby,Secondary!E805,Primary!E805)</f>
        <v>SCave 54K</v>
      </c>
      <c r="F805" s="10">
        <f>IF(ActiveDatabase=Standby,Secondary!F805,Primary!F805)</f>
        <v>-193.863458707</v>
      </c>
      <c r="G805" s="10">
        <f>IF(ActiveDatabase=Standby,Secondary!G805,Primary!G805)</f>
        <v>171.549633154999</v>
      </c>
      <c r="H805" s="10">
        <f>IF(ActiveDatabase=Standby,Secondary!H805,Primary!H805)</f>
        <v>-114.353478816</v>
      </c>
      <c r="I805" s="13">
        <f>IF(ActiveDatabase=Standby,Secondary!I805,Primary!I805)</f>
        <v>0</v>
      </c>
      <c r="J805" s="13">
        <f>IF(ActiveDatabase=Standby,Secondary!J805,Primary!J805)</f>
        <v>0</v>
      </c>
      <c r="K805" s="13">
        <f>IF(ActiveDatabase=Standby,Secondary!K805,Primary!K805)</f>
        <v>0</v>
      </c>
      <c r="L805" s="13">
        <f>IF(ActiveDatabase=Standby,Secondary!L805,Primary!L805)</f>
        <v>0</v>
      </c>
      <c r="M805" s="7" t="b">
        <f>IF(ActiveDatabase=Standby,Secondary!M805,Primary!M805)</f>
        <v>0</v>
      </c>
      <c r="N805" s="10">
        <f>IF(ActiveDatabase=Standby,Secondary!N805,Primary!N805)</f>
        <v>0</v>
      </c>
      <c r="O805" s="10">
        <f>IF(ActiveDatabase=Standby,Secondary!O805,Primary!O805)</f>
        <v>0</v>
      </c>
      <c r="P805" s="10">
        <f>IF(ActiveDatabase=Standby,Secondary!P805,Primary!P805)</f>
        <v>0</v>
      </c>
      <c r="Q805" s="6">
        <f>IF(ActiveDatabase=Standby,Secondary!Q805,Primary!Q805)</f>
        <v>0</v>
      </c>
      <c r="R805" s="18">
        <f>IF(ActiveDatabase=Standby,Secondary!R805,Primary!R805)</f>
        <v>0</v>
      </c>
      <c r="S805" s="19">
        <f>IF(ActiveDatabase=Standby,Secondary!S805,Primary!S805)</f>
        <v>0</v>
      </c>
      <c r="T805" s="10">
        <f>IF(ActiveDatabase=Standby,Secondary!T805,Primary!T805)</f>
        <v>0</v>
      </c>
      <c r="U805" s="10">
        <f>IF(ActiveDatabase=Standby,Secondary!U805,Primary!U805)</f>
        <v>0</v>
      </c>
      <c r="V805" s="10">
        <f>IF(ActiveDatabase=Standby,Secondary!V805,Primary!V805)</f>
        <v>0</v>
      </c>
      <c r="W805" s="6">
        <f>IF(ActiveDatabase=Standby,Secondary!W805,Primary!W805)</f>
        <v>0</v>
      </c>
      <c r="X805" s="6">
        <f>IF(ActiveDatabase=Standby,Secondary!X805,Primary!X805)</f>
        <v>0</v>
      </c>
      <c r="Y805" s="12">
        <f>IF(ActiveDatabase=Standby,Secondary!Y805,Primary!Y1463)</f>
        <v>0</v>
      </c>
      <c r="Z805" s="12">
        <f>IF(ActiveDatabase=Standby,Secondary!Z805,Primary!Z1463)</f>
        <v>0</v>
      </c>
      <c r="AA805" s="7">
        <f>IF(ActiveDatabase=Standby,Secondary!AA805,Primary!AA1463)</f>
        <v>0</v>
      </c>
      <c r="AB805" s="12"/>
      <c r="AC805" s="6"/>
      <c r="AD805" s="6"/>
      <c r="AE805" s="7"/>
      <c r="AF805" s="7"/>
      <c r="AG805" s="7"/>
      <c r="AH805" s="7"/>
      <c r="AI805" s="7"/>
      <c r="AJ805" s="7"/>
      <c r="AK805" s="7"/>
      <c r="AL805" s="7"/>
      <c r="AM805" s="7"/>
      <c r="AN805" s="7"/>
      <c r="AO805" s="6"/>
      <c r="AP805" s="7"/>
      <c r="AQ805" s="7"/>
      <c r="AR805" s="6"/>
      <c r="AS805" s="7"/>
      <c r="AT805" s="7"/>
      <c r="AU805" s="7"/>
      <c r="AV805" s="7"/>
      <c r="AW805" s="7"/>
      <c r="AX805" s="7"/>
      <c r="AY805" s="7"/>
      <c r="AZ805" s="7"/>
      <c r="BA805" s="7"/>
      <c r="BB805" s="7"/>
      <c r="BC805" s="7"/>
      <c r="BD805" s="7"/>
      <c r="BE805" s="7"/>
      <c r="BF805" s="7"/>
      <c r="BG805" s="7"/>
    </row>
    <row r="806" customHeight="1" spans="1:59">
      <c r="A806" s="9" t="str">
        <f>IF(ActiveDatabase=Standby,Secondary!A806,Primary!A806)</f>
        <v>Wala 15</v>
      </c>
      <c r="B806" s="5" t="str">
        <f>IF(ActiveDatabase=Standby,Secondary!B806,Primary!B806)</f>
        <v>Wala 20</v>
      </c>
      <c r="C806" s="5" t="str">
        <f>IF(ActiveDatabase=Standby,Secondary!C806,Primary!C806)</f>
        <v>Wala 39</v>
      </c>
      <c r="D806" s="5" t="str">
        <f>IF(ActiveDatabase=Standby,Secondary!D806,Primary!D806)</f>
        <v>Sand Cave 02J</v>
      </c>
      <c r="E806" s="6" t="str">
        <f>IF(ActiveDatabase=Standby,Secondary!E806,Primary!E806)</f>
        <v>SCave 02J</v>
      </c>
      <c r="F806" s="10">
        <f>IF(ActiveDatabase=Standby,Secondary!F806,Primary!F806)</f>
        <v>-243.927328767</v>
      </c>
      <c r="G806" s="10">
        <f>IF(ActiveDatabase=Standby,Secondary!G806,Primary!G806)</f>
        <v>-39.222250328</v>
      </c>
      <c r="H806" s="10">
        <f>IF(ActiveDatabase=Standby,Secondary!H806,Primary!H806)</f>
        <v>-138.548881571</v>
      </c>
      <c r="I806" s="13">
        <f>IF(ActiveDatabase=Standby,Secondary!I806,Primary!I806)</f>
        <v>0</v>
      </c>
      <c r="J806" s="13">
        <f>IF(ActiveDatabase=Standby,Secondary!J806,Primary!J806)</f>
        <v>0</v>
      </c>
      <c r="K806" s="13">
        <f>IF(ActiveDatabase=Standby,Secondary!K806,Primary!K806)</f>
        <v>0</v>
      </c>
      <c r="L806" s="13">
        <f>IF(ActiveDatabase=Standby,Secondary!L806,Primary!L806)</f>
        <v>0</v>
      </c>
      <c r="M806" s="7" t="b">
        <f>IF(ActiveDatabase=Standby,Secondary!M806,Primary!M806)</f>
        <v>0</v>
      </c>
      <c r="N806" s="10">
        <f>IF(ActiveDatabase=Standby,Secondary!N806,Primary!N806)</f>
        <v>0</v>
      </c>
      <c r="O806" s="10">
        <f>IF(ActiveDatabase=Standby,Secondary!O806,Primary!O806)</f>
        <v>0</v>
      </c>
      <c r="P806" s="10">
        <f>IF(ActiveDatabase=Standby,Secondary!P806,Primary!P806)</f>
        <v>0</v>
      </c>
      <c r="Q806" s="6">
        <f>IF(ActiveDatabase=Standby,Secondary!Q806,Primary!Q806)</f>
        <v>0</v>
      </c>
      <c r="R806" s="18">
        <f>IF(ActiveDatabase=Standby,Secondary!R806,Primary!R806)</f>
        <v>0</v>
      </c>
      <c r="S806" s="19">
        <f>IF(ActiveDatabase=Standby,Secondary!S806,Primary!S806)</f>
        <v>0</v>
      </c>
      <c r="T806" s="10">
        <f>IF(ActiveDatabase=Standby,Secondary!T806,Primary!T806)</f>
        <v>0</v>
      </c>
      <c r="U806" s="10">
        <f>IF(ActiveDatabase=Standby,Secondary!U806,Primary!U806)</f>
        <v>0</v>
      </c>
      <c r="V806" s="10">
        <f>IF(ActiveDatabase=Standby,Secondary!V806,Primary!V806)</f>
        <v>0</v>
      </c>
      <c r="W806" s="6">
        <f>IF(ActiveDatabase=Standby,Secondary!W806,Primary!W806)</f>
        <v>0</v>
      </c>
      <c r="X806" s="6">
        <f>IF(ActiveDatabase=Standby,Secondary!X806,Primary!X806)</f>
        <v>0</v>
      </c>
      <c r="Y806" s="12">
        <f>IF(ActiveDatabase=Standby,Secondary!Y806,Primary!Y1464)</f>
        <v>0</v>
      </c>
      <c r="Z806" s="12">
        <f>IF(ActiveDatabase=Standby,Secondary!Z806,Primary!Z1464)</f>
        <v>0</v>
      </c>
      <c r="AA806" s="7">
        <f>IF(ActiveDatabase=Standby,Secondary!AA806,Primary!AA1464)</f>
        <v>0</v>
      </c>
      <c r="AB806" s="12"/>
      <c r="AC806" s="6"/>
      <c r="AD806" s="6"/>
      <c r="AE806" s="7"/>
      <c r="AF806" s="7"/>
      <c r="AG806" s="7"/>
      <c r="AH806" s="7"/>
      <c r="AI806" s="7"/>
      <c r="AJ806" s="7"/>
      <c r="AK806" s="7"/>
      <c r="AL806" s="7"/>
      <c r="AM806" s="7"/>
      <c r="AN806" s="7"/>
      <c r="AO806" s="6"/>
      <c r="AP806" s="7"/>
      <c r="AQ806" s="7"/>
      <c r="AR806" s="6"/>
      <c r="AS806" s="7"/>
      <c r="AT806" s="7"/>
      <c r="AU806" s="7"/>
      <c r="AV806" s="7"/>
      <c r="AW806" s="7"/>
      <c r="AX806" s="7"/>
      <c r="AY806" s="7"/>
      <c r="AZ806" s="7"/>
      <c r="BA806" s="7"/>
      <c r="BB806" s="7"/>
      <c r="BC806" s="7"/>
      <c r="BD806" s="7"/>
      <c r="BE806" s="7"/>
      <c r="BF806" s="7"/>
      <c r="BG806" s="7"/>
    </row>
    <row r="807" customHeight="1" spans="1:59">
      <c r="A807" s="9" t="str">
        <f>IF(ActiveDatabase=Standby,Secondary!A807,Primary!A807)</f>
        <v>Wala 16</v>
      </c>
      <c r="B807" s="5" t="str">
        <f>IF(ActiveDatabase=Standby,Secondary!B807,Primary!B807)</f>
        <v>Wala 21</v>
      </c>
      <c r="C807" s="5" t="str">
        <f>IF(ActiveDatabase=Standby,Secondary!C807,Primary!C807)</f>
        <v>Wala 38</v>
      </c>
      <c r="D807" s="5" t="str">
        <f>IF(ActiveDatabase=Standby,Secondary!D807,Primary!D807)</f>
        <v>Sand Cave 07K</v>
      </c>
      <c r="E807" s="6" t="str">
        <f>IF(ActiveDatabase=Standby,Secondary!E807,Primary!E807)</f>
        <v>SCave 07K</v>
      </c>
      <c r="F807" s="10">
        <f>IF(ActiveDatabase=Standby,Secondary!F807,Primary!F807)</f>
        <v>-197.960446243</v>
      </c>
      <c r="G807" s="10">
        <f>IF(ActiveDatabase=Standby,Secondary!G807,Primary!G807)</f>
        <v>-167.735679001</v>
      </c>
      <c r="H807" s="10">
        <f>IF(ActiveDatabase=Standby,Secondary!H807,Primary!H807)</f>
        <v>-112.535451358999</v>
      </c>
      <c r="I807" s="13">
        <f>IF(ActiveDatabase=Standby,Secondary!I807,Primary!I807)</f>
        <v>0</v>
      </c>
      <c r="J807" s="13">
        <f>IF(ActiveDatabase=Standby,Secondary!J807,Primary!J807)</f>
        <v>0</v>
      </c>
      <c r="K807" s="13">
        <f>IF(ActiveDatabase=Standby,Secondary!K807,Primary!K807)</f>
        <v>0</v>
      </c>
      <c r="L807" s="13">
        <f>IF(ActiveDatabase=Standby,Secondary!L807,Primary!L807)</f>
        <v>0</v>
      </c>
      <c r="M807" s="7" t="b">
        <f>IF(ActiveDatabase=Standby,Secondary!M807,Primary!M807)</f>
        <v>0</v>
      </c>
      <c r="N807" s="10">
        <f>IF(ActiveDatabase=Standby,Secondary!N807,Primary!N807)</f>
        <v>0</v>
      </c>
      <c r="O807" s="10">
        <f>IF(ActiveDatabase=Standby,Secondary!O807,Primary!O807)</f>
        <v>0</v>
      </c>
      <c r="P807" s="10">
        <f>IF(ActiveDatabase=Standby,Secondary!P807,Primary!P807)</f>
        <v>0</v>
      </c>
      <c r="Q807" s="6">
        <f>IF(ActiveDatabase=Standby,Secondary!Q807,Primary!Q807)</f>
        <v>0</v>
      </c>
      <c r="R807" s="18">
        <f>IF(ActiveDatabase=Standby,Secondary!R807,Primary!R807)</f>
        <v>0</v>
      </c>
      <c r="S807" s="19">
        <f>IF(ActiveDatabase=Standby,Secondary!S807,Primary!S807)</f>
        <v>0</v>
      </c>
      <c r="T807" s="10">
        <f>IF(ActiveDatabase=Standby,Secondary!T807,Primary!T807)</f>
        <v>0</v>
      </c>
      <c r="U807" s="10">
        <f>IF(ActiveDatabase=Standby,Secondary!U807,Primary!U807)</f>
        <v>0</v>
      </c>
      <c r="V807" s="10">
        <f>IF(ActiveDatabase=Standby,Secondary!V807,Primary!V807)</f>
        <v>0</v>
      </c>
      <c r="W807" s="6">
        <f>IF(ActiveDatabase=Standby,Secondary!W807,Primary!W807)</f>
        <v>0</v>
      </c>
      <c r="X807" s="6">
        <f>IF(ActiveDatabase=Standby,Secondary!X807,Primary!X807)</f>
        <v>0</v>
      </c>
      <c r="Y807" s="12">
        <f>IF(ActiveDatabase=Standby,Secondary!Y807,Primary!Y1465)</f>
        <v>0</v>
      </c>
      <c r="Z807" s="12">
        <f>IF(ActiveDatabase=Standby,Secondary!Z807,Primary!Z1465)</f>
        <v>0</v>
      </c>
      <c r="AA807" s="7">
        <f>IF(ActiveDatabase=Standby,Secondary!AA807,Primary!AA1465)</f>
        <v>0</v>
      </c>
      <c r="AB807" s="12"/>
      <c r="AC807" s="6"/>
      <c r="AD807" s="6"/>
      <c r="AE807" s="7"/>
      <c r="AF807" s="7"/>
      <c r="AG807" s="7"/>
      <c r="AH807" s="7"/>
      <c r="AI807" s="7"/>
      <c r="AJ807" s="7"/>
      <c r="AK807" s="7"/>
      <c r="AL807" s="7"/>
      <c r="AM807" s="7"/>
      <c r="AN807" s="7"/>
      <c r="AO807" s="6"/>
      <c r="AP807" s="7"/>
      <c r="AQ807" s="7"/>
      <c r="AR807" s="6"/>
      <c r="AS807" s="7"/>
      <c r="AT807" s="7"/>
      <c r="AU807" s="7"/>
      <c r="AV807" s="7"/>
      <c r="AW807" s="7"/>
      <c r="AX807" s="7"/>
      <c r="AY807" s="7"/>
      <c r="AZ807" s="7"/>
      <c r="BA807" s="7"/>
      <c r="BB807" s="7"/>
      <c r="BC807" s="7"/>
      <c r="BD807" s="7"/>
      <c r="BE807" s="7"/>
      <c r="BF807" s="7"/>
      <c r="BG807" s="7"/>
    </row>
    <row r="808" customHeight="1" spans="1:59">
      <c r="A808" s="9" t="str">
        <f>IF(ActiveDatabase=Standby,Secondary!A808,Primary!A808)</f>
        <v>Wala 18</v>
      </c>
      <c r="B808" s="5" t="str">
        <f>IF(ActiveDatabase=Standby,Secondary!B808,Primary!B808)</f>
        <v>Wala 23</v>
      </c>
      <c r="C808" s="5" t="str">
        <f>IF(ActiveDatabase=Standby,Secondary!C808,Primary!C808)</f>
        <v>Wala 36</v>
      </c>
      <c r="D808" s="5" t="str">
        <f>IF(ActiveDatabase=Standby,Secondary!D808,Primary!D808)</f>
        <v>Sand Cave 10H</v>
      </c>
      <c r="E808" s="6" t="str">
        <f>IF(ActiveDatabase=Standby,Secondary!E808,Primary!E808)</f>
        <v>SCave 10H</v>
      </c>
      <c r="F808" s="10">
        <f>IF(ActiveDatabase=Standby,Secondary!F808,Primary!F808)</f>
        <v>-112.33546793</v>
      </c>
      <c r="G808" s="10">
        <f>IF(ActiveDatabase=Standby,Secondary!G808,Primary!G808)</f>
        <v>-187.198900564999</v>
      </c>
      <c r="H808" s="10">
        <f>IF(ActiveDatabase=Standby,Secondary!H808,Primary!H808)</f>
        <v>-179.170695882</v>
      </c>
      <c r="I808" s="13">
        <f>IF(ActiveDatabase=Standby,Secondary!I808,Primary!I808)</f>
        <v>0</v>
      </c>
      <c r="J808" s="13">
        <f>IF(ActiveDatabase=Standby,Secondary!J808,Primary!J808)</f>
        <v>0</v>
      </c>
      <c r="K808" s="13">
        <f>IF(ActiveDatabase=Standby,Secondary!K808,Primary!K808)</f>
        <v>0</v>
      </c>
      <c r="L808" s="13">
        <f>IF(ActiveDatabase=Standby,Secondary!L808,Primary!L808)</f>
        <v>0</v>
      </c>
      <c r="M808" s="7" t="b">
        <f>IF(ActiveDatabase=Standby,Secondary!M808,Primary!M808)</f>
        <v>0</v>
      </c>
      <c r="N808" s="10">
        <f>IF(ActiveDatabase=Standby,Secondary!N808,Primary!N808)</f>
        <v>0</v>
      </c>
      <c r="O808" s="10">
        <f>IF(ActiveDatabase=Standby,Secondary!O808,Primary!O808)</f>
        <v>0</v>
      </c>
      <c r="P808" s="10">
        <f>IF(ActiveDatabase=Standby,Secondary!P808,Primary!P808)</f>
        <v>0</v>
      </c>
      <c r="Q808" s="6">
        <f>IF(ActiveDatabase=Standby,Secondary!Q808,Primary!Q808)</f>
        <v>0</v>
      </c>
      <c r="R808" s="18">
        <f>IF(ActiveDatabase=Standby,Secondary!R808,Primary!R808)</f>
        <v>0</v>
      </c>
      <c r="S808" s="19">
        <f>IF(ActiveDatabase=Standby,Secondary!S808,Primary!S808)</f>
        <v>0</v>
      </c>
      <c r="T808" s="10">
        <f>IF(ActiveDatabase=Standby,Secondary!T808,Primary!T808)</f>
        <v>0</v>
      </c>
      <c r="U808" s="10">
        <f>IF(ActiveDatabase=Standby,Secondary!U808,Primary!U808)</f>
        <v>0</v>
      </c>
      <c r="V808" s="10">
        <f>IF(ActiveDatabase=Standby,Secondary!V808,Primary!V808)</f>
        <v>0</v>
      </c>
      <c r="W808" s="6">
        <f>IF(ActiveDatabase=Standby,Secondary!W808,Primary!W808)</f>
        <v>0</v>
      </c>
      <c r="X808" s="6">
        <f>IF(ActiveDatabase=Standby,Secondary!X808,Primary!X808)</f>
        <v>0</v>
      </c>
      <c r="Y808" s="12">
        <f>IF(ActiveDatabase=Standby,Secondary!Y808,Primary!Y1466)</f>
        <v>0</v>
      </c>
      <c r="Z808" s="12">
        <f>IF(ActiveDatabase=Standby,Secondary!Z808,Primary!Z1466)</f>
        <v>0</v>
      </c>
      <c r="AA808" s="7">
        <f>IF(ActiveDatabase=Standby,Secondary!AA808,Primary!AA1466)</f>
        <v>0</v>
      </c>
      <c r="AB808" s="12"/>
      <c r="AC808" s="6"/>
      <c r="AD808" s="6"/>
      <c r="AE808" s="7"/>
      <c r="AF808" s="7"/>
      <c r="AG808" s="7"/>
      <c r="AH808" s="7"/>
      <c r="AI808" s="7"/>
      <c r="AJ808" s="7"/>
      <c r="AK808" s="7"/>
      <c r="AL808" s="7"/>
      <c r="AM808" s="7"/>
      <c r="AN808" s="7"/>
      <c r="AO808" s="6"/>
      <c r="AP808" s="7"/>
      <c r="AQ808" s="7"/>
      <c r="AR808" s="6"/>
      <c r="AS808" s="7"/>
      <c r="AT808" s="7"/>
      <c r="AU808" s="7"/>
      <c r="AV808" s="7"/>
      <c r="AW808" s="7"/>
      <c r="AX808" s="7"/>
      <c r="AY808" s="7"/>
      <c r="AZ808" s="7"/>
      <c r="BA808" s="7"/>
      <c r="BB808" s="7"/>
      <c r="BC808" s="7"/>
      <c r="BD808" s="7"/>
      <c r="BE808" s="7"/>
      <c r="BF808" s="7"/>
      <c r="BG808" s="7"/>
    </row>
    <row r="809" customHeight="1" spans="1:59">
      <c r="A809" s="9" t="str">
        <f>IF(ActiveDatabase=Standby,Secondary!A809,Primary!A809)</f>
        <v>Wala 17</v>
      </c>
      <c r="B809" s="5" t="str">
        <f>IF(ActiveDatabase=Standby,Secondary!B809,Primary!B809)</f>
        <v>Wala 22</v>
      </c>
      <c r="C809" s="5" t="str">
        <f>IF(ActiveDatabase=Standby,Secondary!C809,Primary!C809)</f>
        <v>Wala 37</v>
      </c>
      <c r="D809" s="5" t="str">
        <f>IF(ActiveDatabase=Standby,Secondary!D809,Primary!D809)</f>
        <v>Sand Cave 09Q</v>
      </c>
      <c r="E809" s="6" t="str">
        <f>IF(ActiveDatabase=Standby,Secondary!E809,Primary!E809)</f>
        <v>SCave 09Q</v>
      </c>
      <c r="F809" s="10">
        <f>IF(ActiveDatabase=Standby,Secondary!F809,Primary!F809)</f>
        <v>-164.398705934</v>
      </c>
      <c r="G809" s="10">
        <f>IF(ActiveDatabase=Standby,Secondary!G809,Primary!G809)</f>
        <v>-209.749606369999</v>
      </c>
      <c r="H809" s="10">
        <f>IF(ActiveDatabase=Standby,Secondary!H809,Primary!H809)</f>
        <v>95.807149114</v>
      </c>
      <c r="I809" s="13">
        <f>IF(ActiveDatabase=Standby,Secondary!I809,Primary!I809)</f>
        <v>0</v>
      </c>
      <c r="J809" s="13">
        <f>IF(ActiveDatabase=Standby,Secondary!J809,Primary!J809)</f>
        <v>0</v>
      </c>
      <c r="K809" s="13">
        <f>IF(ActiveDatabase=Standby,Secondary!K809,Primary!K809)</f>
        <v>0</v>
      </c>
      <c r="L809" s="13">
        <f>IF(ActiveDatabase=Standby,Secondary!L809,Primary!L809)</f>
        <v>0</v>
      </c>
      <c r="M809" s="7" t="b">
        <f>IF(ActiveDatabase=Standby,Secondary!M809,Primary!M809)</f>
        <v>0</v>
      </c>
      <c r="N809" s="10">
        <f>IF(ActiveDatabase=Standby,Secondary!N809,Primary!N809)</f>
        <v>0</v>
      </c>
      <c r="O809" s="10">
        <f>IF(ActiveDatabase=Standby,Secondary!O809,Primary!O809)</f>
        <v>0</v>
      </c>
      <c r="P809" s="10">
        <f>IF(ActiveDatabase=Standby,Secondary!P809,Primary!P809)</f>
        <v>0</v>
      </c>
      <c r="Q809" s="6">
        <f>IF(ActiveDatabase=Standby,Secondary!Q809,Primary!Q809)</f>
        <v>0</v>
      </c>
      <c r="R809" s="18">
        <f>IF(ActiveDatabase=Standby,Secondary!R809,Primary!R809)</f>
        <v>0</v>
      </c>
      <c r="S809" s="19">
        <f>IF(ActiveDatabase=Standby,Secondary!S809,Primary!S809)</f>
        <v>0</v>
      </c>
      <c r="T809" s="10">
        <f>IF(ActiveDatabase=Standby,Secondary!T809,Primary!T809)</f>
        <v>0</v>
      </c>
      <c r="U809" s="10">
        <f>IF(ActiveDatabase=Standby,Secondary!U809,Primary!U809)</f>
        <v>0</v>
      </c>
      <c r="V809" s="10">
        <f>IF(ActiveDatabase=Standby,Secondary!V809,Primary!V809)</f>
        <v>0</v>
      </c>
      <c r="W809" s="6">
        <f>IF(ActiveDatabase=Standby,Secondary!W809,Primary!W809)</f>
        <v>0</v>
      </c>
      <c r="X809" s="6">
        <f>IF(ActiveDatabase=Standby,Secondary!X809,Primary!X809)</f>
        <v>0</v>
      </c>
      <c r="Y809" s="12">
        <f>IF(ActiveDatabase=Standby,Secondary!Y809,Primary!Y1467)</f>
        <v>0</v>
      </c>
      <c r="Z809" s="12">
        <f>IF(ActiveDatabase=Standby,Secondary!Z809,Primary!Z1467)</f>
        <v>0</v>
      </c>
      <c r="AA809" s="7">
        <f>IF(ActiveDatabase=Standby,Secondary!AA809,Primary!AA1467)</f>
        <v>0</v>
      </c>
      <c r="AB809" s="12"/>
      <c r="AC809" s="6"/>
      <c r="AD809" s="6"/>
      <c r="AE809" s="7"/>
      <c r="AF809" s="7"/>
      <c r="AG809" s="7"/>
      <c r="AH809" s="7"/>
      <c r="AI809" s="7"/>
      <c r="AJ809" s="7"/>
      <c r="AK809" s="7"/>
      <c r="AL809" s="7"/>
      <c r="AM809" s="7"/>
      <c r="AN809" s="7"/>
      <c r="AO809" s="6"/>
      <c r="AP809" s="7"/>
      <c r="AQ809" s="7"/>
      <c r="AR809" s="6"/>
      <c r="AS809" s="7"/>
      <c r="AT809" s="7"/>
      <c r="AU809" s="7"/>
      <c r="AV809" s="7"/>
      <c r="AW809" s="7"/>
      <c r="AX809" s="7"/>
      <c r="AY809" s="7"/>
      <c r="AZ809" s="7"/>
      <c r="BA809" s="7"/>
      <c r="BB809" s="7"/>
      <c r="BC809" s="7"/>
      <c r="BD809" s="7"/>
      <c r="BE809" s="7"/>
      <c r="BF809" s="7"/>
      <c r="BG809" s="7"/>
    </row>
    <row r="810" customHeight="1" spans="1:59">
      <c r="A810" s="9" t="str">
        <f>IF(ActiveDatabase=Standby,Secondary!A810,Primary!A810)</f>
        <v>Wala 20</v>
      </c>
      <c r="B810" s="5" t="str">
        <f>IF(ActiveDatabase=Standby,Secondary!B810,Primary!B810)</f>
        <v>Wala 25</v>
      </c>
      <c r="C810" s="5" t="str">
        <f>IF(ActiveDatabase=Standby,Secondary!C810,Primary!C810)</f>
        <v>Wala 31</v>
      </c>
      <c r="D810" s="5" t="str">
        <f>IF(ActiveDatabase=Standby,Secondary!D810,Primary!D810)</f>
        <v>Sand Cave 20S</v>
      </c>
      <c r="E810" s="6" t="str">
        <f>IF(ActiveDatabase=Standby,Secondary!E810,Primary!E810)</f>
        <v>SCave 20S</v>
      </c>
      <c r="F810" s="10">
        <f>IF(ActiveDatabase=Standby,Secondary!F810,Primary!F810)</f>
        <v>96.673689782</v>
      </c>
      <c r="G810" s="10">
        <f>IF(ActiveDatabase=Standby,Secondary!G810,Primary!G810)</f>
        <v>-204.496152153</v>
      </c>
      <c r="H810" s="10">
        <f>IF(ActiveDatabase=Standby,Secondary!H810,Primary!H810)</f>
        <v>170.427341833</v>
      </c>
      <c r="I810" s="13">
        <f>IF(ActiveDatabase=Standby,Secondary!I810,Primary!I810)</f>
        <v>0</v>
      </c>
      <c r="J810" s="13">
        <f>IF(ActiveDatabase=Standby,Secondary!J810,Primary!J810)</f>
        <v>0</v>
      </c>
      <c r="K810" s="13">
        <f>IF(ActiveDatabase=Standby,Secondary!K810,Primary!K810)</f>
        <v>0</v>
      </c>
      <c r="L810" s="13">
        <f>IF(ActiveDatabase=Standby,Secondary!L810,Primary!L810)</f>
        <v>0</v>
      </c>
      <c r="M810" s="7" t="b">
        <f>IF(ActiveDatabase=Standby,Secondary!M810,Primary!M810)</f>
        <v>0</v>
      </c>
      <c r="N810" s="10">
        <f>IF(ActiveDatabase=Standby,Secondary!N810,Primary!N810)</f>
        <v>0</v>
      </c>
      <c r="O810" s="10">
        <f>IF(ActiveDatabase=Standby,Secondary!O810,Primary!O810)</f>
        <v>0</v>
      </c>
      <c r="P810" s="10">
        <f>IF(ActiveDatabase=Standby,Secondary!P810,Primary!P810)</f>
        <v>0</v>
      </c>
      <c r="Q810" s="6">
        <f>IF(ActiveDatabase=Standby,Secondary!Q810,Primary!Q810)</f>
        <v>0</v>
      </c>
      <c r="R810" s="18">
        <f>IF(ActiveDatabase=Standby,Secondary!R810,Primary!R810)</f>
        <v>0</v>
      </c>
      <c r="S810" s="19">
        <f>IF(ActiveDatabase=Standby,Secondary!S810,Primary!S810)</f>
        <v>0</v>
      </c>
      <c r="T810" s="10">
        <f>IF(ActiveDatabase=Standby,Secondary!T810,Primary!T810)</f>
        <v>0</v>
      </c>
      <c r="U810" s="10">
        <f>IF(ActiveDatabase=Standby,Secondary!U810,Primary!U810)</f>
        <v>0</v>
      </c>
      <c r="V810" s="10">
        <f>IF(ActiveDatabase=Standby,Secondary!V810,Primary!V810)</f>
        <v>0</v>
      </c>
      <c r="W810" s="6">
        <f>IF(ActiveDatabase=Standby,Secondary!W810,Primary!W810)</f>
        <v>0</v>
      </c>
      <c r="X810" s="6">
        <f>IF(ActiveDatabase=Standby,Secondary!X810,Primary!X810)</f>
        <v>0</v>
      </c>
      <c r="Y810" s="12">
        <f>IF(ActiveDatabase=Standby,Secondary!Y810,Primary!Y1468)</f>
        <v>0</v>
      </c>
      <c r="Z810" s="12">
        <f>IF(ActiveDatabase=Standby,Secondary!Z810,Primary!Z1468)</f>
        <v>0</v>
      </c>
      <c r="AA810" s="7">
        <f>IF(ActiveDatabase=Standby,Secondary!AA810,Primary!AA1468)</f>
        <v>0</v>
      </c>
      <c r="AB810" s="12"/>
      <c r="AC810" s="6"/>
      <c r="AD810" s="6"/>
      <c r="AE810" s="7"/>
      <c r="AF810" s="7"/>
      <c r="AG810" s="7"/>
      <c r="AH810" s="7"/>
      <c r="AI810" s="7"/>
      <c r="AJ810" s="7"/>
      <c r="AK810" s="7"/>
      <c r="AL810" s="7"/>
      <c r="AM810" s="7"/>
      <c r="AN810" s="7"/>
      <c r="AO810" s="6"/>
      <c r="AP810" s="7"/>
      <c r="AQ810" s="7"/>
      <c r="AR810" s="6"/>
      <c r="AS810" s="7"/>
      <c r="AT810" s="7"/>
      <c r="AU810" s="7"/>
      <c r="AV810" s="7"/>
      <c r="AW810" s="7"/>
      <c r="AX810" s="7"/>
      <c r="AY810" s="7"/>
      <c r="AZ810" s="7"/>
      <c r="BA810" s="7"/>
      <c r="BB810" s="7"/>
      <c r="BC810" s="7"/>
      <c r="BD810" s="7"/>
      <c r="BE810" s="7"/>
      <c r="BF810" s="7"/>
      <c r="BG810" s="7"/>
    </row>
    <row r="811" customHeight="1" spans="1:59">
      <c r="A811" s="9" t="str">
        <f>IF(ActiveDatabase=Standby,Secondary!A811,Primary!A811)</f>
        <v>Wala 23</v>
      </c>
      <c r="B811" s="5" t="str">
        <f>IF(ActiveDatabase=Standby,Secondary!B811,Primary!B811)</f>
        <v>Wala 28</v>
      </c>
      <c r="C811" s="5" t="str">
        <f>IF(ActiveDatabase=Standby,Secondary!C811,Primary!C811)</f>
        <v>Wala 23</v>
      </c>
      <c r="D811" s="5" t="str">
        <f>IF(ActiveDatabase=Standby,Secondary!D811,Primary!D811)</f>
        <v>Sand Cave 32L</v>
      </c>
      <c r="E811" s="6" t="str">
        <f>IF(ActiveDatabase=Standby,Secondary!E811,Primary!E811)</f>
        <v>SCave 32L</v>
      </c>
      <c r="F811" s="10">
        <f>IF(ActiveDatabase=Standby,Secondary!F811,Primary!F811)</f>
        <v>274.945766813999</v>
      </c>
      <c r="G811" s="10">
        <f>IF(ActiveDatabase=Standby,Secondary!G811,Primary!G811)</f>
        <v>31.540046628</v>
      </c>
      <c r="H811" s="10">
        <f>IF(ActiveDatabase=Standby,Secondary!H811,Primary!H811)</f>
        <v>-58.601162827</v>
      </c>
      <c r="I811" s="13">
        <f>IF(ActiveDatabase=Standby,Secondary!I811,Primary!I811)</f>
        <v>0</v>
      </c>
      <c r="J811" s="13">
        <f>IF(ActiveDatabase=Standby,Secondary!J811,Primary!J811)</f>
        <v>0</v>
      </c>
      <c r="K811" s="13">
        <f>IF(ActiveDatabase=Standby,Secondary!K811,Primary!K811)</f>
        <v>0</v>
      </c>
      <c r="L811" s="13">
        <f>IF(ActiveDatabase=Standby,Secondary!L811,Primary!L811)</f>
        <v>0</v>
      </c>
      <c r="M811" s="7" t="b">
        <f>IF(ActiveDatabase=Standby,Secondary!M811,Primary!M811)</f>
        <v>0</v>
      </c>
      <c r="N811" s="10">
        <f>IF(ActiveDatabase=Standby,Secondary!N811,Primary!N811)</f>
        <v>0</v>
      </c>
      <c r="O811" s="10">
        <f>IF(ActiveDatabase=Standby,Secondary!O811,Primary!O811)</f>
        <v>0</v>
      </c>
      <c r="P811" s="10">
        <f>IF(ActiveDatabase=Standby,Secondary!P811,Primary!P811)</f>
        <v>0</v>
      </c>
      <c r="Q811" s="6">
        <f>IF(ActiveDatabase=Standby,Secondary!Q811,Primary!Q811)</f>
        <v>0</v>
      </c>
      <c r="R811" s="18">
        <f>IF(ActiveDatabase=Standby,Secondary!R811,Primary!R811)</f>
        <v>0</v>
      </c>
      <c r="S811" s="19">
        <f>IF(ActiveDatabase=Standby,Secondary!S811,Primary!S811)</f>
        <v>0</v>
      </c>
      <c r="T811" s="10">
        <f>IF(ActiveDatabase=Standby,Secondary!T811,Primary!T811)</f>
        <v>0</v>
      </c>
      <c r="U811" s="10">
        <f>IF(ActiveDatabase=Standby,Secondary!U811,Primary!U811)</f>
        <v>0</v>
      </c>
      <c r="V811" s="10">
        <f>IF(ActiveDatabase=Standby,Secondary!V811,Primary!V811)</f>
        <v>0</v>
      </c>
      <c r="W811" s="6">
        <f>IF(ActiveDatabase=Standby,Secondary!W811,Primary!W811)</f>
        <v>0</v>
      </c>
      <c r="X811" s="6">
        <f>IF(ActiveDatabase=Standby,Secondary!X811,Primary!X811)</f>
        <v>0</v>
      </c>
      <c r="Y811" s="12">
        <f>IF(ActiveDatabase=Standby,Secondary!Y811,Primary!Y1469)</f>
        <v>0</v>
      </c>
      <c r="Z811" s="12">
        <f>IF(ActiveDatabase=Standby,Secondary!Z811,Primary!Z1469)</f>
        <v>0</v>
      </c>
      <c r="AA811" s="7">
        <f>IF(ActiveDatabase=Standby,Secondary!AA811,Primary!AA1469)</f>
        <v>0</v>
      </c>
      <c r="AB811" s="12"/>
      <c r="AC811" s="6"/>
      <c r="AD811" s="6"/>
      <c r="AE811" s="7"/>
      <c r="AF811" s="7"/>
      <c r="AG811" s="7"/>
      <c r="AH811" s="7"/>
      <c r="AI811" s="7"/>
      <c r="AJ811" s="7"/>
      <c r="AK811" s="7"/>
      <c r="AL811" s="7"/>
      <c r="AM811" s="7"/>
      <c r="AN811" s="7"/>
      <c r="AO811" s="6"/>
      <c r="AP811" s="7"/>
      <c r="AQ811" s="7"/>
      <c r="AR811" s="6"/>
      <c r="AS811" s="7"/>
      <c r="AT811" s="7"/>
      <c r="AU811" s="7"/>
      <c r="AV811" s="7"/>
      <c r="AW811" s="7"/>
      <c r="AX811" s="7"/>
      <c r="AY811" s="7"/>
      <c r="AZ811" s="7"/>
      <c r="BA811" s="7"/>
      <c r="BB811" s="7"/>
      <c r="BC811" s="7"/>
      <c r="BD811" s="7"/>
      <c r="BE811" s="7"/>
      <c r="BF811" s="7"/>
      <c r="BG811" s="7"/>
    </row>
    <row r="812" customHeight="1" spans="1:59">
      <c r="A812" s="9" t="str">
        <f>IF(ActiveDatabase=Standby,Secondary!A812,Primary!A812)</f>
        <v>Wala 25</v>
      </c>
      <c r="B812" s="5" t="str">
        <f>IF(ActiveDatabase=Standby,Secondary!B812,Primary!B812)</f>
        <v>Wala 30</v>
      </c>
      <c r="C812" s="5" t="str">
        <f>IF(ActiveDatabase=Standby,Secondary!C812,Primary!C812)</f>
        <v>Wala 20</v>
      </c>
      <c r="D812" s="5" t="str">
        <f>IF(ActiveDatabase=Standby,Secondary!D812,Primary!D812)</f>
        <v>Sand Cave 34M</v>
      </c>
      <c r="E812" s="6" t="str">
        <f>IF(ActiveDatabase=Standby,Secondary!E812,Primary!E812)</f>
        <v>SCave 34M</v>
      </c>
      <c r="F812" s="10">
        <f>IF(ActiveDatabase=Standby,Secondary!F812,Primary!F812)</f>
        <v>266.763589454</v>
      </c>
      <c r="G812" s="10">
        <f>IF(ActiveDatabase=Standby,Secondary!G812,Primary!G812)</f>
        <v>91.924458578</v>
      </c>
      <c r="H812" s="10">
        <f>IF(ActiveDatabase=Standby,Secondary!H812,Primary!H812)</f>
        <v>-0.785379785999998</v>
      </c>
      <c r="I812" s="13">
        <f>IF(ActiveDatabase=Standby,Secondary!I812,Primary!I812)</f>
        <v>0</v>
      </c>
      <c r="J812" s="13">
        <f>IF(ActiveDatabase=Standby,Secondary!J812,Primary!J812)</f>
        <v>0</v>
      </c>
      <c r="K812" s="13">
        <f>IF(ActiveDatabase=Standby,Secondary!K812,Primary!K812)</f>
        <v>0</v>
      </c>
      <c r="L812" s="13">
        <f>IF(ActiveDatabase=Standby,Secondary!L812,Primary!L812)</f>
        <v>0</v>
      </c>
      <c r="M812" s="7" t="b">
        <f>IF(ActiveDatabase=Standby,Secondary!M812,Primary!M812)</f>
        <v>0</v>
      </c>
      <c r="N812" s="10">
        <f>IF(ActiveDatabase=Standby,Secondary!N812,Primary!N812)</f>
        <v>0</v>
      </c>
      <c r="O812" s="10">
        <f>IF(ActiveDatabase=Standby,Secondary!O812,Primary!O812)</f>
        <v>0</v>
      </c>
      <c r="P812" s="10">
        <f>IF(ActiveDatabase=Standby,Secondary!P812,Primary!P812)</f>
        <v>0</v>
      </c>
      <c r="Q812" s="6">
        <f>IF(ActiveDatabase=Standby,Secondary!Q812,Primary!Q812)</f>
        <v>0</v>
      </c>
      <c r="R812" s="18">
        <f>IF(ActiveDatabase=Standby,Secondary!R812,Primary!R812)</f>
        <v>0</v>
      </c>
      <c r="S812" s="19">
        <f>IF(ActiveDatabase=Standby,Secondary!S812,Primary!S812)</f>
        <v>0</v>
      </c>
      <c r="T812" s="10">
        <f>IF(ActiveDatabase=Standby,Secondary!T812,Primary!T812)</f>
        <v>0</v>
      </c>
      <c r="U812" s="10">
        <f>IF(ActiveDatabase=Standby,Secondary!U812,Primary!U812)</f>
        <v>0</v>
      </c>
      <c r="V812" s="10">
        <f>IF(ActiveDatabase=Standby,Secondary!V812,Primary!V812)</f>
        <v>0</v>
      </c>
      <c r="W812" s="6">
        <f>IF(ActiveDatabase=Standby,Secondary!W812,Primary!W812)</f>
        <v>0</v>
      </c>
      <c r="X812" s="6">
        <f>IF(ActiveDatabase=Standby,Secondary!X812,Primary!X812)</f>
        <v>0</v>
      </c>
      <c r="Y812" s="12">
        <f>IF(ActiveDatabase=Standby,Secondary!Y812,Primary!Y1470)</f>
        <v>0</v>
      </c>
      <c r="Z812" s="12">
        <f>IF(ActiveDatabase=Standby,Secondary!Z812,Primary!Z1470)</f>
        <v>0</v>
      </c>
      <c r="AA812" s="7">
        <f>IF(ActiveDatabase=Standby,Secondary!AA812,Primary!AA1470)</f>
        <v>0</v>
      </c>
      <c r="AB812" s="12"/>
      <c r="AC812" s="6"/>
      <c r="AD812" s="6"/>
      <c r="AE812" s="7"/>
      <c r="AF812" s="7"/>
      <c r="AG812" s="7"/>
      <c r="AH812" s="7"/>
      <c r="AI812" s="7"/>
      <c r="AJ812" s="7"/>
      <c r="AK812" s="7"/>
      <c r="AL812" s="7"/>
      <c r="AM812" s="7"/>
      <c r="AN812" s="7"/>
      <c r="AO812" s="6"/>
      <c r="AP812" s="7"/>
      <c r="AQ812" s="7"/>
      <c r="AR812" s="6"/>
      <c r="AS812" s="7"/>
      <c r="AT812" s="7"/>
      <c r="AU812" s="7"/>
      <c r="AV812" s="7"/>
      <c r="AW812" s="7"/>
      <c r="AX812" s="7"/>
      <c r="AY812" s="7"/>
      <c r="AZ812" s="7"/>
      <c r="BA812" s="7"/>
      <c r="BB812" s="7"/>
      <c r="BC812" s="7"/>
      <c r="BD812" s="7"/>
      <c r="BE812" s="7"/>
      <c r="BF812" s="7"/>
      <c r="BG812" s="7"/>
    </row>
    <row r="813" customHeight="1" spans="1:59">
      <c r="A813" s="9" t="str">
        <f>IF(ActiveDatabase=Standby,Secondary!A813,Primary!A813)</f>
        <v>Wala 24</v>
      </c>
      <c r="B813" s="5" t="str">
        <f>IF(ActiveDatabase=Standby,Secondary!B813,Primary!B813)</f>
        <v>Wala 29</v>
      </c>
      <c r="C813" s="5" t="str">
        <f>IF(ActiveDatabase=Standby,Secondary!C813,Primary!C813)</f>
        <v>Wala 21</v>
      </c>
      <c r="D813" s="5" t="str">
        <f>IF(ActiveDatabase=Standby,Secondary!D813,Primary!D813)</f>
        <v>Sand Cave 32N</v>
      </c>
      <c r="E813" s="6" t="str">
        <f>IF(ActiveDatabase=Standby,Secondary!E813,Primary!E813)</f>
        <v>SCave 32N</v>
      </c>
      <c r="F813" s="10">
        <f>IF(ActiveDatabase=Standby,Secondary!F813,Primary!F813)</f>
        <v>277.889655071999</v>
      </c>
      <c r="G813" s="10">
        <f>IF(ActiveDatabase=Standby,Secondary!G813,Primary!G813)</f>
        <v>47.862433245</v>
      </c>
      <c r="H813" s="10">
        <f>IF(ActiveDatabase=Standby,Secondary!H813,Primary!H813)</f>
        <v>27.8083953909998</v>
      </c>
      <c r="I813" s="13">
        <f>IF(ActiveDatabase=Standby,Secondary!I813,Primary!I813)</f>
        <v>0</v>
      </c>
      <c r="J813" s="13">
        <f>IF(ActiveDatabase=Standby,Secondary!J813,Primary!J813)</f>
        <v>0</v>
      </c>
      <c r="K813" s="13">
        <f>IF(ActiveDatabase=Standby,Secondary!K813,Primary!K813)</f>
        <v>0</v>
      </c>
      <c r="L813" s="13">
        <f>IF(ActiveDatabase=Standby,Secondary!L813,Primary!L813)</f>
        <v>0</v>
      </c>
      <c r="M813" s="7" t="b">
        <f>IF(ActiveDatabase=Standby,Secondary!M813,Primary!M813)</f>
        <v>0</v>
      </c>
      <c r="N813" s="10">
        <f>IF(ActiveDatabase=Standby,Secondary!N813,Primary!N813)</f>
        <v>0</v>
      </c>
      <c r="O813" s="10">
        <f>IF(ActiveDatabase=Standby,Secondary!O813,Primary!O813)</f>
        <v>0</v>
      </c>
      <c r="P813" s="10">
        <f>IF(ActiveDatabase=Standby,Secondary!P813,Primary!P813)</f>
        <v>0</v>
      </c>
      <c r="Q813" s="6">
        <f>IF(ActiveDatabase=Standby,Secondary!Q813,Primary!Q813)</f>
        <v>0</v>
      </c>
      <c r="R813" s="18">
        <f>IF(ActiveDatabase=Standby,Secondary!R813,Primary!R813)</f>
        <v>0</v>
      </c>
      <c r="S813" s="19">
        <f>IF(ActiveDatabase=Standby,Secondary!S813,Primary!S813)</f>
        <v>0</v>
      </c>
      <c r="T813" s="10">
        <f>IF(ActiveDatabase=Standby,Secondary!T813,Primary!T813)</f>
        <v>0</v>
      </c>
      <c r="U813" s="10">
        <f>IF(ActiveDatabase=Standby,Secondary!U813,Primary!U813)</f>
        <v>0</v>
      </c>
      <c r="V813" s="10">
        <f>IF(ActiveDatabase=Standby,Secondary!V813,Primary!V813)</f>
        <v>0</v>
      </c>
      <c r="W813" s="6">
        <f>IF(ActiveDatabase=Standby,Secondary!W813,Primary!W813)</f>
        <v>0</v>
      </c>
      <c r="X813" s="6">
        <f>IF(ActiveDatabase=Standby,Secondary!X813,Primary!X813)</f>
        <v>0</v>
      </c>
      <c r="Y813" s="12">
        <f>IF(ActiveDatabase=Standby,Secondary!Y813,Primary!Y1471)</f>
        <v>0</v>
      </c>
      <c r="Z813" s="12">
        <f>IF(ActiveDatabase=Standby,Secondary!Z813,Primary!Z1471)</f>
        <v>0</v>
      </c>
      <c r="AA813" s="7">
        <f>IF(ActiveDatabase=Standby,Secondary!AA813,Primary!AA1471)</f>
        <v>0</v>
      </c>
      <c r="AB813" s="12"/>
      <c r="AC813" s="6"/>
      <c r="AD813" s="6"/>
      <c r="AE813" s="7"/>
      <c r="AF813" s="7"/>
      <c r="AG813" s="7"/>
      <c r="AH813" s="7"/>
      <c r="AI813" s="7"/>
      <c r="AJ813" s="7"/>
      <c r="AK813" s="7"/>
      <c r="AL813" s="7"/>
      <c r="AM813" s="7"/>
      <c r="AN813" s="7"/>
      <c r="AO813" s="6"/>
      <c r="AP813" s="7"/>
      <c r="AQ813" s="7"/>
      <c r="AR813" s="6"/>
      <c r="AS813" s="7"/>
      <c r="AT813" s="7"/>
      <c r="AU813" s="7"/>
      <c r="AV813" s="7"/>
      <c r="AW813" s="7"/>
      <c r="AX813" s="7"/>
      <c r="AY813" s="7"/>
      <c r="AZ813" s="7"/>
      <c r="BA813" s="7"/>
      <c r="BB813" s="7"/>
      <c r="BC813" s="7"/>
      <c r="BD813" s="7"/>
      <c r="BE813" s="7"/>
      <c r="BF813" s="7"/>
      <c r="BG813" s="7"/>
    </row>
    <row r="814" customHeight="1" spans="1:59">
      <c r="A814" s="9" t="str">
        <f>IF(ActiveDatabase=Standby,Secondary!A814,Primary!A814)</f>
        <v>Wala 21</v>
      </c>
      <c r="B814" s="5" t="str">
        <f>IF(ActiveDatabase=Standby,Secondary!B814,Primary!B814)</f>
        <v>Wala 26</v>
      </c>
      <c r="C814" s="5" t="str">
        <f>IF(ActiveDatabase=Standby,Secondary!C814,Primary!C814)</f>
        <v>Wala 26</v>
      </c>
      <c r="D814" s="5" t="str">
        <f>IF(ActiveDatabase=Standby,Secondary!D814,Primary!D814)</f>
        <v>Sand Cave 27S</v>
      </c>
      <c r="E814" s="6" t="str">
        <f>IF(ActiveDatabase=Standby,Secondary!E814,Primary!E814)</f>
        <v>SCave 27S</v>
      </c>
      <c r="F814" s="10">
        <f>IF(ActiveDatabase=Standby,Secondary!F814,Primary!F814)</f>
        <v>204.271057007</v>
      </c>
      <c r="G814" s="10">
        <f>IF(ActiveDatabase=Standby,Secondary!G814,Primary!G814)</f>
        <v>-83.5827612039999</v>
      </c>
      <c r="H814" s="10">
        <f>IF(ActiveDatabase=Standby,Secondary!H814,Primary!H814)</f>
        <v>177.352392586</v>
      </c>
      <c r="I814" s="13">
        <f>IF(ActiveDatabase=Standby,Secondary!I814,Primary!I814)</f>
        <v>0</v>
      </c>
      <c r="J814" s="13">
        <f>IF(ActiveDatabase=Standby,Secondary!J814,Primary!J814)</f>
        <v>0</v>
      </c>
      <c r="K814" s="13">
        <f>IF(ActiveDatabase=Standby,Secondary!K814,Primary!K814)</f>
        <v>0</v>
      </c>
      <c r="L814" s="13">
        <f>IF(ActiveDatabase=Standby,Secondary!L814,Primary!L814)</f>
        <v>0</v>
      </c>
      <c r="M814" s="7" t="b">
        <f>IF(ActiveDatabase=Standby,Secondary!M814,Primary!M814)</f>
        <v>0</v>
      </c>
      <c r="N814" s="10">
        <f>IF(ActiveDatabase=Standby,Secondary!N814,Primary!N814)</f>
        <v>0</v>
      </c>
      <c r="O814" s="10">
        <f>IF(ActiveDatabase=Standby,Secondary!O814,Primary!O814)</f>
        <v>0</v>
      </c>
      <c r="P814" s="10">
        <f>IF(ActiveDatabase=Standby,Secondary!P814,Primary!P814)</f>
        <v>0</v>
      </c>
      <c r="Q814" s="6">
        <f>IF(ActiveDatabase=Standby,Secondary!Q814,Primary!Q814)</f>
        <v>0</v>
      </c>
      <c r="R814" s="18">
        <f>IF(ActiveDatabase=Standby,Secondary!R814,Primary!R814)</f>
        <v>0</v>
      </c>
      <c r="S814" s="19">
        <f>IF(ActiveDatabase=Standby,Secondary!S814,Primary!S814)</f>
        <v>0</v>
      </c>
      <c r="T814" s="10">
        <f>IF(ActiveDatabase=Standby,Secondary!T814,Primary!T814)</f>
        <v>0</v>
      </c>
      <c r="U814" s="10">
        <f>IF(ActiveDatabase=Standby,Secondary!U814,Primary!U814)</f>
        <v>0</v>
      </c>
      <c r="V814" s="10">
        <f>IF(ActiveDatabase=Standby,Secondary!V814,Primary!V814)</f>
        <v>0</v>
      </c>
      <c r="W814" s="6">
        <f>IF(ActiveDatabase=Standby,Secondary!W814,Primary!W814)</f>
        <v>0</v>
      </c>
      <c r="X814" s="6">
        <f>IF(ActiveDatabase=Standby,Secondary!X814,Primary!X814)</f>
        <v>0</v>
      </c>
      <c r="Y814" s="12">
        <f>IF(ActiveDatabase=Standby,Secondary!Y814,Primary!Y1472)</f>
        <v>0</v>
      </c>
      <c r="Z814" s="12">
        <f>IF(ActiveDatabase=Standby,Secondary!Z814,Primary!Z1472)</f>
        <v>0</v>
      </c>
      <c r="AA814" s="7">
        <f>IF(ActiveDatabase=Standby,Secondary!AA814,Primary!AA1472)</f>
        <v>0</v>
      </c>
      <c r="AB814" s="12"/>
      <c r="AC814" s="6"/>
      <c r="AD814" s="6"/>
      <c r="AE814" s="7"/>
      <c r="AF814" s="7"/>
      <c r="AG814" s="7"/>
      <c r="AH814" s="7"/>
      <c r="AI814" s="7"/>
      <c r="AJ814" s="7"/>
      <c r="AK814" s="7"/>
      <c r="AL814" s="7"/>
      <c r="AM814" s="7"/>
      <c r="AN814" s="7"/>
      <c r="AO814" s="6"/>
      <c r="AP814" s="7"/>
      <c r="AQ814" s="7"/>
      <c r="AR814" s="6"/>
      <c r="AS814" s="7"/>
      <c r="AT814" s="7"/>
      <c r="AU814" s="7"/>
      <c r="AV814" s="7"/>
      <c r="AW814" s="7"/>
      <c r="AX814" s="7"/>
      <c r="AY814" s="7"/>
      <c r="AZ814" s="7"/>
      <c r="BA814" s="7"/>
      <c r="BB814" s="7"/>
      <c r="BC814" s="7"/>
      <c r="BD814" s="7"/>
      <c r="BE814" s="7"/>
      <c r="BF814" s="7"/>
      <c r="BG814" s="7"/>
    </row>
    <row r="815" customHeight="1" spans="1:59">
      <c r="A815" s="9" t="str">
        <f>IF(ActiveDatabase=Standby,Secondary!A815,Primary!A815)</f>
        <v>Wala 22</v>
      </c>
      <c r="B815" s="5" t="str">
        <f>IF(ActiveDatabase=Standby,Secondary!B815,Primary!B815)</f>
        <v>Wala 27</v>
      </c>
      <c r="C815" s="5" t="str">
        <f>IF(ActiveDatabase=Standby,Secondary!C815,Primary!C815)</f>
        <v>Wala 25</v>
      </c>
      <c r="D815" s="5" t="str">
        <f>IF(ActiveDatabase=Standby,Secondary!D815,Primary!D815)</f>
        <v>Sand Cave 28K</v>
      </c>
      <c r="E815" s="6" t="str">
        <f>IF(ActiveDatabase=Standby,Secondary!E815,Primary!E815)</f>
        <v>SCave 28K</v>
      </c>
      <c r="F815" s="10">
        <f>IF(ActiveDatabase=Standby,Secondary!F815,Primary!F815)</f>
        <v>260.271784419</v>
      </c>
      <c r="G815" s="10">
        <f>IF(ActiveDatabase=Standby,Secondary!G815,Primary!G815)</f>
        <v>-57.7616310509999</v>
      </c>
      <c r="H815" s="10">
        <f>IF(ActiveDatabase=Standby,Secondary!H815,Primary!H815)</f>
        <v>-93.993780067</v>
      </c>
      <c r="I815" s="13">
        <f>IF(ActiveDatabase=Standby,Secondary!I815,Primary!I815)</f>
        <v>0</v>
      </c>
      <c r="J815" s="13">
        <f>IF(ActiveDatabase=Standby,Secondary!J815,Primary!J815)</f>
        <v>0</v>
      </c>
      <c r="K815" s="13">
        <f>IF(ActiveDatabase=Standby,Secondary!K815,Primary!K815)</f>
        <v>0</v>
      </c>
      <c r="L815" s="13">
        <f>IF(ActiveDatabase=Standby,Secondary!L815,Primary!L815)</f>
        <v>0</v>
      </c>
      <c r="M815" s="7" t="b">
        <f>IF(ActiveDatabase=Standby,Secondary!M815,Primary!M815)</f>
        <v>0</v>
      </c>
      <c r="N815" s="10">
        <f>IF(ActiveDatabase=Standby,Secondary!N815,Primary!N815)</f>
        <v>0</v>
      </c>
      <c r="O815" s="10">
        <f>IF(ActiveDatabase=Standby,Secondary!O815,Primary!O815)</f>
        <v>0</v>
      </c>
      <c r="P815" s="10">
        <f>IF(ActiveDatabase=Standby,Secondary!P815,Primary!P815)</f>
        <v>0</v>
      </c>
      <c r="Q815" s="6">
        <f>IF(ActiveDatabase=Standby,Secondary!Q815,Primary!Q815)</f>
        <v>0</v>
      </c>
      <c r="R815" s="18">
        <f>IF(ActiveDatabase=Standby,Secondary!R815,Primary!R815)</f>
        <v>0</v>
      </c>
      <c r="S815" s="19">
        <f>IF(ActiveDatabase=Standby,Secondary!S815,Primary!S815)</f>
        <v>0</v>
      </c>
      <c r="T815" s="10">
        <f>IF(ActiveDatabase=Standby,Secondary!T815,Primary!T815)</f>
        <v>0</v>
      </c>
      <c r="U815" s="10">
        <f>IF(ActiveDatabase=Standby,Secondary!U815,Primary!U815)</f>
        <v>0</v>
      </c>
      <c r="V815" s="10">
        <f>IF(ActiveDatabase=Standby,Secondary!V815,Primary!V815)</f>
        <v>0</v>
      </c>
      <c r="W815" s="6">
        <f>IF(ActiveDatabase=Standby,Secondary!W815,Primary!W815)</f>
        <v>0</v>
      </c>
      <c r="X815" s="6">
        <f>IF(ActiveDatabase=Standby,Secondary!X815,Primary!X815)</f>
        <v>0</v>
      </c>
      <c r="Y815" s="12">
        <f>IF(ActiveDatabase=Standby,Secondary!Y815,Primary!Y1473)</f>
        <v>0</v>
      </c>
      <c r="Z815" s="12">
        <f>IF(ActiveDatabase=Standby,Secondary!Z815,Primary!Z1473)</f>
        <v>0</v>
      </c>
      <c r="AA815" s="7">
        <f>IF(ActiveDatabase=Standby,Secondary!AA815,Primary!AA1473)</f>
        <v>0</v>
      </c>
      <c r="AB815" s="12"/>
      <c r="AC815" s="6"/>
      <c r="AD815" s="6"/>
      <c r="AE815" s="7"/>
      <c r="AF815" s="7"/>
      <c r="AG815" s="7"/>
      <c r="AH815" s="7"/>
      <c r="AI815" s="7"/>
      <c r="AJ815" s="7"/>
      <c r="AK815" s="7"/>
      <c r="AL815" s="7"/>
      <c r="AM815" s="7"/>
      <c r="AN815" s="7"/>
      <c r="AO815" s="6"/>
      <c r="AP815" s="7"/>
      <c r="AQ815" s="7"/>
      <c r="AR815" s="6"/>
      <c r="AS815" s="7"/>
      <c r="AT815" s="7"/>
      <c r="AU815" s="7"/>
      <c r="AV815" s="7"/>
      <c r="AW815" s="7"/>
      <c r="AX815" s="7"/>
      <c r="AY815" s="7"/>
      <c r="AZ815" s="7"/>
      <c r="BA815" s="7"/>
      <c r="BB815" s="7"/>
      <c r="BC815" s="7"/>
      <c r="BD815" s="7"/>
      <c r="BE815" s="7"/>
      <c r="BF815" s="7"/>
      <c r="BG815" s="7"/>
    </row>
    <row r="816" customHeight="1" spans="1:59">
      <c r="A816" s="9" t="str">
        <f>IF(ActiveDatabase=Standby,Secondary!A816,Primary!A816)</f>
        <v>Wala 28</v>
      </c>
      <c r="B816" s="5" t="str">
        <f>IF(ActiveDatabase=Standby,Secondary!B816,Primary!B816)</f>
        <v>Wala 33</v>
      </c>
      <c r="C816" s="5" t="str">
        <f>IF(ActiveDatabase=Standby,Secondary!C816,Primary!C816)</f>
        <v>Wala 15</v>
      </c>
      <c r="D816" s="5" t="str">
        <f>IF(ActiveDatabase=Standby,Secondary!D816,Primary!D816)</f>
        <v>Sand Cave 42F</v>
      </c>
      <c r="E816" s="6" t="str">
        <f>IF(ActiveDatabase=Standby,Secondary!E816,Primary!E816)</f>
        <v>SCave 42F</v>
      </c>
      <c r="F816" s="10">
        <f>IF(ActiveDatabase=Standby,Secondary!F816,Primary!F816)</f>
        <v>62.803037704</v>
      </c>
      <c r="G816" s="10">
        <f>IF(ActiveDatabase=Standby,Secondary!G816,Primary!G816)</f>
        <v>165.538969202</v>
      </c>
      <c r="H816" s="10">
        <f>IF(ActiveDatabase=Standby,Secondary!H816,Primary!H816)</f>
        <v>-220.565922097</v>
      </c>
      <c r="I816" s="13">
        <f>IF(ActiveDatabase=Standby,Secondary!I816,Primary!I816)</f>
        <v>0</v>
      </c>
      <c r="J816" s="13">
        <f>IF(ActiveDatabase=Standby,Secondary!J816,Primary!J816)</f>
        <v>0</v>
      </c>
      <c r="K816" s="13">
        <f>IF(ActiveDatabase=Standby,Secondary!K816,Primary!K816)</f>
        <v>0</v>
      </c>
      <c r="L816" s="13">
        <f>IF(ActiveDatabase=Standby,Secondary!L816,Primary!L816)</f>
        <v>0</v>
      </c>
      <c r="M816" s="7" t="b">
        <f>IF(ActiveDatabase=Standby,Secondary!M816,Primary!M816)</f>
        <v>0</v>
      </c>
      <c r="N816" s="10">
        <f>IF(ActiveDatabase=Standby,Secondary!N816,Primary!N816)</f>
        <v>0</v>
      </c>
      <c r="O816" s="10">
        <f>IF(ActiveDatabase=Standby,Secondary!O816,Primary!O816)</f>
        <v>0</v>
      </c>
      <c r="P816" s="10">
        <f>IF(ActiveDatabase=Standby,Secondary!P816,Primary!P816)</f>
        <v>0</v>
      </c>
      <c r="Q816" s="6">
        <f>IF(ActiveDatabase=Standby,Secondary!Q816,Primary!Q816)</f>
        <v>0</v>
      </c>
      <c r="R816" s="18">
        <f>IF(ActiveDatabase=Standby,Secondary!R816,Primary!R816)</f>
        <v>0</v>
      </c>
      <c r="S816" s="19">
        <f>IF(ActiveDatabase=Standby,Secondary!S816,Primary!S816)</f>
        <v>0</v>
      </c>
      <c r="T816" s="10">
        <f>IF(ActiveDatabase=Standby,Secondary!T816,Primary!T816)</f>
        <v>0</v>
      </c>
      <c r="U816" s="10">
        <f>IF(ActiveDatabase=Standby,Secondary!U816,Primary!U816)</f>
        <v>0</v>
      </c>
      <c r="V816" s="10">
        <f>IF(ActiveDatabase=Standby,Secondary!V816,Primary!V816)</f>
        <v>0</v>
      </c>
      <c r="W816" s="6">
        <f>IF(ActiveDatabase=Standby,Secondary!W816,Primary!W816)</f>
        <v>0</v>
      </c>
      <c r="X816" s="6">
        <f>IF(ActiveDatabase=Standby,Secondary!X816,Primary!X816)</f>
        <v>0</v>
      </c>
      <c r="Y816" s="12">
        <f>IF(ActiveDatabase=Standby,Secondary!Y816,Primary!Y1474)</f>
        <v>0</v>
      </c>
      <c r="Z816" s="12">
        <f>IF(ActiveDatabase=Standby,Secondary!Z816,Primary!Z1474)</f>
        <v>0</v>
      </c>
      <c r="AA816" s="7">
        <f>IF(ActiveDatabase=Standby,Secondary!AA816,Primary!AA1474)</f>
        <v>0</v>
      </c>
      <c r="AB816" s="12"/>
      <c r="AC816" s="6"/>
      <c r="AD816" s="6"/>
      <c r="AE816" s="7"/>
      <c r="AF816" s="7"/>
      <c r="AG816" s="7"/>
      <c r="AH816" s="7"/>
      <c r="AI816" s="7"/>
      <c r="AJ816" s="7"/>
      <c r="AK816" s="7"/>
      <c r="AL816" s="7"/>
      <c r="AM816" s="7"/>
      <c r="AN816" s="7"/>
      <c r="AO816" s="6"/>
      <c r="AP816" s="7"/>
      <c r="AQ816" s="7"/>
      <c r="AR816" s="6"/>
      <c r="AS816" s="7"/>
      <c r="AT816" s="7"/>
      <c r="AU816" s="7"/>
      <c r="AV816" s="7"/>
      <c r="AW816" s="7"/>
      <c r="AX816" s="7"/>
      <c r="AY816" s="7"/>
      <c r="AZ816" s="7"/>
      <c r="BA816" s="7"/>
      <c r="BB816" s="7"/>
      <c r="BC816" s="7"/>
      <c r="BD816" s="7"/>
      <c r="BE816" s="7"/>
      <c r="BF816" s="7"/>
      <c r="BG816" s="7"/>
    </row>
    <row r="817" customHeight="1" spans="1:59">
      <c r="A817" s="9" t="str">
        <f>IF(ActiveDatabase=Standby,Secondary!A817,Primary!A817)</f>
        <v>Wala 14</v>
      </c>
      <c r="B817" s="5" t="str">
        <f>IF(ActiveDatabase=Standby,Secondary!B817,Primary!B817)</f>
        <v>Wala 19</v>
      </c>
      <c r="C817" s="5" t="str">
        <f>IF(ActiveDatabase=Standby,Secondary!C817,Primary!C817)</f>
        <v>Wala 40</v>
      </c>
      <c r="D817" s="5" t="str">
        <f>IF(ActiveDatabase=Standby,Secondary!D817,Primary!D817)</f>
        <v>Sand Cave 01V</v>
      </c>
      <c r="E817" s="6" t="str">
        <f>IF(ActiveDatabase=Standby,Secondary!E817,Primary!E817)</f>
        <v>SCave 01V</v>
      </c>
      <c r="F817" s="10">
        <f>IF(ActiveDatabase=Standby,Secondary!F817,Primary!F817)</f>
        <v>-153.83925841</v>
      </c>
      <c r="G817" s="10">
        <f>IF(ActiveDatabase=Standby,Secondary!G817,Primary!G817)</f>
        <v>-15.177891545</v>
      </c>
      <c r="H817" s="10">
        <f>IF(ActiveDatabase=Standby,Secondary!H817,Primary!H817)</f>
        <v>236.556934925999</v>
      </c>
      <c r="I817" s="13">
        <f>IF(ActiveDatabase=Standby,Secondary!I817,Primary!I817)</f>
        <v>0</v>
      </c>
      <c r="J817" s="13">
        <f>IF(ActiveDatabase=Standby,Secondary!J817,Primary!J817)</f>
        <v>0</v>
      </c>
      <c r="K817" s="13">
        <f>IF(ActiveDatabase=Standby,Secondary!K817,Primary!K817)</f>
        <v>0</v>
      </c>
      <c r="L817" s="13">
        <f>IF(ActiveDatabase=Standby,Secondary!L817,Primary!L817)</f>
        <v>0</v>
      </c>
      <c r="M817" s="7" t="b">
        <f>IF(ActiveDatabase=Standby,Secondary!M817,Primary!M817)</f>
        <v>0</v>
      </c>
      <c r="N817" s="10">
        <f>IF(ActiveDatabase=Standby,Secondary!N817,Primary!N817)</f>
        <v>0</v>
      </c>
      <c r="O817" s="10">
        <f>IF(ActiveDatabase=Standby,Secondary!O817,Primary!O817)</f>
        <v>0</v>
      </c>
      <c r="P817" s="10">
        <f>IF(ActiveDatabase=Standby,Secondary!P817,Primary!P817)</f>
        <v>0</v>
      </c>
      <c r="Q817" s="6">
        <f>IF(ActiveDatabase=Standby,Secondary!Q817,Primary!Q817)</f>
        <v>0</v>
      </c>
      <c r="R817" s="18">
        <f>IF(ActiveDatabase=Standby,Secondary!R817,Primary!R817)</f>
        <v>0</v>
      </c>
      <c r="S817" s="19">
        <f>IF(ActiveDatabase=Standby,Secondary!S817,Primary!S817)</f>
        <v>0</v>
      </c>
      <c r="T817" s="10">
        <f>IF(ActiveDatabase=Standby,Secondary!T817,Primary!T817)</f>
        <v>0</v>
      </c>
      <c r="U817" s="10">
        <f>IF(ActiveDatabase=Standby,Secondary!U817,Primary!U817)</f>
        <v>0</v>
      </c>
      <c r="V817" s="10">
        <f>IF(ActiveDatabase=Standby,Secondary!V817,Primary!V817)</f>
        <v>0</v>
      </c>
      <c r="W817" s="6">
        <f>IF(ActiveDatabase=Standby,Secondary!W817,Primary!W817)</f>
        <v>0</v>
      </c>
      <c r="X817" s="6">
        <f>IF(ActiveDatabase=Standby,Secondary!X817,Primary!X817)</f>
        <v>0</v>
      </c>
      <c r="Y817" s="12">
        <f>IF(ActiveDatabase=Standby,Secondary!Y817,Primary!Y1475)</f>
        <v>0</v>
      </c>
      <c r="Z817" s="12">
        <f>IF(ActiveDatabase=Standby,Secondary!Z817,Primary!Z1475)</f>
        <v>0</v>
      </c>
      <c r="AA817" s="7">
        <f>IF(ActiveDatabase=Standby,Secondary!AA817,Primary!AA1475)</f>
        <v>0</v>
      </c>
      <c r="AB817" s="12"/>
      <c r="AC817" s="6"/>
      <c r="AD817" s="6"/>
      <c r="AE817" s="7"/>
      <c r="AF817" s="7"/>
      <c r="AG817" s="7"/>
      <c r="AH817" s="7"/>
      <c r="AI817" s="7"/>
      <c r="AJ817" s="7"/>
      <c r="AK817" s="7"/>
      <c r="AL817" s="7"/>
      <c r="AM817" s="7"/>
      <c r="AN817" s="7"/>
      <c r="AO817" s="6"/>
      <c r="AP817" s="7"/>
      <c r="AQ817" s="7"/>
      <c r="AR817" s="6"/>
      <c r="AS817" s="7"/>
      <c r="AT817" s="7"/>
      <c r="AU817" s="7"/>
      <c r="AV817" s="7"/>
      <c r="AW817" s="7"/>
      <c r="AX817" s="7"/>
      <c r="AY817" s="7"/>
      <c r="AZ817" s="7"/>
      <c r="BA817" s="7"/>
      <c r="BB817" s="7"/>
      <c r="BC817" s="7"/>
      <c r="BD817" s="7"/>
      <c r="BE817" s="7"/>
      <c r="BF817" s="7"/>
      <c r="BG817" s="7"/>
    </row>
    <row r="818" customHeight="1" spans="1:59">
      <c r="A818" s="9" t="str">
        <f>IF(ActiveDatabase=Standby,Secondary!A818,Primary!A818)</f>
        <v>Wala 19</v>
      </c>
      <c r="B818" s="5" t="str">
        <f>IF(ActiveDatabase=Standby,Secondary!B818,Primary!B818)</f>
        <v>Wala 24</v>
      </c>
      <c r="C818" s="5" t="str">
        <f>IF(ActiveDatabase=Standby,Secondary!C818,Primary!C818)</f>
        <v>Wala 35</v>
      </c>
      <c r="D818" s="5" t="str">
        <f>IF(ActiveDatabase=Standby,Secondary!D818,Primary!D818)</f>
        <v>Sand Cave 11U</v>
      </c>
      <c r="E818" s="6" t="str">
        <f>IF(ActiveDatabase=Standby,Secondary!E818,Primary!E818)</f>
        <v>SCave 11U</v>
      </c>
      <c r="F818" s="10">
        <f>IF(ActiveDatabase=Standby,Secondary!F818,Primary!F818)</f>
        <v>-68.4199128449999</v>
      </c>
      <c r="G818" s="10">
        <f>IF(ActiveDatabase=Standby,Secondary!G818,Primary!G818)</f>
        <v>-145.704356189</v>
      </c>
      <c r="H818" s="10">
        <f>IF(ActiveDatabase=Standby,Secondary!H818,Primary!H818)</f>
        <v>233.01132195</v>
      </c>
      <c r="I818" s="13">
        <f>IF(ActiveDatabase=Standby,Secondary!I818,Primary!I818)</f>
        <v>0</v>
      </c>
      <c r="J818" s="13">
        <f>IF(ActiveDatabase=Standby,Secondary!J818,Primary!J818)</f>
        <v>0</v>
      </c>
      <c r="K818" s="13">
        <f>IF(ActiveDatabase=Standby,Secondary!K818,Primary!K818)</f>
        <v>0</v>
      </c>
      <c r="L818" s="13">
        <f>IF(ActiveDatabase=Standby,Secondary!L818,Primary!L818)</f>
        <v>0</v>
      </c>
      <c r="M818" s="7" t="b">
        <f>IF(ActiveDatabase=Standby,Secondary!M818,Primary!M818)</f>
        <v>0</v>
      </c>
      <c r="N818" s="10">
        <f>IF(ActiveDatabase=Standby,Secondary!N818,Primary!N818)</f>
        <v>0</v>
      </c>
      <c r="O818" s="10">
        <f>IF(ActiveDatabase=Standby,Secondary!O818,Primary!O818)</f>
        <v>0</v>
      </c>
      <c r="P818" s="10">
        <f>IF(ActiveDatabase=Standby,Secondary!P818,Primary!P818)</f>
        <v>0</v>
      </c>
      <c r="Q818" s="6">
        <f>IF(ActiveDatabase=Standby,Secondary!Q818,Primary!Q818)</f>
        <v>0</v>
      </c>
      <c r="R818" s="18">
        <f>IF(ActiveDatabase=Standby,Secondary!R818,Primary!R818)</f>
        <v>0</v>
      </c>
      <c r="S818" s="19">
        <f>IF(ActiveDatabase=Standby,Secondary!S818,Primary!S818)</f>
        <v>0</v>
      </c>
      <c r="T818" s="10">
        <f>IF(ActiveDatabase=Standby,Secondary!T818,Primary!T818)</f>
        <v>0</v>
      </c>
      <c r="U818" s="10">
        <f>IF(ActiveDatabase=Standby,Secondary!U818,Primary!U818)</f>
        <v>0</v>
      </c>
      <c r="V818" s="10">
        <f>IF(ActiveDatabase=Standby,Secondary!V818,Primary!V818)</f>
        <v>0</v>
      </c>
      <c r="W818" s="6">
        <f>IF(ActiveDatabase=Standby,Secondary!W818,Primary!W818)</f>
        <v>0</v>
      </c>
      <c r="X818" s="6">
        <f>IF(ActiveDatabase=Standby,Secondary!X818,Primary!X818)</f>
        <v>0</v>
      </c>
      <c r="Y818" s="12">
        <f>IF(ActiveDatabase=Standby,Secondary!Y818,Primary!Y1476)</f>
        <v>0</v>
      </c>
      <c r="Z818" s="12">
        <f>IF(ActiveDatabase=Standby,Secondary!Z818,Primary!Z1476)</f>
        <v>0</v>
      </c>
      <c r="AA818" s="7">
        <f>IF(ActiveDatabase=Standby,Secondary!AA818,Primary!AA1476)</f>
        <v>0</v>
      </c>
      <c r="AB818" s="12"/>
      <c r="AC818" s="6"/>
      <c r="AD818" s="6"/>
      <c r="AE818" s="7"/>
      <c r="AF818" s="7"/>
      <c r="AG818" s="7"/>
      <c r="AH818" s="7"/>
      <c r="AI818" s="7"/>
      <c r="AJ818" s="7"/>
      <c r="AK818" s="7"/>
      <c r="AL818" s="7"/>
      <c r="AM818" s="7"/>
      <c r="AN818" s="7"/>
      <c r="AO818" s="6"/>
      <c r="AP818" s="7"/>
      <c r="AQ818" s="7"/>
      <c r="AR818" s="6"/>
      <c r="AS818" s="7"/>
      <c r="AT818" s="7"/>
      <c r="AU818" s="7"/>
      <c r="AV818" s="7"/>
      <c r="AW818" s="7"/>
      <c r="AX818" s="7"/>
      <c r="AY818" s="7"/>
      <c r="AZ818" s="7"/>
      <c r="BA818" s="7"/>
      <c r="BB818" s="7"/>
      <c r="BC818" s="7"/>
      <c r="BD818" s="7"/>
      <c r="BE818" s="7"/>
      <c r="BF818" s="7"/>
      <c r="BG818" s="7"/>
    </row>
    <row r="819" customHeight="1" spans="1:59">
      <c r="A819" s="9" t="str">
        <f>IF(ActiveDatabase=Standby,Secondary!A819,Primary!A819)</f>
        <v>Wala</v>
      </c>
      <c r="B819" s="5" t="str">
        <f>IF(ActiveDatabase=Standby,Secondary!B819,Primary!B819)</f>
        <v>Wala 40</v>
      </c>
      <c r="C819" s="5">
        <f>IF(ActiveDatabase=Standby,Secondary!C819,Primary!C819)</f>
        <v>0</v>
      </c>
      <c r="D819" s="5" t="str">
        <f>IF(ActiveDatabase=Standby,Secondary!D819,Primary!D819)</f>
        <v>Wrecks</v>
      </c>
      <c r="E819" s="6">
        <f>IF(ActiveDatabase=Standby,Secondary!E819,Primary!E819)</f>
        <v>0</v>
      </c>
      <c r="F819" s="10">
        <f>IF(ActiveDatabase=Standby,Secondary!F819,Primary!F819)</f>
        <v>0</v>
      </c>
      <c r="G819" s="10">
        <f>IF(ActiveDatabase=Standby,Secondary!G819,Primary!G819)</f>
        <v>0</v>
      </c>
      <c r="H819" s="10">
        <f>IF(ActiveDatabase=Standby,Secondary!H819,Primary!H819)</f>
        <v>0</v>
      </c>
      <c r="I819" s="13">
        <f>IF(ActiveDatabase=Standby,Secondary!I819,Primary!I819)</f>
        <v>0</v>
      </c>
      <c r="J819" s="13">
        <f>IF(ActiveDatabase=Standby,Secondary!J819,Primary!J819)</f>
        <v>0</v>
      </c>
      <c r="K819" s="13">
        <f>IF(ActiveDatabase=Standby,Secondary!K819,Primary!K819)</f>
        <v>0</v>
      </c>
      <c r="L819" s="13">
        <f>IF(ActiveDatabase=Standby,Secondary!L819,Primary!L819)</f>
        <v>0</v>
      </c>
      <c r="M819" s="7">
        <f>IF(ActiveDatabase=Standby,Secondary!M819,Primary!M819)</f>
        <v>0</v>
      </c>
      <c r="N819" s="10">
        <f>IF(ActiveDatabase=Standby,Secondary!N819,Primary!N819)</f>
        <v>0</v>
      </c>
      <c r="O819" s="10">
        <f>IF(ActiveDatabase=Standby,Secondary!O819,Primary!O819)</f>
        <v>0</v>
      </c>
      <c r="P819" s="10">
        <f>IF(ActiveDatabase=Standby,Secondary!P819,Primary!P819)</f>
        <v>0</v>
      </c>
      <c r="Q819" s="6">
        <f>IF(ActiveDatabase=Standby,Secondary!Q819,Primary!Q819)</f>
        <v>0</v>
      </c>
      <c r="R819" s="18">
        <f>IF(ActiveDatabase=Standby,Secondary!R819,Primary!R819)</f>
        <v>0</v>
      </c>
      <c r="S819" s="19">
        <f>IF(ActiveDatabase=Standby,Secondary!S819,Primary!S819)</f>
        <v>0</v>
      </c>
      <c r="T819" s="10">
        <f>IF(ActiveDatabase=Standby,Secondary!T819,Primary!T819)</f>
        <v>0</v>
      </c>
      <c r="U819" s="10">
        <f>IF(ActiveDatabase=Standby,Secondary!U819,Primary!U819)</f>
        <v>0</v>
      </c>
      <c r="V819" s="10">
        <f>IF(ActiveDatabase=Standby,Secondary!V819,Primary!V819)</f>
        <v>0</v>
      </c>
      <c r="W819" s="6">
        <f>IF(ActiveDatabase=Standby,Secondary!W819,Primary!W819)</f>
        <v>0</v>
      </c>
      <c r="X819" s="6">
        <f>IF(ActiveDatabase=Standby,Secondary!X819,Primary!X819)</f>
        <v>0</v>
      </c>
      <c r="Y819" s="12">
        <f>IF(ActiveDatabase=Standby,Secondary!Y819,Primary!Y1477)</f>
        <v>0</v>
      </c>
      <c r="Z819" s="12">
        <f>IF(ActiveDatabase=Standby,Secondary!Z819,Primary!Z1477)</f>
        <v>0</v>
      </c>
      <c r="AA819" s="7">
        <f>IF(ActiveDatabase=Standby,Secondary!AA819,Primary!AA1477)</f>
        <v>0</v>
      </c>
      <c r="AB819" s="12"/>
      <c r="AC819" s="6"/>
      <c r="AD819" s="6"/>
      <c r="AE819" s="7"/>
      <c r="AF819" s="7"/>
      <c r="AG819" s="7"/>
      <c r="AH819" s="7"/>
      <c r="AI819" s="7"/>
      <c r="AJ819" s="7"/>
      <c r="AK819" s="7"/>
      <c r="AL819" s="7"/>
      <c r="AM819" s="7"/>
      <c r="AN819" s="7"/>
      <c r="AO819" s="6"/>
      <c r="AP819" s="7"/>
      <c r="AQ819" s="7"/>
      <c r="AR819" s="6"/>
      <c r="AS819" s="7"/>
      <c r="AT819" s="7"/>
      <c r="AU819" s="7"/>
      <c r="AV819" s="7"/>
      <c r="AW819" s="7"/>
      <c r="AX819" s="7"/>
      <c r="AY819" s="7"/>
      <c r="AZ819" s="7"/>
      <c r="BA819" s="7"/>
      <c r="BB819" s="7"/>
      <c r="BC819" s="7"/>
      <c r="BD819" s="7"/>
      <c r="BE819" s="7"/>
      <c r="BF819" s="7"/>
      <c r="BG819" s="7"/>
    </row>
    <row r="820" customHeight="1" spans="1:59">
      <c r="A820" s="9" t="str">
        <f>IF(ActiveDatabase=Standby,Secondary!A820,Primary!A820)</f>
        <v>Wala 36</v>
      </c>
      <c r="B820" s="5" t="str">
        <f>IF(ActiveDatabase=Standby,Secondary!B820,Primary!B820)</f>
        <v>Wala 43</v>
      </c>
      <c r="C820" s="5" t="str">
        <f>IF(ActiveDatabase=Standby,Secondary!C820,Primary!C820)</f>
        <v>Wala 01</v>
      </c>
      <c r="D820" s="5" t="str">
        <f>IF(ActiveDatabase=Standby,Secondary!D820,Primary!D820)</f>
        <v>Caterpillar Wreck 60M</v>
      </c>
      <c r="E820" s="6" t="str">
        <f>IF(ActiveDatabase=Standby,Secondary!E820,Primary!E820)</f>
        <v>Caterpillar 60M</v>
      </c>
      <c r="F820" s="10">
        <f>IF(ActiveDatabase=Standby,Secondary!F820,Primary!F820)</f>
        <v>-281.801297742999</v>
      </c>
      <c r="G820" s="10">
        <f>IF(ActiveDatabase=Standby,Secondary!G820,Primary!G820)</f>
        <v>10.5471646299999</v>
      </c>
      <c r="H820" s="10">
        <f>IF(ActiveDatabase=Standby,Secondary!H820,Primary!H820)</f>
        <v>-22.471943313</v>
      </c>
      <c r="I820" s="13">
        <f>IF(ActiveDatabase=Standby,Secondary!I820,Primary!I820)</f>
        <v>0</v>
      </c>
      <c r="J820" s="13">
        <f>IF(ActiveDatabase=Standby,Secondary!J820,Primary!J820)</f>
        <v>0</v>
      </c>
      <c r="K820" s="13">
        <f>IF(ActiveDatabase=Standby,Secondary!K820,Primary!K820)</f>
        <v>0</v>
      </c>
      <c r="L820" s="13">
        <f>IF(ActiveDatabase=Standby,Secondary!L820,Primary!L820)</f>
        <v>0</v>
      </c>
      <c r="M820" s="7" t="b">
        <f>IF(ActiveDatabase=Standby,Secondary!M820,Primary!M820)</f>
        <v>0</v>
      </c>
      <c r="N820" s="10">
        <f>IF(ActiveDatabase=Standby,Secondary!N820,Primary!N820)</f>
        <v>0</v>
      </c>
      <c r="O820" s="10">
        <f>IF(ActiveDatabase=Standby,Secondary!O820,Primary!O820)</f>
        <v>0</v>
      </c>
      <c r="P820" s="10">
        <f>IF(ActiveDatabase=Standby,Secondary!P820,Primary!P820)</f>
        <v>0</v>
      </c>
      <c r="Q820" s="6">
        <f>IF(ActiveDatabase=Standby,Secondary!Q820,Primary!Q820)</f>
        <v>0</v>
      </c>
      <c r="R820" s="18">
        <f>IF(ActiveDatabase=Standby,Secondary!R820,Primary!R820)</f>
        <v>0</v>
      </c>
      <c r="S820" s="19">
        <f>IF(ActiveDatabase=Standby,Secondary!S820,Primary!S820)</f>
        <v>0</v>
      </c>
      <c r="T820" s="10">
        <f>IF(ActiveDatabase=Standby,Secondary!T820,Primary!T820)</f>
        <v>0</v>
      </c>
      <c r="U820" s="10">
        <f>IF(ActiveDatabase=Standby,Secondary!U820,Primary!U820)</f>
        <v>0</v>
      </c>
      <c r="V820" s="10">
        <f>IF(ActiveDatabase=Standby,Secondary!V820,Primary!V820)</f>
        <v>0</v>
      </c>
      <c r="W820" s="6">
        <f>IF(ActiveDatabase=Standby,Secondary!W820,Primary!W820)</f>
        <v>0</v>
      </c>
      <c r="X820" s="6">
        <f>IF(ActiveDatabase=Standby,Secondary!X820,Primary!X820)</f>
        <v>0</v>
      </c>
      <c r="Y820" s="12">
        <f>IF(ActiveDatabase=Standby,Secondary!Y820,Primary!Y1478)</f>
        <v>0</v>
      </c>
      <c r="Z820" s="12">
        <f>IF(ActiveDatabase=Standby,Secondary!Z820,Primary!Z1478)</f>
        <v>0</v>
      </c>
      <c r="AA820" s="7">
        <f>IF(ActiveDatabase=Standby,Secondary!AA820,Primary!AA1478)</f>
        <v>0</v>
      </c>
      <c r="AB820" s="12"/>
      <c r="AC820" s="6"/>
      <c r="AD820" s="6"/>
      <c r="AE820" s="7"/>
      <c r="AF820" s="7"/>
      <c r="AG820" s="7"/>
      <c r="AH820" s="7"/>
      <c r="AI820" s="7"/>
      <c r="AJ820" s="7"/>
      <c r="AK820" s="7"/>
      <c r="AL820" s="7"/>
      <c r="AM820" s="7"/>
      <c r="AN820" s="7"/>
      <c r="AO820" s="6"/>
      <c r="AP820" s="7"/>
      <c r="AQ820" s="7"/>
      <c r="AR820" s="6"/>
      <c r="AS820" s="7"/>
      <c r="AT820" s="7"/>
      <c r="AU820" s="7"/>
      <c r="AV820" s="7"/>
      <c r="AW820" s="7"/>
      <c r="AX820" s="7"/>
      <c r="AY820" s="7"/>
      <c r="AZ820" s="7"/>
      <c r="BA820" s="7"/>
      <c r="BB820" s="7"/>
      <c r="BC820" s="7"/>
      <c r="BD820" s="7"/>
      <c r="BE820" s="7"/>
      <c r="BF820" s="7"/>
      <c r="BG820" s="7"/>
    </row>
    <row r="821" customHeight="1" spans="1:59">
      <c r="A821" s="9" t="str">
        <f>IF(ActiveDatabase=Standby,Secondary!A821,Primary!A821)</f>
        <v>Wala 34</v>
      </c>
      <c r="B821" s="5" t="str">
        <f>IF(ActiveDatabase=Standby,Secondary!B821,Primary!B821)</f>
        <v>Wala 41</v>
      </c>
      <c r="C821" s="5" t="str">
        <f>IF(ActiveDatabase=Standby,Secondary!C821,Primary!C821)</f>
        <v>Wala 22</v>
      </c>
      <c r="D821" s="5" t="str">
        <f>IF(ActiveDatabase=Standby,Secondary!D821,Primary!D821)</f>
        <v>Caterpillar Wreck 32H</v>
      </c>
      <c r="E821" s="6" t="str">
        <f>IF(ActiveDatabase=Standby,Secondary!E821,Primary!E821)</f>
        <v>Caterpillar 32H</v>
      </c>
      <c r="F821" s="10">
        <f>IF(ActiveDatabase=Standby,Secondary!F821,Primary!F821)</f>
        <v>232.944419679278</v>
      </c>
      <c r="G821" s="10">
        <f>IF(ActiveDatabase=Standby,Secondary!G821,Primary!G821)</f>
        <v>30.5985524459546</v>
      </c>
      <c r="H821" s="10">
        <f>IF(ActiveDatabase=Standby,Secondary!H821,Primary!H821)</f>
        <v>-156.72579539771</v>
      </c>
      <c r="I821" s="13">
        <f>IF(ActiveDatabase=Standby,Secondary!I821,Primary!I821)</f>
        <v>0</v>
      </c>
      <c r="J821" s="13">
        <f>IF(ActiveDatabase=Standby,Secondary!J821,Primary!J821)</f>
        <v>0</v>
      </c>
      <c r="K821" s="13">
        <f>IF(ActiveDatabase=Standby,Secondary!K821,Primary!K821)</f>
        <v>0</v>
      </c>
      <c r="L821" s="13">
        <f>IF(ActiveDatabase=Standby,Secondary!L821,Primary!L821)</f>
        <v>0</v>
      </c>
      <c r="M821" s="7" t="b">
        <f>IF(ActiveDatabase=Standby,Secondary!M821,Primary!M821)</f>
        <v>0</v>
      </c>
      <c r="N821" s="10">
        <f>IF(ActiveDatabase=Standby,Secondary!N821,Primary!N821)</f>
        <v>0</v>
      </c>
      <c r="O821" s="10">
        <f>IF(ActiveDatabase=Standby,Secondary!O821,Primary!O821)</f>
        <v>0</v>
      </c>
      <c r="P821" s="10">
        <f>IF(ActiveDatabase=Standby,Secondary!P821,Primary!P821)</f>
        <v>0</v>
      </c>
      <c r="Q821" s="6">
        <f>IF(ActiveDatabase=Standby,Secondary!Q821,Primary!Q821)</f>
        <v>0</v>
      </c>
      <c r="R821" s="18">
        <f>IF(ActiveDatabase=Standby,Secondary!R821,Primary!R821)</f>
        <v>0</v>
      </c>
      <c r="S821" s="19">
        <f>IF(ActiveDatabase=Standby,Secondary!S821,Primary!S821)</f>
        <v>0</v>
      </c>
      <c r="T821" s="10">
        <f>IF(ActiveDatabase=Standby,Secondary!T821,Primary!T821)</f>
        <v>0</v>
      </c>
      <c r="U821" s="10">
        <f>IF(ActiveDatabase=Standby,Secondary!U821,Primary!U821)</f>
        <v>0</v>
      </c>
      <c r="V821" s="10">
        <f>IF(ActiveDatabase=Standby,Secondary!V821,Primary!V821)</f>
        <v>0</v>
      </c>
      <c r="W821" s="6">
        <f>IF(ActiveDatabase=Standby,Secondary!W821,Primary!W821)</f>
        <v>0</v>
      </c>
      <c r="X821" s="6">
        <f>IF(ActiveDatabase=Standby,Secondary!X821,Primary!X821)</f>
        <v>0</v>
      </c>
      <c r="Y821" s="12">
        <f>IF(ActiveDatabase=Standby,Secondary!Y821,Primary!Y1479)</f>
        <v>0</v>
      </c>
      <c r="Z821" s="12">
        <f>IF(ActiveDatabase=Standby,Secondary!Z821,Primary!Z1479)</f>
        <v>0</v>
      </c>
      <c r="AA821" s="7">
        <f>IF(ActiveDatabase=Standby,Secondary!AA821,Primary!AA1479)</f>
        <v>0</v>
      </c>
      <c r="AB821" s="12"/>
      <c r="AC821" s="6"/>
      <c r="AD821" s="6"/>
      <c r="AE821" s="7"/>
      <c r="AF821" s="7"/>
      <c r="AG821" s="7"/>
      <c r="AH821" s="7"/>
      <c r="AI821" s="7"/>
      <c r="AJ821" s="7"/>
      <c r="AK821" s="7"/>
      <c r="AL821" s="7"/>
      <c r="AM821" s="7"/>
      <c r="AN821" s="7"/>
      <c r="AO821" s="6"/>
      <c r="AP821" s="7"/>
      <c r="AQ821" s="7"/>
      <c r="AR821" s="6"/>
      <c r="AS821" s="7"/>
      <c r="AT821" s="7"/>
      <c r="AU821" s="7"/>
      <c r="AV821" s="7"/>
      <c r="AW821" s="7"/>
      <c r="AX821" s="7"/>
      <c r="AY821" s="7"/>
      <c r="AZ821" s="7"/>
      <c r="BA821" s="7"/>
      <c r="BB821" s="7"/>
      <c r="BC821" s="7"/>
      <c r="BD821" s="7"/>
      <c r="BE821" s="7"/>
      <c r="BF821" s="7"/>
      <c r="BG821" s="7"/>
    </row>
    <row r="822" customHeight="1" spans="1:59">
      <c r="A822" s="9" t="str">
        <f>IF(ActiveDatabase=Standby,Secondary!A822,Primary!A822)</f>
        <v>Wala 35</v>
      </c>
      <c r="B822" s="5" t="str">
        <f>IF(ActiveDatabase=Standby,Secondary!B822,Primary!B822)</f>
        <v>Wala 42</v>
      </c>
      <c r="C822" s="5" t="str">
        <f>IF(ActiveDatabase=Standby,Secondary!C822,Primary!C822)</f>
        <v>Wala 05</v>
      </c>
      <c r="D822" s="5" t="str">
        <f>IF(ActiveDatabase=Standby,Secondary!D822,Primary!D822)</f>
        <v>Caterpillar Wreck 56F</v>
      </c>
      <c r="E822" s="6" t="str">
        <f>IF(ActiveDatabase=Standby,Secondary!E822,Primary!E822)</f>
        <v>Caterpillar 56F</v>
      </c>
      <c r="F822" s="10">
        <f>IF(ActiveDatabase=Standby,Secondary!F822,Primary!F822)</f>
        <v>-164.031</v>
      </c>
      <c r="G822" s="10">
        <f>IF(ActiveDatabase=Standby,Secondary!G822,Primary!G822)</f>
        <v>85.551</v>
      </c>
      <c r="H822" s="10">
        <f>IF(ActiveDatabase=Standby,Secondary!H822,Primary!H822)</f>
        <v>-213.83</v>
      </c>
      <c r="I822" s="13">
        <f>IF(ActiveDatabase=Standby,Secondary!I822,Primary!I822)</f>
        <v>0</v>
      </c>
      <c r="J822" s="13">
        <f>IF(ActiveDatabase=Standby,Secondary!J822,Primary!J822)</f>
        <v>0</v>
      </c>
      <c r="K822" s="13">
        <f>IF(ActiveDatabase=Standby,Secondary!K822,Primary!K822)</f>
        <v>0</v>
      </c>
      <c r="L822" s="13">
        <f>IF(ActiveDatabase=Standby,Secondary!L822,Primary!L822)</f>
        <v>0</v>
      </c>
      <c r="M822" s="7" t="b">
        <f>IF(ActiveDatabase=Standby,Secondary!M822,Primary!M822)</f>
        <v>0</v>
      </c>
      <c r="N822" s="10">
        <f>IF(ActiveDatabase=Standby,Secondary!N822,Primary!N822)</f>
        <v>0</v>
      </c>
      <c r="O822" s="10">
        <f>IF(ActiveDatabase=Standby,Secondary!O822,Primary!O822)</f>
        <v>0</v>
      </c>
      <c r="P822" s="10">
        <f>IF(ActiveDatabase=Standby,Secondary!P822,Primary!P822)</f>
        <v>0</v>
      </c>
      <c r="Q822" s="6">
        <f>IF(ActiveDatabase=Standby,Secondary!Q822,Primary!Q822)</f>
        <v>0</v>
      </c>
      <c r="R822" s="18">
        <f>IF(ActiveDatabase=Standby,Secondary!R822,Primary!R822)</f>
        <v>0</v>
      </c>
      <c r="S822" s="19">
        <f>IF(ActiveDatabase=Standby,Secondary!S822,Primary!S822)</f>
        <v>0</v>
      </c>
      <c r="T822" s="10">
        <f>IF(ActiveDatabase=Standby,Secondary!T822,Primary!T822)</f>
        <v>0</v>
      </c>
      <c r="U822" s="10">
        <f>IF(ActiveDatabase=Standby,Secondary!U822,Primary!U822)</f>
        <v>0</v>
      </c>
      <c r="V822" s="10">
        <f>IF(ActiveDatabase=Standby,Secondary!V822,Primary!V822)</f>
        <v>0</v>
      </c>
      <c r="W822" s="6">
        <f>IF(ActiveDatabase=Standby,Secondary!W822,Primary!W822)</f>
        <v>0</v>
      </c>
      <c r="X822" s="6">
        <f>IF(ActiveDatabase=Standby,Secondary!X822,Primary!X822)</f>
        <v>0</v>
      </c>
      <c r="Y822" s="12">
        <f>IF(ActiveDatabase=Standby,Secondary!Y822,Primary!Y1480)</f>
        <v>0</v>
      </c>
      <c r="Z822" s="12">
        <f>IF(ActiveDatabase=Standby,Secondary!Z822,Primary!Z1480)</f>
        <v>0</v>
      </c>
      <c r="AA822" s="7">
        <f>IF(ActiveDatabase=Standby,Secondary!AA822,Primary!AA1480)</f>
        <v>0</v>
      </c>
      <c r="AB822" s="12"/>
      <c r="AC822" s="6"/>
      <c r="AD822" s="6"/>
      <c r="AE822" s="7"/>
      <c r="AF822" s="7"/>
      <c r="AG822" s="7"/>
      <c r="AH822" s="7"/>
      <c r="AI822" s="7"/>
      <c r="AJ822" s="7"/>
      <c r="AK822" s="7"/>
      <c r="AL822" s="7"/>
      <c r="AM822" s="7"/>
      <c r="AN822" s="7"/>
      <c r="AO822" s="6"/>
      <c r="AP822" s="7"/>
      <c r="AQ822" s="7"/>
      <c r="AR822" s="6"/>
      <c r="AS822" s="7"/>
      <c r="AT822" s="7"/>
      <c r="AU822" s="7"/>
      <c r="AV822" s="7"/>
      <c r="AW822" s="7"/>
      <c r="AX822" s="7"/>
      <c r="AY822" s="7"/>
      <c r="AZ822" s="7"/>
      <c r="BA822" s="7"/>
      <c r="BB822" s="7"/>
      <c r="BC822" s="7"/>
      <c r="BD822" s="7"/>
      <c r="BE822" s="7"/>
      <c r="BF822" s="7"/>
      <c r="BG822" s="7"/>
    </row>
    <row r="823" customHeight="1" spans="1:59">
      <c r="A823" s="9" t="str">
        <f>IF(ActiveDatabase=Standby,Secondary!A823,Primary!A823)</f>
        <v>Wala 37</v>
      </c>
      <c r="B823" s="5" t="str">
        <f>IF(ActiveDatabase=Standby,Secondary!B823,Primary!B823)</f>
        <v>Wala 44</v>
      </c>
      <c r="C823" s="5" t="str">
        <f>IF(ActiveDatabase=Standby,Secondary!C823,Primary!C823)</f>
        <v>Wala 29</v>
      </c>
      <c r="D823" s="5" t="str">
        <f>IF(ActiveDatabase=Standby,Secondary!D823,Primary!D823)</f>
        <v>Freelancer Wreck</v>
      </c>
      <c r="E823" s="6" t="str">
        <f>IF(ActiveDatabase=Standby,Secondary!E823,Primary!E823)</f>
        <v>Freelancer</v>
      </c>
      <c r="F823" s="10">
        <f>IF(ActiveDatabase=Standby,Secondary!F823,Primary!F823)</f>
        <v>158.741238590913</v>
      </c>
      <c r="G823" s="10">
        <f>IF(ActiveDatabase=Standby,Secondary!G823,Primary!G823)</f>
        <v>-212.548643797474</v>
      </c>
      <c r="H823" s="10">
        <f>IF(ActiveDatabase=Standby,Secondary!H823,Primary!H823)</f>
        <v>-99.0892809628783</v>
      </c>
      <c r="I823" s="13">
        <f>IF(ActiveDatabase=Standby,Secondary!I823,Primary!I823)</f>
        <v>0</v>
      </c>
      <c r="J823" s="13">
        <f>IF(ActiveDatabase=Standby,Secondary!J823,Primary!J823)</f>
        <v>0</v>
      </c>
      <c r="K823" s="13">
        <f>IF(ActiveDatabase=Standby,Secondary!K823,Primary!K823)</f>
        <v>0</v>
      </c>
      <c r="L823" s="13">
        <f>IF(ActiveDatabase=Standby,Secondary!L823,Primary!L823)</f>
        <v>0</v>
      </c>
      <c r="M823" s="7" t="b">
        <f>IF(ActiveDatabase=Standby,Secondary!M823,Primary!M823)</f>
        <v>0</v>
      </c>
      <c r="N823" s="10">
        <f>IF(ActiveDatabase=Standby,Secondary!N823,Primary!N823)</f>
        <v>0</v>
      </c>
      <c r="O823" s="10">
        <f>IF(ActiveDatabase=Standby,Secondary!O823,Primary!O823)</f>
        <v>0</v>
      </c>
      <c r="P823" s="10">
        <f>IF(ActiveDatabase=Standby,Secondary!P823,Primary!P823)</f>
        <v>0</v>
      </c>
      <c r="Q823" s="6">
        <f>IF(ActiveDatabase=Standby,Secondary!Q823,Primary!Q823)</f>
        <v>0</v>
      </c>
      <c r="R823" s="18">
        <f>IF(ActiveDatabase=Standby,Secondary!R823,Primary!R823)</f>
        <v>0</v>
      </c>
      <c r="S823" s="19">
        <f>IF(ActiveDatabase=Standby,Secondary!S823,Primary!S823)</f>
        <v>0</v>
      </c>
      <c r="T823" s="10">
        <f>IF(ActiveDatabase=Standby,Secondary!T823,Primary!T823)</f>
        <v>0</v>
      </c>
      <c r="U823" s="10">
        <f>IF(ActiveDatabase=Standby,Secondary!U823,Primary!U823)</f>
        <v>0</v>
      </c>
      <c r="V823" s="10">
        <f>IF(ActiveDatabase=Standby,Secondary!V823,Primary!V823)</f>
        <v>0</v>
      </c>
      <c r="W823" s="6">
        <f>IF(ActiveDatabase=Standby,Secondary!W823,Primary!W823)</f>
        <v>0</v>
      </c>
      <c r="X823" s="6">
        <f>IF(ActiveDatabase=Standby,Secondary!X823,Primary!X823)</f>
        <v>0</v>
      </c>
      <c r="Y823" s="12">
        <f>IF(ActiveDatabase=Standby,Secondary!Y823,Primary!Y1481)</f>
        <v>0</v>
      </c>
      <c r="Z823" s="12">
        <f>IF(ActiveDatabase=Standby,Secondary!Z823,Primary!Z1481)</f>
        <v>0</v>
      </c>
      <c r="AA823" s="7">
        <f>IF(ActiveDatabase=Standby,Secondary!AA823,Primary!AA1481)</f>
        <v>0</v>
      </c>
      <c r="AB823" s="12"/>
      <c r="AC823" s="6"/>
      <c r="AD823" s="6"/>
      <c r="AE823" s="7"/>
      <c r="AF823" s="7"/>
      <c r="AG823" s="7"/>
      <c r="AH823" s="7"/>
      <c r="AI823" s="7"/>
      <c r="AJ823" s="7"/>
      <c r="AK823" s="7"/>
      <c r="AL823" s="7"/>
      <c r="AM823" s="7"/>
      <c r="AN823" s="7"/>
      <c r="AO823" s="6"/>
      <c r="AP823" s="7"/>
      <c r="AQ823" s="7"/>
      <c r="AR823" s="6"/>
      <c r="AS823" s="7"/>
      <c r="AT823" s="7"/>
      <c r="AU823" s="7"/>
      <c r="AV823" s="7"/>
      <c r="AW823" s="7"/>
      <c r="AX823" s="7"/>
      <c r="AY823" s="7"/>
      <c r="AZ823" s="7"/>
      <c r="BA823" s="7"/>
      <c r="BB823" s="7"/>
      <c r="BC823" s="7"/>
      <c r="BD823" s="7"/>
      <c r="BE823" s="7"/>
      <c r="BF823" s="7"/>
      <c r="BG823" s="7"/>
    </row>
    <row r="824" customHeight="1" spans="1:59">
      <c r="A824" s="9" t="str">
        <f>IF(ActiveDatabase=Standby,Secondary!A824,Primary!A824)</f>
        <v>Wala 38</v>
      </c>
      <c r="B824" s="5" t="str">
        <f>IF(ActiveDatabase=Standby,Secondary!B824,Primary!B824)</f>
        <v>Wala 45</v>
      </c>
      <c r="C824" s="5" t="str">
        <f>IF(ActiveDatabase=Standby,Secondary!C824,Primary!C824)</f>
        <v>Wala 34</v>
      </c>
      <c r="D824" s="5" t="str">
        <f>IF(ActiveDatabase=Standby,Secondary!D824,Primary!D824)</f>
        <v>Starfarer Wreck</v>
      </c>
      <c r="E824" s="6" t="str">
        <f>IF(ActiveDatabase=Standby,Secondary!E824,Primary!E824)</f>
        <v>Starfarer</v>
      </c>
      <c r="F824" s="10">
        <f>IF(ActiveDatabase=Standby,Secondary!F824,Primary!F824)</f>
        <v>-100.249264566419</v>
      </c>
      <c r="G824" s="10">
        <f>IF(ActiveDatabase=Standby,Secondary!G824,Primary!G824)</f>
        <v>-244.994854275979</v>
      </c>
      <c r="H824" s="10">
        <f>IF(ActiveDatabase=Standby,Secondary!H824,Primary!H824)</f>
        <v>-100.35983566447</v>
      </c>
      <c r="I824" s="13">
        <f>IF(ActiveDatabase=Standby,Secondary!I824,Primary!I824)</f>
        <v>0</v>
      </c>
      <c r="J824" s="13">
        <f>IF(ActiveDatabase=Standby,Secondary!J824,Primary!J824)</f>
        <v>0</v>
      </c>
      <c r="K824" s="13">
        <f>IF(ActiveDatabase=Standby,Secondary!K824,Primary!K824)</f>
        <v>0</v>
      </c>
      <c r="L824" s="13">
        <f>IF(ActiveDatabase=Standby,Secondary!L824,Primary!L824)</f>
        <v>0</v>
      </c>
      <c r="M824" s="7" t="b">
        <f>IF(ActiveDatabase=Standby,Secondary!M824,Primary!M824)</f>
        <v>0</v>
      </c>
      <c r="N824" s="10">
        <f>IF(ActiveDatabase=Standby,Secondary!N824,Primary!N824)</f>
        <v>0</v>
      </c>
      <c r="O824" s="10">
        <f>IF(ActiveDatabase=Standby,Secondary!O824,Primary!O824)</f>
        <v>0</v>
      </c>
      <c r="P824" s="10">
        <f>IF(ActiveDatabase=Standby,Secondary!P824,Primary!P824)</f>
        <v>0</v>
      </c>
      <c r="Q824" s="6">
        <f>IF(ActiveDatabase=Standby,Secondary!Q824,Primary!Q824)</f>
        <v>0</v>
      </c>
      <c r="R824" s="18">
        <f>IF(ActiveDatabase=Standby,Secondary!R824,Primary!R824)</f>
        <v>0</v>
      </c>
      <c r="S824" s="19">
        <f>IF(ActiveDatabase=Standby,Secondary!S824,Primary!S824)</f>
        <v>0</v>
      </c>
      <c r="T824" s="10">
        <f>IF(ActiveDatabase=Standby,Secondary!T824,Primary!T824)</f>
        <v>0</v>
      </c>
      <c r="U824" s="10">
        <f>IF(ActiveDatabase=Standby,Secondary!U824,Primary!U824)</f>
        <v>0</v>
      </c>
      <c r="V824" s="10">
        <f>IF(ActiveDatabase=Standby,Secondary!V824,Primary!V824)</f>
        <v>0</v>
      </c>
      <c r="W824" s="6">
        <f>IF(ActiveDatabase=Standby,Secondary!W824,Primary!W824)</f>
        <v>0</v>
      </c>
      <c r="X824" s="6">
        <f>IF(ActiveDatabase=Standby,Secondary!X824,Primary!X824)</f>
        <v>0</v>
      </c>
      <c r="Y824" s="12">
        <f>IF(ActiveDatabase=Standby,Secondary!Y824,Primary!Y1482)</f>
        <v>0</v>
      </c>
      <c r="Z824" s="12">
        <f>IF(ActiveDatabase=Standby,Secondary!Z824,Primary!Z1482)</f>
        <v>0</v>
      </c>
      <c r="AA824" s="7">
        <f>IF(ActiveDatabase=Standby,Secondary!AA824,Primary!AA1482)</f>
        <v>0</v>
      </c>
      <c r="AB824" s="12"/>
      <c r="AC824" s="6"/>
      <c r="AD824" s="6"/>
      <c r="AE824" s="7"/>
      <c r="AF824" s="7"/>
      <c r="AG824" s="7"/>
      <c r="AH824" s="7"/>
      <c r="AI824" s="7"/>
      <c r="AJ824" s="7"/>
      <c r="AK824" s="7"/>
      <c r="AL824" s="7"/>
      <c r="AM824" s="7"/>
      <c r="AN824" s="7"/>
      <c r="AO824" s="6"/>
      <c r="AP824" s="7"/>
      <c r="AQ824" s="7"/>
      <c r="AR824" s="6"/>
      <c r="AS824" s="7"/>
      <c r="AT824" s="7"/>
      <c r="AU824" s="7"/>
      <c r="AV824" s="7"/>
      <c r="AW824" s="7"/>
      <c r="AX824" s="7"/>
      <c r="AY824" s="7"/>
      <c r="AZ824" s="7"/>
      <c r="BA824" s="7"/>
      <c r="BB824" s="7"/>
      <c r="BC824" s="7"/>
      <c r="BD824" s="7"/>
      <c r="BE824" s="7"/>
      <c r="BF824" s="7"/>
      <c r="BG824" s="7"/>
    </row>
    <row r="825" customHeight="1" spans="1:59">
      <c r="A825" s="9" t="str">
        <f>IF(ActiveDatabase=Standby,Secondary!A825,Primary!A825)</f>
        <v>Wala</v>
      </c>
      <c r="B825" s="5" t="str">
        <f>IF(ActiveDatabase=Standby,Secondary!B825,Primary!B825)</f>
        <v>Wala 47</v>
      </c>
      <c r="C825" s="5">
        <f>IF(ActiveDatabase=Standby,Secondary!C825,Primary!C825)</f>
        <v>0</v>
      </c>
      <c r="D825" s="5" t="str">
        <f>IF(ActiveDatabase=Standby,Secondary!D825,Primary!D825)</f>
        <v>Comm Array</v>
      </c>
      <c r="E825" s="6">
        <f>IF(ActiveDatabase=Standby,Secondary!E825,Primary!E825)</f>
        <v>0</v>
      </c>
      <c r="F825" s="10">
        <f>IF(ActiveDatabase=Standby,Secondary!F825,Primary!F825)</f>
        <v>0</v>
      </c>
      <c r="G825" s="10">
        <f>IF(ActiveDatabase=Standby,Secondary!G825,Primary!G825)</f>
        <v>0</v>
      </c>
      <c r="H825" s="10">
        <f>IF(ActiveDatabase=Standby,Secondary!H825,Primary!H825)</f>
        <v>0</v>
      </c>
      <c r="I825" s="13">
        <f>IF(ActiveDatabase=Standby,Secondary!I825,Primary!I825)</f>
        <v>0</v>
      </c>
      <c r="J825" s="13">
        <f>IF(ActiveDatabase=Standby,Secondary!J825,Primary!J825)</f>
        <v>0</v>
      </c>
      <c r="K825" s="13">
        <f>IF(ActiveDatabase=Standby,Secondary!K825,Primary!K825)</f>
        <v>0</v>
      </c>
      <c r="L825" s="13">
        <f>IF(ActiveDatabase=Standby,Secondary!L825,Primary!L825)</f>
        <v>0</v>
      </c>
      <c r="M825" s="7">
        <f>IF(ActiveDatabase=Standby,Secondary!M825,Primary!M825)</f>
        <v>0</v>
      </c>
      <c r="N825" s="10">
        <f>IF(ActiveDatabase=Standby,Secondary!N825,Primary!N825)</f>
        <v>0</v>
      </c>
      <c r="O825" s="10">
        <f>IF(ActiveDatabase=Standby,Secondary!O825,Primary!O825)</f>
        <v>0</v>
      </c>
      <c r="P825" s="10">
        <f>IF(ActiveDatabase=Standby,Secondary!P825,Primary!P825)</f>
        <v>0</v>
      </c>
      <c r="Q825" s="6">
        <f>IF(ActiveDatabase=Standby,Secondary!Q825,Primary!Q825)</f>
        <v>0</v>
      </c>
      <c r="R825" s="18">
        <f>IF(ActiveDatabase=Standby,Secondary!R825,Primary!R825)</f>
        <v>0</v>
      </c>
      <c r="S825" s="19">
        <f>IF(ActiveDatabase=Standby,Secondary!S825,Primary!S825)</f>
        <v>0</v>
      </c>
      <c r="T825" s="10">
        <f>IF(ActiveDatabase=Standby,Secondary!T825,Primary!T825)</f>
        <v>0</v>
      </c>
      <c r="U825" s="10">
        <f>IF(ActiveDatabase=Standby,Secondary!U825,Primary!U825)</f>
        <v>0</v>
      </c>
      <c r="V825" s="10">
        <f>IF(ActiveDatabase=Standby,Secondary!V825,Primary!V825)</f>
        <v>0</v>
      </c>
      <c r="W825" s="6">
        <f>IF(ActiveDatabase=Standby,Secondary!W825,Primary!W825)</f>
        <v>0</v>
      </c>
      <c r="X825" s="6">
        <f>IF(ActiveDatabase=Standby,Secondary!X825,Primary!X825)</f>
        <v>0</v>
      </c>
      <c r="Y825" s="12">
        <f>IF(ActiveDatabase=Standby,Secondary!Y825,Primary!Y1483)</f>
        <v>0</v>
      </c>
      <c r="Z825" s="12">
        <f>IF(ActiveDatabase=Standby,Secondary!Z825,Primary!Z1483)</f>
        <v>0</v>
      </c>
      <c r="AA825" s="7">
        <f>IF(ActiveDatabase=Standby,Secondary!AA825,Primary!AA1483)</f>
        <v>0</v>
      </c>
      <c r="AB825" s="12"/>
      <c r="AC825" s="6"/>
      <c r="AD825" s="6"/>
      <c r="AE825" s="7"/>
      <c r="AF825" s="7"/>
      <c r="AG825" s="7"/>
      <c r="AH825" s="7"/>
      <c r="AI825" s="7"/>
      <c r="AJ825" s="7"/>
      <c r="AK825" s="7"/>
      <c r="AL825" s="7"/>
      <c r="AM825" s="7"/>
      <c r="AN825" s="7"/>
      <c r="AO825" s="6"/>
      <c r="AP825" s="7"/>
      <c r="AQ825" s="7"/>
      <c r="AR825" s="6"/>
      <c r="AS825" s="7"/>
      <c r="AT825" s="7"/>
      <c r="AU825" s="7"/>
      <c r="AV825" s="7"/>
      <c r="AW825" s="7"/>
      <c r="AX825" s="7"/>
      <c r="AY825" s="7"/>
      <c r="AZ825" s="7"/>
      <c r="BA825" s="7"/>
      <c r="BB825" s="7"/>
      <c r="BC825" s="7"/>
      <c r="BD825" s="7"/>
      <c r="BE825" s="7"/>
      <c r="BF825" s="7"/>
      <c r="BG825" s="7"/>
    </row>
    <row r="826" customHeight="1" spans="1:59">
      <c r="A826" s="9" t="str">
        <f>IF(ActiveDatabase=Standby,Secondary!A826,Primary!A826)</f>
        <v>Wala 12</v>
      </c>
      <c r="B826" s="5" t="str">
        <f>IF(ActiveDatabase=Standby,Secondary!B826,Primary!B826)</f>
        <v>Wala 48</v>
      </c>
      <c r="C826" s="5" t="str">
        <f>IF(ActiveDatabase=Standby,Secondary!C826,Primary!C826)</f>
        <v>Wala 28</v>
      </c>
      <c r="D826" s="5" t="str">
        <f>IF(ActiveDatabase=Standby,Secondary!D826,Primary!D826)</f>
        <v>Comm Array ST3-35</v>
      </c>
      <c r="E826" s="6" t="str">
        <f>IF(ActiveDatabase=Standby,Secondary!E826,Primary!E826)</f>
        <v>ST3-35</v>
      </c>
      <c r="F826" s="10">
        <f>IF(ActiveDatabase=Standby,Secondary!F826,Primary!F826)</f>
        <v>365.821215698242</v>
      </c>
      <c r="G826" s="10">
        <f>IF(ActiveDatabase=Standby,Secondary!G826,Primary!G826)</f>
        <v>-257.408219600678</v>
      </c>
      <c r="H826" s="10">
        <f>IF(ActiveDatabase=Standby,Secondary!H826,Primary!H826)</f>
        <v>24</v>
      </c>
      <c r="I826" s="13">
        <f>IF(ActiveDatabase=Standby,Secondary!I826,Primary!I826)</f>
        <v>0</v>
      </c>
      <c r="J826" s="13">
        <f>IF(ActiveDatabase=Standby,Secondary!J826,Primary!J826)</f>
        <v>0</v>
      </c>
      <c r="K826" s="13">
        <f>IF(ActiveDatabase=Standby,Secondary!K826,Primary!K826)</f>
        <v>0</v>
      </c>
      <c r="L826" s="13">
        <f>IF(ActiveDatabase=Standby,Secondary!L826,Primary!L826)</f>
        <v>0</v>
      </c>
      <c r="M826" s="7" t="b">
        <f>IF(ActiveDatabase=Standby,Secondary!M826,Primary!M826)</f>
        <v>1</v>
      </c>
      <c r="N826" s="10">
        <f>IF(ActiveDatabase=Standby,Secondary!N826,Primary!N826)</f>
        <v>0</v>
      </c>
      <c r="O826" s="10">
        <f>IF(ActiveDatabase=Standby,Secondary!O826,Primary!O826)</f>
        <v>0</v>
      </c>
      <c r="P826" s="10">
        <f>IF(ActiveDatabase=Standby,Secondary!P826,Primary!P826)</f>
        <v>0</v>
      </c>
      <c r="Q826" s="6">
        <f>IF(ActiveDatabase=Standby,Secondary!Q826,Primary!Q826)</f>
        <v>0</v>
      </c>
      <c r="R826" s="18">
        <f>IF(ActiveDatabase=Standby,Secondary!R826,Primary!R826)</f>
        <v>0</v>
      </c>
      <c r="S826" s="19">
        <f>IF(ActiveDatabase=Standby,Secondary!S826,Primary!S826)</f>
        <v>0</v>
      </c>
      <c r="T826" s="10">
        <f>IF(ActiveDatabase=Standby,Secondary!T826,Primary!T826)</f>
        <v>0</v>
      </c>
      <c r="U826" s="10">
        <f>IF(ActiveDatabase=Standby,Secondary!U826,Primary!U826)</f>
        <v>0</v>
      </c>
      <c r="V826" s="10">
        <f>IF(ActiveDatabase=Standby,Secondary!V826,Primary!V826)</f>
        <v>0</v>
      </c>
      <c r="W826" s="6">
        <f>IF(ActiveDatabase=Standby,Secondary!W826,Primary!W826)</f>
        <v>0</v>
      </c>
      <c r="X826" s="6">
        <f>IF(ActiveDatabase=Standby,Secondary!X826,Primary!X826)</f>
        <v>0</v>
      </c>
      <c r="Y826" s="12">
        <f>IF(ActiveDatabase=Standby,Secondary!Y826,Primary!Y1484)</f>
        <v>0</v>
      </c>
      <c r="Z826" s="12">
        <f>IF(ActiveDatabase=Standby,Secondary!Z826,Primary!Z1484)</f>
        <v>0</v>
      </c>
      <c r="AA826" s="7">
        <f>IF(ActiveDatabase=Standby,Secondary!AA826,Primary!AA1484)</f>
        <v>0</v>
      </c>
      <c r="AB826" s="12"/>
      <c r="AC826" s="6"/>
      <c r="AD826" s="6"/>
      <c r="AE826" s="7"/>
      <c r="AF826" s="7"/>
      <c r="AG826" s="7"/>
      <c r="AH826" s="7"/>
      <c r="AI826" s="7"/>
      <c r="AJ826" s="7"/>
      <c r="AK826" s="7"/>
      <c r="AL826" s="7"/>
      <c r="AM826" s="7"/>
      <c r="AN826" s="7"/>
      <c r="AO826" s="6"/>
      <c r="AP826" s="7"/>
      <c r="AQ826" s="7"/>
      <c r="AR826" s="6"/>
      <c r="AS826" s="7"/>
      <c r="AT826" s="7"/>
      <c r="AU826" s="7"/>
      <c r="AV826" s="7"/>
      <c r="AW826" s="7"/>
      <c r="AX826" s="7"/>
      <c r="AY826" s="7"/>
      <c r="AZ826" s="7"/>
      <c r="BA826" s="7"/>
      <c r="BB826" s="7"/>
      <c r="BC826" s="7"/>
      <c r="BD826" s="7"/>
      <c r="BE826" s="7"/>
      <c r="BF826" s="7"/>
      <c r="BG826" s="7"/>
    </row>
    <row r="827" customHeight="1" spans="1:59">
      <c r="A827" s="9">
        <f>IF(ActiveDatabase=Standby,Secondary!A827,Primary!A827)</f>
        <v>0</v>
      </c>
      <c r="B827" s="5">
        <f>IF(ActiveDatabase=Standby,Secondary!B827,Primary!B827)</f>
        <v>0</v>
      </c>
      <c r="C827" s="5">
        <f>IF(ActiveDatabase=Standby,Secondary!C827,Primary!C827)</f>
        <v>0</v>
      </c>
      <c r="D827" s="5">
        <f>IF(ActiveDatabase=Standby,Secondary!D827,Primary!D827)</f>
        <v>0</v>
      </c>
      <c r="E827" s="6">
        <f>IF(ActiveDatabase=Standby,Secondary!E827,Primary!E827)</f>
        <v>0</v>
      </c>
      <c r="F827" s="10">
        <f>IF(ActiveDatabase=Standby,Secondary!F827,Primary!F827)</f>
        <v>0</v>
      </c>
      <c r="G827" s="10">
        <f>IF(ActiveDatabase=Standby,Secondary!G827,Primary!G827)</f>
        <v>0</v>
      </c>
      <c r="H827" s="10">
        <f>IF(ActiveDatabase=Standby,Secondary!H827,Primary!H827)</f>
        <v>0</v>
      </c>
      <c r="I827" s="13">
        <f>IF(ActiveDatabase=Standby,Secondary!I827,Primary!I827)</f>
        <v>0</v>
      </c>
      <c r="J827" s="13">
        <f>IF(ActiveDatabase=Standby,Secondary!J827,Primary!J827)</f>
        <v>0</v>
      </c>
      <c r="K827" s="13">
        <f>IF(ActiveDatabase=Standby,Secondary!K827,Primary!K827)</f>
        <v>0</v>
      </c>
      <c r="L827" s="13">
        <f>IF(ActiveDatabase=Standby,Secondary!L827,Primary!L827)</f>
        <v>0</v>
      </c>
      <c r="M827" s="7">
        <f>IF(ActiveDatabase=Standby,Secondary!M827,Primary!M827)</f>
        <v>0</v>
      </c>
      <c r="N827" s="10">
        <f>IF(ActiveDatabase=Standby,Secondary!N827,Primary!N827)</f>
        <v>0</v>
      </c>
      <c r="O827" s="10">
        <f>IF(ActiveDatabase=Standby,Secondary!O827,Primary!O827)</f>
        <v>0</v>
      </c>
      <c r="P827" s="10">
        <f>IF(ActiveDatabase=Standby,Secondary!P827,Primary!P827)</f>
        <v>0</v>
      </c>
      <c r="Q827" s="6">
        <f>IF(ActiveDatabase=Standby,Secondary!Q827,Primary!Q827)</f>
        <v>0</v>
      </c>
      <c r="R827" s="18">
        <f>IF(ActiveDatabase=Standby,Secondary!R827,Primary!R827)</f>
        <v>0</v>
      </c>
      <c r="S827" s="19">
        <f>IF(ActiveDatabase=Standby,Secondary!S827,Primary!S827)</f>
        <v>0</v>
      </c>
      <c r="T827" s="10">
        <f>IF(ActiveDatabase=Standby,Secondary!T827,Primary!T827)</f>
        <v>0</v>
      </c>
      <c r="U827" s="10">
        <f>IF(ActiveDatabase=Standby,Secondary!U827,Primary!U827)</f>
        <v>0</v>
      </c>
      <c r="V827" s="10">
        <f>IF(ActiveDatabase=Standby,Secondary!V827,Primary!V827)</f>
        <v>0</v>
      </c>
      <c r="W827" s="6">
        <f>IF(ActiveDatabase=Standby,Secondary!W827,Primary!W827)</f>
        <v>0</v>
      </c>
      <c r="X827" s="6">
        <f>IF(ActiveDatabase=Standby,Secondary!X827,Primary!X827)</f>
        <v>0</v>
      </c>
      <c r="Y827" s="12">
        <f>IF(ActiveDatabase=Standby,Secondary!Y827,Primary!Y1485)</f>
        <v>0</v>
      </c>
      <c r="Z827" s="12">
        <f>IF(ActiveDatabase=Standby,Secondary!Z827,Primary!Z1485)</f>
        <v>0</v>
      </c>
      <c r="AA827" s="7">
        <f>IF(ActiveDatabase=Standby,Secondary!AA827,Primary!AA1485)</f>
        <v>0</v>
      </c>
      <c r="AB827" s="12"/>
      <c r="AC827" s="6"/>
      <c r="AD827" s="6"/>
      <c r="AE827" s="7"/>
      <c r="AF827" s="7"/>
      <c r="AG827" s="7"/>
      <c r="AH827" s="7"/>
      <c r="AI827" s="7"/>
      <c r="AJ827" s="7"/>
      <c r="AK827" s="7"/>
      <c r="AL827" s="7"/>
      <c r="AM827" s="7"/>
      <c r="AN827" s="7"/>
      <c r="AO827" s="6"/>
      <c r="AP827" s="7"/>
      <c r="AQ827" s="7"/>
      <c r="AR827" s="6"/>
      <c r="AS827" s="7"/>
      <c r="AT827" s="7"/>
      <c r="AU827" s="7"/>
      <c r="AV827" s="7"/>
      <c r="AW827" s="7"/>
      <c r="AX827" s="7"/>
      <c r="AY827" s="7"/>
      <c r="AZ827" s="7"/>
      <c r="BA827" s="7"/>
      <c r="BB827" s="7"/>
      <c r="BC827" s="7"/>
      <c r="BD827" s="7"/>
      <c r="BE827" s="7"/>
      <c r="BF827" s="7"/>
      <c r="BG827" s="7"/>
    </row>
    <row r="828" customHeight="1" spans="1:59">
      <c r="A828" s="9" t="str">
        <f>IF(ActiveDatabase=Standby,Secondary!A828,Primary!A828)</f>
        <v>Yela R01</v>
      </c>
      <c r="B828" s="5" t="str">
        <f>IF(ActiveDatabase=Standby,Secondary!B828,Primary!B828)</f>
        <v>Yela 45</v>
      </c>
      <c r="C828" s="5">
        <f>IF(ActiveDatabase=Standby,Secondary!C828,Primary!C828)</f>
        <v>0</v>
      </c>
      <c r="D828" s="5" t="str">
        <f>IF(ActiveDatabase=Standby,Secondary!D828,Primary!D828)</f>
        <v>OM-1</v>
      </c>
      <c r="E828" s="6" t="str">
        <f>IF(ActiveDatabase=Standby,Secondary!E828,Primary!E828)</f>
        <v>OM1</v>
      </c>
      <c r="F828" s="10">
        <f>IF(ActiveDatabase=Standby,Secondary!F828,Primary!F828)</f>
        <v>0</v>
      </c>
      <c r="G828" s="10">
        <f>IF(ActiveDatabase=Standby,Secondary!G828,Primary!G828)</f>
        <v>0</v>
      </c>
      <c r="H828" s="10">
        <f>IF(ActiveDatabase=Standby,Secondary!H828,Primary!H828)</f>
        <v>455.483</v>
      </c>
      <c r="I828" s="13">
        <f>IF(ActiveDatabase=Standby,Secondary!I828,Primary!I828)</f>
        <v>0</v>
      </c>
      <c r="J828" s="13">
        <f>IF(ActiveDatabase=Standby,Secondary!J828,Primary!J828)</f>
        <v>0</v>
      </c>
      <c r="K828" s="13">
        <f>IF(ActiveDatabase=Standby,Secondary!K828,Primary!K828)</f>
        <v>0</v>
      </c>
      <c r="L828" s="13">
        <f>IF(ActiveDatabase=Standby,Secondary!L828,Primary!L828)</f>
        <v>0</v>
      </c>
      <c r="M828" s="7" t="b">
        <f>IF(ActiveDatabase=Standby,Secondary!M828,Primary!M828)</f>
        <v>1</v>
      </c>
      <c r="N828" s="10">
        <f>IF(ActiveDatabase=Standby,Secondary!N828,Primary!N828)</f>
        <v>0</v>
      </c>
      <c r="O828" s="10">
        <f>IF(ActiveDatabase=Standby,Secondary!O828,Primary!O828)</f>
        <v>0</v>
      </c>
      <c r="P828" s="10">
        <f>IF(ActiveDatabase=Standby,Secondary!P828,Primary!P828)</f>
        <v>0</v>
      </c>
      <c r="Q828" s="6">
        <f>IF(ActiveDatabase=Standby,Secondary!Q828,Primary!Q828)</f>
        <v>0</v>
      </c>
      <c r="R828" s="18">
        <f>IF(ActiveDatabase=Standby,Secondary!R828,Primary!R828)</f>
        <v>0</v>
      </c>
      <c r="S828" s="19">
        <f>IF(ActiveDatabase=Standby,Secondary!S828,Primary!S828)</f>
        <v>0</v>
      </c>
      <c r="T828" s="10">
        <f>IF(ActiveDatabase=Standby,Secondary!T828,Primary!T828)</f>
        <v>0</v>
      </c>
      <c r="U828" s="10">
        <f>IF(ActiveDatabase=Standby,Secondary!U828,Primary!U828)</f>
        <v>0</v>
      </c>
      <c r="V828" s="10">
        <f>IF(ActiveDatabase=Standby,Secondary!V828,Primary!V828)</f>
        <v>0</v>
      </c>
      <c r="W828" s="6">
        <f>IF(ActiveDatabase=Standby,Secondary!W828,Primary!W828)</f>
        <v>0</v>
      </c>
      <c r="X828" s="6">
        <f>IF(ActiveDatabase=Standby,Secondary!X828,Primary!X828)</f>
        <v>0</v>
      </c>
      <c r="Y828" s="12">
        <f>IF(ActiveDatabase=Standby,Secondary!Y828,Primary!Y1486)</f>
        <v>0</v>
      </c>
      <c r="Z828" s="12">
        <f>IF(ActiveDatabase=Standby,Secondary!Z828,Primary!Z1486)</f>
        <v>0</v>
      </c>
      <c r="AA828" s="7">
        <f>IF(ActiveDatabase=Standby,Secondary!AA828,Primary!AA1486)</f>
        <v>0</v>
      </c>
      <c r="AB828" s="12"/>
      <c r="AC828" s="6"/>
      <c r="AD828" s="6"/>
      <c r="AE828" s="7"/>
      <c r="AF828" s="7"/>
      <c r="AG828" s="7"/>
      <c r="AH828" s="7"/>
      <c r="AI828" s="7"/>
      <c r="AJ828" s="7"/>
      <c r="AK828" s="7"/>
      <c r="AL828" s="7"/>
      <c r="AM828" s="7"/>
      <c r="AN828" s="7"/>
      <c r="AO828" s="6"/>
      <c r="AP828" s="7"/>
      <c r="AQ828" s="7"/>
      <c r="AR828" s="6"/>
      <c r="AS828" s="7"/>
      <c r="AT828" s="7"/>
      <c r="AU828" s="7"/>
      <c r="AV828" s="7"/>
      <c r="AW828" s="7"/>
      <c r="AX828" s="7"/>
      <c r="AY828" s="7"/>
      <c r="AZ828" s="7"/>
      <c r="BA828" s="7"/>
      <c r="BB828" s="7"/>
      <c r="BC828" s="7"/>
      <c r="BD828" s="7"/>
      <c r="BE828" s="7"/>
      <c r="BF828" s="7"/>
      <c r="BG828" s="7"/>
    </row>
    <row r="829" customHeight="1" spans="1:59">
      <c r="A829" s="9" t="str">
        <f>IF(ActiveDatabase=Standby,Secondary!A829,Primary!A829)</f>
        <v>Yela R02</v>
      </c>
      <c r="B829" s="5" t="str">
        <f>IF(ActiveDatabase=Standby,Secondary!B829,Primary!B829)</f>
        <v>Yela 46</v>
      </c>
      <c r="C829" s="5">
        <f>IF(ActiveDatabase=Standby,Secondary!C829,Primary!C829)</f>
        <v>0</v>
      </c>
      <c r="D829" s="5" t="str">
        <f>IF(ActiveDatabase=Standby,Secondary!D829,Primary!D829)</f>
        <v>OM-2</v>
      </c>
      <c r="E829" s="6" t="str">
        <f>IF(ActiveDatabase=Standby,Secondary!E829,Primary!E829)</f>
        <v>OM2</v>
      </c>
      <c r="F829" s="10">
        <f>IF(ActiveDatabase=Standby,Secondary!F829,Primary!F829)</f>
        <v>0</v>
      </c>
      <c r="G829" s="10">
        <f>IF(ActiveDatabase=Standby,Secondary!G829,Primary!G829)</f>
        <v>0</v>
      </c>
      <c r="H829" s="10">
        <f>IF(ActiveDatabase=Standby,Secondary!H829,Primary!H829)</f>
        <v>-455.483</v>
      </c>
      <c r="I829" s="13">
        <f>IF(ActiveDatabase=Standby,Secondary!I829,Primary!I829)</f>
        <v>0</v>
      </c>
      <c r="J829" s="13">
        <f>IF(ActiveDatabase=Standby,Secondary!J829,Primary!J829)</f>
        <v>0</v>
      </c>
      <c r="K829" s="13">
        <f>IF(ActiveDatabase=Standby,Secondary!K829,Primary!K829)</f>
        <v>0</v>
      </c>
      <c r="L829" s="13">
        <f>IF(ActiveDatabase=Standby,Secondary!L829,Primary!L829)</f>
        <v>0</v>
      </c>
      <c r="M829" s="7" t="b">
        <f>IF(ActiveDatabase=Standby,Secondary!M829,Primary!M829)</f>
        <v>1</v>
      </c>
      <c r="N829" s="10">
        <f>IF(ActiveDatabase=Standby,Secondary!N829,Primary!N829)</f>
        <v>0</v>
      </c>
      <c r="O829" s="10">
        <f>IF(ActiveDatabase=Standby,Secondary!O829,Primary!O829)</f>
        <v>0</v>
      </c>
      <c r="P829" s="10">
        <f>IF(ActiveDatabase=Standby,Secondary!P829,Primary!P829)</f>
        <v>0</v>
      </c>
      <c r="Q829" s="6">
        <f>IF(ActiveDatabase=Standby,Secondary!Q829,Primary!Q829)</f>
        <v>0</v>
      </c>
      <c r="R829" s="18">
        <f>IF(ActiveDatabase=Standby,Secondary!R829,Primary!R829)</f>
        <v>0</v>
      </c>
      <c r="S829" s="19">
        <f>IF(ActiveDatabase=Standby,Secondary!S829,Primary!S829)</f>
        <v>0</v>
      </c>
      <c r="T829" s="10">
        <f>IF(ActiveDatabase=Standby,Secondary!T829,Primary!T829)</f>
        <v>0</v>
      </c>
      <c r="U829" s="10">
        <f>IF(ActiveDatabase=Standby,Secondary!U829,Primary!U829)</f>
        <v>0</v>
      </c>
      <c r="V829" s="10">
        <f>IF(ActiveDatabase=Standby,Secondary!V829,Primary!V829)</f>
        <v>0</v>
      </c>
      <c r="W829" s="6">
        <f>IF(ActiveDatabase=Standby,Secondary!W829,Primary!W829)</f>
        <v>0</v>
      </c>
      <c r="X829" s="6">
        <f>IF(ActiveDatabase=Standby,Secondary!X829,Primary!X829)</f>
        <v>0</v>
      </c>
      <c r="Y829" s="12">
        <f>IF(ActiveDatabase=Standby,Secondary!Y829,Primary!Y1487)</f>
        <v>0</v>
      </c>
      <c r="Z829" s="12">
        <f>IF(ActiveDatabase=Standby,Secondary!Z829,Primary!Z1487)</f>
        <v>0</v>
      </c>
      <c r="AA829" s="6">
        <f>IF(ActiveDatabase=Standby,Secondary!AA829,Primary!AA1487)</f>
        <v>0</v>
      </c>
      <c r="AB829" s="12"/>
      <c r="AC829" s="6"/>
      <c r="AD829" s="6"/>
      <c r="AE829" s="7"/>
      <c r="AF829" s="7"/>
      <c r="AG829" s="7"/>
      <c r="AH829" s="7"/>
      <c r="AI829" s="7"/>
      <c r="AJ829" s="7"/>
      <c r="AK829" s="7"/>
      <c r="AL829" s="7"/>
      <c r="AM829" s="7"/>
      <c r="AN829" s="7"/>
      <c r="AO829" s="6"/>
      <c r="AP829" s="7"/>
      <c r="AQ829" s="7"/>
      <c r="AR829" s="6"/>
      <c r="AS829" s="7"/>
      <c r="AT829" s="7"/>
      <c r="AU829" s="7"/>
      <c r="AV829" s="7"/>
      <c r="AW829" s="7"/>
      <c r="AX829" s="7"/>
      <c r="AY829" s="7"/>
      <c r="AZ829" s="7"/>
      <c r="BA829" s="7"/>
      <c r="BB829" s="7"/>
      <c r="BC829" s="7"/>
      <c r="BD829" s="7"/>
      <c r="BE829" s="7"/>
      <c r="BF829" s="7"/>
      <c r="BG829" s="7"/>
    </row>
    <row r="830" customHeight="1" spans="1:59">
      <c r="A830" s="9" t="str">
        <f>IF(ActiveDatabase=Standby,Secondary!A830,Primary!A830)</f>
        <v>Yela R03</v>
      </c>
      <c r="B830" s="5" t="str">
        <f>IF(ActiveDatabase=Standby,Secondary!B830,Primary!B830)</f>
        <v>Yela 47</v>
      </c>
      <c r="C830" s="5" t="str">
        <f>IF(ActiveDatabase=Standby,Secondary!C830,Primary!C830)</f>
        <v>Yela 09</v>
      </c>
      <c r="D830" s="5" t="str">
        <f>IF(ActiveDatabase=Standby,Secondary!D830,Primary!D830)</f>
        <v>OM-3</v>
      </c>
      <c r="E830" s="6" t="str">
        <f>IF(ActiveDatabase=Standby,Secondary!E830,Primary!E830)</f>
        <v>OM3</v>
      </c>
      <c r="F830" s="10">
        <f>IF(ActiveDatabase=Standby,Secondary!F830,Primary!F830)</f>
        <v>0</v>
      </c>
      <c r="G830" s="10">
        <f>IF(ActiveDatabase=Standby,Secondary!G830,Primary!G830)</f>
        <v>455.483</v>
      </c>
      <c r="H830" s="10">
        <f>IF(ActiveDatabase=Standby,Secondary!H830,Primary!H830)</f>
        <v>0</v>
      </c>
      <c r="I830" s="13">
        <f>IF(ActiveDatabase=Standby,Secondary!I830,Primary!I830)</f>
        <v>0</v>
      </c>
      <c r="J830" s="13">
        <f>IF(ActiveDatabase=Standby,Secondary!J830,Primary!J830)</f>
        <v>0</v>
      </c>
      <c r="K830" s="13">
        <f>IF(ActiveDatabase=Standby,Secondary!K830,Primary!K830)</f>
        <v>0</v>
      </c>
      <c r="L830" s="13">
        <f>IF(ActiveDatabase=Standby,Secondary!L830,Primary!L830)</f>
        <v>0</v>
      </c>
      <c r="M830" s="7" t="b">
        <f>IF(ActiveDatabase=Standby,Secondary!M830,Primary!M830)</f>
        <v>1</v>
      </c>
      <c r="N830" s="10">
        <f>IF(ActiveDatabase=Standby,Secondary!N830,Primary!N830)</f>
        <v>0</v>
      </c>
      <c r="O830" s="10">
        <f>IF(ActiveDatabase=Standby,Secondary!O830,Primary!O830)</f>
        <v>0</v>
      </c>
      <c r="P830" s="10">
        <f>IF(ActiveDatabase=Standby,Secondary!P830,Primary!P830)</f>
        <v>0</v>
      </c>
      <c r="Q830" s="6">
        <f>IF(ActiveDatabase=Standby,Secondary!Q830,Primary!Q830)</f>
        <v>0</v>
      </c>
      <c r="R830" s="18">
        <f>IF(ActiveDatabase=Standby,Secondary!R830,Primary!R830)</f>
        <v>0</v>
      </c>
      <c r="S830" s="19">
        <f>IF(ActiveDatabase=Standby,Secondary!S830,Primary!S830)</f>
        <v>0</v>
      </c>
      <c r="T830" s="10">
        <f>IF(ActiveDatabase=Standby,Secondary!T830,Primary!T830)</f>
        <v>0</v>
      </c>
      <c r="U830" s="10">
        <f>IF(ActiveDatabase=Standby,Secondary!U830,Primary!U830)</f>
        <v>0</v>
      </c>
      <c r="V830" s="10">
        <f>IF(ActiveDatabase=Standby,Secondary!V830,Primary!V830)</f>
        <v>0</v>
      </c>
      <c r="W830" s="6">
        <f>IF(ActiveDatabase=Standby,Secondary!W830,Primary!W830)</f>
        <v>0</v>
      </c>
      <c r="X830" s="6">
        <f>IF(ActiveDatabase=Standby,Secondary!X830,Primary!X830)</f>
        <v>0</v>
      </c>
      <c r="Y830" s="12">
        <f>IF(ActiveDatabase=Standby,Secondary!Y830,Primary!Y1488)</f>
        <v>0</v>
      </c>
      <c r="Z830" s="12">
        <f>IF(ActiveDatabase=Standby,Secondary!Z830,Primary!Z1488)</f>
        <v>0</v>
      </c>
      <c r="AA830" s="7">
        <f>IF(ActiveDatabase=Standby,Secondary!AA830,Primary!AA1488)</f>
        <v>0</v>
      </c>
      <c r="AB830" s="12"/>
      <c r="AC830" s="6"/>
      <c r="AD830" s="6"/>
      <c r="AE830" s="7"/>
      <c r="AF830" s="7"/>
      <c r="AG830" s="7"/>
      <c r="AH830" s="7"/>
      <c r="AI830" s="7"/>
      <c r="AJ830" s="7"/>
      <c r="AK830" s="7"/>
      <c r="AL830" s="7"/>
      <c r="AM830" s="7"/>
      <c r="AN830" s="7"/>
      <c r="AO830" s="6"/>
      <c r="AP830" s="7"/>
      <c r="AQ830" s="7"/>
      <c r="AR830" s="6"/>
      <c r="AS830" s="7"/>
      <c r="AT830" s="7"/>
      <c r="AU830" s="7"/>
      <c r="AV830" s="7"/>
      <c r="AW830" s="7"/>
      <c r="AX830" s="7"/>
      <c r="AY830" s="7"/>
      <c r="AZ830" s="7"/>
      <c r="BA830" s="7"/>
      <c r="BB830" s="7"/>
      <c r="BC830" s="7"/>
      <c r="BD830" s="7"/>
      <c r="BE830" s="7"/>
      <c r="BF830" s="7"/>
      <c r="BG830" s="7"/>
    </row>
    <row r="831" customHeight="1" spans="1:59">
      <c r="A831" s="9" t="str">
        <f>IF(ActiveDatabase=Standby,Secondary!A831,Primary!A831)</f>
        <v>Yela R04</v>
      </c>
      <c r="B831" s="5" t="str">
        <f>IF(ActiveDatabase=Standby,Secondary!B831,Primary!B831)</f>
        <v>Yela 48</v>
      </c>
      <c r="C831" s="5" t="str">
        <f>IF(ActiveDatabase=Standby,Secondary!C831,Primary!C831)</f>
        <v>Yela 23</v>
      </c>
      <c r="D831" s="5" t="str">
        <f>IF(ActiveDatabase=Standby,Secondary!D831,Primary!D831)</f>
        <v>OM-4</v>
      </c>
      <c r="E831" s="6" t="str">
        <f>IF(ActiveDatabase=Standby,Secondary!E831,Primary!E831)</f>
        <v>OM4</v>
      </c>
      <c r="F831" s="10">
        <f>IF(ActiveDatabase=Standby,Secondary!F831,Primary!F831)</f>
        <v>0</v>
      </c>
      <c r="G831" s="10">
        <f>IF(ActiveDatabase=Standby,Secondary!G831,Primary!G831)</f>
        <v>-455.483</v>
      </c>
      <c r="H831" s="10">
        <f>IF(ActiveDatabase=Standby,Secondary!H831,Primary!H831)</f>
        <v>0</v>
      </c>
      <c r="I831" s="13">
        <f>IF(ActiveDatabase=Standby,Secondary!I831,Primary!I831)</f>
        <v>0</v>
      </c>
      <c r="J831" s="13">
        <f>IF(ActiveDatabase=Standby,Secondary!J831,Primary!J831)</f>
        <v>0</v>
      </c>
      <c r="K831" s="13">
        <f>IF(ActiveDatabase=Standby,Secondary!K831,Primary!K831)</f>
        <v>0</v>
      </c>
      <c r="L831" s="13">
        <f>IF(ActiveDatabase=Standby,Secondary!L831,Primary!L831)</f>
        <v>0</v>
      </c>
      <c r="M831" s="7" t="b">
        <f>IF(ActiveDatabase=Standby,Secondary!M831,Primary!M831)</f>
        <v>1</v>
      </c>
      <c r="N831" s="10">
        <f>IF(ActiveDatabase=Standby,Secondary!N831,Primary!N831)</f>
        <v>0</v>
      </c>
      <c r="O831" s="10">
        <f>IF(ActiveDatabase=Standby,Secondary!O831,Primary!O831)</f>
        <v>0</v>
      </c>
      <c r="P831" s="10">
        <f>IF(ActiveDatabase=Standby,Secondary!P831,Primary!P831)</f>
        <v>0</v>
      </c>
      <c r="Q831" s="6">
        <f>IF(ActiveDatabase=Standby,Secondary!Q831,Primary!Q831)</f>
        <v>0</v>
      </c>
      <c r="R831" s="18">
        <f>IF(ActiveDatabase=Standby,Secondary!R831,Primary!R831)</f>
        <v>0</v>
      </c>
      <c r="S831" s="19">
        <f>IF(ActiveDatabase=Standby,Secondary!S831,Primary!S831)</f>
        <v>0</v>
      </c>
      <c r="T831" s="10">
        <f>IF(ActiveDatabase=Standby,Secondary!T831,Primary!T831)</f>
        <v>0</v>
      </c>
      <c r="U831" s="10">
        <f>IF(ActiveDatabase=Standby,Secondary!U831,Primary!U831)</f>
        <v>0</v>
      </c>
      <c r="V831" s="10">
        <f>IF(ActiveDatabase=Standby,Secondary!V831,Primary!V831)</f>
        <v>0</v>
      </c>
      <c r="W831" s="6">
        <f>IF(ActiveDatabase=Standby,Secondary!W831,Primary!W831)</f>
        <v>0</v>
      </c>
      <c r="X831" s="6">
        <f>IF(ActiveDatabase=Standby,Secondary!X831,Primary!X831)</f>
        <v>0</v>
      </c>
      <c r="Y831" s="12">
        <f>IF(ActiveDatabase=Standby,Secondary!Y831,Primary!Y1489)</f>
        <v>0</v>
      </c>
      <c r="Z831" s="12">
        <f>IF(ActiveDatabase=Standby,Secondary!Z831,Primary!Z1489)</f>
        <v>0</v>
      </c>
      <c r="AA831" s="7">
        <f>IF(ActiveDatabase=Standby,Secondary!AA831,Primary!AA1489)</f>
        <v>0</v>
      </c>
      <c r="AB831" s="12"/>
      <c r="AC831" s="6"/>
      <c r="AD831" s="6"/>
      <c r="AE831" s="7"/>
      <c r="AF831" s="7"/>
      <c r="AG831" s="7"/>
      <c r="AH831" s="7"/>
      <c r="AI831" s="7"/>
      <c r="AJ831" s="7"/>
      <c r="AK831" s="7"/>
      <c r="AL831" s="7"/>
      <c r="AM831" s="7"/>
      <c r="AN831" s="7"/>
      <c r="AO831" s="6"/>
      <c r="AP831" s="7"/>
      <c r="AQ831" s="7"/>
      <c r="AR831" s="6"/>
      <c r="AS831" s="7"/>
      <c r="AT831" s="7"/>
      <c r="AU831" s="7"/>
      <c r="AV831" s="7"/>
      <c r="AW831" s="7"/>
      <c r="AX831" s="7"/>
      <c r="AY831" s="7"/>
      <c r="AZ831" s="7"/>
      <c r="BA831" s="7"/>
      <c r="BB831" s="7"/>
      <c r="BC831" s="7"/>
      <c r="BD831" s="7"/>
      <c r="BE831" s="7"/>
      <c r="BF831" s="7"/>
      <c r="BG831" s="7"/>
    </row>
    <row r="832" customHeight="1" spans="1:59">
      <c r="A832" s="9" t="str">
        <f>IF(ActiveDatabase=Standby,Secondary!A832,Primary!A832)</f>
        <v>Yela R05</v>
      </c>
      <c r="B832" s="5" t="str">
        <f>IF(ActiveDatabase=Standby,Secondary!B832,Primary!B832)</f>
        <v>Yela 49</v>
      </c>
      <c r="C832" s="5" t="str">
        <f>IF(ActiveDatabase=Standby,Secondary!C832,Primary!C832)</f>
        <v>Yela 16</v>
      </c>
      <c r="D832" s="5" t="str">
        <f>IF(ActiveDatabase=Standby,Secondary!D832,Primary!D832)</f>
        <v>OM-5</v>
      </c>
      <c r="E832" s="6" t="str">
        <f>IF(ActiveDatabase=Standby,Secondary!E832,Primary!E832)</f>
        <v>OM5</v>
      </c>
      <c r="F832" s="10">
        <f>IF(ActiveDatabase=Standby,Secondary!F832,Primary!F832)</f>
        <v>455.483</v>
      </c>
      <c r="G832" s="10">
        <f>IF(ActiveDatabase=Standby,Secondary!G832,Primary!G832)</f>
        <v>0</v>
      </c>
      <c r="H832" s="10">
        <f>IF(ActiveDatabase=Standby,Secondary!H832,Primary!H832)</f>
        <v>0</v>
      </c>
      <c r="I832" s="13">
        <f>IF(ActiveDatabase=Standby,Secondary!I832,Primary!I832)</f>
        <v>0</v>
      </c>
      <c r="J832" s="13">
        <f>IF(ActiveDatabase=Standby,Secondary!J832,Primary!J832)</f>
        <v>0</v>
      </c>
      <c r="K832" s="13">
        <f>IF(ActiveDatabase=Standby,Secondary!K832,Primary!K832)</f>
        <v>0</v>
      </c>
      <c r="L832" s="13">
        <f>IF(ActiveDatabase=Standby,Secondary!L832,Primary!L832)</f>
        <v>0</v>
      </c>
      <c r="M832" s="7" t="b">
        <f>IF(ActiveDatabase=Standby,Secondary!M832,Primary!M832)</f>
        <v>1</v>
      </c>
      <c r="N832" s="10">
        <f>IF(ActiveDatabase=Standby,Secondary!N832,Primary!N832)</f>
        <v>0</v>
      </c>
      <c r="O832" s="10">
        <f>IF(ActiveDatabase=Standby,Secondary!O832,Primary!O832)</f>
        <v>0</v>
      </c>
      <c r="P832" s="10">
        <f>IF(ActiveDatabase=Standby,Secondary!P832,Primary!P832)</f>
        <v>0</v>
      </c>
      <c r="Q832" s="6">
        <f>IF(ActiveDatabase=Standby,Secondary!Q832,Primary!Q832)</f>
        <v>0</v>
      </c>
      <c r="R832" s="18">
        <f>IF(ActiveDatabase=Standby,Secondary!R832,Primary!R832)</f>
        <v>0</v>
      </c>
      <c r="S832" s="19">
        <f>IF(ActiveDatabase=Standby,Secondary!S832,Primary!S832)</f>
        <v>0</v>
      </c>
      <c r="T832" s="10">
        <f>IF(ActiveDatabase=Standby,Secondary!T832,Primary!T832)</f>
        <v>0</v>
      </c>
      <c r="U832" s="10">
        <f>IF(ActiveDatabase=Standby,Secondary!U832,Primary!U832)</f>
        <v>0</v>
      </c>
      <c r="V832" s="10">
        <f>IF(ActiveDatabase=Standby,Secondary!V832,Primary!V832)</f>
        <v>0</v>
      </c>
      <c r="W832" s="6">
        <f>IF(ActiveDatabase=Standby,Secondary!W832,Primary!W832)</f>
        <v>0</v>
      </c>
      <c r="X832" s="6">
        <f>IF(ActiveDatabase=Standby,Secondary!X832,Primary!X832)</f>
        <v>0</v>
      </c>
      <c r="Y832" s="12">
        <f>IF(ActiveDatabase=Standby,Secondary!Y832,Primary!Y1490)</f>
        <v>0</v>
      </c>
      <c r="Z832" s="12">
        <f>IF(ActiveDatabase=Standby,Secondary!Z832,Primary!Z1490)</f>
        <v>0</v>
      </c>
      <c r="AA832" s="7">
        <f>IF(ActiveDatabase=Standby,Secondary!AA832,Primary!AA1490)</f>
        <v>0</v>
      </c>
      <c r="AB832" s="12"/>
      <c r="AC832" s="6"/>
      <c r="AD832" s="6"/>
      <c r="AE832" s="7"/>
      <c r="AF832" s="7"/>
      <c r="AG832" s="7"/>
      <c r="AH832" s="7"/>
      <c r="AI832" s="7"/>
      <c r="AJ832" s="7"/>
      <c r="AK832" s="7"/>
      <c r="AL832" s="7"/>
      <c r="AM832" s="7"/>
      <c r="AN832" s="7"/>
      <c r="AO832" s="6"/>
      <c r="AP832" s="7"/>
      <c r="AQ832" s="7"/>
      <c r="AR832" s="6"/>
      <c r="AS832" s="7"/>
      <c r="AT832" s="7"/>
      <c r="AU832" s="7"/>
      <c r="AV832" s="7"/>
      <c r="AW832" s="7"/>
      <c r="AX832" s="7"/>
      <c r="AY832" s="7"/>
      <c r="AZ832" s="7"/>
      <c r="BA832" s="7"/>
      <c r="BB832" s="7"/>
      <c r="BC832" s="7"/>
      <c r="BD832" s="7"/>
      <c r="BE832" s="7"/>
      <c r="BF832" s="7"/>
      <c r="BG832" s="7"/>
    </row>
    <row r="833" customHeight="1" spans="1:59">
      <c r="A833" s="9" t="str">
        <f>IF(ActiveDatabase=Standby,Secondary!A833,Primary!A833)</f>
        <v>Yela R06</v>
      </c>
      <c r="B833" s="5" t="str">
        <f>IF(ActiveDatabase=Standby,Secondary!B833,Primary!B833)</f>
        <v>Yela 50</v>
      </c>
      <c r="C833" s="5" t="str">
        <f>IF(ActiveDatabase=Standby,Secondary!C833,Primary!C833)</f>
        <v>Yela 31</v>
      </c>
      <c r="D833" s="5" t="str">
        <f>IF(ActiveDatabase=Standby,Secondary!D833,Primary!D833)</f>
        <v>OM-6</v>
      </c>
      <c r="E833" s="6" t="str">
        <f>IF(ActiveDatabase=Standby,Secondary!E833,Primary!E833)</f>
        <v>OM6</v>
      </c>
      <c r="F833" s="10">
        <f>IF(ActiveDatabase=Standby,Secondary!F833,Primary!F833)</f>
        <v>-455.483</v>
      </c>
      <c r="G833" s="10">
        <f>IF(ActiveDatabase=Standby,Secondary!G833,Primary!G833)</f>
        <v>0</v>
      </c>
      <c r="H833" s="10">
        <f>IF(ActiveDatabase=Standby,Secondary!H833,Primary!H833)</f>
        <v>0</v>
      </c>
      <c r="I833" s="13">
        <f>IF(ActiveDatabase=Standby,Secondary!I833,Primary!I833)</f>
        <v>0</v>
      </c>
      <c r="J833" s="13">
        <f>IF(ActiveDatabase=Standby,Secondary!J833,Primary!J833)</f>
        <v>0</v>
      </c>
      <c r="K833" s="13">
        <f>IF(ActiveDatabase=Standby,Secondary!K833,Primary!K833)</f>
        <v>0</v>
      </c>
      <c r="L833" s="13">
        <f>IF(ActiveDatabase=Standby,Secondary!L833,Primary!L833)</f>
        <v>0</v>
      </c>
      <c r="M833" s="7" t="b">
        <f>IF(ActiveDatabase=Standby,Secondary!M833,Primary!M833)</f>
        <v>1</v>
      </c>
      <c r="N833" s="10">
        <f>IF(ActiveDatabase=Standby,Secondary!N833,Primary!N833)</f>
        <v>0</v>
      </c>
      <c r="O833" s="10">
        <f>IF(ActiveDatabase=Standby,Secondary!O833,Primary!O833)</f>
        <v>0</v>
      </c>
      <c r="P833" s="10">
        <f>IF(ActiveDatabase=Standby,Secondary!P833,Primary!P833)</f>
        <v>0</v>
      </c>
      <c r="Q833" s="6">
        <f>IF(ActiveDatabase=Standby,Secondary!Q833,Primary!Q833)</f>
        <v>0</v>
      </c>
      <c r="R833" s="18">
        <f>IF(ActiveDatabase=Standby,Secondary!R833,Primary!R833)</f>
        <v>0</v>
      </c>
      <c r="S833" s="19">
        <f>IF(ActiveDatabase=Standby,Secondary!S833,Primary!S833)</f>
        <v>0</v>
      </c>
      <c r="T833" s="10">
        <f>IF(ActiveDatabase=Standby,Secondary!T833,Primary!T833)</f>
        <v>0</v>
      </c>
      <c r="U833" s="10">
        <f>IF(ActiveDatabase=Standby,Secondary!U833,Primary!U833)</f>
        <v>0</v>
      </c>
      <c r="V833" s="10">
        <f>IF(ActiveDatabase=Standby,Secondary!V833,Primary!V833)</f>
        <v>0</v>
      </c>
      <c r="W833" s="6">
        <f>IF(ActiveDatabase=Standby,Secondary!W833,Primary!W833)</f>
        <v>0</v>
      </c>
      <c r="X833" s="6">
        <f>IF(ActiveDatabase=Standby,Secondary!X833,Primary!X833)</f>
        <v>0</v>
      </c>
      <c r="Y833" s="12">
        <f>IF(ActiveDatabase=Standby,Secondary!Y833,Primary!Y1491)</f>
        <v>0</v>
      </c>
      <c r="Z833" s="12">
        <f>IF(ActiveDatabase=Standby,Secondary!Z833,Primary!Z1491)</f>
        <v>0</v>
      </c>
      <c r="AA833" s="7">
        <f>IF(ActiveDatabase=Standby,Secondary!AA833,Primary!AA1491)</f>
        <v>0</v>
      </c>
      <c r="AB833" s="12"/>
      <c r="AC833" s="6"/>
      <c r="AD833" s="6"/>
      <c r="AE833" s="7"/>
      <c r="AF833" s="7"/>
      <c r="AG833" s="7"/>
      <c r="AH833" s="7"/>
      <c r="AI833" s="7"/>
      <c r="AJ833" s="7"/>
      <c r="AK833" s="7"/>
      <c r="AL833" s="7"/>
      <c r="AM833" s="7"/>
      <c r="AN833" s="7"/>
      <c r="AO833" s="6"/>
      <c r="AP833" s="7"/>
      <c r="AQ833" s="7"/>
      <c r="AR833" s="6"/>
      <c r="AS833" s="7"/>
      <c r="AT833" s="7"/>
      <c r="AU833" s="7"/>
      <c r="AV833" s="7"/>
      <c r="AW833" s="7"/>
      <c r="AX833" s="7"/>
      <c r="AY833" s="7"/>
      <c r="AZ833" s="7"/>
      <c r="BA833" s="7"/>
      <c r="BB833" s="7"/>
      <c r="BC833" s="7"/>
      <c r="BD833" s="7"/>
      <c r="BE833" s="7"/>
      <c r="BF833" s="7"/>
      <c r="BG833" s="7"/>
    </row>
    <row r="834" customHeight="1" spans="1:59">
      <c r="A834" s="9" t="str">
        <f>IF(ActiveDatabase=Standby,Secondary!A834,Primary!A834)</f>
        <v>Yela</v>
      </c>
      <c r="B834" s="5" t="str">
        <f>IF(ActiveDatabase=Standby,Secondary!B834,Primary!B834)</f>
        <v>Yela 00</v>
      </c>
      <c r="C834" s="5">
        <f>IF(ActiveDatabase=Standby,Secondary!C834,Primary!C834)</f>
        <v>0</v>
      </c>
      <c r="D834" s="5" t="str">
        <f>IF(ActiveDatabase=Standby,Secondary!D834,Primary!D834)</f>
        <v>Landing Zone</v>
      </c>
      <c r="E834" s="6">
        <f>IF(ActiveDatabase=Standby,Secondary!E834,Primary!E834)</f>
        <v>0</v>
      </c>
      <c r="F834" s="10">
        <f>IF(ActiveDatabase=Standby,Secondary!F834,Primary!F834)</f>
        <v>0</v>
      </c>
      <c r="G834" s="10">
        <f>IF(ActiveDatabase=Standby,Secondary!G834,Primary!G834)</f>
        <v>0</v>
      </c>
      <c r="H834" s="10">
        <f>IF(ActiveDatabase=Standby,Secondary!H834,Primary!H834)</f>
        <v>0</v>
      </c>
      <c r="I834" s="13">
        <f>IF(ActiveDatabase=Standby,Secondary!I834,Primary!I834)</f>
        <v>0</v>
      </c>
      <c r="J834" s="13">
        <f>IF(ActiveDatabase=Standby,Secondary!J834,Primary!J834)</f>
        <v>0</v>
      </c>
      <c r="K834" s="13">
        <f>IF(ActiveDatabase=Standby,Secondary!K834,Primary!K834)</f>
        <v>0</v>
      </c>
      <c r="L834" s="13">
        <f>IF(ActiveDatabase=Standby,Secondary!L834,Primary!L834)</f>
        <v>0</v>
      </c>
      <c r="M834" s="7">
        <f>IF(ActiveDatabase=Standby,Secondary!M834,Primary!M834)</f>
        <v>0</v>
      </c>
      <c r="N834" s="10">
        <f>IF(ActiveDatabase=Standby,Secondary!N834,Primary!N834)</f>
        <v>0</v>
      </c>
      <c r="O834" s="10">
        <f>IF(ActiveDatabase=Standby,Secondary!O834,Primary!O834)</f>
        <v>0</v>
      </c>
      <c r="P834" s="10">
        <f>IF(ActiveDatabase=Standby,Secondary!P834,Primary!P834)</f>
        <v>0</v>
      </c>
      <c r="Q834" s="6">
        <f>IF(ActiveDatabase=Standby,Secondary!Q834,Primary!Q834)</f>
        <v>0</v>
      </c>
      <c r="R834" s="18">
        <f>IF(ActiveDatabase=Standby,Secondary!R834,Primary!R834)</f>
        <v>0</v>
      </c>
      <c r="S834" s="19">
        <f>IF(ActiveDatabase=Standby,Secondary!S834,Primary!S834)</f>
        <v>0</v>
      </c>
      <c r="T834" s="10">
        <f>IF(ActiveDatabase=Standby,Secondary!T834,Primary!T834)</f>
        <v>0</v>
      </c>
      <c r="U834" s="10">
        <f>IF(ActiveDatabase=Standby,Secondary!U834,Primary!U834)</f>
        <v>0</v>
      </c>
      <c r="V834" s="10">
        <f>IF(ActiveDatabase=Standby,Secondary!V834,Primary!V834)</f>
        <v>0</v>
      </c>
      <c r="W834" s="6">
        <f>IF(ActiveDatabase=Standby,Secondary!W834,Primary!W834)</f>
        <v>0</v>
      </c>
      <c r="X834" s="6">
        <f>IF(ActiveDatabase=Standby,Secondary!X834,Primary!X834)</f>
        <v>0</v>
      </c>
      <c r="Y834" s="12">
        <f>IF(ActiveDatabase=Standby,Secondary!Y834,Primary!Y1492)</f>
        <v>0</v>
      </c>
      <c r="Z834" s="12">
        <f>IF(ActiveDatabase=Standby,Secondary!Z834,Primary!Z1492)</f>
        <v>0</v>
      </c>
      <c r="AA834" s="7">
        <f>IF(ActiveDatabase=Standby,Secondary!AA834,Primary!AA1492)</f>
        <v>0</v>
      </c>
      <c r="AB834" s="12"/>
      <c r="AC834" s="6"/>
      <c r="AD834" s="6"/>
      <c r="AE834" s="7"/>
      <c r="AF834" s="7"/>
      <c r="AG834" s="7"/>
      <c r="AH834" s="7"/>
      <c r="AI834" s="7"/>
      <c r="AJ834" s="7"/>
      <c r="AK834" s="7"/>
      <c r="AL834" s="7"/>
      <c r="AM834" s="7"/>
      <c r="AN834" s="7"/>
      <c r="AO834" s="6"/>
      <c r="AP834" s="7"/>
      <c r="AQ834" s="7"/>
      <c r="AR834" s="6"/>
      <c r="AS834" s="7"/>
      <c r="AT834" s="7"/>
      <c r="AU834" s="7"/>
      <c r="AV834" s="7"/>
      <c r="AW834" s="7"/>
      <c r="AX834" s="7"/>
      <c r="AY834" s="7"/>
      <c r="AZ834" s="7"/>
      <c r="BA834" s="7"/>
      <c r="BB834" s="7"/>
      <c r="BC834" s="7"/>
      <c r="BD834" s="7"/>
      <c r="BE834" s="7"/>
      <c r="BF834" s="7"/>
      <c r="BG834" s="7"/>
    </row>
    <row r="835" customHeight="1" spans="1:59">
      <c r="A835" s="9" t="str">
        <f>IF(ActiveDatabase=Standby,Secondary!A835,Primary!A835)</f>
        <v>Yela 01</v>
      </c>
      <c r="B835" s="5" t="str">
        <f>IF(ActiveDatabase=Standby,Secondary!B835,Primary!B835)</f>
        <v>Yela 01</v>
      </c>
      <c r="C835" s="5" t="str">
        <f>IF(ActiveDatabase=Standby,Secondary!C835,Primary!C835)</f>
        <v>Yela 04</v>
      </c>
      <c r="D835" s="5" t="str">
        <f>IF(ActiveDatabase=Standby,Secondary!D835,Primary!D835)</f>
        <v>Grim HEX</v>
      </c>
      <c r="E835" s="6" t="str">
        <f>IF(ActiveDatabase=Standby,Secondary!E835,Primary!E835)</f>
        <v>GrimHEX</v>
      </c>
      <c r="F835" s="10">
        <f>IF(ActiveDatabase=Standby,Secondary!F835,Primary!F835)</f>
        <v>-568.6586875</v>
      </c>
      <c r="G835" s="10">
        <f>IF(ActiveDatabase=Standby,Secondary!G835,Primary!G835)</f>
        <v>383.56525</v>
      </c>
      <c r="H835" s="10">
        <f>IF(ActiveDatabase=Standby,Secondary!H835,Primary!H835)</f>
        <v>-2.042</v>
      </c>
      <c r="I835" s="13">
        <f>IF(ActiveDatabase=Standby,Secondary!I835,Primary!I835)</f>
        <v>0</v>
      </c>
      <c r="J835" s="13">
        <f>IF(ActiveDatabase=Standby,Secondary!J835,Primary!J835)</f>
        <v>0</v>
      </c>
      <c r="K835" s="13">
        <f>IF(ActiveDatabase=Standby,Secondary!K835,Primary!K835)</f>
        <v>0</v>
      </c>
      <c r="L835" s="13">
        <f>IF(ActiveDatabase=Standby,Secondary!L835,Primary!L835)</f>
        <v>0</v>
      </c>
      <c r="M835" s="7" t="b">
        <f>IF(ActiveDatabase=Standby,Secondary!M835,Primary!M835)</f>
        <v>1</v>
      </c>
      <c r="N835" s="10">
        <f>IF(ActiveDatabase=Standby,Secondary!N835,Primary!N835)</f>
        <v>0</v>
      </c>
      <c r="O835" s="10">
        <f>IF(ActiveDatabase=Standby,Secondary!O835,Primary!O835)</f>
        <v>0</v>
      </c>
      <c r="P835" s="10">
        <f>IF(ActiveDatabase=Standby,Secondary!P835,Primary!P835)</f>
        <v>0</v>
      </c>
      <c r="Q835" s="6">
        <f>IF(ActiveDatabase=Standby,Secondary!Q835,Primary!Q835)</f>
        <v>0</v>
      </c>
      <c r="R835" s="18">
        <f>IF(ActiveDatabase=Standby,Secondary!R835,Primary!R835)</f>
        <v>0</v>
      </c>
      <c r="S835" s="19">
        <f>IF(ActiveDatabase=Standby,Secondary!S835,Primary!S835)</f>
        <v>0</v>
      </c>
      <c r="T835" s="10">
        <f>IF(ActiveDatabase=Standby,Secondary!T835,Primary!T835)</f>
        <v>0</v>
      </c>
      <c r="U835" s="10">
        <f>IF(ActiveDatabase=Standby,Secondary!U835,Primary!U835)</f>
        <v>0</v>
      </c>
      <c r="V835" s="10">
        <f>IF(ActiveDatabase=Standby,Secondary!V835,Primary!V835)</f>
        <v>0</v>
      </c>
      <c r="W835" s="6">
        <f>IF(ActiveDatabase=Standby,Secondary!W835,Primary!W835)</f>
        <v>0</v>
      </c>
      <c r="X835" s="6">
        <f>IF(ActiveDatabase=Standby,Secondary!X835,Primary!X835)</f>
        <v>0</v>
      </c>
      <c r="Y835" s="12">
        <f>IF(ActiveDatabase=Standby,Secondary!Y835,Primary!Y1493)</f>
        <v>0</v>
      </c>
      <c r="Z835" s="12">
        <f>IF(ActiveDatabase=Standby,Secondary!Z835,Primary!Z1493)</f>
        <v>0</v>
      </c>
      <c r="AA835" s="7">
        <f>IF(ActiveDatabase=Standby,Secondary!AA835,Primary!AA1493)</f>
        <v>0</v>
      </c>
      <c r="AB835" s="12"/>
      <c r="AC835" s="6"/>
      <c r="AD835" s="6"/>
      <c r="AE835" s="7"/>
      <c r="AF835" s="7"/>
      <c r="AG835" s="7"/>
      <c r="AH835" s="7"/>
      <c r="AI835" s="7"/>
      <c r="AJ835" s="7"/>
      <c r="AK835" s="7"/>
      <c r="AL835" s="7"/>
      <c r="AM835" s="7"/>
      <c r="AN835" s="7"/>
      <c r="AO835" s="6"/>
      <c r="AP835" s="7"/>
      <c r="AQ835" s="7"/>
      <c r="AR835" s="6"/>
      <c r="AS835" s="7"/>
      <c r="AT835" s="7"/>
      <c r="AU835" s="7"/>
      <c r="AV835" s="7"/>
      <c r="AW835" s="7"/>
      <c r="AX835" s="7"/>
      <c r="AY835" s="7"/>
      <c r="AZ835" s="7"/>
      <c r="BA835" s="7"/>
      <c r="BB835" s="7"/>
      <c r="BC835" s="7"/>
      <c r="BD835" s="7"/>
      <c r="BE835" s="7"/>
      <c r="BF835" s="7"/>
      <c r="BG835" s="7"/>
    </row>
    <row r="836" customHeight="1" spans="1:59">
      <c r="A836" s="9" t="str">
        <f>IF(ActiveDatabase=Standby,Secondary!A836,Primary!A836)</f>
        <v>Yela</v>
      </c>
      <c r="B836" s="5" t="str">
        <f>IF(ActiveDatabase=Standby,Secondary!B836,Primary!B836)</f>
        <v>Yela 03</v>
      </c>
      <c r="C836" s="5">
        <f>IF(ActiveDatabase=Standby,Secondary!C836,Primary!C836)</f>
        <v>0</v>
      </c>
      <c r="D836" s="5" t="str">
        <f>IF(ActiveDatabase=Standby,Secondary!D836,Primary!D836)</f>
        <v>Trading Terminals</v>
      </c>
      <c r="E836" s="6">
        <f>IF(ActiveDatabase=Standby,Secondary!E836,Primary!E836)</f>
        <v>0</v>
      </c>
      <c r="F836" s="10">
        <f>IF(ActiveDatabase=Standby,Secondary!F836,Primary!F836)</f>
        <v>0</v>
      </c>
      <c r="G836" s="10">
        <f>IF(ActiveDatabase=Standby,Secondary!G836,Primary!G836)</f>
        <v>0</v>
      </c>
      <c r="H836" s="10">
        <f>IF(ActiveDatabase=Standby,Secondary!H836,Primary!H836)</f>
        <v>0</v>
      </c>
      <c r="I836" s="13">
        <f>IF(ActiveDatabase=Standby,Secondary!I836,Primary!I836)</f>
        <v>0</v>
      </c>
      <c r="J836" s="13">
        <f>IF(ActiveDatabase=Standby,Secondary!J836,Primary!J836)</f>
        <v>0</v>
      </c>
      <c r="K836" s="13">
        <f>IF(ActiveDatabase=Standby,Secondary!K836,Primary!K836)</f>
        <v>0</v>
      </c>
      <c r="L836" s="13">
        <f>IF(ActiveDatabase=Standby,Secondary!L836,Primary!L836)</f>
        <v>0</v>
      </c>
      <c r="M836" s="7">
        <f>IF(ActiveDatabase=Standby,Secondary!M836,Primary!M836)</f>
        <v>0</v>
      </c>
      <c r="N836" s="10">
        <f>IF(ActiveDatabase=Standby,Secondary!N836,Primary!N836)</f>
        <v>0</v>
      </c>
      <c r="O836" s="10">
        <f>IF(ActiveDatabase=Standby,Secondary!O836,Primary!O836)</f>
        <v>0</v>
      </c>
      <c r="P836" s="10">
        <f>IF(ActiveDatabase=Standby,Secondary!P836,Primary!P836)</f>
        <v>0</v>
      </c>
      <c r="Q836" s="6">
        <f>IF(ActiveDatabase=Standby,Secondary!Q836,Primary!Q836)</f>
        <v>0</v>
      </c>
      <c r="R836" s="18">
        <f>IF(ActiveDatabase=Standby,Secondary!R836,Primary!R836)</f>
        <v>0</v>
      </c>
      <c r="S836" s="19">
        <f>IF(ActiveDatabase=Standby,Secondary!S836,Primary!S836)</f>
        <v>0</v>
      </c>
      <c r="T836" s="10">
        <f>IF(ActiveDatabase=Standby,Secondary!T836,Primary!T836)</f>
        <v>0</v>
      </c>
      <c r="U836" s="10">
        <f>IF(ActiveDatabase=Standby,Secondary!U836,Primary!U836)</f>
        <v>0</v>
      </c>
      <c r="V836" s="10">
        <f>IF(ActiveDatabase=Standby,Secondary!V836,Primary!V836)</f>
        <v>0</v>
      </c>
      <c r="W836" s="6">
        <f>IF(ActiveDatabase=Standby,Secondary!W836,Primary!W836)</f>
        <v>0</v>
      </c>
      <c r="X836" s="6">
        <f>IF(ActiveDatabase=Standby,Secondary!X836,Primary!X836)</f>
        <v>0</v>
      </c>
      <c r="Y836" s="12">
        <f>IF(ActiveDatabase=Standby,Secondary!Y836,Primary!Y1494)</f>
        <v>0</v>
      </c>
      <c r="Z836" s="12">
        <f>IF(ActiveDatabase=Standby,Secondary!Z836,Primary!Z1494)</f>
        <v>0</v>
      </c>
      <c r="AA836" s="7">
        <f>IF(ActiveDatabase=Standby,Secondary!AA836,Primary!AA1494)</f>
        <v>0</v>
      </c>
      <c r="AB836" s="12"/>
      <c r="AC836" s="6"/>
      <c r="AD836" s="6"/>
      <c r="AE836" s="7"/>
      <c r="AF836" s="7"/>
      <c r="AG836" s="7"/>
      <c r="AH836" s="7"/>
      <c r="AI836" s="7"/>
      <c r="AJ836" s="7"/>
      <c r="AK836" s="7"/>
      <c r="AL836" s="7"/>
      <c r="AM836" s="7"/>
      <c r="AN836" s="7"/>
      <c r="AO836" s="6"/>
      <c r="AP836" s="7"/>
      <c r="AQ836" s="7"/>
      <c r="AR836" s="6"/>
      <c r="AS836" s="7"/>
      <c r="AT836" s="7"/>
      <c r="AU836" s="7"/>
      <c r="AV836" s="7"/>
      <c r="AW836" s="7"/>
      <c r="AX836" s="7"/>
      <c r="AY836" s="7"/>
      <c r="AZ836" s="7"/>
      <c r="BA836" s="7"/>
      <c r="BB836" s="7"/>
      <c r="BC836" s="7"/>
      <c r="BD836" s="7"/>
      <c r="BE836" s="7"/>
      <c r="BF836" s="7"/>
      <c r="BG836" s="7"/>
    </row>
    <row r="837" customHeight="1" spans="1:59">
      <c r="A837" s="9" t="str">
        <f>IF(ActiveDatabase=Standby,Secondary!A837,Primary!A837)</f>
        <v>Yela 02</v>
      </c>
      <c r="B837" s="5" t="str">
        <f>IF(ActiveDatabase=Standby,Secondary!B837,Primary!B837)</f>
        <v>Yela 04</v>
      </c>
      <c r="C837" s="5" t="str">
        <f>IF(ActiveDatabase=Standby,Secondary!C837,Primary!C837)</f>
        <v>Yela 10</v>
      </c>
      <c r="D837" s="5" t="str">
        <f>IF(ActiveDatabase=Standby,Secondary!D837,Primary!D837)</f>
        <v>ArcCorp Mining Area 157 (PB)</v>
      </c>
      <c r="E837" s="6" t="str">
        <f>IF(ActiveDatabase=Standby,Secondary!E837,Primary!E837)</f>
        <v>ArcCorp 157</v>
      </c>
      <c r="F837" s="10">
        <f>IF(ActiveDatabase=Standby,Secondary!F837,Primary!F837)</f>
        <v>6.02297747799999</v>
      </c>
      <c r="G837" s="10">
        <f>IF(ActiveDatabase=Standby,Secondary!G837,Primary!G837)</f>
        <v>222.356216484</v>
      </c>
      <c r="H837" s="10">
        <f>IF(ActiveDatabase=Standby,Secondary!H837,Primary!H837)</f>
        <v>220.312841504999</v>
      </c>
      <c r="I837" s="13">
        <f>IF(ActiveDatabase=Standby,Secondary!I837,Primary!I837)</f>
        <v>0</v>
      </c>
      <c r="J837" s="13">
        <f>IF(ActiveDatabase=Standby,Secondary!J837,Primary!J837)</f>
        <v>0</v>
      </c>
      <c r="K837" s="13">
        <f>IF(ActiveDatabase=Standby,Secondary!K837,Primary!K837)</f>
        <v>0</v>
      </c>
      <c r="L837" s="13">
        <f>IF(ActiveDatabase=Standby,Secondary!L837,Primary!L837)</f>
        <v>0</v>
      </c>
      <c r="M837" s="7" t="b">
        <f>IF(ActiveDatabase=Standby,Secondary!M837,Primary!M837)</f>
        <v>1</v>
      </c>
      <c r="N837" s="10">
        <f>IF(ActiveDatabase=Standby,Secondary!N837,Primary!N837)</f>
        <v>0</v>
      </c>
      <c r="O837" s="10">
        <f>IF(ActiveDatabase=Standby,Secondary!O837,Primary!O837)</f>
        <v>0</v>
      </c>
      <c r="P837" s="10">
        <f>IF(ActiveDatabase=Standby,Secondary!P837,Primary!P837)</f>
        <v>0</v>
      </c>
      <c r="Q837" s="6">
        <f>IF(ActiveDatabase=Standby,Secondary!Q837,Primary!Q837)</f>
        <v>0</v>
      </c>
      <c r="R837" s="18">
        <f>IF(ActiveDatabase=Standby,Secondary!R837,Primary!R837)</f>
        <v>0</v>
      </c>
      <c r="S837" s="19">
        <f>IF(ActiveDatabase=Standby,Secondary!S837,Primary!S837)</f>
        <v>0</v>
      </c>
      <c r="T837" s="10">
        <f>IF(ActiveDatabase=Standby,Secondary!T837,Primary!T837)</f>
        <v>0</v>
      </c>
      <c r="U837" s="10">
        <f>IF(ActiveDatabase=Standby,Secondary!U837,Primary!U837)</f>
        <v>0</v>
      </c>
      <c r="V837" s="10">
        <f>IF(ActiveDatabase=Standby,Secondary!V837,Primary!V837)</f>
        <v>0</v>
      </c>
      <c r="W837" s="6">
        <f>IF(ActiveDatabase=Standby,Secondary!W837,Primary!W837)</f>
        <v>0</v>
      </c>
      <c r="X837" s="6">
        <f>IF(ActiveDatabase=Standby,Secondary!X837,Primary!X837)</f>
        <v>0</v>
      </c>
      <c r="Y837" s="12">
        <f>IF(ActiveDatabase=Standby,Secondary!Y837,Primary!Y1495)</f>
        <v>0</v>
      </c>
      <c r="Z837" s="12">
        <f>IF(ActiveDatabase=Standby,Secondary!Z837,Primary!Z1495)</f>
        <v>0</v>
      </c>
      <c r="AA837" s="7">
        <f>IF(ActiveDatabase=Standby,Secondary!AA837,Primary!AA1495)</f>
        <v>0</v>
      </c>
      <c r="AB837" s="12"/>
      <c r="AC837" s="6"/>
      <c r="AD837" s="6"/>
      <c r="AE837" s="7"/>
      <c r="AF837" s="7"/>
      <c r="AG837" s="7"/>
      <c r="AH837" s="7"/>
      <c r="AI837" s="7"/>
      <c r="AJ837" s="7"/>
      <c r="AK837" s="7"/>
      <c r="AL837" s="7"/>
      <c r="AM837" s="7"/>
      <c r="AN837" s="7"/>
      <c r="AO837" s="6"/>
      <c r="AP837" s="7"/>
      <c r="AQ837" s="7"/>
      <c r="AR837" s="6"/>
      <c r="AS837" s="7"/>
      <c r="AT837" s="7"/>
      <c r="AU837" s="7"/>
      <c r="AV837" s="7"/>
      <c r="AW837" s="7"/>
      <c r="AX837" s="7"/>
      <c r="AY837" s="7"/>
      <c r="AZ837" s="7"/>
      <c r="BA837" s="7"/>
      <c r="BB837" s="7"/>
      <c r="BC837" s="7"/>
      <c r="BD837" s="7"/>
      <c r="BE837" s="7"/>
      <c r="BF837" s="7"/>
      <c r="BG837" s="7"/>
    </row>
    <row r="838" customHeight="1" spans="1:59">
      <c r="A838" s="9" t="str">
        <f>IF(ActiveDatabase=Standby,Secondary!A838,Primary!A838)</f>
        <v>Yela 03</v>
      </c>
      <c r="B838" s="5" t="str">
        <f>IF(ActiveDatabase=Standby,Secondary!B838,Primary!B838)</f>
        <v>Yela 05</v>
      </c>
      <c r="C838" s="5" t="str">
        <f>IF(ActiveDatabase=Standby,Secondary!C838,Primary!C838)</f>
        <v>Yela 21</v>
      </c>
      <c r="D838" s="5" t="str">
        <f>IF(ActiveDatabase=Standby,Secondary!D838,Primary!D838)</f>
        <v>Benson Mining Outpost</v>
      </c>
      <c r="E838" s="6" t="str">
        <f>IF(ActiveDatabase=Standby,Secondary!E838,Primary!E838)</f>
        <v>Benson</v>
      </c>
      <c r="F838" s="10">
        <f>IF(ActiveDatabase=Standby,Secondary!F838,Primary!F838)</f>
        <v>48.9981152789999</v>
      </c>
      <c r="G838" s="10">
        <f>IF(ActiveDatabase=Standby,Secondary!G838,Primary!G838)</f>
        <v>-275.606333017</v>
      </c>
      <c r="H838" s="10">
        <f>IF(ActiveDatabase=Standby,Secondary!H838,Primary!H838)</f>
        <v>-140.136025793</v>
      </c>
      <c r="I838" s="13">
        <f>IF(ActiveDatabase=Standby,Secondary!I838,Primary!I838)</f>
        <v>0</v>
      </c>
      <c r="J838" s="13">
        <f>IF(ActiveDatabase=Standby,Secondary!J838,Primary!J838)</f>
        <v>0</v>
      </c>
      <c r="K838" s="13">
        <f>IF(ActiveDatabase=Standby,Secondary!K838,Primary!K838)</f>
        <v>0</v>
      </c>
      <c r="L838" s="13">
        <f>IF(ActiveDatabase=Standby,Secondary!L838,Primary!L838)</f>
        <v>0</v>
      </c>
      <c r="M838" s="7" t="b">
        <f>IF(ActiveDatabase=Standby,Secondary!M838,Primary!M838)</f>
        <v>1</v>
      </c>
      <c r="N838" s="10">
        <f>IF(ActiveDatabase=Standby,Secondary!N838,Primary!N838)</f>
        <v>0</v>
      </c>
      <c r="O838" s="10">
        <f>IF(ActiveDatabase=Standby,Secondary!O838,Primary!O838)</f>
        <v>0</v>
      </c>
      <c r="P838" s="10">
        <f>IF(ActiveDatabase=Standby,Secondary!P838,Primary!P838)</f>
        <v>0</v>
      </c>
      <c r="Q838" s="6">
        <f>IF(ActiveDatabase=Standby,Secondary!Q838,Primary!Q838)</f>
        <v>0</v>
      </c>
      <c r="R838" s="18">
        <f>IF(ActiveDatabase=Standby,Secondary!R838,Primary!R838)</f>
        <v>0</v>
      </c>
      <c r="S838" s="19">
        <f>IF(ActiveDatabase=Standby,Secondary!S838,Primary!S838)</f>
        <v>0</v>
      </c>
      <c r="T838" s="10">
        <f>IF(ActiveDatabase=Standby,Secondary!T838,Primary!T838)</f>
        <v>0</v>
      </c>
      <c r="U838" s="10">
        <f>IF(ActiveDatabase=Standby,Secondary!U838,Primary!U838)</f>
        <v>0</v>
      </c>
      <c r="V838" s="10">
        <f>IF(ActiveDatabase=Standby,Secondary!V838,Primary!V838)</f>
        <v>0</v>
      </c>
      <c r="W838" s="6">
        <f>IF(ActiveDatabase=Standby,Secondary!W838,Primary!W838)</f>
        <v>0</v>
      </c>
      <c r="X838" s="6">
        <f>IF(ActiveDatabase=Standby,Secondary!X838,Primary!X838)</f>
        <v>0</v>
      </c>
      <c r="Y838" s="12">
        <f>IF(ActiveDatabase=Standby,Secondary!Y838,Primary!Y1496)</f>
        <v>0</v>
      </c>
      <c r="Z838" s="12">
        <f>IF(ActiveDatabase=Standby,Secondary!Z838,Primary!Z1496)</f>
        <v>0</v>
      </c>
      <c r="AA838" s="7">
        <f>IF(ActiveDatabase=Standby,Secondary!AA838,Primary!AA1496)</f>
        <v>0</v>
      </c>
      <c r="AB838" s="12"/>
      <c r="AC838" s="6"/>
      <c r="AD838" s="6"/>
      <c r="AE838" s="7"/>
      <c r="AF838" s="7"/>
      <c r="AG838" s="7"/>
      <c r="AH838" s="7"/>
      <c r="AI838" s="7"/>
      <c r="AJ838" s="7"/>
      <c r="AK838" s="7"/>
      <c r="AL838" s="7"/>
      <c r="AM838" s="7"/>
      <c r="AN838" s="7"/>
      <c r="AO838" s="6"/>
      <c r="AP838" s="7"/>
      <c r="AQ838" s="7"/>
      <c r="AR838" s="6"/>
      <c r="AS838" s="7"/>
      <c r="AT838" s="7"/>
      <c r="AU838" s="7"/>
      <c r="AV838" s="7"/>
      <c r="AW838" s="7"/>
      <c r="AX838" s="7"/>
      <c r="AY838" s="7"/>
      <c r="AZ838" s="7"/>
      <c r="BA838" s="7"/>
      <c r="BB838" s="7"/>
      <c r="BC838" s="7"/>
      <c r="BD838" s="7"/>
      <c r="BE838" s="7"/>
      <c r="BF838" s="7"/>
      <c r="BG838" s="7"/>
    </row>
    <row r="839" customHeight="1" spans="1:59">
      <c r="A839" s="9" t="str">
        <f>IF(ActiveDatabase=Standby,Secondary!A839,Primary!A839)</f>
        <v>Yela 04</v>
      </c>
      <c r="B839" s="5" t="str">
        <f>IF(ActiveDatabase=Standby,Secondary!B839,Primary!B839)</f>
        <v>Yela 06</v>
      </c>
      <c r="C839" s="5" t="str">
        <f>IF(ActiveDatabase=Standby,Secondary!C839,Primary!C839)</f>
        <v>Yela 19</v>
      </c>
      <c r="D839" s="5" t="str">
        <f>IF(ActiveDatabase=Standby,Secondary!D839,Primary!D839)</f>
        <v>Deakins Research Outpost (PB)</v>
      </c>
      <c r="E839" s="6" t="str">
        <f>IF(ActiveDatabase=Standby,Secondary!E839,Primary!E839)</f>
        <v>Deakins</v>
      </c>
      <c r="F839" s="10">
        <f>IF(ActiveDatabase=Standby,Secondary!F839,Primary!F839)</f>
        <v>231.58705872</v>
      </c>
      <c r="G839" s="10">
        <f>IF(ActiveDatabase=Standby,Secondary!G839,Primary!G839)</f>
        <v>-210.279324693</v>
      </c>
      <c r="H839" s="10">
        <f>IF(ActiveDatabase=Standby,Secondary!H839,Primary!H839)</f>
        <v>13.277539822</v>
      </c>
      <c r="I839" s="13">
        <f>IF(ActiveDatabase=Standby,Secondary!I839,Primary!I839)</f>
        <v>0</v>
      </c>
      <c r="J839" s="13">
        <f>IF(ActiveDatabase=Standby,Secondary!J839,Primary!J839)</f>
        <v>0</v>
      </c>
      <c r="K839" s="13">
        <f>IF(ActiveDatabase=Standby,Secondary!K839,Primary!K839)</f>
        <v>0</v>
      </c>
      <c r="L839" s="13">
        <f>IF(ActiveDatabase=Standby,Secondary!L839,Primary!L839)</f>
        <v>0</v>
      </c>
      <c r="M839" s="7" t="b">
        <f>IF(ActiveDatabase=Standby,Secondary!M839,Primary!M839)</f>
        <v>1</v>
      </c>
      <c r="N839" s="10">
        <f>IF(ActiveDatabase=Standby,Secondary!N839,Primary!N839)</f>
        <v>0</v>
      </c>
      <c r="O839" s="10">
        <f>IF(ActiveDatabase=Standby,Secondary!O839,Primary!O839)</f>
        <v>0</v>
      </c>
      <c r="P839" s="10">
        <f>IF(ActiveDatabase=Standby,Secondary!P839,Primary!P839)</f>
        <v>0</v>
      </c>
      <c r="Q839" s="6">
        <f>IF(ActiveDatabase=Standby,Secondary!Q839,Primary!Q839)</f>
        <v>0</v>
      </c>
      <c r="R839" s="18">
        <f>IF(ActiveDatabase=Standby,Secondary!R839,Primary!R839)</f>
        <v>0</v>
      </c>
      <c r="S839" s="19">
        <f>IF(ActiveDatabase=Standby,Secondary!S839,Primary!S839)</f>
        <v>0</v>
      </c>
      <c r="T839" s="10">
        <f>IF(ActiveDatabase=Standby,Secondary!T839,Primary!T839)</f>
        <v>0</v>
      </c>
      <c r="U839" s="10">
        <f>IF(ActiveDatabase=Standby,Secondary!U839,Primary!U839)</f>
        <v>0</v>
      </c>
      <c r="V839" s="10">
        <f>IF(ActiveDatabase=Standby,Secondary!V839,Primary!V839)</f>
        <v>0</v>
      </c>
      <c r="W839" s="6">
        <f>IF(ActiveDatabase=Standby,Secondary!W839,Primary!W839)</f>
        <v>0</v>
      </c>
      <c r="X839" s="6">
        <f>IF(ActiveDatabase=Standby,Secondary!X839,Primary!X839)</f>
        <v>0</v>
      </c>
      <c r="Y839" s="12">
        <f>IF(ActiveDatabase=Standby,Secondary!Y839,Primary!Y1497)</f>
        <v>0</v>
      </c>
      <c r="Z839" s="12">
        <f>IF(ActiveDatabase=Standby,Secondary!Z839,Primary!Z1497)</f>
        <v>0</v>
      </c>
      <c r="AA839" s="7">
        <f>IF(ActiveDatabase=Standby,Secondary!AA839,Primary!AA1497)</f>
        <v>0</v>
      </c>
      <c r="AB839" s="12"/>
      <c r="AC839" s="6"/>
      <c r="AD839" s="6"/>
      <c r="AE839" s="7"/>
      <c r="AF839" s="7"/>
      <c r="AG839" s="7"/>
      <c r="AH839" s="7"/>
      <c r="AI839" s="7"/>
      <c r="AJ839" s="7"/>
      <c r="AK839" s="7"/>
      <c r="AL839" s="7"/>
      <c r="AM839" s="7"/>
      <c r="AN839" s="7"/>
      <c r="AO839" s="6"/>
      <c r="AP839" s="7"/>
      <c r="AQ839" s="7"/>
      <c r="AR839" s="6"/>
      <c r="AS839" s="7"/>
      <c r="AT839" s="7"/>
      <c r="AU839" s="7"/>
      <c r="AV839" s="7"/>
      <c r="AW839" s="7"/>
      <c r="AX839" s="7"/>
      <c r="AY839" s="7"/>
      <c r="AZ839" s="7"/>
      <c r="BA839" s="7"/>
      <c r="BB839" s="7"/>
      <c r="BC839" s="7"/>
      <c r="BD839" s="7"/>
      <c r="BE839" s="7"/>
      <c r="BF839" s="7"/>
      <c r="BG839" s="7"/>
    </row>
    <row r="840" customHeight="1" spans="1:59">
      <c r="A840" s="9" t="str">
        <f>IF(ActiveDatabase=Standby,Secondary!A840,Primary!A840)</f>
        <v>Yela 05</v>
      </c>
      <c r="B840" s="5" t="str">
        <f>IF(ActiveDatabase=Standby,Secondary!B840,Primary!B840)</f>
        <v>Yela 07</v>
      </c>
      <c r="C840" s="5" t="str">
        <f>IF(ActiveDatabase=Standby,Secondary!C840,Primary!C840)</f>
        <v>Yela 30</v>
      </c>
      <c r="D840" s="5" t="str">
        <f>IF(ActiveDatabase=Standby,Secondary!D840,Primary!D840)</f>
        <v>Yela Stash House (NT-999-XX)</v>
      </c>
      <c r="E840" s="6" t="str">
        <f>IF(ActiveDatabase=Standby,Secondary!E840,Primary!E840)</f>
        <v>Stash House</v>
      </c>
      <c r="F840" s="10">
        <f>IF(ActiveDatabase=Standby,Secondary!F840,Primary!F840)</f>
        <v>-205.658644808999</v>
      </c>
      <c r="G840" s="10">
        <f>IF(ActiveDatabase=Standby,Secondary!G840,Primary!G840)</f>
        <v>-73.9878218179999</v>
      </c>
      <c r="H840" s="10">
        <f>IF(ActiveDatabase=Standby,Secondary!H840,Primary!H840)</f>
        <v>224.324660814</v>
      </c>
      <c r="I840" s="13">
        <f>IF(ActiveDatabase=Standby,Secondary!I840,Primary!I840)</f>
        <v>0</v>
      </c>
      <c r="J840" s="13">
        <f>IF(ActiveDatabase=Standby,Secondary!J840,Primary!J840)</f>
        <v>0</v>
      </c>
      <c r="K840" s="13">
        <f>IF(ActiveDatabase=Standby,Secondary!K840,Primary!K840)</f>
        <v>0</v>
      </c>
      <c r="L840" s="13">
        <f>IF(ActiveDatabase=Standby,Secondary!L840,Primary!L840)</f>
        <v>0</v>
      </c>
      <c r="M840" s="7" t="b">
        <f>IF(ActiveDatabase=Standby,Secondary!M840,Primary!M840)</f>
        <v>1</v>
      </c>
      <c r="N840" s="10">
        <f>IF(ActiveDatabase=Standby,Secondary!N840,Primary!N840)</f>
        <v>0</v>
      </c>
      <c r="O840" s="10">
        <f>IF(ActiveDatabase=Standby,Secondary!O840,Primary!O840)</f>
        <v>0</v>
      </c>
      <c r="P840" s="10">
        <f>IF(ActiveDatabase=Standby,Secondary!P840,Primary!P840)</f>
        <v>0</v>
      </c>
      <c r="Q840" s="6">
        <f>IF(ActiveDatabase=Standby,Secondary!Q840,Primary!Q840)</f>
        <v>0</v>
      </c>
      <c r="R840" s="18">
        <f>IF(ActiveDatabase=Standby,Secondary!R840,Primary!R840)</f>
        <v>0</v>
      </c>
      <c r="S840" s="19">
        <f>IF(ActiveDatabase=Standby,Secondary!S840,Primary!S840)</f>
        <v>0</v>
      </c>
      <c r="T840" s="10">
        <f>IF(ActiveDatabase=Standby,Secondary!T840,Primary!T840)</f>
        <v>0</v>
      </c>
      <c r="U840" s="10">
        <f>IF(ActiveDatabase=Standby,Secondary!U840,Primary!U840)</f>
        <v>0</v>
      </c>
      <c r="V840" s="10">
        <f>IF(ActiveDatabase=Standby,Secondary!V840,Primary!V840)</f>
        <v>0</v>
      </c>
      <c r="W840" s="6">
        <f>IF(ActiveDatabase=Standby,Secondary!W840,Primary!W840)</f>
        <v>0</v>
      </c>
      <c r="X840" s="6">
        <f>IF(ActiveDatabase=Standby,Secondary!X840,Primary!X840)</f>
        <v>0</v>
      </c>
      <c r="Y840" s="12">
        <f>IF(ActiveDatabase=Standby,Secondary!Y840,Primary!Y1498)</f>
        <v>0</v>
      </c>
      <c r="Z840" s="12">
        <f>IF(ActiveDatabase=Standby,Secondary!Z840,Primary!Z1498)</f>
        <v>0</v>
      </c>
      <c r="AA840" s="7">
        <f>IF(ActiveDatabase=Standby,Secondary!AA840,Primary!AA1498)</f>
        <v>0</v>
      </c>
      <c r="AB840" s="12"/>
      <c r="AC840" s="6"/>
      <c r="AD840" s="6"/>
      <c r="AE840" s="7"/>
      <c r="AF840" s="7"/>
      <c r="AG840" s="7"/>
      <c r="AH840" s="7"/>
      <c r="AI840" s="7"/>
      <c r="AJ840" s="7"/>
      <c r="AK840" s="7"/>
      <c r="AL840" s="7"/>
      <c r="AM840" s="7"/>
      <c r="AN840" s="7"/>
      <c r="AO840" s="6"/>
      <c r="AP840" s="7"/>
      <c r="AQ840" s="7"/>
      <c r="AR840" s="6"/>
      <c r="AS840" s="7"/>
      <c r="AT840" s="7"/>
      <c r="AU840" s="7"/>
      <c r="AV840" s="7"/>
      <c r="AW840" s="7"/>
      <c r="AX840" s="7"/>
      <c r="AY840" s="7"/>
      <c r="AZ840" s="7"/>
      <c r="BA840" s="7"/>
      <c r="BB840" s="7"/>
      <c r="BC840" s="7"/>
      <c r="BD840" s="7"/>
      <c r="BE840" s="7"/>
      <c r="BF840" s="7"/>
      <c r="BG840" s="7"/>
    </row>
    <row r="841" customHeight="1" spans="1:59">
      <c r="A841" s="9" t="str">
        <f>IF(ActiveDatabase=Standby,Secondary!A841,Primary!A841)</f>
        <v>Yela</v>
      </c>
      <c r="B841" s="5" t="str">
        <f>IF(ActiveDatabase=Standby,Secondary!B841,Primary!B841)</f>
        <v>Yela 09</v>
      </c>
      <c r="C841" s="5" t="str">
        <f>IF(ActiveDatabase=Standby,Secondary!C841,Primary!C841)</f>
        <v>Yela</v>
      </c>
      <c r="D841" s="5" t="str">
        <f>IF(ActiveDatabase=Standby,Secondary!D841,Primary!D841)</f>
        <v>Underground Bunker Facilities</v>
      </c>
      <c r="E841" s="6">
        <f>IF(ActiveDatabase=Standby,Secondary!E841,Primary!E841)</f>
        <v>0</v>
      </c>
      <c r="F841" s="10">
        <f>IF(ActiveDatabase=Standby,Secondary!F841,Primary!F841)</f>
        <v>0</v>
      </c>
      <c r="G841" s="10">
        <f>IF(ActiveDatabase=Standby,Secondary!G841,Primary!G841)</f>
        <v>0</v>
      </c>
      <c r="H841" s="10">
        <f>IF(ActiveDatabase=Standby,Secondary!H841,Primary!H841)</f>
        <v>0</v>
      </c>
      <c r="I841" s="13">
        <f>IF(ActiveDatabase=Standby,Secondary!I841,Primary!I841)</f>
        <v>0</v>
      </c>
      <c r="J841" s="13">
        <f>IF(ActiveDatabase=Standby,Secondary!J841,Primary!J841)</f>
        <v>0</v>
      </c>
      <c r="K841" s="13">
        <f>IF(ActiveDatabase=Standby,Secondary!K841,Primary!K841)</f>
        <v>0</v>
      </c>
      <c r="L841" s="13">
        <f>IF(ActiveDatabase=Standby,Secondary!L841,Primary!L841)</f>
        <v>0</v>
      </c>
      <c r="M841" s="7">
        <f>IF(ActiveDatabase=Standby,Secondary!M841,Primary!M841)</f>
        <v>0</v>
      </c>
      <c r="N841" s="10">
        <f>IF(ActiveDatabase=Standby,Secondary!N841,Primary!N841)</f>
        <v>0</v>
      </c>
      <c r="O841" s="10">
        <f>IF(ActiveDatabase=Standby,Secondary!O841,Primary!O841)</f>
        <v>0</v>
      </c>
      <c r="P841" s="10">
        <f>IF(ActiveDatabase=Standby,Secondary!P841,Primary!P841)</f>
        <v>0</v>
      </c>
      <c r="Q841" s="6">
        <f>IF(ActiveDatabase=Standby,Secondary!Q841,Primary!Q841)</f>
        <v>0</v>
      </c>
      <c r="R841" s="18">
        <f>IF(ActiveDatabase=Standby,Secondary!R841,Primary!R841)</f>
        <v>0</v>
      </c>
      <c r="S841" s="19">
        <f>IF(ActiveDatabase=Standby,Secondary!S841,Primary!S841)</f>
        <v>0</v>
      </c>
      <c r="T841" s="10">
        <f>IF(ActiveDatabase=Standby,Secondary!T841,Primary!T841)</f>
        <v>0</v>
      </c>
      <c r="U841" s="10">
        <f>IF(ActiveDatabase=Standby,Secondary!U841,Primary!U841)</f>
        <v>0</v>
      </c>
      <c r="V841" s="10">
        <f>IF(ActiveDatabase=Standby,Secondary!V841,Primary!V841)</f>
        <v>0</v>
      </c>
      <c r="W841" s="6">
        <f>IF(ActiveDatabase=Standby,Secondary!W841,Primary!W841)</f>
        <v>0</v>
      </c>
      <c r="X841" s="6">
        <f>IF(ActiveDatabase=Standby,Secondary!X841,Primary!X841)</f>
        <v>0</v>
      </c>
      <c r="Y841" s="12">
        <f>IF(ActiveDatabase=Standby,Secondary!Y841,Primary!Y1499)</f>
        <v>0</v>
      </c>
      <c r="Z841" s="12">
        <f>IF(ActiveDatabase=Standby,Secondary!Z841,Primary!Z1499)</f>
        <v>0</v>
      </c>
      <c r="AA841" s="7">
        <f>IF(ActiveDatabase=Standby,Secondary!AA841,Primary!AA1499)</f>
        <v>0</v>
      </c>
      <c r="AB841" s="12"/>
      <c r="AC841" s="6"/>
      <c r="AD841" s="6"/>
      <c r="AE841" s="7"/>
      <c r="AF841" s="7"/>
      <c r="AG841" s="7"/>
      <c r="AH841" s="7"/>
      <c r="AI841" s="7"/>
      <c r="AJ841" s="7"/>
      <c r="AK841" s="7"/>
      <c r="AL841" s="7"/>
      <c r="AM841" s="7"/>
      <c r="AN841" s="7"/>
      <c r="AO841" s="6"/>
      <c r="AP841" s="7"/>
      <c r="AQ841" s="7"/>
      <c r="AR841" s="6"/>
      <c r="AS841" s="7"/>
      <c r="AT841" s="7"/>
      <c r="AU841" s="7"/>
      <c r="AV841" s="7"/>
      <c r="AW841" s="7"/>
      <c r="AX841" s="7"/>
      <c r="AY841" s="7"/>
      <c r="AZ841" s="7"/>
      <c r="BA841" s="7"/>
      <c r="BB841" s="7"/>
      <c r="BC841" s="7"/>
      <c r="BD841" s="7"/>
      <c r="BE841" s="7"/>
      <c r="BF841" s="7"/>
      <c r="BG841" s="7"/>
    </row>
    <row r="842" customHeight="1" spans="1:59">
      <c r="A842" s="9" t="str">
        <f>IF(ActiveDatabase=Standby,Secondary!A842,Primary!A842)</f>
        <v>Yela 06</v>
      </c>
      <c r="B842" s="5" t="str">
        <f>IF(ActiveDatabase=Standby,Secondary!B842,Primary!B842)</f>
        <v>Yela 10</v>
      </c>
      <c r="C842" s="5" t="str">
        <f>IF(ActiveDatabase=Standby,Secondary!C842,Primary!C842)</f>
        <v>Yela 29</v>
      </c>
      <c r="D842" s="5" t="str">
        <f>IF(ActiveDatabase=Standby,Secondary!D842,Primary!D842)</f>
        <v>Afterlife</v>
      </c>
      <c r="E842" s="6" t="str">
        <f>IF(ActiveDatabase=Standby,Secondary!E842,Primary!E842)</f>
        <v>Afterlife</v>
      </c>
      <c r="F842" s="10">
        <f>IF(ActiveDatabase=Standby,Secondary!F842,Primary!F842)</f>
        <v>-254.263453205</v>
      </c>
      <c r="G842" s="10">
        <f>IF(ActiveDatabase=Standby,Secondary!G842,Primary!G842)</f>
        <v>-153.389924824999</v>
      </c>
      <c r="H842" s="10">
        <f>IF(ActiveDatabase=Standby,Secondary!H842,Primary!H842)</f>
        <v>99.057962111</v>
      </c>
      <c r="I842" s="13">
        <f>IF(ActiveDatabase=Standby,Secondary!I842,Primary!I842)</f>
        <v>0</v>
      </c>
      <c r="J842" s="13">
        <f>IF(ActiveDatabase=Standby,Secondary!J842,Primary!J842)</f>
        <v>0</v>
      </c>
      <c r="K842" s="13">
        <f>IF(ActiveDatabase=Standby,Secondary!K842,Primary!K842)</f>
        <v>0</v>
      </c>
      <c r="L842" s="13">
        <f>IF(ActiveDatabase=Standby,Secondary!L842,Primary!L842)</f>
        <v>0</v>
      </c>
      <c r="M842" s="7" t="b">
        <f>IF(ActiveDatabase=Standby,Secondary!M842,Primary!M842)</f>
        <v>1</v>
      </c>
      <c r="N842" s="10">
        <f>IF(ActiveDatabase=Standby,Secondary!N842,Primary!N842)</f>
        <v>0</v>
      </c>
      <c r="O842" s="10">
        <f>IF(ActiveDatabase=Standby,Secondary!O842,Primary!O842)</f>
        <v>0</v>
      </c>
      <c r="P842" s="10">
        <f>IF(ActiveDatabase=Standby,Secondary!P842,Primary!P842)</f>
        <v>0</v>
      </c>
      <c r="Q842" s="6">
        <f>IF(ActiveDatabase=Standby,Secondary!Q842,Primary!Q842)</f>
        <v>0</v>
      </c>
      <c r="R842" s="18">
        <f>IF(ActiveDatabase=Standby,Secondary!R842,Primary!R842)</f>
        <v>0</v>
      </c>
      <c r="S842" s="19">
        <f>IF(ActiveDatabase=Standby,Secondary!S842,Primary!S842)</f>
        <v>0</v>
      </c>
      <c r="T842" s="10">
        <f>IF(ActiveDatabase=Standby,Secondary!T842,Primary!T842)</f>
        <v>0</v>
      </c>
      <c r="U842" s="10">
        <f>IF(ActiveDatabase=Standby,Secondary!U842,Primary!U842)</f>
        <v>0</v>
      </c>
      <c r="V842" s="10">
        <f>IF(ActiveDatabase=Standby,Secondary!V842,Primary!V842)</f>
        <v>0</v>
      </c>
      <c r="W842" s="6">
        <f>IF(ActiveDatabase=Standby,Secondary!W842,Primary!W842)</f>
        <v>0</v>
      </c>
      <c r="X842" s="6">
        <f>IF(ActiveDatabase=Standby,Secondary!X842,Primary!X842)</f>
        <v>0</v>
      </c>
      <c r="Y842" s="12">
        <f>IF(ActiveDatabase=Standby,Secondary!Y842,Primary!Y1500)</f>
        <v>0</v>
      </c>
      <c r="Z842" s="12">
        <f>IF(ActiveDatabase=Standby,Secondary!Z842,Primary!Z1500)</f>
        <v>0</v>
      </c>
      <c r="AA842" s="7">
        <f>IF(ActiveDatabase=Standby,Secondary!AA842,Primary!AA1500)</f>
        <v>0</v>
      </c>
      <c r="AB842" s="12"/>
      <c r="AC842" s="6"/>
      <c r="AD842" s="6"/>
      <c r="AE842" s="7"/>
      <c r="AF842" s="7"/>
      <c r="AG842" s="7"/>
      <c r="AH842" s="7"/>
      <c r="AI842" s="7"/>
      <c r="AJ842" s="7"/>
      <c r="AK842" s="7"/>
      <c r="AL842" s="7"/>
      <c r="AM842" s="7"/>
      <c r="AN842" s="7"/>
      <c r="AO842" s="6"/>
      <c r="AP842" s="7"/>
      <c r="AQ842" s="7"/>
      <c r="AR842" s="6"/>
      <c r="AS842" s="7"/>
      <c r="AT842" s="7"/>
      <c r="AU842" s="7"/>
      <c r="AV842" s="7"/>
      <c r="AW842" s="7"/>
      <c r="AX842" s="7"/>
      <c r="AY842" s="7"/>
      <c r="AZ842" s="7"/>
      <c r="BA842" s="7"/>
      <c r="BB842" s="7"/>
      <c r="BC842" s="7"/>
      <c r="BD842" s="7"/>
      <c r="BE842" s="7"/>
      <c r="BF842" s="7"/>
      <c r="BG842" s="7"/>
    </row>
    <row r="843" customHeight="1" spans="1:59">
      <c r="A843" s="9" t="str">
        <f>IF(ActiveDatabase=Standby,Secondary!A843,Primary!A843)</f>
        <v>Yela 07</v>
      </c>
      <c r="B843" s="5" t="str">
        <f>IF(ActiveDatabase=Standby,Secondary!B843,Primary!B843)</f>
        <v>Yela 11</v>
      </c>
      <c r="C843" s="5" t="str">
        <f>IF(ActiveDatabase=Standby,Secondary!C843,Primary!C843)</f>
        <v>Yela 27</v>
      </c>
      <c r="D843" s="5" t="str">
        <f>IF(ActiveDatabase=Standby,Secondary!D843,Primary!D843)</f>
        <v>Connor's</v>
      </c>
      <c r="E843" s="6" t="str">
        <f>IF(ActiveDatabase=Standby,Secondary!E843,Primary!E843)</f>
        <v>Connor's</v>
      </c>
      <c r="F843" s="10">
        <f>IF(ActiveDatabase=Standby,Secondary!F843,Primary!F843)</f>
        <v>-139.770339362</v>
      </c>
      <c r="G843" s="10">
        <f>IF(ActiveDatabase=Standby,Secondary!G843,Primary!G843)</f>
        <v>-254.309590184</v>
      </c>
      <c r="H843" s="10">
        <f>IF(ActiveDatabase=Standby,Secondary!H843,Primary!H843)</f>
        <v>118.129294513999</v>
      </c>
      <c r="I843" s="13">
        <f>IF(ActiveDatabase=Standby,Secondary!I843,Primary!I843)</f>
        <v>0</v>
      </c>
      <c r="J843" s="13">
        <f>IF(ActiveDatabase=Standby,Secondary!J843,Primary!J843)</f>
        <v>0</v>
      </c>
      <c r="K843" s="13">
        <f>IF(ActiveDatabase=Standby,Secondary!K843,Primary!K843)</f>
        <v>0</v>
      </c>
      <c r="L843" s="13">
        <f>IF(ActiveDatabase=Standby,Secondary!L843,Primary!L843)</f>
        <v>0</v>
      </c>
      <c r="M843" s="7" t="b">
        <f>IF(ActiveDatabase=Standby,Secondary!M843,Primary!M843)</f>
        <v>1</v>
      </c>
      <c r="N843" s="10">
        <f>IF(ActiveDatabase=Standby,Secondary!N843,Primary!N843)</f>
        <v>0</v>
      </c>
      <c r="O843" s="10">
        <f>IF(ActiveDatabase=Standby,Secondary!O843,Primary!O843)</f>
        <v>0</v>
      </c>
      <c r="P843" s="10">
        <f>IF(ActiveDatabase=Standby,Secondary!P843,Primary!P843)</f>
        <v>0</v>
      </c>
      <c r="Q843" s="6">
        <f>IF(ActiveDatabase=Standby,Secondary!Q843,Primary!Q843)</f>
        <v>0</v>
      </c>
      <c r="R843" s="18">
        <f>IF(ActiveDatabase=Standby,Secondary!R843,Primary!R843)</f>
        <v>0</v>
      </c>
      <c r="S843" s="19">
        <f>IF(ActiveDatabase=Standby,Secondary!S843,Primary!S843)</f>
        <v>0</v>
      </c>
      <c r="T843" s="10">
        <f>IF(ActiveDatabase=Standby,Secondary!T843,Primary!T843)</f>
        <v>0</v>
      </c>
      <c r="U843" s="10">
        <f>IF(ActiveDatabase=Standby,Secondary!U843,Primary!U843)</f>
        <v>0</v>
      </c>
      <c r="V843" s="10">
        <f>IF(ActiveDatabase=Standby,Secondary!V843,Primary!V843)</f>
        <v>0</v>
      </c>
      <c r="W843" s="6">
        <f>IF(ActiveDatabase=Standby,Secondary!W843,Primary!W843)</f>
        <v>0</v>
      </c>
      <c r="X843" s="6">
        <f>IF(ActiveDatabase=Standby,Secondary!X843,Primary!X843)</f>
        <v>0</v>
      </c>
      <c r="Y843" s="12">
        <f>IF(ActiveDatabase=Standby,Secondary!Y843,Primary!Y1501)</f>
        <v>0</v>
      </c>
      <c r="Z843" s="12">
        <f>IF(ActiveDatabase=Standby,Secondary!Z843,Primary!Z1501)</f>
        <v>0</v>
      </c>
      <c r="AA843" s="7">
        <f>IF(ActiveDatabase=Standby,Secondary!AA843,Primary!AA1501)</f>
        <v>0</v>
      </c>
      <c r="AB843" s="12"/>
      <c r="AC843" s="6"/>
      <c r="AD843" s="6"/>
      <c r="AE843" s="7"/>
      <c r="AF843" s="7"/>
      <c r="AG843" s="7"/>
      <c r="AH843" s="7"/>
      <c r="AI843" s="7"/>
      <c r="AJ843" s="7"/>
      <c r="AK843" s="7"/>
      <c r="AL843" s="7"/>
      <c r="AM843" s="7"/>
      <c r="AN843" s="7"/>
      <c r="AO843" s="6"/>
      <c r="AP843" s="7"/>
      <c r="AQ843" s="7"/>
      <c r="AR843" s="6"/>
      <c r="AS843" s="7"/>
      <c r="AT843" s="7"/>
      <c r="AU843" s="7"/>
      <c r="AV843" s="7"/>
      <c r="AW843" s="7"/>
      <c r="AX843" s="7"/>
      <c r="AY843" s="7"/>
      <c r="AZ843" s="7"/>
      <c r="BA843" s="7"/>
      <c r="BB843" s="7"/>
      <c r="BC843" s="7"/>
      <c r="BD843" s="7"/>
      <c r="BE843" s="7"/>
      <c r="BF843" s="7"/>
      <c r="BG843" s="7"/>
    </row>
    <row r="844" customHeight="1" spans="1:59">
      <c r="A844" s="9" t="str">
        <f>IF(ActiveDatabase=Standby,Secondary!A844,Primary!A844)</f>
        <v>Yela 08</v>
      </c>
      <c r="B844" s="5" t="str">
        <f>IF(ActiveDatabase=Standby,Secondary!B844,Primary!B844)</f>
        <v>Yela 12</v>
      </c>
      <c r="C844" s="5" t="str">
        <f>IF(ActiveDatabase=Standby,Secondary!C844,Primary!C844)</f>
        <v>Yela 12</v>
      </c>
      <c r="D844" s="5" t="str">
        <f>IF(ActiveDatabase=Standby,Secondary!D844,Primary!D844)</f>
        <v>NT-999-XXII</v>
      </c>
      <c r="E844" s="6" t="str">
        <f>IF(ActiveDatabase=Standby,Secondary!E844,Primary!E844)</f>
        <v>NT999XXII</v>
      </c>
      <c r="F844" s="10">
        <f>IF(ActiveDatabase=Standby,Secondary!F844,Primary!F844)</f>
        <v>54.5647694419999</v>
      </c>
      <c r="G844" s="10">
        <f>IF(ActiveDatabase=Standby,Secondary!G844,Primary!G844)</f>
        <v>55.9388025229998</v>
      </c>
      <c r="H844" s="10">
        <f>IF(ActiveDatabase=Standby,Secondary!H844,Primary!H844)</f>
        <v>-303.343885916</v>
      </c>
      <c r="I844" s="13">
        <f>IF(ActiveDatabase=Standby,Secondary!I844,Primary!I844)</f>
        <v>0</v>
      </c>
      <c r="J844" s="13">
        <f>IF(ActiveDatabase=Standby,Secondary!J844,Primary!J844)</f>
        <v>0</v>
      </c>
      <c r="K844" s="13">
        <f>IF(ActiveDatabase=Standby,Secondary!K844,Primary!K844)</f>
        <v>0</v>
      </c>
      <c r="L844" s="13">
        <f>IF(ActiveDatabase=Standby,Secondary!L844,Primary!L844)</f>
        <v>0</v>
      </c>
      <c r="M844" s="7" t="b">
        <f>IF(ActiveDatabase=Standby,Secondary!M844,Primary!M844)</f>
        <v>1</v>
      </c>
      <c r="N844" s="10">
        <f>IF(ActiveDatabase=Standby,Secondary!N844,Primary!N844)</f>
        <v>0</v>
      </c>
      <c r="O844" s="10">
        <f>IF(ActiveDatabase=Standby,Secondary!O844,Primary!O844)</f>
        <v>0</v>
      </c>
      <c r="P844" s="10">
        <f>IF(ActiveDatabase=Standby,Secondary!P844,Primary!P844)</f>
        <v>0</v>
      </c>
      <c r="Q844" s="6">
        <f>IF(ActiveDatabase=Standby,Secondary!Q844,Primary!Q844)</f>
        <v>0</v>
      </c>
      <c r="R844" s="18">
        <f>IF(ActiveDatabase=Standby,Secondary!R844,Primary!R844)</f>
        <v>0</v>
      </c>
      <c r="S844" s="19">
        <f>IF(ActiveDatabase=Standby,Secondary!S844,Primary!S844)</f>
        <v>0</v>
      </c>
      <c r="T844" s="10">
        <f>IF(ActiveDatabase=Standby,Secondary!T844,Primary!T844)</f>
        <v>0</v>
      </c>
      <c r="U844" s="10">
        <f>IF(ActiveDatabase=Standby,Secondary!U844,Primary!U844)</f>
        <v>0</v>
      </c>
      <c r="V844" s="10">
        <f>IF(ActiveDatabase=Standby,Secondary!V844,Primary!V844)</f>
        <v>0</v>
      </c>
      <c r="W844" s="6">
        <f>IF(ActiveDatabase=Standby,Secondary!W844,Primary!W844)</f>
        <v>0</v>
      </c>
      <c r="X844" s="6">
        <f>IF(ActiveDatabase=Standby,Secondary!X844,Primary!X844)</f>
        <v>0</v>
      </c>
      <c r="Y844" s="12">
        <f>IF(ActiveDatabase=Standby,Secondary!Y844,Primary!Y1502)</f>
        <v>0</v>
      </c>
      <c r="Z844" s="12">
        <f>IF(ActiveDatabase=Standby,Secondary!Z844,Primary!Z1502)</f>
        <v>0</v>
      </c>
      <c r="AA844" s="7">
        <f>IF(ActiveDatabase=Standby,Secondary!AA844,Primary!AA1502)</f>
        <v>0</v>
      </c>
      <c r="AB844" s="12"/>
      <c r="AC844" s="6"/>
      <c r="AD844" s="6"/>
      <c r="AE844" s="7"/>
      <c r="AF844" s="7"/>
      <c r="AG844" s="7"/>
      <c r="AH844" s="7"/>
      <c r="AI844" s="7"/>
      <c r="AJ844" s="7"/>
      <c r="AK844" s="7"/>
      <c r="AL844" s="7"/>
      <c r="AM844" s="7"/>
      <c r="AN844" s="7"/>
      <c r="AO844" s="6"/>
      <c r="AP844" s="7"/>
      <c r="AQ844" s="7"/>
      <c r="AR844" s="6"/>
      <c r="AS844" s="7"/>
      <c r="AT844" s="7"/>
      <c r="AU844" s="7"/>
      <c r="AV844" s="7"/>
      <c r="AW844" s="7"/>
      <c r="AX844" s="7"/>
      <c r="AY844" s="7"/>
      <c r="AZ844" s="7"/>
      <c r="BA844" s="7"/>
      <c r="BB844" s="7"/>
      <c r="BC844" s="7"/>
      <c r="BD844" s="7"/>
      <c r="BE844" s="7"/>
      <c r="BF844" s="7"/>
      <c r="BG844" s="7"/>
    </row>
    <row r="845" customHeight="1" spans="1:59">
      <c r="A845" s="9" t="str">
        <f>IF(ActiveDatabase=Standby,Secondary!A845,Primary!A845)</f>
        <v>Yela 09</v>
      </c>
      <c r="B845" s="5" t="str">
        <f>IF(ActiveDatabase=Standby,Secondary!B845,Primary!B845)</f>
        <v>Yela 13</v>
      </c>
      <c r="C845" s="5" t="str">
        <f>IF(ActiveDatabase=Standby,Secondary!C845,Primary!C845)</f>
        <v>Yela 13</v>
      </c>
      <c r="D845" s="5" t="str">
        <f>IF(ActiveDatabase=Standby,Secondary!D845,Primary!D845)</f>
        <v>Security Post Opal</v>
      </c>
      <c r="E845" s="6" t="str">
        <f>IF(ActiveDatabase=Standby,Secondary!E845,Primary!E845)</f>
        <v>Opal</v>
      </c>
      <c r="F845" s="10">
        <f>IF(ActiveDatabase=Standby,Secondary!F845,Primary!F845)</f>
        <v>241.072886134</v>
      </c>
      <c r="G845" s="10">
        <f>IF(ActiveDatabase=Standby,Secondary!G845,Primary!G845)</f>
        <v>96.2912805249998</v>
      </c>
      <c r="H845" s="10">
        <f>IF(ActiveDatabase=Standby,Secondary!H845,Primary!H845)</f>
        <v>-175.019176981</v>
      </c>
      <c r="I845" s="13">
        <f>IF(ActiveDatabase=Standby,Secondary!I845,Primary!I845)</f>
        <v>0</v>
      </c>
      <c r="J845" s="13">
        <f>IF(ActiveDatabase=Standby,Secondary!J845,Primary!J845)</f>
        <v>0</v>
      </c>
      <c r="K845" s="13">
        <f>IF(ActiveDatabase=Standby,Secondary!K845,Primary!K845)</f>
        <v>0</v>
      </c>
      <c r="L845" s="13">
        <f>IF(ActiveDatabase=Standby,Secondary!L845,Primary!L845)</f>
        <v>0</v>
      </c>
      <c r="M845" s="7" t="b">
        <f>IF(ActiveDatabase=Standby,Secondary!M845,Primary!M845)</f>
        <v>1</v>
      </c>
      <c r="N845" s="10">
        <f>IF(ActiveDatabase=Standby,Secondary!N845,Primary!N845)</f>
        <v>0</v>
      </c>
      <c r="O845" s="10">
        <f>IF(ActiveDatabase=Standby,Secondary!O845,Primary!O845)</f>
        <v>0</v>
      </c>
      <c r="P845" s="10">
        <f>IF(ActiveDatabase=Standby,Secondary!P845,Primary!P845)</f>
        <v>0</v>
      </c>
      <c r="Q845" s="6">
        <f>IF(ActiveDatabase=Standby,Secondary!Q845,Primary!Q845)</f>
        <v>0</v>
      </c>
      <c r="R845" s="18">
        <f>IF(ActiveDatabase=Standby,Secondary!R845,Primary!R845)</f>
        <v>0</v>
      </c>
      <c r="S845" s="19">
        <f>IF(ActiveDatabase=Standby,Secondary!S845,Primary!S845)</f>
        <v>0</v>
      </c>
      <c r="T845" s="10">
        <f>IF(ActiveDatabase=Standby,Secondary!T845,Primary!T845)</f>
        <v>0</v>
      </c>
      <c r="U845" s="10">
        <f>IF(ActiveDatabase=Standby,Secondary!U845,Primary!U845)</f>
        <v>0</v>
      </c>
      <c r="V845" s="10">
        <f>IF(ActiveDatabase=Standby,Secondary!V845,Primary!V845)</f>
        <v>0</v>
      </c>
      <c r="W845" s="6">
        <f>IF(ActiveDatabase=Standby,Secondary!W845,Primary!W845)</f>
        <v>0</v>
      </c>
      <c r="X845" s="6">
        <f>IF(ActiveDatabase=Standby,Secondary!X845,Primary!X845)</f>
        <v>0</v>
      </c>
      <c r="Y845" s="12">
        <f>IF(ActiveDatabase=Standby,Secondary!Y845,Primary!Y1503)</f>
        <v>0</v>
      </c>
      <c r="Z845" s="12">
        <f>IF(ActiveDatabase=Standby,Secondary!Z845,Primary!Z1503)</f>
        <v>0</v>
      </c>
      <c r="AA845" s="7">
        <f>IF(ActiveDatabase=Standby,Secondary!AA845,Primary!AA1503)</f>
        <v>0</v>
      </c>
      <c r="AB845" s="12"/>
      <c r="AC845" s="6"/>
      <c r="AD845" s="6"/>
      <c r="AE845" s="7"/>
      <c r="AF845" s="7"/>
      <c r="AG845" s="7"/>
      <c r="AH845" s="7"/>
      <c r="AI845" s="7"/>
      <c r="AJ845" s="7"/>
      <c r="AK845" s="7"/>
      <c r="AL845" s="7"/>
      <c r="AM845" s="7"/>
      <c r="AN845" s="7"/>
      <c r="AO845" s="6"/>
      <c r="AP845" s="7"/>
      <c r="AQ845" s="7"/>
      <c r="AR845" s="6"/>
      <c r="AS845" s="7"/>
      <c r="AT845" s="7"/>
      <c r="AU845" s="7"/>
      <c r="AV845" s="7"/>
      <c r="AW845" s="7"/>
      <c r="AX845" s="7"/>
      <c r="AY845" s="7"/>
      <c r="AZ845" s="7"/>
      <c r="BA845" s="7"/>
      <c r="BB845" s="7"/>
      <c r="BC845" s="7"/>
      <c r="BD845" s="7"/>
      <c r="BE845" s="7"/>
      <c r="BF845" s="7"/>
      <c r="BG845" s="7"/>
    </row>
    <row r="846" customHeight="1" spans="1:59">
      <c r="A846" s="9" t="str">
        <f>IF(ActiveDatabase=Standby,Secondary!A846,Primary!A846)</f>
        <v>Yela 10</v>
      </c>
      <c r="B846" s="5" t="str">
        <f>IF(ActiveDatabase=Standby,Secondary!B846,Primary!B846)</f>
        <v>Yela 14</v>
      </c>
      <c r="C846" s="5" t="str">
        <f>IF(ActiveDatabase=Standby,Secondary!C846,Primary!C846)</f>
        <v>Yela 02</v>
      </c>
      <c r="D846" s="5" t="str">
        <f>IF(ActiveDatabase=Standby,Secondary!D846,Primary!D846)</f>
        <v>Security Post Wan</v>
      </c>
      <c r="E846" s="6" t="str">
        <f>IF(ActiveDatabase=Standby,Secondary!E846,Primary!E846)</f>
        <v>Wan</v>
      </c>
      <c r="F846" s="10">
        <f>IF(ActiveDatabase=Standby,Secondary!F846,Primary!F846)</f>
        <v>-208.367486003</v>
      </c>
      <c r="G846" s="10">
        <f>IF(ActiveDatabase=Standby,Secondary!G846,Primary!G846)</f>
        <v>53.1655807639999</v>
      </c>
      <c r="H846" s="10">
        <f>IF(ActiveDatabase=Standby,Secondary!H846,Primary!H846)</f>
        <v>-227.453544793</v>
      </c>
      <c r="I846" s="13">
        <f>IF(ActiveDatabase=Standby,Secondary!I846,Primary!I846)</f>
        <v>0</v>
      </c>
      <c r="J846" s="13">
        <f>IF(ActiveDatabase=Standby,Secondary!J846,Primary!J846)</f>
        <v>0</v>
      </c>
      <c r="K846" s="13">
        <f>IF(ActiveDatabase=Standby,Secondary!K846,Primary!K846)</f>
        <v>0</v>
      </c>
      <c r="L846" s="13">
        <f>IF(ActiveDatabase=Standby,Secondary!L846,Primary!L846)</f>
        <v>0</v>
      </c>
      <c r="M846" s="7" t="b">
        <f>IF(ActiveDatabase=Standby,Secondary!M846,Primary!M846)</f>
        <v>1</v>
      </c>
      <c r="N846" s="10">
        <f>IF(ActiveDatabase=Standby,Secondary!N846,Primary!N846)</f>
        <v>0</v>
      </c>
      <c r="O846" s="10">
        <f>IF(ActiveDatabase=Standby,Secondary!O846,Primary!O846)</f>
        <v>0</v>
      </c>
      <c r="P846" s="10">
        <f>IF(ActiveDatabase=Standby,Secondary!P846,Primary!P846)</f>
        <v>0</v>
      </c>
      <c r="Q846" s="6">
        <f>IF(ActiveDatabase=Standby,Secondary!Q846,Primary!Q846)</f>
        <v>0</v>
      </c>
      <c r="R846" s="18">
        <f>IF(ActiveDatabase=Standby,Secondary!R846,Primary!R846)</f>
        <v>0</v>
      </c>
      <c r="S846" s="19">
        <f>IF(ActiveDatabase=Standby,Secondary!S846,Primary!S846)</f>
        <v>0</v>
      </c>
      <c r="T846" s="10">
        <f>IF(ActiveDatabase=Standby,Secondary!T846,Primary!T846)</f>
        <v>0</v>
      </c>
      <c r="U846" s="10">
        <f>IF(ActiveDatabase=Standby,Secondary!U846,Primary!U846)</f>
        <v>0</v>
      </c>
      <c r="V846" s="10">
        <f>IF(ActiveDatabase=Standby,Secondary!V846,Primary!V846)</f>
        <v>0</v>
      </c>
      <c r="W846" s="6">
        <f>IF(ActiveDatabase=Standby,Secondary!W846,Primary!W846)</f>
        <v>0</v>
      </c>
      <c r="X846" s="6">
        <f>IF(ActiveDatabase=Standby,Secondary!X846,Primary!X846)</f>
        <v>0</v>
      </c>
      <c r="Y846" s="12">
        <f>IF(ActiveDatabase=Standby,Secondary!Y846,Primary!Y1504)</f>
        <v>0</v>
      </c>
      <c r="Z846" s="12">
        <f>IF(ActiveDatabase=Standby,Secondary!Z846,Primary!Z1504)</f>
        <v>0</v>
      </c>
      <c r="AA846" s="7">
        <f>IF(ActiveDatabase=Standby,Secondary!AA846,Primary!AA1504)</f>
        <v>0</v>
      </c>
      <c r="AB846" s="12"/>
      <c r="AC846" s="6"/>
      <c r="AD846" s="6"/>
      <c r="AE846" s="7"/>
      <c r="AF846" s="7"/>
      <c r="AG846" s="7"/>
      <c r="AH846" s="7"/>
      <c r="AI846" s="7"/>
      <c r="AJ846" s="7"/>
      <c r="AK846" s="7"/>
      <c r="AL846" s="7"/>
      <c r="AM846" s="7"/>
      <c r="AN846" s="7"/>
      <c r="AO846" s="6"/>
      <c r="AP846" s="7"/>
      <c r="AQ846" s="7"/>
      <c r="AR846" s="6"/>
      <c r="AS846" s="7"/>
      <c r="AT846" s="7"/>
      <c r="AU846" s="7"/>
      <c r="AV846" s="7"/>
      <c r="AW846" s="7"/>
      <c r="AX846" s="7"/>
      <c r="AY846" s="7"/>
      <c r="AZ846" s="7"/>
      <c r="BA846" s="7"/>
      <c r="BB846" s="7"/>
      <c r="BC846" s="7"/>
      <c r="BD846" s="7"/>
      <c r="BE846" s="7"/>
      <c r="BF846" s="7"/>
      <c r="BG846" s="7"/>
    </row>
    <row r="847" customHeight="1" spans="1:59">
      <c r="A847" s="9" t="str">
        <f>IF(ActiveDatabase=Standby,Secondary!A847,Primary!A847)</f>
        <v>Yela 11</v>
      </c>
      <c r="B847" s="5" t="str">
        <f>IF(ActiveDatabase=Standby,Secondary!B847,Primary!B847)</f>
        <v>Yela 15</v>
      </c>
      <c r="C847" s="5" t="str">
        <f>IF(ActiveDatabase=Standby,Secondary!C847,Primary!C847)</f>
        <v>Yela 24</v>
      </c>
      <c r="D847" s="5" t="str">
        <f>IF(ActiveDatabase=Standby,Secondary!D847,Primary!D847)</f>
        <v>Utopia</v>
      </c>
      <c r="E847" s="6" t="str">
        <f>IF(ActiveDatabase=Standby,Secondary!E847,Primary!E847)</f>
        <v>Utopia</v>
      </c>
      <c r="F847" s="10">
        <f>IF(ActiveDatabase=Standby,Secondary!F847,Primary!F847)</f>
        <v>-0.172582603</v>
      </c>
      <c r="G847" s="10">
        <f>IF(ActiveDatabase=Standby,Secondary!G847,Primary!G847)</f>
        <v>-1.85070725199998</v>
      </c>
      <c r="H847" s="10">
        <f>IF(ActiveDatabase=Standby,Secondary!H847,Primary!H847)</f>
        <v>-313.079826193</v>
      </c>
      <c r="I847" s="13">
        <f>IF(ActiveDatabase=Standby,Secondary!I847,Primary!I847)</f>
        <v>0</v>
      </c>
      <c r="J847" s="13">
        <f>IF(ActiveDatabase=Standby,Secondary!J847,Primary!J847)</f>
        <v>0</v>
      </c>
      <c r="K847" s="13">
        <f>IF(ActiveDatabase=Standby,Secondary!K847,Primary!K847)</f>
        <v>0</v>
      </c>
      <c r="L847" s="13">
        <f>IF(ActiveDatabase=Standby,Secondary!L847,Primary!L847)</f>
        <v>0</v>
      </c>
      <c r="M847" s="7" t="b">
        <f>IF(ActiveDatabase=Standby,Secondary!M847,Primary!M847)</f>
        <v>1</v>
      </c>
      <c r="N847" s="10">
        <f>IF(ActiveDatabase=Standby,Secondary!N847,Primary!N847)</f>
        <v>0</v>
      </c>
      <c r="O847" s="10">
        <f>IF(ActiveDatabase=Standby,Secondary!O847,Primary!O847)</f>
        <v>0</v>
      </c>
      <c r="P847" s="10">
        <f>IF(ActiveDatabase=Standby,Secondary!P847,Primary!P847)</f>
        <v>0</v>
      </c>
      <c r="Q847" s="6">
        <f>IF(ActiveDatabase=Standby,Secondary!Q847,Primary!Q847)</f>
        <v>0</v>
      </c>
      <c r="R847" s="18">
        <f>IF(ActiveDatabase=Standby,Secondary!R847,Primary!R847)</f>
        <v>0</v>
      </c>
      <c r="S847" s="19">
        <f>IF(ActiveDatabase=Standby,Secondary!S847,Primary!S847)</f>
        <v>0</v>
      </c>
      <c r="T847" s="10">
        <f>IF(ActiveDatabase=Standby,Secondary!T847,Primary!T847)</f>
        <v>0</v>
      </c>
      <c r="U847" s="10">
        <f>IF(ActiveDatabase=Standby,Secondary!U847,Primary!U847)</f>
        <v>0</v>
      </c>
      <c r="V847" s="10">
        <f>IF(ActiveDatabase=Standby,Secondary!V847,Primary!V847)</f>
        <v>0</v>
      </c>
      <c r="W847" s="6">
        <f>IF(ActiveDatabase=Standby,Secondary!W847,Primary!W847)</f>
        <v>0</v>
      </c>
      <c r="X847" s="6">
        <f>IF(ActiveDatabase=Standby,Secondary!X847,Primary!X847)</f>
        <v>0</v>
      </c>
      <c r="Y847" s="12">
        <f>IF(ActiveDatabase=Standby,Secondary!Y847,Primary!Y1505)</f>
        <v>0</v>
      </c>
      <c r="Z847" s="12">
        <f>IF(ActiveDatabase=Standby,Secondary!Z847,Primary!Z1505)</f>
        <v>0</v>
      </c>
      <c r="AA847" s="7">
        <f>IF(ActiveDatabase=Standby,Secondary!AA847,Primary!AA1505)</f>
        <v>0</v>
      </c>
      <c r="AB847" s="12"/>
      <c r="AC847" s="6"/>
      <c r="AD847" s="6"/>
      <c r="AE847" s="7"/>
      <c r="AF847" s="7"/>
      <c r="AG847" s="7"/>
      <c r="AH847" s="7"/>
      <c r="AI847" s="7"/>
      <c r="AJ847" s="7"/>
      <c r="AK847" s="7"/>
      <c r="AL847" s="7"/>
      <c r="AM847" s="7"/>
      <c r="AN847" s="7"/>
      <c r="AO847" s="6"/>
      <c r="AP847" s="7"/>
      <c r="AQ847" s="7"/>
      <c r="AR847" s="6"/>
      <c r="AS847" s="7"/>
      <c r="AT847" s="7"/>
      <c r="AU847" s="7"/>
      <c r="AV847" s="7"/>
      <c r="AW847" s="7"/>
      <c r="AX847" s="7"/>
      <c r="AY847" s="7"/>
      <c r="AZ847" s="7"/>
      <c r="BA847" s="7"/>
      <c r="BB847" s="7"/>
      <c r="BC847" s="7"/>
      <c r="BD847" s="7"/>
      <c r="BE847" s="7"/>
      <c r="BF847" s="7"/>
      <c r="BG847" s="7"/>
    </row>
    <row r="848" customHeight="1" spans="1:59">
      <c r="A848" s="9" t="str">
        <f>IF(ActiveDatabase=Standby,Secondary!A848,Primary!A848)</f>
        <v>Yela</v>
      </c>
      <c r="B848" s="5" t="str">
        <f>IF(ActiveDatabase=Standby,Secondary!B848,Primary!B848)</f>
        <v>Yela 17</v>
      </c>
      <c r="C848" s="5">
        <f>IF(ActiveDatabase=Standby,Secondary!C848,Primary!C848)</f>
        <v>0</v>
      </c>
      <c r="D848" s="5" t="str">
        <f>IF(ActiveDatabase=Standby,Secondary!D848,Primary!D848)</f>
        <v>Emergency Shelters</v>
      </c>
      <c r="E848" s="6">
        <f>IF(ActiveDatabase=Standby,Secondary!E848,Primary!E848)</f>
        <v>0</v>
      </c>
      <c r="F848" s="10">
        <f>IF(ActiveDatabase=Standby,Secondary!F848,Primary!F848)</f>
        <v>0</v>
      </c>
      <c r="G848" s="10">
        <f>IF(ActiveDatabase=Standby,Secondary!G848,Primary!G848)</f>
        <v>0</v>
      </c>
      <c r="H848" s="10">
        <f>IF(ActiveDatabase=Standby,Secondary!H848,Primary!H848)</f>
        <v>0</v>
      </c>
      <c r="I848" s="13">
        <f>IF(ActiveDatabase=Standby,Secondary!I848,Primary!I848)</f>
        <v>0</v>
      </c>
      <c r="J848" s="13">
        <f>IF(ActiveDatabase=Standby,Secondary!J848,Primary!J848)</f>
        <v>0</v>
      </c>
      <c r="K848" s="13">
        <f>IF(ActiveDatabase=Standby,Secondary!K848,Primary!K848)</f>
        <v>0</v>
      </c>
      <c r="L848" s="13">
        <f>IF(ActiveDatabase=Standby,Secondary!L848,Primary!L848)</f>
        <v>0</v>
      </c>
      <c r="M848" s="7">
        <f>IF(ActiveDatabase=Standby,Secondary!M848,Primary!M848)</f>
        <v>0</v>
      </c>
      <c r="N848" s="10">
        <f>IF(ActiveDatabase=Standby,Secondary!N848,Primary!N848)</f>
        <v>0</v>
      </c>
      <c r="O848" s="10">
        <f>IF(ActiveDatabase=Standby,Secondary!O848,Primary!O848)</f>
        <v>0</v>
      </c>
      <c r="P848" s="10">
        <f>IF(ActiveDatabase=Standby,Secondary!P848,Primary!P848)</f>
        <v>0</v>
      </c>
      <c r="Q848" s="6">
        <f>IF(ActiveDatabase=Standby,Secondary!Q848,Primary!Q848)</f>
        <v>0</v>
      </c>
      <c r="R848" s="18">
        <f>IF(ActiveDatabase=Standby,Secondary!R848,Primary!R848)</f>
        <v>0</v>
      </c>
      <c r="S848" s="19">
        <f>IF(ActiveDatabase=Standby,Secondary!S848,Primary!S848)</f>
        <v>0</v>
      </c>
      <c r="T848" s="10">
        <f>IF(ActiveDatabase=Standby,Secondary!T848,Primary!T848)</f>
        <v>0</v>
      </c>
      <c r="U848" s="10">
        <f>IF(ActiveDatabase=Standby,Secondary!U848,Primary!U848)</f>
        <v>0</v>
      </c>
      <c r="V848" s="10">
        <f>IF(ActiveDatabase=Standby,Secondary!V848,Primary!V848)</f>
        <v>0</v>
      </c>
      <c r="W848" s="6">
        <f>IF(ActiveDatabase=Standby,Secondary!W848,Primary!W848)</f>
        <v>0</v>
      </c>
      <c r="X848" s="6">
        <f>IF(ActiveDatabase=Standby,Secondary!X848,Primary!X848)</f>
        <v>0</v>
      </c>
      <c r="Y848" s="12">
        <f>IF(ActiveDatabase=Standby,Secondary!Y848,Primary!Y1506)</f>
        <v>0</v>
      </c>
      <c r="Z848" s="12">
        <f>IF(ActiveDatabase=Standby,Secondary!Z848,Primary!Z1506)</f>
        <v>0</v>
      </c>
      <c r="AA848" s="7">
        <f>IF(ActiveDatabase=Standby,Secondary!AA848,Primary!AA1506)</f>
        <v>0</v>
      </c>
      <c r="AB848" s="12"/>
      <c r="AC848" s="6"/>
      <c r="AD848" s="6"/>
      <c r="AE848" s="7"/>
      <c r="AF848" s="7"/>
      <c r="AG848" s="7"/>
      <c r="AH848" s="7"/>
      <c r="AI848" s="7"/>
      <c r="AJ848" s="7"/>
      <c r="AK848" s="7"/>
      <c r="AL848" s="7"/>
      <c r="AM848" s="7"/>
      <c r="AN848" s="7"/>
      <c r="AO848" s="6"/>
      <c r="AP848" s="7"/>
      <c r="AQ848" s="7"/>
      <c r="AR848" s="6"/>
      <c r="AS848" s="7"/>
      <c r="AT848" s="7"/>
      <c r="AU848" s="7"/>
      <c r="AV848" s="7"/>
      <c r="AW848" s="7"/>
      <c r="AX848" s="7"/>
      <c r="AY848" s="7"/>
      <c r="AZ848" s="7"/>
      <c r="BA848" s="7"/>
      <c r="BB848" s="7"/>
      <c r="BC848" s="7"/>
      <c r="BD848" s="7"/>
      <c r="BE848" s="7"/>
      <c r="BF848" s="7"/>
      <c r="BG848" s="7"/>
    </row>
    <row r="849" customHeight="1" spans="1:59">
      <c r="A849" s="9" t="str">
        <f>IF(ActiveDatabase=Standby,Secondary!A849,Primary!A849)</f>
        <v>Yela 12</v>
      </c>
      <c r="B849" s="5" t="str">
        <f>IF(ActiveDatabase=Standby,Secondary!B849,Primary!B849)</f>
        <v>Yela 18</v>
      </c>
      <c r="C849" s="5" t="str">
        <f>IF(ActiveDatabase=Standby,Secondary!C849,Primary!C849)</f>
        <v>Yela 15</v>
      </c>
      <c r="D849" s="5" t="str">
        <f>IF(ActiveDatabase=Standby,Secondary!D849,Primary!D849)</f>
        <v>Aston Ridge Aid Shelter</v>
      </c>
      <c r="E849" s="6" t="str">
        <f>IF(ActiveDatabase=Standby,Secondary!E849,Primary!E849)</f>
        <v>Aston</v>
      </c>
      <c r="F849" s="10">
        <f>IF(ActiveDatabase=Standby,Secondary!F849,Primary!F849)</f>
        <v>207.943886512</v>
      </c>
      <c r="G849" s="10">
        <f>IF(ActiveDatabase=Standby,Secondary!G849,Primary!G849)</f>
        <v>24.050626477</v>
      </c>
      <c r="H849" s="10">
        <f>IF(ActiveDatabase=Standby,Secondary!H849,Primary!H849)</f>
        <v>-232.78463602</v>
      </c>
      <c r="I849" s="13">
        <f>IF(ActiveDatabase=Standby,Secondary!I849,Primary!I849)</f>
        <v>0</v>
      </c>
      <c r="J849" s="13">
        <f>IF(ActiveDatabase=Standby,Secondary!J849,Primary!J849)</f>
        <v>0</v>
      </c>
      <c r="K849" s="13">
        <f>IF(ActiveDatabase=Standby,Secondary!K849,Primary!K849)</f>
        <v>0</v>
      </c>
      <c r="L849" s="13">
        <f>IF(ActiveDatabase=Standby,Secondary!L849,Primary!L849)</f>
        <v>0</v>
      </c>
      <c r="M849" s="7" t="b">
        <f>IF(ActiveDatabase=Standby,Secondary!M849,Primary!M849)</f>
        <v>1</v>
      </c>
      <c r="N849" s="10">
        <f>IF(ActiveDatabase=Standby,Secondary!N849,Primary!N849)</f>
        <v>0</v>
      </c>
      <c r="O849" s="10">
        <f>IF(ActiveDatabase=Standby,Secondary!O849,Primary!O849)</f>
        <v>0</v>
      </c>
      <c r="P849" s="10">
        <f>IF(ActiveDatabase=Standby,Secondary!P849,Primary!P849)</f>
        <v>0</v>
      </c>
      <c r="Q849" s="6">
        <f>IF(ActiveDatabase=Standby,Secondary!Q849,Primary!Q849)</f>
        <v>0</v>
      </c>
      <c r="R849" s="18">
        <f>IF(ActiveDatabase=Standby,Secondary!R849,Primary!R849)</f>
        <v>0</v>
      </c>
      <c r="S849" s="19">
        <f>IF(ActiveDatabase=Standby,Secondary!S849,Primary!S849)</f>
        <v>0</v>
      </c>
      <c r="T849" s="10">
        <f>IF(ActiveDatabase=Standby,Secondary!T849,Primary!T849)</f>
        <v>0</v>
      </c>
      <c r="U849" s="10">
        <f>IF(ActiveDatabase=Standby,Secondary!U849,Primary!U849)</f>
        <v>0</v>
      </c>
      <c r="V849" s="10">
        <f>IF(ActiveDatabase=Standby,Secondary!V849,Primary!V849)</f>
        <v>0</v>
      </c>
      <c r="W849" s="6">
        <f>IF(ActiveDatabase=Standby,Secondary!W849,Primary!W849)</f>
        <v>0</v>
      </c>
      <c r="X849" s="6">
        <f>IF(ActiveDatabase=Standby,Secondary!X849,Primary!X849)</f>
        <v>0</v>
      </c>
      <c r="Y849" s="12">
        <f>IF(ActiveDatabase=Standby,Secondary!Y849,Primary!Y1507)</f>
        <v>0</v>
      </c>
      <c r="Z849" s="12">
        <f>IF(ActiveDatabase=Standby,Secondary!Z849,Primary!Z1507)</f>
        <v>0</v>
      </c>
      <c r="AA849" s="7">
        <f>IF(ActiveDatabase=Standby,Secondary!AA849,Primary!AA1507)</f>
        <v>0</v>
      </c>
      <c r="AB849" s="12"/>
      <c r="AC849" s="6"/>
      <c r="AD849" s="6"/>
      <c r="AE849" s="7"/>
      <c r="AF849" s="7"/>
      <c r="AG849" s="7"/>
      <c r="AH849" s="7"/>
      <c r="AI849" s="7"/>
      <c r="AJ849" s="7"/>
      <c r="AK849" s="7"/>
      <c r="AL849" s="7"/>
      <c r="AM849" s="7"/>
      <c r="AN849" s="7"/>
      <c r="AO849" s="6"/>
      <c r="AP849" s="7"/>
      <c r="AQ849" s="7"/>
      <c r="AR849" s="6"/>
      <c r="AS849" s="7"/>
      <c r="AT849" s="7"/>
      <c r="AU849" s="7"/>
      <c r="AV849" s="7"/>
      <c r="AW849" s="7"/>
      <c r="AX849" s="7"/>
      <c r="AY849" s="7"/>
      <c r="AZ849" s="7"/>
      <c r="BA849" s="7"/>
      <c r="BB849" s="7"/>
      <c r="BC849" s="7"/>
      <c r="BD849" s="7"/>
      <c r="BE849" s="7"/>
      <c r="BF849" s="7"/>
      <c r="BG849" s="7"/>
    </row>
    <row r="850" customHeight="1" spans="1:59">
      <c r="A850" s="9" t="str">
        <f>IF(ActiveDatabase=Standby,Secondary!A850,Primary!A850)</f>
        <v>Yela 13</v>
      </c>
      <c r="B850" s="5" t="str">
        <f>IF(ActiveDatabase=Standby,Secondary!B850,Primary!B850)</f>
        <v>Yela 19</v>
      </c>
      <c r="C850" s="5" t="str">
        <f>IF(ActiveDatabase=Standby,Secondary!C850,Primary!C850)</f>
        <v>Yela 26</v>
      </c>
      <c r="D850" s="5" t="str">
        <f>IF(ActiveDatabase=Standby,Secondary!D850,Primary!D850)</f>
        <v>Kosso Basin Aid Shelter</v>
      </c>
      <c r="E850" s="6" t="str">
        <f>IF(ActiveDatabase=Standby,Secondary!E850,Primary!E850)</f>
        <v>Kosso</v>
      </c>
      <c r="F850" s="10">
        <f>IF(ActiveDatabase=Standby,Secondary!F850,Primary!F850)</f>
        <v>-31.289482693</v>
      </c>
      <c r="G850" s="10">
        <f>IF(ActiveDatabase=Standby,Secondary!G850,Primary!G850)</f>
        <v>-118.13024321</v>
      </c>
      <c r="H850" s="10">
        <f>IF(ActiveDatabase=Standby,Secondary!H850,Primary!H850)</f>
        <v>288.314002495</v>
      </c>
      <c r="I850" s="13">
        <f>IF(ActiveDatabase=Standby,Secondary!I850,Primary!I850)</f>
        <v>0</v>
      </c>
      <c r="J850" s="13">
        <f>IF(ActiveDatabase=Standby,Secondary!J850,Primary!J850)</f>
        <v>0</v>
      </c>
      <c r="K850" s="13">
        <f>IF(ActiveDatabase=Standby,Secondary!K850,Primary!K850)</f>
        <v>0</v>
      </c>
      <c r="L850" s="13">
        <f>IF(ActiveDatabase=Standby,Secondary!L850,Primary!L850)</f>
        <v>0</v>
      </c>
      <c r="M850" s="7" t="b">
        <f>IF(ActiveDatabase=Standby,Secondary!M850,Primary!M850)</f>
        <v>1</v>
      </c>
      <c r="N850" s="10">
        <f>IF(ActiveDatabase=Standby,Secondary!N850,Primary!N850)</f>
        <v>0</v>
      </c>
      <c r="O850" s="10">
        <f>IF(ActiveDatabase=Standby,Secondary!O850,Primary!O850)</f>
        <v>0</v>
      </c>
      <c r="P850" s="10">
        <f>IF(ActiveDatabase=Standby,Secondary!P850,Primary!P850)</f>
        <v>0</v>
      </c>
      <c r="Q850" s="6">
        <f>IF(ActiveDatabase=Standby,Secondary!Q850,Primary!Q850)</f>
        <v>0</v>
      </c>
      <c r="R850" s="18">
        <f>IF(ActiveDatabase=Standby,Secondary!R850,Primary!R850)</f>
        <v>0</v>
      </c>
      <c r="S850" s="19">
        <f>IF(ActiveDatabase=Standby,Secondary!S850,Primary!S850)</f>
        <v>0</v>
      </c>
      <c r="T850" s="10">
        <f>IF(ActiveDatabase=Standby,Secondary!T850,Primary!T850)</f>
        <v>0</v>
      </c>
      <c r="U850" s="10">
        <f>IF(ActiveDatabase=Standby,Secondary!U850,Primary!U850)</f>
        <v>0</v>
      </c>
      <c r="V850" s="10">
        <f>IF(ActiveDatabase=Standby,Secondary!V850,Primary!V850)</f>
        <v>0</v>
      </c>
      <c r="W850" s="6">
        <f>IF(ActiveDatabase=Standby,Secondary!W850,Primary!W850)</f>
        <v>0</v>
      </c>
      <c r="X850" s="6">
        <f>IF(ActiveDatabase=Standby,Secondary!X850,Primary!X850)</f>
        <v>0</v>
      </c>
      <c r="Y850" s="12">
        <f>IF(ActiveDatabase=Standby,Secondary!Y850,Primary!Y1508)</f>
        <v>0</v>
      </c>
      <c r="Z850" s="12">
        <f>IF(ActiveDatabase=Standby,Secondary!Z850,Primary!Z1508)</f>
        <v>0</v>
      </c>
      <c r="AA850" s="7">
        <f>IF(ActiveDatabase=Standby,Secondary!AA850,Primary!AA1508)</f>
        <v>0</v>
      </c>
      <c r="AB850" s="12"/>
      <c r="AC850" s="6"/>
      <c r="AD850" s="6"/>
      <c r="AE850" s="7"/>
      <c r="AF850" s="7"/>
      <c r="AG850" s="7"/>
      <c r="AH850" s="7"/>
      <c r="AI850" s="7"/>
      <c r="AJ850" s="7"/>
      <c r="AK850" s="7"/>
      <c r="AL850" s="7"/>
      <c r="AM850" s="7"/>
      <c r="AN850" s="7"/>
      <c r="AO850" s="6"/>
      <c r="AP850" s="7"/>
      <c r="AQ850" s="7"/>
      <c r="AR850" s="6"/>
      <c r="AS850" s="7"/>
      <c r="AT850" s="7"/>
      <c r="AU850" s="7"/>
      <c r="AV850" s="7"/>
      <c r="AW850" s="7"/>
      <c r="AX850" s="7"/>
      <c r="AY850" s="7"/>
      <c r="AZ850" s="7"/>
      <c r="BA850" s="7"/>
      <c r="BB850" s="7"/>
      <c r="BC850" s="7"/>
      <c r="BD850" s="7"/>
      <c r="BE850" s="7"/>
      <c r="BF850" s="7"/>
      <c r="BG850" s="7"/>
    </row>
    <row r="851" customHeight="1" spans="1:59">
      <c r="A851" s="9" t="str">
        <f>IF(ActiveDatabase=Standby,Secondary!A851,Primary!A851)</f>
        <v>Yela 14</v>
      </c>
      <c r="B851" s="5" t="str">
        <f>IF(ActiveDatabase=Standby,Secondary!B851,Primary!B851)</f>
        <v>Yela 20</v>
      </c>
      <c r="C851" s="5" t="str">
        <f>IF(ActiveDatabase=Standby,Secondary!C851,Primary!C851)</f>
        <v>Yela 03</v>
      </c>
      <c r="D851" s="5" t="str">
        <f>IF(ActiveDatabase=Standby,Secondary!D851,Primary!D851)</f>
        <v>Nakamura Valley Aid Shelter</v>
      </c>
      <c r="E851" s="6" t="str">
        <f>IF(ActiveDatabase=Standby,Secondary!E851,Primary!E851)</f>
        <v>Nakamura</v>
      </c>
      <c r="F851" s="10">
        <f>IF(ActiveDatabase=Standby,Secondary!F851,Primary!F851)</f>
        <v>-275.722186324</v>
      </c>
      <c r="G851" s="10">
        <f>IF(ActiveDatabase=Standby,Secondary!G851,Primary!G851)</f>
        <v>124.073726034</v>
      </c>
      <c r="H851" s="10">
        <f>IF(ActiveDatabase=Standby,Secondary!H851,Primary!H851)</f>
        <v>81.7172809019999</v>
      </c>
      <c r="I851" s="13">
        <f>IF(ActiveDatabase=Standby,Secondary!I851,Primary!I851)</f>
        <v>0</v>
      </c>
      <c r="J851" s="13">
        <f>IF(ActiveDatabase=Standby,Secondary!J851,Primary!J851)</f>
        <v>0</v>
      </c>
      <c r="K851" s="13">
        <f>IF(ActiveDatabase=Standby,Secondary!K851,Primary!K851)</f>
        <v>0</v>
      </c>
      <c r="L851" s="13">
        <f>IF(ActiveDatabase=Standby,Secondary!L851,Primary!L851)</f>
        <v>0</v>
      </c>
      <c r="M851" s="7" t="b">
        <f>IF(ActiveDatabase=Standby,Secondary!M851,Primary!M851)</f>
        <v>1</v>
      </c>
      <c r="N851" s="10">
        <f>IF(ActiveDatabase=Standby,Secondary!N851,Primary!N851)</f>
        <v>0</v>
      </c>
      <c r="O851" s="10">
        <f>IF(ActiveDatabase=Standby,Secondary!O851,Primary!O851)</f>
        <v>0</v>
      </c>
      <c r="P851" s="10">
        <f>IF(ActiveDatabase=Standby,Secondary!P851,Primary!P851)</f>
        <v>0</v>
      </c>
      <c r="Q851" s="6">
        <f>IF(ActiveDatabase=Standby,Secondary!Q851,Primary!Q851)</f>
        <v>0</v>
      </c>
      <c r="R851" s="18">
        <f>IF(ActiveDatabase=Standby,Secondary!R851,Primary!R851)</f>
        <v>0</v>
      </c>
      <c r="S851" s="19">
        <f>IF(ActiveDatabase=Standby,Secondary!S851,Primary!S851)</f>
        <v>0</v>
      </c>
      <c r="T851" s="10">
        <f>IF(ActiveDatabase=Standby,Secondary!T851,Primary!T851)</f>
        <v>0</v>
      </c>
      <c r="U851" s="10">
        <f>IF(ActiveDatabase=Standby,Secondary!U851,Primary!U851)</f>
        <v>0</v>
      </c>
      <c r="V851" s="10">
        <f>IF(ActiveDatabase=Standby,Secondary!V851,Primary!V851)</f>
        <v>0</v>
      </c>
      <c r="W851" s="6">
        <f>IF(ActiveDatabase=Standby,Secondary!W851,Primary!W851)</f>
        <v>0</v>
      </c>
      <c r="X851" s="6">
        <f>IF(ActiveDatabase=Standby,Secondary!X851,Primary!X851)</f>
        <v>0</v>
      </c>
      <c r="Y851" s="12">
        <f>IF(ActiveDatabase=Standby,Secondary!Y851,Primary!Y1509)</f>
        <v>0</v>
      </c>
      <c r="Z851" s="12">
        <f>IF(ActiveDatabase=Standby,Secondary!Z851,Primary!Z1509)</f>
        <v>0</v>
      </c>
      <c r="AA851" s="7">
        <f>IF(ActiveDatabase=Standby,Secondary!AA851,Primary!AA1509)</f>
        <v>0</v>
      </c>
      <c r="AB851" s="12"/>
      <c r="AC851" s="6"/>
      <c r="AD851" s="6"/>
      <c r="AE851" s="7"/>
      <c r="AF851" s="7"/>
      <c r="AG851" s="7"/>
      <c r="AH851" s="7"/>
      <c r="AI851" s="7"/>
      <c r="AJ851" s="7"/>
      <c r="AK851" s="7"/>
      <c r="AL851" s="7"/>
      <c r="AM851" s="7"/>
      <c r="AN851" s="7"/>
      <c r="AO851" s="6"/>
      <c r="AP851" s="7"/>
      <c r="AQ851" s="7"/>
      <c r="AR851" s="6"/>
      <c r="AS851" s="7"/>
      <c r="AT851" s="7"/>
      <c r="AU851" s="7"/>
      <c r="AV851" s="7"/>
      <c r="AW851" s="7"/>
      <c r="AX851" s="7"/>
      <c r="AY851" s="7"/>
      <c r="AZ851" s="7"/>
      <c r="BA851" s="7"/>
      <c r="BB851" s="7"/>
      <c r="BC851" s="7"/>
      <c r="BD851" s="7"/>
      <c r="BE851" s="7"/>
      <c r="BF851" s="7"/>
      <c r="BG851" s="7"/>
    </row>
    <row r="852" customHeight="1" spans="1:59">
      <c r="A852" s="9" t="str">
        <f>IF(ActiveDatabase=Standby,Secondary!A852,Primary!A852)</f>
        <v>Yela 15</v>
      </c>
      <c r="B852" s="5" t="str">
        <f>IF(ActiveDatabase=Standby,Secondary!B852,Primary!B852)</f>
        <v>Yela 21</v>
      </c>
      <c r="C852" s="5" t="str">
        <f>IF(ActiveDatabase=Standby,Secondary!C852,Primary!C852)</f>
        <v>Yela 08</v>
      </c>
      <c r="D852" s="5" t="str">
        <f>IF(ActiveDatabase=Standby,Secondary!D852,Primary!D852)</f>
        <v>Talarine Divide Aid Shelter</v>
      </c>
      <c r="E852" s="6" t="str">
        <f>IF(ActiveDatabase=Standby,Secondary!E852,Primary!E852)</f>
        <v>Tallarine</v>
      </c>
      <c r="F852" s="10">
        <f>IF(ActiveDatabase=Standby,Secondary!F852,Primary!F852)</f>
        <v>-21.2211129729999</v>
      </c>
      <c r="G852" s="10">
        <f>IF(ActiveDatabase=Standby,Secondary!G852,Primary!G852)</f>
        <v>310.789870483</v>
      </c>
      <c r="H852" s="10">
        <f>IF(ActiveDatabase=Standby,Secondary!H852,Primary!H852)</f>
        <v>30.93234916</v>
      </c>
      <c r="I852" s="13">
        <f>IF(ActiveDatabase=Standby,Secondary!I852,Primary!I852)</f>
        <v>0</v>
      </c>
      <c r="J852" s="13">
        <f>IF(ActiveDatabase=Standby,Secondary!J852,Primary!J852)</f>
        <v>0</v>
      </c>
      <c r="K852" s="13">
        <f>IF(ActiveDatabase=Standby,Secondary!K852,Primary!K852)</f>
        <v>0</v>
      </c>
      <c r="L852" s="13">
        <f>IF(ActiveDatabase=Standby,Secondary!L852,Primary!L852)</f>
        <v>0</v>
      </c>
      <c r="M852" s="7" t="b">
        <f>IF(ActiveDatabase=Standby,Secondary!M852,Primary!M852)</f>
        <v>1</v>
      </c>
      <c r="N852" s="10">
        <f>IF(ActiveDatabase=Standby,Secondary!N852,Primary!N852)</f>
        <v>0</v>
      </c>
      <c r="O852" s="10">
        <f>IF(ActiveDatabase=Standby,Secondary!O852,Primary!O852)</f>
        <v>0</v>
      </c>
      <c r="P852" s="10">
        <f>IF(ActiveDatabase=Standby,Secondary!P852,Primary!P852)</f>
        <v>0</v>
      </c>
      <c r="Q852" s="6">
        <f>IF(ActiveDatabase=Standby,Secondary!Q852,Primary!Q852)</f>
        <v>0</v>
      </c>
      <c r="R852" s="18">
        <f>IF(ActiveDatabase=Standby,Secondary!R852,Primary!R852)</f>
        <v>0</v>
      </c>
      <c r="S852" s="19">
        <f>IF(ActiveDatabase=Standby,Secondary!S852,Primary!S852)</f>
        <v>0</v>
      </c>
      <c r="T852" s="10">
        <f>IF(ActiveDatabase=Standby,Secondary!T852,Primary!T852)</f>
        <v>0</v>
      </c>
      <c r="U852" s="10">
        <f>IF(ActiveDatabase=Standby,Secondary!U852,Primary!U852)</f>
        <v>0</v>
      </c>
      <c r="V852" s="10">
        <f>IF(ActiveDatabase=Standby,Secondary!V852,Primary!V852)</f>
        <v>0</v>
      </c>
      <c r="W852" s="6">
        <f>IF(ActiveDatabase=Standby,Secondary!W852,Primary!W852)</f>
        <v>0</v>
      </c>
      <c r="X852" s="6">
        <f>IF(ActiveDatabase=Standby,Secondary!X852,Primary!X852)</f>
        <v>0</v>
      </c>
      <c r="Y852" s="12">
        <f>IF(ActiveDatabase=Standby,Secondary!Y852,Primary!Y1510)</f>
        <v>0</v>
      </c>
      <c r="Z852" s="12">
        <f>IF(ActiveDatabase=Standby,Secondary!Z852,Primary!Z1510)</f>
        <v>0</v>
      </c>
      <c r="AA852" s="7">
        <f>IF(ActiveDatabase=Standby,Secondary!AA852,Primary!AA1510)</f>
        <v>0</v>
      </c>
      <c r="AB852" s="12"/>
      <c r="AC852" s="6"/>
      <c r="AD852" s="6"/>
      <c r="AE852" s="7"/>
      <c r="AF852" s="7"/>
      <c r="AG852" s="7"/>
      <c r="AH852" s="7"/>
      <c r="AI852" s="7"/>
      <c r="AJ852" s="7"/>
      <c r="AK852" s="7"/>
      <c r="AL852" s="7"/>
      <c r="AM852" s="7"/>
      <c r="AN852" s="7"/>
      <c r="AO852" s="6"/>
      <c r="AP852" s="7"/>
      <c r="AQ852" s="7"/>
      <c r="AR852" s="6"/>
      <c r="AS852" s="7"/>
      <c r="AT852" s="7"/>
      <c r="AU852" s="7"/>
      <c r="AV852" s="7"/>
      <c r="AW852" s="7"/>
      <c r="AX852" s="7"/>
      <c r="AY852" s="7"/>
      <c r="AZ852" s="7"/>
      <c r="BA852" s="7"/>
      <c r="BB852" s="7"/>
      <c r="BC852" s="7"/>
      <c r="BD852" s="7"/>
      <c r="BE852" s="7"/>
      <c r="BF852" s="7"/>
      <c r="BG852" s="7"/>
    </row>
    <row r="853" customHeight="1" spans="1:59">
      <c r="A853" s="9" t="str">
        <f>IF(ActiveDatabase=Standby,Secondary!A853,Primary!A853)</f>
        <v>Yela</v>
      </c>
      <c r="B853" s="5" t="str">
        <f>IF(ActiveDatabase=Standby,Secondary!B853,Primary!B853)</f>
        <v>Yela 23</v>
      </c>
      <c r="C853" s="5">
        <f>IF(ActiveDatabase=Standby,Secondary!C853,Primary!C853)</f>
        <v>0</v>
      </c>
      <c r="D853" s="5" t="str">
        <f>IF(ActiveDatabase=Standby,Secondary!D853,Primary!D853)</f>
        <v>Racetracks</v>
      </c>
      <c r="E853" s="6">
        <f>IF(ActiveDatabase=Standby,Secondary!E853,Primary!E853)</f>
        <v>0</v>
      </c>
      <c r="F853" s="10">
        <f>IF(ActiveDatabase=Standby,Secondary!F853,Primary!F853)</f>
        <v>0</v>
      </c>
      <c r="G853" s="10">
        <f>IF(ActiveDatabase=Standby,Secondary!G853,Primary!G853)</f>
        <v>0</v>
      </c>
      <c r="H853" s="10">
        <f>IF(ActiveDatabase=Standby,Secondary!H853,Primary!H853)</f>
        <v>0</v>
      </c>
      <c r="I853" s="13">
        <f>IF(ActiveDatabase=Standby,Secondary!I853,Primary!I853)</f>
        <v>0</v>
      </c>
      <c r="J853" s="13">
        <f>IF(ActiveDatabase=Standby,Secondary!J853,Primary!J853)</f>
        <v>0</v>
      </c>
      <c r="K853" s="13">
        <f>IF(ActiveDatabase=Standby,Secondary!K853,Primary!K853)</f>
        <v>0</v>
      </c>
      <c r="L853" s="13">
        <f>IF(ActiveDatabase=Standby,Secondary!L853,Primary!L853)</f>
        <v>0</v>
      </c>
      <c r="M853" s="7">
        <f>IF(ActiveDatabase=Standby,Secondary!M853,Primary!M853)</f>
        <v>0</v>
      </c>
      <c r="N853" s="10">
        <f>IF(ActiveDatabase=Standby,Secondary!N853,Primary!N853)</f>
        <v>0</v>
      </c>
      <c r="O853" s="10">
        <f>IF(ActiveDatabase=Standby,Secondary!O853,Primary!O853)</f>
        <v>0</v>
      </c>
      <c r="P853" s="10">
        <f>IF(ActiveDatabase=Standby,Secondary!P853,Primary!P853)</f>
        <v>0</v>
      </c>
      <c r="Q853" s="6">
        <f>IF(ActiveDatabase=Standby,Secondary!Q853,Primary!Q853)</f>
        <v>0</v>
      </c>
      <c r="R853" s="18">
        <f>IF(ActiveDatabase=Standby,Secondary!R853,Primary!R853)</f>
        <v>0</v>
      </c>
      <c r="S853" s="19">
        <f>IF(ActiveDatabase=Standby,Secondary!S853,Primary!S853)</f>
        <v>0</v>
      </c>
      <c r="T853" s="10">
        <f>IF(ActiveDatabase=Standby,Secondary!T853,Primary!T853)</f>
        <v>0</v>
      </c>
      <c r="U853" s="10">
        <f>IF(ActiveDatabase=Standby,Secondary!U853,Primary!U853)</f>
        <v>0</v>
      </c>
      <c r="V853" s="10">
        <f>IF(ActiveDatabase=Standby,Secondary!V853,Primary!V853)</f>
        <v>0</v>
      </c>
      <c r="W853" s="6">
        <f>IF(ActiveDatabase=Standby,Secondary!W853,Primary!W853)</f>
        <v>0</v>
      </c>
      <c r="X853" s="6">
        <f>IF(ActiveDatabase=Standby,Secondary!X853,Primary!X853)</f>
        <v>0</v>
      </c>
      <c r="Y853" s="12">
        <f>IF(ActiveDatabase=Standby,Secondary!Y853,Primary!Y1511)</f>
        <v>0</v>
      </c>
      <c r="Z853" s="12">
        <f>IF(ActiveDatabase=Standby,Secondary!Z853,Primary!Z1511)</f>
        <v>0</v>
      </c>
      <c r="AA853" s="7">
        <f>IF(ActiveDatabase=Standby,Secondary!AA853,Primary!AA1511)</f>
        <v>0</v>
      </c>
      <c r="AB853" s="12"/>
      <c r="AC853" s="6"/>
      <c r="AD853" s="6"/>
      <c r="AE853" s="7"/>
      <c r="AF853" s="7"/>
      <c r="AG853" s="7"/>
      <c r="AH853" s="7"/>
      <c r="AI853" s="7"/>
      <c r="AJ853" s="7"/>
      <c r="AK853" s="7"/>
      <c r="AL853" s="7"/>
      <c r="AM853" s="7"/>
      <c r="AN853" s="7"/>
      <c r="AO853" s="6"/>
      <c r="AP853" s="7"/>
      <c r="AQ853" s="7"/>
      <c r="AR853" s="6"/>
      <c r="AS853" s="7"/>
      <c r="AT853" s="7"/>
      <c r="AU853" s="7"/>
      <c r="AV853" s="7"/>
      <c r="AW853" s="7"/>
      <c r="AX853" s="7"/>
      <c r="AY853" s="7"/>
      <c r="AZ853" s="7"/>
      <c r="BA853" s="7"/>
      <c r="BB853" s="7"/>
      <c r="BC853" s="7"/>
      <c r="BD853" s="7"/>
      <c r="BE853" s="7"/>
      <c r="BF853" s="7"/>
      <c r="BG853" s="7"/>
    </row>
    <row r="854" customHeight="1" spans="1:59">
      <c r="A854" s="9" t="str">
        <f>IF(ActiveDatabase=Standby,Secondary!A854,Primary!A854)</f>
        <v>Yela 16</v>
      </c>
      <c r="B854" s="5" t="str">
        <f>IF(ActiveDatabase=Standby,Secondary!B854,Primary!B854)</f>
        <v>Yela 24</v>
      </c>
      <c r="C854" s="5" t="str">
        <f>IF(ActiveDatabase=Standby,Secondary!C854,Primary!C854)</f>
        <v>Yela 05</v>
      </c>
      <c r="D854" s="5" t="str">
        <f>IF(ActiveDatabase=Standby,Secondary!D854,Primary!D854)</f>
        <v>Miner's Lament</v>
      </c>
      <c r="E854" s="6" t="str">
        <f>IF(ActiveDatabase=Standby,Secondary!E854,Primary!E854)</f>
        <v>Lament</v>
      </c>
      <c r="F854" s="10">
        <f>IF(ActiveDatabase=Standby,Secondary!F854,Primary!F854)</f>
        <v>-488.748</v>
      </c>
      <c r="G854" s="10">
        <f>IF(ActiveDatabase=Standby,Secondary!G854,Primary!G854)</f>
        <v>518.902</v>
      </c>
      <c r="H854" s="10">
        <f>IF(ActiveDatabase=Standby,Secondary!H854,Primary!H854)</f>
        <v>4.333</v>
      </c>
      <c r="I854" s="13">
        <f>IF(ActiveDatabase=Standby,Secondary!I854,Primary!I854)</f>
        <v>0</v>
      </c>
      <c r="J854" s="13">
        <f>IF(ActiveDatabase=Standby,Secondary!J854,Primary!J854)</f>
        <v>0</v>
      </c>
      <c r="K854" s="13">
        <f>IF(ActiveDatabase=Standby,Secondary!K854,Primary!K854)</f>
        <v>0</v>
      </c>
      <c r="L854" s="13">
        <f>IF(ActiveDatabase=Standby,Secondary!L854,Primary!L854)</f>
        <v>0</v>
      </c>
      <c r="M854" s="7" t="b">
        <f>IF(ActiveDatabase=Standby,Secondary!M854,Primary!M854)</f>
        <v>1</v>
      </c>
      <c r="N854" s="10">
        <f>IF(ActiveDatabase=Standby,Secondary!N854,Primary!N854)</f>
        <v>0</v>
      </c>
      <c r="O854" s="10">
        <f>IF(ActiveDatabase=Standby,Secondary!O854,Primary!O854)</f>
        <v>0</v>
      </c>
      <c r="P854" s="10">
        <f>IF(ActiveDatabase=Standby,Secondary!P854,Primary!P854)</f>
        <v>0</v>
      </c>
      <c r="Q854" s="6">
        <f>IF(ActiveDatabase=Standby,Secondary!Q854,Primary!Q854)</f>
        <v>0</v>
      </c>
      <c r="R854" s="18">
        <f>IF(ActiveDatabase=Standby,Secondary!R854,Primary!R854)</f>
        <v>0</v>
      </c>
      <c r="S854" s="19">
        <f>IF(ActiveDatabase=Standby,Secondary!S854,Primary!S854)</f>
        <v>0</v>
      </c>
      <c r="T854" s="10">
        <f>IF(ActiveDatabase=Standby,Secondary!T854,Primary!T854)</f>
        <v>0</v>
      </c>
      <c r="U854" s="10">
        <f>IF(ActiveDatabase=Standby,Secondary!U854,Primary!U854)</f>
        <v>0</v>
      </c>
      <c r="V854" s="10">
        <f>IF(ActiveDatabase=Standby,Secondary!V854,Primary!V854)</f>
        <v>0</v>
      </c>
      <c r="W854" s="6">
        <f>IF(ActiveDatabase=Standby,Secondary!W854,Primary!W854)</f>
        <v>0</v>
      </c>
      <c r="X854" s="6">
        <f>IF(ActiveDatabase=Standby,Secondary!X854,Primary!X854)</f>
        <v>0</v>
      </c>
      <c r="Y854" s="12">
        <f>IF(ActiveDatabase=Standby,Secondary!Y854,Primary!Y1512)</f>
        <v>0</v>
      </c>
      <c r="Z854" s="12">
        <f>IF(ActiveDatabase=Standby,Secondary!Z854,Primary!Z1512)</f>
        <v>0</v>
      </c>
      <c r="AA854" s="7">
        <f>IF(ActiveDatabase=Standby,Secondary!AA854,Primary!AA1512)</f>
        <v>0</v>
      </c>
      <c r="AB854" s="12"/>
      <c r="AC854" s="6"/>
      <c r="AD854" s="6"/>
      <c r="AE854" s="7"/>
      <c r="AF854" s="7"/>
      <c r="AG854" s="7"/>
      <c r="AH854" s="7"/>
      <c r="AI854" s="7"/>
      <c r="AJ854" s="7"/>
      <c r="AK854" s="7"/>
      <c r="AL854" s="7"/>
      <c r="AM854" s="7"/>
      <c r="AN854" s="7"/>
      <c r="AO854" s="6"/>
      <c r="AP854" s="7"/>
      <c r="AQ854" s="7"/>
      <c r="AR854" s="6"/>
      <c r="AS854" s="7"/>
      <c r="AT854" s="7"/>
      <c r="AU854" s="7"/>
      <c r="AV854" s="7"/>
      <c r="AW854" s="7"/>
      <c r="AX854" s="7"/>
      <c r="AY854" s="7"/>
      <c r="AZ854" s="7"/>
      <c r="BA854" s="7"/>
      <c r="BB854" s="7"/>
      <c r="BC854" s="7"/>
      <c r="BD854" s="7"/>
      <c r="BE854" s="7"/>
      <c r="BF854" s="7"/>
      <c r="BG854" s="7"/>
    </row>
    <row r="855" customHeight="1" spans="1:59">
      <c r="A855" s="9" t="str">
        <f>IF(ActiveDatabase=Standby,Secondary!A855,Primary!A855)</f>
        <v>Yela</v>
      </c>
      <c r="B855" s="5" t="str">
        <f>IF(ActiveDatabase=Standby,Secondary!B855,Primary!B855)</f>
        <v>Yela 26</v>
      </c>
      <c r="C855" s="5">
        <f>IF(ActiveDatabase=Standby,Secondary!C855,Primary!C855)</f>
        <v>0</v>
      </c>
      <c r="D855" s="5" t="str">
        <f>IF(ActiveDatabase=Standby,Secondary!D855,Primary!D855)</f>
        <v>Other Facilities</v>
      </c>
      <c r="E855" s="6">
        <f>IF(ActiveDatabase=Standby,Secondary!E855,Primary!E855)</f>
        <v>0</v>
      </c>
      <c r="F855" s="10">
        <f>IF(ActiveDatabase=Standby,Secondary!F855,Primary!F855)</f>
        <v>0</v>
      </c>
      <c r="G855" s="10">
        <f>IF(ActiveDatabase=Standby,Secondary!G855,Primary!G855)</f>
        <v>0</v>
      </c>
      <c r="H855" s="10">
        <f>IF(ActiveDatabase=Standby,Secondary!H855,Primary!H855)</f>
        <v>0</v>
      </c>
      <c r="I855" s="13">
        <f>IF(ActiveDatabase=Standby,Secondary!I855,Primary!I855)</f>
        <v>0</v>
      </c>
      <c r="J855" s="13">
        <f>IF(ActiveDatabase=Standby,Secondary!J855,Primary!J855)</f>
        <v>0</v>
      </c>
      <c r="K855" s="13">
        <f>IF(ActiveDatabase=Standby,Secondary!K855,Primary!K855)</f>
        <v>0</v>
      </c>
      <c r="L855" s="13">
        <f>IF(ActiveDatabase=Standby,Secondary!L855,Primary!L855)</f>
        <v>0</v>
      </c>
      <c r="M855" s="7">
        <f>IF(ActiveDatabase=Standby,Secondary!M855,Primary!M855)</f>
        <v>0</v>
      </c>
      <c r="N855" s="10">
        <f>IF(ActiveDatabase=Standby,Secondary!N855,Primary!N855)</f>
        <v>0</v>
      </c>
      <c r="O855" s="10">
        <f>IF(ActiveDatabase=Standby,Secondary!O855,Primary!O855)</f>
        <v>0</v>
      </c>
      <c r="P855" s="10">
        <f>IF(ActiveDatabase=Standby,Secondary!P855,Primary!P855)</f>
        <v>0</v>
      </c>
      <c r="Q855" s="6">
        <f>IF(ActiveDatabase=Standby,Secondary!Q855,Primary!Q855)</f>
        <v>0</v>
      </c>
      <c r="R855" s="18">
        <f>IF(ActiveDatabase=Standby,Secondary!R855,Primary!R855)</f>
        <v>0</v>
      </c>
      <c r="S855" s="19">
        <f>IF(ActiveDatabase=Standby,Secondary!S855,Primary!S855)</f>
        <v>0</v>
      </c>
      <c r="T855" s="10">
        <f>IF(ActiveDatabase=Standby,Secondary!T855,Primary!T855)</f>
        <v>0</v>
      </c>
      <c r="U855" s="10">
        <f>IF(ActiveDatabase=Standby,Secondary!U855,Primary!U855)</f>
        <v>0</v>
      </c>
      <c r="V855" s="10">
        <f>IF(ActiveDatabase=Standby,Secondary!V855,Primary!V855)</f>
        <v>0</v>
      </c>
      <c r="W855" s="6">
        <f>IF(ActiveDatabase=Standby,Secondary!W855,Primary!W855)</f>
        <v>0</v>
      </c>
      <c r="X855" s="6">
        <f>IF(ActiveDatabase=Standby,Secondary!X855,Primary!X855)</f>
        <v>0</v>
      </c>
      <c r="Y855" s="12">
        <f>IF(ActiveDatabase=Standby,Secondary!Y855,Primary!Y1513)</f>
        <v>0</v>
      </c>
      <c r="Z855" s="12">
        <f>IF(ActiveDatabase=Standby,Secondary!Z855,Primary!Z1513)</f>
        <v>0</v>
      </c>
      <c r="AA855" s="7">
        <f>IF(ActiveDatabase=Standby,Secondary!AA855,Primary!AA1513)</f>
        <v>0</v>
      </c>
      <c r="AB855" s="12"/>
      <c r="AC855" s="6"/>
      <c r="AD855" s="6"/>
      <c r="AE855" s="7"/>
      <c r="AF855" s="7"/>
      <c r="AG855" s="7"/>
      <c r="AH855" s="7"/>
      <c r="AI855" s="7"/>
      <c r="AJ855" s="7"/>
      <c r="AK855" s="7"/>
      <c r="AL855" s="7"/>
      <c r="AM855" s="7"/>
      <c r="AN855" s="7"/>
      <c r="AO855" s="6"/>
      <c r="AP855" s="7"/>
      <c r="AQ855" s="7"/>
      <c r="AR855" s="6"/>
      <c r="AS855" s="7"/>
      <c r="AT855" s="7"/>
      <c r="AU855" s="7"/>
      <c r="AV855" s="7"/>
      <c r="AW855" s="7"/>
      <c r="AX855" s="7"/>
      <c r="AY855" s="7"/>
      <c r="AZ855" s="7"/>
      <c r="BA855" s="7"/>
      <c r="BB855" s="7"/>
      <c r="BC855" s="7"/>
      <c r="BD855" s="7"/>
      <c r="BE855" s="7"/>
      <c r="BF855" s="7"/>
      <c r="BG855" s="7"/>
    </row>
    <row r="856" customHeight="1" spans="1:59">
      <c r="A856" s="9" t="str">
        <f>IF(ActiveDatabase=Standby,Secondary!A856,Primary!A856)</f>
        <v>Yela 18</v>
      </c>
      <c r="B856" s="5" t="str">
        <f>IF(ActiveDatabase=Standby,Secondary!B856,Primary!B856)</f>
        <v>Yela 27</v>
      </c>
      <c r="C856" s="5" t="str">
        <f>IF(ActiveDatabase=Standby,Secondary!C856,Primary!C856)</f>
        <v>Yela 06</v>
      </c>
      <c r="D856" s="5" t="str">
        <f>IF(ActiveDatabase=Standby,Secondary!D856,Primary!D856)</f>
        <v>Abandoned Outpost</v>
      </c>
      <c r="E856" s="6" t="str">
        <f>IF(ActiveDatabase=Standby,Secondary!E856,Primary!E856)</f>
        <v>Abandoned</v>
      </c>
      <c r="F856" s="10">
        <f>IF(ActiveDatabase=Standby,Secondary!F856,Primary!F856)</f>
        <v>-45.3028578599999</v>
      </c>
      <c r="G856" s="10">
        <f>IF(ActiveDatabase=Standby,Secondary!G856,Primary!G856)</f>
        <v>308.849989670999</v>
      </c>
      <c r="H856" s="10">
        <f>IF(ActiveDatabase=Standby,Secondary!H856,Primary!H856)</f>
        <v>28.947575204</v>
      </c>
      <c r="I856" s="13">
        <f>IF(ActiveDatabase=Standby,Secondary!I856,Primary!I856)</f>
        <v>0</v>
      </c>
      <c r="J856" s="13">
        <f>IF(ActiveDatabase=Standby,Secondary!J856,Primary!J856)</f>
        <v>0</v>
      </c>
      <c r="K856" s="13">
        <f>IF(ActiveDatabase=Standby,Secondary!K856,Primary!K856)</f>
        <v>0</v>
      </c>
      <c r="L856" s="13">
        <f>IF(ActiveDatabase=Standby,Secondary!L856,Primary!L856)</f>
        <v>0</v>
      </c>
      <c r="M856" s="7" t="b">
        <f>IF(ActiveDatabase=Standby,Secondary!M856,Primary!M856)</f>
        <v>0</v>
      </c>
      <c r="N856" s="10">
        <f>IF(ActiveDatabase=Standby,Secondary!N856,Primary!N856)</f>
        <v>0</v>
      </c>
      <c r="O856" s="10">
        <f>IF(ActiveDatabase=Standby,Secondary!O856,Primary!O856)</f>
        <v>0</v>
      </c>
      <c r="P856" s="10">
        <f>IF(ActiveDatabase=Standby,Secondary!P856,Primary!P856)</f>
        <v>0</v>
      </c>
      <c r="Q856" s="6">
        <f>IF(ActiveDatabase=Standby,Secondary!Q856,Primary!Q856)</f>
        <v>0</v>
      </c>
      <c r="R856" s="18">
        <f>IF(ActiveDatabase=Standby,Secondary!R856,Primary!R856)</f>
        <v>0</v>
      </c>
      <c r="S856" s="19">
        <f>IF(ActiveDatabase=Standby,Secondary!S856,Primary!S856)</f>
        <v>0</v>
      </c>
      <c r="T856" s="10">
        <f>IF(ActiveDatabase=Standby,Secondary!T856,Primary!T856)</f>
        <v>0</v>
      </c>
      <c r="U856" s="10">
        <f>IF(ActiveDatabase=Standby,Secondary!U856,Primary!U856)</f>
        <v>0</v>
      </c>
      <c r="V856" s="10">
        <f>IF(ActiveDatabase=Standby,Secondary!V856,Primary!V856)</f>
        <v>0</v>
      </c>
      <c r="W856" s="6">
        <f>IF(ActiveDatabase=Standby,Secondary!W856,Primary!W856)</f>
        <v>0</v>
      </c>
      <c r="X856" s="6">
        <f>IF(ActiveDatabase=Standby,Secondary!X856,Primary!X856)</f>
        <v>0</v>
      </c>
      <c r="Y856" s="12">
        <f>IF(ActiveDatabase=Standby,Secondary!Y856,Primary!Y1514)</f>
        <v>0</v>
      </c>
      <c r="Z856" s="12">
        <f>IF(ActiveDatabase=Standby,Secondary!Z856,Primary!Z1514)</f>
        <v>0</v>
      </c>
      <c r="AA856" s="7">
        <f>IF(ActiveDatabase=Standby,Secondary!AA856,Primary!AA1514)</f>
        <v>0</v>
      </c>
      <c r="AB856" s="12"/>
      <c r="AC856" s="6"/>
      <c r="AD856" s="6"/>
      <c r="AE856" s="7"/>
      <c r="AF856" s="7"/>
      <c r="AG856" s="7"/>
      <c r="AH856" s="7"/>
      <c r="AI856" s="7"/>
      <c r="AJ856" s="7"/>
      <c r="AK856" s="7"/>
      <c r="AL856" s="7"/>
      <c r="AM856" s="7"/>
      <c r="AN856" s="7"/>
      <c r="AO856" s="6"/>
      <c r="AP856" s="7"/>
      <c r="AQ856" s="7"/>
      <c r="AR856" s="6"/>
      <c r="AS856" s="7"/>
      <c r="AT856" s="7"/>
      <c r="AU856" s="7"/>
      <c r="AV856" s="7"/>
      <c r="AW856" s="7"/>
      <c r="AX856" s="7"/>
      <c r="AY856" s="7"/>
      <c r="AZ856" s="7"/>
      <c r="BA856" s="7"/>
      <c r="BB856" s="7"/>
      <c r="BC856" s="7"/>
      <c r="BD856" s="7"/>
      <c r="BE856" s="7"/>
      <c r="BF856" s="7"/>
      <c r="BG856" s="7"/>
    </row>
    <row r="857" customHeight="1" spans="1:59">
      <c r="A857" s="9" t="str">
        <f>IF(ActiveDatabase=Standby,Secondary!A857,Primary!A857)</f>
        <v>Yela 19</v>
      </c>
      <c r="B857" s="5" t="str">
        <f>IF(ActiveDatabase=Standby,Secondary!B857,Primary!B857)</f>
        <v>Yela 28</v>
      </c>
      <c r="C857" s="5" t="str">
        <f>IF(ActiveDatabase=Standby,Secondary!C857,Primary!C857)</f>
        <v>Yela 01</v>
      </c>
      <c r="D857" s="5" t="str">
        <f>IF(ActiveDatabase=Standby,Secondary!D857,Primary!D857)</f>
        <v>BennyHenge</v>
      </c>
      <c r="E857" s="6" t="str">
        <f>IF(ActiveDatabase=Standby,Secondary!E857,Primary!E857)</f>
        <v>BennyHenge</v>
      </c>
      <c r="F857" s="10">
        <f>IF(ActiveDatabase=Standby,Secondary!F857,Primary!F857)</f>
        <v>-626.6486875</v>
      </c>
      <c r="G857" s="10">
        <f>IF(ActiveDatabase=Standby,Secondary!G857,Primary!G857)</f>
        <v>135.682515625</v>
      </c>
      <c r="H857" s="10">
        <f>IF(ActiveDatabase=Standby,Secondary!H857,Primary!H857)</f>
        <v>-1.81864343299999</v>
      </c>
      <c r="I857" s="13">
        <f>IF(ActiveDatabase=Standby,Secondary!I857,Primary!I857)</f>
        <v>0</v>
      </c>
      <c r="J857" s="13">
        <f>IF(ActiveDatabase=Standby,Secondary!J857,Primary!J857)</f>
        <v>0</v>
      </c>
      <c r="K857" s="13">
        <f>IF(ActiveDatabase=Standby,Secondary!K857,Primary!K857)</f>
        <v>0</v>
      </c>
      <c r="L857" s="13">
        <f>IF(ActiveDatabase=Standby,Secondary!L857,Primary!L857)</f>
        <v>0</v>
      </c>
      <c r="M857" s="7" t="b">
        <f>IF(ActiveDatabase=Standby,Secondary!M857,Primary!M857)</f>
        <v>0</v>
      </c>
      <c r="N857" s="10">
        <f>IF(ActiveDatabase=Standby,Secondary!N857,Primary!N857)</f>
        <v>0</v>
      </c>
      <c r="O857" s="10">
        <f>IF(ActiveDatabase=Standby,Secondary!O857,Primary!O857)</f>
        <v>0</v>
      </c>
      <c r="P857" s="10">
        <f>IF(ActiveDatabase=Standby,Secondary!P857,Primary!P857)</f>
        <v>0</v>
      </c>
      <c r="Q857" s="6">
        <f>IF(ActiveDatabase=Standby,Secondary!Q857,Primary!Q857)</f>
        <v>0</v>
      </c>
      <c r="R857" s="18">
        <f>IF(ActiveDatabase=Standby,Secondary!R857,Primary!R857)</f>
        <v>0</v>
      </c>
      <c r="S857" s="19">
        <f>IF(ActiveDatabase=Standby,Secondary!S857,Primary!S857)</f>
        <v>0</v>
      </c>
      <c r="T857" s="10">
        <f>IF(ActiveDatabase=Standby,Secondary!T857,Primary!T857)</f>
        <v>0</v>
      </c>
      <c r="U857" s="10">
        <f>IF(ActiveDatabase=Standby,Secondary!U857,Primary!U857)</f>
        <v>0</v>
      </c>
      <c r="V857" s="10">
        <f>IF(ActiveDatabase=Standby,Secondary!V857,Primary!V857)</f>
        <v>0</v>
      </c>
      <c r="W857" s="6">
        <f>IF(ActiveDatabase=Standby,Secondary!W857,Primary!W857)</f>
        <v>0</v>
      </c>
      <c r="X857" s="6">
        <f>IF(ActiveDatabase=Standby,Secondary!X857,Primary!X857)</f>
        <v>0</v>
      </c>
      <c r="Y857" s="12">
        <f>IF(ActiveDatabase=Standby,Secondary!Y857,Primary!Y1515)</f>
        <v>0</v>
      </c>
      <c r="Z857" s="12">
        <f>IF(ActiveDatabase=Standby,Secondary!Z857,Primary!Z1515)</f>
        <v>0</v>
      </c>
      <c r="AA857" s="7">
        <f>IF(ActiveDatabase=Standby,Secondary!AA857,Primary!AA1515)</f>
        <v>0</v>
      </c>
      <c r="AB857" s="12"/>
      <c r="AC857" s="6"/>
      <c r="AD857" s="6"/>
      <c r="AE857" s="7"/>
      <c r="AF857" s="7"/>
      <c r="AG857" s="7"/>
      <c r="AH857" s="7"/>
      <c r="AI857" s="7"/>
      <c r="AJ857" s="7"/>
      <c r="AK857" s="7"/>
      <c r="AL857" s="7"/>
      <c r="AM857" s="7"/>
      <c r="AN857" s="7"/>
      <c r="AO857" s="6"/>
      <c r="AP857" s="7"/>
      <c r="AQ857" s="7"/>
      <c r="AR857" s="6"/>
      <c r="AS857" s="7"/>
      <c r="AT857" s="7"/>
      <c r="AU857" s="7"/>
      <c r="AV857" s="7"/>
      <c r="AW857" s="7"/>
      <c r="AX857" s="7"/>
      <c r="AY857" s="7"/>
      <c r="AZ857" s="7"/>
      <c r="BA857" s="7"/>
      <c r="BB857" s="7"/>
      <c r="BC857" s="7"/>
      <c r="BD857" s="7"/>
      <c r="BE857" s="7"/>
      <c r="BF857" s="7"/>
      <c r="BG857" s="7"/>
    </row>
    <row r="858" customHeight="1" spans="1:59">
      <c r="A858" s="9" t="str">
        <f>IF(ActiveDatabase=Standby,Secondary!A858,Primary!A858)</f>
        <v>Yela</v>
      </c>
      <c r="B858" s="5" t="str">
        <f>IF(ActiveDatabase=Standby,Secondary!B858,Primary!B858)</f>
        <v>Yela 30</v>
      </c>
      <c r="C858" s="5">
        <f>IF(ActiveDatabase=Standby,Secondary!C858,Primary!C858)</f>
        <v>0</v>
      </c>
      <c r="D858" s="5" t="str">
        <f>IF(ActiveDatabase=Standby,Secondary!D858,Primary!D858)</f>
        <v>Settlements</v>
      </c>
      <c r="E858" s="6">
        <f>IF(ActiveDatabase=Standby,Secondary!E858,Primary!E858)</f>
        <v>0</v>
      </c>
      <c r="F858" s="10">
        <f>IF(ActiveDatabase=Standby,Secondary!F858,Primary!F858)</f>
        <v>0</v>
      </c>
      <c r="G858" s="10">
        <f>IF(ActiveDatabase=Standby,Secondary!G858,Primary!G858)</f>
        <v>0</v>
      </c>
      <c r="H858" s="10">
        <f>IF(ActiveDatabase=Standby,Secondary!H858,Primary!H858)</f>
        <v>0</v>
      </c>
      <c r="I858" s="13">
        <f>IF(ActiveDatabase=Standby,Secondary!I858,Primary!I858)</f>
        <v>0</v>
      </c>
      <c r="J858" s="13">
        <f>IF(ActiveDatabase=Standby,Secondary!J858,Primary!J858)</f>
        <v>0</v>
      </c>
      <c r="K858" s="13">
        <f>IF(ActiveDatabase=Standby,Secondary!K858,Primary!K858)</f>
        <v>0</v>
      </c>
      <c r="L858" s="13">
        <f>IF(ActiveDatabase=Standby,Secondary!L858,Primary!L858)</f>
        <v>0</v>
      </c>
      <c r="M858" s="7">
        <f>IF(ActiveDatabase=Standby,Secondary!M858,Primary!M858)</f>
        <v>0</v>
      </c>
      <c r="N858" s="10">
        <f>IF(ActiveDatabase=Standby,Secondary!N858,Primary!N858)</f>
        <v>0</v>
      </c>
      <c r="O858" s="10">
        <f>IF(ActiveDatabase=Standby,Secondary!O858,Primary!O858)</f>
        <v>0</v>
      </c>
      <c r="P858" s="10">
        <f>IF(ActiveDatabase=Standby,Secondary!P858,Primary!P858)</f>
        <v>0</v>
      </c>
      <c r="Q858" s="6">
        <f>IF(ActiveDatabase=Standby,Secondary!Q858,Primary!Q858)</f>
        <v>0</v>
      </c>
      <c r="R858" s="18">
        <f>IF(ActiveDatabase=Standby,Secondary!R858,Primary!R858)</f>
        <v>0</v>
      </c>
      <c r="S858" s="19">
        <f>IF(ActiveDatabase=Standby,Secondary!S858,Primary!S858)</f>
        <v>0</v>
      </c>
      <c r="T858" s="10">
        <f>IF(ActiveDatabase=Standby,Secondary!T858,Primary!T858)</f>
        <v>0</v>
      </c>
      <c r="U858" s="10">
        <f>IF(ActiveDatabase=Standby,Secondary!U858,Primary!U858)</f>
        <v>0</v>
      </c>
      <c r="V858" s="10">
        <f>IF(ActiveDatabase=Standby,Secondary!V858,Primary!V858)</f>
        <v>0</v>
      </c>
      <c r="W858" s="6">
        <f>IF(ActiveDatabase=Standby,Secondary!W858,Primary!W858)</f>
        <v>0</v>
      </c>
      <c r="X858" s="6">
        <f>IF(ActiveDatabase=Standby,Secondary!X858,Primary!X858)</f>
        <v>0</v>
      </c>
      <c r="Y858" s="12">
        <f>IF(ActiveDatabase=Standby,Secondary!Y858,Primary!Y1516)</f>
        <v>0</v>
      </c>
      <c r="Z858" s="12">
        <f>IF(ActiveDatabase=Standby,Secondary!Z858,Primary!Z1516)</f>
        <v>0</v>
      </c>
      <c r="AA858" s="7">
        <f>IF(ActiveDatabase=Standby,Secondary!AA858,Primary!AA1516)</f>
        <v>0</v>
      </c>
      <c r="AB858" s="12"/>
      <c r="AC858" s="6"/>
      <c r="AD858" s="6"/>
      <c r="AE858" s="7"/>
      <c r="AF858" s="7"/>
      <c r="AG858" s="7"/>
      <c r="AH858" s="7"/>
      <c r="AI858" s="7"/>
      <c r="AJ858" s="7"/>
      <c r="AK858" s="7"/>
      <c r="AL858" s="7"/>
      <c r="AM858" s="7"/>
      <c r="AN858" s="7"/>
      <c r="AO858" s="6"/>
      <c r="AP858" s="7"/>
      <c r="AQ858" s="7"/>
      <c r="AR858" s="6"/>
      <c r="AS858" s="7"/>
      <c r="AT858" s="7"/>
      <c r="AU858" s="7"/>
      <c r="AV858" s="7"/>
      <c r="AW858" s="7"/>
      <c r="AX858" s="7"/>
      <c r="AY858" s="7"/>
      <c r="AZ858" s="7"/>
      <c r="BA858" s="7"/>
      <c r="BB858" s="7"/>
      <c r="BC858" s="7"/>
      <c r="BD858" s="7"/>
      <c r="BE858" s="7"/>
      <c r="BF858" s="7"/>
      <c r="BG858" s="7"/>
    </row>
    <row r="859" customHeight="1" spans="1:59">
      <c r="A859" s="9" t="str">
        <f>IF(ActiveDatabase=Standby,Secondary!A859,Primary!A859)</f>
        <v>Yela 20</v>
      </c>
      <c r="B859" s="5" t="str">
        <f>IF(ActiveDatabase=Standby,Secondary!B859,Primary!B859)</f>
        <v>Yela 31</v>
      </c>
      <c r="C859" s="5" t="str">
        <f>IF(ActiveDatabase=Standby,Secondary!C859,Primary!C859)</f>
        <v>Yela 22</v>
      </c>
      <c r="D859" s="5" t="str">
        <f>IF(ActiveDatabase=Standby,Secondary!D859,Primary!D859)</f>
        <v>Settlement 17R</v>
      </c>
      <c r="E859" s="6" t="str">
        <f>IF(ActiveDatabase=Standby,Secondary!E859,Primary!E859)</f>
        <v>Settlement 17R</v>
      </c>
      <c r="F859" s="10">
        <f>IF(ActiveDatabase=Standby,Secondary!F859,Primary!F859)</f>
        <v>29.651672929</v>
      </c>
      <c r="G859" s="10">
        <f>IF(ActiveDatabase=Standby,Secondary!G859,Primary!G859)</f>
        <v>-273.746244744999</v>
      </c>
      <c r="H859" s="10">
        <f>IF(ActiveDatabase=Standby,Secondary!H859,Primary!H859)</f>
        <v>149.998433154</v>
      </c>
      <c r="I859" s="13">
        <f>IF(ActiveDatabase=Standby,Secondary!I859,Primary!I859)</f>
        <v>0</v>
      </c>
      <c r="J859" s="13">
        <f>IF(ActiveDatabase=Standby,Secondary!J859,Primary!J859)</f>
        <v>0</v>
      </c>
      <c r="K859" s="13">
        <f>IF(ActiveDatabase=Standby,Secondary!K859,Primary!K859)</f>
        <v>0</v>
      </c>
      <c r="L859" s="13">
        <f>IF(ActiveDatabase=Standby,Secondary!L859,Primary!L859)</f>
        <v>0</v>
      </c>
      <c r="M859" s="7" t="b">
        <f>IF(ActiveDatabase=Standby,Secondary!M859,Primary!M859)</f>
        <v>0</v>
      </c>
      <c r="N859" s="10">
        <f>IF(ActiveDatabase=Standby,Secondary!N859,Primary!N859)</f>
        <v>0</v>
      </c>
      <c r="O859" s="10">
        <f>IF(ActiveDatabase=Standby,Secondary!O859,Primary!O859)</f>
        <v>0</v>
      </c>
      <c r="P859" s="10">
        <f>IF(ActiveDatabase=Standby,Secondary!P859,Primary!P859)</f>
        <v>0</v>
      </c>
      <c r="Q859" s="6">
        <f>IF(ActiveDatabase=Standby,Secondary!Q859,Primary!Q859)</f>
        <v>0</v>
      </c>
      <c r="R859" s="18">
        <f>IF(ActiveDatabase=Standby,Secondary!R859,Primary!R859)</f>
        <v>0</v>
      </c>
      <c r="S859" s="19">
        <f>IF(ActiveDatabase=Standby,Secondary!S859,Primary!S859)</f>
        <v>0</v>
      </c>
      <c r="T859" s="10">
        <f>IF(ActiveDatabase=Standby,Secondary!T859,Primary!T859)</f>
        <v>0</v>
      </c>
      <c r="U859" s="10">
        <f>IF(ActiveDatabase=Standby,Secondary!U859,Primary!U859)</f>
        <v>0</v>
      </c>
      <c r="V859" s="10">
        <f>IF(ActiveDatabase=Standby,Secondary!V859,Primary!V859)</f>
        <v>0</v>
      </c>
      <c r="W859" s="6">
        <f>IF(ActiveDatabase=Standby,Secondary!W859,Primary!W859)</f>
        <v>0</v>
      </c>
      <c r="X859" s="6">
        <f>IF(ActiveDatabase=Standby,Secondary!X859,Primary!X859)</f>
        <v>0</v>
      </c>
      <c r="Y859" s="12">
        <f>IF(ActiveDatabase=Standby,Secondary!Y859,Primary!Y1517)</f>
        <v>0</v>
      </c>
      <c r="Z859" s="12">
        <f>IF(ActiveDatabase=Standby,Secondary!Z859,Primary!Z1517)</f>
        <v>0</v>
      </c>
      <c r="AA859" s="7">
        <f>IF(ActiveDatabase=Standby,Secondary!AA859,Primary!AA1517)</f>
        <v>0</v>
      </c>
      <c r="AB859" s="12"/>
      <c r="AC859" s="6"/>
      <c r="AD859" s="6"/>
      <c r="AE859" s="7"/>
      <c r="AF859" s="7"/>
      <c r="AG859" s="7"/>
      <c r="AH859" s="7"/>
      <c r="AI859" s="7"/>
      <c r="AJ859" s="7"/>
      <c r="AK859" s="7"/>
      <c r="AL859" s="7"/>
      <c r="AM859" s="7"/>
      <c r="AN859" s="7"/>
      <c r="AO859" s="6"/>
      <c r="AP859" s="7"/>
      <c r="AQ859" s="7"/>
      <c r="AR859" s="6"/>
      <c r="AS859" s="7"/>
      <c r="AT859" s="7"/>
      <c r="AU859" s="7"/>
      <c r="AV859" s="7"/>
      <c r="AW859" s="7"/>
      <c r="AX859" s="7"/>
      <c r="AY859" s="7"/>
      <c r="AZ859" s="7"/>
      <c r="BA859" s="7"/>
      <c r="BB859" s="7"/>
      <c r="BC859" s="7"/>
      <c r="BD859" s="7"/>
      <c r="BE859" s="7"/>
      <c r="BF859" s="7"/>
      <c r="BG859" s="7"/>
    </row>
    <row r="860" customHeight="1" spans="1:59">
      <c r="A860" s="9" t="str">
        <f>IF(ActiveDatabase=Standby,Secondary!A860,Primary!A860)</f>
        <v>Yela 21</v>
      </c>
      <c r="B860" s="5" t="str">
        <f>IF(ActiveDatabase=Standby,Secondary!B860,Primary!B860)</f>
        <v>Yela 32</v>
      </c>
      <c r="C860" s="5" t="str">
        <f>IF(ActiveDatabase=Standby,Secondary!C860,Primary!C860)</f>
        <v>Yela 28</v>
      </c>
      <c r="D860" s="5" t="str">
        <f>IF(ActiveDatabase=Standby,Secondary!D860,Primary!D860)</f>
        <v>Settlement AZM</v>
      </c>
      <c r="E860" s="6" t="str">
        <f>IF(ActiveDatabase=Standby,Secondary!E860,Primary!E860)</f>
        <v>Settlement AZM</v>
      </c>
      <c r="F860" s="10">
        <f>IF(ActiveDatabase=Standby,Secondary!F860,Primary!F860)</f>
        <v>-1.345370901</v>
      </c>
      <c r="G860" s="10">
        <f>IF(ActiveDatabase=Standby,Secondary!G860,Primary!G860)</f>
        <v>-1.619482711</v>
      </c>
      <c r="H860" s="10">
        <f>IF(ActiveDatabase=Standby,Secondary!H860,Primary!H860)</f>
        <v>-313.096591525</v>
      </c>
      <c r="I860" s="13">
        <f>IF(ActiveDatabase=Standby,Secondary!I860,Primary!I860)</f>
        <v>0</v>
      </c>
      <c r="J860" s="13">
        <f>IF(ActiveDatabase=Standby,Secondary!J860,Primary!J860)</f>
        <v>0</v>
      </c>
      <c r="K860" s="13">
        <f>IF(ActiveDatabase=Standby,Secondary!K860,Primary!K860)</f>
        <v>0</v>
      </c>
      <c r="L860" s="13">
        <f>IF(ActiveDatabase=Standby,Secondary!L860,Primary!L860)</f>
        <v>0</v>
      </c>
      <c r="M860" s="7" t="b">
        <f>IF(ActiveDatabase=Standby,Secondary!M860,Primary!M860)</f>
        <v>0</v>
      </c>
      <c r="N860" s="10">
        <f>IF(ActiveDatabase=Standby,Secondary!N860,Primary!N860)</f>
        <v>0</v>
      </c>
      <c r="O860" s="10">
        <f>IF(ActiveDatabase=Standby,Secondary!O860,Primary!O860)</f>
        <v>0</v>
      </c>
      <c r="P860" s="10">
        <f>IF(ActiveDatabase=Standby,Secondary!P860,Primary!P860)</f>
        <v>0</v>
      </c>
      <c r="Q860" s="6">
        <f>IF(ActiveDatabase=Standby,Secondary!Q860,Primary!Q860)</f>
        <v>0</v>
      </c>
      <c r="R860" s="18">
        <f>IF(ActiveDatabase=Standby,Secondary!R860,Primary!R860)</f>
        <v>0</v>
      </c>
      <c r="S860" s="19">
        <f>IF(ActiveDatabase=Standby,Secondary!S860,Primary!S860)</f>
        <v>0</v>
      </c>
      <c r="T860" s="10">
        <f>IF(ActiveDatabase=Standby,Secondary!T860,Primary!T860)</f>
        <v>0</v>
      </c>
      <c r="U860" s="10">
        <f>IF(ActiveDatabase=Standby,Secondary!U860,Primary!U860)</f>
        <v>0</v>
      </c>
      <c r="V860" s="10">
        <f>IF(ActiveDatabase=Standby,Secondary!V860,Primary!V860)</f>
        <v>0</v>
      </c>
      <c r="W860" s="6">
        <f>IF(ActiveDatabase=Standby,Secondary!W860,Primary!W860)</f>
        <v>0</v>
      </c>
      <c r="X860" s="6">
        <f>IF(ActiveDatabase=Standby,Secondary!X860,Primary!X860)</f>
        <v>0</v>
      </c>
      <c r="Y860" s="12">
        <f>IF(ActiveDatabase=Standby,Secondary!Y860,Primary!Y1518)</f>
        <v>0</v>
      </c>
      <c r="Z860" s="12">
        <f>IF(ActiveDatabase=Standby,Secondary!Z860,Primary!Z1518)</f>
        <v>0</v>
      </c>
      <c r="AA860" s="7">
        <f>IF(ActiveDatabase=Standby,Secondary!AA860,Primary!AA1518)</f>
        <v>0</v>
      </c>
      <c r="AB860" s="12"/>
      <c r="AC860" s="6"/>
      <c r="AD860" s="6"/>
      <c r="AE860" s="7"/>
      <c r="AF860" s="7"/>
      <c r="AG860" s="7"/>
      <c r="AH860" s="7"/>
      <c r="AI860" s="7"/>
      <c r="AJ860" s="7"/>
      <c r="AK860" s="7"/>
      <c r="AL860" s="7"/>
      <c r="AM860" s="7"/>
      <c r="AN860" s="7"/>
      <c r="AO860" s="6"/>
      <c r="AP860" s="7"/>
      <c r="AQ860" s="7"/>
      <c r="AR860" s="6"/>
      <c r="AS860" s="7"/>
      <c r="AT860" s="7"/>
      <c r="AU860" s="7"/>
      <c r="AV860" s="7"/>
      <c r="AW860" s="7"/>
      <c r="AX860" s="7"/>
      <c r="AY860" s="7"/>
      <c r="AZ860" s="7"/>
      <c r="BA860" s="7"/>
      <c r="BB860" s="7"/>
      <c r="BC860" s="7"/>
      <c r="BD860" s="7"/>
      <c r="BE860" s="7"/>
      <c r="BF860" s="7"/>
      <c r="BG860" s="7"/>
    </row>
    <row r="861" customHeight="1" spans="1:59">
      <c r="A861" s="9" t="str">
        <f>IF(ActiveDatabase=Standby,Secondary!A861,Primary!A861)</f>
        <v>Yela</v>
      </c>
      <c r="B861" s="5" t="str">
        <f>IF(ActiveDatabase=Standby,Secondary!B861,Primary!B861)</f>
        <v>Yela 34</v>
      </c>
      <c r="C861" s="5">
        <f>IF(ActiveDatabase=Standby,Secondary!C861,Primary!C861)</f>
        <v>0</v>
      </c>
      <c r="D861" s="5" t="str">
        <f>IF(ActiveDatabase=Standby,Secondary!D861,Primary!D861)</f>
        <v>Wrecks</v>
      </c>
      <c r="E861" s="6">
        <f>IF(ActiveDatabase=Standby,Secondary!E861,Primary!E861)</f>
        <v>0</v>
      </c>
      <c r="F861" s="10">
        <f>IF(ActiveDatabase=Standby,Secondary!F861,Primary!F861)</f>
        <v>0</v>
      </c>
      <c r="G861" s="10">
        <f>IF(ActiveDatabase=Standby,Secondary!G861,Primary!G861)</f>
        <v>0</v>
      </c>
      <c r="H861" s="10">
        <f>IF(ActiveDatabase=Standby,Secondary!H861,Primary!H861)</f>
        <v>0</v>
      </c>
      <c r="I861" s="13">
        <f>IF(ActiveDatabase=Standby,Secondary!I861,Primary!I861)</f>
        <v>0</v>
      </c>
      <c r="J861" s="13">
        <f>IF(ActiveDatabase=Standby,Secondary!J861,Primary!J861)</f>
        <v>0</v>
      </c>
      <c r="K861" s="13">
        <f>IF(ActiveDatabase=Standby,Secondary!K861,Primary!K861)</f>
        <v>0</v>
      </c>
      <c r="L861" s="13">
        <f>IF(ActiveDatabase=Standby,Secondary!L861,Primary!L861)</f>
        <v>0</v>
      </c>
      <c r="M861" s="7">
        <f>IF(ActiveDatabase=Standby,Secondary!M861,Primary!M861)</f>
        <v>0</v>
      </c>
      <c r="N861" s="10">
        <f>IF(ActiveDatabase=Standby,Secondary!N861,Primary!N861)</f>
        <v>0</v>
      </c>
      <c r="O861" s="10">
        <f>IF(ActiveDatabase=Standby,Secondary!O861,Primary!O861)</f>
        <v>0</v>
      </c>
      <c r="P861" s="10">
        <f>IF(ActiveDatabase=Standby,Secondary!P861,Primary!P861)</f>
        <v>0</v>
      </c>
      <c r="Q861" s="6">
        <f>IF(ActiveDatabase=Standby,Secondary!Q861,Primary!Q861)</f>
        <v>0</v>
      </c>
      <c r="R861" s="18">
        <f>IF(ActiveDatabase=Standby,Secondary!R861,Primary!R861)</f>
        <v>0</v>
      </c>
      <c r="S861" s="19">
        <f>IF(ActiveDatabase=Standby,Secondary!S861,Primary!S861)</f>
        <v>0</v>
      </c>
      <c r="T861" s="10">
        <f>IF(ActiveDatabase=Standby,Secondary!T861,Primary!T861)</f>
        <v>0</v>
      </c>
      <c r="U861" s="10">
        <f>IF(ActiveDatabase=Standby,Secondary!U861,Primary!U861)</f>
        <v>0</v>
      </c>
      <c r="V861" s="10">
        <f>IF(ActiveDatabase=Standby,Secondary!V861,Primary!V861)</f>
        <v>0</v>
      </c>
      <c r="W861" s="6">
        <f>IF(ActiveDatabase=Standby,Secondary!W861,Primary!W861)</f>
        <v>0</v>
      </c>
      <c r="X861" s="6">
        <f>IF(ActiveDatabase=Standby,Secondary!X861,Primary!X861)</f>
        <v>0</v>
      </c>
      <c r="Y861" s="12">
        <f>IF(ActiveDatabase=Standby,Secondary!Y861,Primary!Y1519)</f>
        <v>0</v>
      </c>
      <c r="Z861" s="12">
        <f>IF(ActiveDatabase=Standby,Secondary!Z861,Primary!Z1519)</f>
        <v>0</v>
      </c>
      <c r="AA861" s="7">
        <f>IF(ActiveDatabase=Standby,Secondary!AA861,Primary!AA1519)</f>
        <v>0</v>
      </c>
      <c r="AB861" s="12"/>
      <c r="AC861" s="6"/>
      <c r="AD861" s="6"/>
      <c r="AE861" s="7"/>
      <c r="AF861" s="7"/>
      <c r="AG861" s="7"/>
      <c r="AH861" s="7"/>
      <c r="AI861" s="7"/>
      <c r="AJ861" s="7"/>
      <c r="AK861" s="7"/>
      <c r="AL861" s="7"/>
      <c r="AM861" s="7"/>
      <c r="AN861" s="7"/>
      <c r="AO861" s="6"/>
      <c r="AP861" s="7"/>
      <c r="AQ861" s="7"/>
      <c r="AR861" s="6"/>
      <c r="AS861" s="7"/>
      <c r="AT861" s="7"/>
      <c r="AU861" s="7"/>
      <c r="AV861" s="7"/>
      <c r="AW861" s="7"/>
      <c r="AX861" s="7"/>
      <c r="AY861" s="7"/>
      <c r="AZ861" s="7"/>
      <c r="BA861" s="7"/>
      <c r="BB861" s="7"/>
      <c r="BC861" s="7"/>
      <c r="BD861" s="7"/>
      <c r="BE861" s="7"/>
      <c r="BF861" s="7"/>
      <c r="BG861" s="7"/>
    </row>
    <row r="862" customHeight="1" spans="1:59">
      <c r="A862" s="9" t="str">
        <f>IF(ActiveDatabase=Standby,Secondary!A862,Primary!A862)</f>
        <v>Yela 23</v>
      </c>
      <c r="B862" s="5" t="str">
        <f>IF(ActiveDatabase=Standby,Secondary!B862,Primary!B862)</f>
        <v>Yela 36</v>
      </c>
      <c r="C862" s="5" t="str">
        <f>IF(ActiveDatabase=Standby,Secondary!C862,Primary!C862)</f>
        <v>Yela 07</v>
      </c>
      <c r="D862" s="5" t="str">
        <f>IF(ActiveDatabase=Standby,Secondary!D862,Primary!D862)</f>
        <v>Caterpillar Wreck 47T</v>
      </c>
      <c r="E862" s="6" t="str">
        <f>IF(ActiveDatabase=Standby,Secondary!E862,Primary!E862)</f>
        <v>Caterpillar 47T</v>
      </c>
      <c r="F862" s="10">
        <f>IF(ActiveDatabase=Standby,Secondary!F862,Primary!F862)</f>
        <v>-29.543037311</v>
      </c>
      <c r="G862" s="10">
        <f>IF(ActiveDatabase=Standby,Secondary!G862,Primary!G862)</f>
        <v>236.610307829</v>
      </c>
      <c r="H862" s="10">
        <f>IF(ActiveDatabase=Standby,Secondary!H862,Primary!H862)</f>
        <v>203.1991347</v>
      </c>
      <c r="I862" s="13">
        <f>IF(ActiveDatabase=Standby,Secondary!I862,Primary!I862)</f>
        <v>0</v>
      </c>
      <c r="J862" s="13">
        <f>IF(ActiveDatabase=Standby,Secondary!J862,Primary!J862)</f>
        <v>0</v>
      </c>
      <c r="K862" s="13">
        <f>IF(ActiveDatabase=Standby,Secondary!K862,Primary!K862)</f>
        <v>0</v>
      </c>
      <c r="L862" s="13">
        <f>IF(ActiveDatabase=Standby,Secondary!L862,Primary!L862)</f>
        <v>0</v>
      </c>
      <c r="M862" s="7" t="b">
        <f>IF(ActiveDatabase=Standby,Secondary!M862,Primary!M862)</f>
        <v>0</v>
      </c>
      <c r="N862" s="10">
        <f>IF(ActiveDatabase=Standby,Secondary!N862,Primary!N862)</f>
        <v>0</v>
      </c>
      <c r="O862" s="10">
        <f>IF(ActiveDatabase=Standby,Secondary!O862,Primary!O862)</f>
        <v>0</v>
      </c>
      <c r="P862" s="10">
        <f>IF(ActiveDatabase=Standby,Secondary!P862,Primary!P862)</f>
        <v>0</v>
      </c>
      <c r="Q862" s="6">
        <f>IF(ActiveDatabase=Standby,Secondary!Q862,Primary!Q862)</f>
        <v>0</v>
      </c>
      <c r="R862" s="18">
        <f>IF(ActiveDatabase=Standby,Secondary!R862,Primary!R862)</f>
        <v>0</v>
      </c>
      <c r="S862" s="19">
        <f>IF(ActiveDatabase=Standby,Secondary!S862,Primary!S862)</f>
        <v>0</v>
      </c>
      <c r="T862" s="10">
        <f>IF(ActiveDatabase=Standby,Secondary!T862,Primary!T862)</f>
        <v>0</v>
      </c>
      <c r="U862" s="10">
        <f>IF(ActiveDatabase=Standby,Secondary!U862,Primary!U862)</f>
        <v>0</v>
      </c>
      <c r="V862" s="10">
        <f>IF(ActiveDatabase=Standby,Secondary!V862,Primary!V862)</f>
        <v>0</v>
      </c>
      <c r="W862" s="6">
        <f>IF(ActiveDatabase=Standby,Secondary!W862,Primary!W862)</f>
        <v>0</v>
      </c>
      <c r="X862" s="6">
        <f>IF(ActiveDatabase=Standby,Secondary!X862,Primary!X862)</f>
        <v>0</v>
      </c>
      <c r="Y862" s="12">
        <f>IF(ActiveDatabase=Standby,Secondary!Y862,Primary!Y1520)</f>
        <v>0</v>
      </c>
      <c r="Z862" s="12">
        <f>IF(ActiveDatabase=Standby,Secondary!Z862,Primary!Z1520)</f>
        <v>0</v>
      </c>
      <c r="AA862" s="7">
        <f>IF(ActiveDatabase=Standby,Secondary!AA862,Primary!AA1520)</f>
        <v>0</v>
      </c>
      <c r="AB862" s="12"/>
      <c r="AC862" s="6"/>
      <c r="AD862" s="6"/>
      <c r="AE862" s="7"/>
      <c r="AF862" s="7"/>
      <c r="AG862" s="7"/>
      <c r="AH862" s="7"/>
      <c r="AI862" s="7"/>
      <c r="AJ862" s="7"/>
      <c r="AK862" s="7"/>
      <c r="AL862" s="7"/>
      <c r="AM862" s="7"/>
      <c r="AN862" s="7"/>
      <c r="AO862" s="6"/>
      <c r="AP862" s="7"/>
      <c r="AQ862" s="7"/>
      <c r="AR862" s="6"/>
      <c r="AS862" s="7"/>
      <c r="AT862" s="7"/>
      <c r="AU862" s="7"/>
      <c r="AV862" s="7"/>
      <c r="AW862" s="7"/>
      <c r="AX862" s="7"/>
      <c r="AY862" s="7"/>
      <c r="AZ862" s="7"/>
      <c r="BA862" s="7"/>
      <c r="BB862" s="7"/>
      <c r="BC862" s="7"/>
      <c r="BD862" s="7"/>
      <c r="BE862" s="7"/>
      <c r="BF862" s="7"/>
      <c r="BG862" s="7"/>
    </row>
    <row r="863" customHeight="1" spans="1:59">
      <c r="A863" s="9" t="str">
        <f>IF(ActiveDatabase=Standby,Secondary!A863,Primary!A863)</f>
        <v>Yela 22</v>
      </c>
      <c r="B863" s="5" t="str">
        <f>IF(ActiveDatabase=Standby,Secondary!B863,Primary!B863)</f>
        <v>Yela 35</v>
      </c>
      <c r="C863" s="5" t="str">
        <f>IF(ActiveDatabase=Standby,Secondary!C863,Primary!C863)</f>
        <v>Yela 14</v>
      </c>
      <c r="D863" s="5" t="str">
        <f>IF(ActiveDatabase=Standby,Secondary!D863,Primary!D863)</f>
        <v>Caterpillar Wreck 32H</v>
      </c>
      <c r="E863" s="6" t="str">
        <f>IF(ActiveDatabase=Standby,Secondary!E863,Primary!E863)</f>
        <v>Caterpillar 32H</v>
      </c>
      <c r="F863" s="10">
        <f>IF(ActiveDatabase=Standby,Secondary!F863,Primary!F863)</f>
        <v>250.742386713</v>
      </c>
      <c r="G863" s="10">
        <f>IF(ActiveDatabase=Standby,Secondary!G863,Primary!G863)</f>
        <v>43.616983694</v>
      </c>
      <c r="H863" s="10">
        <f>IF(ActiveDatabase=Standby,Secondary!H863,Primary!H863)</f>
        <v>-182.451965903</v>
      </c>
      <c r="I863" s="13">
        <f>IF(ActiveDatabase=Standby,Secondary!I863,Primary!I863)</f>
        <v>0</v>
      </c>
      <c r="J863" s="13">
        <f>IF(ActiveDatabase=Standby,Secondary!J863,Primary!J863)</f>
        <v>0</v>
      </c>
      <c r="K863" s="13">
        <f>IF(ActiveDatabase=Standby,Secondary!K863,Primary!K863)</f>
        <v>0</v>
      </c>
      <c r="L863" s="13">
        <f>IF(ActiveDatabase=Standby,Secondary!L863,Primary!L863)</f>
        <v>0</v>
      </c>
      <c r="M863" s="7" t="b">
        <f>IF(ActiveDatabase=Standby,Secondary!M863,Primary!M863)</f>
        <v>0</v>
      </c>
      <c r="N863" s="10">
        <f>IF(ActiveDatabase=Standby,Secondary!N863,Primary!N863)</f>
        <v>0</v>
      </c>
      <c r="O863" s="10">
        <f>IF(ActiveDatabase=Standby,Secondary!O863,Primary!O863)</f>
        <v>0</v>
      </c>
      <c r="P863" s="10">
        <f>IF(ActiveDatabase=Standby,Secondary!P863,Primary!P863)</f>
        <v>0</v>
      </c>
      <c r="Q863" s="6">
        <f>IF(ActiveDatabase=Standby,Secondary!Q863,Primary!Q863)</f>
        <v>0</v>
      </c>
      <c r="R863" s="18">
        <f>IF(ActiveDatabase=Standby,Secondary!R863,Primary!R863)</f>
        <v>0</v>
      </c>
      <c r="S863" s="19">
        <f>IF(ActiveDatabase=Standby,Secondary!S863,Primary!S863)</f>
        <v>0</v>
      </c>
      <c r="T863" s="10">
        <f>IF(ActiveDatabase=Standby,Secondary!T863,Primary!T863)</f>
        <v>0</v>
      </c>
      <c r="U863" s="10">
        <f>IF(ActiveDatabase=Standby,Secondary!U863,Primary!U863)</f>
        <v>0</v>
      </c>
      <c r="V863" s="10">
        <f>IF(ActiveDatabase=Standby,Secondary!V863,Primary!V863)</f>
        <v>0</v>
      </c>
      <c r="W863" s="6">
        <f>IF(ActiveDatabase=Standby,Secondary!W863,Primary!W863)</f>
        <v>0</v>
      </c>
      <c r="X863" s="6">
        <f>IF(ActiveDatabase=Standby,Secondary!X863,Primary!X863)</f>
        <v>0</v>
      </c>
      <c r="Y863" s="12">
        <f>IF(ActiveDatabase=Standby,Secondary!Y863,Primary!Y1521)</f>
        <v>0</v>
      </c>
      <c r="Z863" s="12">
        <f>IF(ActiveDatabase=Standby,Secondary!Z863,Primary!Z1521)</f>
        <v>0</v>
      </c>
      <c r="AA863" s="7">
        <f>IF(ActiveDatabase=Standby,Secondary!AA863,Primary!AA1521)</f>
        <v>0</v>
      </c>
      <c r="AB863" s="12"/>
      <c r="AC863" s="6"/>
      <c r="AD863" s="6"/>
      <c r="AE863" s="7"/>
      <c r="AF863" s="7"/>
      <c r="AG863" s="7"/>
      <c r="AH863" s="7"/>
      <c r="AI863" s="7"/>
      <c r="AJ863" s="7"/>
      <c r="AK863" s="7"/>
      <c r="AL863" s="7"/>
      <c r="AM863" s="7"/>
      <c r="AN863" s="7"/>
      <c r="AO863" s="6"/>
      <c r="AP863" s="7"/>
      <c r="AQ863" s="7"/>
      <c r="AR863" s="6"/>
      <c r="AS863" s="7"/>
      <c r="AT863" s="7"/>
      <c r="AU863" s="7"/>
      <c r="AV863" s="7"/>
      <c r="AW863" s="7"/>
      <c r="AX863" s="7"/>
      <c r="AY863" s="7"/>
      <c r="AZ863" s="7"/>
      <c r="BA863" s="7"/>
      <c r="BB863" s="7"/>
      <c r="BC863" s="7"/>
      <c r="BD863" s="7"/>
      <c r="BE863" s="7"/>
      <c r="BF863" s="7"/>
      <c r="BG863" s="7"/>
    </row>
    <row r="864" customHeight="1" spans="1:59">
      <c r="A864" s="9" t="str">
        <f>IF(ActiveDatabase=Standby,Secondary!A864,Primary!A864)</f>
        <v>Yela 24</v>
      </c>
      <c r="B864" s="5" t="str">
        <f>IF(ActiveDatabase=Standby,Secondary!B864,Primary!B864)</f>
        <v>Yela 37</v>
      </c>
      <c r="C864" s="5" t="str">
        <f>IF(ActiveDatabase=Standby,Secondary!C864,Primary!C864)</f>
        <v>Yela 17</v>
      </c>
      <c r="D864" s="5" t="str">
        <f>IF(ActiveDatabase=Standby,Secondary!D864,Primary!D864)</f>
        <v>Constellation Wreck</v>
      </c>
      <c r="E864" s="6" t="str">
        <f>IF(ActiveDatabase=Standby,Secondary!E864,Primary!E864)</f>
        <v>Constellation</v>
      </c>
      <c r="F864" s="10">
        <f>IF(ActiveDatabase=Standby,Secondary!F864,Primary!F864)</f>
        <v>101.553911166</v>
      </c>
      <c r="G864" s="10">
        <f>IF(ActiveDatabase=Standby,Secondary!G864,Primary!G864)</f>
        <v>-10.164983108</v>
      </c>
      <c r="H864" s="10">
        <f>IF(ActiveDatabase=Standby,Secondary!H864,Primary!H864)</f>
        <v>295.935804057999</v>
      </c>
      <c r="I864" s="13">
        <f>IF(ActiveDatabase=Standby,Secondary!I864,Primary!I864)</f>
        <v>0</v>
      </c>
      <c r="J864" s="13">
        <f>IF(ActiveDatabase=Standby,Secondary!J864,Primary!J864)</f>
        <v>0</v>
      </c>
      <c r="K864" s="13">
        <f>IF(ActiveDatabase=Standby,Secondary!K864,Primary!K864)</f>
        <v>0</v>
      </c>
      <c r="L864" s="13">
        <f>IF(ActiveDatabase=Standby,Secondary!L864,Primary!L864)</f>
        <v>0</v>
      </c>
      <c r="M864" s="7" t="b">
        <f>IF(ActiveDatabase=Standby,Secondary!M864,Primary!M864)</f>
        <v>0</v>
      </c>
      <c r="N864" s="10">
        <f>IF(ActiveDatabase=Standby,Secondary!N864,Primary!N864)</f>
        <v>0</v>
      </c>
      <c r="O864" s="10">
        <f>IF(ActiveDatabase=Standby,Secondary!O864,Primary!O864)</f>
        <v>0</v>
      </c>
      <c r="P864" s="10">
        <f>IF(ActiveDatabase=Standby,Secondary!P864,Primary!P864)</f>
        <v>0</v>
      </c>
      <c r="Q864" s="6">
        <f>IF(ActiveDatabase=Standby,Secondary!Q864,Primary!Q864)</f>
        <v>0</v>
      </c>
      <c r="R864" s="18">
        <f>IF(ActiveDatabase=Standby,Secondary!R864,Primary!R864)</f>
        <v>0</v>
      </c>
      <c r="S864" s="19">
        <f>IF(ActiveDatabase=Standby,Secondary!S864,Primary!S864)</f>
        <v>0</v>
      </c>
      <c r="T864" s="10">
        <f>IF(ActiveDatabase=Standby,Secondary!T864,Primary!T864)</f>
        <v>0</v>
      </c>
      <c r="U864" s="10">
        <f>IF(ActiveDatabase=Standby,Secondary!U864,Primary!U864)</f>
        <v>0</v>
      </c>
      <c r="V864" s="10">
        <f>IF(ActiveDatabase=Standby,Secondary!V864,Primary!V864)</f>
        <v>0</v>
      </c>
      <c r="W864" s="6">
        <f>IF(ActiveDatabase=Standby,Secondary!W864,Primary!W864)</f>
        <v>0</v>
      </c>
      <c r="X864" s="6">
        <f>IF(ActiveDatabase=Standby,Secondary!X864,Primary!X864)</f>
        <v>0</v>
      </c>
      <c r="Y864" s="12">
        <f>IF(ActiveDatabase=Standby,Secondary!Y864,Primary!Y1522)</f>
        <v>0</v>
      </c>
      <c r="Z864" s="12">
        <f>IF(ActiveDatabase=Standby,Secondary!Z864,Primary!Z1522)</f>
        <v>0</v>
      </c>
      <c r="AA864" s="7">
        <f>IF(ActiveDatabase=Standby,Secondary!AA864,Primary!AA1522)</f>
        <v>0</v>
      </c>
      <c r="AB864" s="12"/>
      <c r="AC864" s="6"/>
      <c r="AD864" s="6"/>
      <c r="AE864" s="7"/>
      <c r="AF864" s="7"/>
      <c r="AG864" s="7"/>
      <c r="AH864" s="7"/>
      <c r="AI864" s="7"/>
      <c r="AJ864" s="7"/>
      <c r="AK864" s="7"/>
      <c r="AL864" s="7"/>
      <c r="AM864" s="7"/>
      <c r="AN864" s="7"/>
      <c r="AO864" s="6"/>
      <c r="AP864" s="7"/>
      <c r="AQ864" s="7"/>
      <c r="AR864" s="6"/>
      <c r="AS864" s="7"/>
      <c r="AT864" s="7"/>
      <c r="AU864" s="7"/>
      <c r="AV864" s="7"/>
      <c r="AW864" s="7"/>
      <c r="AX864" s="7"/>
      <c r="AY864" s="7"/>
      <c r="AZ864" s="7"/>
      <c r="BA864" s="7"/>
      <c r="BB864" s="7"/>
      <c r="BC864" s="7"/>
      <c r="BD864" s="7"/>
      <c r="BE864" s="7"/>
      <c r="BF864" s="7"/>
      <c r="BG864" s="7"/>
    </row>
    <row r="865" customHeight="1" spans="1:59">
      <c r="A865" s="9" t="str">
        <f>IF(ActiveDatabase=Standby,Secondary!A865,Primary!A865)</f>
        <v>Yela 25</v>
      </c>
      <c r="B865" s="5" t="str">
        <f>IF(ActiveDatabase=Standby,Secondary!B865,Primary!B865)</f>
        <v>Yela 38</v>
      </c>
      <c r="C865" s="5" t="str">
        <f>IF(ActiveDatabase=Standby,Secondary!C865,Primary!C865)</f>
        <v>Yela 18</v>
      </c>
      <c r="D865" s="5" t="str">
        <f>IF(ActiveDatabase=Standby,Secondary!D865,Primary!D865)</f>
        <v>Cutlass Wreck</v>
      </c>
      <c r="E865" s="6" t="str">
        <f>IF(ActiveDatabase=Standby,Secondary!E865,Primary!E865)</f>
        <v>Cutlass</v>
      </c>
      <c r="F865" s="10">
        <f>IF(ActiveDatabase=Standby,Secondary!F865,Primary!F865)</f>
        <v>211.453124130999</v>
      </c>
      <c r="G865" s="10">
        <f>IF(ActiveDatabase=Standby,Secondary!G865,Primary!G865)</f>
        <v>-183.570639870999</v>
      </c>
      <c r="H865" s="10">
        <f>IF(ActiveDatabase=Standby,Secondary!H865,Primary!H865)</f>
        <v>-141.022249420999</v>
      </c>
      <c r="I865" s="13">
        <f>IF(ActiveDatabase=Standby,Secondary!I865,Primary!I865)</f>
        <v>0</v>
      </c>
      <c r="J865" s="13">
        <f>IF(ActiveDatabase=Standby,Secondary!J865,Primary!J865)</f>
        <v>0</v>
      </c>
      <c r="K865" s="13">
        <f>IF(ActiveDatabase=Standby,Secondary!K865,Primary!K865)</f>
        <v>0</v>
      </c>
      <c r="L865" s="13">
        <f>IF(ActiveDatabase=Standby,Secondary!L865,Primary!L865)</f>
        <v>0</v>
      </c>
      <c r="M865" s="7" t="b">
        <f>IF(ActiveDatabase=Standby,Secondary!M865,Primary!M865)</f>
        <v>0</v>
      </c>
      <c r="N865" s="10">
        <f>IF(ActiveDatabase=Standby,Secondary!N865,Primary!N865)</f>
        <v>0</v>
      </c>
      <c r="O865" s="10">
        <f>IF(ActiveDatabase=Standby,Secondary!O865,Primary!O865)</f>
        <v>0</v>
      </c>
      <c r="P865" s="10">
        <f>IF(ActiveDatabase=Standby,Secondary!P865,Primary!P865)</f>
        <v>0</v>
      </c>
      <c r="Q865" s="6">
        <f>IF(ActiveDatabase=Standby,Secondary!Q865,Primary!Q865)</f>
        <v>0</v>
      </c>
      <c r="R865" s="18">
        <f>IF(ActiveDatabase=Standby,Secondary!R865,Primary!R865)</f>
        <v>0</v>
      </c>
      <c r="S865" s="19">
        <f>IF(ActiveDatabase=Standby,Secondary!S865,Primary!S865)</f>
        <v>0</v>
      </c>
      <c r="T865" s="10">
        <f>IF(ActiveDatabase=Standby,Secondary!T865,Primary!T865)</f>
        <v>0</v>
      </c>
      <c r="U865" s="10">
        <f>IF(ActiveDatabase=Standby,Secondary!U865,Primary!U865)</f>
        <v>0</v>
      </c>
      <c r="V865" s="10">
        <f>IF(ActiveDatabase=Standby,Secondary!V865,Primary!V865)</f>
        <v>0</v>
      </c>
      <c r="W865" s="6">
        <f>IF(ActiveDatabase=Standby,Secondary!W865,Primary!W865)</f>
        <v>0</v>
      </c>
      <c r="X865" s="6">
        <f>IF(ActiveDatabase=Standby,Secondary!X865,Primary!X865)</f>
        <v>0</v>
      </c>
      <c r="Y865" s="12">
        <f>IF(ActiveDatabase=Standby,Secondary!Y865,Primary!Y1523)</f>
        <v>0</v>
      </c>
      <c r="Z865" s="12">
        <f>IF(ActiveDatabase=Standby,Secondary!Z865,Primary!Z1523)</f>
        <v>0</v>
      </c>
      <c r="AA865" s="7">
        <f>IF(ActiveDatabase=Standby,Secondary!AA865,Primary!AA1523)</f>
        <v>0</v>
      </c>
      <c r="AB865" s="12"/>
      <c r="AC865" s="6"/>
      <c r="AD865" s="6"/>
      <c r="AE865" s="7"/>
      <c r="AF865" s="7"/>
      <c r="AG865" s="7"/>
      <c r="AH865" s="7"/>
      <c r="AI865" s="7"/>
      <c r="AJ865" s="7"/>
      <c r="AK865" s="7"/>
      <c r="AL865" s="7"/>
      <c r="AM865" s="7"/>
      <c r="AN865" s="7"/>
      <c r="AO865" s="6"/>
      <c r="AP865" s="7"/>
      <c r="AQ865" s="7"/>
      <c r="AR865" s="6"/>
      <c r="AS865" s="7"/>
      <c r="AT865" s="7"/>
      <c r="AU865" s="7"/>
      <c r="AV865" s="7"/>
      <c r="AW865" s="7"/>
      <c r="AX865" s="7"/>
      <c r="AY865" s="7"/>
      <c r="AZ865" s="7"/>
      <c r="BA865" s="7"/>
      <c r="BB865" s="7"/>
      <c r="BC865" s="7"/>
      <c r="BD865" s="7"/>
      <c r="BE865" s="7"/>
      <c r="BF865" s="7"/>
      <c r="BG865" s="7"/>
    </row>
    <row r="866" customHeight="1" spans="1:59">
      <c r="A866" s="9" t="str">
        <f>IF(ActiveDatabase=Standby,Secondary!A866,Primary!A866)</f>
        <v>Yela 26</v>
      </c>
      <c r="B866" s="5" t="str">
        <f>IF(ActiveDatabase=Standby,Secondary!B866,Primary!B866)</f>
        <v>Yela 39</v>
      </c>
      <c r="C866" s="5" t="str">
        <f>IF(ActiveDatabase=Standby,Secondary!C866,Primary!C866)</f>
        <v>Yela 25</v>
      </c>
      <c r="D866" s="5" t="str">
        <f>IF(ActiveDatabase=Standby,Secondary!D866,Primary!D866)</f>
        <v>Freelancer Wreck</v>
      </c>
      <c r="E866" s="6" t="str">
        <f>IF(ActiveDatabase=Standby,Secondary!E866,Primary!E866)</f>
        <v>Freelancer</v>
      </c>
      <c r="F866" s="10">
        <f>IF(ActiveDatabase=Standby,Secondary!F866,Primary!F866)</f>
        <v>-31.1610625639999</v>
      </c>
      <c r="G866" s="10">
        <f>IF(ActiveDatabase=Standby,Secondary!G866,Primary!G866)</f>
        <v>-135.60503153</v>
      </c>
      <c r="H866" s="10">
        <f>IF(ActiveDatabase=Standby,Secondary!H866,Primary!H866)</f>
        <v>-280.447406828999</v>
      </c>
      <c r="I866" s="13">
        <f>IF(ActiveDatabase=Standby,Secondary!I866,Primary!I866)</f>
        <v>0</v>
      </c>
      <c r="J866" s="13">
        <f>IF(ActiveDatabase=Standby,Secondary!J866,Primary!J866)</f>
        <v>0</v>
      </c>
      <c r="K866" s="13">
        <f>IF(ActiveDatabase=Standby,Secondary!K866,Primary!K866)</f>
        <v>0</v>
      </c>
      <c r="L866" s="13">
        <f>IF(ActiveDatabase=Standby,Secondary!L866,Primary!L866)</f>
        <v>0</v>
      </c>
      <c r="M866" s="7" t="b">
        <f>IF(ActiveDatabase=Standby,Secondary!M866,Primary!M866)</f>
        <v>0</v>
      </c>
      <c r="N866" s="10">
        <f>IF(ActiveDatabase=Standby,Secondary!N866,Primary!N866)</f>
        <v>0</v>
      </c>
      <c r="O866" s="10">
        <f>IF(ActiveDatabase=Standby,Secondary!O866,Primary!O866)</f>
        <v>0</v>
      </c>
      <c r="P866" s="10">
        <f>IF(ActiveDatabase=Standby,Secondary!P866,Primary!P866)</f>
        <v>0</v>
      </c>
      <c r="Q866" s="6">
        <f>IF(ActiveDatabase=Standby,Secondary!Q866,Primary!Q866)</f>
        <v>0</v>
      </c>
      <c r="R866" s="18">
        <f>IF(ActiveDatabase=Standby,Secondary!R866,Primary!R866)</f>
        <v>0</v>
      </c>
      <c r="S866" s="19">
        <f>IF(ActiveDatabase=Standby,Secondary!S866,Primary!S866)</f>
        <v>0</v>
      </c>
      <c r="T866" s="10">
        <f>IF(ActiveDatabase=Standby,Secondary!T866,Primary!T866)</f>
        <v>0</v>
      </c>
      <c r="U866" s="10">
        <f>IF(ActiveDatabase=Standby,Secondary!U866,Primary!U866)</f>
        <v>0</v>
      </c>
      <c r="V866" s="10">
        <f>IF(ActiveDatabase=Standby,Secondary!V866,Primary!V866)</f>
        <v>0</v>
      </c>
      <c r="W866" s="6">
        <f>IF(ActiveDatabase=Standby,Secondary!W866,Primary!W866)</f>
        <v>0</v>
      </c>
      <c r="X866" s="6">
        <f>IF(ActiveDatabase=Standby,Secondary!X866,Primary!X866)</f>
        <v>0</v>
      </c>
      <c r="Y866" s="12">
        <f>IF(ActiveDatabase=Standby,Secondary!Y866,Primary!Y1524)</f>
        <v>0</v>
      </c>
      <c r="Z866" s="12">
        <f>IF(ActiveDatabase=Standby,Secondary!Z866,Primary!Z1524)</f>
        <v>0</v>
      </c>
      <c r="AA866" s="9">
        <f>IF(ActiveDatabase=Standby,Secondary!AA866,Primary!AA1524)</f>
        <v>0</v>
      </c>
      <c r="AB866" s="12"/>
      <c r="AC866" s="6"/>
      <c r="AD866" s="6"/>
      <c r="AE866" s="7"/>
      <c r="AF866" s="7"/>
      <c r="AG866" s="7"/>
      <c r="AH866" s="7"/>
      <c r="AI866" s="7"/>
      <c r="AJ866" s="7"/>
      <c r="AK866" s="7"/>
      <c r="AL866" s="7"/>
      <c r="AM866" s="7"/>
      <c r="AN866" s="7"/>
      <c r="AO866" s="6"/>
      <c r="AP866" s="7"/>
      <c r="AQ866" s="7"/>
      <c r="AR866" s="6"/>
      <c r="AS866" s="7"/>
      <c r="AT866" s="7"/>
      <c r="AU866" s="7"/>
      <c r="AV866" s="7"/>
      <c r="AW866" s="7"/>
      <c r="AX866" s="7"/>
      <c r="AY866" s="7"/>
      <c r="AZ866" s="7"/>
      <c r="BA866" s="7"/>
      <c r="BB866" s="7"/>
      <c r="BC866" s="7"/>
      <c r="BD866" s="7"/>
      <c r="BE866" s="7"/>
      <c r="BF866" s="7"/>
      <c r="BG866" s="7"/>
    </row>
    <row r="867" customHeight="1" spans="1:59">
      <c r="A867" s="9" t="str">
        <f>IF(ActiveDatabase=Standby,Secondary!A867,Primary!A867)</f>
        <v>Yela 27</v>
      </c>
      <c r="B867" s="5" t="str">
        <f>IF(ActiveDatabase=Standby,Secondary!B867,Primary!B867)</f>
        <v>Yela 40</v>
      </c>
      <c r="C867" s="5" t="str">
        <f>IF(ActiveDatabase=Standby,Secondary!C867,Primary!C867)</f>
        <v>Yela 11</v>
      </c>
      <c r="D867" s="5" t="str">
        <f>IF(ActiveDatabase=Standby,Secondary!D867,Primary!D867)</f>
        <v>Starfarer Wreck</v>
      </c>
      <c r="E867" s="6" t="str">
        <f>IF(ActiveDatabase=Standby,Secondary!E867,Primary!E867)</f>
        <v>Starfarer</v>
      </c>
      <c r="F867" s="10">
        <f>IF(ActiveDatabase=Standby,Secondary!F867,Primary!F867)</f>
        <v>161.233504259999</v>
      </c>
      <c r="G867" s="10">
        <f>IF(ActiveDatabase=Standby,Secondary!G867,Primary!G867)</f>
        <v>185.763270533</v>
      </c>
      <c r="H867" s="10">
        <f>IF(ActiveDatabase=Standby,Secondary!H867,Primary!H867)</f>
        <v>193.758395744</v>
      </c>
      <c r="I867" s="13">
        <f>IF(ActiveDatabase=Standby,Secondary!I867,Primary!I867)</f>
        <v>0</v>
      </c>
      <c r="J867" s="13">
        <f>IF(ActiveDatabase=Standby,Secondary!J867,Primary!J867)</f>
        <v>0</v>
      </c>
      <c r="K867" s="13">
        <f>IF(ActiveDatabase=Standby,Secondary!K867,Primary!K867)</f>
        <v>0</v>
      </c>
      <c r="L867" s="13">
        <f>IF(ActiveDatabase=Standby,Secondary!L867,Primary!L867)</f>
        <v>0</v>
      </c>
      <c r="M867" s="7" t="b">
        <f>IF(ActiveDatabase=Standby,Secondary!M867,Primary!M867)</f>
        <v>0</v>
      </c>
      <c r="N867" s="10">
        <f>IF(ActiveDatabase=Standby,Secondary!N867,Primary!N867)</f>
        <v>0</v>
      </c>
      <c r="O867" s="10">
        <f>IF(ActiveDatabase=Standby,Secondary!O867,Primary!O867)</f>
        <v>0</v>
      </c>
      <c r="P867" s="10">
        <f>IF(ActiveDatabase=Standby,Secondary!P867,Primary!P867)</f>
        <v>0</v>
      </c>
      <c r="Q867" s="6">
        <f>IF(ActiveDatabase=Standby,Secondary!Q867,Primary!Q867)</f>
        <v>0</v>
      </c>
      <c r="R867" s="18">
        <f>IF(ActiveDatabase=Standby,Secondary!R867,Primary!R867)</f>
        <v>0</v>
      </c>
      <c r="S867" s="19">
        <f>IF(ActiveDatabase=Standby,Secondary!S867,Primary!S867)</f>
        <v>0</v>
      </c>
      <c r="T867" s="10">
        <f>IF(ActiveDatabase=Standby,Secondary!T867,Primary!T867)</f>
        <v>0</v>
      </c>
      <c r="U867" s="10">
        <f>IF(ActiveDatabase=Standby,Secondary!U867,Primary!U867)</f>
        <v>0</v>
      </c>
      <c r="V867" s="10">
        <f>IF(ActiveDatabase=Standby,Secondary!V867,Primary!V867)</f>
        <v>0</v>
      </c>
      <c r="W867" s="6">
        <f>IF(ActiveDatabase=Standby,Secondary!W867,Primary!W867)</f>
        <v>0</v>
      </c>
      <c r="X867" s="6">
        <f>IF(ActiveDatabase=Standby,Secondary!X867,Primary!X867)</f>
        <v>0</v>
      </c>
      <c r="Y867" s="12">
        <f>IF(ActiveDatabase=Standby,Secondary!Y867,Primary!Y1525)</f>
        <v>0</v>
      </c>
      <c r="Z867" s="12">
        <f>IF(ActiveDatabase=Standby,Secondary!Z867,Primary!Z1525)</f>
        <v>0</v>
      </c>
      <c r="AA867" s="9">
        <f>IF(ActiveDatabase=Standby,Secondary!AA867,Primary!AA1525)</f>
        <v>0</v>
      </c>
      <c r="AB867" s="12"/>
      <c r="AC867" s="6"/>
      <c r="AD867" s="6"/>
      <c r="AE867" s="7"/>
      <c r="AF867" s="7"/>
      <c r="AG867" s="7"/>
      <c r="AH867" s="7"/>
      <c r="AI867" s="7"/>
      <c r="AJ867" s="7"/>
      <c r="AK867" s="7"/>
      <c r="AL867" s="7"/>
      <c r="AM867" s="7"/>
      <c r="AN867" s="7"/>
      <c r="AO867" s="6"/>
      <c r="AP867" s="7"/>
      <c r="AQ867" s="7"/>
      <c r="AR867" s="6"/>
      <c r="AS867" s="7"/>
      <c r="AT867" s="7"/>
      <c r="AU867" s="7"/>
      <c r="AV867" s="7"/>
      <c r="AW867" s="7"/>
      <c r="AX867" s="7"/>
      <c r="AY867" s="7"/>
      <c r="AZ867" s="7"/>
      <c r="BA867" s="7"/>
      <c r="BB867" s="7"/>
      <c r="BC867" s="7"/>
      <c r="BD867" s="7"/>
      <c r="BE867" s="7"/>
      <c r="BF867" s="7"/>
      <c r="BG867" s="7"/>
    </row>
    <row r="868" customHeight="1" spans="1:59">
      <c r="A868" s="9" t="str">
        <f>IF(ActiveDatabase=Standby,Secondary!A868,Primary!A868)</f>
        <v>Yela</v>
      </c>
      <c r="B868" s="5" t="str">
        <f>IF(ActiveDatabase=Standby,Secondary!B868,Primary!B868)</f>
        <v>Yela 42</v>
      </c>
      <c r="C868" s="5">
        <f>IF(ActiveDatabase=Standby,Secondary!C868,Primary!C868)</f>
        <v>0</v>
      </c>
      <c r="D868" s="5" t="str">
        <f>IF(ActiveDatabase=Standby,Secondary!D868,Primary!D868)</f>
        <v>Comm Array</v>
      </c>
      <c r="E868" s="6">
        <f>IF(ActiveDatabase=Standby,Secondary!E868,Primary!E868)</f>
        <v>0</v>
      </c>
      <c r="F868" s="10">
        <f>IF(ActiveDatabase=Standby,Secondary!F868,Primary!F868)</f>
        <v>0</v>
      </c>
      <c r="G868" s="10">
        <f>IF(ActiveDatabase=Standby,Secondary!G868,Primary!G868)</f>
        <v>0</v>
      </c>
      <c r="H868" s="10">
        <f>IF(ActiveDatabase=Standby,Secondary!H868,Primary!H868)</f>
        <v>0</v>
      </c>
      <c r="I868" s="13">
        <f>IF(ActiveDatabase=Standby,Secondary!I868,Primary!I868)</f>
        <v>0</v>
      </c>
      <c r="J868" s="13">
        <f>IF(ActiveDatabase=Standby,Secondary!J868,Primary!J868)</f>
        <v>0</v>
      </c>
      <c r="K868" s="13">
        <f>IF(ActiveDatabase=Standby,Secondary!K868,Primary!K868)</f>
        <v>0</v>
      </c>
      <c r="L868" s="13">
        <f>IF(ActiveDatabase=Standby,Secondary!L868,Primary!L868)</f>
        <v>0</v>
      </c>
      <c r="M868" s="7">
        <f>IF(ActiveDatabase=Standby,Secondary!M868,Primary!M868)</f>
        <v>0</v>
      </c>
      <c r="N868" s="10">
        <f>IF(ActiveDatabase=Standby,Secondary!N868,Primary!N868)</f>
        <v>0</v>
      </c>
      <c r="O868" s="10">
        <f>IF(ActiveDatabase=Standby,Secondary!O868,Primary!O868)</f>
        <v>0</v>
      </c>
      <c r="P868" s="10">
        <f>IF(ActiveDatabase=Standby,Secondary!P868,Primary!P868)</f>
        <v>0</v>
      </c>
      <c r="Q868" s="6">
        <f>IF(ActiveDatabase=Standby,Secondary!Q868,Primary!Q868)</f>
        <v>0</v>
      </c>
      <c r="R868" s="18">
        <f>IF(ActiveDatabase=Standby,Secondary!R868,Primary!R868)</f>
        <v>0</v>
      </c>
      <c r="S868" s="19">
        <f>IF(ActiveDatabase=Standby,Secondary!S868,Primary!S868)</f>
        <v>0</v>
      </c>
      <c r="T868" s="10">
        <f>IF(ActiveDatabase=Standby,Secondary!T868,Primary!T868)</f>
        <v>0</v>
      </c>
      <c r="U868" s="10">
        <f>IF(ActiveDatabase=Standby,Secondary!U868,Primary!U868)</f>
        <v>0</v>
      </c>
      <c r="V868" s="10">
        <f>IF(ActiveDatabase=Standby,Secondary!V868,Primary!V868)</f>
        <v>0</v>
      </c>
      <c r="W868" s="6">
        <f>IF(ActiveDatabase=Standby,Secondary!W868,Primary!W868)</f>
        <v>0</v>
      </c>
      <c r="X868" s="6">
        <f>IF(ActiveDatabase=Standby,Secondary!X868,Primary!X868)</f>
        <v>0</v>
      </c>
      <c r="Y868" s="12">
        <f>IF(ActiveDatabase=Standby,Secondary!Y868,Primary!Y1526)</f>
        <v>0</v>
      </c>
      <c r="Z868" s="12">
        <f>IF(ActiveDatabase=Standby,Secondary!Z868,Primary!Z1526)</f>
        <v>0</v>
      </c>
      <c r="AA868" s="9">
        <f>IF(ActiveDatabase=Standby,Secondary!AA868,Primary!AA1526)</f>
        <v>0</v>
      </c>
      <c r="AB868" s="12"/>
      <c r="AC868" s="6"/>
      <c r="AD868" s="6"/>
      <c r="AE868" s="7"/>
      <c r="AF868" s="7"/>
      <c r="AG868" s="7"/>
      <c r="AH868" s="7"/>
      <c r="AI868" s="7"/>
      <c r="AJ868" s="7"/>
      <c r="AK868" s="7"/>
      <c r="AL868" s="7"/>
      <c r="AM868" s="7"/>
      <c r="AN868" s="7"/>
      <c r="AO868" s="6"/>
      <c r="AP868" s="7"/>
      <c r="AQ868" s="7"/>
      <c r="AR868" s="6"/>
      <c r="AS868" s="7"/>
      <c r="AT868" s="7"/>
      <c r="AU868" s="7"/>
      <c r="AV868" s="7"/>
      <c r="AW868" s="7"/>
      <c r="AX868" s="7"/>
      <c r="AY868" s="7"/>
      <c r="AZ868" s="7"/>
      <c r="BA868" s="7"/>
      <c r="BB868" s="7"/>
      <c r="BC868" s="7"/>
      <c r="BD868" s="7"/>
      <c r="BE868" s="7"/>
      <c r="BF868" s="7"/>
      <c r="BG868" s="7"/>
    </row>
    <row r="869" customHeight="1" spans="1:59">
      <c r="A869" s="9" t="str">
        <f>IF(ActiveDatabase=Standby,Secondary!A869,Primary!A869)</f>
        <v>Yela 17</v>
      </c>
      <c r="B869" s="5" t="str">
        <f>IF(ActiveDatabase=Standby,Secondary!B869,Primary!B869)</f>
        <v>Yela 43</v>
      </c>
      <c r="C869" s="5" t="str">
        <f>IF(ActiveDatabase=Standby,Secondary!C869,Primary!C869)</f>
        <v>Yela 20</v>
      </c>
      <c r="D869" s="5" t="str">
        <f>IF(ActiveDatabase=Standby,Secondary!D869,Primary!D869)</f>
        <v>Comm Array ST2-76</v>
      </c>
      <c r="E869" s="6" t="str">
        <f>IF(ActiveDatabase=Standby,Secondary!E869,Primary!E869)</f>
        <v>ST2-76</v>
      </c>
      <c r="F869" s="10">
        <f>IF(ActiveDatabase=Standby,Secondary!F869,Primary!F869)</f>
        <v>150.335658599854</v>
      </c>
      <c r="G869" s="10">
        <f>IF(ActiveDatabase=Standby,Secondary!G869,Primary!G869)</f>
        <v>-454.428451650143</v>
      </c>
      <c r="H869" s="10">
        <f>IF(ActiveDatabase=Standby,Secondary!H869,Primary!H869)</f>
        <v>24</v>
      </c>
      <c r="I869" s="13">
        <f>IF(ActiveDatabase=Standby,Secondary!I869,Primary!I869)</f>
        <v>0</v>
      </c>
      <c r="J869" s="13">
        <f>IF(ActiveDatabase=Standby,Secondary!J869,Primary!J869)</f>
        <v>0</v>
      </c>
      <c r="K869" s="13">
        <f>IF(ActiveDatabase=Standby,Secondary!K869,Primary!K869)</f>
        <v>0</v>
      </c>
      <c r="L869" s="13">
        <f>IF(ActiveDatabase=Standby,Secondary!L869,Primary!L869)</f>
        <v>0</v>
      </c>
      <c r="M869" s="7" t="b">
        <f>IF(ActiveDatabase=Standby,Secondary!M869,Primary!M869)</f>
        <v>1</v>
      </c>
      <c r="N869" s="10">
        <f>IF(ActiveDatabase=Standby,Secondary!N869,Primary!N869)</f>
        <v>0</v>
      </c>
      <c r="O869" s="10">
        <f>IF(ActiveDatabase=Standby,Secondary!O869,Primary!O869)</f>
        <v>0</v>
      </c>
      <c r="P869" s="10">
        <f>IF(ActiveDatabase=Standby,Secondary!P869,Primary!P869)</f>
        <v>0</v>
      </c>
      <c r="Q869" s="6">
        <f>IF(ActiveDatabase=Standby,Secondary!Q869,Primary!Q869)</f>
        <v>0</v>
      </c>
      <c r="R869" s="18">
        <f>IF(ActiveDatabase=Standby,Secondary!R869,Primary!R869)</f>
        <v>0</v>
      </c>
      <c r="S869" s="19">
        <f>IF(ActiveDatabase=Standby,Secondary!S869,Primary!S869)</f>
        <v>0</v>
      </c>
      <c r="T869" s="10">
        <f>IF(ActiveDatabase=Standby,Secondary!T869,Primary!T869)</f>
        <v>0</v>
      </c>
      <c r="U869" s="10">
        <f>IF(ActiveDatabase=Standby,Secondary!U869,Primary!U869)</f>
        <v>0</v>
      </c>
      <c r="V869" s="10">
        <f>IF(ActiveDatabase=Standby,Secondary!V869,Primary!V869)</f>
        <v>0</v>
      </c>
      <c r="W869" s="6">
        <f>IF(ActiveDatabase=Standby,Secondary!W869,Primary!W869)</f>
        <v>0</v>
      </c>
      <c r="X869" s="6">
        <f>IF(ActiveDatabase=Standby,Secondary!X869,Primary!X869)</f>
        <v>0</v>
      </c>
      <c r="Y869" s="12">
        <f>IF(ActiveDatabase=Standby,Secondary!Y869,Primary!Y1527)</f>
        <v>0</v>
      </c>
      <c r="Z869" s="12">
        <f>IF(ActiveDatabase=Standby,Secondary!Z869,Primary!Z1527)</f>
        <v>0</v>
      </c>
      <c r="AA869" s="9">
        <f>IF(ActiveDatabase=Standby,Secondary!AA869,Primary!AA1527)</f>
        <v>0</v>
      </c>
      <c r="AB869" s="12"/>
      <c r="AC869" s="6"/>
      <c r="AD869" s="6"/>
      <c r="AE869" s="7"/>
      <c r="AF869" s="7"/>
      <c r="AG869" s="7"/>
      <c r="AH869" s="7"/>
      <c r="AI869" s="7"/>
      <c r="AJ869" s="7"/>
      <c r="AK869" s="7"/>
      <c r="AL869" s="7"/>
      <c r="AM869" s="7"/>
      <c r="AN869" s="7"/>
      <c r="AO869" s="6"/>
      <c r="AP869" s="7"/>
      <c r="AQ869" s="7"/>
      <c r="AR869" s="6"/>
      <c r="AS869" s="7"/>
      <c r="AT869" s="7"/>
      <c r="AU869" s="7"/>
      <c r="AV869" s="7"/>
      <c r="AW869" s="7"/>
      <c r="AX869" s="7"/>
      <c r="AY869" s="7"/>
      <c r="AZ869" s="7"/>
      <c r="BA869" s="7"/>
      <c r="BB869" s="7"/>
      <c r="BC869" s="7"/>
      <c r="BD869" s="7"/>
      <c r="BE869" s="7"/>
      <c r="BF869" s="7"/>
      <c r="BG869" s="7"/>
    </row>
    <row r="870" customHeight="1" spans="1:59">
      <c r="A870" s="9">
        <f>IF(ActiveDatabase=Standby,Secondary!A870,Primary!A870)</f>
        <v>0</v>
      </c>
      <c r="B870" s="5">
        <f>IF(ActiveDatabase=Standby,Secondary!B870,Primary!B870)</f>
        <v>0</v>
      </c>
      <c r="C870" s="5">
        <f>IF(ActiveDatabase=Standby,Secondary!C870,Primary!C870)</f>
        <v>0</v>
      </c>
      <c r="D870" s="5">
        <f>IF(ActiveDatabase=Standby,Secondary!D870,Primary!D870)</f>
        <v>0</v>
      </c>
      <c r="E870" s="6">
        <f>IF(ActiveDatabase=Standby,Secondary!E870,Primary!E870)</f>
        <v>0</v>
      </c>
      <c r="F870" s="10">
        <f>IF(ActiveDatabase=Standby,Secondary!F870,Primary!F870)</f>
        <v>0</v>
      </c>
      <c r="G870" s="10">
        <f>IF(ActiveDatabase=Standby,Secondary!G870,Primary!G870)</f>
        <v>0</v>
      </c>
      <c r="H870" s="10">
        <f>IF(ActiveDatabase=Standby,Secondary!H870,Primary!H870)</f>
        <v>0</v>
      </c>
      <c r="I870" s="13">
        <f>IF(ActiveDatabase=Standby,Secondary!I870,Primary!I870)</f>
        <v>0</v>
      </c>
      <c r="J870" s="13">
        <f>IF(ActiveDatabase=Standby,Secondary!J870,Primary!J870)</f>
        <v>0</v>
      </c>
      <c r="K870" s="13">
        <f>IF(ActiveDatabase=Standby,Secondary!K870,Primary!K870)</f>
        <v>0</v>
      </c>
      <c r="L870" s="13">
        <f>IF(ActiveDatabase=Standby,Secondary!L870,Primary!L870)</f>
        <v>0</v>
      </c>
      <c r="M870" s="7">
        <f>IF(ActiveDatabase=Standby,Secondary!M870,Primary!M870)</f>
        <v>0</v>
      </c>
      <c r="N870" s="10">
        <f>IF(ActiveDatabase=Standby,Secondary!N870,Primary!N870)</f>
        <v>0</v>
      </c>
      <c r="O870" s="10">
        <f>IF(ActiveDatabase=Standby,Secondary!O870,Primary!O870)</f>
        <v>0</v>
      </c>
      <c r="P870" s="10">
        <f>IF(ActiveDatabase=Standby,Secondary!P870,Primary!P870)</f>
        <v>0</v>
      </c>
      <c r="Q870" s="6">
        <f>IF(ActiveDatabase=Standby,Secondary!Q870,Primary!Q870)</f>
        <v>0</v>
      </c>
      <c r="R870" s="18">
        <f>IF(ActiveDatabase=Standby,Secondary!R870,Primary!R870)</f>
        <v>0</v>
      </c>
      <c r="S870" s="19">
        <f>IF(ActiveDatabase=Standby,Secondary!S870,Primary!S870)</f>
        <v>0</v>
      </c>
      <c r="T870" s="10">
        <f>IF(ActiveDatabase=Standby,Secondary!T870,Primary!T870)</f>
        <v>0</v>
      </c>
      <c r="U870" s="10">
        <f>IF(ActiveDatabase=Standby,Secondary!U870,Primary!U870)</f>
        <v>0</v>
      </c>
      <c r="V870" s="10">
        <f>IF(ActiveDatabase=Standby,Secondary!V870,Primary!V870)</f>
        <v>0</v>
      </c>
      <c r="W870" s="6">
        <f>IF(ActiveDatabase=Standby,Secondary!W870,Primary!W870)</f>
        <v>0</v>
      </c>
      <c r="X870" s="6">
        <f>IF(ActiveDatabase=Standby,Secondary!X870,Primary!X870)</f>
        <v>0</v>
      </c>
      <c r="Y870" s="12">
        <f>IF(ActiveDatabase=Standby,Secondary!Y870,Primary!Y1528)</f>
        <v>0</v>
      </c>
      <c r="Z870" s="12">
        <f>IF(ActiveDatabase=Standby,Secondary!Z870,Primary!Z1528)</f>
        <v>0</v>
      </c>
      <c r="AA870" s="9">
        <f>IF(ActiveDatabase=Standby,Secondary!AA870,Primary!AA1528)</f>
        <v>0</v>
      </c>
      <c r="AB870" s="12"/>
      <c r="AC870" s="6"/>
      <c r="AD870" s="6"/>
      <c r="AE870" s="7"/>
      <c r="AF870" s="7"/>
      <c r="AG870" s="7"/>
      <c r="AH870" s="7"/>
      <c r="AI870" s="7"/>
      <c r="AJ870" s="7"/>
      <c r="AK870" s="7"/>
      <c r="AL870" s="7"/>
      <c r="AM870" s="7"/>
      <c r="AN870" s="7"/>
      <c r="AO870" s="6"/>
      <c r="AP870" s="7"/>
      <c r="AQ870" s="7"/>
      <c r="AR870" s="6"/>
      <c r="AS870" s="7"/>
      <c r="AT870" s="7"/>
      <c r="AU870" s="7"/>
      <c r="AV870" s="7"/>
      <c r="AW870" s="7"/>
      <c r="AX870" s="7"/>
      <c r="AY870" s="7"/>
      <c r="AZ870" s="7"/>
      <c r="BA870" s="7"/>
      <c r="BB870" s="7"/>
      <c r="BC870" s="7"/>
      <c r="BD870" s="7"/>
      <c r="BE870" s="7"/>
      <c r="BF870" s="7"/>
      <c r="BG870" s="7"/>
    </row>
    <row r="871" customHeight="1" spans="1:59">
      <c r="A871" s="9">
        <f>IF(ActiveDatabase=Standby,Secondary!A871,Primary!A871)</f>
        <v>0</v>
      </c>
      <c r="B871" s="5">
        <f>IF(ActiveDatabase=Standby,Secondary!B871,Primary!B871)</f>
        <v>0</v>
      </c>
      <c r="C871" s="5">
        <f>IF(ActiveDatabase=Standby,Secondary!C871,Primary!C871)</f>
        <v>0</v>
      </c>
      <c r="D871" s="5">
        <f>IF(ActiveDatabase=Standby,Secondary!D871,Primary!D871)</f>
        <v>0</v>
      </c>
      <c r="E871" s="6">
        <f>IF(ActiveDatabase=Standby,Secondary!E871,Primary!E871)</f>
        <v>0</v>
      </c>
      <c r="F871" s="10">
        <f>IF(ActiveDatabase=Standby,Secondary!F871,Primary!F871)</f>
        <v>0</v>
      </c>
      <c r="G871" s="10">
        <f>IF(ActiveDatabase=Standby,Secondary!G871,Primary!G871)</f>
        <v>0</v>
      </c>
      <c r="H871" s="10">
        <f>IF(ActiveDatabase=Standby,Secondary!H871,Primary!H871)</f>
        <v>0</v>
      </c>
      <c r="I871" s="13">
        <f>IF(ActiveDatabase=Standby,Secondary!I871,Primary!I871)</f>
        <v>0</v>
      </c>
      <c r="J871" s="13">
        <f>IF(ActiveDatabase=Standby,Secondary!J871,Primary!J871)</f>
        <v>0</v>
      </c>
      <c r="K871" s="13">
        <f>IF(ActiveDatabase=Standby,Secondary!K871,Primary!K871)</f>
        <v>0</v>
      </c>
      <c r="L871" s="13">
        <f>IF(ActiveDatabase=Standby,Secondary!L871,Primary!L871)</f>
        <v>0</v>
      </c>
      <c r="M871" s="7">
        <f>IF(ActiveDatabase=Standby,Secondary!M871,Primary!M871)</f>
        <v>0</v>
      </c>
      <c r="N871" s="10">
        <f>IF(ActiveDatabase=Standby,Secondary!N871,Primary!N871)</f>
        <v>0</v>
      </c>
      <c r="O871" s="10">
        <f>IF(ActiveDatabase=Standby,Secondary!O871,Primary!O871)</f>
        <v>0</v>
      </c>
      <c r="P871" s="10">
        <f>IF(ActiveDatabase=Standby,Secondary!P871,Primary!P871)</f>
        <v>0</v>
      </c>
      <c r="Q871" s="6">
        <f>IF(ActiveDatabase=Standby,Secondary!Q871,Primary!Q871)</f>
        <v>0</v>
      </c>
      <c r="R871" s="18">
        <f>IF(ActiveDatabase=Standby,Secondary!R871,Primary!R871)</f>
        <v>0</v>
      </c>
      <c r="S871" s="19">
        <f>IF(ActiveDatabase=Standby,Secondary!S871,Primary!S871)</f>
        <v>0</v>
      </c>
      <c r="T871" s="10">
        <f>IF(ActiveDatabase=Standby,Secondary!T871,Primary!T871)</f>
        <v>0</v>
      </c>
      <c r="U871" s="10">
        <f>IF(ActiveDatabase=Standby,Secondary!U871,Primary!U871)</f>
        <v>0</v>
      </c>
      <c r="V871" s="10">
        <f>IF(ActiveDatabase=Standby,Secondary!V871,Primary!V871)</f>
        <v>0</v>
      </c>
      <c r="W871" s="6">
        <f>IF(ActiveDatabase=Standby,Secondary!W871,Primary!W871)</f>
        <v>0</v>
      </c>
      <c r="X871" s="6">
        <f>IF(ActiveDatabase=Standby,Secondary!X871,Primary!X871)</f>
        <v>0</v>
      </c>
      <c r="Y871" s="12">
        <f>IF(ActiveDatabase=Standby,Secondary!Y871,Primary!Y1529)</f>
        <v>0</v>
      </c>
      <c r="Z871" s="12">
        <f>IF(ActiveDatabase=Standby,Secondary!Z871,Primary!Z1529)</f>
        <v>0</v>
      </c>
      <c r="AA871" s="9">
        <f>IF(ActiveDatabase=Standby,Secondary!AA871,Primary!AA1529)</f>
        <v>0</v>
      </c>
      <c r="AB871" s="12"/>
      <c r="AC871" s="6"/>
      <c r="AD871" s="6"/>
      <c r="AE871" s="7"/>
      <c r="AF871" s="7"/>
      <c r="AG871" s="7"/>
      <c r="AH871" s="7"/>
      <c r="AI871" s="7"/>
      <c r="AJ871" s="7"/>
      <c r="AK871" s="7"/>
      <c r="AL871" s="7"/>
      <c r="AM871" s="7"/>
      <c r="AN871" s="7"/>
      <c r="AO871" s="6"/>
      <c r="AP871" s="7"/>
      <c r="AQ871" s="7"/>
      <c r="AR871" s="6"/>
      <c r="AS871" s="7"/>
      <c r="AT871" s="7"/>
      <c r="AU871" s="7"/>
      <c r="AV871" s="7"/>
      <c r="AW871" s="7"/>
      <c r="AX871" s="7"/>
      <c r="AY871" s="7"/>
      <c r="AZ871" s="7"/>
      <c r="BA871" s="7"/>
      <c r="BB871" s="7"/>
      <c r="BC871" s="7"/>
      <c r="BD871" s="7"/>
      <c r="BE871" s="7"/>
      <c r="BF871" s="7"/>
      <c r="BG871" s="7"/>
    </row>
    <row r="872" customHeight="1" spans="1:59">
      <c r="A872" s="9">
        <f>IF(ActiveDatabase=Standby,Secondary!A872,Primary!A872)</f>
        <v>0</v>
      </c>
      <c r="B872" s="5">
        <f>IF(ActiveDatabase=Standby,Secondary!B872,Primary!B872)</f>
        <v>0</v>
      </c>
      <c r="C872" s="5">
        <f>IF(ActiveDatabase=Standby,Secondary!C872,Primary!C872)</f>
        <v>0</v>
      </c>
      <c r="D872" s="5">
        <f>IF(ActiveDatabase=Standby,Secondary!D872,Primary!D872)</f>
        <v>0</v>
      </c>
      <c r="E872" s="6">
        <f>IF(ActiveDatabase=Standby,Secondary!E872,Primary!E872)</f>
        <v>0</v>
      </c>
      <c r="F872" s="10">
        <f>IF(ActiveDatabase=Standby,Secondary!F872,Primary!F872)</f>
        <v>0</v>
      </c>
      <c r="G872" s="10">
        <f>IF(ActiveDatabase=Standby,Secondary!G872,Primary!G872)</f>
        <v>0</v>
      </c>
      <c r="H872" s="10">
        <f>IF(ActiveDatabase=Standby,Secondary!H872,Primary!H872)</f>
        <v>0</v>
      </c>
      <c r="I872" s="13">
        <f>IF(ActiveDatabase=Standby,Secondary!I872,Primary!I872)</f>
        <v>0</v>
      </c>
      <c r="J872" s="13">
        <f>IF(ActiveDatabase=Standby,Secondary!J872,Primary!J872)</f>
        <v>0</v>
      </c>
      <c r="K872" s="13">
        <f>IF(ActiveDatabase=Standby,Secondary!K872,Primary!K872)</f>
        <v>0</v>
      </c>
      <c r="L872" s="13">
        <f>IF(ActiveDatabase=Standby,Secondary!L872,Primary!L872)</f>
        <v>0</v>
      </c>
      <c r="M872" s="7">
        <f>IF(ActiveDatabase=Standby,Secondary!M872,Primary!M872)</f>
        <v>0</v>
      </c>
      <c r="N872" s="10">
        <f>IF(ActiveDatabase=Standby,Secondary!N872,Primary!N872)</f>
        <v>0</v>
      </c>
      <c r="O872" s="10">
        <f>IF(ActiveDatabase=Standby,Secondary!O872,Primary!O872)</f>
        <v>0</v>
      </c>
      <c r="P872" s="10">
        <f>IF(ActiveDatabase=Standby,Secondary!P872,Primary!P872)</f>
        <v>0</v>
      </c>
      <c r="Q872" s="6">
        <f>IF(ActiveDatabase=Standby,Secondary!Q872,Primary!Q872)</f>
        <v>0</v>
      </c>
      <c r="R872" s="18">
        <f>IF(ActiveDatabase=Standby,Secondary!R872,Primary!R872)</f>
        <v>0</v>
      </c>
      <c r="S872" s="19">
        <f>IF(ActiveDatabase=Standby,Secondary!S872,Primary!S872)</f>
        <v>0</v>
      </c>
      <c r="T872" s="10">
        <f>IF(ActiveDatabase=Standby,Secondary!T872,Primary!T872)</f>
        <v>0</v>
      </c>
      <c r="U872" s="10">
        <f>IF(ActiveDatabase=Standby,Secondary!U872,Primary!U872)</f>
        <v>0</v>
      </c>
      <c r="V872" s="10">
        <f>IF(ActiveDatabase=Standby,Secondary!V872,Primary!V872)</f>
        <v>0</v>
      </c>
      <c r="W872" s="6">
        <f>IF(ActiveDatabase=Standby,Secondary!W872,Primary!W872)</f>
        <v>0</v>
      </c>
      <c r="X872" s="6">
        <f>IF(ActiveDatabase=Standby,Secondary!X872,Primary!X872)</f>
        <v>0</v>
      </c>
      <c r="Y872" s="12">
        <f>IF(ActiveDatabase=Standby,Secondary!Y872,Primary!Y1530)</f>
        <v>0</v>
      </c>
      <c r="Z872" s="12">
        <f>IF(ActiveDatabase=Standby,Secondary!Z872,Primary!Z1530)</f>
        <v>0</v>
      </c>
      <c r="AA872" s="6">
        <f>IF(ActiveDatabase=Standby,Secondary!AA872,Primary!AA1530)</f>
        <v>0</v>
      </c>
      <c r="AB872" s="12"/>
      <c r="AC872" s="6"/>
      <c r="AD872" s="6"/>
      <c r="AE872" s="7"/>
      <c r="AF872" s="7"/>
      <c r="AG872" s="7"/>
      <c r="AH872" s="7"/>
      <c r="AI872" s="7"/>
      <c r="AJ872" s="7"/>
      <c r="AK872" s="7"/>
      <c r="AL872" s="7"/>
      <c r="AM872" s="7"/>
      <c r="AN872" s="7"/>
      <c r="AO872" s="6"/>
      <c r="AP872" s="7"/>
      <c r="AQ872" s="7"/>
      <c r="AR872" s="6"/>
      <c r="AS872" s="6"/>
      <c r="AT872" s="6"/>
      <c r="AU872" s="6"/>
      <c r="AV872" s="6"/>
      <c r="AW872" s="6"/>
      <c r="AX872" s="6"/>
      <c r="AY872" s="6"/>
      <c r="AZ872" s="6"/>
      <c r="BA872" s="6"/>
      <c r="BB872" s="6"/>
      <c r="BC872" s="6"/>
      <c r="BD872" s="6"/>
      <c r="BE872" s="6"/>
      <c r="BF872" s="6"/>
      <c r="BG872" s="6"/>
    </row>
    <row r="873" customHeight="1" spans="1:59">
      <c r="A873" s="9">
        <f>IF(ActiveDatabase=Standby,Secondary!A873,Primary!A873)</f>
        <v>0</v>
      </c>
      <c r="B873" s="5">
        <f>IF(ActiveDatabase=Standby,Secondary!B873,Primary!B873)</f>
        <v>0</v>
      </c>
      <c r="C873" s="5">
        <f>IF(ActiveDatabase=Standby,Secondary!C873,Primary!C873)</f>
        <v>0</v>
      </c>
      <c r="D873" s="5">
        <f>IF(ActiveDatabase=Standby,Secondary!D873,Primary!D873)</f>
        <v>0</v>
      </c>
      <c r="E873" s="6">
        <f>IF(ActiveDatabase=Standby,Secondary!E873,Primary!E873)</f>
        <v>0</v>
      </c>
      <c r="F873" s="10">
        <f>IF(ActiveDatabase=Standby,Secondary!F873,Primary!F873)</f>
        <v>0</v>
      </c>
      <c r="G873" s="10">
        <f>IF(ActiveDatabase=Standby,Secondary!G873,Primary!G873)</f>
        <v>0</v>
      </c>
      <c r="H873" s="10">
        <f>IF(ActiveDatabase=Standby,Secondary!H873,Primary!H873)</f>
        <v>0</v>
      </c>
      <c r="I873" s="13">
        <f>IF(ActiveDatabase=Standby,Secondary!I873,Primary!I873)</f>
        <v>0</v>
      </c>
      <c r="J873" s="13">
        <f>IF(ActiveDatabase=Standby,Secondary!J873,Primary!J873)</f>
        <v>0</v>
      </c>
      <c r="K873" s="13">
        <f>IF(ActiveDatabase=Standby,Secondary!K873,Primary!K873)</f>
        <v>0</v>
      </c>
      <c r="L873" s="13">
        <f>IF(ActiveDatabase=Standby,Secondary!L873,Primary!L873)</f>
        <v>0</v>
      </c>
      <c r="M873" s="7">
        <f>IF(ActiveDatabase=Standby,Secondary!M873,Primary!M873)</f>
        <v>0</v>
      </c>
      <c r="N873" s="10">
        <f>IF(ActiveDatabase=Standby,Secondary!N873,Primary!N873)</f>
        <v>0</v>
      </c>
      <c r="O873" s="10">
        <f>IF(ActiveDatabase=Standby,Secondary!O873,Primary!O873)</f>
        <v>0</v>
      </c>
      <c r="P873" s="10">
        <f>IF(ActiveDatabase=Standby,Secondary!P873,Primary!P873)</f>
        <v>0</v>
      </c>
      <c r="Q873" s="6">
        <f>IF(ActiveDatabase=Standby,Secondary!Q873,Primary!Q873)</f>
        <v>0</v>
      </c>
      <c r="R873" s="18">
        <f>IF(ActiveDatabase=Standby,Secondary!R873,Primary!R873)</f>
        <v>0</v>
      </c>
      <c r="S873" s="19">
        <f>IF(ActiveDatabase=Standby,Secondary!S873,Primary!S873)</f>
        <v>0</v>
      </c>
      <c r="T873" s="10">
        <f>IF(ActiveDatabase=Standby,Secondary!T873,Primary!T873)</f>
        <v>0</v>
      </c>
      <c r="U873" s="10">
        <f>IF(ActiveDatabase=Standby,Secondary!U873,Primary!U873)</f>
        <v>0</v>
      </c>
      <c r="V873" s="10">
        <f>IF(ActiveDatabase=Standby,Secondary!V873,Primary!V873)</f>
        <v>0</v>
      </c>
      <c r="W873" s="6">
        <f>IF(ActiveDatabase=Standby,Secondary!W873,Primary!W873)</f>
        <v>0</v>
      </c>
      <c r="X873" s="6">
        <f>IF(ActiveDatabase=Standby,Secondary!X873,Primary!X873)</f>
        <v>0</v>
      </c>
      <c r="Y873" s="12">
        <f>IF(ActiveDatabase=Standby,Secondary!Y873,Primary!Y1531)</f>
        <v>0</v>
      </c>
      <c r="Z873" s="12">
        <f>IF(ActiveDatabase=Standby,Secondary!Z873,Primary!Z1531)</f>
        <v>0</v>
      </c>
      <c r="AA873" s="7">
        <f>IF(ActiveDatabase=Standby,Secondary!AA873,Primary!AA1531)</f>
        <v>0</v>
      </c>
      <c r="AB873" s="12"/>
      <c r="AC873" s="6"/>
      <c r="AD873" s="6"/>
      <c r="AE873" s="7"/>
      <c r="AF873" s="7"/>
      <c r="AG873" s="7"/>
      <c r="AH873" s="7"/>
      <c r="AI873" s="7"/>
      <c r="AJ873" s="7"/>
      <c r="AK873" s="7"/>
      <c r="AL873" s="7"/>
      <c r="AM873" s="7"/>
      <c r="AN873" s="7"/>
      <c r="AO873" s="6"/>
      <c r="AP873" s="7"/>
      <c r="AQ873" s="7"/>
      <c r="AR873" s="6"/>
      <c r="AS873" s="7"/>
      <c r="AT873" s="7"/>
      <c r="AU873" s="7"/>
      <c r="AV873" s="7"/>
      <c r="AW873" s="7"/>
      <c r="AX873" s="7"/>
      <c r="AY873" s="7"/>
      <c r="AZ873" s="7"/>
      <c r="BA873" s="7"/>
      <c r="BB873" s="7"/>
      <c r="BC873" s="7"/>
      <c r="BD873" s="7"/>
      <c r="BE873" s="7"/>
      <c r="BF873" s="7"/>
      <c r="BG873" s="7"/>
    </row>
    <row r="874" customHeight="1" spans="1:59">
      <c r="A874" s="9">
        <f>IF(ActiveDatabase=Standby,Secondary!A874,Primary!A874)</f>
        <v>0</v>
      </c>
      <c r="B874" s="5">
        <f>IF(ActiveDatabase=Standby,Secondary!B874,Primary!B874)</f>
        <v>0</v>
      </c>
      <c r="C874" s="5">
        <f>IF(ActiveDatabase=Standby,Secondary!C874,Primary!C874)</f>
        <v>0</v>
      </c>
      <c r="D874" s="5">
        <f>IF(ActiveDatabase=Standby,Secondary!D874,Primary!D874)</f>
        <v>0</v>
      </c>
      <c r="E874" s="6">
        <f>IF(ActiveDatabase=Standby,Secondary!E874,Primary!E874)</f>
        <v>0</v>
      </c>
      <c r="F874" s="10">
        <f>IF(ActiveDatabase=Standby,Secondary!F874,Primary!F874)</f>
        <v>0</v>
      </c>
      <c r="G874" s="10">
        <f>IF(ActiveDatabase=Standby,Secondary!G874,Primary!G874)</f>
        <v>0</v>
      </c>
      <c r="H874" s="10">
        <f>IF(ActiveDatabase=Standby,Secondary!H874,Primary!H874)</f>
        <v>0</v>
      </c>
      <c r="I874" s="13">
        <f>IF(ActiveDatabase=Standby,Secondary!I874,Primary!I874)</f>
        <v>0</v>
      </c>
      <c r="J874" s="13">
        <f>IF(ActiveDatabase=Standby,Secondary!J874,Primary!J874)</f>
        <v>0</v>
      </c>
      <c r="K874" s="13">
        <f>IF(ActiveDatabase=Standby,Secondary!K874,Primary!K874)</f>
        <v>0</v>
      </c>
      <c r="L874" s="13">
        <f>IF(ActiveDatabase=Standby,Secondary!L874,Primary!L874)</f>
        <v>0</v>
      </c>
      <c r="M874" s="7">
        <f>IF(ActiveDatabase=Standby,Secondary!M874,Primary!M874)</f>
        <v>0</v>
      </c>
      <c r="N874" s="10">
        <f>IF(ActiveDatabase=Standby,Secondary!N874,Primary!N874)</f>
        <v>0</v>
      </c>
      <c r="O874" s="10">
        <f>IF(ActiveDatabase=Standby,Secondary!O874,Primary!O874)</f>
        <v>0</v>
      </c>
      <c r="P874" s="10">
        <f>IF(ActiveDatabase=Standby,Secondary!P874,Primary!P874)</f>
        <v>0</v>
      </c>
      <c r="Q874" s="6">
        <f>IF(ActiveDatabase=Standby,Secondary!Q874,Primary!Q874)</f>
        <v>0</v>
      </c>
      <c r="R874" s="18">
        <f>IF(ActiveDatabase=Standby,Secondary!R874,Primary!R874)</f>
        <v>0</v>
      </c>
      <c r="S874" s="19">
        <f>IF(ActiveDatabase=Standby,Secondary!S874,Primary!S874)</f>
        <v>0</v>
      </c>
      <c r="T874" s="10">
        <f>IF(ActiveDatabase=Standby,Secondary!T874,Primary!T874)</f>
        <v>0</v>
      </c>
      <c r="U874" s="10">
        <f>IF(ActiveDatabase=Standby,Secondary!U874,Primary!U874)</f>
        <v>0</v>
      </c>
      <c r="V874" s="10">
        <f>IF(ActiveDatabase=Standby,Secondary!V874,Primary!V874)</f>
        <v>0</v>
      </c>
      <c r="W874" s="6">
        <f>IF(ActiveDatabase=Standby,Secondary!W874,Primary!W874)</f>
        <v>0</v>
      </c>
      <c r="X874" s="6">
        <f>IF(ActiveDatabase=Standby,Secondary!X874,Primary!X874)</f>
        <v>0</v>
      </c>
      <c r="Y874" s="12">
        <f>IF(ActiveDatabase=Standby,Secondary!Y874,Primary!Y1532)</f>
        <v>0</v>
      </c>
      <c r="Z874" s="12">
        <f>IF(ActiveDatabase=Standby,Secondary!Z874,Primary!Z1532)</f>
        <v>0</v>
      </c>
      <c r="AA874" s="7">
        <f>IF(ActiveDatabase=Standby,Secondary!AA874,Primary!AA1532)</f>
        <v>0</v>
      </c>
      <c r="AB874" s="12"/>
      <c r="AC874" s="6"/>
      <c r="AD874" s="6"/>
      <c r="AE874" s="7"/>
      <c r="AF874" s="7"/>
      <c r="AG874" s="7"/>
      <c r="AH874" s="7"/>
      <c r="AI874" s="7"/>
      <c r="AJ874" s="7"/>
      <c r="AK874" s="7"/>
      <c r="AL874" s="7"/>
      <c r="AM874" s="7"/>
      <c r="AN874" s="7"/>
      <c r="AO874" s="6"/>
      <c r="AP874" s="7"/>
      <c r="AQ874" s="7"/>
      <c r="AR874" s="6"/>
      <c r="AS874" s="7"/>
      <c r="AT874" s="7"/>
      <c r="AU874" s="7"/>
      <c r="AV874" s="7"/>
      <c r="AW874" s="7"/>
      <c r="AX874" s="7"/>
      <c r="AY874" s="7"/>
      <c r="AZ874" s="7"/>
      <c r="BA874" s="7"/>
      <c r="BB874" s="7"/>
      <c r="BC874" s="7"/>
      <c r="BD874" s="7"/>
      <c r="BE874" s="7"/>
      <c r="BF874" s="7"/>
      <c r="BG874" s="7"/>
    </row>
    <row r="875" customHeight="1" spans="1:59">
      <c r="A875" s="9">
        <f>IF(ActiveDatabase=Standby,Secondary!A875,Primary!A875)</f>
        <v>0</v>
      </c>
      <c r="B875" s="5">
        <f>IF(ActiveDatabase=Standby,Secondary!B875,Primary!B875)</f>
        <v>0</v>
      </c>
      <c r="C875" s="5">
        <f>IF(ActiveDatabase=Standby,Secondary!C875,Primary!C875)</f>
        <v>0</v>
      </c>
      <c r="D875" s="5">
        <f>IF(ActiveDatabase=Standby,Secondary!D875,Primary!D875)</f>
        <v>0</v>
      </c>
      <c r="E875" s="6">
        <f>IF(ActiveDatabase=Standby,Secondary!E875,Primary!E875)</f>
        <v>0</v>
      </c>
      <c r="F875" s="10">
        <f>IF(ActiveDatabase=Standby,Secondary!F875,Primary!F875)</f>
        <v>0</v>
      </c>
      <c r="G875" s="10">
        <f>IF(ActiveDatabase=Standby,Secondary!G875,Primary!G875)</f>
        <v>0</v>
      </c>
      <c r="H875" s="10">
        <f>IF(ActiveDatabase=Standby,Secondary!H875,Primary!H875)</f>
        <v>0</v>
      </c>
      <c r="I875" s="13">
        <f>IF(ActiveDatabase=Standby,Secondary!I875,Primary!I875)</f>
        <v>0</v>
      </c>
      <c r="J875" s="13">
        <f>IF(ActiveDatabase=Standby,Secondary!J875,Primary!J875)</f>
        <v>0</v>
      </c>
      <c r="K875" s="13">
        <f>IF(ActiveDatabase=Standby,Secondary!K875,Primary!K875)</f>
        <v>0</v>
      </c>
      <c r="L875" s="13">
        <f>IF(ActiveDatabase=Standby,Secondary!L875,Primary!L875)</f>
        <v>0</v>
      </c>
      <c r="M875" s="7">
        <f>IF(ActiveDatabase=Standby,Secondary!M875,Primary!M875)</f>
        <v>0</v>
      </c>
      <c r="N875" s="10">
        <f>IF(ActiveDatabase=Standby,Secondary!N875,Primary!N875)</f>
        <v>0</v>
      </c>
      <c r="O875" s="10">
        <f>IF(ActiveDatabase=Standby,Secondary!O875,Primary!O875)</f>
        <v>0</v>
      </c>
      <c r="P875" s="10">
        <f>IF(ActiveDatabase=Standby,Secondary!P875,Primary!P875)</f>
        <v>0</v>
      </c>
      <c r="Q875" s="6">
        <f>IF(ActiveDatabase=Standby,Secondary!Q875,Primary!Q875)</f>
        <v>0</v>
      </c>
      <c r="R875" s="18">
        <f>IF(ActiveDatabase=Standby,Secondary!R875,Primary!R875)</f>
        <v>0</v>
      </c>
      <c r="S875" s="19">
        <f>IF(ActiveDatabase=Standby,Secondary!S875,Primary!S875)</f>
        <v>0</v>
      </c>
      <c r="T875" s="10">
        <f>IF(ActiveDatabase=Standby,Secondary!T875,Primary!T875)</f>
        <v>0</v>
      </c>
      <c r="U875" s="10">
        <f>IF(ActiveDatabase=Standby,Secondary!U875,Primary!U875)</f>
        <v>0</v>
      </c>
      <c r="V875" s="10">
        <f>IF(ActiveDatabase=Standby,Secondary!V875,Primary!V875)</f>
        <v>0</v>
      </c>
      <c r="W875" s="6">
        <f>IF(ActiveDatabase=Standby,Secondary!W875,Primary!W875)</f>
        <v>0</v>
      </c>
      <c r="X875" s="6">
        <f>IF(ActiveDatabase=Standby,Secondary!X875,Primary!X875)</f>
        <v>0</v>
      </c>
      <c r="Y875" s="12">
        <f>IF(ActiveDatabase=Standby,Secondary!Y875,Primary!Y1533)</f>
        <v>0</v>
      </c>
      <c r="Z875" s="12">
        <f>IF(ActiveDatabase=Standby,Secondary!Z875,Primary!Z1533)</f>
        <v>0</v>
      </c>
      <c r="AA875" s="7">
        <f>IF(ActiveDatabase=Standby,Secondary!AA875,Primary!AA1533)</f>
        <v>0</v>
      </c>
      <c r="AB875" s="12"/>
      <c r="AC875" s="6"/>
      <c r="AD875" s="6"/>
      <c r="AE875" s="7"/>
      <c r="AF875" s="7"/>
      <c r="AG875" s="7"/>
      <c r="AH875" s="7"/>
      <c r="AI875" s="7"/>
      <c r="AJ875" s="7"/>
      <c r="AK875" s="7"/>
      <c r="AL875" s="7"/>
      <c r="AM875" s="7"/>
      <c r="AN875" s="7"/>
      <c r="AO875" s="6"/>
      <c r="AP875" s="7"/>
      <c r="AQ875" s="7"/>
      <c r="AR875" s="6"/>
      <c r="AS875" s="7"/>
      <c r="AT875" s="7"/>
      <c r="AU875" s="7"/>
      <c r="AV875" s="7"/>
      <c r="AW875" s="7"/>
      <c r="AX875" s="7"/>
      <c r="AY875" s="7"/>
      <c r="AZ875" s="7"/>
      <c r="BA875" s="7"/>
      <c r="BB875" s="7"/>
      <c r="BC875" s="7"/>
      <c r="BD875" s="7"/>
      <c r="BE875" s="7"/>
      <c r="BF875" s="7"/>
      <c r="BG875" s="7"/>
    </row>
    <row r="876" customHeight="1" spans="1:59">
      <c r="A876" s="9">
        <f>IF(ActiveDatabase=Standby,Secondary!A876,Primary!A876)</f>
        <v>0</v>
      </c>
      <c r="B876" s="5">
        <f>IF(ActiveDatabase=Standby,Secondary!B876,Primary!B876)</f>
        <v>0</v>
      </c>
      <c r="C876" s="5">
        <f>IF(ActiveDatabase=Standby,Secondary!C876,Primary!C876)</f>
        <v>0</v>
      </c>
      <c r="D876" s="5">
        <f>IF(ActiveDatabase=Standby,Secondary!D876,Primary!D876)</f>
        <v>0</v>
      </c>
      <c r="E876" s="6">
        <f>IF(ActiveDatabase=Standby,Secondary!E876,Primary!E876)</f>
        <v>0</v>
      </c>
      <c r="F876" s="10">
        <f>IF(ActiveDatabase=Standby,Secondary!F876,Primary!F876)</f>
        <v>0</v>
      </c>
      <c r="G876" s="10">
        <f>IF(ActiveDatabase=Standby,Secondary!G876,Primary!G876)</f>
        <v>0</v>
      </c>
      <c r="H876" s="10">
        <f>IF(ActiveDatabase=Standby,Secondary!H876,Primary!H876)</f>
        <v>0</v>
      </c>
      <c r="I876" s="13">
        <f>IF(ActiveDatabase=Standby,Secondary!I876,Primary!I876)</f>
        <v>0</v>
      </c>
      <c r="J876" s="13">
        <f>IF(ActiveDatabase=Standby,Secondary!J876,Primary!J876)</f>
        <v>0</v>
      </c>
      <c r="K876" s="13">
        <f>IF(ActiveDatabase=Standby,Secondary!K876,Primary!K876)</f>
        <v>0</v>
      </c>
      <c r="L876" s="13">
        <f>IF(ActiveDatabase=Standby,Secondary!L876,Primary!L876)</f>
        <v>0</v>
      </c>
      <c r="M876" s="7">
        <f>IF(ActiveDatabase=Standby,Secondary!M876,Primary!M876)</f>
        <v>0</v>
      </c>
      <c r="N876" s="10">
        <f>IF(ActiveDatabase=Standby,Secondary!N876,Primary!N876)</f>
        <v>0</v>
      </c>
      <c r="O876" s="10">
        <f>IF(ActiveDatabase=Standby,Secondary!O876,Primary!O876)</f>
        <v>0</v>
      </c>
      <c r="P876" s="10">
        <f>IF(ActiveDatabase=Standby,Secondary!P876,Primary!P876)</f>
        <v>0</v>
      </c>
      <c r="Q876" s="6">
        <f>IF(ActiveDatabase=Standby,Secondary!Q876,Primary!Q876)</f>
        <v>0</v>
      </c>
      <c r="R876" s="18">
        <f>IF(ActiveDatabase=Standby,Secondary!R876,Primary!R876)</f>
        <v>0</v>
      </c>
      <c r="S876" s="19">
        <f>IF(ActiveDatabase=Standby,Secondary!S876,Primary!S876)</f>
        <v>0</v>
      </c>
      <c r="T876" s="10">
        <f>IF(ActiveDatabase=Standby,Secondary!T876,Primary!T876)</f>
        <v>0</v>
      </c>
      <c r="U876" s="10">
        <f>IF(ActiveDatabase=Standby,Secondary!U876,Primary!U876)</f>
        <v>0</v>
      </c>
      <c r="V876" s="10">
        <f>IF(ActiveDatabase=Standby,Secondary!V876,Primary!V876)</f>
        <v>0</v>
      </c>
      <c r="W876" s="6">
        <f>IF(ActiveDatabase=Standby,Secondary!W876,Primary!W876)</f>
        <v>0</v>
      </c>
      <c r="X876" s="6">
        <f>IF(ActiveDatabase=Standby,Secondary!X876,Primary!X876)</f>
        <v>0</v>
      </c>
      <c r="Y876" s="12">
        <f>IF(ActiveDatabase=Standby,Secondary!Y876,Primary!Y1534)</f>
        <v>0</v>
      </c>
      <c r="Z876" s="12">
        <f>IF(ActiveDatabase=Standby,Secondary!Z876,Primary!Z1534)</f>
        <v>0</v>
      </c>
      <c r="AA876" s="7">
        <f>IF(ActiveDatabase=Standby,Secondary!AA876,Primary!AA1534)</f>
        <v>0</v>
      </c>
      <c r="AB876" s="12"/>
      <c r="AC876" s="6"/>
      <c r="AD876" s="6"/>
      <c r="AE876" s="7"/>
      <c r="AF876" s="7"/>
      <c r="AG876" s="7"/>
      <c r="AH876" s="7"/>
      <c r="AI876" s="7"/>
      <c r="AJ876" s="7"/>
      <c r="AK876" s="7"/>
      <c r="AL876" s="7"/>
      <c r="AM876" s="7"/>
      <c r="AN876" s="7"/>
      <c r="AO876" s="6"/>
      <c r="AP876" s="7"/>
      <c r="AQ876" s="7"/>
      <c r="AR876" s="6"/>
      <c r="AS876" s="7"/>
      <c r="AT876" s="7"/>
      <c r="AU876" s="7"/>
      <c r="AV876" s="7"/>
      <c r="AW876" s="7"/>
      <c r="AX876" s="7"/>
      <c r="AY876" s="7"/>
      <c r="AZ876" s="7"/>
      <c r="BA876" s="7"/>
      <c r="BB876" s="7"/>
      <c r="BC876" s="7"/>
      <c r="BD876" s="7"/>
      <c r="BE876" s="7"/>
      <c r="BF876" s="7"/>
      <c r="BG876" s="7"/>
    </row>
    <row r="877" customHeight="1" spans="1:59">
      <c r="A877" s="9">
        <f>IF(ActiveDatabase=Standby,Secondary!A877,Primary!A877)</f>
        <v>0</v>
      </c>
      <c r="B877" s="5">
        <f>IF(ActiveDatabase=Standby,Secondary!B877,Primary!B877)</f>
        <v>0</v>
      </c>
      <c r="C877" s="5">
        <f>IF(ActiveDatabase=Standby,Secondary!C877,Primary!C877)</f>
        <v>0</v>
      </c>
      <c r="D877" s="5">
        <f>IF(ActiveDatabase=Standby,Secondary!D877,Primary!D877)</f>
        <v>0</v>
      </c>
      <c r="E877" s="6">
        <f>IF(ActiveDatabase=Standby,Secondary!E877,Primary!E877)</f>
        <v>0</v>
      </c>
      <c r="F877" s="10">
        <f>IF(ActiveDatabase=Standby,Secondary!F877,Primary!F877)</f>
        <v>0</v>
      </c>
      <c r="G877" s="10">
        <f>IF(ActiveDatabase=Standby,Secondary!G877,Primary!G877)</f>
        <v>0</v>
      </c>
      <c r="H877" s="10">
        <f>IF(ActiveDatabase=Standby,Secondary!H877,Primary!H877)</f>
        <v>0</v>
      </c>
      <c r="I877" s="13">
        <f>IF(ActiveDatabase=Standby,Secondary!I877,Primary!I877)</f>
        <v>0</v>
      </c>
      <c r="J877" s="13">
        <f>IF(ActiveDatabase=Standby,Secondary!J877,Primary!J877)</f>
        <v>0</v>
      </c>
      <c r="K877" s="13">
        <f>IF(ActiveDatabase=Standby,Secondary!K877,Primary!K877)</f>
        <v>0</v>
      </c>
      <c r="L877" s="13">
        <f>IF(ActiveDatabase=Standby,Secondary!L877,Primary!L877)</f>
        <v>0</v>
      </c>
      <c r="M877" s="7">
        <f>IF(ActiveDatabase=Standby,Secondary!M877,Primary!M877)</f>
        <v>0</v>
      </c>
      <c r="N877" s="10">
        <f>IF(ActiveDatabase=Standby,Secondary!N877,Primary!N877)</f>
        <v>0</v>
      </c>
      <c r="O877" s="10">
        <f>IF(ActiveDatabase=Standby,Secondary!O877,Primary!O877)</f>
        <v>0</v>
      </c>
      <c r="P877" s="10">
        <f>IF(ActiveDatabase=Standby,Secondary!P877,Primary!P877)</f>
        <v>0</v>
      </c>
      <c r="Q877" s="6">
        <f>IF(ActiveDatabase=Standby,Secondary!Q877,Primary!Q877)</f>
        <v>0</v>
      </c>
      <c r="R877" s="18">
        <f>IF(ActiveDatabase=Standby,Secondary!R877,Primary!R877)</f>
        <v>0</v>
      </c>
      <c r="S877" s="19">
        <f>IF(ActiveDatabase=Standby,Secondary!S877,Primary!S877)</f>
        <v>0</v>
      </c>
      <c r="T877" s="10">
        <f>IF(ActiveDatabase=Standby,Secondary!T877,Primary!T877)</f>
        <v>0</v>
      </c>
      <c r="U877" s="10">
        <f>IF(ActiveDatabase=Standby,Secondary!U877,Primary!U877)</f>
        <v>0</v>
      </c>
      <c r="V877" s="10">
        <f>IF(ActiveDatabase=Standby,Secondary!V877,Primary!V877)</f>
        <v>0</v>
      </c>
      <c r="W877" s="6">
        <f>IF(ActiveDatabase=Standby,Secondary!W877,Primary!W877)</f>
        <v>0</v>
      </c>
      <c r="X877" s="6">
        <f>IF(ActiveDatabase=Standby,Secondary!X877,Primary!X877)</f>
        <v>0</v>
      </c>
      <c r="Y877" s="12">
        <f>IF(ActiveDatabase=Standby,Secondary!Y877,Primary!Y1535)</f>
        <v>0</v>
      </c>
      <c r="Z877" s="12">
        <f>IF(ActiveDatabase=Standby,Secondary!Z877,Primary!Z1535)</f>
        <v>0</v>
      </c>
      <c r="AA877" s="7">
        <f>IF(ActiveDatabase=Standby,Secondary!AA877,Primary!AA1535)</f>
        <v>0</v>
      </c>
      <c r="AB877" s="12"/>
      <c r="AC877" s="6"/>
      <c r="AD877" s="6"/>
      <c r="AE877" s="7"/>
      <c r="AF877" s="7"/>
      <c r="AG877" s="7"/>
      <c r="AH877" s="7"/>
      <c r="AI877" s="7"/>
      <c r="AJ877" s="7"/>
      <c r="AK877" s="7"/>
      <c r="AL877" s="7"/>
      <c r="AM877" s="7"/>
      <c r="AN877" s="7"/>
      <c r="AO877" s="6"/>
      <c r="AP877" s="7"/>
      <c r="AQ877" s="7"/>
      <c r="AR877" s="6"/>
      <c r="AS877" s="7"/>
      <c r="AT877" s="7"/>
      <c r="AU877" s="7"/>
      <c r="AV877" s="7"/>
      <c r="AW877" s="7"/>
      <c r="AX877" s="7"/>
      <c r="AY877" s="7"/>
      <c r="AZ877" s="7"/>
      <c r="BA877" s="7"/>
      <c r="BB877" s="7"/>
      <c r="BC877" s="7"/>
      <c r="BD877" s="7"/>
      <c r="BE877" s="7"/>
      <c r="BF877" s="7"/>
      <c r="BG877" s="7"/>
    </row>
    <row r="878" customHeight="1" spans="1:59">
      <c r="A878" s="9">
        <f>IF(ActiveDatabase=Standby,Secondary!A878,Primary!A878)</f>
        <v>0</v>
      </c>
      <c r="B878" s="5">
        <f>IF(ActiveDatabase=Standby,Secondary!B878,Primary!B878)</f>
        <v>0</v>
      </c>
      <c r="C878" s="5">
        <f>IF(ActiveDatabase=Standby,Secondary!C878,Primary!C878)</f>
        <v>0</v>
      </c>
      <c r="D878" s="5">
        <f>IF(ActiveDatabase=Standby,Secondary!D878,Primary!D878)</f>
        <v>0</v>
      </c>
      <c r="E878" s="6">
        <f>IF(ActiveDatabase=Standby,Secondary!E878,Primary!E878)</f>
        <v>0</v>
      </c>
      <c r="F878" s="10">
        <f>IF(ActiveDatabase=Standby,Secondary!F878,Primary!F878)</f>
        <v>0</v>
      </c>
      <c r="G878" s="10">
        <f>IF(ActiveDatabase=Standby,Secondary!G878,Primary!G878)</f>
        <v>0</v>
      </c>
      <c r="H878" s="10">
        <f>IF(ActiveDatabase=Standby,Secondary!H878,Primary!H878)</f>
        <v>0</v>
      </c>
      <c r="I878" s="13">
        <f>IF(ActiveDatabase=Standby,Secondary!I878,Primary!I878)</f>
        <v>0</v>
      </c>
      <c r="J878" s="13">
        <f>IF(ActiveDatabase=Standby,Secondary!J878,Primary!J878)</f>
        <v>0</v>
      </c>
      <c r="K878" s="13">
        <f>IF(ActiveDatabase=Standby,Secondary!K878,Primary!K878)</f>
        <v>0</v>
      </c>
      <c r="L878" s="13">
        <f>IF(ActiveDatabase=Standby,Secondary!L878,Primary!L878)</f>
        <v>0</v>
      </c>
      <c r="M878" s="7">
        <f>IF(ActiveDatabase=Standby,Secondary!M878,Primary!M878)</f>
        <v>0</v>
      </c>
      <c r="N878" s="10">
        <f>IF(ActiveDatabase=Standby,Secondary!N878,Primary!N878)</f>
        <v>0</v>
      </c>
      <c r="O878" s="10">
        <f>IF(ActiveDatabase=Standby,Secondary!O878,Primary!O878)</f>
        <v>0</v>
      </c>
      <c r="P878" s="10">
        <f>IF(ActiveDatabase=Standby,Secondary!P878,Primary!P878)</f>
        <v>0</v>
      </c>
      <c r="Q878" s="6">
        <f>IF(ActiveDatabase=Standby,Secondary!Q878,Primary!Q878)</f>
        <v>0</v>
      </c>
      <c r="R878" s="18">
        <f>IF(ActiveDatabase=Standby,Secondary!R878,Primary!R878)</f>
        <v>0</v>
      </c>
      <c r="S878" s="19">
        <f>IF(ActiveDatabase=Standby,Secondary!S878,Primary!S878)</f>
        <v>0</v>
      </c>
      <c r="T878" s="10">
        <f>IF(ActiveDatabase=Standby,Secondary!T878,Primary!T878)</f>
        <v>0</v>
      </c>
      <c r="U878" s="10">
        <f>IF(ActiveDatabase=Standby,Secondary!U878,Primary!U878)</f>
        <v>0</v>
      </c>
      <c r="V878" s="10">
        <f>IF(ActiveDatabase=Standby,Secondary!V878,Primary!V878)</f>
        <v>0</v>
      </c>
      <c r="W878" s="6">
        <f>IF(ActiveDatabase=Standby,Secondary!W878,Primary!W878)</f>
        <v>0</v>
      </c>
      <c r="X878" s="6">
        <f>IF(ActiveDatabase=Standby,Secondary!X878,Primary!X878)</f>
        <v>0</v>
      </c>
      <c r="Y878" s="12">
        <f>IF(ActiveDatabase=Standby,Secondary!Y878,Primary!Y1536)</f>
        <v>0</v>
      </c>
      <c r="Z878" s="12">
        <f>IF(ActiveDatabase=Standby,Secondary!Z878,Primary!Z1536)</f>
        <v>0</v>
      </c>
      <c r="AA878" s="7">
        <f>IF(ActiveDatabase=Standby,Secondary!AA878,Primary!AA1536)</f>
        <v>0</v>
      </c>
      <c r="AB878" s="12"/>
      <c r="AC878" s="6"/>
      <c r="AD878" s="6"/>
      <c r="AE878" s="7"/>
      <c r="AF878" s="7"/>
      <c r="AG878" s="7"/>
      <c r="AH878" s="7"/>
      <c r="AI878" s="7"/>
      <c r="AJ878" s="7"/>
      <c r="AK878" s="7"/>
      <c r="AL878" s="7"/>
      <c r="AM878" s="7"/>
      <c r="AN878" s="7"/>
      <c r="AO878" s="6"/>
      <c r="AP878" s="7"/>
      <c r="AQ878" s="7"/>
      <c r="AR878" s="6"/>
      <c r="AS878" s="7"/>
      <c r="AT878" s="7"/>
      <c r="AU878" s="7"/>
      <c r="AV878" s="7"/>
      <c r="AW878" s="7"/>
      <c r="AX878" s="7"/>
      <c r="AY878" s="7"/>
      <c r="AZ878" s="7"/>
      <c r="BA878" s="7"/>
      <c r="BB878" s="7"/>
      <c r="BC878" s="7"/>
      <c r="BD878" s="7"/>
      <c r="BE878" s="7"/>
      <c r="BF878" s="7"/>
      <c r="BG878" s="7"/>
    </row>
    <row r="879" customHeight="1" spans="1:59">
      <c r="A879" s="9">
        <f>IF(ActiveDatabase=Standby,Secondary!A879,Primary!A879)</f>
        <v>0</v>
      </c>
      <c r="B879" s="5">
        <f>IF(ActiveDatabase=Standby,Secondary!B879,Primary!B879)</f>
        <v>0</v>
      </c>
      <c r="C879" s="5">
        <f>IF(ActiveDatabase=Standby,Secondary!C879,Primary!C879)</f>
        <v>0</v>
      </c>
      <c r="D879" s="5">
        <f>IF(ActiveDatabase=Standby,Secondary!D879,Primary!D879)</f>
        <v>0</v>
      </c>
      <c r="E879" s="6">
        <f>IF(ActiveDatabase=Standby,Secondary!E879,Primary!E879)</f>
        <v>0</v>
      </c>
      <c r="F879" s="10">
        <f>IF(ActiveDatabase=Standby,Secondary!F879,Primary!F879)</f>
        <v>0</v>
      </c>
      <c r="G879" s="10">
        <f>IF(ActiveDatabase=Standby,Secondary!G879,Primary!G879)</f>
        <v>0</v>
      </c>
      <c r="H879" s="10">
        <f>IF(ActiveDatabase=Standby,Secondary!H879,Primary!H879)</f>
        <v>0</v>
      </c>
      <c r="I879" s="13">
        <f>IF(ActiveDatabase=Standby,Secondary!I879,Primary!I879)</f>
        <v>0</v>
      </c>
      <c r="J879" s="13">
        <f>IF(ActiveDatabase=Standby,Secondary!J879,Primary!J879)</f>
        <v>0</v>
      </c>
      <c r="K879" s="13">
        <f>IF(ActiveDatabase=Standby,Secondary!K879,Primary!K879)</f>
        <v>0</v>
      </c>
      <c r="L879" s="13">
        <f>IF(ActiveDatabase=Standby,Secondary!L879,Primary!L879)</f>
        <v>0</v>
      </c>
      <c r="M879" s="7">
        <f>IF(ActiveDatabase=Standby,Secondary!M879,Primary!M879)</f>
        <v>0</v>
      </c>
      <c r="N879" s="10">
        <f>IF(ActiveDatabase=Standby,Secondary!N879,Primary!N879)</f>
        <v>0</v>
      </c>
      <c r="O879" s="10">
        <f>IF(ActiveDatabase=Standby,Secondary!O879,Primary!O879)</f>
        <v>0</v>
      </c>
      <c r="P879" s="10">
        <f>IF(ActiveDatabase=Standby,Secondary!P879,Primary!P879)</f>
        <v>0</v>
      </c>
      <c r="Q879" s="6">
        <f>IF(ActiveDatabase=Standby,Secondary!Q879,Primary!Q879)</f>
        <v>0</v>
      </c>
      <c r="R879" s="18">
        <f>IF(ActiveDatabase=Standby,Secondary!R879,Primary!R879)</f>
        <v>0</v>
      </c>
      <c r="S879" s="19">
        <f>IF(ActiveDatabase=Standby,Secondary!S879,Primary!S879)</f>
        <v>0</v>
      </c>
      <c r="T879" s="10">
        <f>IF(ActiveDatabase=Standby,Secondary!T879,Primary!T879)</f>
        <v>0</v>
      </c>
      <c r="U879" s="10">
        <f>IF(ActiveDatabase=Standby,Secondary!U879,Primary!U879)</f>
        <v>0</v>
      </c>
      <c r="V879" s="10">
        <f>IF(ActiveDatabase=Standby,Secondary!V879,Primary!V879)</f>
        <v>0</v>
      </c>
      <c r="W879" s="6">
        <f>IF(ActiveDatabase=Standby,Secondary!W879,Primary!W879)</f>
        <v>0</v>
      </c>
      <c r="X879" s="6">
        <f>IF(ActiveDatabase=Standby,Secondary!X879,Primary!X879)</f>
        <v>0</v>
      </c>
      <c r="Y879" s="12">
        <f>IF(ActiveDatabase=Standby,Secondary!Y879,Primary!Y1537)</f>
        <v>0</v>
      </c>
      <c r="Z879" s="12">
        <f>IF(ActiveDatabase=Standby,Secondary!Z879,Primary!Z1537)</f>
        <v>0</v>
      </c>
      <c r="AA879" s="7">
        <f>IF(ActiveDatabase=Standby,Secondary!AA879,Primary!AA1537)</f>
        <v>0</v>
      </c>
      <c r="AB879" s="12"/>
      <c r="AC879" s="6"/>
      <c r="AD879" s="6"/>
      <c r="AE879" s="7"/>
      <c r="AF879" s="7"/>
      <c r="AG879" s="7"/>
      <c r="AH879" s="7"/>
      <c r="AI879" s="7"/>
      <c r="AJ879" s="7"/>
      <c r="AK879" s="7"/>
      <c r="AL879" s="7"/>
      <c r="AM879" s="7"/>
      <c r="AN879" s="7"/>
      <c r="AO879" s="6"/>
      <c r="AP879" s="7"/>
      <c r="AQ879" s="7"/>
      <c r="AR879" s="6"/>
      <c r="AS879" s="7"/>
      <c r="AT879" s="7"/>
      <c r="AU879" s="7"/>
      <c r="AV879" s="7"/>
      <c r="AW879" s="7"/>
      <c r="AX879" s="7"/>
      <c r="AY879" s="7"/>
      <c r="AZ879" s="7"/>
      <c r="BA879" s="7"/>
      <c r="BB879" s="7"/>
      <c r="BC879" s="7"/>
      <c r="BD879" s="7"/>
      <c r="BE879" s="7"/>
      <c r="BF879" s="7"/>
      <c r="BG879" s="7"/>
    </row>
    <row r="880" customHeight="1" spans="1:59">
      <c r="A880" s="9">
        <f>IF(ActiveDatabase=Standby,Secondary!A880,Primary!A880)</f>
        <v>0</v>
      </c>
      <c r="B880" s="5">
        <f>IF(ActiveDatabase=Standby,Secondary!B880,Primary!B880)</f>
        <v>0</v>
      </c>
      <c r="C880" s="5">
        <f>IF(ActiveDatabase=Standby,Secondary!C880,Primary!C880)</f>
        <v>0</v>
      </c>
      <c r="D880" s="5">
        <f>IF(ActiveDatabase=Standby,Secondary!D880,Primary!D880)</f>
        <v>0</v>
      </c>
      <c r="E880" s="6">
        <f>IF(ActiveDatabase=Standby,Secondary!E880,Primary!E880)</f>
        <v>0</v>
      </c>
      <c r="F880" s="10">
        <f>IF(ActiveDatabase=Standby,Secondary!F880,Primary!F880)</f>
        <v>0</v>
      </c>
      <c r="G880" s="10">
        <f>IF(ActiveDatabase=Standby,Secondary!G880,Primary!G880)</f>
        <v>0</v>
      </c>
      <c r="H880" s="10">
        <f>IF(ActiveDatabase=Standby,Secondary!H880,Primary!H880)</f>
        <v>0</v>
      </c>
      <c r="I880" s="13">
        <f>IF(ActiveDatabase=Standby,Secondary!I880,Primary!I880)</f>
        <v>0</v>
      </c>
      <c r="J880" s="13">
        <f>IF(ActiveDatabase=Standby,Secondary!J880,Primary!J880)</f>
        <v>0</v>
      </c>
      <c r="K880" s="13">
        <f>IF(ActiveDatabase=Standby,Secondary!K880,Primary!K880)</f>
        <v>0</v>
      </c>
      <c r="L880" s="13">
        <f>IF(ActiveDatabase=Standby,Secondary!L880,Primary!L880)</f>
        <v>0</v>
      </c>
      <c r="M880" s="7">
        <f>IF(ActiveDatabase=Standby,Secondary!M880,Primary!M880)</f>
        <v>0</v>
      </c>
      <c r="N880" s="10">
        <f>IF(ActiveDatabase=Standby,Secondary!N880,Primary!N880)</f>
        <v>0</v>
      </c>
      <c r="O880" s="10">
        <f>IF(ActiveDatabase=Standby,Secondary!O880,Primary!O880)</f>
        <v>0</v>
      </c>
      <c r="P880" s="10">
        <f>IF(ActiveDatabase=Standby,Secondary!P880,Primary!P880)</f>
        <v>0</v>
      </c>
      <c r="Q880" s="6">
        <f>IF(ActiveDatabase=Standby,Secondary!Q880,Primary!Q880)</f>
        <v>0</v>
      </c>
      <c r="R880" s="18">
        <f>IF(ActiveDatabase=Standby,Secondary!R880,Primary!R880)</f>
        <v>0</v>
      </c>
      <c r="S880" s="19">
        <f>IF(ActiveDatabase=Standby,Secondary!S880,Primary!S880)</f>
        <v>0</v>
      </c>
      <c r="T880" s="10">
        <f>IF(ActiveDatabase=Standby,Secondary!T880,Primary!T880)</f>
        <v>0</v>
      </c>
      <c r="U880" s="10">
        <f>IF(ActiveDatabase=Standby,Secondary!U880,Primary!U880)</f>
        <v>0</v>
      </c>
      <c r="V880" s="10">
        <f>IF(ActiveDatabase=Standby,Secondary!V880,Primary!V880)</f>
        <v>0</v>
      </c>
      <c r="W880" s="6">
        <f>IF(ActiveDatabase=Standby,Secondary!W880,Primary!W880)</f>
        <v>0</v>
      </c>
      <c r="X880" s="6">
        <f>IF(ActiveDatabase=Standby,Secondary!X880,Primary!X880)</f>
        <v>0</v>
      </c>
      <c r="Y880" s="12">
        <f>IF(ActiveDatabase=Standby,Secondary!Y880,Primary!Y1538)</f>
        <v>0</v>
      </c>
      <c r="Z880" s="12">
        <f>IF(ActiveDatabase=Standby,Secondary!Z880,Primary!Z1538)</f>
        <v>0</v>
      </c>
      <c r="AA880" s="7">
        <f>IF(ActiveDatabase=Standby,Secondary!AA880,Primary!AA1538)</f>
        <v>0</v>
      </c>
      <c r="AB880" s="12"/>
      <c r="AC880" s="6"/>
      <c r="AD880" s="6"/>
      <c r="AE880" s="7"/>
      <c r="AF880" s="7"/>
      <c r="AG880" s="7"/>
      <c r="AH880" s="7"/>
      <c r="AI880" s="7"/>
      <c r="AJ880" s="7"/>
      <c r="AK880" s="7"/>
      <c r="AL880" s="7"/>
      <c r="AM880" s="7"/>
      <c r="AN880" s="7"/>
      <c r="AO880" s="6"/>
      <c r="AP880" s="7"/>
      <c r="AQ880" s="7"/>
      <c r="AR880" s="6"/>
      <c r="AS880" s="7"/>
      <c r="AT880" s="7"/>
      <c r="AU880" s="7"/>
      <c r="AV880" s="7"/>
      <c r="AW880" s="7"/>
      <c r="AX880" s="7"/>
      <c r="AY880" s="7"/>
      <c r="AZ880" s="7"/>
      <c r="BA880" s="7"/>
      <c r="BB880" s="7"/>
      <c r="BC880" s="7"/>
      <c r="BD880" s="7"/>
      <c r="BE880" s="7"/>
      <c r="BF880" s="7"/>
      <c r="BG880" s="7"/>
    </row>
    <row r="881" customHeight="1" spans="1:59">
      <c r="A881" s="9">
        <f>IF(ActiveDatabase=Standby,Secondary!A881,Primary!A881)</f>
        <v>0</v>
      </c>
      <c r="B881" s="5">
        <f>IF(ActiveDatabase=Standby,Secondary!B881,Primary!B881)</f>
        <v>0</v>
      </c>
      <c r="C881" s="5">
        <f>IF(ActiveDatabase=Standby,Secondary!C881,Primary!C881)</f>
        <v>0</v>
      </c>
      <c r="D881" s="5">
        <f>IF(ActiveDatabase=Standby,Secondary!D881,Primary!D881)</f>
        <v>0</v>
      </c>
      <c r="E881" s="6">
        <f>IF(ActiveDatabase=Standby,Secondary!E881,Primary!E881)</f>
        <v>0</v>
      </c>
      <c r="F881" s="10">
        <f>IF(ActiveDatabase=Standby,Secondary!F881,Primary!F881)</f>
        <v>0</v>
      </c>
      <c r="G881" s="10">
        <f>IF(ActiveDatabase=Standby,Secondary!G881,Primary!G881)</f>
        <v>0</v>
      </c>
      <c r="H881" s="10">
        <f>IF(ActiveDatabase=Standby,Secondary!H881,Primary!H881)</f>
        <v>0</v>
      </c>
      <c r="I881" s="13">
        <f>IF(ActiveDatabase=Standby,Secondary!I881,Primary!I881)</f>
        <v>0</v>
      </c>
      <c r="J881" s="13">
        <f>IF(ActiveDatabase=Standby,Secondary!J881,Primary!J881)</f>
        <v>0</v>
      </c>
      <c r="K881" s="13">
        <f>IF(ActiveDatabase=Standby,Secondary!K881,Primary!K881)</f>
        <v>0</v>
      </c>
      <c r="L881" s="13">
        <f>IF(ActiveDatabase=Standby,Secondary!L881,Primary!L881)</f>
        <v>0</v>
      </c>
      <c r="M881" s="7">
        <f>IF(ActiveDatabase=Standby,Secondary!M881,Primary!M881)</f>
        <v>0</v>
      </c>
      <c r="N881" s="10">
        <f>IF(ActiveDatabase=Standby,Secondary!N881,Primary!N881)</f>
        <v>0</v>
      </c>
      <c r="O881" s="10">
        <f>IF(ActiveDatabase=Standby,Secondary!O881,Primary!O881)</f>
        <v>0</v>
      </c>
      <c r="P881" s="10">
        <f>IF(ActiveDatabase=Standby,Secondary!P881,Primary!P881)</f>
        <v>0</v>
      </c>
      <c r="Q881" s="6">
        <f>IF(ActiveDatabase=Standby,Secondary!Q881,Primary!Q881)</f>
        <v>0</v>
      </c>
      <c r="R881" s="18">
        <f>IF(ActiveDatabase=Standby,Secondary!R881,Primary!R881)</f>
        <v>0</v>
      </c>
      <c r="S881" s="19">
        <f>IF(ActiveDatabase=Standby,Secondary!S881,Primary!S881)</f>
        <v>0</v>
      </c>
      <c r="T881" s="10">
        <f>IF(ActiveDatabase=Standby,Secondary!T881,Primary!T881)</f>
        <v>0</v>
      </c>
      <c r="U881" s="10">
        <f>IF(ActiveDatabase=Standby,Secondary!U881,Primary!U881)</f>
        <v>0</v>
      </c>
      <c r="V881" s="10">
        <f>IF(ActiveDatabase=Standby,Secondary!V881,Primary!V881)</f>
        <v>0</v>
      </c>
      <c r="W881" s="6">
        <f>IF(ActiveDatabase=Standby,Secondary!W881,Primary!W881)</f>
        <v>0</v>
      </c>
      <c r="X881" s="6">
        <f>IF(ActiveDatabase=Standby,Secondary!X881,Primary!X881)</f>
        <v>0</v>
      </c>
      <c r="Y881" s="12">
        <f>IF(ActiveDatabase=Standby,Secondary!Y881,Primary!Y1539)</f>
        <v>0</v>
      </c>
      <c r="Z881" s="12">
        <f>IF(ActiveDatabase=Standby,Secondary!Z881,Primary!Z1539)</f>
        <v>0</v>
      </c>
      <c r="AA881" s="7">
        <f>IF(ActiveDatabase=Standby,Secondary!AA881,Primary!AA1539)</f>
        <v>0</v>
      </c>
      <c r="AB881" s="12"/>
      <c r="AC881" s="6"/>
      <c r="AD881" s="6"/>
      <c r="AE881" s="7"/>
      <c r="AF881" s="7"/>
      <c r="AG881" s="7"/>
      <c r="AH881" s="7"/>
      <c r="AI881" s="7"/>
      <c r="AJ881" s="7"/>
      <c r="AK881" s="7"/>
      <c r="AL881" s="7"/>
      <c r="AM881" s="7"/>
      <c r="AN881" s="7"/>
      <c r="AO881" s="6"/>
      <c r="AP881" s="7"/>
      <c r="AQ881" s="7"/>
      <c r="AR881" s="6"/>
      <c r="AS881" s="7"/>
      <c r="AT881" s="7"/>
      <c r="AU881" s="7"/>
      <c r="AV881" s="7"/>
      <c r="AW881" s="7"/>
      <c r="AX881" s="7"/>
      <c r="AY881" s="7"/>
      <c r="AZ881" s="7"/>
      <c r="BA881" s="7"/>
      <c r="BB881" s="7"/>
      <c r="BC881" s="7"/>
      <c r="BD881" s="7"/>
      <c r="BE881" s="7"/>
      <c r="BF881" s="7"/>
      <c r="BG881" s="7"/>
    </row>
    <row r="882" customHeight="1" spans="1:59">
      <c r="A882" s="9">
        <f>IF(ActiveDatabase=Standby,Secondary!A882,Primary!A882)</f>
        <v>0</v>
      </c>
      <c r="B882" s="5">
        <f>IF(ActiveDatabase=Standby,Secondary!B882,Primary!B882)</f>
        <v>0</v>
      </c>
      <c r="C882" s="5">
        <f>IF(ActiveDatabase=Standby,Secondary!C882,Primary!C882)</f>
        <v>0</v>
      </c>
      <c r="D882" s="5">
        <f>IF(ActiveDatabase=Standby,Secondary!D882,Primary!D882)</f>
        <v>0</v>
      </c>
      <c r="E882" s="6">
        <f>IF(ActiveDatabase=Standby,Secondary!E882,Primary!E882)</f>
        <v>0</v>
      </c>
      <c r="F882" s="10">
        <f>IF(ActiveDatabase=Standby,Secondary!F882,Primary!F882)</f>
        <v>0</v>
      </c>
      <c r="G882" s="10">
        <f>IF(ActiveDatabase=Standby,Secondary!G882,Primary!G882)</f>
        <v>0</v>
      </c>
      <c r="H882" s="10">
        <f>IF(ActiveDatabase=Standby,Secondary!H882,Primary!H882)</f>
        <v>0</v>
      </c>
      <c r="I882" s="13">
        <f>IF(ActiveDatabase=Standby,Secondary!I882,Primary!I882)</f>
        <v>0</v>
      </c>
      <c r="J882" s="13">
        <f>IF(ActiveDatabase=Standby,Secondary!J882,Primary!J882)</f>
        <v>0</v>
      </c>
      <c r="K882" s="13">
        <f>IF(ActiveDatabase=Standby,Secondary!K882,Primary!K882)</f>
        <v>0</v>
      </c>
      <c r="L882" s="13">
        <f>IF(ActiveDatabase=Standby,Secondary!L882,Primary!L882)</f>
        <v>0</v>
      </c>
      <c r="M882" s="7">
        <f>IF(ActiveDatabase=Standby,Secondary!M882,Primary!M882)</f>
        <v>0</v>
      </c>
      <c r="N882" s="10">
        <f>IF(ActiveDatabase=Standby,Secondary!N882,Primary!N882)</f>
        <v>0</v>
      </c>
      <c r="O882" s="10">
        <f>IF(ActiveDatabase=Standby,Secondary!O882,Primary!O882)</f>
        <v>0</v>
      </c>
      <c r="P882" s="10">
        <f>IF(ActiveDatabase=Standby,Secondary!P882,Primary!P882)</f>
        <v>0</v>
      </c>
      <c r="Q882" s="6">
        <f>IF(ActiveDatabase=Standby,Secondary!Q882,Primary!Q882)</f>
        <v>0</v>
      </c>
      <c r="R882" s="18">
        <f>IF(ActiveDatabase=Standby,Secondary!R882,Primary!R882)</f>
        <v>0</v>
      </c>
      <c r="S882" s="19">
        <f>IF(ActiveDatabase=Standby,Secondary!S882,Primary!S882)</f>
        <v>0</v>
      </c>
      <c r="T882" s="10">
        <f>IF(ActiveDatabase=Standby,Secondary!T882,Primary!T882)</f>
        <v>0</v>
      </c>
      <c r="U882" s="10">
        <f>IF(ActiveDatabase=Standby,Secondary!U882,Primary!U882)</f>
        <v>0</v>
      </c>
      <c r="V882" s="10">
        <f>IF(ActiveDatabase=Standby,Secondary!V882,Primary!V882)</f>
        <v>0</v>
      </c>
      <c r="W882" s="6">
        <f>IF(ActiveDatabase=Standby,Secondary!W882,Primary!W882)</f>
        <v>0</v>
      </c>
      <c r="X882" s="6">
        <f>IF(ActiveDatabase=Standby,Secondary!X882,Primary!X882)</f>
        <v>0</v>
      </c>
      <c r="Y882" s="12">
        <f>IF(ActiveDatabase=Standby,Secondary!Y882,Primary!Y1540)</f>
        <v>0</v>
      </c>
      <c r="Z882" s="12">
        <f>IF(ActiveDatabase=Standby,Secondary!Z882,Primary!Z1540)</f>
        <v>0</v>
      </c>
      <c r="AA882" s="7">
        <f>IF(ActiveDatabase=Standby,Secondary!AA882,Primary!AA1540)</f>
        <v>0</v>
      </c>
      <c r="AB882" s="12"/>
      <c r="AC882" s="6"/>
      <c r="AD882" s="6"/>
      <c r="AE882" s="7"/>
      <c r="AF882" s="7"/>
      <c r="AG882" s="7"/>
      <c r="AH882" s="7"/>
      <c r="AI882" s="7"/>
      <c r="AJ882" s="7"/>
      <c r="AK882" s="7"/>
      <c r="AL882" s="7"/>
      <c r="AM882" s="7"/>
      <c r="AN882" s="7"/>
      <c r="AO882" s="6"/>
      <c r="AP882" s="7"/>
      <c r="AQ882" s="7"/>
      <c r="AR882" s="6"/>
      <c r="AS882" s="7"/>
      <c r="AT882" s="7"/>
      <c r="AU882" s="7"/>
      <c r="AV882" s="7"/>
      <c r="AW882" s="7"/>
      <c r="AX882" s="7"/>
      <c r="AY882" s="7"/>
      <c r="AZ882" s="7"/>
      <c r="BA882" s="7"/>
      <c r="BB882" s="7"/>
      <c r="BC882" s="7"/>
      <c r="BD882" s="7"/>
      <c r="BE882" s="7"/>
      <c r="BF882" s="7"/>
      <c r="BG882" s="7"/>
    </row>
    <row r="883" customHeight="1" spans="1:59">
      <c r="A883" s="9">
        <f>IF(ActiveDatabase=Standby,Secondary!A883,Primary!A883)</f>
        <v>0</v>
      </c>
      <c r="B883" s="5">
        <f>IF(ActiveDatabase=Standby,Secondary!B883,Primary!B883)</f>
        <v>0</v>
      </c>
      <c r="C883" s="5">
        <f>IF(ActiveDatabase=Standby,Secondary!C883,Primary!C883)</f>
        <v>0</v>
      </c>
      <c r="D883" s="5">
        <f>IF(ActiveDatabase=Standby,Secondary!D883,Primary!D883)</f>
        <v>0</v>
      </c>
      <c r="E883" s="6">
        <f>IF(ActiveDatabase=Standby,Secondary!E883,Primary!E883)</f>
        <v>0</v>
      </c>
      <c r="F883" s="10">
        <f>IF(ActiveDatabase=Standby,Secondary!F883,Primary!F883)</f>
        <v>0</v>
      </c>
      <c r="G883" s="10">
        <f>IF(ActiveDatabase=Standby,Secondary!G883,Primary!G883)</f>
        <v>0</v>
      </c>
      <c r="H883" s="10">
        <f>IF(ActiveDatabase=Standby,Secondary!H883,Primary!H883)</f>
        <v>0</v>
      </c>
      <c r="I883" s="13">
        <f>IF(ActiveDatabase=Standby,Secondary!I883,Primary!I883)</f>
        <v>0</v>
      </c>
      <c r="J883" s="13">
        <f>IF(ActiveDatabase=Standby,Secondary!J883,Primary!J883)</f>
        <v>0</v>
      </c>
      <c r="K883" s="13">
        <f>IF(ActiveDatabase=Standby,Secondary!K883,Primary!K883)</f>
        <v>0</v>
      </c>
      <c r="L883" s="13">
        <f>IF(ActiveDatabase=Standby,Secondary!L883,Primary!L883)</f>
        <v>0</v>
      </c>
      <c r="M883" s="7">
        <f>IF(ActiveDatabase=Standby,Secondary!M883,Primary!M883)</f>
        <v>0</v>
      </c>
      <c r="N883" s="10">
        <f>IF(ActiveDatabase=Standby,Secondary!N883,Primary!N883)</f>
        <v>0</v>
      </c>
      <c r="O883" s="10">
        <f>IF(ActiveDatabase=Standby,Secondary!O883,Primary!O883)</f>
        <v>0</v>
      </c>
      <c r="P883" s="10">
        <f>IF(ActiveDatabase=Standby,Secondary!P883,Primary!P883)</f>
        <v>0</v>
      </c>
      <c r="Q883" s="6">
        <f>IF(ActiveDatabase=Standby,Secondary!Q883,Primary!Q883)</f>
        <v>0</v>
      </c>
      <c r="R883" s="18">
        <f>IF(ActiveDatabase=Standby,Secondary!R883,Primary!R883)</f>
        <v>0</v>
      </c>
      <c r="S883" s="19">
        <f>IF(ActiveDatabase=Standby,Secondary!S883,Primary!S883)</f>
        <v>0</v>
      </c>
      <c r="T883" s="10">
        <f>IF(ActiveDatabase=Standby,Secondary!T883,Primary!T883)</f>
        <v>0</v>
      </c>
      <c r="U883" s="10">
        <f>IF(ActiveDatabase=Standby,Secondary!U883,Primary!U883)</f>
        <v>0</v>
      </c>
      <c r="V883" s="10">
        <f>IF(ActiveDatabase=Standby,Secondary!V883,Primary!V883)</f>
        <v>0</v>
      </c>
      <c r="W883" s="6">
        <f>IF(ActiveDatabase=Standby,Secondary!W883,Primary!W883)</f>
        <v>0</v>
      </c>
      <c r="X883" s="6">
        <f>IF(ActiveDatabase=Standby,Secondary!X883,Primary!X883)</f>
        <v>0</v>
      </c>
      <c r="Y883" s="12">
        <f>IF(ActiveDatabase=Standby,Secondary!Y883,Primary!Y1541)</f>
        <v>0</v>
      </c>
      <c r="Z883" s="12">
        <f>IF(ActiveDatabase=Standby,Secondary!Z883,Primary!Z1541)</f>
        <v>0</v>
      </c>
      <c r="AA883" s="7">
        <f>IF(ActiveDatabase=Standby,Secondary!AA883,Primary!AA1541)</f>
        <v>0</v>
      </c>
      <c r="AB883" s="12"/>
      <c r="AC883" s="6"/>
      <c r="AD883" s="6"/>
      <c r="AE883" s="7"/>
      <c r="AF883" s="7"/>
      <c r="AG883" s="7"/>
      <c r="AH883" s="7"/>
      <c r="AI883" s="7"/>
      <c r="AJ883" s="7"/>
      <c r="AK883" s="7"/>
      <c r="AL883" s="7"/>
      <c r="AM883" s="7"/>
      <c r="AN883" s="7"/>
      <c r="AO883" s="6"/>
      <c r="AP883" s="7"/>
      <c r="AQ883" s="7"/>
      <c r="AR883" s="6"/>
      <c r="AS883" s="7"/>
      <c r="AT883" s="7"/>
      <c r="AU883" s="7"/>
      <c r="AV883" s="7"/>
      <c r="AW883" s="7"/>
      <c r="AX883" s="7"/>
      <c r="AY883" s="7"/>
      <c r="AZ883" s="7"/>
      <c r="BA883" s="7"/>
      <c r="BB883" s="7"/>
      <c r="BC883" s="7"/>
      <c r="BD883" s="7"/>
      <c r="BE883" s="7"/>
      <c r="BF883" s="7"/>
      <c r="BG883" s="7"/>
    </row>
    <row r="884" customHeight="1" spans="1:59">
      <c r="A884" s="9">
        <f>IF(ActiveDatabase=Standby,Secondary!A884,Primary!A884)</f>
        <v>0</v>
      </c>
      <c r="B884" s="5">
        <f>IF(ActiveDatabase=Standby,Secondary!B884,Primary!B884)</f>
        <v>0</v>
      </c>
      <c r="C884" s="5">
        <f>IF(ActiveDatabase=Standby,Secondary!C884,Primary!C884)</f>
        <v>0</v>
      </c>
      <c r="D884" s="5">
        <f>IF(ActiveDatabase=Standby,Secondary!D884,Primary!D884)</f>
        <v>0</v>
      </c>
      <c r="E884" s="6">
        <f>IF(ActiveDatabase=Standby,Secondary!E884,Primary!E884)</f>
        <v>0</v>
      </c>
      <c r="F884" s="10">
        <f>IF(ActiveDatabase=Standby,Secondary!F884,Primary!F884)</f>
        <v>0</v>
      </c>
      <c r="G884" s="10">
        <f>IF(ActiveDatabase=Standby,Secondary!G884,Primary!G884)</f>
        <v>0</v>
      </c>
      <c r="H884" s="10">
        <f>IF(ActiveDatabase=Standby,Secondary!H884,Primary!H884)</f>
        <v>0</v>
      </c>
      <c r="I884" s="13">
        <f>IF(ActiveDatabase=Standby,Secondary!I884,Primary!I884)</f>
        <v>0</v>
      </c>
      <c r="J884" s="13">
        <f>IF(ActiveDatabase=Standby,Secondary!J884,Primary!J884)</f>
        <v>0</v>
      </c>
      <c r="K884" s="13">
        <f>IF(ActiveDatabase=Standby,Secondary!K884,Primary!K884)</f>
        <v>0</v>
      </c>
      <c r="L884" s="13">
        <f>IF(ActiveDatabase=Standby,Secondary!L884,Primary!L884)</f>
        <v>0</v>
      </c>
      <c r="M884" s="7">
        <f>IF(ActiveDatabase=Standby,Secondary!M884,Primary!M884)</f>
        <v>0</v>
      </c>
      <c r="N884" s="10">
        <f>IF(ActiveDatabase=Standby,Secondary!N884,Primary!N884)</f>
        <v>0</v>
      </c>
      <c r="O884" s="10">
        <f>IF(ActiveDatabase=Standby,Secondary!O884,Primary!O884)</f>
        <v>0</v>
      </c>
      <c r="P884" s="10">
        <f>IF(ActiveDatabase=Standby,Secondary!P884,Primary!P884)</f>
        <v>0</v>
      </c>
      <c r="Q884" s="6">
        <f>IF(ActiveDatabase=Standby,Secondary!Q884,Primary!Q884)</f>
        <v>0</v>
      </c>
      <c r="R884" s="18">
        <f>IF(ActiveDatabase=Standby,Secondary!R884,Primary!R884)</f>
        <v>0</v>
      </c>
      <c r="S884" s="19">
        <f>IF(ActiveDatabase=Standby,Secondary!S884,Primary!S884)</f>
        <v>0</v>
      </c>
      <c r="T884" s="10">
        <f>IF(ActiveDatabase=Standby,Secondary!T884,Primary!T884)</f>
        <v>0</v>
      </c>
      <c r="U884" s="10">
        <f>IF(ActiveDatabase=Standby,Secondary!U884,Primary!U884)</f>
        <v>0</v>
      </c>
      <c r="V884" s="10">
        <f>IF(ActiveDatabase=Standby,Secondary!V884,Primary!V884)</f>
        <v>0</v>
      </c>
      <c r="W884" s="6">
        <f>IF(ActiveDatabase=Standby,Secondary!W884,Primary!W884)</f>
        <v>0</v>
      </c>
      <c r="X884" s="6">
        <f>IF(ActiveDatabase=Standby,Secondary!X884,Primary!X884)</f>
        <v>0</v>
      </c>
      <c r="Y884" s="12">
        <f>IF(ActiveDatabase=Standby,Secondary!Y884,Primary!Y1542)</f>
        <v>0</v>
      </c>
      <c r="Z884" s="12">
        <f>IF(ActiveDatabase=Standby,Secondary!Z884,Primary!Z1542)</f>
        <v>0</v>
      </c>
      <c r="AA884" s="7">
        <f>IF(ActiveDatabase=Standby,Secondary!AA884,Primary!AA1542)</f>
        <v>0</v>
      </c>
      <c r="AB884" s="12"/>
      <c r="AC884" s="6"/>
      <c r="AD884" s="6"/>
      <c r="AE884" s="7"/>
      <c r="AF884" s="7"/>
      <c r="AG884" s="7"/>
      <c r="AH884" s="7"/>
      <c r="AI884" s="7"/>
      <c r="AJ884" s="7"/>
      <c r="AK884" s="7"/>
      <c r="AL884" s="7"/>
      <c r="AM884" s="7"/>
      <c r="AN884" s="7"/>
      <c r="AO884" s="6"/>
      <c r="AP884" s="7"/>
      <c r="AQ884" s="7"/>
      <c r="AR884" s="6"/>
      <c r="AS884" s="7"/>
      <c r="AT884" s="7"/>
      <c r="AU884" s="7"/>
      <c r="AV884" s="7"/>
      <c r="AW884" s="7"/>
      <c r="AX884" s="7"/>
      <c r="AY884" s="7"/>
      <c r="AZ884" s="7"/>
      <c r="BA884" s="7"/>
      <c r="BB884" s="7"/>
      <c r="BC884" s="7"/>
      <c r="BD884" s="7"/>
      <c r="BE884" s="7"/>
      <c r="BF884" s="7"/>
      <c r="BG884" s="7"/>
    </row>
    <row r="885" customHeight="1" spans="1:59">
      <c r="A885" s="9">
        <f>IF(ActiveDatabase=Standby,Secondary!A885,Primary!A885)</f>
        <v>0</v>
      </c>
      <c r="B885" s="5">
        <f>IF(ActiveDatabase=Standby,Secondary!B885,Primary!B885)</f>
        <v>0</v>
      </c>
      <c r="C885" s="5">
        <f>IF(ActiveDatabase=Standby,Secondary!C885,Primary!C885)</f>
        <v>0</v>
      </c>
      <c r="D885" s="5">
        <f>IF(ActiveDatabase=Standby,Secondary!D885,Primary!D885)</f>
        <v>0</v>
      </c>
      <c r="E885" s="6">
        <f>IF(ActiveDatabase=Standby,Secondary!E885,Primary!E885)</f>
        <v>0</v>
      </c>
      <c r="F885" s="10">
        <f>IF(ActiveDatabase=Standby,Secondary!F885,Primary!F885)</f>
        <v>0</v>
      </c>
      <c r="G885" s="10">
        <f>IF(ActiveDatabase=Standby,Secondary!G885,Primary!G885)</f>
        <v>0</v>
      </c>
      <c r="H885" s="10">
        <f>IF(ActiveDatabase=Standby,Secondary!H885,Primary!H885)</f>
        <v>0</v>
      </c>
      <c r="I885" s="13">
        <f>IF(ActiveDatabase=Standby,Secondary!I885,Primary!I885)</f>
        <v>0</v>
      </c>
      <c r="J885" s="13">
        <f>IF(ActiveDatabase=Standby,Secondary!J885,Primary!J885)</f>
        <v>0</v>
      </c>
      <c r="K885" s="13">
        <f>IF(ActiveDatabase=Standby,Secondary!K885,Primary!K885)</f>
        <v>0</v>
      </c>
      <c r="L885" s="13">
        <f>IF(ActiveDatabase=Standby,Secondary!L885,Primary!L885)</f>
        <v>0</v>
      </c>
      <c r="M885" s="7">
        <f>IF(ActiveDatabase=Standby,Secondary!M885,Primary!M885)</f>
        <v>0</v>
      </c>
      <c r="N885" s="10">
        <f>IF(ActiveDatabase=Standby,Secondary!N885,Primary!N885)</f>
        <v>0</v>
      </c>
      <c r="O885" s="10">
        <f>IF(ActiveDatabase=Standby,Secondary!O885,Primary!O885)</f>
        <v>0</v>
      </c>
      <c r="P885" s="10">
        <f>IF(ActiveDatabase=Standby,Secondary!P885,Primary!P885)</f>
        <v>0</v>
      </c>
      <c r="Q885" s="6">
        <f>IF(ActiveDatabase=Standby,Secondary!Q885,Primary!Q885)</f>
        <v>0</v>
      </c>
      <c r="R885" s="18">
        <f>IF(ActiveDatabase=Standby,Secondary!R885,Primary!R885)</f>
        <v>0</v>
      </c>
      <c r="S885" s="19">
        <f>IF(ActiveDatabase=Standby,Secondary!S885,Primary!S885)</f>
        <v>0</v>
      </c>
      <c r="T885" s="10">
        <f>IF(ActiveDatabase=Standby,Secondary!T885,Primary!T885)</f>
        <v>0</v>
      </c>
      <c r="U885" s="10">
        <f>IF(ActiveDatabase=Standby,Secondary!U885,Primary!U885)</f>
        <v>0</v>
      </c>
      <c r="V885" s="10">
        <f>IF(ActiveDatabase=Standby,Secondary!V885,Primary!V885)</f>
        <v>0</v>
      </c>
      <c r="W885" s="6">
        <f>IF(ActiveDatabase=Standby,Secondary!W885,Primary!W885)</f>
        <v>0</v>
      </c>
      <c r="X885" s="6">
        <f>IF(ActiveDatabase=Standby,Secondary!X885,Primary!X885)</f>
        <v>0</v>
      </c>
      <c r="Y885" s="12">
        <f>IF(ActiveDatabase=Standby,Secondary!Y885,Primary!Y1543)</f>
        <v>0</v>
      </c>
      <c r="Z885" s="12">
        <f>IF(ActiveDatabase=Standby,Secondary!Z885,Primary!Z1543)</f>
        <v>0</v>
      </c>
      <c r="AA885" s="7">
        <f>IF(ActiveDatabase=Standby,Secondary!AA885,Primary!AA1543)</f>
        <v>0</v>
      </c>
      <c r="AB885" s="12"/>
      <c r="AC885" s="6"/>
      <c r="AD885" s="6"/>
      <c r="AE885" s="7"/>
      <c r="AF885" s="7"/>
      <c r="AG885" s="7"/>
      <c r="AH885" s="7"/>
      <c r="AI885" s="7"/>
      <c r="AJ885" s="7"/>
      <c r="AK885" s="7"/>
      <c r="AL885" s="7"/>
      <c r="AM885" s="7"/>
      <c r="AN885" s="7"/>
      <c r="AO885" s="6"/>
      <c r="AP885" s="7"/>
      <c r="AQ885" s="7"/>
      <c r="AR885" s="6"/>
      <c r="AS885" s="7"/>
      <c r="AT885" s="7"/>
      <c r="AU885" s="7"/>
      <c r="AV885" s="7"/>
      <c r="AW885" s="7"/>
      <c r="AX885" s="7"/>
      <c r="AY885" s="7"/>
      <c r="AZ885" s="7"/>
      <c r="BA885" s="7"/>
      <c r="BB885" s="7"/>
      <c r="BC885" s="7"/>
      <c r="BD885" s="7"/>
      <c r="BE885" s="7"/>
      <c r="BF885" s="7"/>
      <c r="BG885" s="7"/>
    </row>
    <row r="886" customHeight="1" spans="1:59">
      <c r="A886" s="9">
        <f>IF(ActiveDatabase=Standby,Secondary!A886,Primary!A886)</f>
        <v>0</v>
      </c>
      <c r="B886" s="5">
        <f>IF(ActiveDatabase=Standby,Secondary!B886,Primary!B886)</f>
        <v>0</v>
      </c>
      <c r="C886" s="5">
        <f>IF(ActiveDatabase=Standby,Secondary!C886,Primary!C886)</f>
        <v>0</v>
      </c>
      <c r="D886" s="5">
        <f>IF(ActiveDatabase=Standby,Secondary!D886,Primary!D886)</f>
        <v>0</v>
      </c>
      <c r="E886" s="6">
        <f>IF(ActiveDatabase=Standby,Secondary!E886,Primary!E886)</f>
        <v>0</v>
      </c>
      <c r="F886" s="10">
        <f>IF(ActiveDatabase=Standby,Secondary!F886,Primary!F886)</f>
        <v>0</v>
      </c>
      <c r="G886" s="10">
        <f>IF(ActiveDatabase=Standby,Secondary!G886,Primary!G886)</f>
        <v>0</v>
      </c>
      <c r="H886" s="10">
        <f>IF(ActiveDatabase=Standby,Secondary!H886,Primary!H886)</f>
        <v>0</v>
      </c>
      <c r="I886" s="13">
        <f>IF(ActiveDatabase=Standby,Secondary!I886,Primary!I886)</f>
        <v>0</v>
      </c>
      <c r="J886" s="13">
        <f>IF(ActiveDatabase=Standby,Secondary!J886,Primary!J886)</f>
        <v>0</v>
      </c>
      <c r="K886" s="13">
        <f>IF(ActiveDatabase=Standby,Secondary!K886,Primary!K886)</f>
        <v>0</v>
      </c>
      <c r="L886" s="13">
        <f>IF(ActiveDatabase=Standby,Secondary!L886,Primary!L886)</f>
        <v>0</v>
      </c>
      <c r="M886" s="7">
        <f>IF(ActiveDatabase=Standby,Secondary!M886,Primary!M886)</f>
        <v>0</v>
      </c>
      <c r="N886" s="10">
        <f>IF(ActiveDatabase=Standby,Secondary!N886,Primary!N886)</f>
        <v>0</v>
      </c>
      <c r="O886" s="10">
        <f>IF(ActiveDatabase=Standby,Secondary!O886,Primary!O886)</f>
        <v>0</v>
      </c>
      <c r="P886" s="10">
        <f>IF(ActiveDatabase=Standby,Secondary!P886,Primary!P886)</f>
        <v>0</v>
      </c>
      <c r="Q886" s="6">
        <f>IF(ActiveDatabase=Standby,Secondary!Q886,Primary!Q886)</f>
        <v>0</v>
      </c>
      <c r="R886" s="18">
        <f>IF(ActiveDatabase=Standby,Secondary!R886,Primary!R886)</f>
        <v>0</v>
      </c>
      <c r="S886" s="19">
        <f>IF(ActiveDatabase=Standby,Secondary!S886,Primary!S886)</f>
        <v>0</v>
      </c>
      <c r="T886" s="10">
        <f>IF(ActiveDatabase=Standby,Secondary!T886,Primary!T886)</f>
        <v>0</v>
      </c>
      <c r="U886" s="10">
        <f>IF(ActiveDatabase=Standby,Secondary!U886,Primary!U886)</f>
        <v>0</v>
      </c>
      <c r="V886" s="10">
        <f>IF(ActiveDatabase=Standby,Secondary!V886,Primary!V886)</f>
        <v>0</v>
      </c>
      <c r="W886" s="6">
        <f>IF(ActiveDatabase=Standby,Secondary!W886,Primary!W886)</f>
        <v>0</v>
      </c>
      <c r="X886" s="6">
        <f>IF(ActiveDatabase=Standby,Secondary!X886,Primary!X886)</f>
        <v>0</v>
      </c>
      <c r="Y886" s="12">
        <f>IF(ActiveDatabase=Standby,Secondary!Y886,Primary!Y1544)</f>
        <v>0</v>
      </c>
      <c r="Z886" s="12">
        <f>IF(ActiveDatabase=Standby,Secondary!Z886,Primary!Z1544)</f>
        <v>0</v>
      </c>
      <c r="AA886" s="7">
        <f>IF(ActiveDatabase=Standby,Secondary!AA886,Primary!AA1544)</f>
        <v>0</v>
      </c>
      <c r="AB886" s="12"/>
      <c r="AC886" s="6"/>
      <c r="AD886" s="6"/>
      <c r="AE886" s="7"/>
      <c r="AF886" s="7"/>
      <c r="AG886" s="7"/>
      <c r="AH886" s="7"/>
      <c r="AI886" s="7"/>
      <c r="AJ886" s="7"/>
      <c r="AK886" s="7"/>
      <c r="AL886" s="7"/>
      <c r="AM886" s="7"/>
      <c r="AN886" s="7"/>
      <c r="AO886" s="6"/>
      <c r="AP886" s="7"/>
      <c r="AQ886" s="7"/>
      <c r="AR886" s="6"/>
      <c r="AS886" s="7"/>
      <c r="AT886" s="7"/>
      <c r="AU886" s="7"/>
      <c r="AV886" s="7"/>
      <c r="AW886" s="7"/>
      <c r="AX886" s="7"/>
      <c r="AY886" s="7"/>
      <c r="AZ886" s="7"/>
      <c r="BA886" s="7"/>
      <c r="BB886" s="7"/>
      <c r="BC886" s="7"/>
      <c r="BD886" s="7"/>
      <c r="BE886" s="7"/>
      <c r="BF886" s="7"/>
      <c r="BG886" s="7"/>
    </row>
    <row r="887" customHeight="1" spans="1:59">
      <c r="A887" s="9">
        <f>IF(ActiveDatabase=Standby,Secondary!A887,Primary!A887)</f>
        <v>0</v>
      </c>
      <c r="B887" s="5">
        <f>IF(ActiveDatabase=Standby,Secondary!B887,Primary!B887)</f>
        <v>0</v>
      </c>
      <c r="C887" s="5">
        <f>IF(ActiveDatabase=Standby,Secondary!C887,Primary!C887)</f>
        <v>0</v>
      </c>
      <c r="D887" s="5">
        <f>IF(ActiveDatabase=Standby,Secondary!D887,Primary!D887)</f>
        <v>0</v>
      </c>
      <c r="E887" s="6">
        <f>IF(ActiveDatabase=Standby,Secondary!E887,Primary!E887)</f>
        <v>0</v>
      </c>
      <c r="F887" s="10">
        <f>IF(ActiveDatabase=Standby,Secondary!F887,Primary!F887)</f>
        <v>0</v>
      </c>
      <c r="G887" s="10">
        <f>IF(ActiveDatabase=Standby,Secondary!G887,Primary!G887)</f>
        <v>0</v>
      </c>
      <c r="H887" s="10">
        <f>IF(ActiveDatabase=Standby,Secondary!H887,Primary!H887)</f>
        <v>0</v>
      </c>
      <c r="I887" s="13">
        <f>IF(ActiveDatabase=Standby,Secondary!I887,Primary!I887)</f>
        <v>0</v>
      </c>
      <c r="J887" s="13">
        <f>IF(ActiveDatabase=Standby,Secondary!J887,Primary!J887)</f>
        <v>0</v>
      </c>
      <c r="K887" s="13">
        <f>IF(ActiveDatabase=Standby,Secondary!K887,Primary!K887)</f>
        <v>0</v>
      </c>
      <c r="L887" s="13">
        <f>IF(ActiveDatabase=Standby,Secondary!L887,Primary!L887)</f>
        <v>0</v>
      </c>
      <c r="M887" s="7">
        <f>IF(ActiveDatabase=Standby,Secondary!M887,Primary!M887)</f>
        <v>0</v>
      </c>
      <c r="N887" s="10">
        <f>IF(ActiveDatabase=Standby,Secondary!N887,Primary!N887)</f>
        <v>0</v>
      </c>
      <c r="O887" s="10">
        <f>IF(ActiveDatabase=Standby,Secondary!O887,Primary!O887)</f>
        <v>0</v>
      </c>
      <c r="P887" s="10">
        <f>IF(ActiveDatabase=Standby,Secondary!P887,Primary!P887)</f>
        <v>0</v>
      </c>
      <c r="Q887" s="6">
        <f>IF(ActiveDatabase=Standby,Secondary!Q887,Primary!Q887)</f>
        <v>0</v>
      </c>
      <c r="R887" s="18">
        <f>IF(ActiveDatabase=Standby,Secondary!R887,Primary!R887)</f>
        <v>0</v>
      </c>
      <c r="S887" s="19">
        <f>IF(ActiveDatabase=Standby,Secondary!S887,Primary!S887)</f>
        <v>0</v>
      </c>
      <c r="T887" s="10">
        <f>IF(ActiveDatabase=Standby,Secondary!T887,Primary!T887)</f>
        <v>0</v>
      </c>
      <c r="U887" s="10">
        <f>IF(ActiveDatabase=Standby,Secondary!U887,Primary!U887)</f>
        <v>0</v>
      </c>
      <c r="V887" s="10">
        <f>IF(ActiveDatabase=Standby,Secondary!V887,Primary!V887)</f>
        <v>0</v>
      </c>
      <c r="W887" s="6">
        <f>IF(ActiveDatabase=Standby,Secondary!W887,Primary!W887)</f>
        <v>0</v>
      </c>
      <c r="X887" s="6">
        <f>IF(ActiveDatabase=Standby,Secondary!X887,Primary!X887)</f>
        <v>0</v>
      </c>
      <c r="Y887" s="12">
        <f>IF(ActiveDatabase=Standby,Secondary!Y887,Primary!Y1545)</f>
        <v>0</v>
      </c>
      <c r="Z887" s="12">
        <f>IF(ActiveDatabase=Standby,Secondary!Z887,Primary!Z1545)</f>
        <v>0</v>
      </c>
      <c r="AA887" s="7">
        <f>IF(ActiveDatabase=Standby,Secondary!AA887,Primary!AA1545)</f>
        <v>0</v>
      </c>
      <c r="AB887" s="12"/>
      <c r="AC887" s="6"/>
      <c r="AD887" s="6"/>
      <c r="AE887" s="7"/>
      <c r="AF887" s="7"/>
      <c r="AG887" s="7"/>
      <c r="AH887" s="7"/>
      <c r="AI887" s="7"/>
      <c r="AJ887" s="7"/>
      <c r="AK887" s="7"/>
      <c r="AL887" s="7"/>
      <c r="AM887" s="7"/>
      <c r="AN887" s="7"/>
      <c r="AO887" s="6"/>
      <c r="AP887" s="7"/>
      <c r="AQ887" s="7"/>
      <c r="AR887" s="6"/>
      <c r="AS887" s="7"/>
      <c r="AT887" s="7"/>
      <c r="AU887" s="7"/>
      <c r="AV887" s="7"/>
      <c r="AW887" s="7"/>
      <c r="AX887" s="7"/>
      <c r="AY887" s="7"/>
      <c r="AZ887" s="7"/>
      <c r="BA887" s="7"/>
      <c r="BB887" s="7"/>
      <c r="BC887" s="7"/>
      <c r="BD887" s="7"/>
      <c r="BE887" s="7"/>
      <c r="BF887" s="7"/>
      <c r="BG887" s="7"/>
    </row>
    <row r="888" customHeight="1" spans="1:59">
      <c r="A888" s="9">
        <f>IF(ActiveDatabase=Standby,Secondary!A888,Primary!A888)</f>
        <v>0</v>
      </c>
      <c r="B888" s="5">
        <f>IF(ActiveDatabase=Standby,Secondary!B888,Primary!B888)</f>
        <v>0</v>
      </c>
      <c r="C888" s="5">
        <f>IF(ActiveDatabase=Standby,Secondary!C888,Primary!C888)</f>
        <v>0</v>
      </c>
      <c r="D888" s="5">
        <f>IF(ActiveDatabase=Standby,Secondary!D888,Primary!D888)</f>
        <v>0</v>
      </c>
      <c r="E888" s="6">
        <f>IF(ActiveDatabase=Standby,Secondary!E888,Primary!E888)</f>
        <v>0</v>
      </c>
      <c r="F888" s="10">
        <f>IF(ActiveDatabase=Standby,Secondary!F888,Primary!F888)</f>
        <v>0</v>
      </c>
      <c r="G888" s="10">
        <f>IF(ActiveDatabase=Standby,Secondary!G888,Primary!G888)</f>
        <v>0</v>
      </c>
      <c r="H888" s="10">
        <f>IF(ActiveDatabase=Standby,Secondary!H888,Primary!H888)</f>
        <v>0</v>
      </c>
      <c r="I888" s="13">
        <f>IF(ActiveDatabase=Standby,Secondary!I888,Primary!I888)</f>
        <v>0</v>
      </c>
      <c r="J888" s="13">
        <f>IF(ActiveDatabase=Standby,Secondary!J888,Primary!J888)</f>
        <v>0</v>
      </c>
      <c r="K888" s="13">
        <f>IF(ActiveDatabase=Standby,Secondary!K888,Primary!K888)</f>
        <v>0</v>
      </c>
      <c r="L888" s="13">
        <f>IF(ActiveDatabase=Standby,Secondary!L888,Primary!L888)</f>
        <v>0</v>
      </c>
      <c r="M888" s="7">
        <f>IF(ActiveDatabase=Standby,Secondary!M888,Primary!M888)</f>
        <v>0</v>
      </c>
      <c r="N888" s="10">
        <f>IF(ActiveDatabase=Standby,Secondary!N888,Primary!N888)</f>
        <v>0</v>
      </c>
      <c r="O888" s="10">
        <f>IF(ActiveDatabase=Standby,Secondary!O888,Primary!O888)</f>
        <v>0</v>
      </c>
      <c r="P888" s="10">
        <f>IF(ActiveDatabase=Standby,Secondary!P888,Primary!P888)</f>
        <v>0</v>
      </c>
      <c r="Q888" s="6">
        <f>IF(ActiveDatabase=Standby,Secondary!Q888,Primary!Q888)</f>
        <v>0</v>
      </c>
      <c r="R888" s="18">
        <f>IF(ActiveDatabase=Standby,Secondary!R888,Primary!R888)</f>
        <v>0</v>
      </c>
      <c r="S888" s="19">
        <f>IF(ActiveDatabase=Standby,Secondary!S888,Primary!S888)</f>
        <v>0</v>
      </c>
      <c r="T888" s="10">
        <f>IF(ActiveDatabase=Standby,Secondary!T888,Primary!T888)</f>
        <v>0</v>
      </c>
      <c r="U888" s="10">
        <f>IF(ActiveDatabase=Standby,Secondary!U888,Primary!U888)</f>
        <v>0</v>
      </c>
      <c r="V888" s="10">
        <f>IF(ActiveDatabase=Standby,Secondary!V888,Primary!V888)</f>
        <v>0</v>
      </c>
      <c r="W888" s="6">
        <f>IF(ActiveDatabase=Standby,Secondary!W888,Primary!W888)</f>
        <v>0</v>
      </c>
      <c r="X888" s="6">
        <f>IF(ActiveDatabase=Standby,Secondary!X888,Primary!X888)</f>
        <v>0</v>
      </c>
      <c r="Y888" s="12">
        <f>IF(ActiveDatabase=Standby,Secondary!Y888,Primary!Y1546)</f>
        <v>0</v>
      </c>
      <c r="Z888" s="12">
        <f>IF(ActiveDatabase=Standby,Secondary!Z888,Primary!Z1546)</f>
        <v>0</v>
      </c>
      <c r="AA888" s="7">
        <f>IF(ActiveDatabase=Standby,Secondary!AA888,Primary!AA1546)</f>
        <v>0</v>
      </c>
      <c r="AB888" s="12"/>
      <c r="AC888" s="6"/>
      <c r="AD888" s="6"/>
      <c r="AE888" s="7"/>
      <c r="AF888" s="7"/>
      <c r="AG888" s="7"/>
      <c r="AH888" s="7"/>
      <c r="AI888" s="7"/>
      <c r="AJ888" s="7"/>
      <c r="AK888" s="7"/>
      <c r="AL888" s="7"/>
      <c r="AM888" s="7"/>
      <c r="AN888" s="7"/>
      <c r="AO888" s="6"/>
      <c r="AP888" s="7"/>
      <c r="AQ888" s="7"/>
      <c r="AR888" s="6"/>
      <c r="AS888" s="7"/>
      <c r="AT888" s="7"/>
      <c r="AU888" s="7"/>
      <c r="AV888" s="7"/>
      <c r="AW888" s="7"/>
      <c r="AX888" s="7"/>
      <c r="AY888" s="7"/>
      <c r="AZ888" s="7"/>
      <c r="BA888" s="7"/>
      <c r="BB888" s="7"/>
      <c r="BC888" s="7"/>
      <c r="BD888" s="7"/>
      <c r="BE888" s="7"/>
      <c r="BF888" s="7"/>
      <c r="BG888" s="7"/>
    </row>
    <row r="889" customHeight="1" spans="1:59">
      <c r="A889" s="9">
        <f>IF(ActiveDatabase=Standby,Secondary!A889,Primary!A889)</f>
        <v>0</v>
      </c>
      <c r="B889" s="5">
        <f>IF(ActiveDatabase=Standby,Secondary!B889,Primary!B889)</f>
        <v>0</v>
      </c>
      <c r="C889" s="5">
        <f>IF(ActiveDatabase=Standby,Secondary!C889,Primary!C889)</f>
        <v>0</v>
      </c>
      <c r="D889" s="5">
        <f>IF(ActiveDatabase=Standby,Secondary!D889,Primary!D889)</f>
        <v>0</v>
      </c>
      <c r="E889" s="6">
        <f>IF(ActiveDatabase=Standby,Secondary!E889,Primary!E889)</f>
        <v>0</v>
      </c>
      <c r="F889" s="10">
        <f>IF(ActiveDatabase=Standby,Secondary!F889,Primary!F889)</f>
        <v>0</v>
      </c>
      <c r="G889" s="10">
        <f>IF(ActiveDatabase=Standby,Secondary!G889,Primary!G889)</f>
        <v>0</v>
      </c>
      <c r="H889" s="10">
        <f>IF(ActiveDatabase=Standby,Secondary!H889,Primary!H889)</f>
        <v>0</v>
      </c>
      <c r="I889" s="13">
        <f>IF(ActiveDatabase=Standby,Secondary!I889,Primary!I889)</f>
        <v>0</v>
      </c>
      <c r="J889" s="13">
        <f>IF(ActiveDatabase=Standby,Secondary!J889,Primary!J889)</f>
        <v>0</v>
      </c>
      <c r="K889" s="13">
        <f>IF(ActiveDatabase=Standby,Secondary!K889,Primary!K889)</f>
        <v>0</v>
      </c>
      <c r="L889" s="13">
        <f>IF(ActiveDatabase=Standby,Secondary!L889,Primary!L889)</f>
        <v>0</v>
      </c>
      <c r="M889" s="7">
        <f>IF(ActiveDatabase=Standby,Secondary!M889,Primary!M889)</f>
        <v>0</v>
      </c>
      <c r="N889" s="10">
        <f>IF(ActiveDatabase=Standby,Secondary!N889,Primary!N889)</f>
        <v>0</v>
      </c>
      <c r="O889" s="10">
        <f>IF(ActiveDatabase=Standby,Secondary!O889,Primary!O889)</f>
        <v>0</v>
      </c>
      <c r="P889" s="10">
        <f>IF(ActiveDatabase=Standby,Secondary!P889,Primary!P889)</f>
        <v>0</v>
      </c>
      <c r="Q889" s="6">
        <f>IF(ActiveDatabase=Standby,Secondary!Q889,Primary!Q889)</f>
        <v>0</v>
      </c>
      <c r="R889" s="18">
        <f>IF(ActiveDatabase=Standby,Secondary!R889,Primary!R889)</f>
        <v>0</v>
      </c>
      <c r="S889" s="19">
        <f>IF(ActiveDatabase=Standby,Secondary!S889,Primary!S889)</f>
        <v>0</v>
      </c>
      <c r="T889" s="10">
        <f>IF(ActiveDatabase=Standby,Secondary!T889,Primary!T889)</f>
        <v>0</v>
      </c>
      <c r="U889" s="10">
        <f>IF(ActiveDatabase=Standby,Secondary!U889,Primary!U889)</f>
        <v>0</v>
      </c>
      <c r="V889" s="10">
        <f>IF(ActiveDatabase=Standby,Secondary!V889,Primary!V889)</f>
        <v>0</v>
      </c>
      <c r="W889" s="6">
        <f>IF(ActiveDatabase=Standby,Secondary!W889,Primary!W889)</f>
        <v>0</v>
      </c>
      <c r="X889" s="6">
        <f>IF(ActiveDatabase=Standby,Secondary!X889,Primary!X889)</f>
        <v>0</v>
      </c>
      <c r="Y889" s="12">
        <f>IF(ActiveDatabase=Standby,Secondary!Y889,Primary!Y1547)</f>
        <v>0</v>
      </c>
      <c r="Z889" s="12">
        <f>IF(ActiveDatabase=Standby,Secondary!Z889,Primary!Z1547)</f>
        <v>0</v>
      </c>
      <c r="AA889" s="7">
        <f>IF(ActiveDatabase=Standby,Secondary!AA889,Primary!AA1547)</f>
        <v>0</v>
      </c>
      <c r="AB889" s="12"/>
      <c r="AC889" s="6"/>
      <c r="AD889" s="6"/>
      <c r="AE889" s="7"/>
      <c r="AF889" s="7"/>
      <c r="AG889" s="7"/>
      <c r="AH889" s="7"/>
      <c r="AI889" s="7"/>
      <c r="AJ889" s="7"/>
      <c r="AK889" s="7"/>
      <c r="AL889" s="7"/>
      <c r="AM889" s="7"/>
      <c r="AN889" s="7"/>
      <c r="AO889" s="6"/>
      <c r="AP889" s="7"/>
      <c r="AQ889" s="7"/>
      <c r="AR889" s="6"/>
      <c r="AS889" s="7"/>
      <c r="AT889" s="7"/>
      <c r="AU889" s="7"/>
      <c r="AV889" s="7"/>
      <c r="AW889" s="7"/>
      <c r="AX889" s="7"/>
      <c r="AY889" s="7"/>
      <c r="AZ889" s="7"/>
      <c r="BA889" s="7"/>
      <c r="BB889" s="7"/>
      <c r="BC889" s="7"/>
      <c r="BD889" s="7"/>
      <c r="BE889" s="7"/>
      <c r="BF889" s="7"/>
      <c r="BG889" s="7"/>
    </row>
    <row r="890" customHeight="1" spans="1:59">
      <c r="A890" s="9">
        <f>IF(ActiveDatabase=Standby,Secondary!A890,Primary!A890)</f>
        <v>0</v>
      </c>
      <c r="B890" s="5">
        <f>IF(ActiveDatabase=Standby,Secondary!B890,Primary!B890)</f>
        <v>0</v>
      </c>
      <c r="C890" s="5">
        <f>IF(ActiveDatabase=Standby,Secondary!C890,Primary!C890)</f>
        <v>0</v>
      </c>
      <c r="D890" s="5">
        <f>IF(ActiveDatabase=Standby,Secondary!D890,Primary!D890)</f>
        <v>0</v>
      </c>
      <c r="E890" s="6">
        <f>IF(ActiveDatabase=Standby,Secondary!E890,Primary!E890)</f>
        <v>0</v>
      </c>
      <c r="F890" s="10">
        <f>IF(ActiveDatabase=Standby,Secondary!F890,Primary!F890)</f>
        <v>0</v>
      </c>
      <c r="G890" s="10">
        <f>IF(ActiveDatabase=Standby,Secondary!G890,Primary!G890)</f>
        <v>0</v>
      </c>
      <c r="H890" s="10">
        <f>IF(ActiveDatabase=Standby,Secondary!H890,Primary!H890)</f>
        <v>0</v>
      </c>
      <c r="I890" s="13">
        <f>IF(ActiveDatabase=Standby,Secondary!I890,Primary!I890)</f>
        <v>0</v>
      </c>
      <c r="J890" s="13">
        <f>IF(ActiveDatabase=Standby,Secondary!J890,Primary!J890)</f>
        <v>0</v>
      </c>
      <c r="K890" s="13">
        <f>IF(ActiveDatabase=Standby,Secondary!K890,Primary!K890)</f>
        <v>0</v>
      </c>
      <c r="L890" s="13">
        <f>IF(ActiveDatabase=Standby,Secondary!L890,Primary!L890)</f>
        <v>0</v>
      </c>
      <c r="M890" s="7">
        <f>IF(ActiveDatabase=Standby,Secondary!M890,Primary!M890)</f>
        <v>0</v>
      </c>
      <c r="N890" s="10">
        <f>IF(ActiveDatabase=Standby,Secondary!N890,Primary!N890)</f>
        <v>0</v>
      </c>
      <c r="O890" s="10">
        <f>IF(ActiveDatabase=Standby,Secondary!O890,Primary!O890)</f>
        <v>0</v>
      </c>
      <c r="P890" s="10">
        <f>IF(ActiveDatabase=Standby,Secondary!P890,Primary!P890)</f>
        <v>0</v>
      </c>
      <c r="Q890" s="6">
        <f>IF(ActiveDatabase=Standby,Secondary!Q890,Primary!Q890)</f>
        <v>0</v>
      </c>
      <c r="R890" s="18">
        <f>IF(ActiveDatabase=Standby,Secondary!R890,Primary!R890)</f>
        <v>0</v>
      </c>
      <c r="S890" s="19">
        <f>IF(ActiveDatabase=Standby,Secondary!S890,Primary!S890)</f>
        <v>0</v>
      </c>
      <c r="T890" s="10">
        <f>IF(ActiveDatabase=Standby,Secondary!T890,Primary!T890)</f>
        <v>0</v>
      </c>
      <c r="U890" s="10">
        <f>IF(ActiveDatabase=Standby,Secondary!U890,Primary!U890)</f>
        <v>0</v>
      </c>
      <c r="V890" s="10">
        <f>IF(ActiveDatabase=Standby,Secondary!V890,Primary!V890)</f>
        <v>0</v>
      </c>
      <c r="W890" s="6">
        <f>IF(ActiveDatabase=Standby,Secondary!W890,Primary!W890)</f>
        <v>0</v>
      </c>
      <c r="X890" s="6">
        <f>IF(ActiveDatabase=Standby,Secondary!X890,Primary!X890)</f>
        <v>0</v>
      </c>
      <c r="Y890" s="12">
        <f>IF(ActiveDatabase=Standby,Secondary!Y890,Primary!Y1548)</f>
        <v>0</v>
      </c>
      <c r="Z890" s="12">
        <f>IF(ActiveDatabase=Standby,Secondary!Z890,Primary!Z1548)</f>
        <v>0</v>
      </c>
      <c r="AA890" s="7">
        <f>IF(ActiveDatabase=Standby,Secondary!AA890,Primary!AA1548)</f>
        <v>0</v>
      </c>
      <c r="AB890" s="12"/>
      <c r="AC890" s="6"/>
      <c r="AD890" s="6"/>
      <c r="AE890" s="7"/>
      <c r="AF890" s="7"/>
      <c r="AG890" s="7"/>
      <c r="AH890" s="7"/>
      <c r="AI890" s="7"/>
      <c r="AJ890" s="7"/>
      <c r="AK890" s="7"/>
      <c r="AL890" s="7"/>
      <c r="AM890" s="7"/>
      <c r="AN890" s="7"/>
      <c r="AO890" s="6"/>
      <c r="AP890" s="7"/>
      <c r="AQ890" s="7"/>
      <c r="AR890" s="6"/>
      <c r="AS890" s="7"/>
      <c r="AT890" s="7"/>
      <c r="AU890" s="7"/>
      <c r="AV890" s="7"/>
      <c r="AW890" s="7"/>
      <c r="AX890" s="7"/>
      <c r="AY890" s="7"/>
      <c r="AZ890" s="7"/>
      <c r="BA890" s="7"/>
      <c r="BB890" s="7"/>
      <c r="BC890" s="7"/>
      <c r="BD890" s="7"/>
      <c r="BE890" s="7"/>
      <c r="BF890" s="7"/>
      <c r="BG890" s="7"/>
    </row>
    <row r="891" customHeight="1" spans="1:59">
      <c r="A891" s="9">
        <f>IF(ActiveDatabase=Standby,Secondary!A891,Primary!A891)</f>
        <v>0</v>
      </c>
      <c r="B891" s="5">
        <f>IF(ActiveDatabase=Standby,Secondary!B891,Primary!B891)</f>
        <v>0</v>
      </c>
      <c r="C891" s="5">
        <f>IF(ActiveDatabase=Standby,Secondary!C891,Primary!C891)</f>
        <v>0</v>
      </c>
      <c r="D891" s="5">
        <f>IF(ActiveDatabase=Standby,Secondary!D891,Primary!D891)</f>
        <v>0</v>
      </c>
      <c r="E891" s="6">
        <f>IF(ActiveDatabase=Standby,Secondary!E891,Primary!E891)</f>
        <v>0</v>
      </c>
      <c r="F891" s="10">
        <f>IF(ActiveDatabase=Standby,Secondary!F891,Primary!F891)</f>
        <v>0</v>
      </c>
      <c r="G891" s="10">
        <f>IF(ActiveDatabase=Standby,Secondary!G891,Primary!G891)</f>
        <v>0</v>
      </c>
      <c r="H891" s="10">
        <f>IF(ActiveDatabase=Standby,Secondary!H891,Primary!H891)</f>
        <v>0</v>
      </c>
      <c r="I891" s="13">
        <f>IF(ActiveDatabase=Standby,Secondary!I891,Primary!I891)</f>
        <v>0</v>
      </c>
      <c r="J891" s="13">
        <f>IF(ActiveDatabase=Standby,Secondary!J891,Primary!J891)</f>
        <v>0</v>
      </c>
      <c r="K891" s="13">
        <f>IF(ActiveDatabase=Standby,Secondary!K891,Primary!K891)</f>
        <v>0</v>
      </c>
      <c r="L891" s="13">
        <f>IF(ActiveDatabase=Standby,Secondary!L891,Primary!L891)</f>
        <v>0</v>
      </c>
      <c r="M891" s="7">
        <f>IF(ActiveDatabase=Standby,Secondary!M891,Primary!M891)</f>
        <v>0</v>
      </c>
      <c r="N891" s="10">
        <f>IF(ActiveDatabase=Standby,Secondary!N891,Primary!N891)</f>
        <v>0</v>
      </c>
      <c r="O891" s="10">
        <f>IF(ActiveDatabase=Standby,Secondary!O891,Primary!O891)</f>
        <v>0</v>
      </c>
      <c r="P891" s="10">
        <f>IF(ActiveDatabase=Standby,Secondary!P891,Primary!P891)</f>
        <v>0</v>
      </c>
      <c r="Q891" s="6">
        <f>IF(ActiveDatabase=Standby,Secondary!Q891,Primary!Q891)</f>
        <v>0</v>
      </c>
      <c r="R891" s="18">
        <f>IF(ActiveDatabase=Standby,Secondary!R891,Primary!R891)</f>
        <v>0</v>
      </c>
      <c r="S891" s="19">
        <f>IF(ActiveDatabase=Standby,Secondary!S891,Primary!S891)</f>
        <v>0</v>
      </c>
      <c r="T891" s="10">
        <f>IF(ActiveDatabase=Standby,Secondary!T891,Primary!T891)</f>
        <v>0</v>
      </c>
      <c r="U891" s="10">
        <f>IF(ActiveDatabase=Standby,Secondary!U891,Primary!U891)</f>
        <v>0</v>
      </c>
      <c r="V891" s="10">
        <f>IF(ActiveDatabase=Standby,Secondary!V891,Primary!V891)</f>
        <v>0</v>
      </c>
      <c r="W891" s="6">
        <f>IF(ActiveDatabase=Standby,Secondary!W891,Primary!W891)</f>
        <v>0</v>
      </c>
      <c r="X891" s="6">
        <f>IF(ActiveDatabase=Standby,Secondary!X891,Primary!X891)</f>
        <v>0</v>
      </c>
      <c r="Y891" s="12">
        <f>IF(ActiveDatabase=Standby,Secondary!Y891,Primary!Y1549)</f>
        <v>0</v>
      </c>
      <c r="Z891" s="12">
        <f>IF(ActiveDatabase=Standby,Secondary!Z891,Primary!Z1549)</f>
        <v>0</v>
      </c>
      <c r="AA891" s="7">
        <f>IF(ActiveDatabase=Standby,Secondary!AA891,Primary!AA1549)</f>
        <v>0</v>
      </c>
      <c r="AB891" s="12"/>
      <c r="AC891" s="6"/>
      <c r="AD891" s="6"/>
      <c r="AE891" s="7"/>
      <c r="AF891" s="7"/>
      <c r="AG891" s="7"/>
      <c r="AH891" s="7"/>
      <c r="AI891" s="7"/>
      <c r="AJ891" s="7"/>
      <c r="AK891" s="7"/>
      <c r="AL891" s="7"/>
      <c r="AM891" s="7"/>
      <c r="AN891" s="7"/>
      <c r="AO891" s="6"/>
      <c r="AP891" s="7"/>
      <c r="AQ891" s="7"/>
      <c r="AR891" s="6"/>
      <c r="AS891" s="7"/>
      <c r="AT891" s="7"/>
      <c r="AU891" s="7"/>
      <c r="AV891" s="7"/>
      <c r="AW891" s="7"/>
      <c r="AX891" s="7"/>
      <c r="AY891" s="7"/>
      <c r="AZ891" s="7"/>
      <c r="BA891" s="7"/>
      <c r="BB891" s="7"/>
      <c r="BC891" s="7"/>
      <c r="BD891" s="7"/>
      <c r="BE891" s="7"/>
      <c r="BF891" s="7"/>
      <c r="BG891" s="7"/>
    </row>
    <row r="892" customHeight="1" spans="1:59">
      <c r="A892" s="9">
        <f>IF(ActiveDatabase=Standby,Secondary!A892,Primary!A892)</f>
        <v>0</v>
      </c>
      <c r="B892" s="5">
        <f>IF(ActiveDatabase=Standby,Secondary!B892,Primary!B892)</f>
        <v>0</v>
      </c>
      <c r="C892" s="5">
        <f>IF(ActiveDatabase=Standby,Secondary!C892,Primary!C892)</f>
        <v>0</v>
      </c>
      <c r="D892" s="5">
        <f>IF(ActiveDatabase=Standby,Secondary!D892,Primary!D892)</f>
        <v>0</v>
      </c>
      <c r="E892" s="6">
        <f>IF(ActiveDatabase=Standby,Secondary!E892,Primary!E892)</f>
        <v>0</v>
      </c>
      <c r="F892" s="10">
        <f>IF(ActiveDatabase=Standby,Secondary!F892,Primary!F892)</f>
        <v>0</v>
      </c>
      <c r="G892" s="10">
        <f>IF(ActiveDatabase=Standby,Secondary!G892,Primary!G892)</f>
        <v>0</v>
      </c>
      <c r="H892" s="10">
        <f>IF(ActiveDatabase=Standby,Secondary!H892,Primary!H892)</f>
        <v>0</v>
      </c>
      <c r="I892" s="13">
        <f>IF(ActiveDatabase=Standby,Secondary!I892,Primary!I892)</f>
        <v>0</v>
      </c>
      <c r="J892" s="13">
        <f>IF(ActiveDatabase=Standby,Secondary!J892,Primary!J892)</f>
        <v>0</v>
      </c>
      <c r="K892" s="13">
        <f>IF(ActiveDatabase=Standby,Secondary!K892,Primary!K892)</f>
        <v>0</v>
      </c>
      <c r="L892" s="13">
        <f>IF(ActiveDatabase=Standby,Secondary!L892,Primary!L892)</f>
        <v>0</v>
      </c>
      <c r="M892" s="7">
        <f>IF(ActiveDatabase=Standby,Secondary!M892,Primary!M892)</f>
        <v>0</v>
      </c>
      <c r="N892" s="10">
        <f>IF(ActiveDatabase=Standby,Secondary!N892,Primary!N892)</f>
        <v>0</v>
      </c>
      <c r="O892" s="10">
        <f>IF(ActiveDatabase=Standby,Secondary!O892,Primary!O892)</f>
        <v>0</v>
      </c>
      <c r="P892" s="10">
        <f>IF(ActiveDatabase=Standby,Secondary!P892,Primary!P892)</f>
        <v>0</v>
      </c>
      <c r="Q892" s="6">
        <f>IF(ActiveDatabase=Standby,Secondary!Q892,Primary!Q892)</f>
        <v>0</v>
      </c>
      <c r="R892" s="18">
        <f>IF(ActiveDatabase=Standby,Secondary!R892,Primary!R892)</f>
        <v>0</v>
      </c>
      <c r="S892" s="19">
        <f>IF(ActiveDatabase=Standby,Secondary!S892,Primary!S892)</f>
        <v>0</v>
      </c>
      <c r="T892" s="10">
        <f>IF(ActiveDatabase=Standby,Secondary!T892,Primary!T892)</f>
        <v>0</v>
      </c>
      <c r="U892" s="10">
        <f>IF(ActiveDatabase=Standby,Secondary!U892,Primary!U892)</f>
        <v>0</v>
      </c>
      <c r="V892" s="10">
        <f>IF(ActiveDatabase=Standby,Secondary!V892,Primary!V892)</f>
        <v>0</v>
      </c>
      <c r="W892" s="6">
        <f>IF(ActiveDatabase=Standby,Secondary!W892,Primary!W892)</f>
        <v>0</v>
      </c>
      <c r="X892" s="6">
        <f>IF(ActiveDatabase=Standby,Secondary!X892,Primary!X892)</f>
        <v>0</v>
      </c>
      <c r="Y892" s="12">
        <f>IF(ActiveDatabase=Standby,Secondary!Y892,Primary!Y1550)</f>
        <v>0</v>
      </c>
      <c r="Z892" s="12">
        <f>IF(ActiveDatabase=Standby,Secondary!Z892,Primary!Z1550)</f>
        <v>0</v>
      </c>
      <c r="AA892" s="7">
        <f>IF(ActiveDatabase=Standby,Secondary!AA892,Primary!AA1550)</f>
        <v>0</v>
      </c>
      <c r="AB892" s="12"/>
      <c r="AC892" s="6"/>
      <c r="AD892" s="6"/>
      <c r="AE892" s="7"/>
      <c r="AF892" s="7"/>
      <c r="AG892" s="7"/>
      <c r="AH892" s="7"/>
      <c r="AI892" s="7"/>
      <c r="AJ892" s="7"/>
      <c r="AK892" s="7"/>
      <c r="AL892" s="7"/>
      <c r="AM892" s="7"/>
      <c r="AN892" s="7"/>
      <c r="AO892" s="6"/>
      <c r="AP892" s="7"/>
      <c r="AQ892" s="7"/>
      <c r="AR892" s="6"/>
      <c r="AS892" s="7"/>
      <c r="AT892" s="7"/>
      <c r="AU892" s="7"/>
      <c r="AV892" s="7"/>
      <c r="AW892" s="7"/>
      <c r="AX892" s="7"/>
      <c r="AY892" s="7"/>
      <c r="AZ892" s="7"/>
      <c r="BA892" s="7"/>
      <c r="BB892" s="7"/>
      <c r="BC892" s="7"/>
      <c r="BD892" s="7"/>
      <c r="BE892" s="7"/>
      <c r="BF892" s="7"/>
      <c r="BG892" s="7"/>
    </row>
    <row r="893" customHeight="1" spans="1:59">
      <c r="A893" s="9">
        <f>IF(ActiveDatabase=Standby,Secondary!A893,Primary!A893)</f>
        <v>0</v>
      </c>
      <c r="B893" s="5">
        <f>IF(ActiveDatabase=Standby,Secondary!B893,Primary!B893)</f>
        <v>0</v>
      </c>
      <c r="C893" s="5">
        <f>IF(ActiveDatabase=Standby,Secondary!C893,Primary!C893)</f>
        <v>0</v>
      </c>
      <c r="D893" s="5">
        <f>IF(ActiveDatabase=Standby,Secondary!D893,Primary!D893)</f>
        <v>0</v>
      </c>
      <c r="E893" s="6">
        <f>IF(ActiveDatabase=Standby,Secondary!E893,Primary!E893)</f>
        <v>0</v>
      </c>
      <c r="F893" s="10">
        <f>IF(ActiveDatabase=Standby,Secondary!F893,Primary!F893)</f>
        <v>0</v>
      </c>
      <c r="G893" s="10">
        <f>IF(ActiveDatabase=Standby,Secondary!G893,Primary!G893)</f>
        <v>0</v>
      </c>
      <c r="H893" s="10">
        <f>IF(ActiveDatabase=Standby,Secondary!H893,Primary!H893)</f>
        <v>0</v>
      </c>
      <c r="I893" s="13">
        <f>IF(ActiveDatabase=Standby,Secondary!I893,Primary!I893)</f>
        <v>0</v>
      </c>
      <c r="J893" s="13">
        <f>IF(ActiveDatabase=Standby,Secondary!J893,Primary!J893)</f>
        <v>0</v>
      </c>
      <c r="K893" s="13">
        <f>IF(ActiveDatabase=Standby,Secondary!K893,Primary!K893)</f>
        <v>0</v>
      </c>
      <c r="L893" s="13">
        <f>IF(ActiveDatabase=Standby,Secondary!L893,Primary!L893)</f>
        <v>0</v>
      </c>
      <c r="M893" s="7">
        <f>IF(ActiveDatabase=Standby,Secondary!M893,Primary!M893)</f>
        <v>0</v>
      </c>
      <c r="N893" s="10">
        <f>IF(ActiveDatabase=Standby,Secondary!N893,Primary!N893)</f>
        <v>0</v>
      </c>
      <c r="O893" s="10">
        <f>IF(ActiveDatabase=Standby,Secondary!O893,Primary!O893)</f>
        <v>0</v>
      </c>
      <c r="P893" s="10">
        <f>IF(ActiveDatabase=Standby,Secondary!P893,Primary!P893)</f>
        <v>0</v>
      </c>
      <c r="Q893" s="6">
        <f>IF(ActiveDatabase=Standby,Secondary!Q893,Primary!Q893)</f>
        <v>0</v>
      </c>
      <c r="R893" s="18">
        <f>IF(ActiveDatabase=Standby,Secondary!R893,Primary!R893)</f>
        <v>0</v>
      </c>
      <c r="S893" s="19">
        <f>IF(ActiveDatabase=Standby,Secondary!S893,Primary!S893)</f>
        <v>0</v>
      </c>
      <c r="T893" s="10">
        <f>IF(ActiveDatabase=Standby,Secondary!T893,Primary!T893)</f>
        <v>0</v>
      </c>
      <c r="U893" s="10">
        <f>IF(ActiveDatabase=Standby,Secondary!U893,Primary!U893)</f>
        <v>0</v>
      </c>
      <c r="V893" s="10">
        <f>IF(ActiveDatabase=Standby,Secondary!V893,Primary!V893)</f>
        <v>0</v>
      </c>
      <c r="W893" s="6">
        <f>IF(ActiveDatabase=Standby,Secondary!W893,Primary!W893)</f>
        <v>0</v>
      </c>
      <c r="X893" s="6">
        <f>IF(ActiveDatabase=Standby,Secondary!X893,Primary!X893)</f>
        <v>0</v>
      </c>
      <c r="Y893" s="12">
        <f>IF(ActiveDatabase=Standby,Secondary!Y893,Primary!Y1551)</f>
        <v>0</v>
      </c>
      <c r="Z893" s="12">
        <f>IF(ActiveDatabase=Standby,Secondary!Z893,Primary!Z1551)</f>
        <v>0</v>
      </c>
      <c r="AA893" s="7">
        <f>IF(ActiveDatabase=Standby,Secondary!AA893,Primary!AA1551)</f>
        <v>0</v>
      </c>
      <c r="AB893" s="12"/>
      <c r="AC893" s="6"/>
      <c r="AD893" s="6"/>
      <c r="AE893" s="7"/>
      <c r="AF893" s="7"/>
      <c r="AG893" s="7"/>
      <c r="AH893" s="7"/>
      <c r="AI893" s="7"/>
      <c r="AJ893" s="7"/>
      <c r="AK893" s="7"/>
      <c r="AL893" s="7"/>
      <c r="AM893" s="7"/>
      <c r="AN893" s="7"/>
      <c r="AO893" s="6"/>
      <c r="AP893" s="7"/>
      <c r="AQ893" s="7"/>
      <c r="AR893" s="6"/>
      <c r="AS893" s="7"/>
      <c r="AT893" s="7"/>
      <c r="AU893" s="7"/>
      <c r="AV893" s="7"/>
      <c r="AW893" s="7"/>
      <c r="AX893" s="7"/>
      <c r="AY893" s="7"/>
      <c r="AZ893" s="7"/>
      <c r="BA893" s="7"/>
      <c r="BB893" s="7"/>
      <c r="BC893" s="7"/>
      <c r="BD893" s="7"/>
      <c r="BE893" s="7"/>
      <c r="BF893" s="7"/>
      <c r="BG893" s="7"/>
    </row>
    <row r="894" customHeight="1" spans="1:59">
      <c r="A894" s="9">
        <f>IF(ActiveDatabase=Standby,Secondary!A894,Primary!A894)</f>
        <v>0</v>
      </c>
      <c r="B894" s="5">
        <f>IF(ActiveDatabase=Standby,Secondary!B894,Primary!B894)</f>
        <v>0</v>
      </c>
      <c r="C894" s="5">
        <f>IF(ActiveDatabase=Standby,Secondary!C894,Primary!C894)</f>
        <v>0</v>
      </c>
      <c r="D894" s="5">
        <f>IF(ActiveDatabase=Standby,Secondary!D894,Primary!D894)</f>
        <v>0</v>
      </c>
      <c r="E894" s="6">
        <f>IF(ActiveDatabase=Standby,Secondary!E894,Primary!E894)</f>
        <v>0</v>
      </c>
      <c r="F894" s="10">
        <f>IF(ActiveDatabase=Standby,Secondary!F894,Primary!F894)</f>
        <v>0</v>
      </c>
      <c r="G894" s="10">
        <f>IF(ActiveDatabase=Standby,Secondary!G894,Primary!G894)</f>
        <v>0</v>
      </c>
      <c r="H894" s="10">
        <f>IF(ActiveDatabase=Standby,Secondary!H894,Primary!H894)</f>
        <v>0</v>
      </c>
      <c r="I894" s="13">
        <f>IF(ActiveDatabase=Standby,Secondary!I894,Primary!I894)</f>
        <v>0</v>
      </c>
      <c r="J894" s="13">
        <f>IF(ActiveDatabase=Standby,Secondary!J894,Primary!J894)</f>
        <v>0</v>
      </c>
      <c r="K894" s="13">
        <f>IF(ActiveDatabase=Standby,Secondary!K894,Primary!K894)</f>
        <v>0</v>
      </c>
      <c r="L894" s="13">
        <f>IF(ActiveDatabase=Standby,Secondary!L894,Primary!L894)</f>
        <v>0</v>
      </c>
      <c r="M894" s="7">
        <f>IF(ActiveDatabase=Standby,Secondary!M894,Primary!M894)</f>
        <v>0</v>
      </c>
      <c r="N894" s="10">
        <f>IF(ActiveDatabase=Standby,Secondary!N894,Primary!N894)</f>
        <v>0</v>
      </c>
      <c r="O894" s="10">
        <f>IF(ActiveDatabase=Standby,Secondary!O894,Primary!O894)</f>
        <v>0</v>
      </c>
      <c r="P894" s="10">
        <f>IF(ActiveDatabase=Standby,Secondary!P894,Primary!P894)</f>
        <v>0</v>
      </c>
      <c r="Q894" s="6">
        <f>IF(ActiveDatabase=Standby,Secondary!Q894,Primary!Q894)</f>
        <v>0</v>
      </c>
      <c r="R894" s="18">
        <f>IF(ActiveDatabase=Standby,Secondary!R894,Primary!R894)</f>
        <v>0</v>
      </c>
      <c r="S894" s="19">
        <f>IF(ActiveDatabase=Standby,Secondary!S894,Primary!S894)</f>
        <v>0</v>
      </c>
      <c r="T894" s="10">
        <f>IF(ActiveDatabase=Standby,Secondary!T894,Primary!T894)</f>
        <v>0</v>
      </c>
      <c r="U894" s="10">
        <f>IF(ActiveDatabase=Standby,Secondary!U894,Primary!U894)</f>
        <v>0</v>
      </c>
      <c r="V894" s="10">
        <f>IF(ActiveDatabase=Standby,Secondary!V894,Primary!V894)</f>
        <v>0</v>
      </c>
      <c r="W894" s="6">
        <f>IF(ActiveDatabase=Standby,Secondary!W894,Primary!W894)</f>
        <v>0</v>
      </c>
      <c r="X894" s="6">
        <f>IF(ActiveDatabase=Standby,Secondary!X894,Primary!X894)</f>
        <v>0</v>
      </c>
      <c r="Y894" s="12">
        <f>IF(ActiveDatabase=Standby,Secondary!Y894,Primary!Y1552)</f>
        <v>0</v>
      </c>
      <c r="Z894" s="12">
        <f>IF(ActiveDatabase=Standby,Secondary!Z894,Primary!Z1552)</f>
        <v>0</v>
      </c>
      <c r="AA894" s="7">
        <f>IF(ActiveDatabase=Standby,Secondary!AA894,Primary!AA1552)</f>
        <v>0</v>
      </c>
      <c r="AB894" s="12"/>
      <c r="AC894" s="6"/>
      <c r="AD894" s="6"/>
      <c r="AE894" s="7"/>
      <c r="AF894" s="7"/>
      <c r="AG894" s="7"/>
      <c r="AH894" s="7"/>
      <c r="AI894" s="7"/>
      <c r="AJ894" s="7"/>
      <c r="AK894" s="7"/>
      <c r="AL894" s="7"/>
      <c r="AM894" s="7"/>
      <c r="AN894" s="7"/>
      <c r="AO894" s="6"/>
      <c r="AP894" s="7"/>
      <c r="AQ894" s="7"/>
      <c r="AR894" s="6"/>
      <c r="AS894" s="7"/>
      <c r="AT894" s="7"/>
      <c r="AU894" s="7"/>
      <c r="AV894" s="7"/>
      <c r="AW894" s="7"/>
      <c r="AX894" s="7"/>
      <c r="AY894" s="7"/>
      <c r="AZ894" s="7"/>
      <c r="BA894" s="7"/>
      <c r="BB894" s="7"/>
      <c r="BC894" s="7"/>
      <c r="BD894" s="7"/>
      <c r="BE894" s="7"/>
      <c r="BF894" s="7"/>
      <c r="BG894" s="7"/>
    </row>
    <row r="895" customHeight="1" spans="1:59">
      <c r="A895" s="9">
        <f>IF(ActiveDatabase=Standby,Secondary!A895,Primary!A895)</f>
        <v>0</v>
      </c>
      <c r="B895" s="5">
        <f>IF(ActiveDatabase=Standby,Secondary!B895,Primary!B895)</f>
        <v>0</v>
      </c>
      <c r="C895" s="5">
        <f>IF(ActiveDatabase=Standby,Secondary!C895,Primary!C895)</f>
        <v>0</v>
      </c>
      <c r="D895" s="5">
        <f>IF(ActiveDatabase=Standby,Secondary!D895,Primary!D895)</f>
        <v>0</v>
      </c>
      <c r="E895" s="6">
        <f>IF(ActiveDatabase=Standby,Secondary!E895,Primary!E895)</f>
        <v>0</v>
      </c>
      <c r="F895" s="10">
        <f>IF(ActiveDatabase=Standby,Secondary!F895,Primary!F895)</f>
        <v>0</v>
      </c>
      <c r="G895" s="10">
        <f>IF(ActiveDatabase=Standby,Secondary!G895,Primary!G895)</f>
        <v>0</v>
      </c>
      <c r="H895" s="10">
        <f>IF(ActiveDatabase=Standby,Secondary!H895,Primary!H895)</f>
        <v>0</v>
      </c>
      <c r="I895" s="13">
        <f>IF(ActiveDatabase=Standby,Secondary!I895,Primary!I895)</f>
        <v>0</v>
      </c>
      <c r="J895" s="13">
        <f>IF(ActiveDatabase=Standby,Secondary!J895,Primary!J895)</f>
        <v>0</v>
      </c>
      <c r="K895" s="13">
        <f>IF(ActiveDatabase=Standby,Secondary!K895,Primary!K895)</f>
        <v>0</v>
      </c>
      <c r="L895" s="13">
        <f>IF(ActiveDatabase=Standby,Secondary!L895,Primary!L895)</f>
        <v>0</v>
      </c>
      <c r="M895" s="7">
        <f>IF(ActiveDatabase=Standby,Secondary!M895,Primary!M895)</f>
        <v>0</v>
      </c>
      <c r="N895" s="10">
        <f>IF(ActiveDatabase=Standby,Secondary!N895,Primary!N895)</f>
        <v>0</v>
      </c>
      <c r="O895" s="10">
        <f>IF(ActiveDatabase=Standby,Secondary!O895,Primary!O895)</f>
        <v>0</v>
      </c>
      <c r="P895" s="10">
        <f>IF(ActiveDatabase=Standby,Secondary!P895,Primary!P895)</f>
        <v>0</v>
      </c>
      <c r="Q895" s="6">
        <f>IF(ActiveDatabase=Standby,Secondary!Q895,Primary!Q895)</f>
        <v>0</v>
      </c>
      <c r="R895" s="18">
        <f>IF(ActiveDatabase=Standby,Secondary!R895,Primary!R895)</f>
        <v>0</v>
      </c>
      <c r="S895" s="19">
        <f>IF(ActiveDatabase=Standby,Secondary!S895,Primary!S895)</f>
        <v>0</v>
      </c>
      <c r="T895" s="10">
        <f>IF(ActiveDatabase=Standby,Secondary!T895,Primary!T895)</f>
        <v>0</v>
      </c>
      <c r="U895" s="10">
        <f>IF(ActiveDatabase=Standby,Secondary!U895,Primary!U895)</f>
        <v>0</v>
      </c>
      <c r="V895" s="10">
        <f>IF(ActiveDatabase=Standby,Secondary!V895,Primary!V895)</f>
        <v>0</v>
      </c>
      <c r="W895" s="6">
        <f>IF(ActiveDatabase=Standby,Secondary!W895,Primary!W895)</f>
        <v>0</v>
      </c>
      <c r="X895" s="6">
        <f>IF(ActiveDatabase=Standby,Secondary!X895,Primary!X895)</f>
        <v>0</v>
      </c>
      <c r="Y895" s="12">
        <f>IF(ActiveDatabase=Standby,Secondary!Y895,Primary!Y1553)</f>
        <v>0</v>
      </c>
      <c r="Z895" s="12">
        <f>IF(ActiveDatabase=Standby,Secondary!Z895,Primary!Z1553)</f>
        <v>0</v>
      </c>
      <c r="AA895" s="7">
        <f>IF(ActiveDatabase=Standby,Secondary!AA895,Primary!AA1553)</f>
        <v>0</v>
      </c>
      <c r="AB895" s="12"/>
      <c r="AC895" s="6"/>
      <c r="AD895" s="6"/>
      <c r="AE895" s="7"/>
      <c r="AF895" s="7"/>
      <c r="AG895" s="7"/>
      <c r="AH895" s="7"/>
      <c r="AI895" s="7"/>
      <c r="AJ895" s="7"/>
      <c r="AK895" s="7"/>
      <c r="AL895" s="7"/>
      <c r="AM895" s="7"/>
      <c r="AN895" s="7"/>
      <c r="AO895" s="6"/>
      <c r="AP895" s="7"/>
      <c r="AQ895" s="7"/>
      <c r="AR895" s="6"/>
      <c r="AS895" s="7"/>
      <c r="AT895" s="7"/>
      <c r="AU895" s="7"/>
      <c r="AV895" s="7"/>
      <c r="AW895" s="7"/>
      <c r="AX895" s="7"/>
      <c r="AY895" s="7"/>
      <c r="AZ895" s="7"/>
      <c r="BA895" s="7"/>
      <c r="BB895" s="7"/>
      <c r="BC895" s="7"/>
      <c r="BD895" s="7"/>
      <c r="BE895" s="7"/>
      <c r="BF895" s="7"/>
      <c r="BG895" s="7"/>
    </row>
    <row r="896" customHeight="1" spans="1:59">
      <c r="A896" s="9">
        <f>IF(ActiveDatabase=Standby,Secondary!A896,Primary!A896)</f>
        <v>0</v>
      </c>
      <c r="B896" s="5">
        <f>IF(ActiveDatabase=Standby,Secondary!B896,Primary!B896)</f>
        <v>0</v>
      </c>
      <c r="C896" s="5">
        <f>IF(ActiveDatabase=Standby,Secondary!C896,Primary!C896)</f>
        <v>0</v>
      </c>
      <c r="D896" s="5">
        <f>IF(ActiveDatabase=Standby,Secondary!D896,Primary!D896)</f>
        <v>0</v>
      </c>
      <c r="E896" s="6">
        <f>IF(ActiveDatabase=Standby,Secondary!E896,Primary!E896)</f>
        <v>0</v>
      </c>
      <c r="F896" s="10">
        <f>IF(ActiveDatabase=Standby,Secondary!F896,Primary!F896)</f>
        <v>0</v>
      </c>
      <c r="G896" s="10">
        <f>IF(ActiveDatabase=Standby,Secondary!G896,Primary!G896)</f>
        <v>0</v>
      </c>
      <c r="H896" s="10">
        <f>IF(ActiveDatabase=Standby,Secondary!H896,Primary!H896)</f>
        <v>0</v>
      </c>
      <c r="I896" s="13">
        <f>IF(ActiveDatabase=Standby,Secondary!I896,Primary!I896)</f>
        <v>0</v>
      </c>
      <c r="J896" s="13">
        <f>IF(ActiveDatabase=Standby,Secondary!J896,Primary!J896)</f>
        <v>0</v>
      </c>
      <c r="K896" s="13">
        <f>IF(ActiveDatabase=Standby,Secondary!K896,Primary!K896)</f>
        <v>0</v>
      </c>
      <c r="L896" s="13">
        <f>IF(ActiveDatabase=Standby,Secondary!L896,Primary!L896)</f>
        <v>0</v>
      </c>
      <c r="M896" s="7">
        <f>IF(ActiveDatabase=Standby,Secondary!M896,Primary!M896)</f>
        <v>0</v>
      </c>
      <c r="N896" s="10">
        <f>IF(ActiveDatabase=Standby,Secondary!N896,Primary!N896)</f>
        <v>0</v>
      </c>
      <c r="O896" s="10">
        <f>IF(ActiveDatabase=Standby,Secondary!O896,Primary!O896)</f>
        <v>0</v>
      </c>
      <c r="P896" s="10">
        <f>IF(ActiveDatabase=Standby,Secondary!P896,Primary!P896)</f>
        <v>0</v>
      </c>
      <c r="Q896" s="6">
        <f>IF(ActiveDatabase=Standby,Secondary!Q896,Primary!Q896)</f>
        <v>0</v>
      </c>
      <c r="R896" s="18">
        <f>IF(ActiveDatabase=Standby,Secondary!R896,Primary!R896)</f>
        <v>0</v>
      </c>
      <c r="S896" s="19">
        <f>IF(ActiveDatabase=Standby,Secondary!S896,Primary!S896)</f>
        <v>0</v>
      </c>
      <c r="T896" s="10">
        <f>IF(ActiveDatabase=Standby,Secondary!T896,Primary!T896)</f>
        <v>0</v>
      </c>
      <c r="U896" s="10">
        <f>IF(ActiveDatabase=Standby,Secondary!U896,Primary!U896)</f>
        <v>0</v>
      </c>
      <c r="V896" s="10">
        <f>IF(ActiveDatabase=Standby,Secondary!V896,Primary!V896)</f>
        <v>0</v>
      </c>
      <c r="W896" s="6">
        <f>IF(ActiveDatabase=Standby,Secondary!W896,Primary!W896)</f>
        <v>0</v>
      </c>
      <c r="X896" s="6">
        <f>IF(ActiveDatabase=Standby,Secondary!X896,Primary!X896)</f>
        <v>0</v>
      </c>
      <c r="Y896" s="12">
        <f>IF(ActiveDatabase=Standby,Secondary!Y896,Primary!Y1554)</f>
        <v>0</v>
      </c>
      <c r="Z896" s="12">
        <f>IF(ActiveDatabase=Standby,Secondary!Z896,Primary!Z1554)</f>
        <v>0</v>
      </c>
      <c r="AA896" s="7">
        <f>IF(ActiveDatabase=Standby,Secondary!AA896,Primary!AA1554)</f>
        <v>0</v>
      </c>
      <c r="AB896" s="12"/>
      <c r="AC896" s="6"/>
      <c r="AD896" s="6"/>
      <c r="AE896" s="7"/>
      <c r="AF896" s="7"/>
      <c r="AG896" s="7"/>
      <c r="AH896" s="7"/>
      <c r="AI896" s="7"/>
      <c r="AJ896" s="7"/>
      <c r="AK896" s="7"/>
      <c r="AL896" s="7"/>
      <c r="AM896" s="7"/>
      <c r="AN896" s="7"/>
      <c r="AO896" s="6"/>
      <c r="AP896" s="7"/>
      <c r="AQ896" s="7"/>
      <c r="AR896" s="6"/>
      <c r="AS896" s="7"/>
      <c r="AT896" s="7"/>
      <c r="AU896" s="7"/>
      <c r="AV896" s="7"/>
      <c r="AW896" s="7"/>
      <c r="AX896" s="7"/>
      <c r="AY896" s="7"/>
      <c r="AZ896" s="7"/>
      <c r="BA896" s="7"/>
      <c r="BB896" s="7"/>
      <c r="BC896" s="7"/>
      <c r="BD896" s="7"/>
      <c r="BE896" s="7"/>
      <c r="BF896" s="7"/>
      <c r="BG896" s="7"/>
    </row>
    <row r="897" customHeight="1" spans="1:59">
      <c r="A897" s="9">
        <f>IF(ActiveDatabase=Standby,Secondary!A897,Primary!A897)</f>
        <v>0</v>
      </c>
      <c r="B897" s="5">
        <f>IF(ActiveDatabase=Standby,Secondary!B897,Primary!B897)</f>
        <v>0</v>
      </c>
      <c r="C897" s="5">
        <f>IF(ActiveDatabase=Standby,Secondary!C897,Primary!C897)</f>
        <v>0</v>
      </c>
      <c r="D897" s="5">
        <f>IF(ActiveDatabase=Standby,Secondary!D897,Primary!D897)</f>
        <v>0</v>
      </c>
      <c r="E897" s="6">
        <f>IF(ActiveDatabase=Standby,Secondary!E897,Primary!E897)</f>
        <v>0</v>
      </c>
      <c r="F897" s="10">
        <f>IF(ActiveDatabase=Standby,Secondary!F897,Primary!F897)</f>
        <v>0</v>
      </c>
      <c r="G897" s="10">
        <f>IF(ActiveDatabase=Standby,Secondary!G897,Primary!G897)</f>
        <v>0</v>
      </c>
      <c r="H897" s="10">
        <f>IF(ActiveDatabase=Standby,Secondary!H897,Primary!H897)</f>
        <v>0</v>
      </c>
      <c r="I897" s="13">
        <f>IF(ActiveDatabase=Standby,Secondary!I897,Primary!I897)</f>
        <v>0</v>
      </c>
      <c r="J897" s="13">
        <f>IF(ActiveDatabase=Standby,Secondary!J897,Primary!J897)</f>
        <v>0</v>
      </c>
      <c r="K897" s="13">
        <f>IF(ActiveDatabase=Standby,Secondary!K897,Primary!K897)</f>
        <v>0</v>
      </c>
      <c r="L897" s="13">
        <f>IF(ActiveDatabase=Standby,Secondary!L897,Primary!L897)</f>
        <v>0</v>
      </c>
      <c r="M897" s="7">
        <f>IF(ActiveDatabase=Standby,Secondary!M897,Primary!M897)</f>
        <v>0</v>
      </c>
      <c r="N897" s="10">
        <f>IF(ActiveDatabase=Standby,Secondary!N897,Primary!N897)</f>
        <v>0</v>
      </c>
      <c r="O897" s="10">
        <f>IF(ActiveDatabase=Standby,Secondary!O897,Primary!O897)</f>
        <v>0</v>
      </c>
      <c r="P897" s="10">
        <f>IF(ActiveDatabase=Standby,Secondary!P897,Primary!P897)</f>
        <v>0</v>
      </c>
      <c r="Q897" s="6">
        <f>IF(ActiveDatabase=Standby,Secondary!Q897,Primary!Q897)</f>
        <v>0</v>
      </c>
      <c r="R897" s="18">
        <f>IF(ActiveDatabase=Standby,Secondary!R897,Primary!R897)</f>
        <v>0</v>
      </c>
      <c r="S897" s="19">
        <f>IF(ActiveDatabase=Standby,Secondary!S897,Primary!S897)</f>
        <v>0</v>
      </c>
      <c r="T897" s="10">
        <f>IF(ActiveDatabase=Standby,Secondary!T897,Primary!T897)</f>
        <v>0</v>
      </c>
      <c r="U897" s="10">
        <f>IF(ActiveDatabase=Standby,Secondary!U897,Primary!U897)</f>
        <v>0</v>
      </c>
      <c r="V897" s="10">
        <f>IF(ActiveDatabase=Standby,Secondary!V897,Primary!V897)</f>
        <v>0</v>
      </c>
      <c r="W897" s="6">
        <f>IF(ActiveDatabase=Standby,Secondary!W897,Primary!W897)</f>
        <v>0</v>
      </c>
      <c r="X897" s="6">
        <f>IF(ActiveDatabase=Standby,Secondary!X897,Primary!X897)</f>
        <v>0</v>
      </c>
      <c r="Y897" s="12">
        <f>IF(ActiveDatabase=Standby,Secondary!Y897,Primary!Y1555)</f>
        <v>0</v>
      </c>
      <c r="Z897" s="12">
        <f>IF(ActiveDatabase=Standby,Secondary!Z897,Primary!Z1555)</f>
        <v>0</v>
      </c>
      <c r="AA897" s="7">
        <f>IF(ActiveDatabase=Standby,Secondary!AA897,Primary!AA1555)</f>
        <v>0</v>
      </c>
      <c r="AB897" s="12"/>
      <c r="AC897" s="6"/>
      <c r="AD897" s="6"/>
      <c r="AE897" s="7"/>
      <c r="AF897" s="7"/>
      <c r="AG897" s="7"/>
      <c r="AH897" s="7"/>
      <c r="AI897" s="7"/>
      <c r="AJ897" s="7"/>
      <c r="AK897" s="7"/>
      <c r="AL897" s="7"/>
      <c r="AM897" s="7"/>
      <c r="AN897" s="7"/>
      <c r="AO897" s="6"/>
      <c r="AP897" s="7"/>
      <c r="AQ897" s="7"/>
      <c r="AR897" s="6"/>
      <c r="AS897" s="7"/>
      <c r="AT897" s="7"/>
      <c r="AU897" s="7"/>
      <c r="AV897" s="7"/>
      <c r="AW897" s="7"/>
      <c r="AX897" s="7"/>
      <c r="AY897" s="7"/>
      <c r="AZ897" s="7"/>
      <c r="BA897" s="7"/>
      <c r="BB897" s="7"/>
      <c r="BC897" s="7"/>
      <c r="BD897" s="7"/>
      <c r="BE897" s="7"/>
      <c r="BF897" s="7"/>
      <c r="BG897" s="7"/>
    </row>
    <row r="898" customHeight="1" spans="1:59">
      <c r="A898" s="9">
        <f>IF(ActiveDatabase=Standby,Secondary!A898,Primary!A898)</f>
        <v>0</v>
      </c>
      <c r="B898" s="5">
        <f>IF(ActiveDatabase=Standby,Secondary!B898,Primary!B898)</f>
        <v>0</v>
      </c>
      <c r="C898" s="5">
        <f>IF(ActiveDatabase=Standby,Secondary!C898,Primary!C898)</f>
        <v>0</v>
      </c>
      <c r="D898" s="5">
        <f>IF(ActiveDatabase=Standby,Secondary!D898,Primary!D898)</f>
        <v>0</v>
      </c>
      <c r="E898" s="6">
        <f>IF(ActiveDatabase=Standby,Secondary!E898,Primary!E898)</f>
        <v>0</v>
      </c>
      <c r="F898" s="10">
        <f>IF(ActiveDatabase=Standby,Secondary!F898,Primary!F898)</f>
        <v>0</v>
      </c>
      <c r="G898" s="10">
        <f>IF(ActiveDatabase=Standby,Secondary!G898,Primary!G898)</f>
        <v>0</v>
      </c>
      <c r="H898" s="10">
        <f>IF(ActiveDatabase=Standby,Secondary!H898,Primary!H898)</f>
        <v>0</v>
      </c>
      <c r="I898" s="13">
        <f>IF(ActiveDatabase=Standby,Secondary!I898,Primary!I898)</f>
        <v>0</v>
      </c>
      <c r="J898" s="13">
        <f>IF(ActiveDatabase=Standby,Secondary!J898,Primary!J898)</f>
        <v>0</v>
      </c>
      <c r="K898" s="13">
        <f>IF(ActiveDatabase=Standby,Secondary!K898,Primary!K898)</f>
        <v>0</v>
      </c>
      <c r="L898" s="13">
        <f>IF(ActiveDatabase=Standby,Secondary!L898,Primary!L898)</f>
        <v>0</v>
      </c>
      <c r="M898" s="7">
        <f>IF(ActiveDatabase=Standby,Secondary!M898,Primary!M898)</f>
        <v>0</v>
      </c>
      <c r="N898" s="10">
        <f>IF(ActiveDatabase=Standby,Secondary!N898,Primary!N898)</f>
        <v>0</v>
      </c>
      <c r="O898" s="10">
        <f>IF(ActiveDatabase=Standby,Secondary!O898,Primary!O898)</f>
        <v>0</v>
      </c>
      <c r="P898" s="10">
        <f>IF(ActiveDatabase=Standby,Secondary!P898,Primary!P898)</f>
        <v>0</v>
      </c>
      <c r="Q898" s="6">
        <f>IF(ActiveDatabase=Standby,Secondary!Q898,Primary!Q898)</f>
        <v>0</v>
      </c>
      <c r="R898" s="18">
        <f>IF(ActiveDatabase=Standby,Secondary!R898,Primary!R898)</f>
        <v>0</v>
      </c>
      <c r="S898" s="19">
        <f>IF(ActiveDatabase=Standby,Secondary!S898,Primary!S898)</f>
        <v>0</v>
      </c>
      <c r="T898" s="10">
        <f>IF(ActiveDatabase=Standby,Secondary!T898,Primary!T898)</f>
        <v>0</v>
      </c>
      <c r="U898" s="10">
        <f>IF(ActiveDatabase=Standby,Secondary!U898,Primary!U898)</f>
        <v>0</v>
      </c>
      <c r="V898" s="10">
        <f>IF(ActiveDatabase=Standby,Secondary!V898,Primary!V898)</f>
        <v>0</v>
      </c>
      <c r="W898" s="6">
        <f>IF(ActiveDatabase=Standby,Secondary!W898,Primary!W898)</f>
        <v>0</v>
      </c>
      <c r="X898" s="6">
        <f>IF(ActiveDatabase=Standby,Secondary!X898,Primary!X898)</f>
        <v>0</v>
      </c>
      <c r="Y898" s="12">
        <f>IF(ActiveDatabase=Standby,Secondary!Y898,Primary!Y1556)</f>
        <v>0</v>
      </c>
      <c r="Z898" s="12">
        <f>IF(ActiveDatabase=Standby,Secondary!Z898,Primary!Z1556)</f>
        <v>0</v>
      </c>
      <c r="AA898" s="7">
        <f>IF(ActiveDatabase=Standby,Secondary!AA898,Primary!AA1556)</f>
        <v>0</v>
      </c>
      <c r="AB898" s="12"/>
      <c r="AC898" s="6"/>
      <c r="AD898" s="6"/>
      <c r="AE898" s="7"/>
      <c r="AF898" s="7"/>
      <c r="AG898" s="7"/>
      <c r="AH898" s="7"/>
      <c r="AI898" s="7"/>
      <c r="AJ898" s="7"/>
      <c r="AK898" s="7"/>
      <c r="AL898" s="7"/>
      <c r="AM898" s="7"/>
      <c r="AN898" s="7"/>
      <c r="AO898" s="6"/>
      <c r="AP898" s="7"/>
      <c r="AQ898" s="7"/>
      <c r="AR898" s="6"/>
      <c r="AS898" s="7"/>
      <c r="AT898" s="7"/>
      <c r="AU898" s="7"/>
      <c r="AV898" s="7"/>
      <c r="AW898" s="7"/>
      <c r="AX898" s="7"/>
      <c r="AY898" s="7"/>
      <c r="AZ898" s="7"/>
      <c r="BA898" s="7"/>
      <c r="BB898" s="7"/>
      <c r="BC898" s="7"/>
      <c r="BD898" s="7"/>
      <c r="BE898" s="7"/>
      <c r="BF898" s="7"/>
      <c r="BG898" s="7"/>
    </row>
    <row r="899" customHeight="1" spans="1:59">
      <c r="A899" s="9">
        <f>IF(ActiveDatabase=Standby,Secondary!A899,Primary!A899)</f>
        <v>0</v>
      </c>
      <c r="B899" s="5">
        <f>IF(ActiveDatabase=Standby,Secondary!B899,Primary!B899)</f>
        <v>0</v>
      </c>
      <c r="C899" s="5">
        <f>IF(ActiveDatabase=Standby,Secondary!C899,Primary!C899)</f>
        <v>0</v>
      </c>
      <c r="D899" s="5">
        <f>IF(ActiveDatabase=Standby,Secondary!D899,Primary!D899)</f>
        <v>0</v>
      </c>
      <c r="E899" s="6">
        <f>IF(ActiveDatabase=Standby,Secondary!E899,Primary!E899)</f>
        <v>0</v>
      </c>
      <c r="F899" s="10">
        <f>IF(ActiveDatabase=Standby,Secondary!F899,Primary!F899)</f>
        <v>0</v>
      </c>
      <c r="G899" s="10">
        <f>IF(ActiveDatabase=Standby,Secondary!G899,Primary!G899)</f>
        <v>0</v>
      </c>
      <c r="H899" s="10">
        <f>IF(ActiveDatabase=Standby,Secondary!H899,Primary!H899)</f>
        <v>0</v>
      </c>
      <c r="I899" s="13">
        <f>IF(ActiveDatabase=Standby,Secondary!I899,Primary!I899)</f>
        <v>0</v>
      </c>
      <c r="J899" s="13">
        <f>IF(ActiveDatabase=Standby,Secondary!J899,Primary!J899)</f>
        <v>0</v>
      </c>
      <c r="K899" s="13">
        <f>IF(ActiveDatabase=Standby,Secondary!K899,Primary!K899)</f>
        <v>0</v>
      </c>
      <c r="L899" s="13">
        <f>IF(ActiveDatabase=Standby,Secondary!L899,Primary!L899)</f>
        <v>0</v>
      </c>
      <c r="M899" s="7">
        <f>IF(ActiveDatabase=Standby,Secondary!M899,Primary!M899)</f>
        <v>0</v>
      </c>
      <c r="N899" s="10">
        <f>IF(ActiveDatabase=Standby,Secondary!N899,Primary!N899)</f>
        <v>0</v>
      </c>
      <c r="O899" s="10">
        <f>IF(ActiveDatabase=Standby,Secondary!O899,Primary!O899)</f>
        <v>0</v>
      </c>
      <c r="P899" s="10">
        <f>IF(ActiveDatabase=Standby,Secondary!P899,Primary!P899)</f>
        <v>0</v>
      </c>
      <c r="Q899" s="6">
        <f>IF(ActiveDatabase=Standby,Secondary!Q899,Primary!Q899)</f>
        <v>0</v>
      </c>
      <c r="R899" s="18">
        <f>IF(ActiveDatabase=Standby,Secondary!R899,Primary!R899)</f>
        <v>0</v>
      </c>
      <c r="S899" s="19">
        <f>IF(ActiveDatabase=Standby,Secondary!S899,Primary!S899)</f>
        <v>0</v>
      </c>
      <c r="T899" s="10">
        <f>IF(ActiveDatabase=Standby,Secondary!T899,Primary!T899)</f>
        <v>0</v>
      </c>
      <c r="U899" s="10">
        <f>IF(ActiveDatabase=Standby,Secondary!U899,Primary!U899)</f>
        <v>0</v>
      </c>
      <c r="V899" s="10">
        <f>IF(ActiveDatabase=Standby,Secondary!V899,Primary!V899)</f>
        <v>0</v>
      </c>
      <c r="W899" s="6">
        <f>IF(ActiveDatabase=Standby,Secondary!W899,Primary!W899)</f>
        <v>0</v>
      </c>
      <c r="X899" s="6">
        <f>IF(ActiveDatabase=Standby,Secondary!X899,Primary!X899)</f>
        <v>0</v>
      </c>
      <c r="Y899" s="12">
        <f>IF(ActiveDatabase=Standby,Secondary!Y899,Primary!Y1557)</f>
        <v>0</v>
      </c>
      <c r="Z899" s="12">
        <f>IF(ActiveDatabase=Standby,Secondary!Z899,Primary!Z1557)</f>
        <v>0</v>
      </c>
      <c r="AA899" s="7">
        <f>IF(ActiveDatabase=Standby,Secondary!AA899,Primary!AA1557)</f>
        <v>0</v>
      </c>
      <c r="AB899" s="12"/>
      <c r="AC899" s="6"/>
      <c r="AD899" s="6"/>
      <c r="AE899" s="7"/>
      <c r="AF899" s="7"/>
      <c r="AG899" s="7"/>
      <c r="AH899" s="7"/>
      <c r="AI899" s="7"/>
      <c r="AJ899" s="7"/>
      <c r="AK899" s="7"/>
      <c r="AL899" s="7"/>
      <c r="AM899" s="7"/>
      <c r="AN899" s="7"/>
      <c r="AO899" s="6"/>
      <c r="AP899" s="7"/>
      <c r="AQ899" s="7"/>
      <c r="AR899" s="6"/>
      <c r="AS899" s="7"/>
      <c r="AT899" s="7"/>
      <c r="AU899" s="7"/>
      <c r="AV899" s="7"/>
      <c r="AW899" s="7"/>
      <c r="AX899" s="7"/>
      <c r="AY899" s="7"/>
      <c r="AZ899" s="7"/>
      <c r="BA899" s="7"/>
      <c r="BB899" s="7"/>
      <c r="BC899" s="7"/>
      <c r="BD899" s="7"/>
      <c r="BE899" s="7"/>
      <c r="BF899" s="7"/>
      <c r="BG899" s="7"/>
    </row>
    <row r="900" customHeight="1" spans="1:59">
      <c r="A900" s="9">
        <f>IF(ActiveDatabase=Standby,Secondary!A900,Primary!A900)</f>
        <v>0</v>
      </c>
      <c r="B900" s="5">
        <f>IF(ActiveDatabase=Standby,Secondary!B900,Primary!B900)</f>
        <v>0</v>
      </c>
      <c r="C900" s="5">
        <f>IF(ActiveDatabase=Standby,Secondary!C900,Primary!C900)</f>
        <v>0</v>
      </c>
      <c r="D900" s="5">
        <f>IF(ActiveDatabase=Standby,Secondary!D900,Primary!D900)</f>
        <v>0</v>
      </c>
      <c r="E900" s="6">
        <f>IF(ActiveDatabase=Standby,Secondary!E900,Primary!E900)</f>
        <v>0</v>
      </c>
      <c r="F900" s="10">
        <f>IF(ActiveDatabase=Standby,Secondary!F900,Primary!F900)</f>
        <v>0</v>
      </c>
      <c r="G900" s="10">
        <f>IF(ActiveDatabase=Standby,Secondary!G900,Primary!G900)</f>
        <v>0</v>
      </c>
      <c r="H900" s="10">
        <f>IF(ActiveDatabase=Standby,Secondary!H900,Primary!H900)</f>
        <v>0</v>
      </c>
      <c r="I900" s="13">
        <f>IF(ActiveDatabase=Standby,Secondary!I900,Primary!I900)</f>
        <v>0</v>
      </c>
      <c r="J900" s="13">
        <f>IF(ActiveDatabase=Standby,Secondary!J900,Primary!J900)</f>
        <v>0</v>
      </c>
      <c r="K900" s="13">
        <f>IF(ActiveDatabase=Standby,Secondary!K900,Primary!K900)</f>
        <v>0</v>
      </c>
      <c r="L900" s="13">
        <f>IF(ActiveDatabase=Standby,Secondary!L900,Primary!L900)</f>
        <v>0</v>
      </c>
      <c r="M900" s="7">
        <f>IF(ActiveDatabase=Standby,Secondary!M900,Primary!M900)</f>
        <v>0</v>
      </c>
      <c r="N900" s="10">
        <f>IF(ActiveDatabase=Standby,Secondary!N900,Primary!N900)</f>
        <v>0</v>
      </c>
      <c r="O900" s="10">
        <f>IF(ActiveDatabase=Standby,Secondary!O900,Primary!O900)</f>
        <v>0</v>
      </c>
      <c r="P900" s="10">
        <f>IF(ActiveDatabase=Standby,Secondary!P900,Primary!P900)</f>
        <v>0</v>
      </c>
      <c r="Q900" s="6">
        <f>IF(ActiveDatabase=Standby,Secondary!Q900,Primary!Q900)</f>
        <v>0</v>
      </c>
      <c r="R900" s="18">
        <f>IF(ActiveDatabase=Standby,Secondary!R900,Primary!R900)</f>
        <v>0</v>
      </c>
      <c r="S900" s="19">
        <f>IF(ActiveDatabase=Standby,Secondary!S900,Primary!S900)</f>
        <v>0</v>
      </c>
      <c r="T900" s="10">
        <f>IF(ActiveDatabase=Standby,Secondary!T900,Primary!T900)</f>
        <v>0</v>
      </c>
      <c r="U900" s="10">
        <f>IF(ActiveDatabase=Standby,Secondary!U900,Primary!U900)</f>
        <v>0</v>
      </c>
      <c r="V900" s="10">
        <f>IF(ActiveDatabase=Standby,Secondary!V900,Primary!V900)</f>
        <v>0</v>
      </c>
      <c r="W900" s="6">
        <f>IF(ActiveDatabase=Standby,Secondary!W900,Primary!W900)</f>
        <v>0</v>
      </c>
      <c r="X900" s="6">
        <f>IF(ActiveDatabase=Standby,Secondary!X900,Primary!X900)</f>
        <v>0</v>
      </c>
      <c r="Y900" s="12">
        <f>IF(ActiveDatabase=Standby,Secondary!Y900,Primary!Y1558)</f>
        <v>0</v>
      </c>
      <c r="Z900" s="12">
        <f>IF(ActiveDatabase=Standby,Secondary!Z900,Primary!Z1558)</f>
        <v>0</v>
      </c>
      <c r="AA900" s="7">
        <f>IF(ActiveDatabase=Standby,Secondary!AA900,Primary!AA1558)</f>
        <v>0</v>
      </c>
      <c r="AB900" s="12"/>
      <c r="AC900" s="6"/>
      <c r="AD900" s="6"/>
      <c r="AE900" s="7"/>
      <c r="AF900" s="7"/>
      <c r="AG900" s="7"/>
      <c r="AH900" s="7"/>
      <c r="AI900" s="7"/>
      <c r="AJ900" s="7"/>
      <c r="AK900" s="7"/>
      <c r="AL900" s="7"/>
      <c r="AM900" s="7"/>
      <c r="AN900" s="7"/>
      <c r="AO900" s="6"/>
      <c r="AP900" s="7"/>
      <c r="AQ900" s="7"/>
      <c r="AR900" s="6"/>
      <c r="AS900" s="7"/>
      <c r="AT900" s="7"/>
      <c r="AU900" s="7"/>
      <c r="AV900" s="7"/>
      <c r="AW900" s="7"/>
      <c r="AX900" s="7"/>
      <c r="AY900" s="7"/>
      <c r="AZ900" s="7"/>
      <c r="BA900" s="7"/>
      <c r="BB900" s="7"/>
      <c r="BC900" s="7"/>
      <c r="BD900" s="7"/>
      <c r="BE900" s="7"/>
      <c r="BF900" s="7"/>
      <c r="BG900" s="7"/>
    </row>
    <row r="901" customHeight="1" spans="1:59">
      <c r="A901" s="9">
        <f>IF(ActiveDatabase=Standby,Secondary!A901,Primary!A901)</f>
        <v>0</v>
      </c>
      <c r="B901" s="5">
        <f>IF(ActiveDatabase=Standby,Secondary!B901,Primary!B901)</f>
        <v>0</v>
      </c>
      <c r="C901" s="5">
        <f>IF(ActiveDatabase=Standby,Secondary!C901,Primary!C901)</f>
        <v>0</v>
      </c>
      <c r="D901" s="5">
        <f>IF(ActiveDatabase=Standby,Secondary!D901,Primary!D901)</f>
        <v>0</v>
      </c>
      <c r="E901" s="6">
        <f>IF(ActiveDatabase=Standby,Secondary!E901,Primary!E901)</f>
        <v>0</v>
      </c>
      <c r="F901" s="10">
        <f>IF(ActiveDatabase=Standby,Secondary!F901,Primary!F901)</f>
        <v>0</v>
      </c>
      <c r="G901" s="10">
        <f>IF(ActiveDatabase=Standby,Secondary!G901,Primary!G901)</f>
        <v>0</v>
      </c>
      <c r="H901" s="10">
        <f>IF(ActiveDatabase=Standby,Secondary!H901,Primary!H901)</f>
        <v>0</v>
      </c>
      <c r="I901" s="13">
        <f>IF(ActiveDatabase=Standby,Secondary!I901,Primary!I901)</f>
        <v>0</v>
      </c>
      <c r="J901" s="13">
        <f>IF(ActiveDatabase=Standby,Secondary!J901,Primary!J901)</f>
        <v>0</v>
      </c>
      <c r="K901" s="13">
        <f>IF(ActiveDatabase=Standby,Secondary!K901,Primary!K901)</f>
        <v>0</v>
      </c>
      <c r="L901" s="13">
        <f>IF(ActiveDatabase=Standby,Secondary!L901,Primary!L901)</f>
        <v>0</v>
      </c>
      <c r="M901" s="7">
        <f>IF(ActiveDatabase=Standby,Secondary!M901,Primary!M901)</f>
        <v>0</v>
      </c>
      <c r="N901" s="10">
        <f>IF(ActiveDatabase=Standby,Secondary!N901,Primary!N901)</f>
        <v>0</v>
      </c>
      <c r="O901" s="10">
        <f>IF(ActiveDatabase=Standby,Secondary!O901,Primary!O901)</f>
        <v>0</v>
      </c>
      <c r="P901" s="10">
        <f>IF(ActiveDatabase=Standby,Secondary!P901,Primary!P901)</f>
        <v>0</v>
      </c>
      <c r="Q901" s="6">
        <f>IF(ActiveDatabase=Standby,Secondary!Q901,Primary!Q901)</f>
        <v>0</v>
      </c>
      <c r="R901" s="18">
        <f>IF(ActiveDatabase=Standby,Secondary!R901,Primary!R901)</f>
        <v>0</v>
      </c>
      <c r="S901" s="19">
        <f>IF(ActiveDatabase=Standby,Secondary!S901,Primary!S901)</f>
        <v>0</v>
      </c>
      <c r="T901" s="10">
        <f>IF(ActiveDatabase=Standby,Secondary!T901,Primary!T901)</f>
        <v>0</v>
      </c>
      <c r="U901" s="10">
        <f>IF(ActiveDatabase=Standby,Secondary!U901,Primary!U901)</f>
        <v>0</v>
      </c>
      <c r="V901" s="10">
        <f>IF(ActiveDatabase=Standby,Secondary!V901,Primary!V901)</f>
        <v>0</v>
      </c>
      <c r="W901" s="6">
        <f>IF(ActiveDatabase=Standby,Secondary!W901,Primary!W901)</f>
        <v>0</v>
      </c>
      <c r="X901" s="6">
        <f>IF(ActiveDatabase=Standby,Secondary!X901,Primary!X901)</f>
        <v>0</v>
      </c>
      <c r="Y901" s="12">
        <f>IF(ActiveDatabase=Standby,Secondary!Y901,Primary!Y1559)</f>
        <v>0</v>
      </c>
      <c r="Z901" s="12">
        <f>IF(ActiveDatabase=Standby,Secondary!Z901,Primary!Z1559)</f>
        <v>0</v>
      </c>
      <c r="AA901" s="7">
        <f>IF(ActiveDatabase=Standby,Secondary!AA901,Primary!AA1559)</f>
        <v>0</v>
      </c>
      <c r="AB901" s="12"/>
      <c r="AC901" s="6"/>
      <c r="AD901" s="6"/>
      <c r="AE901" s="7"/>
      <c r="AF901" s="7"/>
      <c r="AG901" s="7"/>
      <c r="AH901" s="7"/>
      <c r="AI901" s="7"/>
      <c r="AJ901" s="7"/>
      <c r="AK901" s="7"/>
      <c r="AL901" s="7"/>
      <c r="AM901" s="7"/>
      <c r="AN901" s="7"/>
      <c r="AO901" s="6"/>
      <c r="AP901" s="7"/>
      <c r="AQ901" s="7"/>
      <c r="AR901" s="6"/>
      <c r="AS901" s="7"/>
      <c r="AT901" s="7"/>
      <c r="AU901" s="7"/>
      <c r="AV901" s="7"/>
      <c r="AW901" s="7"/>
      <c r="AX901" s="7"/>
      <c r="AY901" s="7"/>
      <c r="AZ901" s="7"/>
      <c r="BA901" s="7"/>
      <c r="BB901" s="7"/>
      <c r="BC901" s="7"/>
      <c r="BD901" s="7"/>
      <c r="BE901" s="7"/>
      <c r="BF901" s="7"/>
      <c r="BG901" s="7"/>
    </row>
    <row r="902" customHeight="1" spans="1:59">
      <c r="A902" s="9">
        <f>IF(ActiveDatabase=Standby,Secondary!A902,Primary!A902)</f>
        <v>0</v>
      </c>
      <c r="B902" s="5">
        <f>IF(ActiveDatabase=Standby,Secondary!B902,Primary!B902)</f>
        <v>0</v>
      </c>
      <c r="C902" s="5">
        <f>IF(ActiveDatabase=Standby,Secondary!C902,Primary!C902)</f>
        <v>0</v>
      </c>
      <c r="D902" s="5">
        <f>IF(ActiveDatabase=Standby,Secondary!D902,Primary!D902)</f>
        <v>0</v>
      </c>
      <c r="E902" s="6">
        <f>IF(ActiveDatabase=Standby,Secondary!E902,Primary!E902)</f>
        <v>0</v>
      </c>
      <c r="F902" s="10">
        <f>IF(ActiveDatabase=Standby,Secondary!F902,Primary!F902)</f>
        <v>0</v>
      </c>
      <c r="G902" s="10">
        <f>IF(ActiveDatabase=Standby,Secondary!G902,Primary!G902)</f>
        <v>0</v>
      </c>
      <c r="H902" s="10">
        <f>IF(ActiveDatabase=Standby,Secondary!H902,Primary!H902)</f>
        <v>0</v>
      </c>
      <c r="I902" s="13">
        <f>IF(ActiveDatabase=Standby,Secondary!I902,Primary!I902)</f>
        <v>0</v>
      </c>
      <c r="J902" s="13">
        <f>IF(ActiveDatabase=Standby,Secondary!J902,Primary!J902)</f>
        <v>0</v>
      </c>
      <c r="K902" s="13">
        <f>IF(ActiveDatabase=Standby,Secondary!K902,Primary!K902)</f>
        <v>0</v>
      </c>
      <c r="L902" s="13">
        <f>IF(ActiveDatabase=Standby,Secondary!L902,Primary!L902)</f>
        <v>0</v>
      </c>
      <c r="M902" s="7">
        <f>IF(ActiveDatabase=Standby,Secondary!M902,Primary!M902)</f>
        <v>0</v>
      </c>
      <c r="N902" s="10">
        <f>IF(ActiveDatabase=Standby,Secondary!N902,Primary!N902)</f>
        <v>0</v>
      </c>
      <c r="O902" s="10">
        <f>IF(ActiveDatabase=Standby,Secondary!O902,Primary!O902)</f>
        <v>0</v>
      </c>
      <c r="P902" s="10">
        <f>IF(ActiveDatabase=Standby,Secondary!P902,Primary!P902)</f>
        <v>0</v>
      </c>
      <c r="Q902" s="6">
        <f>IF(ActiveDatabase=Standby,Secondary!Q902,Primary!Q902)</f>
        <v>0</v>
      </c>
      <c r="R902" s="18">
        <f>IF(ActiveDatabase=Standby,Secondary!R902,Primary!R902)</f>
        <v>0</v>
      </c>
      <c r="S902" s="19">
        <f>IF(ActiveDatabase=Standby,Secondary!S902,Primary!S902)</f>
        <v>0</v>
      </c>
      <c r="T902" s="10">
        <f>IF(ActiveDatabase=Standby,Secondary!T902,Primary!T902)</f>
        <v>0</v>
      </c>
      <c r="U902" s="10">
        <f>IF(ActiveDatabase=Standby,Secondary!U902,Primary!U902)</f>
        <v>0</v>
      </c>
      <c r="V902" s="10">
        <f>IF(ActiveDatabase=Standby,Secondary!V902,Primary!V902)</f>
        <v>0</v>
      </c>
      <c r="W902" s="6">
        <f>IF(ActiveDatabase=Standby,Secondary!W902,Primary!W902)</f>
        <v>0</v>
      </c>
      <c r="X902" s="6">
        <f>IF(ActiveDatabase=Standby,Secondary!X902,Primary!X902)</f>
        <v>0</v>
      </c>
      <c r="Y902" s="12">
        <f>IF(ActiveDatabase=Standby,Secondary!Y902,Primary!Y1560)</f>
        <v>0</v>
      </c>
      <c r="Z902" s="12">
        <f>IF(ActiveDatabase=Standby,Secondary!Z902,Primary!Z1560)</f>
        <v>0</v>
      </c>
      <c r="AA902" s="7">
        <f>IF(ActiveDatabase=Standby,Secondary!AA902,Primary!AA1560)</f>
        <v>0</v>
      </c>
      <c r="AB902" s="12"/>
      <c r="AC902" s="6"/>
      <c r="AD902" s="6"/>
      <c r="AE902" s="7"/>
      <c r="AF902" s="7"/>
      <c r="AG902" s="7"/>
      <c r="AH902" s="7"/>
      <c r="AI902" s="7"/>
      <c r="AJ902" s="7"/>
      <c r="AK902" s="7"/>
      <c r="AL902" s="7"/>
      <c r="AM902" s="7"/>
      <c r="AN902" s="7"/>
      <c r="AO902" s="6"/>
      <c r="AP902" s="7"/>
      <c r="AQ902" s="7"/>
      <c r="AR902" s="6"/>
      <c r="AS902" s="7"/>
      <c r="AT902" s="7"/>
      <c r="AU902" s="7"/>
      <c r="AV902" s="7"/>
      <c r="AW902" s="7"/>
      <c r="AX902" s="7"/>
      <c r="AY902" s="7"/>
      <c r="AZ902" s="7"/>
      <c r="BA902" s="7"/>
      <c r="BB902" s="7"/>
      <c r="BC902" s="7"/>
      <c r="BD902" s="7"/>
      <c r="BE902" s="7"/>
      <c r="BF902" s="7"/>
      <c r="BG902" s="7"/>
    </row>
    <row r="903" customHeight="1" spans="1:59">
      <c r="A903" s="9">
        <f>IF(ActiveDatabase=Standby,Secondary!A903,Primary!A903)</f>
        <v>0</v>
      </c>
      <c r="B903" s="5">
        <f>IF(ActiveDatabase=Standby,Secondary!B903,Primary!B903)</f>
        <v>0</v>
      </c>
      <c r="C903" s="5">
        <f>IF(ActiveDatabase=Standby,Secondary!C903,Primary!C903)</f>
        <v>0</v>
      </c>
      <c r="D903" s="5">
        <f>IF(ActiveDatabase=Standby,Secondary!D903,Primary!D903)</f>
        <v>0</v>
      </c>
      <c r="E903" s="6">
        <f>IF(ActiveDatabase=Standby,Secondary!E903,Primary!E903)</f>
        <v>0</v>
      </c>
      <c r="F903" s="10">
        <f>IF(ActiveDatabase=Standby,Secondary!F903,Primary!F903)</f>
        <v>0</v>
      </c>
      <c r="G903" s="10">
        <f>IF(ActiveDatabase=Standby,Secondary!G903,Primary!G903)</f>
        <v>0</v>
      </c>
      <c r="H903" s="10">
        <f>IF(ActiveDatabase=Standby,Secondary!H903,Primary!H903)</f>
        <v>0</v>
      </c>
      <c r="I903" s="13">
        <f>IF(ActiveDatabase=Standby,Secondary!I903,Primary!I903)</f>
        <v>0</v>
      </c>
      <c r="J903" s="13">
        <f>IF(ActiveDatabase=Standby,Secondary!J903,Primary!J903)</f>
        <v>0</v>
      </c>
      <c r="K903" s="13">
        <f>IF(ActiveDatabase=Standby,Secondary!K903,Primary!K903)</f>
        <v>0</v>
      </c>
      <c r="L903" s="13">
        <f>IF(ActiveDatabase=Standby,Secondary!L903,Primary!L903)</f>
        <v>0</v>
      </c>
      <c r="M903" s="7">
        <f>IF(ActiveDatabase=Standby,Secondary!M903,Primary!M903)</f>
        <v>0</v>
      </c>
      <c r="N903" s="10">
        <f>IF(ActiveDatabase=Standby,Secondary!N903,Primary!N903)</f>
        <v>0</v>
      </c>
      <c r="O903" s="10">
        <f>IF(ActiveDatabase=Standby,Secondary!O903,Primary!O903)</f>
        <v>0</v>
      </c>
      <c r="P903" s="10">
        <f>IF(ActiveDatabase=Standby,Secondary!P903,Primary!P903)</f>
        <v>0</v>
      </c>
      <c r="Q903" s="6">
        <f>IF(ActiveDatabase=Standby,Secondary!Q903,Primary!Q903)</f>
        <v>0</v>
      </c>
      <c r="R903" s="18">
        <f>IF(ActiveDatabase=Standby,Secondary!R903,Primary!R903)</f>
        <v>0</v>
      </c>
      <c r="S903" s="19">
        <f>IF(ActiveDatabase=Standby,Secondary!S903,Primary!S903)</f>
        <v>0</v>
      </c>
      <c r="T903" s="10">
        <f>IF(ActiveDatabase=Standby,Secondary!T903,Primary!T903)</f>
        <v>0</v>
      </c>
      <c r="U903" s="10">
        <f>IF(ActiveDatabase=Standby,Secondary!U903,Primary!U903)</f>
        <v>0</v>
      </c>
      <c r="V903" s="10">
        <f>IF(ActiveDatabase=Standby,Secondary!V903,Primary!V903)</f>
        <v>0</v>
      </c>
      <c r="W903" s="6">
        <f>IF(ActiveDatabase=Standby,Secondary!W903,Primary!W903)</f>
        <v>0</v>
      </c>
      <c r="X903" s="6">
        <f>IF(ActiveDatabase=Standby,Secondary!X903,Primary!X903)</f>
        <v>0</v>
      </c>
      <c r="Y903" s="12">
        <f>IF(ActiveDatabase=Standby,Secondary!Y903,Primary!Y1561)</f>
        <v>0</v>
      </c>
      <c r="Z903" s="12">
        <f>IF(ActiveDatabase=Standby,Secondary!Z903,Primary!Z1561)</f>
        <v>0</v>
      </c>
      <c r="AA903" s="7">
        <f>IF(ActiveDatabase=Standby,Secondary!AA903,Primary!AA1561)</f>
        <v>0</v>
      </c>
      <c r="AB903" s="12"/>
      <c r="AC903" s="6"/>
      <c r="AD903" s="6"/>
      <c r="AE903" s="7"/>
      <c r="AF903" s="7"/>
      <c r="AG903" s="7"/>
      <c r="AH903" s="7"/>
      <c r="AI903" s="7"/>
      <c r="AJ903" s="7"/>
      <c r="AK903" s="7"/>
      <c r="AL903" s="7"/>
      <c r="AM903" s="7"/>
      <c r="AN903" s="7"/>
      <c r="AO903" s="6"/>
      <c r="AP903" s="7"/>
      <c r="AQ903" s="7"/>
      <c r="AR903" s="6"/>
      <c r="AS903" s="7"/>
      <c r="AT903" s="7"/>
      <c r="AU903" s="7"/>
      <c r="AV903" s="7"/>
      <c r="AW903" s="7"/>
      <c r="AX903" s="7"/>
      <c r="AY903" s="7"/>
      <c r="AZ903" s="7"/>
      <c r="BA903" s="7"/>
      <c r="BB903" s="7"/>
      <c r="BC903" s="7"/>
      <c r="BD903" s="7"/>
      <c r="BE903" s="7"/>
      <c r="BF903" s="7"/>
      <c r="BG903" s="7"/>
    </row>
    <row r="904" customHeight="1" spans="1:59">
      <c r="A904" s="9">
        <f>IF(ActiveDatabase=Standby,Secondary!A904,Primary!A904)</f>
        <v>0</v>
      </c>
      <c r="B904" s="5">
        <f>IF(ActiveDatabase=Standby,Secondary!B904,Primary!B904)</f>
        <v>0</v>
      </c>
      <c r="C904" s="5">
        <f>IF(ActiveDatabase=Standby,Secondary!C904,Primary!C904)</f>
        <v>0</v>
      </c>
      <c r="D904" s="5">
        <f>IF(ActiveDatabase=Standby,Secondary!D904,Primary!D904)</f>
        <v>0</v>
      </c>
      <c r="E904" s="6">
        <f>IF(ActiveDatabase=Standby,Secondary!E904,Primary!E904)</f>
        <v>0</v>
      </c>
      <c r="F904" s="10">
        <f>IF(ActiveDatabase=Standby,Secondary!F904,Primary!F904)</f>
        <v>0</v>
      </c>
      <c r="G904" s="10">
        <f>IF(ActiveDatabase=Standby,Secondary!G904,Primary!G904)</f>
        <v>0</v>
      </c>
      <c r="H904" s="10">
        <f>IF(ActiveDatabase=Standby,Secondary!H904,Primary!H904)</f>
        <v>0</v>
      </c>
      <c r="I904" s="13">
        <f>IF(ActiveDatabase=Standby,Secondary!I904,Primary!I904)</f>
        <v>0</v>
      </c>
      <c r="J904" s="13">
        <f>IF(ActiveDatabase=Standby,Secondary!J904,Primary!J904)</f>
        <v>0</v>
      </c>
      <c r="K904" s="13">
        <f>IF(ActiveDatabase=Standby,Secondary!K904,Primary!K904)</f>
        <v>0</v>
      </c>
      <c r="L904" s="13">
        <f>IF(ActiveDatabase=Standby,Secondary!L904,Primary!L904)</f>
        <v>0</v>
      </c>
      <c r="M904" s="7">
        <f>IF(ActiveDatabase=Standby,Secondary!M904,Primary!M904)</f>
        <v>0</v>
      </c>
      <c r="N904" s="10">
        <f>IF(ActiveDatabase=Standby,Secondary!N904,Primary!N904)</f>
        <v>0</v>
      </c>
      <c r="O904" s="10">
        <f>IF(ActiveDatabase=Standby,Secondary!O904,Primary!O904)</f>
        <v>0</v>
      </c>
      <c r="P904" s="10">
        <f>IF(ActiveDatabase=Standby,Secondary!P904,Primary!P904)</f>
        <v>0</v>
      </c>
      <c r="Q904" s="6">
        <f>IF(ActiveDatabase=Standby,Secondary!Q904,Primary!Q904)</f>
        <v>0</v>
      </c>
      <c r="R904" s="18">
        <f>IF(ActiveDatabase=Standby,Secondary!R904,Primary!R904)</f>
        <v>0</v>
      </c>
      <c r="S904" s="19">
        <f>IF(ActiveDatabase=Standby,Secondary!S904,Primary!S904)</f>
        <v>0</v>
      </c>
      <c r="T904" s="10">
        <f>IF(ActiveDatabase=Standby,Secondary!T904,Primary!T904)</f>
        <v>0</v>
      </c>
      <c r="U904" s="10">
        <f>IF(ActiveDatabase=Standby,Secondary!U904,Primary!U904)</f>
        <v>0</v>
      </c>
      <c r="V904" s="10">
        <f>IF(ActiveDatabase=Standby,Secondary!V904,Primary!V904)</f>
        <v>0</v>
      </c>
      <c r="W904" s="6">
        <f>IF(ActiveDatabase=Standby,Secondary!W904,Primary!W904)</f>
        <v>0</v>
      </c>
      <c r="X904" s="6">
        <f>IF(ActiveDatabase=Standby,Secondary!X904,Primary!X904)</f>
        <v>0</v>
      </c>
      <c r="Y904" s="12">
        <f>IF(ActiveDatabase=Standby,Secondary!Y904,Primary!Y1562)</f>
        <v>0</v>
      </c>
      <c r="Z904" s="12">
        <f>IF(ActiveDatabase=Standby,Secondary!Z904,Primary!Z1562)</f>
        <v>0</v>
      </c>
      <c r="AA904" s="7">
        <f>IF(ActiveDatabase=Standby,Secondary!AA904,Primary!AA1562)</f>
        <v>0</v>
      </c>
      <c r="AB904" s="12"/>
      <c r="AC904" s="6"/>
      <c r="AD904" s="6"/>
      <c r="AE904" s="7"/>
      <c r="AF904" s="7"/>
      <c r="AG904" s="7"/>
      <c r="AH904" s="7"/>
      <c r="AI904" s="7"/>
      <c r="AJ904" s="7"/>
      <c r="AK904" s="7"/>
      <c r="AL904" s="7"/>
      <c r="AM904" s="7"/>
      <c r="AN904" s="7"/>
      <c r="AO904" s="6"/>
      <c r="AP904" s="7"/>
      <c r="AQ904" s="7"/>
      <c r="AR904" s="6"/>
      <c r="AS904" s="7"/>
      <c r="AT904" s="7"/>
      <c r="AU904" s="7"/>
      <c r="AV904" s="7"/>
      <c r="AW904" s="7"/>
      <c r="AX904" s="7"/>
      <c r="AY904" s="7"/>
      <c r="AZ904" s="7"/>
      <c r="BA904" s="7"/>
      <c r="BB904" s="7"/>
      <c r="BC904" s="7"/>
      <c r="BD904" s="7"/>
      <c r="BE904" s="7"/>
      <c r="BF904" s="7"/>
      <c r="BG904" s="7"/>
    </row>
    <row r="905" customHeight="1" spans="1:59">
      <c r="A905" s="9">
        <f>IF(ActiveDatabase=Standby,Secondary!A905,Primary!A905)</f>
        <v>0</v>
      </c>
      <c r="B905" s="5">
        <f>IF(ActiveDatabase=Standby,Secondary!B905,Primary!B905)</f>
        <v>0</v>
      </c>
      <c r="C905" s="5">
        <f>IF(ActiveDatabase=Standby,Secondary!C905,Primary!C905)</f>
        <v>0</v>
      </c>
      <c r="D905" s="5">
        <f>IF(ActiveDatabase=Standby,Secondary!D905,Primary!D905)</f>
        <v>0</v>
      </c>
      <c r="E905" s="6">
        <f>IF(ActiveDatabase=Standby,Secondary!E905,Primary!E905)</f>
        <v>0</v>
      </c>
      <c r="F905" s="10">
        <f>IF(ActiveDatabase=Standby,Secondary!F905,Primary!F905)</f>
        <v>0</v>
      </c>
      <c r="G905" s="10">
        <f>IF(ActiveDatabase=Standby,Secondary!G905,Primary!G905)</f>
        <v>0</v>
      </c>
      <c r="H905" s="10">
        <f>IF(ActiveDatabase=Standby,Secondary!H905,Primary!H905)</f>
        <v>0</v>
      </c>
      <c r="I905" s="13">
        <f>IF(ActiveDatabase=Standby,Secondary!I905,Primary!I905)</f>
        <v>0</v>
      </c>
      <c r="J905" s="13">
        <f>IF(ActiveDatabase=Standby,Secondary!J905,Primary!J905)</f>
        <v>0</v>
      </c>
      <c r="K905" s="13">
        <f>IF(ActiveDatabase=Standby,Secondary!K905,Primary!K905)</f>
        <v>0</v>
      </c>
      <c r="L905" s="13">
        <f>IF(ActiveDatabase=Standby,Secondary!L905,Primary!L905)</f>
        <v>0</v>
      </c>
      <c r="M905" s="7">
        <f>IF(ActiveDatabase=Standby,Secondary!M905,Primary!M905)</f>
        <v>0</v>
      </c>
      <c r="N905" s="10">
        <f>IF(ActiveDatabase=Standby,Secondary!N905,Primary!N905)</f>
        <v>0</v>
      </c>
      <c r="O905" s="10">
        <f>IF(ActiveDatabase=Standby,Secondary!O905,Primary!O905)</f>
        <v>0</v>
      </c>
      <c r="P905" s="10">
        <f>IF(ActiveDatabase=Standby,Secondary!P905,Primary!P905)</f>
        <v>0</v>
      </c>
      <c r="Q905" s="6">
        <f>IF(ActiveDatabase=Standby,Secondary!Q905,Primary!Q905)</f>
        <v>0</v>
      </c>
      <c r="R905" s="18">
        <f>IF(ActiveDatabase=Standby,Secondary!R905,Primary!R905)</f>
        <v>0</v>
      </c>
      <c r="S905" s="19">
        <f>IF(ActiveDatabase=Standby,Secondary!S905,Primary!S905)</f>
        <v>0</v>
      </c>
      <c r="T905" s="10">
        <f>IF(ActiveDatabase=Standby,Secondary!T905,Primary!T905)</f>
        <v>0</v>
      </c>
      <c r="U905" s="10">
        <f>IF(ActiveDatabase=Standby,Secondary!U905,Primary!U905)</f>
        <v>0</v>
      </c>
      <c r="V905" s="10">
        <f>IF(ActiveDatabase=Standby,Secondary!V905,Primary!V905)</f>
        <v>0</v>
      </c>
      <c r="W905" s="6">
        <f>IF(ActiveDatabase=Standby,Secondary!W905,Primary!W905)</f>
        <v>0</v>
      </c>
      <c r="X905" s="6">
        <f>IF(ActiveDatabase=Standby,Secondary!X905,Primary!X905)</f>
        <v>0</v>
      </c>
      <c r="Y905" s="12">
        <f>IF(ActiveDatabase=Standby,Secondary!Y905,Primary!Y1563)</f>
        <v>0</v>
      </c>
      <c r="Z905" s="12">
        <f>IF(ActiveDatabase=Standby,Secondary!Z905,Primary!Z1563)</f>
        <v>0</v>
      </c>
      <c r="AA905" s="7">
        <f>IF(ActiveDatabase=Standby,Secondary!AA905,Primary!AA1563)</f>
        <v>0</v>
      </c>
      <c r="AB905" s="12"/>
      <c r="AC905" s="6"/>
      <c r="AD905" s="6"/>
      <c r="AE905" s="7"/>
      <c r="AF905" s="7"/>
      <c r="AG905" s="7"/>
      <c r="AH905" s="7"/>
      <c r="AI905" s="7"/>
      <c r="AJ905" s="7"/>
      <c r="AK905" s="7"/>
      <c r="AL905" s="7"/>
      <c r="AM905" s="7"/>
      <c r="AN905" s="7"/>
      <c r="AO905" s="6"/>
      <c r="AP905" s="7"/>
      <c r="AQ905" s="7"/>
      <c r="AR905" s="6"/>
      <c r="AS905" s="7"/>
      <c r="AT905" s="7"/>
      <c r="AU905" s="7"/>
      <c r="AV905" s="7"/>
      <c r="AW905" s="7"/>
      <c r="AX905" s="7"/>
      <c r="AY905" s="7"/>
      <c r="AZ905" s="7"/>
      <c r="BA905" s="7"/>
      <c r="BB905" s="7"/>
      <c r="BC905" s="7"/>
      <c r="BD905" s="7"/>
      <c r="BE905" s="7"/>
      <c r="BF905" s="7"/>
      <c r="BG905" s="7"/>
    </row>
    <row r="906" customHeight="1" spans="1:59">
      <c r="A906" s="9">
        <f>IF(ActiveDatabase=Standby,Secondary!A906,Primary!A906)</f>
        <v>0</v>
      </c>
      <c r="B906" s="5">
        <f>IF(ActiveDatabase=Standby,Secondary!B906,Primary!B906)</f>
        <v>0</v>
      </c>
      <c r="C906" s="5">
        <f>IF(ActiveDatabase=Standby,Secondary!C906,Primary!C906)</f>
        <v>0</v>
      </c>
      <c r="D906" s="5">
        <f>IF(ActiveDatabase=Standby,Secondary!D906,Primary!D906)</f>
        <v>0</v>
      </c>
      <c r="E906" s="6">
        <f>IF(ActiveDatabase=Standby,Secondary!E906,Primary!E906)</f>
        <v>0</v>
      </c>
      <c r="F906" s="10">
        <f>IF(ActiveDatabase=Standby,Secondary!F906,Primary!F906)</f>
        <v>0</v>
      </c>
      <c r="G906" s="10">
        <f>IF(ActiveDatabase=Standby,Secondary!G906,Primary!G906)</f>
        <v>0</v>
      </c>
      <c r="H906" s="10">
        <f>IF(ActiveDatabase=Standby,Secondary!H906,Primary!H906)</f>
        <v>0</v>
      </c>
      <c r="I906" s="13">
        <f>IF(ActiveDatabase=Standby,Secondary!I906,Primary!I906)</f>
        <v>0</v>
      </c>
      <c r="J906" s="13">
        <f>IF(ActiveDatabase=Standby,Secondary!J906,Primary!J906)</f>
        <v>0</v>
      </c>
      <c r="K906" s="13">
        <f>IF(ActiveDatabase=Standby,Secondary!K906,Primary!K906)</f>
        <v>0</v>
      </c>
      <c r="L906" s="13">
        <f>IF(ActiveDatabase=Standby,Secondary!L906,Primary!L906)</f>
        <v>0</v>
      </c>
      <c r="M906" s="7">
        <f>IF(ActiveDatabase=Standby,Secondary!M906,Primary!M906)</f>
        <v>0</v>
      </c>
      <c r="N906" s="10">
        <f>IF(ActiveDatabase=Standby,Secondary!N906,Primary!N906)</f>
        <v>0</v>
      </c>
      <c r="O906" s="10">
        <f>IF(ActiveDatabase=Standby,Secondary!O906,Primary!O906)</f>
        <v>0</v>
      </c>
      <c r="P906" s="10">
        <f>IF(ActiveDatabase=Standby,Secondary!P906,Primary!P906)</f>
        <v>0</v>
      </c>
      <c r="Q906" s="6">
        <f>IF(ActiveDatabase=Standby,Secondary!Q906,Primary!Q906)</f>
        <v>0</v>
      </c>
      <c r="R906" s="18">
        <f>IF(ActiveDatabase=Standby,Secondary!R906,Primary!R906)</f>
        <v>0</v>
      </c>
      <c r="S906" s="19">
        <f>IF(ActiveDatabase=Standby,Secondary!S906,Primary!S906)</f>
        <v>0</v>
      </c>
      <c r="T906" s="10">
        <f>IF(ActiveDatabase=Standby,Secondary!T906,Primary!T906)</f>
        <v>0</v>
      </c>
      <c r="U906" s="10">
        <f>IF(ActiveDatabase=Standby,Secondary!U906,Primary!U906)</f>
        <v>0</v>
      </c>
      <c r="V906" s="10">
        <f>IF(ActiveDatabase=Standby,Secondary!V906,Primary!V906)</f>
        <v>0</v>
      </c>
      <c r="W906" s="6">
        <f>IF(ActiveDatabase=Standby,Secondary!W906,Primary!W906)</f>
        <v>0</v>
      </c>
      <c r="X906" s="6">
        <f>IF(ActiveDatabase=Standby,Secondary!X906,Primary!X906)</f>
        <v>0</v>
      </c>
      <c r="Y906" s="12">
        <f>IF(ActiveDatabase=Standby,Secondary!Y906,Primary!Y1564)</f>
        <v>0</v>
      </c>
      <c r="Z906" s="12">
        <f>IF(ActiveDatabase=Standby,Secondary!Z906,Primary!Z1564)</f>
        <v>0</v>
      </c>
      <c r="AA906" s="7">
        <f>IF(ActiveDatabase=Standby,Secondary!AA906,Primary!AA1564)</f>
        <v>0</v>
      </c>
      <c r="AB906" s="12"/>
      <c r="AC906" s="6"/>
      <c r="AD906" s="6"/>
      <c r="AE906" s="7"/>
      <c r="AF906" s="7"/>
      <c r="AG906" s="7"/>
      <c r="AH906" s="7"/>
      <c r="AI906" s="7"/>
      <c r="AJ906" s="7"/>
      <c r="AK906" s="7"/>
      <c r="AL906" s="7"/>
      <c r="AM906" s="7"/>
      <c r="AN906" s="7"/>
      <c r="AO906" s="6"/>
      <c r="AP906" s="7"/>
      <c r="AQ906" s="7"/>
      <c r="AR906" s="6"/>
      <c r="AS906" s="7"/>
      <c r="AT906" s="7"/>
      <c r="AU906" s="7"/>
      <c r="AV906" s="7"/>
      <c r="AW906" s="7"/>
      <c r="AX906" s="7"/>
      <c r="AY906" s="7"/>
      <c r="AZ906" s="7"/>
      <c r="BA906" s="7"/>
      <c r="BB906" s="7"/>
      <c r="BC906" s="7"/>
      <c r="BD906" s="7"/>
      <c r="BE906" s="7"/>
      <c r="BF906" s="7"/>
      <c r="BG906" s="7"/>
    </row>
    <row r="907" customHeight="1" spans="1:59">
      <c r="A907" s="9">
        <f>IF(ActiveDatabase=Standby,Secondary!A907,Primary!A907)</f>
        <v>0</v>
      </c>
      <c r="B907" s="5">
        <f>IF(ActiveDatabase=Standby,Secondary!B907,Primary!B907)</f>
        <v>0</v>
      </c>
      <c r="C907" s="5">
        <f>IF(ActiveDatabase=Standby,Secondary!C907,Primary!C907)</f>
        <v>0</v>
      </c>
      <c r="D907" s="5">
        <f>IF(ActiveDatabase=Standby,Secondary!D907,Primary!D907)</f>
        <v>0</v>
      </c>
      <c r="E907" s="6">
        <f>IF(ActiveDatabase=Standby,Secondary!E907,Primary!E907)</f>
        <v>0</v>
      </c>
      <c r="F907" s="10">
        <f>IF(ActiveDatabase=Standby,Secondary!F907,Primary!F907)</f>
        <v>0</v>
      </c>
      <c r="G907" s="10">
        <f>IF(ActiveDatabase=Standby,Secondary!G907,Primary!G907)</f>
        <v>0</v>
      </c>
      <c r="H907" s="10">
        <f>IF(ActiveDatabase=Standby,Secondary!H907,Primary!H907)</f>
        <v>0</v>
      </c>
      <c r="I907" s="13">
        <f>IF(ActiveDatabase=Standby,Secondary!I907,Primary!I907)</f>
        <v>0</v>
      </c>
      <c r="J907" s="13">
        <f>IF(ActiveDatabase=Standby,Secondary!J907,Primary!J907)</f>
        <v>0</v>
      </c>
      <c r="K907" s="13">
        <f>IF(ActiveDatabase=Standby,Secondary!K907,Primary!K907)</f>
        <v>0</v>
      </c>
      <c r="L907" s="13">
        <f>IF(ActiveDatabase=Standby,Secondary!L907,Primary!L907)</f>
        <v>0</v>
      </c>
      <c r="M907" s="7">
        <f>IF(ActiveDatabase=Standby,Secondary!M907,Primary!M907)</f>
        <v>0</v>
      </c>
      <c r="N907" s="10">
        <f>IF(ActiveDatabase=Standby,Secondary!N907,Primary!N907)</f>
        <v>0</v>
      </c>
      <c r="O907" s="10">
        <f>IF(ActiveDatabase=Standby,Secondary!O907,Primary!O907)</f>
        <v>0</v>
      </c>
      <c r="P907" s="10">
        <f>IF(ActiveDatabase=Standby,Secondary!P907,Primary!P907)</f>
        <v>0</v>
      </c>
      <c r="Q907" s="6">
        <f>IF(ActiveDatabase=Standby,Secondary!Q907,Primary!Q907)</f>
        <v>0</v>
      </c>
      <c r="R907" s="18">
        <f>IF(ActiveDatabase=Standby,Secondary!R907,Primary!R907)</f>
        <v>0</v>
      </c>
      <c r="S907" s="19">
        <f>IF(ActiveDatabase=Standby,Secondary!S907,Primary!S907)</f>
        <v>0</v>
      </c>
      <c r="T907" s="10">
        <f>IF(ActiveDatabase=Standby,Secondary!T907,Primary!T907)</f>
        <v>0</v>
      </c>
      <c r="U907" s="10">
        <f>IF(ActiveDatabase=Standby,Secondary!U907,Primary!U907)</f>
        <v>0</v>
      </c>
      <c r="V907" s="10">
        <f>IF(ActiveDatabase=Standby,Secondary!V907,Primary!V907)</f>
        <v>0</v>
      </c>
      <c r="W907" s="6">
        <f>IF(ActiveDatabase=Standby,Secondary!W907,Primary!W907)</f>
        <v>0</v>
      </c>
      <c r="X907" s="6">
        <f>IF(ActiveDatabase=Standby,Secondary!X907,Primary!X907)</f>
        <v>0</v>
      </c>
      <c r="Y907" s="12">
        <f>IF(ActiveDatabase=Standby,Secondary!Y907,Primary!Y1565)</f>
        <v>0</v>
      </c>
      <c r="Z907" s="12">
        <f>IF(ActiveDatabase=Standby,Secondary!Z907,Primary!Z1565)</f>
        <v>0</v>
      </c>
      <c r="AA907" s="7">
        <f>IF(ActiveDatabase=Standby,Secondary!AA907,Primary!AA1565)</f>
        <v>0</v>
      </c>
      <c r="AB907" s="12"/>
      <c r="AC907" s="6"/>
      <c r="AD907" s="6"/>
      <c r="AE907" s="7"/>
      <c r="AF907" s="7"/>
      <c r="AG907" s="7"/>
      <c r="AH907" s="7"/>
      <c r="AI907" s="7"/>
      <c r="AJ907" s="7"/>
      <c r="AK907" s="7"/>
      <c r="AL907" s="7"/>
      <c r="AM907" s="7"/>
      <c r="AN907" s="7"/>
      <c r="AO907" s="6"/>
      <c r="AP907" s="7"/>
      <c r="AQ907" s="7"/>
      <c r="AR907" s="6"/>
      <c r="AS907" s="7"/>
      <c r="AT907" s="7"/>
      <c r="AU907" s="7"/>
      <c r="AV907" s="7"/>
      <c r="AW907" s="7"/>
      <c r="AX907" s="7"/>
      <c r="AY907" s="7"/>
      <c r="AZ907" s="7"/>
      <c r="BA907" s="7"/>
      <c r="BB907" s="7"/>
      <c r="BC907" s="7"/>
      <c r="BD907" s="7"/>
      <c r="BE907" s="7"/>
      <c r="BF907" s="7"/>
      <c r="BG907" s="7"/>
    </row>
    <row r="908" customHeight="1" spans="1:59">
      <c r="A908" s="9">
        <f>IF(ActiveDatabase=Standby,Secondary!A908,Primary!A908)</f>
        <v>0</v>
      </c>
      <c r="B908" s="5">
        <f>IF(ActiveDatabase=Standby,Secondary!B908,Primary!B908)</f>
        <v>0</v>
      </c>
      <c r="C908" s="5">
        <f>IF(ActiveDatabase=Standby,Secondary!C908,Primary!C908)</f>
        <v>0</v>
      </c>
      <c r="D908" s="5">
        <f>IF(ActiveDatabase=Standby,Secondary!D908,Primary!D908)</f>
        <v>0</v>
      </c>
      <c r="E908" s="6">
        <f>IF(ActiveDatabase=Standby,Secondary!E908,Primary!E908)</f>
        <v>0</v>
      </c>
      <c r="F908" s="10">
        <f>IF(ActiveDatabase=Standby,Secondary!F908,Primary!F908)</f>
        <v>0</v>
      </c>
      <c r="G908" s="10">
        <f>IF(ActiveDatabase=Standby,Secondary!G908,Primary!G908)</f>
        <v>0</v>
      </c>
      <c r="H908" s="10">
        <f>IF(ActiveDatabase=Standby,Secondary!H908,Primary!H908)</f>
        <v>0</v>
      </c>
      <c r="I908" s="13">
        <f>IF(ActiveDatabase=Standby,Secondary!I908,Primary!I908)</f>
        <v>0</v>
      </c>
      <c r="J908" s="13">
        <f>IF(ActiveDatabase=Standby,Secondary!J908,Primary!J908)</f>
        <v>0</v>
      </c>
      <c r="K908" s="13">
        <f>IF(ActiveDatabase=Standby,Secondary!K908,Primary!K908)</f>
        <v>0</v>
      </c>
      <c r="L908" s="13">
        <f>IF(ActiveDatabase=Standby,Secondary!L908,Primary!L908)</f>
        <v>0</v>
      </c>
      <c r="M908" s="7">
        <f>IF(ActiveDatabase=Standby,Secondary!M908,Primary!M908)</f>
        <v>0</v>
      </c>
      <c r="N908" s="10">
        <f>IF(ActiveDatabase=Standby,Secondary!N908,Primary!N908)</f>
        <v>0</v>
      </c>
      <c r="O908" s="10">
        <f>IF(ActiveDatabase=Standby,Secondary!O908,Primary!O908)</f>
        <v>0</v>
      </c>
      <c r="P908" s="10">
        <f>IF(ActiveDatabase=Standby,Secondary!P908,Primary!P908)</f>
        <v>0</v>
      </c>
      <c r="Q908" s="6">
        <f>IF(ActiveDatabase=Standby,Secondary!Q908,Primary!Q908)</f>
        <v>0</v>
      </c>
      <c r="R908" s="18">
        <f>IF(ActiveDatabase=Standby,Secondary!R908,Primary!R908)</f>
        <v>0</v>
      </c>
      <c r="S908" s="19">
        <f>IF(ActiveDatabase=Standby,Secondary!S908,Primary!S908)</f>
        <v>0</v>
      </c>
      <c r="T908" s="10">
        <f>IF(ActiveDatabase=Standby,Secondary!T908,Primary!T908)</f>
        <v>0</v>
      </c>
      <c r="U908" s="10">
        <f>IF(ActiveDatabase=Standby,Secondary!U908,Primary!U908)</f>
        <v>0</v>
      </c>
      <c r="V908" s="10">
        <f>IF(ActiveDatabase=Standby,Secondary!V908,Primary!V908)</f>
        <v>0</v>
      </c>
      <c r="W908" s="6">
        <f>IF(ActiveDatabase=Standby,Secondary!W908,Primary!W908)</f>
        <v>0</v>
      </c>
      <c r="X908" s="6">
        <f>IF(ActiveDatabase=Standby,Secondary!X908,Primary!X908)</f>
        <v>0</v>
      </c>
      <c r="Y908" s="12">
        <f>IF(ActiveDatabase=Standby,Secondary!Y908,Primary!Y1566)</f>
        <v>0</v>
      </c>
      <c r="Z908" s="12">
        <f>IF(ActiveDatabase=Standby,Secondary!Z908,Primary!Z1566)</f>
        <v>0</v>
      </c>
      <c r="AA908" s="7">
        <f>IF(ActiveDatabase=Standby,Secondary!AA908,Primary!AA1566)</f>
        <v>0</v>
      </c>
      <c r="AB908" s="12"/>
      <c r="AC908" s="6"/>
      <c r="AD908" s="6"/>
      <c r="AE908" s="7"/>
      <c r="AF908" s="7"/>
      <c r="AG908" s="7"/>
      <c r="AH908" s="7"/>
      <c r="AI908" s="7"/>
      <c r="AJ908" s="7"/>
      <c r="AK908" s="7"/>
      <c r="AL908" s="7"/>
      <c r="AM908" s="7"/>
      <c r="AN908" s="7"/>
      <c r="AO908" s="6"/>
      <c r="AP908" s="7"/>
      <c r="AQ908" s="7"/>
      <c r="AR908" s="6"/>
      <c r="AS908" s="7"/>
      <c r="AT908" s="7"/>
      <c r="AU908" s="7"/>
      <c r="AV908" s="7"/>
      <c r="AW908" s="7"/>
      <c r="AX908" s="7"/>
      <c r="AY908" s="7"/>
      <c r="AZ908" s="7"/>
      <c r="BA908" s="7"/>
      <c r="BB908" s="7"/>
      <c r="BC908" s="7"/>
      <c r="BD908" s="7"/>
      <c r="BE908" s="7"/>
      <c r="BF908" s="7"/>
      <c r="BG908" s="7"/>
    </row>
    <row r="909" customHeight="1" spans="1:59">
      <c r="A909" s="9">
        <f>IF(ActiveDatabase=Standby,Secondary!A909,Primary!A909)</f>
        <v>0</v>
      </c>
      <c r="B909" s="5">
        <f>IF(ActiveDatabase=Standby,Secondary!B909,Primary!B909)</f>
        <v>0</v>
      </c>
      <c r="C909" s="5">
        <f>IF(ActiveDatabase=Standby,Secondary!C909,Primary!C909)</f>
        <v>0</v>
      </c>
      <c r="D909" s="5">
        <f>IF(ActiveDatabase=Standby,Secondary!D909,Primary!D909)</f>
        <v>0</v>
      </c>
      <c r="E909" s="6">
        <f>IF(ActiveDatabase=Standby,Secondary!E909,Primary!E909)</f>
        <v>0</v>
      </c>
      <c r="F909" s="10">
        <f>IF(ActiveDatabase=Standby,Secondary!F909,Primary!F909)</f>
        <v>0</v>
      </c>
      <c r="G909" s="10">
        <f>IF(ActiveDatabase=Standby,Secondary!G909,Primary!G909)</f>
        <v>0</v>
      </c>
      <c r="H909" s="10">
        <f>IF(ActiveDatabase=Standby,Secondary!H909,Primary!H909)</f>
        <v>0</v>
      </c>
      <c r="I909" s="13">
        <f>IF(ActiveDatabase=Standby,Secondary!I909,Primary!I909)</f>
        <v>0</v>
      </c>
      <c r="J909" s="13">
        <f>IF(ActiveDatabase=Standby,Secondary!J909,Primary!J909)</f>
        <v>0</v>
      </c>
      <c r="K909" s="13">
        <f>IF(ActiveDatabase=Standby,Secondary!K909,Primary!K909)</f>
        <v>0</v>
      </c>
      <c r="L909" s="13">
        <f>IF(ActiveDatabase=Standby,Secondary!L909,Primary!L909)</f>
        <v>0</v>
      </c>
      <c r="M909" s="7">
        <f>IF(ActiveDatabase=Standby,Secondary!M909,Primary!M909)</f>
        <v>0</v>
      </c>
      <c r="N909" s="10">
        <f>IF(ActiveDatabase=Standby,Secondary!N909,Primary!N909)</f>
        <v>0</v>
      </c>
      <c r="O909" s="10">
        <f>IF(ActiveDatabase=Standby,Secondary!O909,Primary!O909)</f>
        <v>0</v>
      </c>
      <c r="P909" s="10">
        <f>IF(ActiveDatabase=Standby,Secondary!P909,Primary!P909)</f>
        <v>0</v>
      </c>
      <c r="Q909" s="6">
        <f>IF(ActiveDatabase=Standby,Secondary!Q909,Primary!Q909)</f>
        <v>0</v>
      </c>
      <c r="R909" s="18">
        <f>IF(ActiveDatabase=Standby,Secondary!R909,Primary!R909)</f>
        <v>0</v>
      </c>
      <c r="S909" s="19">
        <f>IF(ActiveDatabase=Standby,Secondary!S909,Primary!S909)</f>
        <v>0</v>
      </c>
      <c r="T909" s="10">
        <f>IF(ActiveDatabase=Standby,Secondary!T909,Primary!T909)</f>
        <v>0</v>
      </c>
      <c r="U909" s="10">
        <f>IF(ActiveDatabase=Standby,Secondary!U909,Primary!U909)</f>
        <v>0</v>
      </c>
      <c r="V909" s="10">
        <f>IF(ActiveDatabase=Standby,Secondary!V909,Primary!V909)</f>
        <v>0</v>
      </c>
      <c r="W909" s="6">
        <f>IF(ActiveDatabase=Standby,Secondary!W909,Primary!W909)</f>
        <v>0</v>
      </c>
      <c r="X909" s="6">
        <f>IF(ActiveDatabase=Standby,Secondary!X909,Primary!X909)</f>
        <v>0</v>
      </c>
      <c r="Y909" s="12">
        <f>IF(ActiveDatabase=Standby,Secondary!Y909,Primary!Y1567)</f>
        <v>0</v>
      </c>
      <c r="Z909" s="12">
        <f>IF(ActiveDatabase=Standby,Secondary!Z909,Primary!Z1567)</f>
        <v>0</v>
      </c>
      <c r="AA909" s="7">
        <f>IF(ActiveDatabase=Standby,Secondary!AA909,Primary!AA1567)</f>
        <v>0</v>
      </c>
      <c r="AB909" s="12"/>
      <c r="AC909" s="6"/>
      <c r="AD909" s="6"/>
      <c r="AE909" s="7"/>
      <c r="AF909" s="7"/>
      <c r="AG909" s="7"/>
      <c r="AH909" s="7"/>
      <c r="AI909" s="7"/>
      <c r="AJ909" s="7"/>
      <c r="AK909" s="7"/>
      <c r="AL909" s="7"/>
      <c r="AM909" s="7"/>
      <c r="AN909" s="7"/>
      <c r="AO909" s="6"/>
      <c r="AP909" s="7"/>
      <c r="AQ909" s="7"/>
      <c r="AR909" s="6"/>
      <c r="AS909" s="7"/>
      <c r="AT909" s="7"/>
      <c r="AU909" s="7"/>
      <c r="AV909" s="7"/>
      <c r="AW909" s="7"/>
      <c r="AX909" s="7"/>
      <c r="AY909" s="7"/>
      <c r="AZ909" s="7"/>
      <c r="BA909" s="7"/>
      <c r="BB909" s="7"/>
      <c r="BC909" s="7"/>
      <c r="BD909" s="7"/>
      <c r="BE909" s="7"/>
      <c r="BF909" s="7"/>
      <c r="BG909" s="7"/>
    </row>
    <row r="910" customHeight="1" spans="1:59">
      <c r="A910" s="9">
        <f>IF(ActiveDatabase=Standby,Secondary!A910,Primary!A910)</f>
        <v>0</v>
      </c>
      <c r="B910" s="5">
        <f>IF(ActiveDatabase=Standby,Secondary!B910,Primary!B910)</f>
        <v>0</v>
      </c>
      <c r="C910" s="5">
        <f>IF(ActiveDatabase=Standby,Secondary!C910,Primary!C910)</f>
        <v>0</v>
      </c>
      <c r="D910" s="5">
        <f>IF(ActiveDatabase=Standby,Secondary!D910,Primary!D910)</f>
        <v>0</v>
      </c>
      <c r="E910" s="6">
        <f>IF(ActiveDatabase=Standby,Secondary!E910,Primary!E910)</f>
        <v>0</v>
      </c>
      <c r="F910" s="10">
        <f>IF(ActiveDatabase=Standby,Secondary!F910,Primary!F910)</f>
        <v>0</v>
      </c>
      <c r="G910" s="10">
        <f>IF(ActiveDatabase=Standby,Secondary!G910,Primary!G910)</f>
        <v>0</v>
      </c>
      <c r="H910" s="10">
        <f>IF(ActiveDatabase=Standby,Secondary!H910,Primary!H910)</f>
        <v>0</v>
      </c>
      <c r="I910" s="13">
        <f>IF(ActiveDatabase=Standby,Secondary!I910,Primary!I910)</f>
        <v>0</v>
      </c>
      <c r="J910" s="13">
        <f>IF(ActiveDatabase=Standby,Secondary!J910,Primary!J910)</f>
        <v>0</v>
      </c>
      <c r="K910" s="13">
        <f>IF(ActiveDatabase=Standby,Secondary!K910,Primary!K910)</f>
        <v>0</v>
      </c>
      <c r="L910" s="13">
        <f>IF(ActiveDatabase=Standby,Secondary!L910,Primary!L910)</f>
        <v>0</v>
      </c>
      <c r="M910" s="7">
        <f>IF(ActiveDatabase=Standby,Secondary!M910,Primary!M910)</f>
        <v>0</v>
      </c>
      <c r="N910" s="10">
        <f>IF(ActiveDatabase=Standby,Secondary!N910,Primary!N910)</f>
        <v>0</v>
      </c>
      <c r="O910" s="10">
        <f>IF(ActiveDatabase=Standby,Secondary!O910,Primary!O910)</f>
        <v>0</v>
      </c>
      <c r="P910" s="10">
        <f>IF(ActiveDatabase=Standby,Secondary!P910,Primary!P910)</f>
        <v>0</v>
      </c>
      <c r="Q910" s="6">
        <f>IF(ActiveDatabase=Standby,Secondary!Q910,Primary!Q910)</f>
        <v>0</v>
      </c>
      <c r="R910" s="18">
        <f>IF(ActiveDatabase=Standby,Secondary!R910,Primary!R910)</f>
        <v>0</v>
      </c>
      <c r="S910" s="19">
        <f>IF(ActiveDatabase=Standby,Secondary!S910,Primary!S910)</f>
        <v>0</v>
      </c>
      <c r="T910" s="10">
        <f>IF(ActiveDatabase=Standby,Secondary!T910,Primary!T910)</f>
        <v>0</v>
      </c>
      <c r="U910" s="10">
        <f>IF(ActiveDatabase=Standby,Secondary!U910,Primary!U910)</f>
        <v>0</v>
      </c>
      <c r="V910" s="10">
        <f>IF(ActiveDatabase=Standby,Secondary!V910,Primary!V910)</f>
        <v>0</v>
      </c>
      <c r="W910" s="6">
        <f>IF(ActiveDatabase=Standby,Secondary!W910,Primary!W910)</f>
        <v>0</v>
      </c>
      <c r="X910" s="6">
        <f>IF(ActiveDatabase=Standby,Secondary!X910,Primary!X910)</f>
        <v>0</v>
      </c>
      <c r="Y910" s="12">
        <f>IF(ActiveDatabase=Standby,Secondary!Y910,Primary!Y1568)</f>
        <v>0</v>
      </c>
      <c r="Z910" s="12">
        <f>IF(ActiveDatabase=Standby,Secondary!Z910,Primary!Z1568)</f>
        <v>0</v>
      </c>
      <c r="AA910" s="9">
        <f>IF(ActiveDatabase=Standby,Secondary!AA910,Primary!AA1568)</f>
        <v>0</v>
      </c>
      <c r="AB910" s="12"/>
      <c r="AC910" s="6"/>
      <c r="AD910" s="6"/>
      <c r="AE910" s="7"/>
      <c r="AF910" s="7"/>
      <c r="AG910" s="7"/>
      <c r="AH910" s="7"/>
      <c r="AI910" s="7"/>
      <c r="AJ910" s="7"/>
      <c r="AK910" s="7"/>
      <c r="AL910" s="7"/>
      <c r="AM910" s="7"/>
      <c r="AN910" s="7"/>
      <c r="AO910" s="6"/>
      <c r="AP910" s="7"/>
      <c r="AQ910" s="7"/>
      <c r="AR910" s="6"/>
      <c r="AS910" s="7"/>
      <c r="AT910" s="7"/>
      <c r="AU910" s="7"/>
      <c r="AV910" s="7"/>
      <c r="AW910" s="7"/>
      <c r="AX910" s="7"/>
      <c r="AY910" s="7"/>
      <c r="AZ910" s="7"/>
      <c r="BA910" s="7"/>
      <c r="BB910" s="7"/>
      <c r="BC910" s="7"/>
      <c r="BD910" s="7"/>
      <c r="BE910" s="7"/>
      <c r="BF910" s="7"/>
      <c r="BG910" s="7"/>
    </row>
    <row r="911" customHeight="1" spans="1:59">
      <c r="A911" s="9">
        <f>IF(ActiveDatabase=Standby,Secondary!A911,Primary!A911)</f>
        <v>0</v>
      </c>
      <c r="B911" s="5">
        <f>IF(ActiveDatabase=Standby,Secondary!B911,Primary!B911)</f>
        <v>0</v>
      </c>
      <c r="C911" s="5">
        <f>IF(ActiveDatabase=Standby,Secondary!C911,Primary!C911)</f>
        <v>0</v>
      </c>
      <c r="D911" s="5">
        <f>IF(ActiveDatabase=Standby,Secondary!D911,Primary!D911)</f>
        <v>0</v>
      </c>
      <c r="E911" s="6">
        <f>IF(ActiveDatabase=Standby,Secondary!E911,Primary!E911)</f>
        <v>0</v>
      </c>
      <c r="F911" s="10">
        <f>IF(ActiveDatabase=Standby,Secondary!F911,Primary!F911)</f>
        <v>0</v>
      </c>
      <c r="G911" s="10">
        <f>IF(ActiveDatabase=Standby,Secondary!G911,Primary!G911)</f>
        <v>0</v>
      </c>
      <c r="H911" s="10">
        <f>IF(ActiveDatabase=Standby,Secondary!H911,Primary!H911)</f>
        <v>0</v>
      </c>
      <c r="I911" s="13">
        <f>IF(ActiveDatabase=Standby,Secondary!I911,Primary!I911)</f>
        <v>0</v>
      </c>
      <c r="J911" s="13">
        <f>IF(ActiveDatabase=Standby,Secondary!J911,Primary!J911)</f>
        <v>0</v>
      </c>
      <c r="K911" s="13">
        <f>IF(ActiveDatabase=Standby,Secondary!K911,Primary!K911)</f>
        <v>0</v>
      </c>
      <c r="L911" s="13">
        <f>IF(ActiveDatabase=Standby,Secondary!L911,Primary!L911)</f>
        <v>0</v>
      </c>
      <c r="M911" s="7">
        <f>IF(ActiveDatabase=Standby,Secondary!M911,Primary!M911)</f>
        <v>0</v>
      </c>
      <c r="N911" s="10">
        <f>IF(ActiveDatabase=Standby,Secondary!N911,Primary!N911)</f>
        <v>0</v>
      </c>
      <c r="O911" s="10">
        <f>IF(ActiveDatabase=Standby,Secondary!O911,Primary!O911)</f>
        <v>0</v>
      </c>
      <c r="P911" s="10">
        <f>IF(ActiveDatabase=Standby,Secondary!P911,Primary!P911)</f>
        <v>0</v>
      </c>
      <c r="Q911" s="6">
        <f>IF(ActiveDatabase=Standby,Secondary!Q911,Primary!Q911)</f>
        <v>0</v>
      </c>
      <c r="R911" s="18">
        <f>IF(ActiveDatabase=Standby,Secondary!R911,Primary!R911)</f>
        <v>0</v>
      </c>
      <c r="S911" s="19">
        <f>IF(ActiveDatabase=Standby,Secondary!S911,Primary!S911)</f>
        <v>0</v>
      </c>
      <c r="T911" s="10">
        <f>IF(ActiveDatabase=Standby,Secondary!T911,Primary!T911)</f>
        <v>0</v>
      </c>
      <c r="U911" s="10">
        <f>IF(ActiveDatabase=Standby,Secondary!U911,Primary!U911)</f>
        <v>0</v>
      </c>
      <c r="V911" s="10">
        <f>IF(ActiveDatabase=Standby,Secondary!V911,Primary!V911)</f>
        <v>0</v>
      </c>
      <c r="W911" s="6">
        <f>IF(ActiveDatabase=Standby,Secondary!W911,Primary!W911)</f>
        <v>0</v>
      </c>
      <c r="X911" s="6">
        <f>IF(ActiveDatabase=Standby,Secondary!X911,Primary!X911)</f>
        <v>0</v>
      </c>
      <c r="Y911" s="12">
        <f>IF(ActiveDatabase=Standby,Secondary!Y911,Primary!Y1569)</f>
        <v>0</v>
      </c>
      <c r="Z911" s="12">
        <f>IF(ActiveDatabase=Standby,Secondary!Z911,Primary!Z1569)</f>
        <v>0</v>
      </c>
      <c r="AA911" s="9">
        <f>IF(ActiveDatabase=Standby,Secondary!AA911,Primary!AA1569)</f>
        <v>0</v>
      </c>
      <c r="AB911" s="12"/>
      <c r="AC911" s="6"/>
      <c r="AD911" s="6"/>
      <c r="AE911" s="7"/>
      <c r="AF911" s="7"/>
      <c r="AG911" s="7"/>
      <c r="AH911" s="7"/>
      <c r="AI911" s="7"/>
      <c r="AJ911" s="7"/>
      <c r="AK911" s="7"/>
      <c r="AL911" s="7"/>
      <c r="AM911" s="7"/>
      <c r="AN911" s="7"/>
      <c r="AO911" s="6"/>
      <c r="AP911" s="7"/>
      <c r="AQ911" s="7"/>
      <c r="AR911" s="6"/>
      <c r="AS911" s="7"/>
      <c r="AT911" s="7"/>
      <c r="AU911" s="7"/>
      <c r="AV911" s="7"/>
      <c r="AW911" s="7"/>
      <c r="AX911" s="7"/>
      <c r="AY911" s="7"/>
      <c r="AZ911" s="7"/>
      <c r="BA911" s="7"/>
      <c r="BB911" s="7"/>
      <c r="BC911" s="7"/>
      <c r="BD911" s="7"/>
      <c r="BE911" s="7"/>
      <c r="BF911" s="7"/>
      <c r="BG911" s="7"/>
    </row>
    <row r="912" customHeight="1" spans="1:59">
      <c r="A912" s="9">
        <f>IF(ActiveDatabase=Standby,Secondary!A912,Primary!A912)</f>
        <v>0</v>
      </c>
      <c r="B912" s="5">
        <f>IF(ActiveDatabase=Standby,Secondary!B912,Primary!B912)</f>
        <v>0</v>
      </c>
      <c r="C912" s="5">
        <f>IF(ActiveDatabase=Standby,Secondary!C912,Primary!C912)</f>
        <v>0</v>
      </c>
      <c r="D912" s="5">
        <f>IF(ActiveDatabase=Standby,Secondary!D912,Primary!D912)</f>
        <v>0</v>
      </c>
      <c r="E912" s="6">
        <f>IF(ActiveDatabase=Standby,Secondary!E912,Primary!E912)</f>
        <v>0</v>
      </c>
      <c r="F912" s="10">
        <f>IF(ActiveDatabase=Standby,Secondary!F912,Primary!F912)</f>
        <v>0</v>
      </c>
      <c r="G912" s="10">
        <f>IF(ActiveDatabase=Standby,Secondary!G912,Primary!G912)</f>
        <v>0</v>
      </c>
      <c r="H912" s="10">
        <f>IF(ActiveDatabase=Standby,Secondary!H912,Primary!H912)</f>
        <v>0</v>
      </c>
      <c r="I912" s="13">
        <f>IF(ActiveDatabase=Standby,Secondary!I912,Primary!I912)</f>
        <v>0</v>
      </c>
      <c r="J912" s="13">
        <f>IF(ActiveDatabase=Standby,Secondary!J912,Primary!J912)</f>
        <v>0</v>
      </c>
      <c r="K912" s="13">
        <f>IF(ActiveDatabase=Standby,Secondary!K912,Primary!K912)</f>
        <v>0</v>
      </c>
      <c r="L912" s="13">
        <f>IF(ActiveDatabase=Standby,Secondary!L912,Primary!L912)</f>
        <v>0</v>
      </c>
      <c r="M912" s="7">
        <f>IF(ActiveDatabase=Standby,Secondary!M912,Primary!M912)</f>
        <v>0</v>
      </c>
      <c r="N912" s="10">
        <f>IF(ActiveDatabase=Standby,Secondary!N912,Primary!N912)</f>
        <v>0</v>
      </c>
      <c r="O912" s="10">
        <f>IF(ActiveDatabase=Standby,Secondary!O912,Primary!O912)</f>
        <v>0</v>
      </c>
      <c r="P912" s="10">
        <f>IF(ActiveDatabase=Standby,Secondary!P912,Primary!P912)</f>
        <v>0</v>
      </c>
      <c r="Q912" s="6">
        <f>IF(ActiveDatabase=Standby,Secondary!Q912,Primary!Q912)</f>
        <v>0</v>
      </c>
      <c r="R912" s="18">
        <f>IF(ActiveDatabase=Standby,Secondary!R912,Primary!R912)</f>
        <v>0</v>
      </c>
      <c r="S912" s="19">
        <f>IF(ActiveDatabase=Standby,Secondary!S912,Primary!S912)</f>
        <v>0</v>
      </c>
      <c r="T912" s="10">
        <f>IF(ActiveDatabase=Standby,Secondary!T912,Primary!T912)</f>
        <v>0</v>
      </c>
      <c r="U912" s="10">
        <f>IF(ActiveDatabase=Standby,Secondary!U912,Primary!U912)</f>
        <v>0</v>
      </c>
      <c r="V912" s="10">
        <f>IF(ActiveDatabase=Standby,Secondary!V912,Primary!V912)</f>
        <v>0</v>
      </c>
      <c r="W912" s="6">
        <f>IF(ActiveDatabase=Standby,Secondary!W912,Primary!W912)</f>
        <v>0</v>
      </c>
      <c r="X912" s="6">
        <f>IF(ActiveDatabase=Standby,Secondary!X912,Primary!X912)</f>
        <v>0</v>
      </c>
      <c r="Y912" s="12">
        <f>IF(ActiveDatabase=Standby,Secondary!Y912,Primary!Y1570)</f>
        <v>0</v>
      </c>
      <c r="Z912" s="12">
        <f>IF(ActiveDatabase=Standby,Secondary!Z912,Primary!Z1570)</f>
        <v>0</v>
      </c>
      <c r="AA912" s="9">
        <f>IF(ActiveDatabase=Standby,Secondary!AA912,Primary!AA1570)</f>
        <v>0</v>
      </c>
      <c r="AB912" s="12"/>
      <c r="AC912" s="6"/>
      <c r="AD912" s="6"/>
      <c r="AE912" s="7"/>
      <c r="AF912" s="7"/>
      <c r="AG912" s="7"/>
      <c r="AH912" s="7"/>
      <c r="AI912" s="7"/>
      <c r="AJ912" s="7"/>
      <c r="AK912" s="7"/>
      <c r="AL912" s="7"/>
      <c r="AM912" s="7"/>
      <c r="AN912" s="7"/>
      <c r="AO912" s="6"/>
      <c r="AP912" s="7"/>
      <c r="AQ912" s="7"/>
      <c r="AR912" s="6"/>
      <c r="AS912" s="7"/>
      <c r="AT912" s="7"/>
      <c r="AU912" s="7"/>
      <c r="AV912" s="7"/>
      <c r="AW912" s="7"/>
      <c r="AX912" s="7"/>
      <c r="AY912" s="7"/>
      <c r="AZ912" s="7"/>
      <c r="BA912" s="7"/>
      <c r="BB912" s="7"/>
      <c r="BC912" s="7"/>
      <c r="BD912" s="7"/>
      <c r="BE912" s="7"/>
      <c r="BF912" s="7"/>
      <c r="BG912" s="7"/>
    </row>
    <row r="913" customHeight="1" spans="1:59">
      <c r="A913" s="9">
        <f>IF(ActiveDatabase=Standby,Secondary!A913,Primary!A913)</f>
        <v>0</v>
      </c>
      <c r="B913" s="5">
        <f>IF(ActiveDatabase=Standby,Secondary!B913,Primary!B913)</f>
        <v>0</v>
      </c>
      <c r="C913" s="5">
        <f>IF(ActiveDatabase=Standby,Secondary!C913,Primary!C913)</f>
        <v>0</v>
      </c>
      <c r="D913" s="5">
        <f>IF(ActiveDatabase=Standby,Secondary!D913,Primary!D913)</f>
        <v>0</v>
      </c>
      <c r="E913" s="6">
        <f>IF(ActiveDatabase=Standby,Secondary!E913,Primary!E913)</f>
        <v>0</v>
      </c>
      <c r="F913" s="10">
        <f>IF(ActiveDatabase=Standby,Secondary!F913,Primary!F913)</f>
        <v>0</v>
      </c>
      <c r="G913" s="10">
        <f>IF(ActiveDatabase=Standby,Secondary!G913,Primary!G913)</f>
        <v>0</v>
      </c>
      <c r="H913" s="10">
        <f>IF(ActiveDatabase=Standby,Secondary!H913,Primary!H913)</f>
        <v>0</v>
      </c>
      <c r="I913" s="13">
        <f>IF(ActiveDatabase=Standby,Secondary!I913,Primary!I913)</f>
        <v>0</v>
      </c>
      <c r="J913" s="13">
        <f>IF(ActiveDatabase=Standby,Secondary!J913,Primary!J913)</f>
        <v>0</v>
      </c>
      <c r="K913" s="13">
        <f>IF(ActiveDatabase=Standby,Secondary!K913,Primary!K913)</f>
        <v>0</v>
      </c>
      <c r="L913" s="13">
        <f>IF(ActiveDatabase=Standby,Secondary!L913,Primary!L913)</f>
        <v>0</v>
      </c>
      <c r="M913" s="7">
        <f>IF(ActiveDatabase=Standby,Secondary!M913,Primary!M913)</f>
        <v>0</v>
      </c>
      <c r="N913" s="10">
        <f>IF(ActiveDatabase=Standby,Secondary!N913,Primary!N913)</f>
        <v>0</v>
      </c>
      <c r="O913" s="10">
        <f>IF(ActiveDatabase=Standby,Secondary!O913,Primary!O913)</f>
        <v>0</v>
      </c>
      <c r="P913" s="10">
        <f>IF(ActiveDatabase=Standby,Secondary!P913,Primary!P913)</f>
        <v>0</v>
      </c>
      <c r="Q913" s="6">
        <f>IF(ActiveDatabase=Standby,Secondary!Q913,Primary!Q913)</f>
        <v>0</v>
      </c>
      <c r="R913" s="18">
        <f>IF(ActiveDatabase=Standby,Secondary!R913,Primary!R913)</f>
        <v>0</v>
      </c>
      <c r="S913" s="19">
        <f>IF(ActiveDatabase=Standby,Secondary!S913,Primary!S913)</f>
        <v>0</v>
      </c>
      <c r="T913" s="10">
        <f>IF(ActiveDatabase=Standby,Secondary!T913,Primary!T913)</f>
        <v>0</v>
      </c>
      <c r="U913" s="10">
        <f>IF(ActiveDatabase=Standby,Secondary!U913,Primary!U913)</f>
        <v>0</v>
      </c>
      <c r="V913" s="10">
        <f>IF(ActiveDatabase=Standby,Secondary!V913,Primary!V913)</f>
        <v>0</v>
      </c>
      <c r="W913" s="6">
        <f>IF(ActiveDatabase=Standby,Secondary!W913,Primary!W913)</f>
        <v>0</v>
      </c>
      <c r="X913" s="6">
        <f>IF(ActiveDatabase=Standby,Secondary!X913,Primary!X913)</f>
        <v>0</v>
      </c>
      <c r="Y913" s="12">
        <f>IF(ActiveDatabase=Standby,Secondary!Y913,Primary!Y1571)</f>
        <v>0</v>
      </c>
      <c r="Z913" s="12">
        <f>IF(ActiveDatabase=Standby,Secondary!Z913,Primary!Z1571)</f>
        <v>0</v>
      </c>
      <c r="AA913" s="9">
        <f>IF(ActiveDatabase=Standby,Secondary!AA913,Primary!AA1571)</f>
        <v>0</v>
      </c>
      <c r="AB913" s="12"/>
      <c r="AC913" s="6"/>
      <c r="AD913" s="6"/>
      <c r="AE913" s="7"/>
      <c r="AF913" s="7"/>
      <c r="AG913" s="7"/>
      <c r="AH913" s="7"/>
      <c r="AI913" s="7"/>
      <c r="AJ913" s="7"/>
      <c r="AK913" s="7"/>
      <c r="AL913" s="7"/>
      <c r="AM913" s="7"/>
      <c r="AN913" s="7"/>
      <c r="AO913" s="6"/>
      <c r="AP913" s="7"/>
      <c r="AQ913" s="7"/>
      <c r="AR913" s="6"/>
      <c r="AS913" s="7"/>
      <c r="AT913" s="7"/>
      <c r="AU913" s="7"/>
      <c r="AV913" s="7"/>
      <c r="AW913" s="7"/>
      <c r="AX913" s="7"/>
      <c r="AY913" s="7"/>
      <c r="AZ913" s="7"/>
      <c r="BA913" s="7"/>
      <c r="BB913" s="7"/>
      <c r="BC913" s="7"/>
      <c r="BD913" s="7"/>
      <c r="BE913" s="7"/>
      <c r="BF913" s="7"/>
      <c r="BG913" s="7"/>
    </row>
    <row r="914" customHeight="1" spans="1:59">
      <c r="A914" s="9">
        <f>IF(ActiveDatabase=Standby,Secondary!A914,Primary!A914)</f>
        <v>0</v>
      </c>
      <c r="B914" s="5">
        <f>IF(ActiveDatabase=Standby,Secondary!B914,Primary!B914)</f>
        <v>0</v>
      </c>
      <c r="C914" s="5">
        <f>IF(ActiveDatabase=Standby,Secondary!C914,Primary!C914)</f>
        <v>0</v>
      </c>
      <c r="D914" s="5">
        <f>IF(ActiveDatabase=Standby,Secondary!D914,Primary!D914)</f>
        <v>0</v>
      </c>
      <c r="E914" s="6">
        <f>IF(ActiveDatabase=Standby,Secondary!E914,Primary!E914)</f>
        <v>0</v>
      </c>
      <c r="F914" s="10">
        <f>IF(ActiveDatabase=Standby,Secondary!F914,Primary!F914)</f>
        <v>0</v>
      </c>
      <c r="G914" s="10">
        <f>IF(ActiveDatabase=Standby,Secondary!G914,Primary!G914)</f>
        <v>0</v>
      </c>
      <c r="H914" s="10">
        <f>IF(ActiveDatabase=Standby,Secondary!H914,Primary!H914)</f>
        <v>0</v>
      </c>
      <c r="I914" s="13">
        <f>IF(ActiveDatabase=Standby,Secondary!I914,Primary!I914)</f>
        <v>0</v>
      </c>
      <c r="J914" s="13">
        <f>IF(ActiveDatabase=Standby,Secondary!J914,Primary!J914)</f>
        <v>0</v>
      </c>
      <c r="K914" s="13">
        <f>IF(ActiveDatabase=Standby,Secondary!K914,Primary!K914)</f>
        <v>0</v>
      </c>
      <c r="L914" s="13">
        <f>IF(ActiveDatabase=Standby,Secondary!L914,Primary!L914)</f>
        <v>0</v>
      </c>
      <c r="M914" s="7">
        <f>IF(ActiveDatabase=Standby,Secondary!M914,Primary!M914)</f>
        <v>0</v>
      </c>
      <c r="N914" s="10">
        <f>IF(ActiveDatabase=Standby,Secondary!N914,Primary!N914)</f>
        <v>0</v>
      </c>
      <c r="O914" s="10">
        <f>IF(ActiveDatabase=Standby,Secondary!O914,Primary!O914)</f>
        <v>0</v>
      </c>
      <c r="P914" s="10">
        <f>IF(ActiveDatabase=Standby,Secondary!P914,Primary!P914)</f>
        <v>0</v>
      </c>
      <c r="Q914" s="6">
        <f>IF(ActiveDatabase=Standby,Secondary!Q914,Primary!Q914)</f>
        <v>0</v>
      </c>
      <c r="R914" s="18">
        <f>IF(ActiveDatabase=Standby,Secondary!R914,Primary!R914)</f>
        <v>0</v>
      </c>
      <c r="S914" s="19">
        <f>IF(ActiveDatabase=Standby,Secondary!S914,Primary!S914)</f>
        <v>0</v>
      </c>
      <c r="T914" s="10">
        <f>IF(ActiveDatabase=Standby,Secondary!T914,Primary!T914)</f>
        <v>0</v>
      </c>
      <c r="U914" s="10">
        <f>IF(ActiveDatabase=Standby,Secondary!U914,Primary!U914)</f>
        <v>0</v>
      </c>
      <c r="V914" s="10">
        <f>IF(ActiveDatabase=Standby,Secondary!V914,Primary!V914)</f>
        <v>0</v>
      </c>
      <c r="W914" s="6">
        <f>IF(ActiveDatabase=Standby,Secondary!W914,Primary!W914)</f>
        <v>0</v>
      </c>
      <c r="X914" s="6">
        <f>IF(ActiveDatabase=Standby,Secondary!X914,Primary!X914)</f>
        <v>0</v>
      </c>
      <c r="Y914" s="12">
        <f>IF(ActiveDatabase=Standby,Secondary!Y914,Primary!Y1572)</f>
        <v>0</v>
      </c>
      <c r="Z914" s="12">
        <f>IF(ActiveDatabase=Standby,Secondary!Z914,Primary!Z1572)</f>
        <v>0</v>
      </c>
      <c r="AA914" s="9">
        <f>IF(ActiveDatabase=Standby,Secondary!AA914,Primary!AA1572)</f>
        <v>0</v>
      </c>
      <c r="AB914" s="12"/>
      <c r="AC914" s="6"/>
      <c r="AD914" s="6"/>
      <c r="AE914" s="7"/>
      <c r="AF914" s="7"/>
      <c r="AG914" s="7"/>
      <c r="AH914" s="7"/>
      <c r="AI914" s="7"/>
      <c r="AJ914" s="7"/>
      <c r="AK914" s="7"/>
      <c r="AL914" s="7"/>
      <c r="AM914" s="7"/>
      <c r="AN914" s="7"/>
      <c r="AO914" s="6"/>
      <c r="AP914" s="7"/>
      <c r="AQ914" s="7"/>
      <c r="AR914" s="6"/>
      <c r="AS914" s="7"/>
      <c r="AT914" s="7"/>
      <c r="AU914" s="7"/>
      <c r="AV914" s="7"/>
      <c r="AW914" s="7"/>
      <c r="AX914" s="7"/>
      <c r="AY914" s="7"/>
      <c r="AZ914" s="7"/>
      <c r="BA914" s="7"/>
      <c r="BB914" s="7"/>
      <c r="BC914" s="7"/>
      <c r="BD914" s="7"/>
      <c r="BE914" s="7"/>
      <c r="BF914" s="7"/>
      <c r="BG914" s="7"/>
    </row>
    <row r="915" customHeight="1" spans="1:59">
      <c r="A915" s="9">
        <f>IF(ActiveDatabase=Standby,Secondary!A915,Primary!A915)</f>
        <v>0</v>
      </c>
      <c r="B915" s="5">
        <f>IF(ActiveDatabase=Standby,Secondary!B915,Primary!B915)</f>
        <v>0</v>
      </c>
      <c r="C915" s="5">
        <f>IF(ActiveDatabase=Standby,Secondary!C915,Primary!C915)</f>
        <v>0</v>
      </c>
      <c r="D915" s="5">
        <f>IF(ActiveDatabase=Standby,Secondary!D915,Primary!D915)</f>
        <v>0</v>
      </c>
      <c r="E915" s="6">
        <f>IF(ActiveDatabase=Standby,Secondary!E915,Primary!E915)</f>
        <v>0</v>
      </c>
      <c r="F915" s="10">
        <f>IF(ActiveDatabase=Standby,Secondary!F915,Primary!F915)</f>
        <v>0</v>
      </c>
      <c r="G915" s="10">
        <f>IF(ActiveDatabase=Standby,Secondary!G915,Primary!G915)</f>
        <v>0</v>
      </c>
      <c r="H915" s="10">
        <f>IF(ActiveDatabase=Standby,Secondary!H915,Primary!H915)</f>
        <v>0</v>
      </c>
      <c r="I915" s="13">
        <f>IF(ActiveDatabase=Standby,Secondary!I915,Primary!I915)</f>
        <v>0</v>
      </c>
      <c r="J915" s="13">
        <f>IF(ActiveDatabase=Standby,Secondary!J915,Primary!J915)</f>
        <v>0</v>
      </c>
      <c r="K915" s="13">
        <f>IF(ActiveDatabase=Standby,Secondary!K915,Primary!K915)</f>
        <v>0</v>
      </c>
      <c r="L915" s="13">
        <f>IF(ActiveDatabase=Standby,Secondary!L915,Primary!L915)</f>
        <v>0</v>
      </c>
      <c r="M915" s="7">
        <f>IF(ActiveDatabase=Standby,Secondary!M915,Primary!M915)</f>
        <v>0</v>
      </c>
      <c r="N915" s="10">
        <f>IF(ActiveDatabase=Standby,Secondary!N915,Primary!N915)</f>
        <v>0</v>
      </c>
      <c r="O915" s="10">
        <f>IF(ActiveDatabase=Standby,Secondary!O915,Primary!O915)</f>
        <v>0</v>
      </c>
      <c r="P915" s="10">
        <f>IF(ActiveDatabase=Standby,Secondary!P915,Primary!P915)</f>
        <v>0</v>
      </c>
      <c r="Q915" s="6">
        <f>IF(ActiveDatabase=Standby,Secondary!Q915,Primary!Q915)</f>
        <v>0</v>
      </c>
      <c r="R915" s="18">
        <f>IF(ActiveDatabase=Standby,Secondary!R915,Primary!R915)</f>
        <v>0</v>
      </c>
      <c r="S915" s="19">
        <f>IF(ActiveDatabase=Standby,Secondary!S915,Primary!S915)</f>
        <v>0</v>
      </c>
      <c r="T915" s="10">
        <f>IF(ActiveDatabase=Standby,Secondary!T915,Primary!T915)</f>
        <v>0</v>
      </c>
      <c r="U915" s="10">
        <f>IF(ActiveDatabase=Standby,Secondary!U915,Primary!U915)</f>
        <v>0</v>
      </c>
      <c r="V915" s="10">
        <f>IF(ActiveDatabase=Standby,Secondary!V915,Primary!V915)</f>
        <v>0</v>
      </c>
      <c r="W915" s="6">
        <f>IF(ActiveDatabase=Standby,Secondary!W915,Primary!W915)</f>
        <v>0</v>
      </c>
      <c r="X915" s="6">
        <f>IF(ActiveDatabase=Standby,Secondary!X915,Primary!X915)</f>
        <v>0</v>
      </c>
      <c r="Y915" s="12">
        <f>IF(ActiveDatabase=Standby,Secondary!Y915,Primary!Y1573)</f>
        <v>0</v>
      </c>
      <c r="Z915" s="12">
        <f>IF(ActiveDatabase=Standby,Secondary!Z915,Primary!Z1573)</f>
        <v>0</v>
      </c>
      <c r="AA915" s="9">
        <f>IF(ActiveDatabase=Standby,Secondary!AA915,Primary!AA1573)</f>
        <v>0</v>
      </c>
      <c r="AB915" s="12"/>
      <c r="AC915" s="6"/>
      <c r="AD915" s="6"/>
      <c r="AE915" s="7"/>
      <c r="AF915" s="7"/>
      <c r="AG915" s="7"/>
      <c r="AH915" s="7"/>
      <c r="AI915" s="7"/>
      <c r="AJ915" s="7"/>
      <c r="AK915" s="7"/>
      <c r="AL915" s="7"/>
      <c r="AM915" s="7"/>
      <c r="AN915" s="7"/>
      <c r="AO915" s="6"/>
      <c r="AP915" s="7"/>
      <c r="AQ915" s="7"/>
      <c r="AR915" s="6"/>
      <c r="AS915" s="7"/>
      <c r="AT915" s="7"/>
      <c r="AU915" s="7"/>
      <c r="AV915" s="7"/>
      <c r="AW915" s="7"/>
      <c r="AX915" s="7"/>
      <c r="AY915" s="7"/>
      <c r="AZ915" s="7"/>
      <c r="BA915" s="7"/>
      <c r="BB915" s="7"/>
      <c r="BC915" s="7"/>
      <c r="BD915" s="7"/>
      <c r="BE915" s="7"/>
      <c r="BF915" s="7"/>
      <c r="BG915" s="7"/>
    </row>
    <row r="916" customHeight="1" spans="1:59">
      <c r="A916" s="9">
        <f>IF(ActiveDatabase=Standby,Secondary!A916,Primary!A916)</f>
        <v>0</v>
      </c>
      <c r="B916" s="5">
        <f>IF(ActiveDatabase=Standby,Secondary!B916,Primary!B916)</f>
        <v>0</v>
      </c>
      <c r="C916" s="5">
        <f>IF(ActiveDatabase=Standby,Secondary!C916,Primary!C916)</f>
        <v>0</v>
      </c>
      <c r="D916" s="5">
        <f>IF(ActiveDatabase=Standby,Secondary!D916,Primary!D916)</f>
        <v>0</v>
      </c>
      <c r="E916" s="6">
        <f>IF(ActiveDatabase=Standby,Secondary!E916,Primary!E916)</f>
        <v>0</v>
      </c>
      <c r="F916" s="10">
        <f>IF(ActiveDatabase=Standby,Secondary!F916,Primary!F916)</f>
        <v>0</v>
      </c>
      <c r="G916" s="10">
        <f>IF(ActiveDatabase=Standby,Secondary!G916,Primary!G916)</f>
        <v>0</v>
      </c>
      <c r="H916" s="10">
        <f>IF(ActiveDatabase=Standby,Secondary!H916,Primary!H916)</f>
        <v>0</v>
      </c>
      <c r="I916" s="13">
        <f>IF(ActiveDatabase=Standby,Secondary!I916,Primary!I916)</f>
        <v>0</v>
      </c>
      <c r="J916" s="13">
        <f>IF(ActiveDatabase=Standby,Secondary!J916,Primary!J916)</f>
        <v>0</v>
      </c>
      <c r="K916" s="13">
        <f>IF(ActiveDatabase=Standby,Secondary!K916,Primary!K916)</f>
        <v>0</v>
      </c>
      <c r="L916" s="13">
        <f>IF(ActiveDatabase=Standby,Secondary!L916,Primary!L916)</f>
        <v>0</v>
      </c>
      <c r="M916" s="7">
        <f>IF(ActiveDatabase=Standby,Secondary!M916,Primary!M916)</f>
        <v>0</v>
      </c>
      <c r="N916" s="10">
        <f>IF(ActiveDatabase=Standby,Secondary!N916,Primary!N916)</f>
        <v>0</v>
      </c>
      <c r="O916" s="10">
        <f>IF(ActiveDatabase=Standby,Secondary!O916,Primary!O916)</f>
        <v>0</v>
      </c>
      <c r="P916" s="10">
        <f>IF(ActiveDatabase=Standby,Secondary!P916,Primary!P916)</f>
        <v>0</v>
      </c>
      <c r="Q916" s="6">
        <f>IF(ActiveDatabase=Standby,Secondary!Q916,Primary!Q916)</f>
        <v>0</v>
      </c>
      <c r="R916" s="18">
        <f>IF(ActiveDatabase=Standby,Secondary!R916,Primary!R916)</f>
        <v>0</v>
      </c>
      <c r="S916" s="19">
        <f>IF(ActiveDatabase=Standby,Secondary!S916,Primary!S916)</f>
        <v>0</v>
      </c>
      <c r="T916" s="10">
        <f>IF(ActiveDatabase=Standby,Secondary!T916,Primary!T916)</f>
        <v>0</v>
      </c>
      <c r="U916" s="10">
        <f>IF(ActiveDatabase=Standby,Secondary!U916,Primary!U916)</f>
        <v>0</v>
      </c>
      <c r="V916" s="10">
        <f>IF(ActiveDatabase=Standby,Secondary!V916,Primary!V916)</f>
        <v>0</v>
      </c>
      <c r="W916" s="6">
        <f>IF(ActiveDatabase=Standby,Secondary!W916,Primary!W916)</f>
        <v>0</v>
      </c>
      <c r="X916" s="6">
        <f>IF(ActiveDatabase=Standby,Secondary!X916,Primary!X916)</f>
        <v>0</v>
      </c>
      <c r="Y916" s="12">
        <f>IF(ActiveDatabase=Standby,Secondary!Y916,Primary!Y1574)</f>
        <v>0</v>
      </c>
      <c r="Z916" s="12">
        <f>IF(ActiveDatabase=Standby,Secondary!Z916,Primary!Z1574)</f>
        <v>0</v>
      </c>
      <c r="AA916" s="9">
        <f>IF(ActiveDatabase=Standby,Secondary!AA916,Primary!AA1574)</f>
        <v>0</v>
      </c>
      <c r="AB916" s="12"/>
      <c r="AC916" s="6"/>
      <c r="AD916" s="6"/>
      <c r="AE916" s="7"/>
      <c r="AF916" s="7"/>
      <c r="AG916" s="7"/>
      <c r="AH916" s="7"/>
      <c r="AI916" s="7"/>
      <c r="AJ916" s="7"/>
      <c r="AK916" s="7"/>
      <c r="AL916" s="7"/>
      <c r="AM916" s="7"/>
      <c r="AN916" s="7"/>
      <c r="AO916" s="6"/>
      <c r="AP916" s="7"/>
      <c r="AQ916" s="7"/>
      <c r="AR916" s="6"/>
      <c r="AS916" s="7"/>
      <c r="AT916" s="7"/>
      <c r="AU916" s="7"/>
      <c r="AV916" s="7"/>
      <c r="AW916" s="7"/>
      <c r="AX916" s="7"/>
      <c r="AY916" s="7"/>
      <c r="AZ916" s="7"/>
      <c r="BA916" s="7"/>
      <c r="BB916" s="7"/>
      <c r="BC916" s="7"/>
      <c r="BD916" s="7"/>
      <c r="BE916" s="7"/>
      <c r="BF916" s="7"/>
      <c r="BG916" s="7"/>
    </row>
    <row r="917" customHeight="1" spans="1:59">
      <c r="A917" s="9">
        <f>IF(ActiveDatabase=Standby,Secondary!A917,Primary!A917)</f>
        <v>0</v>
      </c>
      <c r="B917" s="5">
        <f>IF(ActiveDatabase=Standby,Secondary!B917,Primary!B917)</f>
        <v>0</v>
      </c>
      <c r="C917" s="5">
        <f>IF(ActiveDatabase=Standby,Secondary!C917,Primary!C917)</f>
        <v>0</v>
      </c>
      <c r="D917" s="5">
        <f>IF(ActiveDatabase=Standby,Secondary!D917,Primary!D917)</f>
        <v>0</v>
      </c>
      <c r="E917" s="6">
        <f>IF(ActiveDatabase=Standby,Secondary!E917,Primary!E917)</f>
        <v>0</v>
      </c>
      <c r="F917" s="10">
        <f>IF(ActiveDatabase=Standby,Secondary!F917,Primary!F917)</f>
        <v>0</v>
      </c>
      <c r="G917" s="10">
        <f>IF(ActiveDatabase=Standby,Secondary!G917,Primary!G917)</f>
        <v>0</v>
      </c>
      <c r="H917" s="10">
        <f>IF(ActiveDatabase=Standby,Secondary!H917,Primary!H917)</f>
        <v>0</v>
      </c>
      <c r="I917" s="13">
        <f>IF(ActiveDatabase=Standby,Secondary!I917,Primary!I917)</f>
        <v>0</v>
      </c>
      <c r="J917" s="13">
        <f>IF(ActiveDatabase=Standby,Secondary!J917,Primary!J917)</f>
        <v>0</v>
      </c>
      <c r="K917" s="13">
        <f>IF(ActiveDatabase=Standby,Secondary!K917,Primary!K917)</f>
        <v>0</v>
      </c>
      <c r="L917" s="13">
        <f>IF(ActiveDatabase=Standby,Secondary!L917,Primary!L917)</f>
        <v>0</v>
      </c>
      <c r="M917" s="7">
        <f>IF(ActiveDatabase=Standby,Secondary!M917,Primary!M917)</f>
        <v>0</v>
      </c>
      <c r="N917" s="10">
        <f>IF(ActiveDatabase=Standby,Secondary!N917,Primary!N917)</f>
        <v>0</v>
      </c>
      <c r="O917" s="10">
        <f>IF(ActiveDatabase=Standby,Secondary!O917,Primary!O917)</f>
        <v>0</v>
      </c>
      <c r="P917" s="10">
        <f>IF(ActiveDatabase=Standby,Secondary!P917,Primary!P917)</f>
        <v>0</v>
      </c>
      <c r="Q917" s="6">
        <f>IF(ActiveDatabase=Standby,Secondary!Q917,Primary!Q917)</f>
        <v>0</v>
      </c>
      <c r="R917" s="18">
        <f>IF(ActiveDatabase=Standby,Secondary!R917,Primary!R917)</f>
        <v>0</v>
      </c>
      <c r="S917" s="19">
        <f>IF(ActiveDatabase=Standby,Secondary!S917,Primary!S917)</f>
        <v>0</v>
      </c>
      <c r="T917" s="10">
        <f>IF(ActiveDatabase=Standby,Secondary!T917,Primary!T917)</f>
        <v>0</v>
      </c>
      <c r="U917" s="10">
        <f>IF(ActiveDatabase=Standby,Secondary!U917,Primary!U917)</f>
        <v>0</v>
      </c>
      <c r="V917" s="10">
        <f>IF(ActiveDatabase=Standby,Secondary!V917,Primary!V917)</f>
        <v>0</v>
      </c>
      <c r="W917" s="6">
        <f>IF(ActiveDatabase=Standby,Secondary!W917,Primary!W917)</f>
        <v>0</v>
      </c>
      <c r="X917" s="6">
        <f>IF(ActiveDatabase=Standby,Secondary!X917,Primary!X917)</f>
        <v>0</v>
      </c>
      <c r="Y917" s="12">
        <f>IF(ActiveDatabase=Standby,Secondary!Y917,Primary!Y1575)</f>
        <v>0</v>
      </c>
      <c r="Z917" s="12">
        <f>IF(ActiveDatabase=Standby,Secondary!Z917,Primary!Z1575)</f>
        <v>0</v>
      </c>
      <c r="AA917" s="6">
        <f>IF(ActiveDatabase=Standby,Secondary!AA917,Primary!AA1575)</f>
        <v>0</v>
      </c>
      <c r="AB917" s="12"/>
      <c r="AC917" s="6"/>
      <c r="AD917" s="6"/>
      <c r="AE917" s="7"/>
      <c r="AF917" s="7"/>
      <c r="AG917" s="7"/>
      <c r="AH917" s="7"/>
      <c r="AI917" s="7"/>
      <c r="AJ917" s="7"/>
      <c r="AK917" s="7"/>
      <c r="AL917" s="7"/>
      <c r="AM917" s="7"/>
      <c r="AN917" s="7"/>
      <c r="AO917" s="6"/>
      <c r="AP917" s="7"/>
      <c r="AQ917" s="7"/>
      <c r="AR917" s="6"/>
      <c r="AS917" s="6"/>
      <c r="AT917" s="6"/>
      <c r="AU917" s="6"/>
      <c r="AV917" s="6"/>
      <c r="AW917" s="6"/>
      <c r="AX917" s="6"/>
      <c r="AY917" s="6"/>
      <c r="AZ917" s="6"/>
      <c r="BA917" s="6"/>
      <c r="BB917" s="6"/>
      <c r="BC917" s="6"/>
      <c r="BD917" s="6"/>
      <c r="BE917" s="6"/>
      <c r="BF917" s="6"/>
      <c r="BG917" s="6"/>
    </row>
    <row r="918" customHeight="1" spans="1:59">
      <c r="A918" s="9">
        <f>IF(ActiveDatabase=Standby,Secondary!A918,Primary!A918)</f>
        <v>0</v>
      </c>
      <c r="B918" s="5">
        <f>IF(ActiveDatabase=Standby,Secondary!B918,Primary!B918)</f>
        <v>0</v>
      </c>
      <c r="C918" s="5">
        <f>IF(ActiveDatabase=Standby,Secondary!C918,Primary!C918)</f>
        <v>0</v>
      </c>
      <c r="D918" s="5">
        <f>IF(ActiveDatabase=Standby,Secondary!D918,Primary!D918)</f>
        <v>0</v>
      </c>
      <c r="E918" s="6">
        <f>IF(ActiveDatabase=Standby,Secondary!E918,Primary!E918)</f>
        <v>0</v>
      </c>
      <c r="F918" s="10">
        <f>IF(ActiveDatabase=Standby,Secondary!F918,Primary!F918)</f>
        <v>0</v>
      </c>
      <c r="G918" s="10">
        <f>IF(ActiveDatabase=Standby,Secondary!G918,Primary!G918)</f>
        <v>0</v>
      </c>
      <c r="H918" s="10">
        <f>IF(ActiveDatabase=Standby,Secondary!H918,Primary!H918)</f>
        <v>0</v>
      </c>
      <c r="I918" s="13">
        <f>IF(ActiveDatabase=Standby,Secondary!I918,Primary!I918)</f>
        <v>0</v>
      </c>
      <c r="J918" s="13">
        <f>IF(ActiveDatabase=Standby,Secondary!J918,Primary!J918)</f>
        <v>0</v>
      </c>
      <c r="K918" s="13">
        <f>IF(ActiveDatabase=Standby,Secondary!K918,Primary!K918)</f>
        <v>0</v>
      </c>
      <c r="L918" s="13">
        <f>IF(ActiveDatabase=Standby,Secondary!L918,Primary!L918)</f>
        <v>0</v>
      </c>
      <c r="M918" s="7">
        <f>IF(ActiveDatabase=Standby,Secondary!M918,Primary!M918)</f>
        <v>0</v>
      </c>
      <c r="N918" s="10">
        <f>IF(ActiveDatabase=Standby,Secondary!N918,Primary!N918)</f>
        <v>0</v>
      </c>
      <c r="O918" s="10">
        <f>IF(ActiveDatabase=Standby,Secondary!O918,Primary!O918)</f>
        <v>0</v>
      </c>
      <c r="P918" s="10">
        <f>IF(ActiveDatabase=Standby,Secondary!P918,Primary!P918)</f>
        <v>0</v>
      </c>
      <c r="Q918" s="6">
        <f>IF(ActiveDatabase=Standby,Secondary!Q918,Primary!Q918)</f>
        <v>0</v>
      </c>
      <c r="R918" s="18">
        <f>IF(ActiveDatabase=Standby,Secondary!R918,Primary!R918)</f>
        <v>0</v>
      </c>
      <c r="S918" s="19">
        <f>IF(ActiveDatabase=Standby,Secondary!S918,Primary!S918)</f>
        <v>0</v>
      </c>
      <c r="T918" s="10">
        <f>IF(ActiveDatabase=Standby,Secondary!T918,Primary!T918)</f>
        <v>0</v>
      </c>
      <c r="U918" s="10">
        <f>IF(ActiveDatabase=Standby,Secondary!U918,Primary!U918)</f>
        <v>0</v>
      </c>
      <c r="V918" s="10">
        <f>IF(ActiveDatabase=Standby,Secondary!V918,Primary!V918)</f>
        <v>0</v>
      </c>
      <c r="W918" s="6">
        <f>IF(ActiveDatabase=Standby,Secondary!W918,Primary!W918)</f>
        <v>0</v>
      </c>
      <c r="X918" s="6">
        <f>IF(ActiveDatabase=Standby,Secondary!X918,Primary!X918)</f>
        <v>0</v>
      </c>
      <c r="Y918" s="12">
        <f>IF(ActiveDatabase=Standby,Secondary!Y918,Primary!Y1576)</f>
        <v>0</v>
      </c>
      <c r="Z918" s="12">
        <f>IF(ActiveDatabase=Standby,Secondary!Z918,Primary!Z1576)</f>
        <v>0</v>
      </c>
      <c r="AA918" s="7">
        <f>IF(ActiveDatabase=Standby,Secondary!AA918,Primary!AA1576)</f>
        <v>0</v>
      </c>
      <c r="AB918" s="12"/>
      <c r="AC918" s="6"/>
      <c r="AD918" s="6"/>
      <c r="AE918" s="7"/>
      <c r="AF918" s="7"/>
      <c r="AG918" s="7"/>
      <c r="AH918" s="7"/>
      <c r="AI918" s="7"/>
      <c r="AJ918" s="7"/>
      <c r="AK918" s="7"/>
      <c r="AL918" s="7"/>
      <c r="AM918" s="7"/>
      <c r="AN918" s="7"/>
      <c r="AO918" s="6"/>
      <c r="AP918" s="7"/>
      <c r="AQ918" s="7"/>
      <c r="AR918" s="6"/>
      <c r="AS918" s="7"/>
      <c r="AT918" s="7"/>
      <c r="AU918" s="7"/>
      <c r="AV918" s="7"/>
      <c r="AW918" s="7"/>
      <c r="AX918" s="7"/>
      <c r="AY918" s="7"/>
      <c r="AZ918" s="7"/>
      <c r="BA918" s="7"/>
      <c r="BB918" s="7"/>
      <c r="BC918" s="7"/>
      <c r="BD918" s="7"/>
      <c r="BE918" s="7"/>
      <c r="BF918" s="7"/>
      <c r="BG918" s="7"/>
    </row>
    <row r="919" customHeight="1" spans="1:59">
      <c r="A919" s="9">
        <f>IF(ActiveDatabase=Standby,Secondary!A919,Primary!A919)</f>
        <v>0</v>
      </c>
      <c r="B919" s="5">
        <f>IF(ActiveDatabase=Standby,Secondary!B919,Primary!B919)</f>
        <v>0</v>
      </c>
      <c r="C919" s="5">
        <f>IF(ActiveDatabase=Standby,Secondary!C919,Primary!C919)</f>
        <v>0</v>
      </c>
      <c r="D919" s="5">
        <f>IF(ActiveDatabase=Standby,Secondary!D919,Primary!D919)</f>
        <v>0</v>
      </c>
      <c r="E919" s="6">
        <f>IF(ActiveDatabase=Standby,Secondary!E919,Primary!E919)</f>
        <v>0</v>
      </c>
      <c r="F919" s="10">
        <f>IF(ActiveDatabase=Standby,Secondary!F919,Primary!F919)</f>
        <v>0</v>
      </c>
      <c r="G919" s="10">
        <f>IF(ActiveDatabase=Standby,Secondary!G919,Primary!G919)</f>
        <v>0</v>
      </c>
      <c r="H919" s="10">
        <f>IF(ActiveDatabase=Standby,Secondary!H919,Primary!H919)</f>
        <v>0</v>
      </c>
      <c r="I919" s="13">
        <f>IF(ActiveDatabase=Standby,Secondary!I919,Primary!I919)</f>
        <v>0</v>
      </c>
      <c r="J919" s="13">
        <f>IF(ActiveDatabase=Standby,Secondary!J919,Primary!J919)</f>
        <v>0</v>
      </c>
      <c r="K919" s="13">
        <f>IF(ActiveDatabase=Standby,Secondary!K919,Primary!K919)</f>
        <v>0</v>
      </c>
      <c r="L919" s="13">
        <f>IF(ActiveDatabase=Standby,Secondary!L919,Primary!L919)</f>
        <v>0</v>
      </c>
      <c r="M919" s="7">
        <f>IF(ActiveDatabase=Standby,Secondary!M919,Primary!M919)</f>
        <v>0</v>
      </c>
      <c r="N919" s="10">
        <f>IF(ActiveDatabase=Standby,Secondary!N919,Primary!N919)</f>
        <v>0</v>
      </c>
      <c r="O919" s="10">
        <f>IF(ActiveDatabase=Standby,Secondary!O919,Primary!O919)</f>
        <v>0</v>
      </c>
      <c r="P919" s="10">
        <f>IF(ActiveDatabase=Standby,Secondary!P919,Primary!P919)</f>
        <v>0</v>
      </c>
      <c r="Q919" s="6">
        <f>IF(ActiveDatabase=Standby,Secondary!Q919,Primary!Q919)</f>
        <v>0</v>
      </c>
      <c r="R919" s="18">
        <f>IF(ActiveDatabase=Standby,Secondary!R919,Primary!R919)</f>
        <v>0</v>
      </c>
      <c r="S919" s="19">
        <f>IF(ActiveDatabase=Standby,Secondary!S919,Primary!S919)</f>
        <v>0</v>
      </c>
      <c r="T919" s="10">
        <f>IF(ActiveDatabase=Standby,Secondary!T919,Primary!T919)</f>
        <v>0</v>
      </c>
      <c r="U919" s="10">
        <f>IF(ActiveDatabase=Standby,Secondary!U919,Primary!U919)</f>
        <v>0</v>
      </c>
      <c r="V919" s="10">
        <f>IF(ActiveDatabase=Standby,Secondary!V919,Primary!V919)</f>
        <v>0</v>
      </c>
      <c r="W919" s="6">
        <f>IF(ActiveDatabase=Standby,Secondary!W919,Primary!W919)</f>
        <v>0</v>
      </c>
      <c r="X919" s="6">
        <f>IF(ActiveDatabase=Standby,Secondary!X919,Primary!X919)</f>
        <v>0</v>
      </c>
      <c r="Y919" s="12">
        <f>IF(ActiveDatabase=Standby,Secondary!Y919,Primary!Y1577)</f>
        <v>0</v>
      </c>
      <c r="Z919" s="12">
        <f>IF(ActiveDatabase=Standby,Secondary!Z919,Primary!Z1577)</f>
        <v>0</v>
      </c>
      <c r="AA919" s="7">
        <f>IF(ActiveDatabase=Standby,Secondary!AA919,Primary!AA1577)</f>
        <v>0</v>
      </c>
      <c r="AB919" s="12"/>
      <c r="AC919" s="6"/>
      <c r="AD919" s="6"/>
      <c r="AE919" s="7"/>
      <c r="AF919" s="7"/>
      <c r="AG919" s="7"/>
      <c r="AH919" s="7"/>
      <c r="AI919" s="7"/>
      <c r="AJ919" s="7"/>
      <c r="AK919" s="7"/>
      <c r="AL919" s="7"/>
      <c r="AM919" s="7"/>
      <c r="AN919" s="7"/>
      <c r="AO919" s="6"/>
      <c r="AP919" s="7"/>
      <c r="AQ919" s="7"/>
      <c r="AR919" s="6"/>
      <c r="AS919" s="7"/>
      <c r="AT919" s="7"/>
      <c r="AU919" s="7"/>
      <c r="AV919" s="7"/>
      <c r="AW919" s="7"/>
      <c r="AX919" s="7"/>
      <c r="AY919" s="7"/>
      <c r="AZ919" s="7"/>
      <c r="BA919" s="7"/>
      <c r="BB919" s="7"/>
      <c r="BC919" s="7"/>
      <c r="BD919" s="7"/>
      <c r="BE919" s="7"/>
      <c r="BF919" s="7"/>
      <c r="BG919" s="7"/>
    </row>
    <row r="920" customHeight="1" spans="1:59">
      <c r="A920" s="9">
        <f>IF(ActiveDatabase=Standby,Secondary!A920,Primary!A920)</f>
        <v>0</v>
      </c>
      <c r="B920" s="5">
        <f>IF(ActiveDatabase=Standby,Secondary!B920,Primary!B920)</f>
        <v>0</v>
      </c>
      <c r="C920" s="5">
        <f>IF(ActiveDatabase=Standby,Secondary!C920,Primary!C920)</f>
        <v>0</v>
      </c>
      <c r="D920" s="5">
        <f>IF(ActiveDatabase=Standby,Secondary!D920,Primary!D920)</f>
        <v>0</v>
      </c>
      <c r="E920" s="6">
        <f>IF(ActiveDatabase=Standby,Secondary!E920,Primary!E920)</f>
        <v>0</v>
      </c>
      <c r="F920" s="10">
        <f>IF(ActiveDatabase=Standby,Secondary!F920,Primary!F920)</f>
        <v>0</v>
      </c>
      <c r="G920" s="10">
        <f>IF(ActiveDatabase=Standby,Secondary!G920,Primary!G920)</f>
        <v>0</v>
      </c>
      <c r="H920" s="10">
        <f>IF(ActiveDatabase=Standby,Secondary!H920,Primary!H920)</f>
        <v>0</v>
      </c>
      <c r="I920" s="13">
        <f>IF(ActiveDatabase=Standby,Secondary!I920,Primary!I920)</f>
        <v>0</v>
      </c>
      <c r="J920" s="13">
        <f>IF(ActiveDatabase=Standby,Secondary!J920,Primary!J920)</f>
        <v>0</v>
      </c>
      <c r="K920" s="13">
        <f>IF(ActiveDatabase=Standby,Secondary!K920,Primary!K920)</f>
        <v>0</v>
      </c>
      <c r="L920" s="13">
        <f>IF(ActiveDatabase=Standby,Secondary!L920,Primary!L920)</f>
        <v>0</v>
      </c>
      <c r="M920" s="7">
        <f>IF(ActiveDatabase=Standby,Secondary!M920,Primary!M920)</f>
        <v>0</v>
      </c>
      <c r="N920" s="10">
        <f>IF(ActiveDatabase=Standby,Secondary!N920,Primary!N920)</f>
        <v>0</v>
      </c>
      <c r="O920" s="10">
        <f>IF(ActiveDatabase=Standby,Secondary!O920,Primary!O920)</f>
        <v>0</v>
      </c>
      <c r="P920" s="10">
        <f>IF(ActiveDatabase=Standby,Secondary!P920,Primary!P920)</f>
        <v>0</v>
      </c>
      <c r="Q920" s="6">
        <f>IF(ActiveDatabase=Standby,Secondary!Q920,Primary!Q920)</f>
        <v>0</v>
      </c>
      <c r="R920" s="18">
        <f>IF(ActiveDatabase=Standby,Secondary!R920,Primary!R920)</f>
        <v>0</v>
      </c>
      <c r="S920" s="19">
        <f>IF(ActiveDatabase=Standby,Secondary!S920,Primary!S920)</f>
        <v>0</v>
      </c>
      <c r="T920" s="10">
        <f>IF(ActiveDatabase=Standby,Secondary!T920,Primary!T920)</f>
        <v>0</v>
      </c>
      <c r="U920" s="10">
        <f>IF(ActiveDatabase=Standby,Secondary!U920,Primary!U920)</f>
        <v>0</v>
      </c>
      <c r="V920" s="10">
        <f>IF(ActiveDatabase=Standby,Secondary!V920,Primary!V920)</f>
        <v>0</v>
      </c>
      <c r="W920" s="6">
        <f>IF(ActiveDatabase=Standby,Secondary!W920,Primary!W920)</f>
        <v>0</v>
      </c>
      <c r="X920" s="6">
        <f>IF(ActiveDatabase=Standby,Secondary!X920,Primary!X920)</f>
        <v>0</v>
      </c>
      <c r="Y920" s="12">
        <f>IF(ActiveDatabase=Standby,Secondary!Y920,Primary!Y1578)</f>
        <v>0</v>
      </c>
      <c r="Z920" s="12">
        <f>IF(ActiveDatabase=Standby,Secondary!Z920,Primary!Z1578)</f>
        <v>0</v>
      </c>
      <c r="AA920" s="7">
        <f>IF(ActiveDatabase=Standby,Secondary!AA920,Primary!AA1578)</f>
        <v>0</v>
      </c>
      <c r="AB920" s="12"/>
      <c r="AC920" s="6"/>
      <c r="AD920" s="6"/>
      <c r="AE920" s="7"/>
      <c r="AF920" s="7"/>
      <c r="AG920" s="7"/>
      <c r="AH920" s="7"/>
      <c r="AI920" s="7"/>
      <c r="AJ920" s="7"/>
      <c r="AK920" s="7"/>
      <c r="AL920" s="7"/>
      <c r="AM920" s="7"/>
      <c r="AN920" s="7"/>
      <c r="AO920" s="6"/>
      <c r="AP920" s="7"/>
      <c r="AQ920" s="7"/>
      <c r="AR920" s="6"/>
      <c r="AS920" s="7"/>
      <c r="AT920" s="7"/>
      <c r="AU920" s="7"/>
      <c r="AV920" s="7"/>
      <c r="AW920" s="7"/>
      <c r="AX920" s="7"/>
      <c r="AY920" s="7"/>
      <c r="AZ920" s="7"/>
      <c r="BA920" s="7"/>
      <c r="BB920" s="7"/>
      <c r="BC920" s="7"/>
      <c r="BD920" s="7"/>
      <c r="BE920" s="7"/>
      <c r="BF920" s="7"/>
      <c r="BG920" s="7"/>
    </row>
    <row r="921" customHeight="1" spans="1:59">
      <c r="A921" s="9">
        <f>IF(ActiveDatabase=Standby,Secondary!A921,Primary!A921)</f>
        <v>0</v>
      </c>
      <c r="B921" s="5">
        <f>IF(ActiveDatabase=Standby,Secondary!B921,Primary!B921)</f>
        <v>0</v>
      </c>
      <c r="C921" s="5">
        <f>IF(ActiveDatabase=Standby,Secondary!C921,Primary!C921)</f>
        <v>0</v>
      </c>
      <c r="D921" s="5">
        <f>IF(ActiveDatabase=Standby,Secondary!D921,Primary!D921)</f>
        <v>0</v>
      </c>
      <c r="E921" s="6">
        <f>IF(ActiveDatabase=Standby,Secondary!E921,Primary!E921)</f>
        <v>0</v>
      </c>
      <c r="F921" s="10">
        <f>IF(ActiveDatabase=Standby,Secondary!F921,Primary!F921)</f>
        <v>0</v>
      </c>
      <c r="G921" s="10">
        <f>IF(ActiveDatabase=Standby,Secondary!G921,Primary!G921)</f>
        <v>0</v>
      </c>
      <c r="H921" s="10">
        <f>IF(ActiveDatabase=Standby,Secondary!H921,Primary!H921)</f>
        <v>0</v>
      </c>
      <c r="I921" s="13">
        <f>IF(ActiveDatabase=Standby,Secondary!I921,Primary!I921)</f>
        <v>0</v>
      </c>
      <c r="J921" s="13">
        <f>IF(ActiveDatabase=Standby,Secondary!J921,Primary!J921)</f>
        <v>0</v>
      </c>
      <c r="K921" s="13">
        <f>IF(ActiveDatabase=Standby,Secondary!K921,Primary!K921)</f>
        <v>0</v>
      </c>
      <c r="L921" s="13">
        <f>IF(ActiveDatabase=Standby,Secondary!L921,Primary!L921)</f>
        <v>0</v>
      </c>
      <c r="M921" s="7">
        <f>IF(ActiveDatabase=Standby,Secondary!M921,Primary!M921)</f>
        <v>0</v>
      </c>
      <c r="N921" s="10">
        <f>IF(ActiveDatabase=Standby,Secondary!N921,Primary!N921)</f>
        <v>0</v>
      </c>
      <c r="O921" s="10">
        <f>IF(ActiveDatabase=Standby,Secondary!O921,Primary!O921)</f>
        <v>0</v>
      </c>
      <c r="P921" s="10">
        <f>IF(ActiveDatabase=Standby,Secondary!P921,Primary!P921)</f>
        <v>0</v>
      </c>
      <c r="Q921" s="6">
        <f>IF(ActiveDatabase=Standby,Secondary!Q921,Primary!Q921)</f>
        <v>0</v>
      </c>
      <c r="R921" s="18">
        <f>IF(ActiveDatabase=Standby,Secondary!R921,Primary!R921)</f>
        <v>0</v>
      </c>
      <c r="S921" s="19">
        <f>IF(ActiveDatabase=Standby,Secondary!S921,Primary!S921)</f>
        <v>0</v>
      </c>
      <c r="T921" s="10">
        <f>IF(ActiveDatabase=Standby,Secondary!T921,Primary!T921)</f>
        <v>0</v>
      </c>
      <c r="U921" s="10">
        <f>IF(ActiveDatabase=Standby,Secondary!U921,Primary!U921)</f>
        <v>0</v>
      </c>
      <c r="V921" s="10">
        <f>IF(ActiveDatabase=Standby,Secondary!V921,Primary!V921)</f>
        <v>0</v>
      </c>
      <c r="W921" s="6">
        <f>IF(ActiveDatabase=Standby,Secondary!W921,Primary!W921)</f>
        <v>0</v>
      </c>
      <c r="X921" s="6">
        <f>IF(ActiveDatabase=Standby,Secondary!X921,Primary!X921)</f>
        <v>0</v>
      </c>
      <c r="Y921" s="12">
        <f>IF(ActiveDatabase=Standby,Secondary!Y921,Primary!Y1579)</f>
        <v>0</v>
      </c>
      <c r="Z921" s="12">
        <f>IF(ActiveDatabase=Standby,Secondary!Z921,Primary!Z1579)</f>
        <v>0</v>
      </c>
      <c r="AA921" s="7">
        <f>IF(ActiveDatabase=Standby,Secondary!AA921,Primary!AA1579)</f>
        <v>0</v>
      </c>
      <c r="AB921" s="12"/>
      <c r="AC921" s="6"/>
      <c r="AD921" s="6"/>
      <c r="AE921" s="7"/>
      <c r="AF921" s="7"/>
      <c r="AG921" s="7"/>
      <c r="AH921" s="7"/>
      <c r="AI921" s="7"/>
      <c r="AJ921" s="7"/>
      <c r="AK921" s="7"/>
      <c r="AL921" s="7"/>
      <c r="AM921" s="7"/>
      <c r="AN921" s="7"/>
      <c r="AO921" s="6"/>
      <c r="AP921" s="7"/>
      <c r="AQ921" s="7"/>
      <c r="AR921" s="6"/>
      <c r="AS921" s="7"/>
      <c r="AT921" s="7"/>
      <c r="AU921" s="7"/>
      <c r="AV921" s="7"/>
      <c r="AW921" s="7"/>
      <c r="AX921" s="7"/>
      <c r="AY921" s="7"/>
      <c r="AZ921" s="7"/>
      <c r="BA921" s="7"/>
      <c r="BB921" s="7"/>
      <c r="BC921" s="7"/>
      <c r="BD921" s="7"/>
      <c r="BE921" s="7"/>
      <c r="BF921" s="7"/>
      <c r="BG921" s="7"/>
    </row>
    <row r="922" customHeight="1" spans="1:59">
      <c r="A922" s="9">
        <f>IF(ActiveDatabase=Standby,Secondary!A922,Primary!A922)</f>
        <v>0</v>
      </c>
      <c r="B922" s="5">
        <f>IF(ActiveDatabase=Standby,Secondary!B922,Primary!B922)</f>
        <v>0</v>
      </c>
      <c r="C922" s="5">
        <f>IF(ActiveDatabase=Standby,Secondary!C922,Primary!C922)</f>
        <v>0</v>
      </c>
      <c r="D922" s="5">
        <f>IF(ActiveDatabase=Standby,Secondary!D922,Primary!D922)</f>
        <v>0</v>
      </c>
      <c r="E922" s="6">
        <f>IF(ActiveDatabase=Standby,Secondary!E922,Primary!E922)</f>
        <v>0</v>
      </c>
      <c r="F922" s="10">
        <f>IF(ActiveDatabase=Standby,Secondary!F922,Primary!F922)</f>
        <v>0</v>
      </c>
      <c r="G922" s="10">
        <f>IF(ActiveDatabase=Standby,Secondary!G922,Primary!G922)</f>
        <v>0</v>
      </c>
      <c r="H922" s="10">
        <f>IF(ActiveDatabase=Standby,Secondary!H922,Primary!H922)</f>
        <v>0</v>
      </c>
      <c r="I922" s="13">
        <f>IF(ActiveDatabase=Standby,Secondary!I922,Primary!I922)</f>
        <v>0</v>
      </c>
      <c r="J922" s="13">
        <f>IF(ActiveDatabase=Standby,Secondary!J922,Primary!J922)</f>
        <v>0</v>
      </c>
      <c r="K922" s="13">
        <f>IF(ActiveDatabase=Standby,Secondary!K922,Primary!K922)</f>
        <v>0</v>
      </c>
      <c r="L922" s="13">
        <f>IF(ActiveDatabase=Standby,Secondary!L922,Primary!L922)</f>
        <v>0</v>
      </c>
      <c r="M922" s="7">
        <f>IF(ActiveDatabase=Standby,Secondary!M922,Primary!M922)</f>
        <v>0</v>
      </c>
      <c r="N922" s="10">
        <f>IF(ActiveDatabase=Standby,Secondary!N922,Primary!N922)</f>
        <v>0</v>
      </c>
      <c r="O922" s="10">
        <f>IF(ActiveDatabase=Standby,Secondary!O922,Primary!O922)</f>
        <v>0</v>
      </c>
      <c r="P922" s="10">
        <f>IF(ActiveDatabase=Standby,Secondary!P922,Primary!P922)</f>
        <v>0</v>
      </c>
      <c r="Q922" s="6">
        <f>IF(ActiveDatabase=Standby,Secondary!Q922,Primary!Q922)</f>
        <v>0</v>
      </c>
      <c r="R922" s="18">
        <f>IF(ActiveDatabase=Standby,Secondary!R922,Primary!R922)</f>
        <v>0</v>
      </c>
      <c r="S922" s="19">
        <f>IF(ActiveDatabase=Standby,Secondary!S922,Primary!S922)</f>
        <v>0</v>
      </c>
      <c r="T922" s="10">
        <f>IF(ActiveDatabase=Standby,Secondary!T922,Primary!T922)</f>
        <v>0</v>
      </c>
      <c r="U922" s="10">
        <f>IF(ActiveDatabase=Standby,Secondary!U922,Primary!U922)</f>
        <v>0</v>
      </c>
      <c r="V922" s="10">
        <f>IF(ActiveDatabase=Standby,Secondary!V922,Primary!V922)</f>
        <v>0</v>
      </c>
      <c r="W922" s="6">
        <f>IF(ActiveDatabase=Standby,Secondary!W922,Primary!W922)</f>
        <v>0</v>
      </c>
      <c r="X922" s="6">
        <f>IF(ActiveDatabase=Standby,Secondary!X922,Primary!X922)</f>
        <v>0</v>
      </c>
      <c r="Y922" s="12">
        <f>IF(ActiveDatabase=Standby,Secondary!Y922,Primary!Y1580)</f>
        <v>0</v>
      </c>
      <c r="Z922" s="12">
        <f>IF(ActiveDatabase=Standby,Secondary!Z922,Primary!Z1580)</f>
        <v>0</v>
      </c>
      <c r="AA922" s="7">
        <f>IF(ActiveDatabase=Standby,Secondary!AA922,Primary!AA1580)</f>
        <v>0</v>
      </c>
      <c r="AB922" s="12"/>
      <c r="AC922" s="6"/>
      <c r="AD922" s="6"/>
      <c r="AE922" s="7"/>
      <c r="AF922" s="7"/>
      <c r="AG922" s="7"/>
      <c r="AH922" s="7"/>
      <c r="AI922" s="7"/>
      <c r="AJ922" s="7"/>
      <c r="AK922" s="7"/>
      <c r="AL922" s="7"/>
      <c r="AM922" s="7"/>
      <c r="AN922" s="7"/>
      <c r="AO922" s="6"/>
      <c r="AP922" s="7"/>
      <c r="AQ922" s="7"/>
      <c r="AR922" s="6"/>
      <c r="AS922" s="7"/>
      <c r="AT922" s="7"/>
      <c r="AU922" s="7"/>
      <c r="AV922" s="7"/>
      <c r="AW922" s="7"/>
      <c r="AX922" s="7"/>
      <c r="AY922" s="7"/>
      <c r="AZ922" s="7"/>
      <c r="BA922" s="7"/>
      <c r="BB922" s="7"/>
      <c r="BC922" s="7"/>
      <c r="BD922" s="7"/>
      <c r="BE922" s="7"/>
      <c r="BF922" s="7"/>
      <c r="BG922" s="7"/>
    </row>
    <row r="923" customHeight="1" spans="1:59">
      <c r="A923" s="9">
        <f>IF(ActiveDatabase=Standby,Secondary!A923,Primary!A923)</f>
        <v>0</v>
      </c>
      <c r="B923" s="5">
        <f>IF(ActiveDatabase=Standby,Secondary!B923,Primary!B923)</f>
        <v>0</v>
      </c>
      <c r="C923" s="5">
        <f>IF(ActiveDatabase=Standby,Secondary!C923,Primary!C923)</f>
        <v>0</v>
      </c>
      <c r="D923" s="5">
        <f>IF(ActiveDatabase=Standby,Secondary!D923,Primary!D923)</f>
        <v>0</v>
      </c>
      <c r="E923" s="6">
        <f>IF(ActiveDatabase=Standby,Secondary!E923,Primary!E923)</f>
        <v>0</v>
      </c>
      <c r="F923" s="10">
        <f>IF(ActiveDatabase=Standby,Secondary!F923,Primary!F923)</f>
        <v>0</v>
      </c>
      <c r="G923" s="10">
        <f>IF(ActiveDatabase=Standby,Secondary!G923,Primary!G923)</f>
        <v>0</v>
      </c>
      <c r="H923" s="10">
        <f>IF(ActiveDatabase=Standby,Secondary!H923,Primary!H923)</f>
        <v>0</v>
      </c>
      <c r="I923" s="13">
        <f>IF(ActiveDatabase=Standby,Secondary!I923,Primary!I923)</f>
        <v>0</v>
      </c>
      <c r="J923" s="13">
        <f>IF(ActiveDatabase=Standby,Secondary!J923,Primary!J923)</f>
        <v>0</v>
      </c>
      <c r="K923" s="13">
        <f>IF(ActiveDatabase=Standby,Secondary!K923,Primary!K923)</f>
        <v>0</v>
      </c>
      <c r="L923" s="13">
        <f>IF(ActiveDatabase=Standby,Secondary!L923,Primary!L923)</f>
        <v>0</v>
      </c>
      <c r="M923" s="7">
        <f>IF(ActiveDatabase=Standby,Secondary!M923,Primary!M923)</f>
        <v>0</v>
      </c>
      <c r="N923" s="10">
        <f>IF(ActiveDatabase=Standby,Secondary!N923,Primary!N923)</f>
        <v>0</v>
      </c>
      <c r="O923" s="10">
        <f>IF(ActiveDatabase=Standby,Secondary!O923,Primary!O923)</f>
        <v>0</v>
      </c>
      <c r="P923" s="10">
        <f>IF(ActiveDatabase=Standby,Secondary!P923,Primary!P923)</f>
        <v>0</v>
      </c>
      <c r="Q923" s="6">
        <f>IF(ActiveDatabase=Standby,Secondary!Q923,Primary!Q923)</f>
        <v>0</v>
      </c>
      <c r="R923" s="18">
        <f>IF(ActiveDatabase=Standby,Secondary!R923,Primary!R923)</f>
        <v>0</v>
      </c>
      <c r="S923" s="19">
        <f>IF(ActiveDatabase=Standby,Secondary!S923,Primary!S923)</f>
        <v>0</v>
      </c>
      <c r="T923" s="10">
        <f>IF(ActiveDatabase=Standby,Secondary!T923,Primary!T923)</f>
        <v>0</v>
      </c>
      <c r="U923" s="10">
        <f>IF(ActiveDatabase=Standby,Secondary!U923,Primary!U923)</f>
        <v>0</v>
      </c>
      <c r="V923" s="10">
        <f>IF(ActiveDatabase=Standby,Secondary!V923,Primary!V923)</f>
        <v>0</v>
      </c>
      <c r="W923" s="6">
        <f>IF(ActiveDatabase=Standby,Secondary!W923,Primary!W923)</f>
        <v>0</v>
      </c>
      <c r="X923" s="6">
        <f>IF(ActiveDatabase=Standby,Secondary!X923,Primary!X923)</f>
        <v>0</v>
      </c>
      <c r="Y923" s="12">
        <f>IF(ActiveDatabase=Standby,Secondary!Y923,Primary!Y1581)</f>
        <v>0</v>
      </c>
      <c r="Z923" s="12">
        <f>IF(ActiveDatabase=Standby,Secondary!Z923,Primary!Z1581)</f>
        <v>0</v>
      </c>
      <c r="AA923" s="7">
        <f>IF(ActiveDatabase=Standby,Secondary!AA923,Primary!AA1581)</f>
        <v>0</v>
      </c>
      <c r="AB923" s="12"/>
      <c r="AC923" s="6"/>
      <c r="AD923" s="6"/>
      <c r="AE923" s="7"/>
      <c r="AF923" s="7"/>
      <c r="AG923" s="7"/>
      <c r="AH923" s="7"/>
      <c r="AI923" s="7"/>
      <c r="AJ923" s="7"/>
      <c r="AK923" s="7"/>
      <c r="AL923" s="7"/>
      <c r="AM923" s="7"/>
      <c r="AN923" s="7"/>
      <c r="AO923" s="6"/>
      <c r="AP923" s="7"/>
      <c r="AQ923" s="7"/>
      <c r="AR923" s="6"/>
      <c r="AS923" s="7"/>
      <c r="AT923" s="7"/>
      <c r="AU923" s="7"/>
      <c r="AV923" s="7"/>
      <c r="AW923" s="7"/>
      <c r="AX923" s="7"/>
      <c r="AY923" s="7"/>
      <c r="AZ923" s="7"/>
      <c r="BA923" s="7"/>
      <c r="BB923" s="7"/>
      <c r="BC923" s="7"/>
      <c r="BD923" s="7"/>
      <c r="BE923" s="7"/>
      <c r="BF923" s="7"/>
      <c r="BG923" s="7"/>
    </row>
    <row r="924" customHeight="1" spans="1:59">
      <c r="A924" s="9">
        <f>IF(ActiveDatabase=Standby,Secondary!A924,Primary!A924)</f>
        <v>0</v>
      </c>
      <c r="B924" s="5">
        <f>IF(ActiveDatabase=Standby,Secondary!B924,Primary!B924)</f>
        <v>0</v>
      </c>
      <c r="C924" s="5">
        <f>IF(ActiveDatabase=Standby,Secondary!C924,Primary!C924)</f>
        <v>0</v>
      </c>
      <c r="D924" s="5">
        <f>IF(ActiveDatabase=Standby,Secondary!D924,Primary!D924)</f>
        <v>0</v>
      </c>
      <c r="E924" s="6">
        <f>IF(ActiveDatabase=Standby,Secondary!E924,Primary!E924)</f>
        <v>0</v>
      </c>
      <c r="F924" s="10">
        <f>IF(ActiveDatabase=Standby,Secondary!F924,Primary!F924)</f>
        <v>0</v>
      </c>
      <c r="G924" s="10">
        <f>IF(ActiveDatabase=Standby,Secondary!G924,Primary!G924)</f>
        <v>0</v>
      </c>
      <c r="H924" s="10">
        <f>IF(ActiveDatabase=Standby,Secondary!H924,Primary!H924)</f>
        <v>0</v>
      </c>
      <c r="I924" s="13">
        <f>IF(ActiveDatabase=Standby,Secondary!I924,Primary!I924)</f>
        <v>0</v>
      </c>
      <c r="J924" s="13">
        <f>IF(ActiveDatabase=Standby,Secondary!J924,Primary!J924)</f>
        <v>0</v>
      </c>
      <c r="K924" s="13">
        <f>IF(ActiveDatabase=Standby,Secondary!K924,Primary!K924)</f>
        <v>0</v>
      </c>
      <c r="L924" s="13">
        <f>IF(ActiveDatabase=Standby,Secondary!L924,Primary!L924)</f>
        <v>0</v>
      </c>
      <c r="M924" s="7">
        <f>IF(ActiveDatabase=Standby,Secondary!M924,Primary!M924)</f>
        <v>0</v>
      </c>
      <c r="N924" s="10">
        <f>IF(ActiveDatabase=Standby,Secondary!N924,Primary!N924)</f>
        <v>0</v>
      </c>
      <c r="O924" s="10">
        <f>IF(ActiveDatabase=Standby,Secondary!O924,Primary!O924)</f>
        <v>0</v>
      </c>
      <c r="P924" s="10">
        <f>IF(ActiveDatabase=Standby,Secondary!P924,Primary!P924)</f>
        <v>0</v>
      </c>
      <c r="Q924" s="6">
        <f>IF(ActiveDatabase=Standby,Secondary!Q924,Primary!Q924)</f>
        <v>0</v>
      </c>
      <c r="R924" s="18">
        <f>IF(ActiveDatabase=Standby,Secondary!R924,Primary!R924)</f>
        <v>0</v>
      </c>
      <c r="S924" s="19">
        <f>IF(ActiveDatabase=Standby,Secondary!S924,Primary!S924)</f>
        <v>0</v>
      </c>
      <c r="T924" s="10">
        <f>IF(ActiveDatabase=Standby,Secondary!T924,Primary!T924)</f>
        <v>0</v>
      </c>
      <c r="U924" s="10">
        <f>IF(ActiveDatabase=Standby,Secondary!U924,Primary!U924)</f>
        <v>0</v>
      </c>
      <c r="V924" s="10">
        <f>IF(ActiveDatabase=Standby,Secondary!V924,Primary!V924)</f>
        <v>0</v>
      </c>
      <c r="W924" s="6">
        <f>IF(ActiveDatabase=Standby,Secondary!W924,Primary!W924)</f>
        <v>0</v>
      </c>
      <c r="X924" s="6">
        <f>IF(ActiveDatabase=Standby,Secondary!X924,Primary!X924)</f>
        <v>0</v>
      </c>
      <c r="Y924" s="12">
        <f>IF(ActiveDatabase=Standby,Secondary!Y924,Primary!Y1582)</f>
        <v>0</v>
      </c>
      <c r="Z924" s="12">
        <f>IF(ActiveDatabase=Standby,Secondary!Z924,Primary!Z1582)</f>
        <v>0</v>
      </c>
      <c r="AA924" s="7">
        <f>IF(ActiveDatabase=Standby,Secondary!AA924,Primary!AA1582)</f>
        <v>0</v>
      </c>
      <c r="AB924" s="12"/>
      <c r="AC924" s="6"/>
      <c r="AD924" s="6"/>
      <c r="AE924" s="7"/>
      <c r="AF924" s="7"/>
      <c r="AG924" s="7"/>
      <c r="AH924" s="7"/>
      <c r="AI924" s="7"/>
      <c r="AJ924" s="7"/>
      <c r="AK924" s="7"/>
      <c r="AL924" s="7"/>
      <c r="AM924" s="7"/>
      <c r="AN924" s="7"/>
      <c r="AO924" s="6"/>
      <c r="AP924" s="7"/>
      <c r="AQ924" s="7"/>
      <c r="AR924" s="6"/>
      <c r="AS924" s="7"/>
      <c r="AT924" s="7"/>
      <c r="AU924" s="7"/>
      <c r="AV924" s="7"/>
      <c r="AW924" s="7"/>
      <c r="AX924" s="7"/>
      <c r="AY924" s="7"/>
      <c r="AZ924" s="7"/>
      <c r="BA924" s="7"/>
      <c r="BB924" s="7"/>
      <c r="BC924" s="7"/>
      <c r="BD924" s="7"/>
      <c r="BE924" s="7"/>
      <c r="BF924" s="7"/>
      <c r="BG924" s="7"/>
    </row>
    <row r="925" customHeight="1" spans="1:59">
      <c r="A925" s="9">
        <f>IF(ActiveDatabase=Standby,Secondary!A925,Primary!A925)</f>
        <v>0</v>
      </c>
      <c r="B925" s="5">
        <f>IF(ActiveDatabase=Standby,Secondary!B925,Primary!B925)</f>
        <v>0</v>
      </c>
      <c r="C925" s="5">
        <f>IF(ActiveDatabase=Standby,Secondary!C925,Primary!C925)</f>
        <v>0</v>
      </c>
      <c r="D925" s="5">
        <f>IF(ActiveDatabase=Standby,Secondary!D925,Primary!D925)</f>
        <v>0</v>
      </c>
      <c r="E925" s="6">
        <f>IF(ActiveDatabase=Standby,Secondary!E925,Primary!E925)</f>
        <v>0</v>
      </c>
      <c r="F925" s="10">
        <f>IF(ActiveDatabase=Standby,Secondary!F925,Primary!F925)</f>
        <v>0</v>
      </c>
      <c r="G925" s="10">
        <f>IF(ActiveDatabase=Standby,Secondary!G925,Primary!G925)</f>
        <v>0</v>
      </c>
      <c r="H925" s="10">
        <f>IF(ActiveDatabase=Standby,Secondary!H925,Primary!H925)</f>
        <v>0</v>
      </c>
      <c r="I925" s="13">
        <f>IF(ActiveDatabase=Standby,Secondary!I925,Primary!I925)</f>
        <v>0</v>
      </c>
      <c r="J925" s="13">
        <f>IF(ActiveDatabase=Standby,Secondary!J925,Primary!J925)</f>
        <v>0</v>
      </c>
      <c r="K925" s="13">
        <f>IF(ActiveDatabase=Standby,Secondary!K925,Primary!K925)</f>
        <v>0</v>
      </c>
      <c r="L925" s="13">
        <f>IF(ActiveDatabase=Standby,Secondary!L925,Primary!L925)</f>
        <v>0</v>
      </c>
      <c r="M925" s="7">
        <f>IF(ActiveDatabase=Standby,Secondary!M925,Primary!M925)</f>
        <v>0</v>
      </c>
      <c r="N925" s="10">
        <f>IF(ActiveDatabase=Standby,Secondary!N925,Primary!N925)</f>
        <v>0</v>
      </c>
      <c r="O925" s="10">
        <f>IF(ActiveDatabase=Standby,Secondary!O925,Primary!O925)</f>
        <v>0</v>
      </c>
      <c r="P925" s="10">
        <f>IF(ActiveDatabase=Standby,Secondary!P925,Primary!P925)</f>
        <v>0</v>
      </c>
      <c r="Q925" s="6">
        <f>IF(ActiveDatabase=Standby,Secondary!Q925,Primary!Q925)</f>
        <v>0</v>
      </c>
      <c r="R925" s="18">
        <f>IF(ActiveDatabase=Standby,Secondary!R925,Primary!R925)</f>
        <v>0</v>
      </c>
      <c r="S925" s="19">
        <f>IF(ActiveDatabase=Standby,Secondary!S925,Primary!S925)</f>
        <v>0</v>
      </c>
      <c r="T925" s="10">
        <f>IF(ActiveDatabase=Standby,Secondary!T925,Primary!T925)</f>
        <v>0</v>
      </c>
      <c r="U925" s="10">
        <f>IF(ActiveDatabase=Standby,Secondary!U925,Primary!U925)</f>
        <v>0</v>
      </c>
      <c r="V925" s="10">
        <f>IF(ActiveDatabase=Standby,Secondary!V925,Primary!V925)</f>
        <v>0</v>
      </c>
      <c r="W925" s="6">
        <f>IF(ActiveDatabase=Standby,Secondary!W925,Primary!W925)</f>
        <v>0</v>
      </c>
      <c r="X925" s="6">
        <f>IF(ActiveDatabase=Standby,Secondary!X925,Primary!X925)</f>
        <v>0</v>
      </c>
      <c r="Y925" s="12">
        <f>IF(ActiveDatabase=Standby,Secondary!Y925,Primary!Y1583)</f>
        <v>0</v>
      </c>
      <c r="Z925" s="12">
        <f>IF(ActiveDatabase=Standby,Secondary!Z925,Primary!Z1583)</f>
        <v>0</v>
      </c>
      <c r="AA925" s="7">
        <f>IF(ActiveDatabase=Standby,Secondary!AA925,Primary!AA1583)</f>
        <v>0</v>
      </c>
      <c r="AB925" s="12"/>
      <c r="AC925" s="6"/>
      <c r="AD925" s="6"/>
      <c r="AE925" s="7"/>
      <c r="AF925" s="7"/>
      <c r="AG925" s="7"/>
      <c r="AH925" s="7"/>
      <c r="AI925" s="7"/>
      <c r="AJ925" s="7"/>
      <c r="AK925" s="7"/>
      <c r="AL925" s="7"/>
      <c r="AM925" s="7"/>
      <c r="AN925" s="7"/>
      <c r="AO925" s="6"/>
      <c r="AP925" s="7"/>
      <c r="AQ925" s="7"/>
      <c r="AR925" s="6"/>
      <c r="AS925" s="7"/>
      <c r="AT925" s="7"/>
      <c r="AU925" s="7"/>
      <c r="AV925" s="7"/>
      <c r="AW925" s="7"/>
      <c r="AX925" s="7"/>
      <c r="AY925" s="7"/>
      <c r="AZ925" s="7"/>
      <c r="BA925" s="7"/>
      <c r="BB925" s="7"/>
      <c r="BC925" s="7"/>
      <c r="BD925" s="7"/>
      <c r="BE925" s="7"/>
      <c r="BF925" s="7"/>
      <c r="BG925" s="7"/>
    </row>
    <row r="926" customHeight="1" spans="1:59">
      <c r="A926" s="9">
        <f>IF(ActiveDatabase=Standby,Secondary!A926,Primary!A926)</f>
        <v>0</v>
      </c>
      <c r="B926" s="5">
        <f>IF(ActiveDatabase=Standby,Secondary!B926,Primary!B926)</f>
        <v>0</v>
      </c>
      <c r="C926" s="5">
        <f>IF(ActiveDatabase=Standby,Secondary!C926,Primary!C926)</f>
        <v>0</v>
      </c>
      <c r="D926" s="5">
        <f>IF(ActiveDatabase=Standby,Secondary!D926,Primary!D926)</f>
        <v>0</v>
      </c>
      <c r="E926" s="6">
        <f>IF(ActiveDatabase=Standby,Secondary!E926,Primary!E926)</f>
        <v>0</v>
      </c>
      <c r="F926" s="10">
        <f>IF(ActiveDatabase=Standby,Secondary!F926,Primary!F926)</f>
        <v>0</v>
      </c>
      <c r="G926" s="10">
        <f>IF(ActiveDatabase=Standby,Secondary!G926,Primary!G926)</f>
        <v>0</v>
      </c>
      <c r="H926" s="10">
        <f>IF(ActiveDatabase=Standby,Secondary!H926,Primary!H926)</f>
        <v>0</v>
      </c>
      <c r="I926" s="13">
        <f>IF(ActiveDatabase=Standby,Secondary!I926,Primary!I926)</f>
        <v>0</v>
      </c>
      <c r="J926" s="13">
        <f>IF(ActiveDatabase=Standby,Secondary!J926,Primary!J926)</f>
        <v>0</v>
      </c>
      <c r="K926" s="13">
        <f>IF(ActiveDatabase=Standby,Secondary!K926,Primary!K926)</f>
        <v>0</v>
      </c>
      <c r="L926" s="13">
        <f>IF(ActiveDatabase=Standby,Secondary!L926,Primary!L926)</f>
        <v>0</v>
      </c>
      <c r="M926" s="7">
        <f>IF(ActiveDatabase=Standby,Secondary!M926,Primary!M926)</f>
        <v>0</v>
      </c>
      <c r="N926" s="10">
        <f>IF(ActiveDatabase=Standby,Secondary!N926,Primary!N926)</f>
        <v>0</v>
      </c>
      <c r="O926" s="10">
        <f>IF(ActiveDatabase=Standby,Secondary!O926,Primary!O926)</f>
        <v>0</v>
      </c>
      <c r="P926" s="10">
        <f>IF(ActiveDatabase=Standby,Secondary!P926,Primary!P926)</f>
        <v>0</v>
      </c>
      <c r="Q926" s="6">
        <f>IF(ActiveDatabase=Standby,Secondary!Q926,Primary!Q926)</f>
        <v>0</v>
      </c>
      <c r="R926" s="18">
        <f>IF(ActiveDatabase=Standby,Secondary!R926,Primary!R926)</f>
        <v>0</v>
      </c>
      <c r="S926" s="19">
        <f>IF(ActiveDatabase=Standby,Secondary!S926,Primary!S926)</f>
        <v>0</v>
      </c>
      <c r="T926" s="10">
        <f>IF(ActiveDatabase=Standby,Secondary!T926,Primary!T926)</f>
        <v>0</v>
      </c>
      <c r="U926" s="10">
        <f>IF(ActiveDatabase=Standby,Secondary!U926,Primary!U926)</f>
        <v>0</v>
      </c>
      <c r="V926" s="10">
        <f>IF(ActiveDatabase=Standby,Secondary!V926,Primary!V926)</f>
        <v>0</v>
      </c>
      <c r="W926" s="6">
        <f>IF(ActiveDatabase=Standby,Secondary!W926,Primary!W926)</f>
        <v>0</v>
      </c>
      <c r="X926" s="6">
        <f>IF(ActiveDatabase=Standby,Secondary!X926,Primary!X926)</f>
        <v>0</v>
      </c>
      <c r="Y926" s="12">
        <f>IF(ActiveDatabase=Standby,Secondary!Y926,Primary!Y1584)</f>
        <v>0</v>
      </c>
      <c r="Z926" s="12">
        <f>IF(ActiveDatabase=Standby,Secondary!Z926,Primary!Z1584)</f>
        <v>0</v>
      </c>
      <c r="AA926" s="7">
        <f>IF(ActiveDatabase=Standby,Secondary!AA926,Primary!AA1584)</f>
        <v>0</v>
      </c>
      <c r="AB926" s="12"/>
      <c r="AC926" s="6"/>
      <c r="AD926" s="6"/>
      <c r="AE926" s="7"/>
      <c r="AF926" s="7"/>
      <c r="AG926" s="7"/>
      <c r="AH926" s="7"/>
      <c r="AI926" s="7"/>
      <c r="AJ926" s="7"/>
      <c r="AK926" s="7"/>
      <c r="AL926" s="7"/>
      <c r="AM926" s="7"/>
      <c r="AN926" s="7"/>
      <c r="AO926" s="6"/>
      <c r="AP926" s="7"/>
      <c r="AQ926" s="7"/>
      <c r="AR926" s="6"/>
      <c r="AS926" s="7"/>
      <c r="AT926" s="7"/>
      <c r="AU926" s="7"/>
      <c r="AV926" s="7"/>
      <c r="AW926" s="7"/>
      <c r="AX926" s="7"/>
      <c r="AY926" s="7"/>
      <c r="AZ926" s="7"/>
      <c r="BA926" s="7"/>
      <c r="BB926" s="7"/>
      <c r="BC926" s="7"/>
      <c r="BD926" s="7"/>
      <c r="BE926" s="7"/>
      <c r="BF926" s="7"/>
      <c r="BG926" s="7"/>
    </row>
    <row r="927" customHeight="1" spans="1:59">
      <c r="A927" s="9">
        <f>IF(ActiveDatabase=Standby,Secondary!A927,Primary!A927)</f>
        <v>0</v>
      </c>
      <c r="B927" s="5">
        <f>IF(ActiveDatabase=Standby,Secondary!B927,Primary!B927)</f>
        <v>0</v>
      </c>
      <c r="C927" s="5">
        <f>IF(ActiveDatabase=Standby,Secondary!C927,Primary!C927)</f>
        <v>0</v>
      </c>
      <c r="D927" s="5">
        <f>IF(ActiveDatabase=Standby,Secondary!D927,Primary!D927)</f>
        <v>0</v>
      </c>
      <c r="E927" s="6">
        <f>IF(ActiveDatabase=Standby,Secondary!E927,Primary!E927)</f>
        <v>0</v>
      </c>
      <c r="F927" s="10">
        <f>IF(ActiveDatabase=Standby,Secondary!F927,Primary!F927)</f>
        <v>0</v>
      </c>
      <c r="G927" s="10">
        <f>IF(ActiveDatabase=Standby,Secondary!G927,Primary!G927)</f>
        <v>0</v>
      </c>
      <c r="H927" s="10">
        <f>IF(ActiveDatabase=Standby,Secondary!H927,Primary!H927)</f>
        <v>0</v>
      </c>
      <c r="I927" s="13">
        <f>IF(ActiveDatabase=Standby,Secondary!I927,Primary!I927)</f>
        <v>0</v>
      </c>
      <c r="J927" s="13">
        <f>IF(ActiveDatabase=Standby,Secondary!J927,Primary!J927)</f>
        <v>0</v>
      </c>
      <c r="K927" s="13">
        <f>IF(ActiveDatabase=Standby,Secondary!K927,Primary!K927)</f>
        <v>0</v>
      </c>
      <c r="L927" s="13">
        <f>IF(ActiveDatabase=Standby,Secondary!L927,Primary!L927)</f>
        <v>0</v>
      </c>
      <c r="M927" s="7">
        <f>IF(ActiveDatabase=Standby,Secondary!M927,Primary!M927)</f>
        <v>0</v>
      </c>
      <c r="N927" s="10">
        <f>IF(ActiveDatabase=Standby,Secondary!N927,Primary!N927)</f>
        <v>0</v>
      </c>
      <c r="O927" s="10">
        <f>IF(ActiveDatabase=Standby,Secondary!O927,Primary!O927)</f>
        <v>0</v>
      </c>
      <c r="P927" s="10">
        <f>IF(ActiveDatabase=Standby,Secondary!P927,Primary!P927)</f>
        <v>0</v>
      </c>
      <c r="Q927" s="6">
        <f>IF(ActiveDatabase=Standby,Secondary!Q927,Primary!Q927)</f>
        <v>0</v>
      </c>
      <c r="R927" s="18">
        <f>IF(ActiveDatabase=Standby,Secondary!R927,Primary!R927)</f>
        <v>0</v>
      </c>
      <c r="S927" s="19">
        <f>IF(ActiveDatabase=Standby,Secondary!S927,Primary!S927)</f>
        <v>0</v>
      </c>
      <c r="T927" s="10">
        <f>IF(ActiveDatabase=Standby,Secondary!T927,Primary!T927)</f>
        <v>0</v>
      </c>
      <c r="U927" s="10">
        <f>IF(ActiveDatabase=Standby,Secondary!U927,Primary!U927)</f>
        <v>0</v>
      </c>
      <c r="V927" s="10">
        <f>IF(ActiveDatabase=Standby,Secondary!V927,Primary!V927)</f>
        <v>0</v>
      </c>
      <c r="W927" s="6">
        <f>IF(ActiveDatabase=Standby,Secondary!W927,Primary!W927)</f>
        <v>0</v>
      </c>
      <c r="X927" s="6">
        <f>IF(ActiveDatabase=Standby,Secondary!X927,Primary!X927)</f>
        <v>0</v>
      </c>
      <c r="Y927" s="12">
        <f>IF(ActiveDatabase=Standby,Secondary!Y927,Primary!Y1585)</f>
        <v>0</v>
      </c>
      <c r="Z927" s="12">
        <f>IF(ActiveDatabase=Standby,Secondary!Z927,Primary!Z1585)</f>
        <v>0</v>
      </c>
      <c r="AA927" s="7">
        <f>IF(ActiveDatabase=Standby,Secondary!AA927,Primary!AA1585)</f>
        <v>0</v>
      </c>
      <c r="AB927" s="12"/>
      <c r="AC927" s="6"/>
      <c r="AD927" s="6"/>
      <c r="AE927" s="7"/>
      <c r="AF927" s="7"/>
      <c r="AG927" s="7"/>
      <c r="AH927" s="7"/>
      <c r="AI927" s="7"/>
      <c r="AJ927" s="7"/>
      <c r="AK927" s="7"/>
      <c r="AL927" s="7"/>
      <c r="AM927" s="7"/>
      <c r="AN927" s="7"/>
      <c r="AO927" s="6"/>
      <c r="AP927" s="7"/>
      <c r="AQ927" s="7"/>
      <c r="AR927" s="6"/>
      <c r="AS927" s="7"/>
      <c r="AT927" s="7"/>
      <c r="AU927" s="7"/>
      <c r="AV927" s="7"/>
      <c r="AW927" s="7"/>
      <c r="AX927" s="7"/>
      <c r="AY927" s="7"/>
      <c r="AZ927" s="7"/>
      <c r="BA927" s="7"/>
      <c r="BB927" s="7"/>
      <c r="BC927" s="7"/>
      <c r="BD927" s="7"/>
      <c r="BE927" s="7"/>
      <c r="BF927" s="7"/>
      <c r="BG927" s="7"/>
    </row>
    <row r="928" customHeight="1" spans="1:59">
      <c r="A928" s="9">
        <f>IF(ActiveDatabase=Standby,Secondary!A928,Primary!A928)</f>
        <v>0</v>
      </c>
      <c r="B928" s="5">
        <f>IF(ActiveDatabase=Standby,Secondary!B928,Primary!B928)</f>
        <v>0</v>
      </c>
      <c r="C928" s="5">
        <f>IF(ActiveDatabase=Standby,Secondary!C928,Primary!C928)</f>
        <v>0</v>
      </c>
      <c r="D928" s="5">
        <f>IF(ActiveDatabase=Standby,Secondary!D928,Primary!D928)</f>
        <v>0</v>
      </c>
      <c r="E928" s="6">
        <f>IF(ActiveDatabase=Standby,Secondary!E928,Primary!E928)</f>
        <v>0</v>
      </c>
      <c r="F928" s="10">
        <f>IF(ActiveDatabase=Standby,Secondary!F928,Primary!F928)</f>
        <v>0</v>
      </c>
      <c r="G928" s="10">
        <f>IF(ActiveDatabase=Standby,Secondary!G928,Primary!G928)</f>
        <v>0</v>
      </c>
      <c r="H928" s="10">
        <f>IF(ActiveDatabase=Standby,Secondary!H928,Primary!H928)</f>
        <v>0</v>
      </c>
      <c r="I928" s="13">
        <f>IF(ActiveDatabase=Standby,Secondary!I928,Primary!I928)</f>
        <v>0</v>
      </c>
      <c r="J928" s="13">
        <f>IF(ActiveDatabase=Standby,Secondary!J928,Primary!J928)</f>
        <v>0</v>
      </c>
      <c r="K928" s="13">
        <f>IF(ActiveDatabase=Standby,Secondary!K928,Primary!K928)</f>
        <v>0</v>
      </c>
      <c r="L928" s="13">
        <f>IF(ActiveDatabase=Standby,Secondary!L928,Primary!L928)</f>
        <v>0</v>
      </c>
      <c r="M928" s="7">
        <f>IF(ActiveDatabase=Standby,Secondary!M928,Primary!M928)</f>
        <v>0</v>
      </c>
      <c r="N928" s="10">
        <f>IF(ActiveDatabase=Standby,Secondary!N928,Primary!N928)</f>
        <v>0</v>
      </c>
      <c r="O928" s="10">
        <f>IF(ActiveDatabase=Standby,Secondary!O928,Primary!O928)</f>
        <v>0</v>
      </c>
      <c r="P928" s="10">
        <f>IF(ActiveDatabase=Standby,Secondary!P928,Primary!P928)</f>
        <v>0</v>
      </c>
      <c r="Q928" s="6">
        <f>IF(ActiveDatabase=Standby,Secondary!Q928,Primary!Q928)</f>
        <v>0</v>
      </c>
      <c r="R928" s="18">
        <f>IF(ActiveDatabase=Standby,Secondary!R928,Primary!R928)</f>
        <v>0</v>
      </c>
      <c r="S928" s="19">
        <f>IF(ActiveDatabase=Standby,Secondary!S928,Primary!S928)</f>
        <v>0</v>
      </c>
      <c r="T928" s="10">
        <f>IF(ActiveDatabase=Standby,Secondary!T928,Primary!T928)</f>
        <v>0</v>
      </c>
      <c r="U928" s="10">
        <f>IF(ActiveDatabase=Standby,Secondary!U928,Primary!U928)</f>
        <v>0</v>
      </c>
      <c r="V928" s="10">
        <f>IF(ActiveDatabase=Standby,Secondary!V928,Primary!V928)</f>
        <v>0</v>
      </c>
      <c r="W928" s="6">
        <f>IF(ActiveDatabase=Standby,Secondary!W928,Primary!W928)</f>
        <v>0</v>
      </c>
      <c r="X928" s="6">
        <f>IF(ActiveDatabase=Standby,Secondary!X928,Primary!X928)</f>
        <v>0</v>
      </c>
      <c r="Y928" s="12">
        <f>IF(ActiveDatabase=Standby,Secondary!Y928,Primary!Y1586)</f>
        <v>0</v>
      </c>
      <c r="Z928" s="12">
        <f>IF(ActiveDatabase=Standby,Secondary!Z928,Primary!Z1586)</f>
        <v>0</v>
      </c>
      <c r="AA928" s="7">
        <f>IF(ActiveDatabase=Standby,Secondary!AA928,Primary!AA1586)</f>
        <v>0</v>
      </c>
      <c r="AB928" s="12"/>
      <c r="AC928" s="6"/>
      <c r="AD928" s="6"/>
      <c r="AE928" s="7"/>
      <c r="AF928" s="7"/>
      <c r="AG928" s="7"/>
      <c r="AH928" s="7"/>
      <c r="AI928" s="7"/>
      <c r="AJ928" s="7"/>
      <c r="AK928" s="7"/>
      <c r="AL928" s="7"/>
      <c r="AM928" s="7"/>
      <c r="AN928" s="7"/>
      <c r="AO928" s="6"/>
      <c r="AP928" s="7"/>
      <c r="AQ928" s="7"/>
      <c r="AR928" s="6"/>
      <c r="AS928" s="7"/>
      <c r="AT928" s="7"/>
      <c r="AU928" s="7"/>
      <c r="AV928" s="7"/>
      <c r="AW928" s="7"/>
      <c r="AX928" s="7"/>
      <c r="AY928" s="7"/>
      <c r="AZ928" s="7"/>
      <c r="BA928" s="7"/>
      <c r="BB928" s="7"/>
      <c r="BC928" s="7"/>
      <c r="BD928" s="7"/>
      <c r="BE928" s="7"/>
      <c r="BF928" s="7"/>
      <c r="BG928" s="7"/>
    </row>
    <row r="929" customHeight="1" spans="1:59">
      <c r="A929" s="9">
        <f>IF(ActiveDatabase=Standby,Secondary!A929,Primary!A929)</f>
        <v>0</v>
      </c>
      <c r="B929" s="5">
        <f>IF(ActiveDatabase=Standby,Secondary!B929,Primary!B929)</f>
        <v>0</v>
      </c>
      <c r="C929" s="5">
        <f>IF(ActiveDatabase=Standby,Secondary!C929,Primary!C929)</f>
        <v>0</v>
      </c>
      <c r="D929" s="5">
        <f>IF(ActiveDatabase=Standby,Secondary!D929,Primary!D929)</f>
        <v>0</v>
      </c>
      <c r="E929" s="6">
        <f>IF(ActiveDatabase=Standby,Secondary!E929,Primary!E929)</f>
        <v>0</v>
      </c>
      <c r="F929" s="10">
        <f>IF(ActiveDatabase=Standby,Secondary!F929,Primary!F929)</f>
        <v>0</v>
      </c>
      <c r="G929" s="10">
        <f>IF(ActiveDatabase=Standby,Secondary!G929,Primary!G929)</f>
        <v>0</v>
      </c>
      <c r="H929" s="10">
        <f>IF(ActiveDatabase=Standby,Secondary!H929,Primary!H929)</f>
        <v>0</v>
      </c>
      <c r="I929" s="13">
        <f>IF(ActiveDatabase=Standby,Secondary!I929,Primary!I929)</f>
        <v>0</v>
      </c>
      <c r="J929" s="13">
        <f>IF(ActiveDatabase=Standby,Secondary!J929,Primary!J929)</f>
        <v>0</v>
      </c>
      <c r="K929" s="13">
        <f>IF(ActiveDatabase=Standby,Secondary!K929,Primary!K929)</f>
        <v>0</v>
      </c>
      <c r="L929" s="13">
        <f>IF(ActiveDatabase=Standby,Secondary!L929,Primary!L929)</f>
        <v>0</v>
      </c>
      <c r="M929" s="7">
        <f>IF(ActiveDatabase=Standby,Secondary!M929,Primary!M929)</f>
        <v>0</v>
      </c>
      <c r="N929" s="10">
        <f>IF(ActiveDatabase=Standby,Secondary!N929,Primary!N929)</f>
        <v>0</v>
      </c>
      <c r="O929" s="10">
        <f>IF(ActiveDatabase=Standby,Secondary!O929,Primary!O929)</f>
        <v>0</v>
      </c>
      <c r="P929" s="10">
        <f>IF(ActiveDatabase=Standby,Secondary!P929,Primary!P929)</f>
        <v>0</v>
      </c>
      <c r="Q929" s="6">
        <f>IF(ActiveDatabase=Standby,Secondary!Q929,Primary!Q929)</f>
        <v>0</v>
      </c>
      <c r="R929" s="18">
        <f>IF(ActiveDatabase=Standby,Secondary!R929,Primary!R929)</f>
        <v>0</v>
      </c>
      <c r="S929" s="19">
        <f>IF(ActiveDatabase=Standby,Secondary!S929,Primary!S929)</f>
        <v>0</v>
      </c>
      <c r="T929" s="10">
        <f>IF(ActiveDatabase=Standby,Secondary!T929,Primary!T929)</f>
        <v>0</v>
      </c>
      <c r="U929" s="10">
        <f>IF(ActiveDatabase=Standby,Secondary!U929,Primary!U929)</f>
        <v>0</v>
      </c>
      <c r="V929" s="10">
        <f>IF(ActiveDatabase=Standby,Secondary!V929,Primary!V929)</f>
        <v>0</v>
      </c>
      <c r="W929" s="6">
        <f>IF(ActiveDatabase=Standby,Secondary!W929,Primary!W929)</f>
        <v>0</v>
      </c>
      <c r="X929" s="6">
        <f>IF(ActiveDatabase=Standby,Secondary!X929,Primary!X929)</f>
        <v>0</v>
      </c>
      <c r="Y929" s="12">
        <f>IF(ActiveDatabase=Standby,Secondary!Y929,Primary!Y1587)</f>
        <v>0</v>
      </c>
      <c r="Z929" s="12">
        <f>IF(ActiveDatabase=Standby,Secondary!Z929,Primary!Z1587)</f>
        <v>0</v>
      </c>
      <c r="AA929" s="7">
        <f>IF(ActiveDatabase=Standby,Secondary!AA929,Primary!AA1587)</f>
        <v>0</v>
      </c>
      <c r="AB929" s="12"/>
      <c r="AC929" s="6"/>
      <c r="AD929" s="6"/>
      <c r="AE929" s="7"/>
      <c r="AF929" s="7"/>
      <c r="AG929" s="7"/>
      <c r="AH929" s="7"/>
      <c r="AI929" s="7"/>
      <c r="AJ929" s="7"/>
      <c r="AK929" s="7"/>
      <c r="AL929" s="7"/>
      <c r="AM929" s="7"/>
      <c r="AN929" s="7"/>
      <c r="AO929" s="6"/>
      <c r="AP929" s="7"/>
      <c r="AQ929" s="7"/>
      <c r="AR929" s="6"/>
      <c r="AS929" s="7"/>
      <c r="AT929" s="7"/>
      <c r="AU929" s="7"/>
      <c r="AV929" s="7"/>
      <c r="AW929" s="7"/>
      <c r="AX929" s="7"/>
      <c r="AY929" s="7"/>
      <c r="AZ929" s="7"/>
      <c r="BA929" s="7"/>
      <c r="BB929" s="7"/>
      <c r="BC929" s="7"/>
      <c r="BD929" s="7"/>
      <c r="BE929" s="7"/>
      <c r="BF929" s="7"/>
      <c r="BG929" s="7"/>
    </row>
    <row r="930" customHeight="1" spans="1:59">
      <c r="A930" s="9">
        <f>IF(ActiveDatabase=Standby,Secondary!A930,Primary!A930)</f>
        <v>0</v>
      </c>
      <c r="B930" s="5">
        <f>IF(ActiveDatabase=Standby,Secondary!B930,Primary!B930)</f>
        <v>0</v>
      </c>
      <c r="C930" s="5">
        <f>IF(ActiveDatabase=Standby,Secondary!C930,Primary!C930)</f>
        <v>0</v>
      </c>
      <c r="D930" s="5">
        <f>IF(ActiveDatabase=Standby,Secondary!D930,Primary!D930)</f>
        <v>0</v>
      </c>
      <c r="E930" s="6">
        <f>IF(ActiveDatabase=Standby,Secondary!E930,Primary!E930)</f>
        <v>0</v>
      </c>
      <c r="F930" s="10">
        <f>IF(ActiveDatabase=Standby,Secondary!F930,Primary!F930)</f>
        <v>0</v>
      </c>
      <c r="G930" s="10">
        <f>IF(ActiveDatabase=Standby,Secondary!G930,Primary!G930)</f>
        <v>0</v>
      </c>
      <c r="H930" s="10">
        <f>IF(ActiveDatabase=Standby,Secondary!H930,Primary!H930)</f>
        <v>0</v>
      </c>
      <c r="I930" s="13">
        <f>IF(ActiveDatabase=Standby,Secondary!I930,Primary!I930)</f>
        <v>0</v>
      </c>
      <c r="J930" s="13">
        <f>IF(ActiveDatabase=Standby,Secondary!J930,Primary!J930)</f>
        <v>0</v>
      </c>
      <c r="K930" s="13">
        <f>IF(ActiveDatabase=Standby,Secondary!K930,Primary!K930)</f>
        <v>0</v>
      </c>
      <c r="L930" s="13">
        <f>IF(ActiveDatabase=Standby,Secondary!L930,Primary!L930)</f>
        <v>0</v>
      </c>
      <c r="M930" s="7">
        <f>IF(ActiveDatabase=Standby,Secondary!M930,Primary!M930)</f>
        <v>0</v>
      </c>
      <c r="N930" s="10">
        <f>IF(ActiveDatabase=Standby,Secondary!N930,Primary!N930)</f>
        <v>0</v>
      </c>
      <c r="O930" s="10">
        <f>IF(ActiveDatabase=Standby,Secondary!O930,Primary!O930)</f>
        <v>0</v>
      </c>
      <c r="P930" s="10">
        <f>IF(ActiveDatabase=Standby,Secondary!P930,Primary!P930)</f>
        <v>0</v>
      </c>
      <c r="Q930" s="6">
        <f>IF(ActiveDatabase=Standby,Secondary!Q930,Primary!Q930)</f>
        <v>0</v>
      </c>
      <c r="R930" s="18">
        <f>IF(ActiveDatabase=Standby,Secondary!R930,Primary!R930)</f>
        <v>0</v>
      </c>
      <c r="S930" s="19">
        <f>IF(ActiveDatabase=Standby,Secondary!S930,Primary!S930)</f>
        <v>0</v>
      </c>
      <c r="T930" s="10">
        <f>IF(ActiveDatabase=Standby,Secondary!T930,Primary!T930)</f>
        <v>0</v>
      </c>
      <c r="U930" s="10">
        <f>IF(ActiveDatabase=Standby,Secondary!U930,Primary!U930)</f>
        <v>0</v>
      </c>
      <c r="V930" s="10">
        <f>IF(ActiveDatabase=Standby,Secondary!V930,Primary!V930)</f>
        <v>0</v>
      </c>
      <c r="W930" s="6">
        <f>IF(ActiveDatabase=Standby,Secondary!W930,Primary!W930)</f>
        <v>0</v>
      </c>
      <c r="X930" s="6">
        <f>IF(ActiveDatabase=Standby,Secondary!X930,Primary!X930)</f>
        <v>0</v>
      </c>
      <c r="Y930" s="12">
        <f>IF(ActiveDatabase=Standby,Secondary!Y930,Primary!Y1588)</f>
        <v>0</v>
      </c>
      <c r="Z930" s="12">
        <f>IF(ActiveDatabase=Standby,Secondary!Z930,Primary!Z1588)</f>
        <v>0</v>
      </c>
      <c r="AA930" s="7">
        <f>IF(ActiveDatabase=Standby,Secondary!AA930,Primary!AA1588)</f>
        <v>0</v>
      </c>
      <c r="AB930" s="12"/>
      <c r="AC930" s="6"/>
      <c r="AD930" s="6"/>
      <c r="AE930" s="7"/>
      <c r="AF930" s="7"/>
      <c r="AG930" s="7"/>
      <c r="AH930" s="7"/>
      <c r="AI930" s="7"/>
      <c r="AJ930" s="7"/>
      <c r="AK930" s="7"/>
      <c r="AL930" s="7"/>
      <c r="AM930" s="7"/>
      <c r="AN930" s="7"/>
      <c r="AO930" s="6"/>
      <c r="AP930" s="7"/>
      <c r="AQ930" s="7"/>
      <c r="AR930" s="6"/>
      <c r="AS930" s="7"/>
      <c r="AT930" s="7"/>
      <c r="AU930" s="7"/>
      <c r="AV930" s="7"/>
      <c r="AW930" s="7"/>
      <c r="AX930" s="7"/>
      <c r="AY930" s="7"/>
      <c r="AZ930" s="7"/>
      <c r="BA930" s="7"/>
      <c r="BB930" s="7"/>
      <c r="BC930" s="7"/>
      <c r="BD930" s="7"/>
      <c r="BE930" s="7"/>
      <c r="BF930" s="7"/>
      <c r="BG930" s="7"/>
    </row>
    <row r="931" customHeight="1" spans="1:59">
      <c r="A931" s="9">
        <f>IF(ActiveDatabase=Standby,Secondary!A931,Primary!A931)</f>
        <v>0</v>
      </c>
      <c r="B931" s="5">
        <f>IF(ActiveDatabase=Standby,Secondary!B931,Primary!B931)</f>
        <v>0</v>
      </c>
      <c r="C931" s="5">
        <f>IF(ActiveDatabase=Standby,Secondary!C931,Primary!C931)</f>
        <v>0</v>
      </c>
      <c r="D931" s="5">
        <f>IF(ActiveDatabase=Standby,Secondary!D931,Primary!D931)</f>
        <v>0</v>
      </c>
      <c r="E931" s="6">
        <f>IF(ActiveDatabase=Standby,Secondary!E931,Primary!E931)</f>
        <v>0</v>
      </c>
      <c r="F931" s="10">
        <f>IF(ActiveDatabase=Standby,Secondary!F931,Primary!F931)</f>
        <v>0</v>
      </c>
      <c r="G931" s="10">
        <f>IF(ActiveDatabase=Standby,Secondary!G931,Primary!G931)</f>
        <v>0</v>
      </c>
      <c r="H931" s="10">
        <f>IF(ActiveDatabase=Standby,Secondary!H931,Primary!H931)</f>
        <v>0</v>
      </c>
      <c r="I931" s="13">
        <f>IF(ActiveDatabase=Standby,Secondary!I931,Primary!I931)</f>
        <v>0</v>
      </c>
      <c r="J931" s="13">
        <f>IF(ActiveDatabase=Standby,Secondary!J931,Primary!J931)</f>
        <v>0</v>
      </c>
      <c r="K931" s="13">
        <f>IF(ActiveDatabase=Standby,Secondary!K931,Primary!K931)</f>
        <v>0</v>
      </c>
      <c r="L931" s="13">
        <f>IF(ActiveDatabase=Standby,Secondary!L931,Primary!L931)</f>
        <v>0</v>
      </c>
      <c r="M931" s="7">
        <f>IF(ActiveDatabase=Standby,Secondary!M931,Primary!M931)</f>
        <v>0</v>
      </c>
      <c r="N931" s="10">
        <f>IF(ActiveDatabase=Standby,Secondary!N931,Primary!N931)</f>
        <v>0</v>
      </c>
      <c r="O931" s="10">
        <f>IF(ActiveDatabase=Standby,Secondary!O931,Primary!O931)</f>
        <v>0</v>
      </c>
      <c r="P931" s="10">
        <f>IF(ActiveDatabase=Standby,Secondary!P931,Primary!P931)</f>
        <v>0</v>
      </c>
      <c r="Q931" s="6">
        <f>IF(ActiveDatabase=Standby,Secondary!Q931,Primary!Q931)</f>
        <v>0</v>
      </c>
      <c r="R931" s="18">
        <f>IF(ActiveDatabase=Standby,Secondary!R931,Primary!R931)</f>
        <v>0</v>
      </c>
      <c r="S931" s="19">
        <f>IF(ActiveDatabase=Standby,Secondary!S931,Primary!S931)</f>
        <v>0</v>
      </c>
      <c r="T931" s="10">
        <f>IF(ActiveDatabase=Standby,Secondary!T931,Primary!T931)</f>
        <v>0</v>
      </c>
      <c r="U931" s="10">
        <f>IF(ActiveDatabase=Standby,Secondary!U931,Primary!U931)</f>
        <v>0</v>
      </c>
      <c r="V931" s="10">
        <f>IF(ActiveDatabase=Standby,Secondary!V931,Primary!V931)</f>
        <v>0</v>
      </c>
      <c r="W931" s="6">
        <f>IF(ActiveDatabase=Standby,Secondary!W931,Primary!W931)</f>
        <v>0</v>
      </c>
      <c r="X931" s="6">
        <f>IF(ActiveDatabase=Standby,Secondary!X931,Primary!X931)</f>
        <v>0</v>
      </c>
      <c r="Y931" s="12">
        <f>IF(ActiveDatabase=Standby,Secondary!Y931,Primary!Y1589)</f>
        <v>0</v>
      </c>
      <c r="Z931" s="12">
        <f>IF(ActiveDatabase=Standby,Secondary!Z931,Primary!Z1589)</f>
        <v>0</v>
      </c>
      <c r="AA931" s="7">
        <f>IF(ActiveDatabase=Standby,Secondary!AA931,Primary!AA1589)</f>
        <v>0</v>
      </c>
      <c r="AB931" s="12"/>
      <c r="AC931" s="6"/>
      <c r="AD931" s="6"/>
      <c r="AE931" s="7"/>
      <c r="AF931" s="7"/>
      <c r="AG931" s="7"/>
      <c r="AH931" s="7"/>
      <c r="AI931" s="7"/>
      <c r="AJ931" s="7"/>
      <c r="AK931" s="7"/>
      <c r="AL931" s="7"/>
      <c r="AM931" s="7"/>
      <c r="AN931" s="7"/>
      <c r="AO931" s="6"/>
      <c r="AP931" s="7"/>
      <c r="AQ931" s="7"/>
      <c r="AR931" s="6"/>
      <c r="AS931" s="7"/>
      <c r="AT931" s="7"/>
      <c r="AU931" s="7"/>
      <c r="AV931" s="7"/>
      <c r="AW931" s="7"/>
      <c r="AX931" s="7"/>
      <c r="AY931" s="7"/>
      <c r="AZ931" s="7"/>
      <c r="BA931" s="7"/>
      <c r="BB931" s="7"/>
      <c r="BC931" s="7"/>
      <c r="BD931" s="7"/>
      <c r="BE931" s="7"/>
      <c r="BF931" s="7"/>
      <c r="BG931" s="7"/>
    </row>
    <row r="932" customHeight="1" spans="1:59">
      <c r="A932" s="9">
        <f>IF(ActiveDatabase=Standby,Secondary!A932,Primary!A932)</f>
        <v>0</v>
      </c>
      <c r="B932" s="5">
        <f>IF(ActiveDatabase=Standby,Secondary!B932,Primary!B932)</f>
        <v>0</v>
      </c>
      <c r="C932" s="5">
        <f>IF(ActiveDatabase=Standby,Secondary!C932,Primary!C932)</f>
        <v>0</v>
      </c>
      <c r="D932" s="5">
        <f>IF(ActiveDatabase=Standby,Secondary!D932,Primary!D932)</f>
        <v>0</v>
      </c>
      <c r="E932" s="6">
        <f>IF(ActiveDatabase=Standby,Secondary!E932,Primary!E932)</f>
        <v>0</v>
      </c>
      <c r="F932" s="10">
        <f>IF(ActiveDatabase=Standby,Secondary!F932,Primary!F932)</f>
        <v>0</v>
      </c>
      <c r="G932" s="10">
        <f>IF(ActiveDatabase=Standby,Secondary!G932,Primary!G932)</f>
        <v>0</v>
      </c>
      <c r="H932" s="10">
        <f>IF(ActiveDatabase=Standby,Secondary!H932,Primary!H932)</f>
        <v>0</v>
      </c>
      <c r="I932" s="13">
        <f>IF(ActiveDatabase=Standby,Secondary!I932,Primary!I932)</f>
        <v>0</v>
      </c>
      <c r="J932" s="13">
        <f>IF(ActiveDatabase=Standby,Secondary!J932,Primary!J932)</f>
        <v>0</v>
      </c>
      <c r="K932" s="13">
        <f>IF(ActiveDatabase=Standby,Secondary!K932,Primary!K932)</f>
        <v>0</v>
      </c>
      <c r="L932" s="13">
        <f>IF(ActiveDatabase=Standby,Secondary!L932,Primary!L932)</f>
        <v>0</v>
      </c>
      <c r="M932" s="7">
        <f>IF(ActiveDatabase=Standby,Secondary!M932,Primary!M932)</f>
        <v>0</v>
      </c>
      <c r="N932" s="10">
        <f>IF(ActiveDatabase=Standby,Secondary!N932,Primary!N932)</f>
        <v>0</v>
      </c>
      <c r="O932" s="10">
        <f>IF(ActiveDatabase=Standby,Secondary!O932,Primary!O932)</f>
        <v>0</v>
      </c>
      <c r="P932" s="10">
        <f>IF(ActiveDatabase=Standby,Secondary!P932,Primary!P932)</f>
        <v>0</v>
      </c>
      <c r="Q932" s="6">
        <f>IF(ActiveDatabase=Standby,Secondary!Q932,Primary!Q932)</f>
        <v>0</v>
      </c>
      <c r="R932" s="18">
        <f>IF(ActiveDatabase=Standby,Secondary!R932,Primary!R932)</f>
        <v>0</v>
      </c>
      <c r="S932" s="19">
        <f>IF(ActiveDatabase=Standby,Secondary!S932,Primary!S932)</f>
        <v>0</v>
      </c>
      <c r="T932" s="10">
        <f>IF(ActiveDatabase=Standby,Secondary!T932,Primary!T932)</f>
        <v>0</v>
      </c>
      <c r="U932" s="10">
        <f>IF(ActiveDatabase=Standby,Secondary!U932,Primary!U932)</f>
        <v>0</v>
      </c>
      <c r="V932" s="10">
        <f>IF(ActiveDatabase=Standby,Secondary!V932,Primary!V932)</f>
        <v>0</v>
      </c>
      <c r="W932" s="6">
        <f>IF(ActiveDatabase=Standby,Secondary!W932,Primary!W932)</f>
        <v>0</v>
      </c>
      <c r="X932" s="6">
        <f>IF(ActiveDatabase=Standby,Secondary!X932,Primary!X932)</f>
        <v>0</v>
      </c>
      <c r="Y932" s="12">
        <f>IF(ActiveDatabase=Standby,Secondary!Y932,Primary!Y1590)</f>
        <v>0</v>
      </c>
      <c r="Z932" s="12">
        <f>IF(ActiveDatabase=Standby,Secondary!Z932,Primary!Z1590)</f>
        <v>0</v>
      </c>
      <c r="AA932" s="7">
        <f>IF(ActiveDatabase=Standby,Secondary!AA932,Primary!AA1590)</f>
        <v>0</v>
      </c>
      <c r="AB932" s="12"/>
      <c r="AC932" s="6"/>
      <c r="AD932" s="6"/>
      <c r="AE932" s="7"/>
      <c r="AF932" s="7"/>
      <c r="AG932" s="7"/>
      <c r="AH932" s="7"/>
      <c r="AI932" s="7"/>
      <c r="AJ932" s="7"/>
      <c r="AK932" s="7"/>
      <c r="AL932" s="7"/>
      <c r="AM932" s="7"/>
      <c r="AN932" s="7"/>
      <c r="AO932" s="6"/>
      <c r="AP932" s="7"/>
      <c r="AQ932" s="7"/>
      <c r="AR932" s="6"/>
      <c r="AS932" s="7"/>
      <c r="AT932" s="7"/>
      <c r="AU932" s="7"/>
      <c r="AV932" s="7"/>
      <c r="AW932" s="7"/>
      <c r="AX932" s="7"/>
      <c r="AY932" s="7"/>
      <c r="AZ932" s="7"/>
      <c r="BA932" s="7"/>
      <c r="BB932" s="7"/>
      <c r="BC932" s="7"/>
      <c r="BD932" s="7"/>
      <c r="BE932" s="7"/>
      <c r="BF932" s="7"/>
      <c r="BG932" s="7"/>
    </row>
    <row r="933" customHeight="1" spans="1:59">
      <c r="A933" s="9">
        <f>IF(ActiveDatabase=Standby,Secondary!A933,Primary!A933)</f>
        <v>0</v>
      </c>
      <c r="B933" s="5">
        <f>IF(ActiveDatabase=Standby,Secondary!B933,Primary!B933)</f>
        <v>0</v>
      </c>
      <c r="C933" s="5">
        <f>IF(ActiveDatabase=Standby,Secondary!C933,Primary!C933)</f>
        <v>0</v>
      </c>
      <c r="D933" s="5">
        <f>IF(ActiveDatabase=Standby,Secondary!D933,Primary!D933)</f>
        <v>0</v>
      </c>
      <c r="E933" s="6">
        <f>IF(ActiveDatabase=Standby,Secondary!E933,Primary!E933)</f>
        <v>0</v>
      </c>
      <c r="F933" s="10">
        <f>IF(ActiveDatabase=Standby,Secondary!F933,Primary!F933)</f>
        <v>0</v>
      </c>
      <c r="G933" s="10">
        <f>IF(ActiveDatabase=Standby,Secondary!G933,Primary!G933)</f>
        <v>0</v>
      </c>
      <c r="H933" s="10">
        <f>IF(ActiveDatabase=Standby,Secondary!H933,Primary!H933)</f>
        <v>0</v>
      </c>
      <c r="I933" s="13">
        <f>IF(ActiveDatabase=Standby,Secondary!I933,Primary!I933)</f>
        <v>0</v>
      </c>
      <c r="J933" s="13">
        <f>IF(ActiveDatabase=Standby,Secondary!J933,Primary!J933)</f>
        <v>0</v>
      </c>
      <c r="K933" s="13">
        <f>IF(ActiveDatabase=Standby,Secondary!K933,Primary!K933)</f>
        <v>0</v>
      </c>
      <c r="L933" s="13">
        <f>IF(ActiveDatabase=Standby,Secondary!L933,Primary!L933)</f>
        <v>0</v>
      </c>
      <c r="M933" s="7">
        <f>IF(ActiveDatabase=Standby,Secondary!M933,Primary!M933)</f>
        <v>0</v>
      </c>
      <c r="N933" s="10">
        <f>IF(ActiveDatabase=Standby,Secondary!N933,Primary!N933)</f>
        <v>0</v>
      </c>
      <c r="O933" s="10">
        <f>IF(ActiveDatabase=Standby,Secondary!O933,Primary!O933)</f>
        <v>0</v>
      </c>
      <c r="P933" s="10">
        <f>IF(ActiveDatabase=Standby,Secondary!P933,Primary!P933)</f>
        <v>0</v>
      </c>
      <c r="Q933" s="6">
        <f>IF(ActiveDatabase=Standby,Secondary!Q933,Primary!Q933)</f>
        <v>0</v>
      </c>
      <c r="R933" s="18">
        <f>IF(ActiveDatabase=Standby,Secondary!R933,Primary!R933)</f>
        <v>0</v>
      </c>
      <c r="S933" s="19">
        <f>IF(ActiveDatabase=Standby,Secondary!S933,Primary!S933)</f>
        <v>0</v>
      </c>
      <c r="T933" s="10">
        <f>IF(ActiveDatabase=Standby,Secondary!T933,Primary!T933)</f>
        <v>0</v>
      </c>
      <c r="U933" s="10">
        <f>IF(ActiveDatabase=Standby,Secondary!U933,Primary!U933)</f>
        <v>0</v>
      </c>
      <c r="V933" s="10">
        <f>IF(ActiveDatabase=Standby,Secondary!V933,Primary!V933)</f>
        <v>0</v>
      </c>
      <c r="W933" s="6">
        <f>IF(ActiveDatabase=Standby,Secondary!W933,Primary!W933)</f>
        <v>0</v>
      </c>
      <c r="X933" s="6">
        <f>IF(ActiveDatabase=Standby,Secondary!X933,Primary!X933)</f>
        <v>0</v>
      </c>
      <c r="Y933" s="12">
        <f>IF(ActiveDatabase=Standby,Secondary!Y933,Primary!Y1591)</f>
        <v>0</v>
      </c>
      <c r="Z933" s="12">
        <f>IF(ActiveDatabase=Standby,Secondary!Z933,Primary!Z1591)</f>
        <v>0</v>
      </c>
      <c r="AA933" s="7">
        <f>IF(ActiveDatabase=Standby,Secondary!AA933,Primary!AA1591)</f>
        <v>0</v>
      </c>
      <c r="AB933" s="12"/>
      <c r="AC933" s="6"/>
      <c r="AD933" s="6"/>
      <c r="AE933" s="7"/>
      <c r="AF933" s="7"/>
      <c r="AG933" s="7"/>
      <c r="AH933" s="7"/>
      <c r="AI933" s="7"/>
      <c r="AJ933" s="7"/>
      <c r="AK933" s="7"/>
      <c r="AL933" s="7"/>
      <c r="AM933" s="7"/>
      <c r="AN933" s="7"/>
      <c r="AO933" s="6"/>
      <c r="AP933" s="7"/>
      <c r="AQ933" s="7"/>
      <c r="AR933" s="6"/>
      <c r="AS933" s="7"/>
      <c r="AT933" s="7"/>
      <c r="AU933" s="7"/>
      <c r="AV933" s="7"/>
      <c r="AW933" s="7"/>
      <c r="AX933" s="7"/>
      <c r="AY933" s="7"/>
      <c r="AZ933" s="7"/>
      <c r="BA933" s="7"/>
      <c r="BB933" s="7"/>
      <c r="BC933" s="7"/>
      <c r="BD933" s="7"/>
      <c r="BE933" s="7"/>
      <c r="BF933" s="7"/>
      <c r="BG933" s="7"/>
    </row>
    <row r="934" customHeight="1" spans="1:59">
      <c r="A934" s="9">
        <f>IF(ActiveDatabase=Standby,Secondary!A934,Primary!A934)</f>
        <v>0</v>
      </c>
      <c r="B934" s="5">
        <f>IF(ActiveDatabase=Standby,Secondary!B934,Primary!B934)</f>
        <v>0</v>
      </c>
      <c r="C934" s="5">
        <f>IF(ActiveDatabase=Standby,Secondary!C934,Primary!C934)</f>
        <v>0</v>
      </c>
      <c r="D934" s="5">
        <f>IF(ActiveDatabase=Standby,Secondary!D934,Primary!D934)</f>
        <v>0</v>
      </c>
      <c r="E934" s="6">
        <f>IF(ActiveDatabase=Standby,Secondary!E934,Primary!E934)</f>
        <v>0</v>
      </c>
      <c r="F934" s="10">
        <f>IF(ActiveDatabase=Standby,Secondary!F934,Primary!F934)</f>
        <v>0</v>
      </c>
      <c r="G934" s="10">
        <f>IF(ActiveDatabase=Standby,Secondary!G934,Primary!G934)</f>
        <v>0</v>
      </c>
      <c r="H934" s="10">
        <f>IF(ActiveDatabase=Standby,Secondary!H934,Primary!H934)</f>
        <v>0</v>
      </c>
      <c r="I934" s="13">
        <f>IF(ActiveDatabase=Standby,Secondary!I934,Primary!I934)</f>
        <v>0</v>
      </c>
      <c r="J934" s="13">
        <f>IF(ActiveDatabase=Standby,Secondary!J934,Primary!J934)</f>
        <v>0</v>
      </c>
      <c r="K934" s="13">
        <f>IF(ActiveDatabase=Standby,Secondary!K934,Primary!K934)</f>
        <v>0</v>
      </c>
      <c r="L934" s="13">
        <f>IF(ActiveDatabase=Standby,Secondary!L934,Primary!L934)</f>
        <v>0</v>
      </c>
      <c r="M934" s="7">
        <f>IF(ActiveDatabase=Standby,Secondary!M934,Primary!M934)</f>
        <v>0</v>
      </c>
      <c r="N934" s="10">
        <f>IF(ActiveDatabase=Standby,Secondary!N934,Primary!N934)</f>
        <v>0</v>
      </c>
      <c r="O934" s="10">
        <f>IF(ActiveDatabase=Standby,Secondary!O934,Primary!O934)</f>
        <v>0</v>
      </c>
      <c r="P934" s="10">
        <f>IF(ActiveDatabase=Standby,Secondary!P934,Primary!P934)</f>
        <v>0</v>
      </c>
      <c r="Q934" s="6">
        <f>IF(ActiveDatabase=Standby,Secondary!Q934,Primary!Q934)</f>
        <v>0</v>
      </c>
      <c r="R934" s="18">
        <f>IF(ActiveDatabase=Standby,Secondary!R934,Primary!R934)</f>
        <v>0</v>
      </c>
      <c r="S934" s="19">
        <f>IF(ActiveDatabase=Standby,Secondary!S934,Primary!S934)</f>
        <v>0</v>
      </c>
      <c r="T934" s="10">
        <f>IF(ActiveDatabase=Standby,Secondary!T934,Primary!T934)</f>
        <v>0</v>
      </c>
      <c r="U934" s="10">
        <f>IF(ActiveDatabase=Standby,Secondary!U934,Primary!U934)</f>
        <v>0</v>
      </c>
      <c r="V934" s="10">
        <f>IF(ActiveDatabase=Standby,Secondary!V934,Primary!V934)</f>
        <v>0</v>
      </c>
      <c r="W934" s="6">
        <f>IF(ActiveDatabase=Standby,Secondary!W934,Primary!W934)</f>
        <v>0</v>
      </c>
      <c r="X934" s="6">
        <f>IF(ActiveDatabase=Standby,Secondary!X934,Primary!X934)</f>
        <v>0</v>
      </c>
      <c r="Y934" s="12">
        <f>IF(ActiveDatabase=Standby,Secondary!Y934,Primary!Y1592)</f>
        <v>0</v>
      </c>
      <c r="Z934" s="12">
        <f>IF(ActiveDatabase=Standby,Secondary!Z934,Primary!Z1592)</f>
        <v>0</v>
      </c>
      <c r="AA934" s="7">
        <f>IF(ActiveDatabase=Standby,Secondary!AA934,Primary!AA1592)</f>
        <v>0</v>
      </c>
      <c r="AB934" s="12"/>
      <c r="AC934" s="6"/>
      <c r="AD934" s="6"/>
      <c r="AE934" s="7"/>
      <c r="AF934" s="7"/>
      <c r="AG934" s="7"/>
      <c r="AH934" s="7"/>
      <c r="AI934" s="7"/>
      <c r="AJ934" s="7"/>
      <c r="AK934" s="7"/>
      <c r="AL934" s="7"/>
      <c r="AM934" s="7"/>
      <c r="AN934" s="7"/>
      <c r="AO934" s="6"/>
      <c r="AP934" s="7"/>
      <c r="AQ934" s="7"/>
      <c r="AR934" s="6"/>
      <c r="AS934" s="7"/>
      <c r="AT934" s="7"/>
      <c r="AU934" s="7"/>
      <c r="AV934" s="7"/>
      <c r="AW934" s="7"/>
      <c r="AX934" s="7"/>
      <c r="AY934" s="7"/>
      <c r="AZ934" s="7"/>
      <c r="BA934" s="7"/>
      <c r="BB934" s="7"/>
      <c r="BC934" s="7"/>
      <c r="BD934" s="7"/>
      <c r="BE934" s="7"/>
      <c r="BF934" s="7"/>
      <c r="BG934" s="7"/>
    </row>
    <row r="935" customHeight="1" spans="1:59">
      <c r="A935" s="9">
        <f>IF(ActiveDatabase=Standby,Secondary!A935,Primary!A935)</f>
        <v>0</v>
      </c>
      <c r="B935" s="5">
        <f>IF(ActiveDatabase=Standby,Secondary!B935,Primary!B935)</f>
        <v>0</v>
      </c>
      <c r="C935" s="5">
        <f>IF(ActiveDatabase=Standby,Secondary!C935,Primary!C935)</f>
        <v>0</v>
      </c>
      <c r="D935" s="5">
        <f>IF(ActiveDatabase=Standby,Secondary!D935,Primary!D935)</f>
        <v>0</v>
      </c>
      <c r="E935" s="6">
        <f>IF(ActiveDatabase=Standby,Secondary!E935,Primary!E935)</f>
        <v>0</v>
      </c>
      <c r="F935" s="10">
        <f>IF(ActiveDatabase=Standby,Secondary!F935,Primary!F935)</f>
        <v>0</v>
      </c>
      <c r="G935" s="10">
        <f>IF(ActiveDatabase=Standby,Secondary!G935,Primary!G935)</f>
        <v>0</v>
      </c>
      <c r="H935" s="10">
        <f>IF(ActiveDatabase=Standby,Secondary!H935,Primary!H935)</f>
        <v>0</v>
      </c>
      <c r="I935" s="13">
        <f>IF(ActiveDatabase=Standby,Secondary!I935,Primary!I935)</f>
        <v>0</v>
      </c>
      <c r="J935" s="13">
        <f>IF(ActiveDatabase=Standby,Secondary!J935,Primary!J935)</f>
        <v>0</v>
      </c>
      <c r="K935" s="13">
        <f>IF(ActiveDatabase=Standby,Secondary!K935,Primary!K935)</f>
        <v>0</v>
      </c>
      <c r="L935" s="13">
        <f>IF(ActiveDatabase=Standby,Secondary!L935,Primary!L935)</f>
        <v>0</v>
      </c>
      <c r="M935" s="7">
        <f>IF(ActiveDatabase=Standby,Secondary!M935,Primary!M935)</f>
        <v>0</v>
      </c>
      <c r="N935" s="10">
        <f>IF(ActiveDatabase=Standby,Secondary!N935,Primary!N935)</f>
        <v>0</v>
      </c>
      <c r="O935" s="10">
        <f>IF(ActiveDatabase=Standby,Secondary!O935,Primary!O935)</f>
        <v>0</v>
      </c>
      <c r="P935" s="10">
        <f>IF(ActiveDatabase=Standby,Secondary!P935,Primary!P935)</f>
        <v>0</v>
      </c>
      <c r="Q935" s="6">
        <f>IF(ActiveDatabase=Standby,Secondary!Q935,Primary!Q935)</f>
        <v>0</v>
      </c>
      <c r="R935" s="18">
        <f>IF(ActiveDatabase=Standby,Secondary!R935,Primary!R935)</f>
        <v>0</v>
      </c>
      <c r="S935" s="19">
        <f>IF(ActiveDatabase=Standby,Secondary!S935,Primary!S935)</f>
        <v>0</v>
      </c>
      <c r="T935" s="10">
        <f>IF(ActiveDatabase=Standby,Secondary!T935,Primary!T935)</f>
        <v>0</v>
      </c>
      <c r="U935" s="10">
        <f>IF(ActiveDatabase=Standby,Secondary!U935,Primary!U935)</f>
        <v>0</v>
      </c>
      <c r="V935" s="10">
        <f>IF(ActiveDatabase=Standby,Secondary!V935,Primary!V935)</f>
        <v>0</v>
      </c>
      <c r="W935" s="6">
        <f>IF(ActiveDatabase=Standby,Secondary!W935,Primary!W935)</f>
        <v>0</v>
      </c>
      <c r="X935" s="6">
        <f>IF(ActiveDatabase=Standby,Secondary!X935,Primary!X935)</f>
        <v>0</v>
      </c>
      <c r="Y935" s="12">
        <f>IF(ActiveDatabase=Standby,Secondary!Y935,Primary!Y1593)</f>
        <v>0</v>
      </c>
      <c r="Z935" s="12">
        <f>IF(ActiveDatabase=Standby,Secondary!Z935,Primary!Z1593)</f>
        <v>0</v>
      </c>
      <c r="AA935" s="7">
        <f>IF(ActiveDatabase=Standby,Secondary!AA935,Primary!AA1593)</f>
        <v>0</v>
      </c>
      <c r="AB935" s="12"/>
      <c r="AC935" s="6"/>
      <c r="AD935" s="6"/>
      <c r="AE935" s="7"/>
      <c r="AF935" s="7"/>
      <c r="AG935" s="7"/>
      <c r="AH935" s="7"/>
      <c r="AI935" s="7"/>
      <c r="AJ935" s="7"/>
      <c r="AK935" s="7"/>
      <c r="AL935" s="7"/>
      <c r="AM935" s="7"/>
      <c r="AN935" s="7"/>
      <c r="AO935" s="6"/>
      <c r="AP935" s="7"/>
      <c r="AQ935" s="7"/>
      <c r="AR935" s="6"/>
      <c r="AS935" s="7"/>
      <c r="AT935" s="7"/>
      <c r="AU935" s="7"/>
      <c r="AV935" s="7"/>
      <c r="AW935" s="7"/>
      <c r="AX935" s="7"/>
      <c r="AY935" s="7"/>
      <c r="AZ935" s="7"/>
      <c r="BA935" s="7"/>
      <c r="BB935" s="7"/>
      <c r="BC935" s="7"/>
      <c r="BD935" s="7"/>
      <c r="BE935" s="7"/>
      <c r="BF935" s="7"/>
      <c r="BG935" s="7"/>
    </row>
    <row r="936" customHeight="1" spans="1:59">
      <c r="A936" s="9">
        <f>IF(ActiveDatabase=Standby,Secondary!A936,Primary!A936)</f>
        <v>0</v>
      </c>
      <c r="B936" s="5">
        <f>IF(ActiveDatabase=Standby,Secondary!B936,Primary!B936)</f>
        <v>0</v>
      </c>
      <c r="C936" s="5">
        <f>IF(ActiveDatabase=Standby,Secondary!C936,Primary!C936)</f>
        <v>0</v>
      </c>
      <c r="D936" s="5">
        <f>IF(ActiveDatabase=Standby,Secondary!D936,Primary!D936)</f>
        <v>0</v>
      </c>
      <c r="E936" s="6">
        <f>IF(ActiveDatabase=Standby,Secondary!E936,Primary!E936)</f>
        <v>0</v>
      </c>
      <c r="F936" s="10">
        <f>IF(ActiveDatabase=Standby,Secondary!F936,Primary!F936)</f>
        <v>0</v>
      </c>
      <c r="G936" s="10">
        <f>IF(ActiveDatabase=Standby,Secondary!G936,Primary!G936)</f>
        <v>0</v>
      </c>
      <c r="H936" s="10">
        <f>IF(ActiveDatabase=Standby,Secondary!H936,Primary!H936)</f>
        <v>0</v>
      </c>
      <c r="I936" s="13">
        <f>IF(ActiveDatabase=Standby,Secondary!I936,Primary!I936)</f>
        <v>0</v>
      </c>
      <c r="J936" s="13">
        <f>IF(ActiveDatabase=Standby,Secondary!J936,Primary!J936)</f>
        <v>0</v>
      </c>
      <c r="K936" s="13">
        <f>IF(ActiveDatabase=Standby,Secondary!K936,Primary!K936)</f>
        <v>0</v>
      </c>
      <c r="L936" s="13">
        <f>IF(ActiveDatabase=Standby,Secondary!L936,Primary!L936)</f>
        <v>0</v>
      </c>
      <c r="M936" s="7">
        <f>IF(ActiveDatabase=Standby,Secondary!M936,Primary!M936)</f>
        <v>0</v>
      </c>
      <c r="N936" s="10">
        <f>IF(ActiveDatabase=Standby,Secondary!N936,Primary!N936)</f>
        <v>0</v>
      </c>
      <c r="O936" s="10">
        <f>IF(ActiveDatabase=Standby,Secondary!O936,Primary!O936)</f>
        <v>0</v>
      </c>
      <c r="P936" s="10">
        <f>IF(ActiveDatabase=Standby,Secondary!P936,Primary!P936)</f>
        <v>0</v>
      </c>
      <c r="Q936" s="6">
        <f>IF(ActiveDatabase=Standby,Secondary!Q936,Primary!Q936)</f>
        <v>0</v>
      </c>
      <c r="R936" s="18">
        <f>IF(ActiveDatabase=Standby,Secondary!R936,Primary!R936)</f>
        <v>0</v>
      </c>
      <c r="S936" s="19">
        <f>IF(ActiveDatabase=Standby,Secondary!S936,Primary!S936)</f>
        <v>0</v>
      </c>
      <c r="T936" s="10">
        <f>IF(ActiveDatabase=Standby,Secondary!T936,Primary!T936)</f>
        <v>0</v>
      </c>
      <c r="U936" s="10">
        <f>IF(ActiveDatabase=Standby,Secondary!U936,Primary!U936)</f>
        <v>0</v>
      </c>
      <c r="V936" s="10">
        <f>IF(ActiveDatabase=Standby,Secondary!V936,Primary!V936)</f>
        <v>0</v>
      </c>
      <c r="W936" s="6">
        <f>IF(ActiveDatabase=Standby,Secondary!W936,Primary!W936)</f>
        <v>0</v>
      </c>
      <c r="X936" s="6">
        <f>IF(ActiveDatabase=Standby,Secondary!X936,Primary!X936)</f>
        <v>0</v>
      </c>
      <c r="Y936" s="12">
        <f>IF(ActiveDatabase=Standby,Secondary!Y936,Primary!Y1594)</f>
        <v>0</v>
      </c>
      <c r="Z936" s="12">
        <f>IF(ActiveDatabase=Standby,Secondary!Z936,Primary!Z1594)</f>
        <v>0</v>
      </c>
      <c r="AA936" s="7">
        <f>IF(ActiveDatabase=Standby,Secondary!AA936,Primary!AA1594)</f>
        <v>0</v>
      </c>
      <c r="AB936" s="12"/>
      <c r="AC936" s="6"/>
      <c r="AD936" s="6"/>
      <c r="AE936" s="7"/>
      <c r="AF936" s="7"/>
      <c r="AG936" s="7"/>
      <c r="AH936" s="7"/>
      <c r="AI936" s="7"/>
      <c r="AJ936" s="7"/>
      <c r="AK936" s="7"/>
      <c r="AL936" s="7"/>
      <c r="AM936" s="7"/>
      <c r="AN936" s="7"/>
      <c r="AO936" s="6"/>
      <c r="AP936" s="7"/>
      <c r="AQ936" s="7"/>
      <c r="AR936" s="6"/>
      <c r="AS936" s="7"/>
      <c r="AT936" s="7"/>
      <c r="AU936" s="7"/>
      <c r="AV936" s="7"/>
      <c r="AW936" s="7"/>
      <c r="AX936" s="7"/>
      <c r="AY936" s="7"/>
      <c r="AZ936" s="7"/>
      <c r="BA936" s="7"/>
      <c r="BB936" s="7"/>
      <c r="BC936" s="7"/>
      <c r="BD936" s="7"/>
      <c r="BE936" s="7"/>
      <c r="BF936" s="7"/>
      <c r="BG936" s="7"/>
    </row>
    <row r="937" customHeight="1" spans="1:59">
      <c r="A937" s="9">
        <f>IF(ActiveDatabase=Standby,Secondary!A937,Primary!A937)</f>
        <v>0</v>
      </c>
      <c r="B937" s="5">
        <f>IF(ActiveDatabase=Standby,Secondary!B937,Primary!B937)</f>
        <v>0</v>
      </c>
      <c r="C937" s="5">
        <f>IF(ActiveDatabase=Standby,Secondary!C937,Primary!C937)</f>
        <v>0</v>
      </c>
      <c r="D937" s="5">
        <f>IF(ActiveDatabase=Standby,Secondary!D937,Primary!D937)</f>
        <v>0</v>
      </c>
      <c r="E937" s="6">
        <f>IF(ActiveDatabase=Standby,Secondary!E937,Primary!E937)</f>
        <v>0</v>
      </c>
      <c r="F937" s="10">
        <f>IF(ActiveDatabase=Standby,Secondary!F937,Primary!F937)</f>
        <v>0</v>
      </c>
      <c r="G937" s="10">
        <f>IF(ActiveDatabase=Standby,Secondary!G937,Primary!G937)</f>
        <v>0</v>
      </c>
      <c r="H937" s="10">
        <f>IF(ActiveDatabase=Standby,Secondary!H937,Primary!H937)</f>
        <v>0</v>
      </c>
      <c r="I937" s="13">
        <f>IF(ActiveDatabase=Standby,Secondary!I937,Primary!I937)</f>
        <v>0</v>
      </c>
      <c r="J937" s="13">
        <f>IF(ActiveDatabase=Standby,Secondary!J937,Primary!J937)</f>
        <v>0</v>
      </c>
      <c r="K937" s="13">
        <f>IF(ActiveDatabase=Standby,Secondary!K937,Primary!K937)</f>
        <v>0</v>
      </c>
      <c r="L937" s="13">
        <f>IF(ActiveDatabase=Standby,Secondary!L937,Primary!L937)</f>
        <v>0</v>
      </c>
      <c r="M937" s="7">
        <f>IF(ActiveDatabase=Standby,Secondary!M937,Primary!M937)</f>
        <v>0</v>
      </c>
      <c r="N937" s="10">
        <f>IF(ActiveDatabase=Standby,Secondary!N937,Primary!N937)</f>
        <v>0</v>
      </c>
      <c r="O937" s="10">
        <f>IF(ActiveDatabase=Standby,Secondary!O937,Primary!O937)</f>
        <v>0</v>
      </c>
      <c r="P937" s="10">
        <f>IF(ActiveDatabase=Standby,Secondary!P937,Primary!P937)</f>
        <v>0</v>
      </c>
      <c r="Q937" s="6">
        <f>IF(ActiveDatabase=Standby,Secondary!Q937,Primary!Q937)</f>
        <v>0</v>
      </c>
      <c r="R937" s="18">
        <f>IF(ActiveDatabase=Standby,Secondary!R937,Primary!R937)</f>
        <v>0</v>
      </c>
      <c r="S937" s="19">
        <f>IF(ActiveDatabase=Standby,Secondary!S937,Primary!S937)</f>
        <v>0</v>
      </c>
      <c r="T937" s="10">
        <f>IF(ActiveDatabase=Standby,Secondary!T937,Primary!T937)</f>
        <v>0</v>
      </c>
      <c r="U937" s="10">
        <f>IF(ActiveDatabase=Standby,Secondary!U937,Primary!U937)</f>
        <v>0</v>
      </c>
      <c r="V937" s="10">
        <f>IF(ActiveDatabase=Standby,Secondary!V937,Primary!V937)</f>
        <v>0</v>
      </c>
      <c r="W937" s="6">
        <f>IF(ActiveDatabase=Standby,Secondary!W937,Primary!W937)</f>
        <v>0</v>
      </c>
      <c r="X937" s="6">
        <f>IF(ActiveDatabase=Standby,Secondary!X937,Primary!X937)</f>
        <v>0</v>
      </c>
      <c r="Y937" s="12">
        <f>IF(ActiveDatabase=Standby,Secondary!Y937,Primary!Y1595)</f>
        <v>0</v>
      </c>
      <c r="Z937" s="12">
        <f>IF(ActiveDatabase=Standby,Secondary!Z937,Primary!Z1595)</f>
        <v>0</v>
      </c>
      <c r="AA937" s="7">
        <f>IF(ActiveDatabase=Standby,Secondary!AA937,Primary!AA1595)</f>
        <v>0</v>
      </c>
      <c r="AB937" s="12"/>
      <c r="AC937" s="6"/>
      <c r="AD937" s="6"/>
      <c r="AE937" s="7"/>
      <c r="AF937" s="7"/>
      <c r="AG937" s="7"/>
      <c r="AH937" s="7"/>
      <c r="AI937" s="7"/>
      <c r="AJ937" s="7"/>
      <c r="AK937" s="7"/>
      <c r="AL937" s="7"/>
      <c r="AM937" s="7"/>
      <c r="AN937" s="7"/>
      <c r="AO937" s="6"/>
      <c r="AP937" s="7"/>
      <c r="AQ937" s="7"/>
      <c r="AR937" s="6"/>
      <c r="AS937" s="7"/>
      <c r="AT937" s="7"/>
      <c r="AU937" s="7"/>
      <c r="AV937" s="7"/>
      <c r="AW937" s="7"/>
      <c r="AX937" s="7"/>
      <c r="AY937" s="7"/>
      <c r="AZ937" s="7"/>
      <c r="BA937" s="7"/>
      <c r="BB937" s="7"/>
      <c r="BC937" s="7"/>
      <c r="BD937" s="7"/>
      <c r="BE937" s="7"/>
      <c r="BF937" s="7"/>
      <c r="BG937" s="7"/>
    </row>
    <row r="938" customHeight="1" spans="1:59">
      <c r="A938" s="9">
        <f>IF(ActiveDatabase=Standby,Secondary!A938,Primary!A938)</f>
        <v>0</v>
      </c>
      <c r="B938" s="5">
        <f>IF(ActiveDatabase=Standby,Secondary!B938,Primary!B938)</f>
        <v>0</v>
      </c>
      <c r="C938" s="5">
        <f>IF(ActiveDatabase=Standby,Secondary!C938,Primary!C938)</f>
        <v>0</v>
      </c>
      <c r="D938" s="5">
        <f>IF(ActiveDatabase=Standby,Secondary!D938,Primary!D938)</f>
        <v>0</v>
      </c>
      <c r="E938" s="6">
        <f>IF(ActiveDatabase=Standby,Secondary!E938,Primary!E938)</f>
        <v>0</v>
      </c>
      <c r="F938" s="10">
        <f>IF(ActiveDatabase=Standby,Secondary!F938,Primary!F938)</f>
        <v>0</v>
      </c>
      <c r="G938" s="10">
        <f>IF(ActiveDatabase=Standby,Secondary!G938,Primary!G938)</f>
        <v>0</v>
      </c>
      <c r="H938" s="10">
        <f>IF(ActiveDatabase=Standby,Secondary!H938,Primary!H938)</f>
        <v>0</v>
      </c>
      <c r="I938" s="13">
        <f>IF(ActiveDatabase=Standby,Secondary!I938,Primary!I938)</f>
        <v>0</v>
      </c>
      <c r="J938" s="13">
        <f>IF(ActiveDatabase=Standby,Secondary!J938,Primary!J938)</f>
        <v>0</v>
      </c>
      <c r="K938" s="13">
        <f>IF(ActiveDatabase=Standby,Secondary!K938,Primary!K938)</f>
        <v>0</v>
      </c>
      <c r="L938" s="13">
        <f>IF(ActiveDatabase=Standby,Secondary!L938,Primary!L938)</f>
        <v>0</v>
      </c>
      <c r="M938" s="7">
        <f>IF(ActiveDatabase=Standby,Secondary!M938,Primary!M938)</f>
        <v>0</v>
      </c>
      <c r="N938" s="10">
        <f>IF(ActiveDatabase=Standby,Secondary!N938,Primary!N938)</f>
        <v>0</v>
      </c>
      <c r="O938" s="10">
        <f>IF(ActiveDatabase=Standby,Secondary!O938,Primary!O938)</f>
        <v>0</v>
      </c>
      <c r="P938" s="10">
        <f>IF(ActiveDatabase=Standby,Secondary!P938,Primary!P938)</f>
        <v>0</v>
      </c>
      <c r="Q938" s="6">
        <f>IF(ActiveDatabase=Standby,Secondary!Q938,Primary!Q938)</f>
        <v>0</v>
      </c>
      <c r="R938" s="18">
        <f>IF(ActiveDatabase=Standby,Secondary!R938,Primary!R938)</f>
        <v>0</v>
      </c>
      <c r="S938" s="19">
        <f>IF(ActiveDatabase=Standby,Secondary!S938,Primary!S938)</f>
        <v>0</v>
      </c>
      <c r="T938" s="10">
        <f>IF(ActiveDatabase=Standby,Secondary!T938,Primary!T938)</f>
        <v>0</v>
      </c>
      <c r="U938" s="10">
        <f>IF(ActiveDatabase=Standby,Secondary!U938,Primary!U938)</f>
        <v>0</v>
      </c>
      <c r="V938" s="10">
        <f>IF(ActiveDatabase=Standby,Secondary!V938,Primary!V938)</f>
        <v>0</v>
      </c>
      <c r="W938" s="6">
        <f>IF(ActiveDatabase=Standby,Secondary!W938,Primary!W938)</f>
        <v>0</v>
      </c>
      <c r="X938" s="6">
        <f>IF(ActiveDatabase=Standby,Secondary!X938,Primary!X938)</f>
        <v>0</v>
      </c>
      <c r="Y938" s="12">
        <f>IF(ActiveDatabase=Standby,Secondary!Y938,Primary!Y1596)</f>
        <v>0</v>
      </c>
      <c r="Z938" s="12">
        <f>IF(ActiveDatabase=Standby,Secondary!Z938,Primary!Z1596)</f>
        <v>0</v>
      </c>
      <c r="AA938" s="7">
        <f>IF(ActiveDatabase=Standby,Secondary!AA938,Primary!AA1596)</f>
        <v>0</v>
      </c>
      <c r="AB938" s="12"/>
      <c r="AC938" s="6"/>
      <c r="AD938" s="6"/>
      <c r="AE938" s="7"/>
      <c r="AF938" s="7"/>
      <c r="AG938" s="7"/>
      <c r="AH938" s="7"/>
      <c r="AI938" s="7"/>
      <c r="AJ938" s="7"/>
      <c r="AK938" s="7"/>
      <c r="AL938" s="7"/>
      <c r="AM938" s="7"/>
      <c r="AN938" s="7"/>
      <c r="AO938" s="6"/>
      <c r="AP938" s="7"/>
      <c r="AQ938" s="7"/>
      <c r="AR938" s="6"/>
      <c r="AS938" s="7"/>
      <c r="AT938" s="7"/>
      <c r="AU938" s="7"/>
      <c r="AV938" s="7"/>
      <c r="AW938" s="7"/>
      <c r="AX938" s="7"/>
      <c r="AY938" s="7"/>
      <c r="AZ938" s="7"/>
      <c r="BA938" s="7"/>
      <c r="BB938" s="7"/>
      <c r="BC938" s="7"/>
      <c r="BD938" s="7"/>
      <c r="BE938" s="7"/>
      <c r="BF938" s="7"/>
      <c r="BG938" s="7"/>
    </row>
    <row r="939" customHeight="1" spans="1:59">
      <c r="A939" s="9">
        <f>IF(ActiveDatabase=Standby,Secondary!A939,Primary!A939)</f>
        <v>0</v>
      </c>
      <c r="B939" s="5">
        <f>IF(ActiveDatabase=Standby,Secondary!B939,Primary!B939)</f>
        <v>0</v>
      </c>
      <c r="C939" s="5">
        <f>IF(ActiveDatabase=Standby,Secondary!C939,Primary!C939)</f>
        <v>0</v>
      </c>
      <c r="D939" s="5">
        <f>IF(ActiveDatabase=Standby,Secondary!D939,Primary!D939)</f>
        <v>0</v>
      </c>
      <c r="E939" s="6">
        <f>IF(ActiveDatabase=Standby,Secondary!E939,Primary!E939)</f>
        <v>0</v>
      </c>
      <c r="F939" s="10">
        <f>IF(ActiveDatabase=Standby,Secondary!F939,Primary!F939)</f>
        <v>0</v>
      </c>
      <c r="G939" s="10">
        <f>IF(ActiveDatabase=Standby,Secondary!G939,Primary!G939)</f>
        <v>0</v>
      </c>
      <c r="H939" s="10">
        <f>IF(ActiveDatabase=Standby,Secondary!H939,Primary!H939)</f>
        <v>0</v>
      </c>
      <c r="I939" s="13">
        <f>IF(ActiveDatabase=Standby,Secondary!I939,Primary!I939)</f>
        <v>0</v>
      </c>
      <c r="J939" s="13">
        <f>IF(ActiveDatabase=Standby,Secondary!J939,Primary!J939)</f>
        <v>0</v>
      </c>
      <c r="K939" s="13">
        <f>IF(ActiveDatabase=Standby,Secondary!K939,Primary!K939)</f>
        <v>0</v>
      </c>
      <c r="L939" s="13">
        <f>IF(ActiveDatabase=Standby,Secondary!L939,Primary!L939)</f>
        <v>0</v>
      </c>
      <c r="M939" s="7">
        <f>IF(ActiveDatabase=Standby,Secondary!M939,Primary!M939)</f>
        <v>0</v>
      </c>
      <c r="N939" s="10">
        <f>IF(ActiveDatabase=Standby,Secondary!N939,Primary!N939)</f>
        <v>0</v>
      </c>
      <c r="O939" s="10">
        <f>IF(ActiveDatabase=Standby,Secondary!O939,Primary!O939)</f>
        <v>0</v>
      </c>
      <c r="P939" s="10">
        <f>IF(ActiveDatabase=Standby,Secondary!P939,Primary!P939)</f>
        <v>0</v>
      </c>
      <c r="Q939" s="6">
        <f>IF(ActiveDatabase=Standby,Secondary!Q939,Primary!Q939)</f>
        <v>0</v>
      </c>
      <c r="R939" s="18">
        <f>IF(ActiveDatabase=Standby,Secondary!R939,Primary!R939)</f>
        <v>0</v>
      </c>
      <c r="S939" s="19">
        <f>IF(ActiveDatabase=Standby,Secondary!S939,Primary!S939)</f>
        <v>0</v>
      </c>
      <c r="T939" s="10">
        <f>IF(ActiveDatabase=Standby,Secondary!T939,Primary!T939)</f>
        <v>0</v>
      </c>
      <c r="U939" s="10">
        <f>IF(ActiveDatabase=Standby,Secondary!U939,Primary!U939)</f>
        <v>0</v>
      </c>
      <c r="V939" s="10">
        <f>IF(ActiveDatabase=Standby,Secondary!V939,Primary!V939)</f>
        <v>0</v>
      </c>
      <c r="W939" s="6">
        <f>IF(ActiveDatabase=Standby,Secondary!W939,Primary!W939)</f>
        <v>0</v>
      </c>
      <c r="X939" s="6">
        <f>IF(ActiveDatabase=Standby,Secondary!X939,Primary!X939)</f>
        <v>0</v>
      </c>
      <c r="Y939" s="12">
        <f>IF(ActiveDatabase=Standby,Secondary!Y939,Primary!Y1597)</f>
        <v>0</v>
      </c>
      <c r="Z939" s="12">
        <f>IF(ActiveDatabase=Standby,Secondary!Z939,Primary!Z1597)</f>
        <v>0</v>
      </c>
      <c r="AA939" s="7">
        <f>IF(ActiveDatabase=Standby,Secondary!AA939,Primary!AA1597)</f>
        <v>0</v>
      </c>
      <c r="AB939" s="12"/>
      <c r="AC939" s="6"/>
      <c r="AD939" s="6"/>
      <c r="AE939" s="7"/>
      <c r="AF939" s="7"/>
      <c r="AG939" s="7"/>
      <c r="AH939" s="7"/>
      <c r="AI939" s="7"/>
      <c r="AJ939" s="7"/>
      <c r="AK939" s="7"/>
      <c r="AL939" s="7"/>
      <c r="AM939" s="7"/>
      <c r="AN939" s="7"/>
      <c r="AO939" s="6"/>
      <c r="AP939" s="7"/>
      <c r="AQ939" s="7"/>
      <c r="AR939" s="6"/>
      <c r="AS939" s="7"/>
      <c r="AT939" s="7"/>
      <c r="AU939" s="7"/>
      <c r="AV939" s="7"/>
      <c r="AW939" s="7"/>
      <c r="AX939" s="7"/>
      <c r="AY939" s="7"/>
      <c r="AZ939" s="7"/>
      <c r="BA939" s="7"/>
      <c r="BB939" s="7"/>
      <c r="BC939" s="7"/>
      <c r="BD939" s="7"/>
      <c r="BE939" s="7"/>
      <c r="BF939" s="7"/>
      <c r="BG939" s="7"/>
    </row>
    <row r="940" customHeight="1" spans="1:59">
      <c r="A940" s="9">
        <f>IF(ActiveDatabase=Standby,Secondary!A940,Primary!A940)</f>
        <v>0</v>
      </c>
      <c r="B940" s="5">
        <f>IF(ActiveDatabase=Standby,Secondary!B940,Primary!B940)</f>
        <v>0</v>
      </c>
      <c r="C940" s="5">
        <f>IF(ActiveDatabase=Standby,Secondary!C940,Primary!C940)</f>
        <v>0</v>
      </c>
      <c r="D940" s="5">
        <f>IF(ActiveDatabase=Standby,Secondary!D940,Primary!D940)</f>
        <v>0</v>
      </c>
      <c r="E940" s="6">
        <f>IF(ActiveDatabase=Standby,Secondary!E940,Primary!E940)</f>
        <v>0</v>
      </c>
      <c r="F940" s="10">
        <f>IF(ActiveDatabase=Standby,Secondary!F940,Primary!F940)</f>
        <v>0</v>
      </c>
      <c r="G940" s="10">
        <f>IF(ActiveDatabase=Standby,Secondary!G940,Primary!G940)</f>
        <v>0</v>
      </c>
      <c r="H940" s="10">
        <f>IF(ActiveDatabase=Standby,Secondary!H940,Primary!H940)</f>
        <v>0</v>
      </c>
      <c r="I940" s="13">
        <f>IF(ActiveDatabase=Standby,Secondary!I940,Primary!I940)</f>
        <v>0</v>
      </c>
      <c r="J940" s="13">
        <f>IF(ActiveDatabase=Standby,Secondary!J940,Primary!J940)</f>
        <v>0</v>
      </c>
      <c r="K940" s="13">
        <f>IF(ActiveDatabase=Standby,Secondary!K940,Primary!K940)</f>
        <v>0</v>
      </c>
      <c r="L940" s="13">
        <f>IF(ActiveDatabase=Standby,Secondary!L940,Primary!L940)</f>
        <v>0</v>
      </c>
      <c r="M940" s="7">
        <f>IF(ActiveDatabase=Standby,Secondary!M940,Primary!M940)</f>
        <v>0</v>
      </c>
      <c r="N940" s="10">
        <f>IF(ActiveDatabase=Standby,Secondary!N940,Primary!N940)</f>
        <v>0</v>
      </c>
      <c r="O940" s="10">
        <f>IF(ActiveDatabase=Standby,Secondary!O940,Primary!O940)</f>
        <v>0</v>
      </c>
      <c r="P940" s="10">
        <f>IF(ActiveDatabase=Standby,Secondary!P940,Primary!P940)</f>
        <v>0</v>
      </c>
      <c r="Q940" s="6">
        <f>IF(ActiveDatabase=Standby,Secondary!Q940,Primary!Q940)</f>
        <v>0</v>
      </c>
      <c r="R940" s="18">
        <f>IF(ActiveDatabase=Standby,Secondary!R940,Primary!R940)</f>
        <v>0</v>
      </c>
      <c r="S940" s="19">
        <f>IF(ActiveDatabase=Standby,Secondary!S940,Primary!S940)</f>
        <v>0</v>
      </c>
      <c r="T940" s="10">
        <f>IF(ActiveDatabase=Standby,Secondary!T940,Primary!T940)</f>
        <v>0</v>
      </c>
      <c r="U940" s="10">
        <f>IF(ActiveDatabase=Standby,Secondary!U940,Primary!U940)</f>
        <v>0</v>
      </c>
      <c r="V940" s="10">
        <f>IF(ActiveDatabase=Standby,Secondary!V940,Primary!V940)</f>
        <v>0</v>
      </c>
      <c r="W940" s="6">
        <f>IF(ActiveDatabase=Standby,Secondary!W940,Primary!W940)</f>
        <v>0</v>
      </c>
      <c r="X940" s="6">
        <f>IF(ActiveDatabase=Standby,Secondary!X940,Primary!X940)</f>
        <v>0</v>
      </c>
      <c r="Y940" s="12">
        <f>IF(ActiveDatabase=Standby,Secondary!Y940,Primary!Y1598)</f>
        <v>0</v>
      </c>
      <c r="Z940" s="12">
        <f>IF(ActiveDatabase=Standby,Secondary!Z940,Primary!Z1598)</f>
        <v>0</v>
      </c>
      <c r="AA940" s="7">
        <f>IF(ActiveDatabase=Standby,Secondary!AA940,Primary!AA1598)</f>
        <v>0</v>
      </c>
      <c r="AB940" s="12"/>
      <c r="AC940" s="6"/>
      <c r="AD940" s="6"/>
      <c r="AE940" s="7"/>
      <c r="AF940" s="7"/>
      <c r="AG940" s="7"/>
      <c r="AH940" s="7"/>
      <c r="AI940" s="7"/>
      <c r="AJ940" s="7"/>
      <c r="AK940" s="7"/>
      <c r="AL940" s="7"/>
      <c r="AM940" s="7"/>
      <c r="AN940" s="7"/>
      <c r="AO940" s="6"/>
      <c r="AP940" s="7"/>
      <c r="AQ940" s="7"/>
      <c r="AR940" s="6"/>
      <c r="AS940" s="7"/>
      <c r="AT940" s="7"/>
      <c r="AU940" s="7"/>
      <c r="AV940" s="7"/>
      <c r="AW940" s="7"/>
      <c r="AX940" s="7"/>
      <c r="AY940" s="7"/>
      <c r="AZ940" s="7"/>
      <c r="BA940" s="7"/>
      <c r="BB940" s="7"/>
      <c r="BC940" s="7"/>
      <c r="BD940" s="7"/>
      <c r="BE940" s="7"/>
      <c r="BF940" s="7"/>
      <c r="BG940" s="7"/>
    </row>
    <row r="941" customHeight="1" spans="1:59">
      <c r="A941" s="9">
        <f>IF(ActiveDatabase=Standby,Secondary!A941,Primary!A941)</f>
        <v>0</v>
      </c>
      <c r="B941" s="5">
        <f>IF(ActiveDatabase=Standby,Secondary!B941,Primary!B941)</f>
        <v>0</v>
      </c>
      <c r="C941" s="5">
        <f>IF(ActiveDatabase=Standby,Secondary!C941,Primary!C941)</f>
        <v>0</v>
      </c>
      <c r="D941" s="5">
        <f>IF(ActiveDatabase=Standby,Secondary!D941,Primary!D941)</f>
        <v>0</v>
      </c>
      <c r="E941" s="6">
        <f>IF(ActiveDatabase=Standby,Secondary!E941,Primary!E941)</f>
        <v>0</v>
      </c>
      <c r="F941" s="10">
        <f>IF(ActiveDatabase=Standby,Secondary!F941,Primary!F941)</f>
        <v>0</v>
      </c>
      <c r="G941" s="10">
        <f>IF(ActiveDatabase=Standby,Secondary!G941,Primary!G941)</f>
        <v>0</v>
      </c>
      <c r="H941" s="10">
        <f>IF(ActiveDatabase=Standby,Secondary!H941,Primary!H941)</f>
        <v>0</v>
      </c>
      <c r="I941" s="13">
        <f>IF(ActiveDatabase=Standby,Secondary!I941,Primary!I941)</f>
        <v>0</v>
      </c>
      <c r="J941" s="13">
        <f>IF(ActiveDatabase=Standby,Secondary!J941,Primary!J941)</f>
        <v>0</v>
      </c>
      <c r="K941" s="13">
        <f>IF(ActiveDatabase=Standby,Secondary!K941,Primary!K941)</f>
        <v>0</v>
      </c>
      <c r="L941" s="13">
        <f>IF(ActiveDatabase=Standby,Secondary!L941,Primary!L941)</f>
        <v>0</v>
      </c>
      <c r="M941" s="7">
        <f>IF(ActiveDatabase=Standby,Secondary!M941,Primary!M941)</f>
        <v>0</v>
      </c>
      <c r="N941" s="10">
        <f>IF(ActiveDatabase=Standby,Secondary!N941,Primary!N941)</f>
        <v>0</v>
      </c>
      <c r="O941" s="10">
        <f>IF(ActiveDatabase=Standby,Secondary!O941,Primary!O941)</f>
        <v>0</v>
      </c>
      <c r="P941" s="10">
        <f>IF(ActiveDatabase=Standby,Secondary!P941,Primary!P941)</f>
        <v>0</v>
      </c>
      <c r="Q941" s="6">
        <f>IF(ActiveDatabase=Standby,Secondary!Q941,Primary!Q941)</f>
        <v>0</v>
      </c>
      <c r="R941" s="18">
        <f>IF(ActiveDatabase=Standby,Secondary!R941,Primary!R941)</f>
        <v>0</v>
      </c>
      <c r="S941" s="19">
        <f>IF(ActiveDatabase=Standby,Secondary!S941,Primary!S941)</f>
        <v>0</v>
      </c>
      <c r="T941" s="10">
        <f>IF(ActiveDatabase=Standby,Secondary!T941,Primary!T941)</f>
        <v>0</v>
      </c>
      <c r="U941" s="10">
        <f>IF(ActiveDatabase=Standby,Secondary!U941,Primary!U941)</f>
        <v>0</v>
      </c>
      <c r="V941" s="10">
        <f>IF(ActiveDatabase=Standby,Secondary!V941,Primary!V941)</f>
        <v>0</v>
      </c>
      <c r="W941" s="6">
        <f>IF(ActiveDatabase=Standby,Secondary!W941,Primary!W941)</f>
        <v>0</v>
      </c>
      <c r="X941" s="6">
        <f>IF(ActiveDatabase=Standby,Secondary!X941,Primary!X941)</f>
        <v>0</v>
      </c>
      <c r="Y941" s="12">
        <f>IF(ActiveDatabase=Standby,Secondary!Y941,Primary!Y1599)</f>
        <v>0</v>
      </c>
      <c r="Z941" s="12">
        <f>IF(ActiveDatabase=Standby,Secondary!Z941,Primary!Z1599)</f>
        <v>0</v>
      </c>
      <c r="AA941" s="7">
        <f>IF(ActiveDatabase=Standby,Secondary!AA941,Primary!AA1599)</f>
        <v>0</v>
      </c>
      <c r="AB941" s="12"/>
      <c r="AC941" s="6"/>
      <c r="AD941" s="6"/>
      <c r="AE941" s="7"/>
      <c r="AF941" s="7"/>
      <c r="AG941" s="7"/>
      <c r="AH941" s="7"/>
      <c r="AI941" s="7"/>
      <c r="AJ941" s="7"/>
      <c r="AK941" s="7"/>
      <c r="AL941" s="7"/>
      <c r="AM941" s="7"/>
      <c r="AN941" s="7"/>
      <c r="AO941" s="6"/>
      <c r="AP941" s="7"/>
      <c r="AQ941" s="7"/>
      <c r="AR941" s="6"/>
      <c r="AS941" s="7"/>
      <c r="AT941" s="7"/>
      <c r="AU941" s="7"/>
      <c r="AV941" s="7"/>
      <c r="AW941" s="7"/>
      <c r="AX941" s="7"/>
      <c r="AY941" s="7"/>
      <c r="AZ941" s="7"/>
      <c r="BA941" s="7"/>
      <c r="BB941" s="7"/>
      <c r="BC941" s="7"/>
      <c r="BD941" s="7"/>
      <c r="BE941" s="7"/>
      <c r="BF941" s="7"/>
      <c r="BG941" s="7"/>
    </row>
    <row r="942" customHeight="1" spans="1:59">
      <c r="A942" s="9">
        <f>IF(ActiveDatabase=Standby,Secondary!A942,Primary!A942)</f>
        <v>0</v>
      </c>
      <c r="B942" s="5">
        <f>IF(ActiveDatabase=Standby,Secondary!B942,Primary!B942)</f>
        <v>0</v>
      </c>
      <c r="C942" s="5">
        <f>IF(ActiveDatabase=Standby,Secondary!C942,Primary!C942)</f>
        <v>0</v>
      </c>
      <c r="D942" s="5">
        <f>IF(ActiveDatabase=Standby,Secondary!D942,Primary!D942)</f>
        <v>0</v>
      </c>
      <c r="E942" s="6">
        <f>IF(ActiveDatabase=Standby,Secondary!E942,Primary!E942)</f>
        <v>0</v>
      </c>
      <c r="F942" s="10">
        <f>IF(ActiveDatabase=Standby,Secondary!F942,Primary!F942)</f>
        <v>0</v>
      </c>
      <c r="G942" s="10">
        <f>IF(ActiveDatabase=Standby,Secondary!G942,Primary!G942)</f>
        <v>0</v>
      </c>
      <c r="H942" s="10">
        <f>IF(ActiveDatabase=Standby,Secondary!H942,Primary!H942)</f>
        <v>0</v>
      </c>
      <c r="I942" s="13">
        <f>IF(ActiveDatabase=Standby,Secondary!I942,Primary!I942)</f>
        <v>0</v>
      </c>
      <c r="J942" s="13">
        <f>IF(ActiveDatabase=Standby,Secondary!J942,Primary!J942)</f>
        <v>0</v>
      </c>
      <c r="K942" s="13">
        <f>IF(ActiveDatabase=Standby,Secondary!K942,Primary!K942)</f>
        <v>0</v>
      </c>
      <c r="L942" s="13">
        <f>IF(ActiveDatabase=Standby,Secondary!L942,Primary!L942)</f>
        <v>0</v>
      </c>
      <c r="M942" s="7">
        <f>IF(ActiveDatabase=Standby,Secondary!M942,Primary!M942)</f>
        <v>0</v>
      </c>
      <c r="N942" s="10">
        <f>IF(ActiveDatabase=Standby,Secondary!N942,Primary!N942)</f>
        <v>0</v>
      </c>
      <c r="O942" s="10">
        <f>IF(ActiveDatabase=Standby,Secondary!O942,Primary!O942)</f>
        <v>0</v>
      </c>
      <c r="P942" s="10">
        <f>IF(ActiveDatabase=Standby,Secondary!P942,Primary!P942)</f>
        <v>0</v>
      </c>
      <c r="Q942" s="6">
        <f>IF(ActiveDatabase=Standby,Secondary!Q942,Primary!Q942)</f>
        <v>0</v>
      </c>
      <c r="R942" s="18">
        <f>IF(ActiveDatabase=Standby,Secondary!R942,Primary!R942)</f>
        <v>0</v>
      </c>
      <c r="S942" s="19">
        <f>IF(ActiveDatabase=Standby,Secondary!S942,Primary!S942)</f>
        <v>0</v>
      </c>
      <c r="T942" s="10">
        <f>IF(ActiveDatabase=Standby,Secondary!T942,Primary!T942)</f>
        <v>0</v>
      </c>
      <c r="U942" s="10">
        <f>IF(ActiveDatabase=Standby,Secondary!U942,Primary!U942)</f>
        <v>0</v>
      </c>
      <c r="V942" s="10">
        <f>IF(ActiveDatabase=Standby,Secondary!V942,Primary!V942)</f>
        <v>0</v>
      </c>
      <c r="W942" s="6">
        <f>IF(ActiveDatabase=Standby,Secondary!W942,Primary!W942)</f>
        <v>0</v>
      </c>
      <c r="X942" s="6">
        <f>IF(ActiveDatabase=Standby,Secondary!X942,Primary!X942)</f>
        <v>0</v>
      </c>
      <c r="Y942" s="12">
        <f>IF(ActiveDatabase=Standby,Secondary!Y942,Primary!Y1600)</f>
        <v>0</v>
      </c>
      <c r="Z942" s="12">
        <f>IF(ActiveDatabase=Standby,Secondary!Z942,Primary!Z1600)</f>
        <v>0</v>
      </c>
      <c r="AA942" s="7">
        <f>IF(ActiveDatabase=Standby,Secondary!AA942,Primary!AA1600)</f>
        <v>0</v>
      </c>
      <c r="AB942" s="12"/>
      <c r="AC942" s="6"/>
      <c r="AD942" s="6"/>
      <c r="AE942" s="7"/>
      <c r="AF942" s="7"/>
      <c r="AG942" s="7"/>
      <c r="AH942" s="7"/>
      <c r="AI942" s="7"/>
      <c r="AJ942" s="7"/>
      <c r="AK942" s="7"/>
      <c r="AL942" s="7"/>
      <c r="AM942" s="7"/>
      <c r="AN942" s="7"/>
      <c r="AO942" s="6"/>
      <c r="AP942" s="7"/>
      <c r="AQ942" s="7"/>
      <c r="AR942" s="6"/>
      <c r="AS942" s="7"/>
      <c r="AT942" s="7"/>
      <c r="AU942" s="7"/>
      <c r="AV942" s="7"/>
      <c r="AW942" s="7"/>
      <c r="AX942" s="7"/>
      <c r="AY942" s="7"/>
      <c r="AZ942" s="7"/>
      <c r="BA942" s="7"/>
      <c r="BB942" s="7"/>
      <c r="BC942" s="7"/>
      <c r="BD942" s="7"/>
      <c r="BE942" s="7"/>
      <c r="BF942" s="7"/>
      <c r="BG942" s="7"/>
    </row>
    <row r="943" customHeight="1" spans="1:59">
      <c r="A943" s="9">
        <f>IF(ActiveDatabase=Standby,Secondary!A943,Primary!A943)</f>
        <v>0</v>
      </c>
      <c r="B943" s="5">
        <f>IF(ActiveDatabase=Standby,Secondary!B943,Primary!B943)</f>
        <v>0</v>
      </c>
      <c r="C943" s="5">
        <f>IF(ActiveDatabase=Standby,Secondary!C943,Primary!C943)</f>
        <v>0</v>
      </c>
      <c r="D943" s="5">
        <f>IF(ActiveDatabase=Standby,Secondary!D943,Primary!D943)</f>
        <v>0</v>
      </c>
      <c r="E943" s="6">
        <f>IF(ActiveDatabase=Standby,Secondary!E943,Primary!E943)</f>
        <v>0</v>
      </c>
      <c r="F943" s="10">
        <f>IF(ActiveDatabase=Standby,Secondary!F943,Primary!F943)</f>
        <v>0</v>
      </c>
      <c r="G943" s="10">
        <f>IF(ActiveDatabase=Standby,Secondary!G943,Primary!G943)</f>
        <v>0</v>
      </c>
      <c r="H943" s="10">
        <f>IF(ActiveDatabase=Standby,Secondary!H943,Primary!H943)</f>
        <v>0</v>
      </c>
      <c r="I943" s="13">
        <f>IF(ActiveDatabase=Standby,Secondary!I943,Primary!I943)</f>
        <v>0</v>
      </c>
      <c r="J943" s="13">
        <f>IF(ActiveDatabase=Standby,Secondary!J943,Primary!J943)</f>
        <v>0</v>
      </c>
      <c r="K943" s="13">
        <f>IF(ActiveDatabase=Standby,Secondary!K943,Primary!K943)</f>
        <v>0</v>
      </c>
      <c r="L943" s="13">
        <f>IF(ActiveDatabase=Standby,Secondary!L943,Primary!L943)</f>
        <v>0</v>
      </c>
      <c r="M943" s="7">
        <f>IF(ActiveDatabase=Standby,Secondary!M943,Primary!M943)</f>
        <v>0</v>
      </c>
      <c r="N943" s="10">
        <f>IF(ActiveDatabase=Standby,Secondary!N943,Primary!N943)</f>
        <v>0</v>
      </c>
      <c r="O943" s="10">
        <f>IF(ActiveDatabase=Standby,Secondary!O943,Primary!O943)</f>
        <v>0</v>
      </c>
      <c r="P943" s="10">
        <f>IF(ActiveDatabase=Standby,Secondary!P943,Primary!P943)</f>
        <v>0</v>
      </c>
      <c r="Q943" s="6">
        <f>IF(ActiveDatabase=Standby,Secondary!Q943,Primary!Q943)</f>
        <v>0</v>
      </c>
      <c r="R943" s="18">
        <f>IF(ActiveDatabase=Standby,Secondary!R943,Primary!R943)</f>
        <v>0</v>
      </c>
      <c r="S943" s="19">
        <f>IF(ActiveDatabase=Standby,Secondary!S943,Primary!S943)</f>
        <v>0</v>
      </c>
      <c r="T943" s="10">
        <f>IF(ActiveDatabase=Standby,Secondary!T943,Primary!T943)</f>
        <v>0</v>
      </c>
      <c r="U943" s="10">
        <f>IF(ActiveDatabase=Standby,Secondary!U943,Primary!U943)</f>
        <v>0</v>
      </c>
      <c r="V943" s="10">
        <f>IF(ActiveDatabase=Standby,Secondary!V943,Primary!V943)</f>
        <v>0</v>
      </c>
      <c r="W943" s="6">
        <f>IF(ActiveDatabase=Standby,Secondary!W943,Primary!W943)</f>
        <v>0</v>
      </c>
      <c r="X943" s="6">
        <f>IF(ActiveDatabase=Standby,Secondary!X943,Primary!X943)</f>
        <v>0</v>
      </c>
      <c r="Y943" s="12">
        <f>IF(ActiveDatabase=Standby,Secondary!Y943,Primary!Y1601)</f>
        <v>0</v>
      </c>
      <c r="Z943" s="12">
        <f>IF(ActiveDatabase=Standby,Secondary!Z943,Primary!Z1601)</f>
        <v>0</v>
      </c>
      <c r="AA943" s="7">
        <f>IF(ActiveDatabase=Standby,Secondary!AA943,Primary!AA1601)</f>
        <v>0</v>
      </c>
      <c r="AB943" s="12"/>
      <c r="AC943" s="6"/>
      <c r="AD943" s="6"/>
      <c r="AE943" s="7"/>
      <c r="AF943" s="7"/>
      <c r="AG943" s="7"/>
      <c r="AH943" s="7"/>
      <c r="AI943" s="7"/>
      <c r="AJ943" s="7"/>
      <c r="AK943" s="7"/>
      <c r="AL943" s="7"/>
      <c r="AM943" s="7"/>
      <c r="AN943" s="7"/>
      <c r="AO943" s="6"/>
      <c r="AP943" s="7"/>
      <c r="AQ943" s="7"/>
      <c r="AR943" s="6"/>
      <c r="AS943" s="7"/>
      <c r="AT943" s="7"/>
      <c r="AU943" s="7"/>
      <c r="AV943" s="7"/>
      <c r="AW943" s="7"/>
      <c r="AX943" s="7"/>
      <c r="AY943" s="7"/>
      <c r="AZ943" s="7"/>
      <c r="BA943" s="7"/>
      <c r="BB943" s="7"/>
      <c r="BC943" s="7"/>
      <c r="BD943" s="7"/>
      <c r="BE943" s="7"/>
      <c r="BF943" s="7"/>
      <c r="BG943" s="7"/>
    </row>
    <row r="944" customHeight="1" spans="1:59">
      <c r="A944" s="9">
        <f>IF(ActiveDatabase=Standby,Secondary!A944,Primary!A944)</f>
        <v>0</v>
      </c>
      <c r="B944" s="5">
        <f>IF(ActiveDatabase=Standby,Secondary!B944,Primary!B944)</f>
        <v>0</v>
      </c>
      <c r="C944" s="5">
        <f>IF(ActiveDatabase=Standby,Secondary!C944,Primary!C944)</f>
        <v>0</v>
      </c>
      <c r="D944" s="5">
        <f>IF(ActiveDatabase=Standby,Secondary!D944,Primary!D944)</f>
        <v>0</v>
      </c>
      <c r="E944" s="6">
        <f>IF(ActiveDatabase=Standby,Secondary!E944,Primary!E944)</f>
        <v>0</v>
      </c>
      <c r="F944" s="10">
        <f>IF(ActiveDatabase=Standby,Secondary!F944,Primary!F944)</f>
        <v>0</v>
      </c>
      <c r="G944" s="10">
        <f>IF(ActiveDatabase=Standby,Secondary!G944,Primary!G944)</f>
        <v>0</v>
      </c>
      <c r="H944" s="10">
        <f>IF(ActiveDatabase=Standby,Secondary!H944,Primary!H944)</f>
        <v>0</v>
      </c>
      <c r="I944" s="13">
        <f>IF(ActiveDatabase=Standby,Secondary!I944,Primary!I944)</f>
        <v>0</v>
      </c>
      <c r="J944" s="13">
        <f>IF(ActiveDatabase=Standby,Secondary!J944,Primary!J944)</f>
        <v>0</v>
      </c>
      <c r="K944" s="13">
        <f>IF(ActiveDatabase=Standby,Secondary!K944,Primary!K944)</f>
        <v>0</v>
      </c>
      <c r="L944" s="13">
        <f>IF(ActiveDatabase=Standby,Secondary!L944,Primary!L944)</f>
        <v>0</v>
      </c>
      <c r="M944" s="7">
        <f>IF(ActiveDatabase=Standby,Secondary!M944,Primary!M944)</f>
        <v>0</v>
      </c>
      <c r="N944" s="10">
        <f>IF(ActiveDatabase=Standby,Secondary!N944,Primary!N944)</f>
        <v>0</v>
      </c>
      <c r="O944" s="10">
        <f>IF(ActiveDatabase=Standby,Secondary!O944,Primary!O944)</f>
        <v>0</v>
      </c>
      <c r="P944" s="10">
        <f>IF(ActiveDatabase=Standby,Secondary!P944,Primary!P944)</f>
        <v>0</v>
      </c>
      <c r="Q944" s="6">
        <f>IF(ActiveDatabase=Standby,Secondary!Q944,Primary!Q944)</f>
        <v>0</v>
      </c>
      <c r="R944" s="18">
        <f>IF(ActiveDatabase=Standby,Secondary!R944,Primary!R944)</f>
        <v>0</v>
      </c>
      <c r="S944" s="19">
        <f>IF(ActiveDatabase=Standby,Secondary!S944,Primary!S944)</f>
        <v>0</v>
      </c>
      <c r="T944" s="10">
        <f>IF(ActiveDatabase=Standby,Secondary!T944,Primary!T944)</f>
        <v>0</v>
      </c>
      <c r="U944" s="10">
        <f>IF(ActiveDatabase=Standby,Secondary!U944,Primary!U944)</f>
        <v>0</v>
      </c>
      <c r="V944" s="10">
        <f>IF(ActiveDatabase=Standby,Secondary!V944,Primary!V944)</f>
        <v>0</v>
      </c>
      <c r="W944" s="6">
        <f>IF(ActiveDatabase=Standby,Secondary!W944,Primary!W944)</f>
        <v>0</v>
      </c>
      <c r="X944" s="6">
        <f>IF(ActiveDatabase=Standby,Secondary!X944,Primary!X944)</f>
        <v>0</v>
      </c>
      <c r="Y944" s="12">
        <f>IF(ActiveDatabase=Standby,Secondary!Y944,Primary!Y1602)</f>
        <v>0</v>
      </c>
      <c r="Z944" s="12">
        <f>IF(ActiveDatabase=Standby,Secondary!Z944,Primary!Z1602)</f>
        <v>0</v>
      </c>
      <c r="AA944" s="7">
        <f>IF(ActiveDatabase=Standby,Secondary!AA944,Primary!AA1602)</f>
        <v>0</v>
      </c>
      <c r="AB944" s="12"/>
      <c r="AC944" s="6"/>
      <c r="AD944" s="6"/>
      <c r="AE944" s="7"/>
      <c r="AF944" s="7"/>
      <c r="AG944" s="7"/>
      <c r="AH944" s="7"/>
      <c r="AI944" s="7"/>
      <c r="AJ944" s="7"/>
      <c r="AK944" s="7"/>
      <c r="AL944" s="7"/>
      <c r="AM944" s="7"/>
      <c r="AN944" s="7"/>
      <c r="AO944" s="6"/>
      <c r="AP944" s="7"/>
      <c r="AQ944" s="7"/>
      <c r="AR944" s="6"/>
      <c r="AS944" s="7"/>
      <c r="AT944" s="7"/>
      <c r="AU944" s="7"/>
      <c r="AV944" s="7"/>
      <c r="AW944" s="7"/>
      <c r="AX944" s="7"/>
      <c r="AY944" s="7"/>
      <c r="AZ944" s="7"/>
      <c r="BA944" s="7"/>
      <c r="BB944" s="7"/>
      <c r="BC944" s="7"/>
      <c r="BD944" s="7"/>
      <c r="BE944" s="7"/>
      <c r="BF944" s="7"/>
      <c r="BG944" s="7"/>
    </row>
    <row r="945" customHeight="1" spans="1:59">
      <c r="A945" s="9">
        <f>IF(ActiveDatabase=Standby,Secondary!A945,Primary!A945)</f>
        <v>0</v>
      </c>
      <c r="B945" s="5">
        <f>IF(ActiveDatabase=Standby,Secondary!B945,Primary!B945)</f>
        <v>0</v>
      </c>
      <c r="C945" s="5">
        <f>IF(ActiveDatabase=Standby,Secondary!C945,Primary!C945)</f>
        <v>0</v>
      </c>
      <c r="D945" s="5">
        <f>IF(ActiveDatabase=Standby,Secondary!D945,Primary!D945)</f>
        <v>0</v>
      </c>
      <c r="E945" s="6">
        <f>IF(ActiveDatabase=Standby,Secondary!E945,Primary!E945)</f>
        <v>0</v>
      </c>
      <c r="F945" s="10">
        <f>IF(ActiveDatabase=Standby,Secondary!F945,Primary!F945)</f>
        <v>0</v>
      </c>
      <c r="G945" s="10">
        <f>IF(ActiveDatabase=Standby,Secondary!G945,Primary!G945)</f>
        <v>0</v>
      </c>
      <c r="H945" s="10">
        <f>IF(ActiveDatabase=Standby,Secondary!H945,Primary!H945)</f>
        <v>0</v>
      </c>
      <c r="I945" s="13">
        <f>IF(ActiveDatabase=Standby,Secondary!I945,Primary!I945)</f>
        <v>0</v>
      </c>
      <c r="J945" s="13">
        <f>IF(ActiveDatabase=Standby,Secondary!J945,Primary!J945)</f>
        <v>0</v>
      </c>
      <c r="K945" s="13">
        <f>IF(ActiveDatabase=Standby,Secondary!K945,Primary!K945)</f>
        <v>0</v>
      </c>
      <c r="L945" s="13">
        <f>IF(ActiveDatabase=Standby,Secondary!L945,Primary!L945)</f>
        <v>0</v>
      </c>
      <c r="M945" s="7">
        <f>IF(ActiveDatabase=Standby,Secondary!M945,Primary!M945)</f>
        <v>0</v>
      </c>
      <c r="N945" s="10">
        <f>IF(ActiveDatabase=Standby,Secondary!N945,Primary!N945)</f>
        <v>0</v>
      </c>
      <c r="O945" s="10">
        <f>IF(ActiveDatabase=Standby,Secondary!O945,Primary!O945)</f>
        <v>0</v>
      </c>
      <c r="P945" s="10">
        <f>IF(ActiveDatabase=Standby,Secondary!P945,Primary!P945)</f>
        <v>0</v>
      </c>
      <c r="Q945" s="6">
        <f>IF(ActiveDatabase=Standby,Secondary!Q945,Primary!Q945)</f>
        <v>0</v>
      </c>
      <c r="R945" s="18">
        <f>IF(ActiveDatabase=Standby,Secondary!R945,Primary!R945)</f>
        <v>0</v>
      </c>
      <c r="S945" s="19">
        <f>IF(ActiveDatabase=Standby,Secondary!S945,Primary!S945)</f>
        <v>0</v>
      </c>
      <c r="T945" s="10">
        <f>IF(ActiveDatabase=Standby,Secondary!T945,Primary!T945)</f>
        <v>0</v>
      </c>
      <c r="U945" s="10">
        <f>IF(ActiveDatabase=Standby,Secondary!U945,Primary!U945)</f>
        <v>0</v>
      </c>
      <c r="V945" s="10">
        <f>IF(ActiveDatabase=Standby,Secondary!V945,Primary!V945)</f>
        <v>0</v>
      </c>
      <c r="W945" s="6">
        <f>IF(ActiveDatabase=Standby,Secondary!W945,Primary!W945)</f>
        <v>0</v>
      </c>
      <c r="X945" s="6">
        <f>IF(ActiveDatabase=Standby,Secondary!X945,Primary!X945)</f>
        <v>0</v>
      </c>
      <c r="Y945" s="12">
        <f>IF(ActiveDatabase=Standby,Secondary!Y945,Primary!Y1603)</f>
        <v>0</v>
      </c>
      <c r="Z945" s="12">
        <f>IF(ActiveDatabase=Standby,Secondary!Z945,Primary!Z1603)</f>
        <v>0</v>
      </c>
      <c r="AA945" s="7">
        <f>IF(ActiveDatabase=Standby,Secondary!AA945,Primary!AA1603)</f>
        <v>0</v>
      </c>
      <c r="AB945" s="12"/>
      <c r="AC945" s="6"/>
      <c r="AD945" s="6"/>
      <c r="AE945" s="7"/>
      <c r="AF945" s="7"/>
      <c r="AG945" s="7"/>
      <c r="AH945" s="7"/>
      <c r="AI945" s="7"/>
      <c r="AJ945" s="7"/>
      <c r="AK945" s="7"/>
      <c r="AL945" s="7"/>
      <c r="AM945" s="7"/>
      <c r="AN945" s="7"/>
      <c r="AO945" s="6"/>
      <c r="AP945" s="7"/>
      <c r="AQ945" s="7"/>
      <c r="AR945" s="6"/>
      <c r="AS945" s="7"/>
      <c r="AT945" s="7"/>
      <c r="AU945" s="7"/>
      <c r="AV945" s="7"/>
      <c r="AW945" s="7"/>
      <c r="AX945" s="7"/>
      <c r="AY945" s="7"/>
      <c r="AZ945" s="7"/>
      <c r="BA945" s="7"/>
      <c r="BB945" s="7"/>
      <c r="BC945" s="7"/>
      <c r="BD945" s="7"/>
      <c r="BE945" s="7"/>
      <c r="BF945" s="7"/>
      <c r="BG945" s="7"/>
    </row>
    <row r="946" customHeight="1" spans="1:59">
      <c r="A946" s="9">
        <f>IF(ActiveDatabase=Standby,Secondary!A946,Primary!A946)</f>
        <v>0</v>
      </c>
      <c r="B946" s="5">
        <f>IF(ActiveDatabase=Standby,Secondary!B946,Primary!B946)</f>
        <v>0</v>
      </c>
      <c r="C946" s="5">
        <f>IF(ActiveDatabase=Standby,Secondary!C946,Primary!C946)</f>
        <v>0</v>
      </c>
      <c r="D946" s="5">
        <f>IF(ActiveDatabase=Standby,Secondary!D946,Primary!D946)</f>
        <v>0</v>
      </c>
      <c r="E946" s="6">
        <f>IF(ActiveDatabase=Standby,Secondary!E946,Primary!E946)</f>
        <v>0</v>
      </c>
      <c r="F946" s="10">
        <f>IF(ActiveDatabase=Standby,Secondary!F946,Primary!F946)</f>
        <v>0</v>
      </c>
      <c r="G946" s="10">
        <f>IF(ActiveDatabase=Standby,Secondary!G946,Primary!G946)</f>
        <v>0</v>
      </c>
      <c r="H946" s="10">
        <f>IF(ActiveDatabase=Standby,Secondary!H946,Primary!H946)</f>
        <v>0</v>
      </c>
      <c r="I946" s="13">
        <f>IF(ActiveDatabase=Standby,Secondary!I946,Primary!I946)</f>
        <v>0</v>
      </c>
      <c r="J946" s="13">
        <f>IF(ActiveDatabase=Standby,Secondary!J946,Primary!J946)</f>
        <v>0</v>
      </c>
      <c r="K946" s="13">
        <f>IF(ActiveDatabase=Standby,Secondary!K946,Primary!K946)</f>
        <v>0</v>
      </c>
      <c r="L946" s="13">
        <f>IF(ActiveDatabase=Standby,Secondary!L946,Primary!L946)</f>
        <v>0</v>
      </c>
      <c r="M946" s="7">
        <f>IF(ActiveDatabase=Standby,Secondary!M946,Primary!M946)</f>
        <v>0</v>
      </c>
      <c r="N946" s="10">
        <f>IF(ActiveDatabase=Standby,Secondary!N946,Primary!N946)</f>
        <v>0</v>
      </c>
      <c r="O946" s="10">
        <f>IF(ActiveDatabase=Standby,Secondary!O946,Primary!O946)</f>
        <v>0</v>
      </c>
      <c r="P946" s="10">
        <f>IF(ActiveDatabase=Standby,Secondary!P946,Primary!P946)</f>
        <v>0</v>
      </c>
      <c r="Q946" s="6">
        <f>IF(ActiveDatabase=Standby,Secondary!Q946,Primary!Q946)</f>
        <v>0</v>
      </c>
      <c r="R946" s="18">
        <f>IF(ActiveDatabase=Standby,Secondary!R946,Primary!R946)</f>
        <v>0</v>
      </c>
      <c r="S946" s="19">
        <f>IF(ActiveDatabase=Standby,Secondary!S946,Primary!S946)</f>
        <v>0</v>
      </c>
      <c r="T946" s="10">
        <f>IF(ActiveDatabase=Standby,Secondary!T946,Primary!T946)</f>
        <v>0</v>
      </c>
      <c r="U946" s="10">
        <f>IF(ActiveDatabase=Standby,Secondary!U946,Primary!U946)</f>
        <v>0</v>
      </c>
      <c r="V946" s="10">
        <f>IF(ActiveDatabase=Standby,Secondary!V946,Primary!V946)</f>
        <v>0</v>
      </c>
      <c r="W946" s="6">
        <f>IF(ActiveDatabase=Standby,Secondary!W946,Primary!W946)</f>
        <v>0</v>
      </c>
      <c r="X946" s="6">
        <f>IF(ActiveDatabase=Standby,Secondary!X946,Primary!X946)</f>
        <v>0</v>
      </c>
      <c r="Y946" s="12">
        <f>IF(ActiveDatabase=Standby,Secondary!Y946,Primary!Y1604)</f>
        <v>0</v>
      </c>
      <c r="Z946" s="12">
        <f>IF(ActiveDatabase=Standby,Secondary!Z946,Primary!Z1604)</f>
        <v>0</v>
      </c>
      <c r="AA946" s="7">
        <f>IF(ActiveDatabase=Standby,Secondary!AA946,Primary!AA1604)</f>
        <v>0</v>
      </c>
      <c r="AB946" s="12"/>
      <c r="AC946" s="6"/>
      <c r="AD946" s="6"/>
      <c r="AE946" s="7"/>
      <c r="AF946" s="7"/>
      <c r="AG946" s="7"/>
      <c r="AH946" s="7"/>
      <c r="AI946" s="7"/>
      <c r="AJ946" s="7"/>
      <c r="AK946" s="7"/>
      <c r="AL946" s="7"/>
      <c r="AM946" s="7"/>
      <c r="AN946" s="7"/>
      <c r="AO946" s="6"/>
      <c r="AP946" s="7"/>
      <c r="AQ946" s="7"/>
      <c r="AR946" s="6"/>
      <c r="AS946" s="7"/>
      <c r="AT946" s="7"/>
      <c r="AU946" s="7"/>
      <c r="AV946" s="7"/>
      <c r="AW946" s="7"/>
      <c r="AX946" s="7"/>
      <c r="AY946" s="7"/>
      <c r="AZ946" s="7"/>
      <c r="BA946" s="7"/>
      <c r="BB946" s="7"/>
      <c r="BC946" s="7"/>
      <c r="BD946" s="7"/>
      <c r="BE946" s="7"/>
      <c r="BF946" s="7"/>
      <c r="BG946" s="7"/>
    </row>
    <row r="947" customHeight="1" spans="1:59">
      <c r="A947" s="9">
        <f>IF(ActiveDatabase=Standby,Secondary!A947,Primary!A947)</f>
        <v>0</v>
      </c>
      <c r="B947" s="5">
        <f>IF(ActiveDatabase=Standby,Secondary!B947,Primary!B947)</f>
        <v>0</v>
      </c>
      <c r="C947" s="5">
        <f>IF(ActiveDatabase=Standby,Secondary!C947,Primary!C947)</f>
        <v>0</v>
      </c>
      <c r="D947" s="5">
        <f>IF(ActiveDatabase=Standby,Secondary!D947,Primary!D947)</f>
        <v>0</v>
      </c>
      <c r="E947" s="6">
        <f>IF(ActiveDatabase=Standby,Secondary!E947,Primary!E947)</f>
        <v>0</v>
      </c>
      <c r="F947" s="10">
        <f>IF(ActiveDatabase=Standby,Secondary!F947,Primary!F947)</f>
        <v>0</v>
      </c>
      <c r="G947" s="10">
        <f>IF(ActiveDatabase=Standby,Secondary!G947,Primary!G947)</f>
        <v>0</v>
      </c>
      <c r="H947" s="10">
        <f>IF(ActiveDatabase=Standby,Secondary!H947,Primary!H947)</f>
        <v>0</v>
      </c>
      <c r="I947" s="13">
        <f>IF(ActiveDatabase=Standby,Secondary!I947,Primary!I947)</f>
        <v>0</v>
      </c>
      <c r="J947" s="13">
        <f>IF(ActiveDatabase=Standby,Secondary!J947,Primary!J947)</f>
        <v>0</v>
      </c>
      <c r="K947" s="13">
        <f>IF(ActiveDatabase=Standby,Secondary!K947,Primary!K947)</f>
        <v>0</v>
      </c>
      <c r="L947" s="13">
        <f>IF(ActiveDatabase=Standby,Secondary!L947,Primary!L947)</f>
        <v>0</v>
      </c>
      <c r="M947" s="7">
        <f>IF(ActiveDatabase=Standby,Secondary!M947,Primary!M947)</f>
        <v>0</v>
      </c>
      <c r="N947" s="10">
        <f>IF(ActiveDatabase=Standby,Secondary!N947,Primary!N947)</f>
        <v>0</v>
      </c>
      <c r="O947" s="10">
        <f>IF(ActiveDatabase=Standby,Secondary!O947,Primary!O947)</f>
        <v>0</v>
      </c>
      <c r="P947" s="10">
        <f>IF(ActiveDatabase=Standby,Secondary!P947,Primary!P947)</f>
        <v>0</v>
      </c>
      <c r="Q947" s="6">
        <f>IF(ActiveDatabase=Standby,Secondary!Q947,Primary!Q947)</f>
        <v>0</v>
      </c>
      <c r="R947" s="18">
        <f>IF(ActiveDatabase=Standby,Secondary!R947,Primary!R947)</f>
        <v>0</v>
      </c>
      <c r="S947" s="19">
        <f>IF(ActiveDatabase=Standby,Secondary!S947,Primary!S947)</f>
        <v>0</v>
      </c>
      <c r="T947" s="10">
        <f>IF(ActiveDatabase=Standby,Secondary!T947,Primary!T947)</f>
        <v>0</v>
      </c>
      <c r="U947" s="10">
        <f>IF(ActiveDatabase=Standby,Secondary!U947,Primary!U947)</f>
        <v>0</v>
      </c>
      <c r="V947" s="10">
        <f>IF(ActiveDatabase=Standby,Secondary!V947,Primary!V947)</f>
        <v>0</v>
      </c>
      <c r="W947" s="6">
        <f>IF(ActiveDatabase=Standby,Secondary!W947,Primary!W947)</f>
        <v>0</v>
      </c>
      <c r="X947" s="6">
        <f>IF(ActiveDatabase=Standby,Secondary!X947,Primary!X947)</f>
        <v>0</v>
      </c>
      <c r="Y947" s="12">
        <f>IF(ActiveDatabase=Standby,Secondary!Y947,Primary!Y1605)</f>
        <v>0</v>
      </c>
      <c r="Z947" s="12">
        <f>IF(ActiveDatabase=Standby,Secondary!Z947,Primary!Z1605)</f>
        <v>0</v>
      </c>
      <c r="AA947" s="7">
        <f>IF(ActiveDatabase=Standby,Secondary!AA947,Primary!AA1605)</f>
        <v>0</v>
      </c>
      <c r="AB947" s="12"/>
      <c r="AC947" s="6"/>
      <c r="AD947" s="6"/>
      <c r="AE947" s="7"/>
      <c r="AF947" s="7"/>
      <c r="AG947" s="7"/>
      <c r="AH947" s="7"/>
      <c r="AI947" s="7"/>
      <c r="AJ947" s="7"/>
      <c r="AK947" s="7"/>
      <c r="AL947" s="7"/>
      <c r="AM947" s="7"/>
      <c r="AN947" s="7"/>
      <c r="AO947" s="6"/>
      <c r="AP947" s="7"/>
      <c r="AQ947" s="7"/>
      <c r="AR947" s="6"/>
      <c r="AS947" s="7"/>
      <c r="AT947" s="7"/>
      <c r="AU947" s="7"/>
      <c r="AV947" s="7"/>
      <c r="AW947" s="7"/>
      <c r="AX947" s="7"/>
      <c r="AY947" s="7"/>
      <c r="AZ947" s="7"/>
      <c r="BA947" s="7"/>
      <c r="BB947" s="7"/>
      <c r="BC947" s="7"/>
      <c r="BD947" s="7"/>
      <c r="BE947" s="7"/>
      <c r="BF947" s="7"/>
      <c r="BG947" s="7"/>
    </row>
    <row r="948" customHeight="1" spans="1:59">
      <c r="A948" s="9">
        <f>IF(ActiveDatabase=Standby,Secondary!A948,Primary!A948)</f>
        <v>0</v>
      </c>
      <c r="B948" s="5">
        <f>IF(ActiveDatabase=Standby,Secondary!B948,Primary!B948)</f>
        <v>0</v>
      </c>
      <c r="C948" s="5">
        <f>IF(ActiveDatabase=Standby,Secondary!C948,Primary!C948)</f>
        <v>0</v>
      </c>
      <c r="D948" s="5">
        <f>IF(ActiveDatabase=Standby,Secondary!D948,Primary!D948)</f>
        <v>0</v>
      </c>
      <c r="E948" s="6">
        <f>IF(ActiveDatabase=Standby,Secondary!E948,Primary!E948)</f>
        <v>0</v>
      </c>
      <c r="F948" s="10">
        <f>IF(ActiveDatabase=Standby,Secondary!F948,Primary!F948)</f>
        <v>0</v>
      </c>
      <c r="G948" s="10">
        <f>IF(ActiveDatabase=Standby,Secondary!G948,Primary!G948)</f>
        <v>0</v>
      </c>
      <c r="H948" s="10">
        <f>IF(ActiveDatabase=Standby,Secondary!H948,Primary!H948)</f>
        <v>0</v>
      </c>
      <c r="I948" s="13">
        <f>IF(ActiveDatabase=Standby,Secondary!I948,Primary!I948)</f>
        <v>0</v>
      </c>
      <c r="J948" s="13">
        <f>IF(ActiveDatabase=Standby,Secondary!J948,Primary!J948)</f>
        <v>0</v>
      </c>
      <c r="K948" s="13">
        <f>IF(ActiveDatabase=Standby,Secondary!K948,Primary!K948)</f>
        <v>0</v>
      </c>
      <c r="L948" s="13">
        <f>IF(ActiveDatabase=Standby,Secondary!L948,Primary!L948)</f>
        <v>0</v>
      </c>
      <c r="M948" s="7">
        <f>IF(ActiveDatabase=Standby,Secondary!M948,Primary!M948)</f>
        <v>0</v>
      </c>
      <c r="N948" s="10">
        <f>IF(ActiveDatabase=Standby,Secondary!N948,Primary!N948)</f>
        <v>0</v>
      </c>
      <c r="O948" s="10">
        <f>IF(ActiveDatabase=Standby,Secondary!O948,Primary!O948)</f>
        <v>0</v>
      </c>
      <c r="P948" s="10">
        <f>IF(ActiveDatabase=Standby,Secondary!P948,Primary!P948)</f>
        <v>0</v>
      </c>
      <c r="Q948" s="6">
        <f>IF(ActiveDatabase=Standby,Secondary!Q948,Primary!Q948)</f>
        <v>0</v>
      </c>
      <c r="R948" s="18">
        <f>IF(ActiveDatabase=Standby,Secondary!R948,Primary!R948)</f>
        <v>0</v>
      </c>
      <c r="S948" s="19">
        <f>IF(ActiveDatabase=Standby,Secondary!S948,Primary!S948)</f>
        <v>0</v>
      </c>
      <c r="T948" s="10">
        <f>IF(ActiveDatabase=Standby,Secondary!T948,Primary!T948)</f>
        <v>0</v>
      </c>
      <c r="U948" s="10">
        <f>IF(ActiveDatabase=Standby,Secondary!U948,Primary!U948)</f>
        <v>0</v>
      </c>
      <c r="V948" s="10">
        <f>IF(ActiveDatabase=Standby,Secondary!V948,Primary!V948)</f>
        <v>0</v>
      </c>
      <c r="W948" s="6">
        <f>IF(ActiveDatabase=Standby,Secondary!W948,Primary!W948)</f>
        <v>0</v>
      </c>
      <c r="X948" s="6">
        <f>IF(ActiveDatabase=Standby,Secondary!X948,Primary!X948)</f>
        <v>0</v>
      </c>
      <c r="Y948" s="12">
        <f>IF(ActiveDatabase=Standby,Secondary!Y948,Primary!Y1606)</f>
        <v>0</v>
      </c>
      <c r="Z948" s="12">
        <f>IF(ActiveDatabase=Standby,Secondary!Z948,Primary!Z1606)</f>
        <v>0</v>
      </c>
      <c r="AA948" s="7">
        <f>IF(ActiveDatabase=Standby,Secondary!AA948,Primary!AA1606)</f>
        <v>0</v>
      </c>
      <c r="AB948" s="12"/>
      <c r="AC948" s="6"/>
      <c r="AD948" s="6"/>
      <c r="AE948" s="7"/>
      <c r="AF948" s="7"/>
      <c r="AG948" s="7"/>
      <c r="AH948" s="7"/>
      <c r="AI948" s="7"/>
      <c r="AJ948" s="7"/>
      <c r="AK948" s="7"/>
      <c r="AL948" s="7"/>
      <c r="AM948" s="7"/>
      <c r="AN948" s="7"/>
      <c r="AO948" s="6"/>
      <c r="AP948" s="7"/>
      <c r="AQ948" s="7"/>
      <c r="AR948" s="6"/>
      <c r="AS948" s="7"/>
      <c r="AT948" s="7"/>
      <c r="AU948" s="7"/>
      <c r="AV948" s="7"/>
      <c r="AW948" s="7"/>
      <c r="AX948" s="7"/>
      <c r="AY948" s="7"/>
      <c r="AZ948" s="7"/>
      <c r="BA948" s="7"/>
      <c r="BB948" s="7"/>
      <c r="BC948" s="7"/>
      <c r="BD948" s="7"/>
      <c r="BE948" s="7"/>
      <c r="BF948" s="7"/>
      <c r="BG948" s="7"/>
    </row>
    <row r="949" customHeight="1" spans="1:59">
      <c r="A949" s="9">
        <f>IF(ActiveDatabase=Standby,Secondary!A949,Primary!A949)</f>
        <v>0</v>
      </c>
      <c r="B949" s="5">
        <f>IF(ActiveDatabase=Standby,Secondary!B949,Primary!B949)</f>
        <v>0</v>
      </c>
      <c r="C949" s="5">
        <f>IF(ActiveDatabase=Standby,Secondary!C949,Primary!C949)</f>
        <v>0</v>
      </c>
      <c r="D949" s="5">
        <f>IF(ActiveDatabase=Standby,Secondary!D949,Primary!D949)</f>
        <v>0</v>
      </c>
      <c r="E949" s="6">
        <f>IF(ActiveDatabase=Standby,Secondary!E949,Primary!E949)</f>
        <v>0</v>
      </c>
      <c r="F949" s="10">
        <f>IF(ActiveDatabase=Standby,Secondary!F949,Primary!F949)</f>
        <v>0</v>
      </c>
      <c r="G949" s="10">
        <f>IF(ActiveDatabase=Standby,Secondary!G949,Primary!G949)</f>
        <v>0</v>
      </c>
      <c r="H949" s="10">
        <f>IF(ActiveDatabase=Standby,Secondary!H949,Primary!H949)</f>
        <v>0</v>
      </c>
      <c r="I949" s="13">
        <f>IF(ActiveDatabase=Standby,Secondary!I949,Primary!I949)</f>
        <v>0</v>
      </c>
      <c r="J949" s="13">
        <f>IF(ActiveDatabase=Standby,Secondary!J949,Primary!J949)</f>
        <v>0</v>
      </c>
      <c r="K949" s="13">
        <f>IF(ActiveDatabase=Standby,Secondary!K949,Primary!K949)</f>
        <v>0</v>
      </c>
      <c r="L949" s="13">
        <f>IF(ActiveDatabase=Standby,Secondary!L949,Primary!L949)</f>
        <v>0</v>
      </c>
      <c r="M949" s="7">
        <f>IF(ActiveDatabase=Standby,Secondary!M949,Primary!M949)</f>
        <v>0</v>
      </c>
      <c r="N949" s="10">
        <f>IF(ActiveDatabase=Standby,Secondary!N949,Primary!N949)</f>
        <v>0</v>
      </c>
      <c r="O949" s="10">
        <f>IF(ActiveDatabase=Standby,Secondary!O949,Primary!O949)</f>
        <v>0</v>
      </c>
      <c r="P949" s="10">
        <f>IF(ActiveDatabase=Standby,Secondary!P949,Primary!P949)</f>
        <v>0</v>
      </c>
      <c r="Q949" s="6">
        <f>IF(ActiveDatabase=Standby,Secondary!Q949,Primary!Q949)</f>
        <v>0</v>
      </c>
      <c r="R949" s="18">
        <f>IF(ActiveDatabase=Standby,Secondary!R949,Primary!R949)</f>
        <v>0</v>
      </c>
      <c r="S949" s="19">
        <f>IF(ActiveDatabase=Standby,Secondary!S949,Primary!S949)</f>
        <v>0</v>
      </c>
      <c r="T949" s="10">
        <f>IF(ActiveDatabase=Standby,Secondary!T949,Primary!T949)</f>
        <v>0</v>
      </c>
      <c r="U949" s="10">
        <f>IF(ActiveDatabase=Standby,Secondary!U949,Primary!U949)</f>
        <v>0</v>
      </c>
      <c r="V949" s="10">
        <f>IF(ActiveDatabase=Standby,Secondary!V949,Primary!V949)</f>
        <v>0</v>
      </c>
      <c r="W949" s="6">
        <f>IF(ActiveDatabase=Standby,Secondary!W949,Primary!W949)</f>
        <v>0</v>
      </c>
      <c r="X949" s="6">
        <f>IF(ActiveDatabase=Standby,Secondary!X949,Primary!X949)</f>
        <v>0</v>
      </c>
      <c r="Y949" s="12">
        <f>IF(ActiveDatabase=Standby,Secondary!Y949,Primary!Y1607)</f>
        <v>0</v>
      </c>
      <c r="Z949" s="12">
        <f>IF(ActiveDatabase=Standby,Secondary!Z949,Primary!Z1607)</f>
        <v>0</v>
      </c>
      <c r="AA949" s="7">
        <f>IF(ActiveDatabase=Standby,Secondary!AA949,Primary!AA1607)</f>
        <v>0</v>
      </c>
      <c r="AB949" s="12"/>
      <c r="AC949" s="6"/>
      <c r="AD949" s="6"/>
      <c r="AE949" s="7"/>
      <c r="AF949" s="7"/>
      <c r="AG949" s="7"/>
      <c r="AH949" s="7"/>
      <c r="AI949" s="7"/>
      <c r="AJ949" s="7"/>
      <c r="AK949" s="7"/>
      <c r="AL949" s="7"/>
      <c r="AM949" s="7"/>
      <c r="AN949" s="7"/>
      <c r="AO949" s="6"/>
      <c r="AP949" s="7"/>
      <c r="AQ949" s="7"/>
      <c r="AR949" s="6"/>
      <c r="AS949" s="7"/>
      <c r="AT949" s="7"/>
      <c r="AU949" s="7"/>
      <c r="AV949" s="7"/>
      <c r="AW949" s="7"/>
      <c r="AX949" s="7"/>
      <c r="AY949" s="7"/>
      <c r="AZ949" s="7"/>
      <c r="BA949" s="7"/>
      <c r="BB949" s="7"/>
      <c r="BC949" s="7"/>
      <c r="BD949" s="7"/>
      <c r="BE949" s="7"/>
      <c r="BF949" s="7"/>
      <c r="BG949" s="7"/>
    </row>
    <row r="950" customHeight="1" spans="1:59">
      <c r="A950" s="9">
        <f>IF(ActiveDatabase=Standby,Secondary!A950,Primary!A950)</f>
        <v>0</v>
      </c>
      <c r="B950" s="5">
        <f>IF(ActiveDatabase=Standby,Secondary!B950,Primary!B950)</f>
        <v>0</v>
      </c>
      <c r="C950" s="5">
        <f>IF(ActiveDatabase=Standby,Secondary!C950,Primary!C950)</f>
        <v>0</v>
      </c>
      <c r="D950" s="5">
        <f>IF(ActiveDatabase=Standby,Secondary!D950,Primary!D950)</f>
        <v>0</v>
      </c>
      <c r="E950" s="6">
        <f>IF(ActiveDatabase=Standby,Secondary!E950,Primary!E950)</f>
        <v>0</v>
      </c>
      <c r="F950" s="10">
        <f>IF(ActiveDatabase=Standby,Secondary!F950,Primary!F950)</f>
        <v>0</v>
      </c>
      <c r="G950" s="10">
        <f>IF(ActiveDatabase=Standby,Secondary!G950,Primary!G950)</f>
        <v>0</v>
      </c>
      <c r="H950" s="10">
        <f>IF(ActiveDatabase=Standby,Secondary!H950,Primary!H950)</f>
        <v>0</v>
      </c>
      <c r="I950" s="13">
        <f>IF(ActiveDatabase=Standby,Secondary!I950,Primary!I950)</f>
        <v>0</v>
      </c>
      <c r="J950" s="13">
        <f>IF(ActiveDatabase=Standby,Secondary!J950,Primary!J950)</f>
        <v>0</v>
      </c>
      <c r="K950" s="13">
        <f>IF(ActiveDatabase=Standby,Secondary!K950,Primary!K950)</f>
        <v>0</v>
      </c>
      <c r="L950" s="13">
        <f>IF(ActiveDatabase=Standby,Secondary!L950,Primary!L950)</f>
        <v>0</v>
      </c>
      <c r="M950" s="7">
        <f>IF(ActiveDatabase=Standby,Secondary!M950,Primary!M950)</f>
        <v>0</v>
      </c>
      <c r="N950" s="10">
        <f>IF(ActiveDatabase=Standby,Secondary!N950,Primary!N950)</f>
        <v>0</v>
      </c>
      <c r="O950" s="10">
        <f>IF(ActiveDatabase=Standby,Secondary!O950,Primary!O950)</f>
        <v>0</v>
      </c>
      <c r="P950" s="10">
        <f>IF(ActiveDatabase=Standby,Secondary!P950,Primary!P950)</f>
        <v>0</v>
      </c>
      <c r="Q950" s="6">
        <f>IF(ActiveDatabase=Standby,Secondary!Q950,Primary!Q950)</f>
        <v>0</v>
      </c>
      <c r="R950" s="18">
        <f>IF(ActiveDatabase=Standby,Secondary!R950,Primary!R950)</f>
        <v>0</v>
      </c>
      <c r="S950" s="19">
        <f>IF(ActiveDatabase=Standby,Secondary!S950,Primary!S950)</f>
        <v>0</v>
      </c>
      <c r="T950" s="10">
        <f>IF(ActiveDatabase=Standby,Secondary!T950,Primary!T950)</f>
        <v>0</v>
      </c>
      <c r="U950" s="10">
        <f>IF(ActiveDatabase=Standby,Secondary!U950,Primary!U950)</f>
        <v>0</v>
      </c>
      <c r="V950" s="10">
        <f>IF(ActiveDatabase=Standby,Secondary!V950,Primary!V950)</f>
        <v>0</v>
      </c>
      <c r="W950" s="6">
        <f>IF(ActiveDatabase=Standby,Secondary!W950,Primary!W950)</f>
        <v>0</v>
      </c>
      <c r="X950" s="6">
        <f>IF(ActiveDatabase=Standby,Secondary!X950,Primary!X950)</f>
        <v>0</v>
      </c>
      <c r="Y950" s="12">
        <f>IF(ActiveDatabase=Standby,Secondary!Y950,Primary!Y1608)</f>
        <v>0</v>
      </c>
      <c r="Z950" s="12">
        <f>IF(ActiveDatabase=Standby,Secondary!Z950,Primary!Z1608)</f>
        <v>0</v>
      </c>
      <c r="AA950" s="7">
        <f>IF(ActiveDatabase=Standby,Secondary!AA950,Primary!AA1608)</f>
        <v>0</v>
      </c>
      <c r="AB950" s="12"/>
      <c r="AC950" s="6"/>
      <c r="AD950" s="6"/>
      <c r="AE950" s="7"/>
      <c r="AF950" s="7"/>
      <c r="AG950" s="7"/>
      <c r="AH950" s="7"/>
      <c r="AI950" s="7"/>
      <c r="AJ950" s="7"/>
      <c r="AK950" s="7"/>
      <c r="AL950" s="7"/>
      <c r="AM950" s="7"/>
      <c r="AN950" s="7"/>
      <c r="AO950" s="6"/>
      <c r="AP950" s="7"/>
      <c r="AQ950" s="7"/>
      <c r="AR950" s="6"/>
      <c r="AS950" s="7"/>
      <c r="AT950" s="7"/>
      <c r="AU950" s="7"/>
      <c r="AV950" s="7"/>
      <c r="AW950" s="7"/>
      <c r="AX950" s="7"/>
      <c r="AY950" s="7"/>
      <c r="AZ950" s="7"/>
      <c r="BA950" s="7"/>
      <c r="BB950" s="7"/>
      <c r="BC950" s="7"/>
      <c r="BD950" s="7"/>
      <c r="BE950" s="7"/>
      <c r="BF950" s="7"/>
      <c r="BG950" s="7"/>
    </row>
    <row r="951" customHeight="1" spans="1:59">
      <c r="A951" s="9">
        <f>IF(ActiveDatabase=Standby,Secondary!A951,Primary!A951)</f>
        <v>0</v>
      </c>
      <c r="B951" s="5">
        <f>IF(ActiveDatabase=Standby,Secondary!B951,Primary!B951)</f>
        <v>0</v>
      </c>
      <c r="C951" s="5">
        <f>IF(ActiveDatabase=Standby,Secondary!C951,Primary!C951)</f>
        <v>0</v>
      </c>
      <c r="D951" s="5">
        <f>IF(ActiveDatabase=Standby,Secondary!D951,Primary!D951)</f>
        <v>0</v>
      </c>
      <c r="E951" s="6">
        <f>IF(ActiveDatabase=Standby,Secondary!E951,Primary!E951)</f>
        <v>0</v>
      </c>
      <c r="F951" s="10">
        <f>IF(ActiveDatabase=Standby,Secondary!F951,Primary!F951)</f>
        <v>0</v>
      </c>
      <c r="G951" s="10">
        <f>IF(ActiveDatabase=Standby,Secondary!G951,Primary!G951)</f>
        <v>0</v>
      </c>
      <c r="H951" s="10">
        <f>IF(ActiveDatabase=Standby,Secondary!H951,Primary!H951)</f>
        <v>0</v>
      </c>
      <c r="I951" s="13">
        <f>IF(ActiveDatabase=Standby,Secondary!I951,Primary!I951)</f>
        <v>0</v>
      </c>
      <c r="J951" s="13">
        <f>IF(ActiveDatabase=Standby,Secondary!J951,Primary!J951)</f>
        <v>0</v>
      </c>
      <c r="K951" s="13">
        <f>IF(ActiveDatabase=Standby,Secondary!K951,Primary!K951)</f>
        <v>0</v>
      </c>
      <c r="L951" s="13">
        <f>IF(ActiveDatabase=Standby,Secondary!L951,Primary!L951)</f>
        <v>0</v>
      </c>
      <c r="M951" s="7">
        <f>IF(ActiveDatabase=Standby,Secondary!M951,Primary!M951)</f>
        <v>0</v>
      </c>
      <c r="N951" s="10">
        <f>IF(ActiveDatabase=Standby,Secondary!N951,Primary!N951)</f>
        <v>0</v>
      </c>
      <c r="O951" s="10">
        <f>IF(ActiveDatabase=Standby,Secondary!O951,Primary!O951)</f>
        <v>0</v>
      </c>
      <c r="P951" s="10">
        <f>IF(ActiveDatabase=Standby,Secondary!P951,Primary!P951)</f>
        <v>0</v>
      </c>
      <c r="Q951" s="6">
        <f>IF(ActiveDatabase=Standby,Secondary!Q951,Primary!Q951)</f>
        <v>0</v>
      </c>
      <c r="R951" s="18">
        <f>IF(ActiveDatabase=Standby,Secondary!R951,Primary!R951)</f>
        <v>0</v>
      </c>
      <c r="S951" s="19">
        <f>IF(ActiveDatabase=Standby,Secondary!S951,Primary!S951)</f>
        <v>0</v>
      </c>
      <c r="T951" s="10">
        <f>IF(ActiveDatabase=Standby,Secondary!T951,Primary!T951)</f>
        <v>0</v>
      </c>
      <c r="U951" s="10">
        <f>IF(ActiveDatabase=Standby,Secondary!U951,Primary!U951)</f>
        <v>0</v>
      </c>
      <c r="V951" s="10">
        <f>IF(ActiveDatabase=Standby,Secondary!V951,Primary!V951)</f>
        <v>0</v>
      </c>
      <c r="W951" s="6">
        <f>IF(ActiveDatabase=Standby,Secondary!W951,Primary!W951)</f>
        <v>0</v>
      </c>
      <c r="X951" s="6">
        <f>IF(ActiveDatabase=Standby,Secondary!X951,Primary!X951)</f>
        <v>0</v>
      </c>
      <c r="Y951" s="12">
        <f>IF(ActiveDatabase=Standby,Secondary!Y951,Primary!Y1609)</f>
        <v>0</v>
      </c>
      <c r="Z951" s="12">
        <f>IF(ActiveDatabase=Standby,Secondary!Z951,Primary!Z1609)</f>
        <v>0</v>
      </c>
      <c r="AA951" s="7">
        <f>IF(ActiveDatabase=Standby,Secondary!AA951,Primary!AA1609)</f>
        <v>0</v>
      </c>
      <c r="AB951" s="12"/>
      <c r="AC951" s="6"/>
      <c r="AD951" s="6"/>
      <c r="AE951" s="7"/>
      <c r="AF951" s="7"/>
      <c r="AG951" s="7"/>
      <c r="AH951" s="7"/>
      <c r="AI951" s="7"/>
      <c r="AJ951" s="7"/>
      <c r="AK951" s="7"/>
      <c r="AL951" s="7"/>
      <c r="AM951" s="7"/>
      <c r="AN951" s="7"/>
      <c r="AO951" s="6"/>
      <c r="AP951" s="7"/>
      <c r="AQ951" s="7"/>
      <c r="AR951" s="6"/>
      <c r="AS951" s="7"/>
      <c r="AT951" s="7"/>
      <c r="AU951" s="7"/>
      <c r="AV951" s="7"/>
      <c r="AW951" s="7"/>
      <c r="AX951" s="7"/>
      <c r="AY951" s="7"/>
      <c r="AZ951" s="7"/>
      <c r="BA951" s="7"/>
      <c r="BB951" s="7"/>
      <c r="BC951" s="7"/>
      <c r="BD951" s="7"/>
      <c r="BE951" s="7"/>
      <c r="BF951" s="7"/>
      <c r="BG951" s="7"/>
    </row>
    <row r="952" customHeight="1" spans="1:59">
      <c r="A952" s="9">
        <f>IF(ActiveDatabase=Standby,Secondary!A952,Primary!A952)</f>
        <v>0</v>
      </c>
      <c r="B952" s="5">
        <f>IF(ActiveDatabase=Standby,Secondary!B952,Primary!B952)</f>
        <v>0</v>
      </c>
      <c r="C952" s="5">
        <f>IF(ActiveDatabase=Standby,Secondary!C952,Primary!C952)</f>
        <v>0</v>
      </c>
      <c r="D952" s="5">
        <f>IF(ActiveDatabase=Standby,Secondary!D952,Primary!D952)</f>
        <v>0</v>
      </c>
      <c r="E952" s="6">
        <f>IF(ActiveDatabase=Standby,Secondary!E952,Primary!E952)</f>
        <v>0</v>
      </c>
      <c r="F952" s="10">
        <f>IF(ActiveDatabase=Standby,Secondary!F952,Primary!F952)</f>
        <v>0</v>
      </c>
      <c r="G952" s="10">
        <f>IF(ActiveDatabase=Standby,Secondary!G952,Primary!G952)</f>
        <v>0</v>
      </c>
      <c r="H952" s="10">
        <f>IF(ActiveDatabase=Standby,Secondary!H952,Primary!H952)</f>
        <v>0</v>
      </c>
      <c r="I952" s="13">
        <f>IF(ActiveDatabase=Standby,Secondary!I952,Primary!I952)</f>
        <v>0</v>
      </c>
      <c r="J952" s="13">
        <f>IF(ActiveDatabase=Standby,Secondary!J952,Primary!J952)</f>
        <v>0</v>
      </c>
      <c r="K952" s="13">
        <f>IF(ActiveDatabase=Standby,Secondary!K952,Primary!K952)</f>
        <v>0</v>
      </c>
      <c r="L952" s="13">
        <f>IF(ActiveDatabase=Standby,Secondary!L952,Primary!L952)</f>
        <v>0</v>
      </c>
      <c r="M952" s="7">
        <f>IF(ActiveDatabase=Standby,Secondary!M952,Primary!M952)</f>
        <v>0</v>
      </c>
      <c r="N952" s="10">
        <f>IF(ActiveDatabase=Standby,Secondary!N952,Primary!N952)</f>
        <v>0</v>
      </c>
      <c r="O952" s="10">
        <f>IF(ActiveDatabase=Standby,Secondary!O952,Primary!O952)</f>
        <v>0</v>
      </c>
      <c r="P952" s="10">
        <f>IF(ActiveDatabase=Standby,Secondary!P952,Primary!P952)</f>
        <v>0</v>
      </c>
      <c r="Q952" s="6">
        <f>IF(ActiveDatabase=Standby,Secondary!Q952,Primary!Q952)</f>
        <v>0</v>
      </c>
      <c r="R952" s="18">
        <f>IF(ActiveDatabase=Standby,Secondary!R952,Primary!R952)</f>
        <v>0</v>
      </c>
      <c r="S952" s="19">
        <f>IF(ActiveDatabase=Standby,Secondary!S952,Primary!S952)</f>
        <v>0</v>
      </c>
      <c r="T952" s="10">
        <f>IF(ActiveDatabase=Standby,Secondary!T952,Primary!T952)</f>
        <v>0</v>
      </c>
      <c r="U952" s="10">
        <f>IF(ActiveDatabase=Standby,Secondary!U952,Primary!U952)</f>
        <v>0</v>
      </c>
      <c r="V952" s="10">
        <f>IF(ActiveDatabase=Standby,Secondary!V952,Primary!V952)</f>
        <v>0</v>
      </c>
      <c r="W952" s="6">
        <f>IF(ActiveDatabase=Standby,Secondary!W952,Primary!W952)</f>
        <v>0</v>
      </c>
      <c r="X952" s="6">
        <f>IF(ActiveDatabase=Standby,Secondary!X952,Primary!X952)</f>
        <v>0</v>
      </c>
      <c r="Y952" s="12">
        <f>IF(ActiveDatabase=Standby,Secondary!Y952,Primary!Y1610)</f>
        <v>0</v>
      </c>
      <c r="Z952" s="12">
        <f>IF(ActiveDatabase=Standby,Secondary!Z952,Primary!Z1610)</f>
        <v>0</v>
      </c>
      <c r="AA952" s="7">
        <f>IF(ActiveDatabase=Standby,Secondary!AA952,Primary!AA1610)</f>
        <v>0</v>
      </c>
      <c r="AB952" s="12"/>
      <c r="AC952" s="6"/>
      <c r="AD952" s="6"/>
      <c r="AE952" s="7"/>
      <c r="AF952" s="7"/>
      <c r="AG952" s="7"/>
      <c r="AH952" s="7"/>
      <c r="AI952" s="7"/>
      <c r="AJ952" s="7"/>
      <c r="AK952" s="7"/>
      <c r="AL952" s="7"/>
      <c r="AM952" s="7"/>
      <c r="AN952" s="7"/>
      <c r="AO952" s="6"/>
      <c r="AP952" s="7"/>
      <c r="AQ952" s="7"/>
      <c r="AR952" s="6"/>
      <c r="AS952" s="7"/>
      <c r="AT952" s="7"/>
      <c r="AU952" s="7"/>
      <c r="AV952" s="7"/>
      <c r="AW952" s="7"/>
      <c r="AX952" s="7"/>
      <c r="AY952" s="7"/>
      <c r="AZ952" s="7"/>
      <c r="BA952" s="7"/>
      <c r="BB952" s="7"/>
      <c r="BC952" s="7"/>
      <c r="BD952" s="7"/>
      <c r="BE952" s="7"/>
      <c r="BF952" s="7"/>
      <c r="BG952" s="7"/>
    </row>
    <row r="953" customHeight="1" spans="1:59">
      <c r="A953" s="9">
        <f>IF(ActiveDatabase=Standby,Secondary!A953,Primary!A953)</f>
        <v>0</v>
      </c>
      <c r="B953" s="5">
        <f>IF(ActiveDatabase=Standby,Secondary!B953,Primary!B953)</f>
        <v>0</v>
      </c>
      <c r="C953" s="5">
        <f>IF(ActiveDatabase=Standby,Secondary!C953,Primary!C953)</f>
        <v>0</v>
      </c>
      <c r="D953" s="5">
        <f>IF(ActiveDatabase=Standby,Secondary!D953,Primary!D953)</f>
        <v>0</v>
      </c>
      <c r="E953" s="6">
        <f>IF(ActiveDatabase=Standby,Secondary!E953,Primary!E953)</f>
        <v>0</v>
      </c>
      <c r="F953" s="10">
        <f>IF(ActiveDatabase=Standby,Secondary!F953,Primary!F953)</f>
        <v>0</v>
      </c>
      <c r="G953" s="10">
        <f>IF(ActiveDatabase=Standby,Secondary!G953,Primary!G953)</f>
        <v>0</v>
      </c>
      <c r="H953" s="10">
        <f>IF(ActiveDatabase=Standby,Secondary!H953,Primary!H953)</f>
        <v>0</v>
      </c>
      <c r="I953" s="13">
        <f>IF(ActiveDatabase=Standby,Secondary!I953,Primary!I953)</f>
        <v>0</v>
      </c>
      <c r="J953" s="13">
        <f>IF(ActiveDatabase=Standby,Secondary!J953,Primary!J953)</f>
        <v>0</v>
      </c>
      <c r="K953" s="13">
        <f>IF(ActiveDatabase=Standby,Secondary!K953,Primary!K953)</f>
        <v>0</v>
      </c>
      <c r="L953" s="13">
        <f>IF(ActiveDatabase=Standby,Secondary!L953,Primary!L953)</f>
        <v>0</v>
      </c>
      <c r="M953" s="7">
        <f>IF(ActiveDatabase=Standby,Secondary!M953,Primary!M953)</f>
        <v>0</v>
      </c>
      <c r="N953" s="10">
        <f>IF(ActiveDatabase=Standby,Secondary!N953,Primary!N953)</f>
        <v>0</v>
      </c>
      <c r="O953" s="10">
        <f>IF(ActiveDatabase=Standby,Secondary!O953,Primary!O953)</f>
        <v>0</v>
      </c>
      <c r="P953" s="10">
        <f>IF(ActiveDatabase=Standby,Secondary!P953,Primary!P953)</f>
        <v>0</v>
      </c>
      <c r="Q953" s="6">
        <f>IF(ActiveDatabase=Standby,Secondary!Q953,Primary!Q953)</f>
        <v>0</v>
      </c>
      <c r="R953" s="18">
        <f>IF(ActiveDatabase=Standby,Secondary!R953,Primary!R953)</f>
        <v>0</v>
      </c>
      <c r="S953" s="19">
        <f>IF(ActiveDatabase=Standby,Secondary!S953,Primary!S953)</f>
        <v>0</v>
      </c>
      <c r="T953" s="10">
        <f>IF(ActiveDatabase=Standby,Secondary!T953,Primary!T953)</f>
        <v>0</v>
      </c>
      <c r="U953" s="10">
        <f>IF(ActiveDatabase=Standby,Secondary!U953,Primary!U953)</f>
        <v>0</v>
      </c>
      <c r="V953" s="10">
        <f>IF(ActiveDatabase=Standby,Secondary!V953,Primary!V953)</f>
        <v>0</v>
      </c>
      <c r="W953" s="6">
        <f>IF(ActiveDatabase=Standby,Secondary!W953,Primary!W953)</f>
        <v>0</v>
      </c>
      <c r="X953" s="6">
        <f>IF(ActiveDatabase=Standby,Secondary!X953,Primary!X953)</f>
        <v>0</v>
      </c>
      <c r="Y953" s="12">
        <f>IF(ActiveDatabase=Standby,Secondary!Y953,Primary!Y1611)</f>
        <v>0</v>
      </c>
      <c r="Z953" s="12">
        <f>IF(ActiveDatabase=Standby,Secondary!Z953,Primary!Z1611)</f>
        <v>0</v>
      </c>
      <c r="AA953" s="7">
        <f>IF(ActiveDatabase=Standby,Secondary!AA953,Primary!AA1611)</f>
        <v>0</v>
      </c>
      <c r="AB953" s="12"/>
      <c r="AC953" s="6"/>
      <c r="AD953" s="6"/>
      <c r="AE953" s="7"/>
      <c r="AF953" s="7"/>
      <c r="AG953" s="7"/>
      <c r="AH953" s="7"/>
      <c r="AI953" s="7"/>
      <c r="AJ953" s="7"/>
      <c r="AK953" s="7"/>
      <c r="AL953" s="7"/>
      <c r="AM953" s="7"/>
      <c r="AN953" s="7"/>
      <c r="AO953" s="6"/>
      <c r="AP953" s="7"/>
      <c r="AQ953" s="7"/>
      <c r="AR953" s="6"/>
      <c r="AS953" s="7"/>
      <c r="AT953" s="7"/>
      <c r="AU953" s="7"/>
      <c r="AV953" s="7"/>
      <c r="AW953" s="7"/>
      <c r="AX953" s="7"/>
      <c r="AY953" s="7"/>
      <c r="AZ953" s="7"/>
      <c r="BA953" s="7"/>
      <c r="BB953" s="7"/>
      <c r="BC953" s="7"/>
      <c r="BD953" s="7"/>
      <c r="BE953" s="7"/>
      <c r="BF953" s="7"/>
      <c r="BG953" s="7"/>
    </row>
    <row r="954" customHeight="1" spans="1:59">
      <c r="A954" s="9">
        <f>IF(ActiveDatabase=Standby,Secondary!A954,Primary!A954)</f>
        <v>0</v>
      </c>
      <c r="B954" s="5">
        <f>IF(ActiveDatabase=Standby,Secondary!B954,Primary!B954)</f>
        <v>0</v>
      </c>
      <c r="C954" s="5">
        <f>IF(ActiveDatabase=Standby,Secondary!C954,Primary!C954)</f>
        <v>0</v>
      </c>
      <c r="D954" s="5">
        <f>IF(ActiveDatabase=Standby,Secondary!D954,Primary!D954)</f>
        <v>0</v>
      </c>
      <c r="E954" s="6">
        <f>IF(ActiveDatabase=Standby,Secondary!E954,Primary!E954)</f>
        <v>0</v>
      </c>
      <c r="F954" s="10">
        <f>IF(ActiveDatabase=Standby,Secondary!F954,Primary!F954)</f>
        <v>0</v>
      </c>
      <c r="G954" s="10">
        <f>IF(ActiveDatabase=Standby,Secondary!G954,Primary!G954)</f>
        <v>0</v>
      </c>
      <c r="H954" s="10">
        <f>IF(ActiveDatabase=Standby,Secondary!H954,Primary!H954)</f>
        <v>0</v>
      </c>
      <c r="I954" s="13">
        <f>IF(ActiveDatabase=Standby,Secondary!I954,Primary!I954)</f>
        <v>0</v>
      </c>
      <c r="J954" s="13">
        <f>IF(ActiveDatabase=Standby,Secondary!J954,Primary!J954)</f>
        <v>0</v>
      </c>
      <c r="K954" s="13">
        <f>IF(ActiveDatabase=Standby,Secondary!K954,Primary!K954)</f>
        <v>0</v>
      </c>
      <c r="L954" s="13">
        <f>IF(ActiveDatabase=Standby,Secondary!L954,Primary!L954)</f>
        <v>0</v>
      </c>
      <c r="M954" s="7">
        <f>IF(ActiveDatabase=Standby,Secondary!M954,Primary!M954)</f>
        <v>0</v>
      </c>
      <c r="N954" s="10">
        <f>IF(ActiveDatabase=Standby,Secondary!N954,Primary!N954)</f>
        <v>0</v>
      </c>
      <c r="O954" s="10">
        <f>IF(ActiveDatabase=Standby,Secondary!O954,Primary!O954)</f>
        <v>0</v>
      </c>
      <c r="P954" s="10">
        <f>IF(ActiveDatabase=Standby,Secondary!P954,Primary!P954)</f>
        <v>0</v>
      </c>
      <c r="Q954" s="6">
        <f>IF(ActiveDatabase=Standby,Secondary!Q954,Primary!Q954)</f>
        <v>0</v>
      </c>
      <c r="R954" s="18">
        <f>IF(ActiveDatabase=Standby,Secondary!R954,Primary!R954)</f>
        <v>0</v>
      </c>
      <c r="S954" s="19">
        <f>IF(ActiveDatabase=Standby,Secondary!S954,Primary!S954)</f>
        <v>0</v>
      </c>
      <c r="T954" s="10">
        <f>IF(ActiveDatabase=Standby,Secondary!T954,Primary!T954)</f>
        <v>0</v>
      </c>
      <c r="U954" s="10">
        <f>IF(ActiveDatabase=Standby,Secondary!U954,Primary!U954)</f>
        <v>0</v>
      </c>
      <c r="V954" s="10">
        <f>IF(ActiveDatabase=Standby,Secondary!V954,Primary!V954)</f>
        <v>0</v>
      </c>
      <c r="W954" s="6">
        <f>IF(ActiveDatabase=Standby,Secondary!W954,Primary!W954)</f>
        <v>0</v>
      </c>
      <c r="X954" s="6">
        <f>IF(ActiveDatabase=Standby,Secondary!X954,Primary!X954)</f>
        <v>0</v>
      </c>
      <c r="Y954" s="12">
        <f>IF(ActiveDatabase=Standby,Secondary!Y954,Primary!Y1612)</f>
        <v>0</v>
      </c>
      <c r="Z954" s="12">
        <f>IF(ActiveDatabase=Standby,Secondary!Z954,Primary!Z1612)</f>
        <v>0</v>
      </c>
      <c r="AA954" s="7">
        <f>IF(ActiveDatabase=Standby,Secondary!AA954,Primary!AA1612)</f>
        <v>0</v>
      </c>
      <c r="AB954" s="12"/>
      <c r="AC954" s="6"/>
      <c r="AD954" s="6"/>
      <c r="AE954" s="7"/>
      <c r="AF954" s="7"/>
      <c r="AG954" s="7"/>
      <c r="AH954" s="7"/>
      <c r="AI954" s="7"/>
      <c r="AJ954" s="7"/>
      <c r="AK954" s="7"/>
      <c r="AL954" s="7"/>
      <c r="AM954" s="7"/>
      <c r="AN954" s="7"/>
      <c r="AO954" s="6"/>
      <c r="AP954" s="7"/>
      <c r="AQ954" s="7"/>
      <c r="AR954" s="6"/>
      <c r="AS954" s="7"/>
      <c r="AT954" s="7"/>
      <c r="AU954" s="7"/>
      <c r="AV954" s="7"/>
      <c r="AW954" s="7"/>
      <c r="AX954" s="7"/>
      <c r="AY954" s="7"/>
      <c r="AZ954" s="7"/>
      <c r="BA954" s="7"/>
      <c r="BB954" s="7"/>
      <c r="BC954" s="7"/>
      <c r="BD954" s="7"/>
      <c r="BE954" s="7"/>
      <c r="BF954" s="7"/>
      <c r="BG954" s="7"/>
    </row>
    <row r="955" customHeight="1" spans="1:59">
      <c r="A955" s="9">
        <f>IF(ActiveDatabase=Standby,Secondary!A955,Primary!A955)</f>
        <v>0</v>
      </c>
      <c r="B955" s="5">
        <f>IF(ActiveDatabase=Standby,Secondary!B955,Primary!B955)</f>
        <v>0</v>
      </c>
      <c r="C955" s="5">
        <f>IF(ActiveDatabase=Standby,Secondary!C955,Primary!C955)</f>
        <v>0</v>
      </c>
      <c r="D955" s="5">
        <f>IF(ActiveDatabase=Standby,Secondary!D955,Primary!D955)</f>
        <v>0</v>
      </c>
      <c r="E955" s="6">
        <f>IF(ActiveDatabase=Standby,Secondary!E955,Primary!E955)</f>
        <v>0</v>
      </c>
      <c r="F955" s="10">
        <f>IF(ActiveDatabase=Standby,Secondary!F955,Primary!F955)</f>
        <v>0</v>
      </c>
      <c r="G955" s="10">
        <f>IF(ActiveDatabase=Standby,Secondary!G955,Primary!G955)</f>
        <v>0</v>
      </c>
      <c r="H955" s="10">
        <f>IF(ActiveDatabase=Standby,Secondary!H955,Primary!H955)</f>
        <v>0</v>
      </c>
      <c r="I955" s="13">
        <f>IF(ActiveDatabase=Standby,Secondary!I955,Primary!I955)</f>
        <v>0</v>
      </c>
      <c r="J955" s="13">
        <f>IF(ActiveDatabase=Standby,Secondary!J955,Primary!J955)</f>
        <v>0</v>
      </c>
      <c r="K955" s="13">
        <f>IF(ActiveDatabase=Standby,Secondary!K955,Primary!K955)</f>
        <v>0</v>
      </c>
      <c r="L955" s="13">
        <f>IF(ActiveDatabase=Standby,Secondary!L955,Primary!L955)</f>
        <v>0</v>
      </c>
      <c r="M955" s="7">
        <f>IF(ActiveDatabase=Standby,Secondary!M955,Primary!M955)</f>
        <v>0</v>
      </c>
      <c r="N955" s="10">
        <f>IF(ActiveDatabase=Standby,Secondary!N955,Primary!N955)</f>
        <v>0</v>
      </c>
      <c r="O955" s="10">
        <f>IF(ActiveDatabase=Standby,Secondary!O955,Primary!O955)</f>
        <v>0</v>
      </c>
      <c r="P955" s="10">
        <f>IF(ActiveDatabase=Standby,Secondary!P955,Primary!P955)</f>
        <v>0</v>
      </c>
      <c r="Q955" s="6">
        <f>IF(ActiveDatabase=Standby,Secondary!Q955,Primary!Q955)</f>
        <v>0</v>
      </c>
      <c r="R955" s="18">
        <f>IF(ActiveDatabase=Standby,Secondary!R955,Primary!R955)</f>
        <v>0</v>
      </c>
      <c r="S955" s="19">
        <f>IF(ActiveDatabase=Standby,Secondary!S955,Primary!S955)</f>
        <v>0</v>
      </c>
      <c r="T955" s="10">
        <f>IF(ActiveDatabase=Standby,Secondary!T955,Primary!T955)</f>
        <v>0</v>
      </c>
      <c r="U955" s="10">
        <f>IF(ActiveDatabase=Standby,Secondary!U955,Primary!U955)</f>
        <v>0</v>
      </c>
      <c r="V955" s="10">
        <f>IF(ActiveDatabase=Standby,Secondary!V955,Primary!V955)</f>
        <v>0</v>
      </c>
      <c r="W955" s="6">
        <f>IF(ActiveDatabase=Standby,Secondary!W955,Primary!W955)</f>
        <v>0</v>
      </c>
      <c r="X955" s="6">
        <f>IF(ActiveDatabase=Standby,Secondary!X955,Primary!X955)</f>
        <v>0</v>
      </c>
      <c r="Y955" s="12">
        <f>IF(ActiveDatabase=Standby,Secondary!Y955,Primary!Y1613)</f>
        <v>0</v>
      </c>
      <c r="Z955" s="12">
        <f>IF(ActiveDatabase=Standby,Secondary!Z955,Primary!Z1613)</f>
        <v>0</v>
      </c>
      <c r="AA955" s="7">
        <f>IF(ActiveDatabase=Standby,Secondary!AA955,Primary!AA1613)</f>
        <v>0</v>
      </c>
      <c r="AB955" s="12"/>
      <c r="AC955" s="6"/>
      <c r="AD955" s="6"/>
      <c r="AE955" s="7"/>
      <c r="AF955" s="7"/>
      <c r="AG955" s="7"/>
      <c r="AH955" s="7"/>
      <c r="AI955" s="7"/>
      <c r="AJ955" s="7"/>
      <c r="AK955" s="7"/>
      <c r="AL955" s="7"/>
      <c r="AM955" s="7"/>
      <c r="AN955" s="7"/>
      <c r="AO955" s="6"/>
      <c r="AP955" s="7"/>
      <c r="AQ955" s="7"/>
      <c r="AR955" s="6"/>
      <c r="AS955" s="7"/>
      <c r="AT955" s="7"/>
      <c r="AU955" s="7"/>
      <c r="AV955" s="7"/>
      <c r="AW955" s="7"/>
      <c r="AX955" s="7"/>
      <c r="AY955" s="7"/>
      <c r="AZ955" s="7"/>
      <c r="BA955" s="7"/>
      <c r="BB955" s="7"/>
      <c r="BC955" s="7"/>
      <c r="BD955" s="7"/>
      <c r="BE955" s="7"/>
      <c r="BF955" s="7"/>
      <c r="BG955" s="7"/>
    </row>
    <row r="956" customHeight="1" spans="1:59">
      <c r="A956" s="9">
        <f>IF(ActiveDatabase=Standby,Secondary!A956,Primary!A956)</f>
        <v>0</v>
      </c>
      <c r="B956" s="5">
        <f>IF(ActiveDatabase=Standby,Secondary!B956,Primary!B956)</f>
        <v>0</v>
      </c>
      <c r="C956" s="5">
        <f>IF(ActiveDatabase=Standby,Secondary!C956,Primary!C956)</f>
        <v>0</v>
      </c>
      <c r="D956" s="5">
        <f>IF(ActiveDatabase=Standby,Secondary!D956,Primary!D956)</f>
        <v>0</v>
      </c>
      <c r="E956" s="6">
        <f>IF(ActiveDatabase=Standby,Secondary!E956,Primary!E956)</f>
        <v>0</v>
      </c>
      <c r="F956" s="10">
        <f>IF(ActiveDatabase=Standby,Secondary!F956,Primary!F956)</f>
        <v>0</v>
      </c>
      <c r="G956" s="10">
        <f>IF(ActiveDatabase=Standby,Secondary!G956,Primary!G956)</f>
        <v>0</v>
      </c>
      <c r="H956" s="10">
        <f>IF(ActiveDatabase=Standby,Secondary!H956,Primary!H956)</f>
        <v>0</v>
      </c>
      <c r="I956" s="13">
        <f>IF(ActiveDatabase=Standby,Secondary!I956,Primary!I956)</f>
        <v>0</v>
      </c>
      <c r="J956" s="13">
        <f>IF(ActiveDatabase=Standby,Secondary!J956,Primary!J956)</f>
        <v>0</v>
      </c>
      <c r="K956" s="13">
        <f>IF(ActiveDatabase=Standby,Secondary!K956,Primary!K956)</f>
        <v>0</v>
      </c>
      <c r="L956" s="13">
        <f>IF(ActiveDatabase=Standby,Secondary!L956,Primary!L956)</f>
        <v>0</v>
      </c>
      <c r="M956" s="7">
        <f>IF(ActiveDatabase=Standby,Secondary!M956,Primary!M956)</f>
        <v>0</v>
      </c>
      <c r="N956" s="10">
        <f>IF(ActiveDatabase=Standby,Secondary!N956,Primary!N956)</f>
        <v>0</v>
      </c>
      <c r="O956" s="10">
        <f>IF(ActiveDatabase=Standby,Secondary!O956,Primary!O956)</f>
        <v>0</v>
      </c>
      <c r="P956" s="10">
        <f>IF(ActiveDatabase=Standby,Secondary!P956,Primary!P956)</f>
        <v>0</v>
      </c>
      <c r="Q956" s="6">
        <f>IF(ActiveDatabase=Standby,Secondary!Q956,Primary!Q956)</f>
        <v>0</v>
      </c>
      <c r="R956" s="18">
        <f>IF(ActiveDatabase=Standby,Secondary!R956,Primary!R956)</f>
        <v>0</v>
      </c>
      <c r="S956" s="19">
        <f>IF(ActiveDatabase=Standby,Secondary!S956,Primary!S956)</f>
        <v>0</v>
      </c>
      <c r="T956" s="10">
        <f>IF(ActiveDatabase=Standby,Secondary!T956,Primary!T956)</f>
        <v>0</v>
      </c>
      <c r="U956" s="10">
        <f>IF(ActiveDatabase=Standby,Secondary!U956,Primary!U956)</f>
        <v>0</v>
      </c>
      <c r="V956" s="10">
        <f>IF(ActiveDatabase=Standby,Secondary!V956,Primary!V956)</f>
        <v>0</v>
      </c>
      <c r="W956" s="6">
        <f>IF(ActiveDatabase=Standby,Secondary!W956,Primary!W956)</f>
        <v>0</v>
      </c>
      <c r="X956" s="6">
        <f>IF(ActiveDatabase=Standby,Secondary!X956,Primary!X956)</f>
        <v>0</v>
      </c>
      <c r="Y956" s="12">
        <f>IF(ActiveDatabase=Standby,Secondary!Y956,Primary!Y1614)</f>
        <v>0</v>
      </c>
      <c r="Z956" s="12">
        <f>IF(ActiveDatabase=Standby,Secondary!Z956,Primary!Z1614)</f>
        <v>0</v>
      </c>
      <c r="AA956" s="7">
        <f>IF(ActiveDatabase=Standby,Secondary!AA956,Primary!AA1614)</f>
        <v>0</v>
      </c>
      <c r="AB956" s="12"/>
      <c r="AC956" s="6"/>
      <c r="AD956" s="6"/>
      <c r="AE956" s="7"/>
      <c r="AF956" s="7"/>
      <c r="AG956" s="7"/>
      <c r="AH956" s="7"/>
      <c r="AI956" s="7"/>
      <c r="AJ956" s="7"/>
      <c r="AK956" s="7"/>
      <c r="AL956" s="7"/>
      <c r="AM956" s="7"/>
      <c r="AN956" s="7"/>
      <c r="AO956" s="6"/>
      <c r="AP956" s="7"/>
      <c r="AQ956" s="7"/>
      <c r="AR956" s="6"/>
      <c r="AS956" s="7"/>
      <c r="AT956" s="7"/>
      <c r="AU956" s="7"/>
      <c r="AV956" s="7"/>
      <c r="AW956" s="7"/>
      <c r="AX956" s="7"/>
      <c r="AY956" s="7"/>
      <c r="AZ956" s="7"/>
      <c r="BA956" s="7"/>
      <c r="BB956" s="7"/>
      <c r="BC956" s="7"/>
      <c r="BD956" s="7"/>
      <c r="BE956" s="7"/>
      <c r="BF956" s="7"/>
      <c r="BG956" s="7"/>
    </row>
    <row r="957" customHeight="1" spans="1:59">
      <c r="A957" s="9">
        <f>IF(ActiveDatabase=Standby,Secondary!A957,Primary!A957)</f>
        <v>0</v>
      </c>
      <c r="B957" s="5">
        <f>IF(ActiveDatabase=Standby,Secondary!B957,Primary!B957)</f>
        <v>0</v>
      </c>
      <c r="C957" s="5">
        <f>IF(ActiveDatabase=Standby,Secondary!C957,Primary!C957)</f>
        <v>0</v>
      </c>
      <c r="D957" s="5">
        <f>IF(ActiveDatabase=Standby,Secondary!D957,Primary!D957)</f>
        <v>0</v>
      </c>
      <c r="E957" s="6">
        <f>IF(ActiveDatabase=Standby,Secondary!E957,Primary!E957)</f>
        <v>0</v>
      </c>
      <c r="F957" s="10">
        <f>IF(ActiveDatabase=Standby,Secondary!F957,Primary!F957)</f>
        <v>0</v>
      </c>
      <c r="G957" s="10">
        <f>IF(ActiveDatabase=Standby,Secondary!G957,Primary!G957)</f>
        <v>0</v>
      </c>
      <c r="H957" s="10">
        <f>IF(ActiveDatabase=Standby,Secondary!H957,Primary!H957)</f>
        <v>0</v>
      </c>
      <c r="I957" s="13">
        <f>IF(ActiveDatabase=Standby,Secondary!I957,Primary!I957)</f>
        <v>0</v>
      </c>
      <c r="J957" s="13">
        <f>IF(ActiveDatabase=Standby,Secondary!J957,Primary!J957)</f>
        <v>0</v>
      </c>
      <c r="K957" s="13">
        <f>IF(ActiveDatabase=Standby,Secondary!K957,Primary!K957)</f>
        <v>0</v>
      </c>
      <c r="L957" s="13">
        <f>IF(ActiveDatabase=Standby,Secondary!L957,Primary!L957)</f>
        <v>0</v>
      </c>
      <c r="M957" s="7">
        <f>IF(ActiveDatabase=Standby,Secondary!M957,Primary!M957)</f>
        <v>0</v>
      </c>
      <c r="N957" s="10">
        <f>IF(ActiveDatabase=Standby,Secondary!N957,Primary!N957)</f>
        <v>0</v>
      </c>
      <c r="O957" s="10">
        <f>IF(ActiveDatabase=Standby,Secondary!O957,Primary!O957)</f>
        <v>0</v>
      </c>
      <c r="P957" s="10">
        <f>IF(ActiveDatabase=Standby,Secondary!P957,Primary!P957)</f>
        <v>0</v>
      </c>
      <c r="Q957" s="6">
        <f>IF(ActiveDatabase=Standby,Secondary!Q957,Primary!Q957)</f>
        <v>0</v>
      </c>
      <c r="R957" s="18">
        <f>IF(ActiveDatabase=Standby,Secondary!R957,Primary!R957)</f>
        <v>0</v>
      </c>
      <c r="S957" s="19">
        <f>IF(ActiveDatabase=Standby,Secondary!S957,Primary!S957)</f>
        <v>0</v>
      </c>
      <c r="T957" s="10">
        <f>IF(ActiveDatabase=Standby,Secondary!T957,Primary!T957)</f>
        <v>0</v>
      </c>
      <c r="U957" s="10">
        <f>IF(ActiveDatabase=Standby,Secondary!U957,Primary!U957)</f>
        <v>0</v>
      </c>
      <c r="V957" s="10">
        <f>IF(ActiveDatabase=Standby,Secondary!V957,Primary!V957)</f>
        <v>0</v>
      </c>
      <c r="W957" s="6">
        <f>IF(ActiveDatabase=Standby,Secondary!W957,Primary!W957)</f>
        <v>0</v>
      </c>
      <c r="X957" s="6">
        <f>IF(ActiveDatabase=Standby,Secondary!X957,Primary!X957)</f>
        <v>0</v>
      </c>
      <c r="Y957" s="12">
        <f>IF(ActiveDatabase=Standby,Secondary!Y957,Primary!Y1615)</f>
        <v>0</v>
      </c>
      <c r="Z957" s="12">
        <f>IF(ActiveDatabase=Standby,Secondary!Z957,Primary!Z1615)</f>
        <v>0</v>
      </c>
      <c r="AA957" s="7">
        <f>IF(ActiveDatabase=Standby,Secondary!AA957,Primary!AA1615)</f>
        <v>0</v>
      </c>
      <c r="AB957" s="12"/>
      <c r="AC957" s="6"/>
      <c r="AD957" s="6"/>
      <c r="AE957" s="7"/>
      <c r="AF957" s="7"/>
      <c r="AG957" s="7"/>
      <c r="AH957" s="7"/>
      <c r="AI957" s="7"/>
      <c r="AJ957" s="7"/>
      <c r="AK957" s="7"/>
      <c r="AL957" s="7"/>
      <c r="AM957" s="7"/>
      <c r="AN957" s="7"/>
      <c r="AO957" s="6"/>
      <c r="AP957" s="7"/>
      <c r="AQ957" s="7"/>
      <c r="AR957" s="6"/>
      <c r="AS957" s="7"/>
      <c r="AT957" s="7"/>
      <c r="AU957" s="7"/>
      <c r="AV957" s="7"/>
      <c r="AW957" s="7"/>
      <c r="AX957" s="7"/>
      <c r="AY957" s="7"/>
      <c r="AZ957" s="7"/>
      <c r="BA957" s="7"/>
      <c r="BB957" s="7"/>
      <c r="BC957" s="7"/>
      <c r="BD957" s="7"/>
      <c r="BE957" s="7"/>
      <c r="BF957" s="7"/>
      <c r="BG957" s="7"/>
    </row>
    <row r="958" customHeight="1" spans="1:59">
      <c r="A958" s="9">
        <f>IF(ActiveDatabase=Standby,Secondary!A958,Primary!A958)</f>
        <v>0</v>
      </c>
      <c r="B958" s="5">
        <f>IF(ActiveDatabase=Standby,Secondary!B958,Primary!B958)</f>
        <v>0</v>
      </c>
      <c r="C958" s="5">
        <f>IF(ActiveDatabase=Standby,Secondary!C958,Primary!C958)</f>
        <v>0</v>
      </c>
      <c r="D958" s="5">
        <f>IF(ActiveDatabase=Standby,Secondary!D958,Primary!D958)</f>
        <v>0</v>
      </c>
      <c r="E958" s="6">
        <f>IF(ActiveDatabase=Standby,Secondary!E958,Primary!E958)</f>
        <v>0</v>
      </c>
      <c r="F958" s="10">
        <f>IF(ActiveDatabase=Standby,Secondary!F958,Primary!F958)</f>
        <v>0</v>
      </c>
      <c r="G958" s="10">
        <f>IF(ActiveDatabase=Standby,Secondary!G958,Primary!G958)</f>
        <v>0</v>
      </c>
      <c r="H958" s="10">
        <f>IF(ActiveDatabase=Standby,Secondary!H958,Primary!H958)</f>
        <v>0</v>
      </c>
      <c r="I958" s="13">
        <f>IF(ActiveDatabase=Standby,Secondary!I958,Primary!I958)</f>
        <v>0</v>
      </c>
      <c r="J958" s="13">
        <f>IF(ActiveDatabase=Standby,Secondary!J958,Primary!J958)</f>
        <v>0</v>
      </c>
      <c r="K958" s="13">
        <f>IF(ActiveDatabase=Standby,Secondary!K958,Primary!K958)</f>
        <v>0</v>
      </c>
      <c r="L958" s="13">
        <f>IF(ActiveDatabase=Standby,Secondary!L958,Primary!L958)</f>
        <v>0</v>
      </c>
      <c r="M958" s="7">
        <f>IF(ActiveDatabase=Standby,Secondary!M958,Primary!M958)</f>
        <v>0</v>
      </c>
      <c r="N958" s="10">
        <f>IF(ActiveDatabase=Standby,Secondary!N958,Primary!N958)</f>
        <v>0</v>
      </c>
      <c r="O958" s="10">
        <f>IF(ActiveDatabase=Standby,Secondary!O958,Primary!O958)</f>
        <v>0</v>
      </c>
      <c r="P958" s="10">
        <f>IF(ActiveDatabase=Standby,Secondary!P958,Primary!P958)</f>
        <v>0</v>
      </c>
      <c r="Q958" s="6">
        <f>IF(ActiveDatabase=Standby,Secondary!Q958,Primary!Q958)</f>
        <v>0</v>
      </c>
      <c r="R958" s="18">
        <f>IF(ActiveDatabase=Standby,Secondary!R958,Primary!R958)</f>
        <v>0</v>
      </c>
      <c r="S958" s="19">
        <f>IF(ActiveDatabase=Standby,Secondary!S958,Primary!S958)</f>
        <v>0</v>
      </c>
      <c r="T958" s="10">
        <f>IF(ActiveDatabase=Standby,Secondary!T958,Primary!T958)</f>
        <v>0</v>
      </c>
      <c r="U958" s="10">
        <f>IF(ActiveDatabase=Standby,Secondary!U958,Primary!U958)</f>
        <v>0</v>
      </c>
      <c r="V958" s="10">
        <f>IF(ActiveDatabase=Standby,Secondary!V958,Primary!V958)</f>
        <v>0</v>
      </c>
      <c r="W958" s="6">
        <f>IF(ActiveDatabase=Standby,Secondary!W958,Primary!W958)</f>
        <v>0</v>
      </c>
      <c r="X958" s="6">
        <f>IF(ActiveDatabase=Standby,Secondary!X958,Primary!X958)</f>
        <v>0</v>
      </c>
      <c r="Y958" s="12">
        <f>IF(ActiveDatabase=Standby,Secondary!Y958,Primary!Y1616)</f>
        <v>0</v>
      </c>
      <c r="Z958" s="12">
        <f>IF(ActiveDatabase=Standby,Secondary!Z958,Primary!Z1616)</f>
        <v>0</v>
      </c>
      <c r="AA958" s="7">
        <f>IF(ActiveDatabase=Standby,Secondary!AA958,Primary!AA1616)</f>
        <v>0</v>
      </c>
      <c r="AB958" s="12"/>
      <c r="AC958" s="6"/>
      <c r="AD958" s="6"/>
      <c r="AE958" s="7"/>
      <c r="AF958" s="7"/>
      <c r="AG958" s="7"/>
      <c r="AH958" s="7"/>
      <c r="AI958" s="7"/>
      <c r="AJ958" s="7"/>
      <c r="AK958" s="7"/>
      <c r="AL958" s="7"/>
      <c r="AM958" s="7"/>
      <c r="AN958" s="7"/>
      <c r="AO958" s="6"/>
      <c r="AP958" s="7"/>
      <c r="AQ958" s="7"/>
      <c r="AR958" s="6"/>
      <c r="AS958" s="7"/>
      <c r="AT958" s="7"/>
      <c r="AU958" s="7"/>
      <c r="AV958" s="7"/>
      <c r="AW958" s="7"/>
      <c r="AX958" s="7"/>
      <c r="AY958" s="7"/>
      <c r="AZ958" s="7"/>
      <c r="BA958" s="7"/>
      <c r="BB958" s="7"/>
      <c r="BC958" s="7"/>
      <c r="BD958" s="7"/>
      <c r="BE958" s="7"/>
      <c r="BF958" s="7"/>
      <c r="BG958" s="7"/>
    </row>
    <row r="959" customHeight="1" spans="1:59">
      <c r="A959" s="9">
        <f>IF(ActiveDatabase=Standby,Secondary!A959,Primary!A959)</f>
        <v>0</v>
      </c>
      <c r="B959" s="5">
        <f>IF(ActiveDatabase=Standby,Secondary!B959,Primary!B959)</f>
        <v>0</v>
      </c>
      <c r="C959" s="5">
        <f>IF(ActiveDatabase=Standby,Secondary!C959,Primary!C959)</f>
        <v>0</v>
      </c>
      <c r="D959" s="5">
        <f>IF(ActiveDatabase=Standby,Secondary!D959,Primary!D959)</f>
        <v>0</v>
      </c>
      <c r="E959" s="6">
        <f>IF(ActiveDatabase=Standby,Secondary!E959,Primary!E959)</f>
        <v>0</v>
      </c>
      <c r="F959" s="10">
        <f>IF(ActiveDatabase=Standby,Secondary!F959,Primary!F959)</f>
        <v>0</v>
      </c>
      <c r="G959" s="10">
        <f>IF(ActiveDatabase=Standby,Secondary!G959,Primary!G959)</f>
        <v>0</v>
      </c>
      <c r="H959" s="10">
        <f>IF(ActiveDatabase=Standby,Secondary!H959,Primary!H959)</f>
        <v>0</v>
      </c>
      <c r="I959" s="13">
        <f>IF(ActiveDatabase=Standby,Secondary!I959,Primary!I959)</f>
        <v>0</v>
      </c>
      <c r="J959" s="13">
        <f>IF(ActiveDatabase=Standby,Secondary!J959,Primary!J959)</f>
        <v>0</v>
      </c>
      <c r="K959" s="13">
        <f>IF(ActiveDatabase=Standby,Secondary!K959,Primary!K959)</f>
        <v>0</v>
      </c>
      <c r="L959" s="13">
        <f>IF(ActiveDatabase=Standby,Secondary!L959,Primary!L959)</f>
        <v>0</v>
      </c>
      <c r="M959" s="7">
        <f>IF(ActiveDatabase=Standby,Secondary!M959,Primary!M959)</f>
        <v>0</v>
      </c>
      <c r="N959" s="10">
        <f>IF(ActiveDatabase=Standby,Secondary!N959,Primary!N959)</f>
        <v>0</v>
      </c>
      <c r="O959" s="10">
        <f>IF(ActiveDatabase=Standby,Secondary!O959,Primary!O959)</f>
        <v>0</v>
      </c>
      <c r="P959" s="10">
        <f>IF(ActiveDatabase=Standby,Secondary!P959,Primary!P959)</f>
        <v>0</v>
      </c>
      <c r="Q959" s="6">
        <f>IF(ActiveDatabase=Standby,Secondary!Q959,Primary!Q959)</f>
        <v>0</v>
      </c>
      <c r="R959" s="18">
        <f>IF(ActiveDatabase=Standby,Secondary!R959,Primary!R959)</f>
        <v>0</v>
      </c>
      <c r="S959" s="19">
        <f>IF(ActiveDatabase=Standby,Secondary!S959,Primary!S959)</f>
        <v>0</v>
      </c>
      <c r="T959" s="10">
        <f>IF(ActiveDatabase=Standby,Secondary!T959,Primary!T959)</f>
        <v>0</v>
      </c>
      <c r="U959" s="10">
        <f>IF(ActiveDatabase=Standby,Secondary!U959,Primary!U959)</f>
        <v>0</v>
      </c>
      <c r="V959" s="10">
        <f>IF(ActiveDatabase=Standby,Secondary!V959,Primary!V959)</f>
        <v>0</v>
      </c>
      <c r="W959" s="6">
        <f>IF(ActiveDatabase=Standby,Secondary!W959,Primary!W959)</f>
        <v>0</v>
      </c>
      <c r="X959" s="6">
        <f>IF(ActiveDatabase=Standby,Secondary!X959,Primary!X959)</f>
        <v>0</v>
      </c>
      <c r="Y959" s="12">
        <f>IF(ActiveDatabase=Standby,Secondary!Y959,Primary!Y1617)</f>
        <v>0</v>
      </c>
      <c r="Z959" s="12">
        <f>IF(ActiveDatabase=Standby,Secondary!Z959,Primary!Z1617)</f>
        <v>0</v>
      </c>
      <c r="AA959" s="7">
        <f>IF(ActiveDatabase=Standby,Secondary!AA959,Primary!AA1617)</f>
        <v>0</v>
      </c>
      <c r="AB959" s="12"/>
      <c r="AC959" s="6"/>
      <c r="AD959" s="6"/>
      <c r="AE959" s="7"/>
      <c r="AF959" s="7"/>
      <c r="AG959" s="7"/>
      <c r="AH959" s="7"/>
      <c r="AI959" s="7"/>
      <c r="AJ959" s="7"/>
      <c r="AK959" s="7"/>
      <c r="AL959" s="7"/>
      <c r="AM959" s="7"/>
      <c r="AN959" s="7"/>
      <c r="AO959" s="6"/>
      <c r="AP959" s="7"/>
      <c r="AQ959" s="7"/>
      <c r="AR959" s="6"/>
      <c r="AS959" s="7"/>
      <c r="AT959" s="7"/>
      <c r="AU959" s="7"/>
      <c r="AV959" s="7"/>
      <c r="AW959" s="7"/>
      <c r="AX959" s="7"/>
      <c r="AY959" s="7"/>
      <c r="AZ959" s="7"/>
      <c r="BA959" s="7"/>
      <c r="BB959" s="7"/>
      <c r="BC959" s="7"/>
      <c r="BD959" s="7"/>
      <c r="BE959" s="7"/>
      <c r="BF959" s="7"/>
      <c r="BG959" s="7"/>
    </row>
    <row r="960" customHeight="1" spans="1:59">
      <c r="A960" s="9">
        <f>IF(ActiveDatabase=Standby,Secondary!A960,Primary!A960)</f>
        <v>0</v>
      </c>
      <c r="B960" s="5">
        <f>IF(ActiveDatabase=Standby,Secondary!B960,Primary!B960)</f>
        <v>0</v>
      </c>
      <c r="C960" s="5">
        <f>IF(ActiveDatabase=Standby,Secondary!C960,Primary!C960)</f>
        <v>0</v>
      </c>
      <c r="D960" s="5">
        <f>IF(ActiveDatabase=Standby,Secondary!D960,Primary!D960)</f>
        <v>0</v>
      </c>
      <c r="E960" s="6">
        <f>IF(ActiveDatabase=Standby,Secondary!E960,Primary!E960)</f>
        <v>0</v>
      </c>
      <c r="F960" s="10">
        <f>IF(ActiveDatabase=Standby,Secondary!F960,Primary!F960)</f>
        <v>0</v>
      </c>
      <c r="G960" s="10">
        <f>IF(ActiveDatabase=Standby,Secondary!G960,Primary!G960)</f>
        <v>0</v>
      </c>
      <c r="H960" s="10">
        <f>IF(ActiveDatabase=Standby,Secondary!H960,Primary!H960)</f>
        <v>0</v>
      </c>
      <c r="I960" s="13">
        <f>IF(ActiveDatabase=Standby,Secondary!I960,Primary!I960)</f>
        <v>0</v>
      </c>
      <c r="J960" s="13">
        <f>IF(ActiveDatabase=Standby,Secondary!J960,Primary!J960)</f>
        <v>0</v>
      </c>
      <c r="K960" s="13">
        <f>IF(ActiveDatabase=Standby,Secondary!K960,Primary!K960)</f>
        <v>0</v>
      </c>
      <c r="L960" s="13">
        <f>IF(ActiveDatabase=Standby,Secondary!L960,Primary!L960)</f>
        <v>0</v>
      </c>
      <c r="M960" s="7">
        <f>IF(ActiveDatabase=Standby,Secondary!M960,Primary!M960)</f>
        <v>0</v>
      </c>
      <c r="N960" s="10">
        <f>IF(ActiveDatabase=Standby,Secondary!N960,Primary!N960)</f>
        <v>0</v>
      </c>
      <c r="O960" s="10">
        <f>IF(ActiveDatabase=Standby,Secondary!O960,Primary!O960)</f>
        <v>0</v>
      </c>
      <c r="P960" s="10">
        <f>IF(ActiveDatabase=Standby,Secondary!P960,Primary!P960)</f>
        <v>0</v>
      </c>
      <c r="Q960" s="6">
        <f>IF(ActiveDatabase=Standby,Secondary!Q960,Primary!Q960)</f>
        <v>0</v>
      </c>
      <c r="R960" s="18">
        <f>IF(ActiveDatabase=Standby,Secondary!R960,Primary!R960)</f>
        <v>0</v>
      </c>
      <c r="S960" s="19">
        <f>IF(ActiveDatabase=Standby,Secondary!S960,Primary!S960)</f>
        <v>0</v>
      </c>
      <c r="T960" s="10">
        <f>IF(ActiveDatabase=Standby,Secondary!T960,Primary!T960)</f>
        <v>0</v>
      </c>
      <c r="U960" s="10">
        <f>IF(ActiveDatabase=Standby,Secondary!U960,Primary!U960)</f>
        <v>0</v>
      </c>
      <c r="V960" s="10">
        <f>IF(ActiveDatabase=Standby,Secondary!V960,Primary!V960)</f>
        <v>0</v>
      </c>
      <c r="W960" s="6">
        <f>IF(ActiveDatabase=Standby,Secondary!W960,Primary!W960)</f>
        <v>0</v>
      </c>
      <c r="X960" s="6">
        <f>IF(ActiveDatabase=Standby,Secondary!X960,Primary!X960)</f>
        <v>0</v>
      </c>
      <c r="Y960" s="12">
        <f>IF(ActiveDatabase=Standby,Secondary!Y960,Primary!Y1618)</f>
        <v>0</v>
      </c>
      <c r="Z960" s="12">
        <f>IF(ActiveDatabase=Standby,Secondary!Z960,Primary!Z1618)</f>
        <v>0</v>
      </c>
      <c r="AA960" s="7">
        <f>IF(ActiveDatabase=Standby,Secondary!AA960,Primary!AA1618)</f>
        <v>0</v>
      </c>
      <c r="AB960" s="12"/>
      <c r="AC960" s="6"/>
      <c r="AD960" s="6"/>
      <c r="AE960" s="7"/>
      <c r="AF960" s="7"/>
      <c r="AG960" s="7"/>
      <c r="AH960" s="7"/>
      <c r="AI960" s="7"/>
      <c r="AJ960" s="7"/>
      <c r="AK960" s="7"/>
      <c r="AL960" s="7"/>
      <c r="AM960" s="7"/>
      <c r="AN960" s="7"/>
      <c r="AO960" s="6"/>
      <c r="AP960" s="7"/>
      <c r="AQ960" s="7"/>
      <c r="AR960" s="6"/>
      <c r="AS960" s="7"/>
      <c r="AT960" s="7"/>
      <c r="AU960" s="7"/>
      <c r="AV960" s="7"/>
      <c r="AW960" s="7"/>
      <c r="AX960" s="7"/>
      <c r="AY960" s="7"/>
      <c r="AZ960" s="7"/>
      <c r="BA960" s="7"/>
      <c r="BB960" s="7"/>
      <c r="BC960" s="7"/>
      <c r="BD960" s="7"/>
      <c r="BE960" s="7"/>
      <c r="BF960" s="7"/>
      <c r="BG960" s="7"/>
    </row>
    <row r="961" customHeight="1" spans="1:59">
      <c r="A961" s="9">
        <f>IF(ActiveDatabase=Standby,Secondary!A961,Primary!A961)</f>
        <v>0</v>
      </c>
      <c r="B961" s="5">
        <f>IF(ActiveDatabase=Standby,Secondary!B961,Primary!B961)</f>
        <v>0</v>
      </c>
      <c r="C961" s="5">
        <f>IF(ActiveDatabase=Standby,Secondary!C961,Primary!C961)</f>
        <v>0</v>
      </c>
      <c r="D961" s="5">
        <f>IF(ActiveDatabase=Standby,Secondary!D961,Primary!D961)</f>
        <v>0</v>
      </c>
      <c r="E961" s="6">
        <f>IF(ActiveDatabase=Standby,Secondary!E961,Primary!E961)</f>
        <v>0</v>
      </c>
      <c r="F961" s="10">
        <f>IF(ActiveDatabase=Standby,Secondary!F961,Primary!F961)</f>
        <v>0</v>
      </c>
      <c r="G961" s="10">
        <f>IF(ActiveDatabase=Standby,Secondary!G961,Primary!G961)</f>
        <v>0</v>
      </c>
      <c r="H961" s="10">
        <f>IF(ActiveDatabase=Standby,Secondary!H961,Primary!H961)</f>
        <v>0</v>
      </c>
      <c r="I961" s="13">
        <f>IF(ActiveDatabase=Standby,Secondary!I961,Primary!I961)</f>
        <v>0</v>
      </c>
      <c r="J961" s="13">
        <f>IF(ActiveDatabase=Standby,Secondary!J961,Primary!J961)</f>
        <v>0</v>
      </c>
      <c r="K961" s="13">
        <f>IF(ActiveDatabase=Standby,Secondary!K961,Primary!K961)</f>
        <v>0</v>
      </c>
      <c r="L961" s="13">
        <f>IF(ActiveDatabase=Standby,Secondary!L961,Primary!L961)</f>
        <v>0</v>
      </c>
      <c r="M961" s="7">
        <f>IF(ActiveDatabase=Standby,Secondary!M961,Primary!M961)</f>
        <v>0</v>
      </c>
      <c r="N961" s="10">
        <f>IF(ActiveDatabase=Standby,Secondary!N961,Primary!N961)</f>
        <v>0</v>
      </c>
      <c r="O961" s="10">
        <f>IF(ActiveDatabase=Standby,Secondary!O961,Primary!O961)</f>
        <v>0</v>
      </c>
      <c r="P961" s="10">
        <f>IF(ActiveDatabase=Standby,Secondary!P961,Primary!P961)</f>
        <v>0</v>
      </c>
      <c r="Q961" s="6">
        <f>IF(ActiveDatabase=Standby,Secondary!Q961,Primary!Q961)</f>
        <v>0</v>
      </c>
      <c r="R961" s="18">
        <f>IF(ActiveDatabase=Standby,Secondary!R961,Primary!R961)</f>
        <v>0</v>
      </c>
      <c r="S961" s="19">
        <f>IF(ActiveDatabase=Standby,Secondary!S961,Primary!S961)</f>
        <v>0</v>
      </c>
      <c r="T961" s="10">
        <f>IF(ActiveDatabase=Standby,Secondary!T961,Primary!T961)</f>
        <v>0</v>
      </c>
      <c r="U961" s="10">
        <f>IF(ActiveDatabase=Standby,Secondary!U961,Primary!U961)</f>
        <v>0</v>
      </c>
      <c r="V961" s="10">
        <f>IF(ActiveDatabase=Standby,Secondary!V961,Primary!V961)</f>
        <v>0</v>
      </c>
      <c r="W961" s="6">
        <f>IF(ActiveDatabase=Standby,Secondary!W961,Primary!W961)</f>
        <v>0</v>
      </c>
      <c r="X961" s="6">
        <f>IF(ActiveDatabase=Standby,Secondary!X961,Primary!X961)</f>
        <v>0</v>
      </c>
      <c r="Y961" s="12">
        <f>IF(ActiveDatabase=Standby,Secondary!Y961,Primary!Y1619)</f>
        <v>0</v>
      </c>
      <c r="Z961" s="12">
        <f>IF(ActiveDatabase=Standby,Secondary!Z961,Primary!Z1619)</f>
        <v>0</v>
      </c>
      <c r="AA961" s="7">
        <f>IF(ActiveDatabase=Standby,Secondary!AA961,Primary!AA1619)</f>
        <v>0</v>
      </c>
      <c r="AB961" s="12"/>
      <c r="AC961" s="6"/>
      <c r="AD961" s="6"/>
      <c r="AE961" s="7"/>
      <c r="AF961" s="7"/>
      <c r="AG961" s="7"/>
      <c r="AH961" s="7"/>
      <c r="AI961" s="7"/>
      <c r="AJ961" s="7"/>
      <c r="AK961" s="7"/>
      <c r="AL961" s="7"/>
      <c r="AM961" s="7"/>
      <c r="AN961" s="7"/>
      <c r="AO961" s="6"/>
      <c r="AP961" s="7"/>
      <c r="AQ961" s="7"/>
      <c r="AR961" s="6"/>
      <c r="AS961" s="7"/>
      <c r="AT961" s="7"/>
      <c r="AU961" s="7"/>
      <c r="AV961" s="7"/>
      <c r="AW961" s="7"/>
      <c r="AX961" s="7"/>
      <c r="AY961" s="7"/>
      <c r="AZ961" s="7"/>
      <c r="BA961" s="7"/>
      <c r="BB961" s="7"/>
      <c r="BC961" s="7"/>
      <c r="BD961" s="7"/>
      <c r="BE961" s="7"/>
      <c r="BF961" s="7"/>
      <c r="BG961" s="7"/>
    </row>
    <row r="962" customHeight="1" spans="1:59">
      <c r="A962" s="9">
        <f>IF(ActiveDatabase=Standby,Secondary!A962,Primary!A962)</f>
        <v>0</v>
      </c>
      <c r="B962" s="5">
        <f>IF(ActiveDatabase=Standby,Secondary!B962,Primary!B962)</f>
        <v>0</v>
      </c>
      <c r="C962" s="5">
        <f>IF(ActiveDatabase=Standby,Secondary!C962,Primary!C962)</f>
        <v>0</v>
      </c>
      <c r="D962" s="5">
        <f>IF(ActiveDatabase=Standby,Secondary!D962,Primary!D962)</f>
        <v>0</v>
      </c>
      <c r="E962" s="6">
        <f>IF(ActiveDatabase=Standby,Secondary!E962,Primary!E962)</f>
        <v>0</v>
      </c>
      <c r="F962" s="10">
        <f>IF(ActiveDatabase=Standby,Secondary!F962,Primary!F962)</f>
        <v>0</v>
      </c>
      <c r="G962" s="10">
        <f>IF(ActiveDatabase=Standby,Secondary!G962,Primary!G962)</f>
        <v>0</v>
      </c>
      <c r="H962" s="10">
        <f>IF(ActiveDatabase=Standby,Secondary!H962,Primary!H962)</f>
        <v>0</v>
      </c>
      <c r="I962" s="13">
        <f>IF(ActiveDatabase=Standby,Secondary!I962,Primary!I962)</f>
        <v>0</v>
      </c>
      <c r="J962" s="13">
        <f>IF(ActiveDatabase=Standby,Secondary!J962,Primary!J962)</f>
        <v>0</v>
      </c>
      <c r="K962" s="13">
        <f>IF(ActiveDatabase=Standby,Secondary!K962,Primary!K962)</f>
        <v>0</v>
      </c>
      <c r="L962" s="13">
        <f>IF(ActiveDatabase=Standby,Secondary!L962,Primary!L962)</f>
        <v>0</v>
      </c>
      <c r="M962" s="7">
        <f>IF(ActiveDatabase=Standby,Secondary!M962,Primary!M962)</f>
        <v>0</v>
      </c>
      <c r="N962" s="10">
        <f>IF(ActiveDatabase=Standby,Secondary!N962,Primary!N962)</f>
        <v>0</v>
      </c>
      <c r="O962" s="10">
        <f>IF(ActiveDatabase=Standby,Secondary!O962,Primary!O962)</f>
        <v>0</v>
      </c>
      <c r="P962" s="10">
        <f>IF(ActiveDatabase=Standby,Secondary!P962,Primary!P962)</f>
        <v>0</v>
      </c>
      <c r="Q962" s="6">
        <f>IF(ActiveDatabase=Standby,Secondary!Q962,Primary!Q962)</f>
        <v>0</v>
      </c>
      <c r="R962" s="18">
        <f>IF(ActiveDatabase=Standby,Secondary!R962,Primary!R962)</f>
        <v>0</v>
      </c>
      <c r="S962" s="19">
        <f>IF(ActiveDatabase=Standby,Secondary!S962,Primary!S962)</f>
        <v>0</v>
      </c>
      <c r="T962" s="10">
        <f>IF(ActiveDatabase=Standby,Secondary!T962,Primary!T962)</f>
        <v>0</v>
      </c>
      <c r="U962" s="10">
        <f>IF(ActiveDatabase=Standby,Secondary!U962,Primary!U962)</f>
        <v>0</v>
      </c>
      <c r="V962" s="10">
        <f>IF(ActiveDatabase=Standby,Secondary!V962,Primary!V962)</f>
        <v>0</v>
      </c>
      <c r="W962" s="6">
        <f>IF(ActiveDatabase=Standby,Secondary!W962,Primary!W962)</f>
        <v>0</v>
      </c>
      <c r="X962" s="6">
        <f>IF(ActiveDatabase=Standby,Secondary!X962,Primary!X962)</f>
        <v>0</v>
      </c>
      <c r="Y962" s="12">
        <f>IF(ActiveDatabase=Standby,Secondary!Y962,Primary!Y1620)</f>
        <v>0</v>
      </c>
      <c r="Z962" s="12">
        <f>IF(ActiveDatabase=Standby,Secondary!Z962,Primary!Z1620)</f>
        <v>0</v>
      </c>
      <c r="AA962" s="7">
        <f>IF(ActiveDatabase=Standby,Secondary!AA962,Primary!AA1620)</f>
        <v>0</v>
      </c>
      <c r="AB962" s="12"/>
      <c r="AC962" s="6"/>
      <c r="AD962" s="6"/>
      <c r="AE962" s="7"/>
      <c r="AF962" s="7"/>
      <c r="AG962" s="7"/>
      <c r="AH962" s="7"/>
      <c r="AI962" s="7"/>
      <c r="AJ962" s="7"/>
      <c r="AK962" s="7"/>
      <c r="AL962" s="7"/>
      <c r="AM962" s="7"/>
      <c r="AN962" s="7"/>
      <c r="AO962" s="6"/>
      <c r="AP962" s="7"/>
      <c r="AQ962" s="7"/>
      <c r="AR962" s="6"/>
      <c r="AS962" s="7"/>
      <c r="AT962" s="7"/>
      <c r="AU962" s="7"/>
      <c r="AV962" s="7"/>
      <c r="AW962" s="7"/>
      <c r="AX962" s="7"/>
      <c r="AY962" s="7"/>
      <c r="AZ962" s="7"/>
      <c r="BA962" s="7"/>
      <c r="BB962" s="7"/>
      <c r="BC962" s="7"/>
      <c r="BD962" s="7"/>
      <c r="BE962" s="7"/>
      <c r="BF962" s="7"/>
      <c r="BG962" s="7"/>
    </row>
    <row r="963" customHeight="1" spans="1:59">
      <c r="A963" s="9">
        <f>IF(ActiveDatabase=Standby,Secondary!A963,Primary!A963)</f>
        <v>0</v>
      </c>
      <c r="B963" s="5">
        <f>IF(ActiveDatabase=Standby,Secondary!B963,Primary!B963)</f>
        <v>0</v>
      </c>
      <c r="C963" s="5">
        <f>IF(ActiveDatabase=Standby,Secondary!C963,Primary!C963)</f>
        <v>0</v>
      </c>
      <c r="D963" s="5">
        <f>IF(ActiveDatabase=Standby,Secondary!D963,Primary!D963)</f>
        <v>0</v>
      </c>
      <c r="E963" s="6">
        <f>IF(ActiveDatabase=Standby,Secondary!E963,Primary!E963)</f>
        <v>0</v>
      </c>
      <c r="F963" s="10">
        <f>IF(ActiveDatabase=Standby,Secondary!F963,Primary!F963)</f>
        <v>0</v>
      </c>
      <c r="G963" s="10">
        <f>IF(ActiveDatabase=Standby,Secondary!G963,Primary!G963)</f>
        <v>0</v>
      </c>
      <c r="H963" s="10">
        <f>IF(ActiveDatabase=Standby,Secondary!H963,Primary!H963)</f>
        <v>0</v>
      </c>
      <c r="I963" s="13">
        <f>IF(ActiveDatabase=Standby,Secondary!I963,Primary!I963)</f>
        <v>0</v>
      </c>
      <c r="J963" s="13">
        <f>IF(ActiveDatabase=Standby,Secondary!J963,Primary!J963)</f>
        <v>0</v>
      </c>
      <c r="K963" s="13">
        <f>IF(ActiveDatabase=Standby,Secondary!K963,Primary!K963)</f>
        <v>0</v>
      </c>
      <c r="L963" s="13">
        <f>IF(ActiveDatabase=Standby,Secondary!L963,Primary!L963)</f>
        <v>0</v>
      </c>
      <c r="M963" s="7">
        <f>IF(ActiveDatabase=Standby,Secondary!M963,Primary!M963)</f>
        <v>0</v>
      </c>
      <c r="N963" s="10">
        <f>IF(ActiveDatabase=Standby,Secondary!N963,Primary!N963)</f>
        <v>0</v>
      </c>
      <c r="O963" s="10">
        <f>IF(ActiveDatabase=Standby,Secondary!O963,Primary!O963)</f>
        <v>0</v>
      </c>
      <c r="P963" s="10">
        <f>IF(ActiveDatabase=Standby,Secondary!P963,Primary!P963)</f>
        <v>0</v>
      </c>
      <c r="Q963" s="6">
        <f>IF(ActiveDatabase=Standby,Secondary!Q963,Primary!Q963)</f>
        <v>0</v>
      </c>
      <c r="R963" s="18">
        <f>IF(ActiveDatabase=Standby,Secondary!R963,Primary!R963)</f>
        <v>0</v>
      </c>
      <c r="S963" s="19">
        <f>IF(ActiveDatabase=Standby,Secondary!S963,Primary!S963)</f>
        <v>0</v>
      </c>
      <c r="T963" s="10">
        <f>IF(ActiveDatabase=Standby,Secondary!T963,Primary!T963)</f>
        <v>0</v>
      </c>
      <c r="U963" s="10">
        <f>IF(ActiveDatabase=Standby,Secondary!U963,Primary!U963)</f>
        <v>0</v>
      </c>
      <c r="V963" s="10">
        <f>IF(ActiveDatabase=Standby,Secondary!V963,Primary!V963)</f>
        <v>0</v>
      </c>
      <c r="W963" s="6">
        <f>IF(ActiveDatabase=Standby,Secondary!W963,Primary!W963)</f>
        <v>0</v>
      </c>
      <c r="X963" s="6">
        <f>IF(ActiveDatabase=Standby,Secondary!X963,Primary!X963)</f>
        <v>0</v>
      </c>
      <c r="Y963" s="12">
        <f>IF(ActiveDatabase=Standby,Secondary!Y963,Primary!Y1621)</f>
        <v>0</v>
      </c>
      <c r="Z963" s="12">
        <f>IF(ActiveDatabase=Standby,Secondary!Z963,Primary!Z1621)</f>
        <v>0</v>
      </c>
      <c r="AA963" s="7">
        <f>IF(ActiveDatabase=Standby,Secondary!AA963,Primary!AA1621)</f>
        <v>0</v>
      </c>
      <c r="AB963" s="12"/>
      <c r="AC963" s="6"/>
      <c r="AD963" s="6"/>
      <c r="AE963" s="7"/>
      <c r="AF963" s="7"/>
      <c r="AG963" s="7"/>
      <c r="AH963" s="7"/>
      <c r="AI963" s="7"/>
      <c r="AJ963" s="7"/>
      <c r="AK963" s="7"/>
      <c r="AL963" s="7"/>
      <c r="AM963" s="7"/>
      <c r="AN963" s="7"/>
      <c r="AO963" s="6"/>
      <c r="AP963" s="7"/>
      <c r="AQ963" s="7"/>
      <c r="AR963" s="6"/>
      <c r="AS963" s="7"/>
      <c r="AT963" s="7"/>
      <c r="AU963" s="7"/>
      <c r="AV963" s="7"/>
      <c r="AW963" s="7"/>
      <c r="AX963" s="7"/>
      <c r="AY963" s="7"/>
      <c r="AZ963" s="7"/>
      <c r="BA963" s="7"/>
      <c r="BB963" s="7"/>
      <c r="BC963" s="7"/>
      <c r="BD963" s="7"/>
      <c r="BE963" s="7"/>
      <c r="BF963" s="7"/>
      <c r="BG963" s="7"/>
    </row>
    <row r="964" customHeight="1" spans="1:59">
      <c r="A964" s="9">
        <f>IF(ActiveDatabase=Standby,Secondary!A964,Primary!A964)</f>
        <v>0</v>
      </c>
      <c r="B964" s="5">
        <f>IF(ActiveDatabase=Standby,Secondary!B964,Primary!B964)</f>
        <v>0</v>
      </c>
      <c r="C964" s="5">
        <f>IF(ActiveDatabase=Standby,Secondary!C964,Primary!C964)</f>
        <v>0</v>
      </c>
      <c r="D964" s="5">
        <f>IF(ActiveDatabase=Standby,Secondary!D964,Primary!D964)</f>
        <v>0</v>
      </c>
      <c r="E964" s="6">
        <f>IF(ActiveDatabase=Standby,Secondary!E964,Primary!E964)</f>
        <v>0</v>
      </c>
      <c r="F964" s="10">
        <f>IF(ActiveDatabase=Standby,Secondary!F964,Primary!F964)</f>
        <v>0</v>
      </c>
      <c r="G964" s="10">
        <f>IF(ActiveDatabase=Standby,Secondary!G964,Primary!G964)</f>
        <v>0</v>
      </c>
      <c r="H964" s="10">
        <f>IF(ActiveDatabase=Standby,Secondary!H964,Primary!H964)</f>
        <v>0</v>
      </c>
      <c r="I964" s="13">
        <f>IF(ActiveDatabase=Standby,Secondary!I964,Primary!I964)</f>
        <v>0</v>
      </c>
      <c r="J964" s="13">
        <f>IF(ActiveDatabase=Standby,Secondary!J964,Primary!J964)</f>
        <v>0</v>
      </c>
      <c r="K964" s="13">
        <f>IF(ActiveDatabase=Standby,Secondary!K964,Primary!K964)</f>
        <v>0</v>
      </c>
      <c r="L964" s="13">
        <f>IF(ActiveDatabase=Standby,Secondary!L964,Primary!L964)</f>
        <v>0</v>
      </c>
      <c r="M964" s="7">
        <f>IF(ActiveDatabase=Standby,Secondary!M964,Primary!M964)</f>
        <v>0</v>
      </c>
      <c r="N964" s="10">
        <f>IF(ActiveDatabase=Standby,Secondary!N964,Primary!N964)</f>
        <v>0</v>
      </c>
      <c r="O964" s="10">
        <f>IF(ActiveDatabase=Standby,Secondary!O964,Primary!O964)</f>
        <v>0</v>
      </c>
      <c r="P964" s="10">
        <f>IF(ActiveDatabase=Standby,Secondary!P964,Primary!P964)</f>
        <v>0</v>
      </c>
      <c r="Q964" s="6">
        <f>IF(ActiveDatabase=Standby,Secondary!Q964,Primary!Q964)</f>
        <v>0</v>
      </c>
      <c r="R964" s="18">
        <f>IF(ActiveDatabase=Standby,Secondary!R964,Primary!R964)</f>
        <v>0</v>
      </c>
      <c r="S964" s="19">
        <f>IF(ActiveDatabase=Standby,Secondary!S964,Primary!S964)</f>
        <v>0</v>
      </c>
      <c r="T964" s="10">
        <f>IF(ActiveDatabase=Standby,Secondary!T964,Primary!T964)</f>
        <v>0</v>
      </c>
      <c r="U964" s="10">
        <f>IF(ActiveDatabase=Standby,Secondary!U964,Primary!U964)</f>
        <v>0</v>
      </c>
      <c r="V964" s="10">
        <f>IF(ActiveDatabase=Standby,Secondary!V964,Primary!V964)</f>
        <v>0</v>
      </c>
      <c r="W964" s="6">
        <f>IF(ActiveDatabase=Standby,Secondary!W964,Primary!W964)</f>
        <v>0</v>
      </c>
      <c r="X964" s="6">
        <f>IF(ActiveDatabase=Standby,Secondary!X964,Primary!X964)</f>
        <v>0</v>
      </c>
      <c r="Y964" s="12">
        <f>IF(ActiveDatabase=Standby,Secondary!Y964,Primary!Y1622)</f>
        <v>0</v>
      </c>
      <c r="Z964" s="12">
        <f>IF(ActiveDatabase=Standby,Secondary!Z964,Primary!Z1622)</f>
        <v>0</v>
      </c>
      <c r="AA964" s="7">
        <f>IF(ActiveDatabase=Standby,Secondary!AA964,Primary!AA1622)</f>
        <v>0</v>
      </c>
      <c r="AB964" s="12"/>
      <c r="AC964" s="6"/>
      <c r="AD964" s="6"/>
      <c r="AE964" s="7"/>
      <c r="AF964" s="7"/>
      <c r="AG964" s="7"/>
      <c r="AH964" s="7"/>
      <c r="AI964" s="7"/>
      <c r="AJ964" s="7"/>
      <c r="AK964" s="7"/>
      <c r="AL964" s="7"/>
      <c r="AM964" s="7"/>
      <c r="AN964" s="7"/>
      <c r="AO964" s="6"/>
      <c r="AP964" s="7"/>
      <c r="AQ964" s="7"/>
      <c r="AR964" s="6"/>
      <c r="AS964" s="7"/>
      <c r="AT964" s="7"/>
      <c r="AU964" s="7"/>
      <c r="AV964" s="7"/>
      <c r="AW964" s="7"/>
      <c r="AX964" s="7"/>
      <c r="AY964" s="7"/>
      <c r="AZ964" s="7"/>
      <c r="BA964" s="7"/>
      <c r="BB964" s="7"/>
      <c r="BC964" s="7"/>
      <c r="BD964" s="7"/>
      <c r="BE964" s="7"/>
      <c r="BF964" s="7"/>
      <c r="BG964" s="7"/>
    </row>
    <row r="965" customHeight="1" spans="1:59">
      <c r="A965" s="9">
        <f>IF(ActiveDatabase=Standby,Secondary!A965,Primary!A965)</f>
        <v>0</v>
      </c>
      <c r="B965" s="5">
        <f>IF(ActiveDatabase=Standby,Secondary!B965,Primary!B965)</f>
        <v>0</v>
      </c>
      <c r="C965" s="5">
        <f>IF(ActiveDatabase=Standby,Secondary!C965,Primary!C965)</f>
        <v>0</v>
      </c>
      <c r="D965" s="5">
        <f>IF(ActiveDatabase=Standby,Secondary!D965,Primary!D965)</f>
        <v>0</v>
      </c>
      <c r="E965" s="6">
        <f>IF(ActiveDatabase=Standby,Secondary!E965,Primary!E965)</f>
        <v>0</v>
      </c>
      <c r="F965" s="10">
        <f>IF(ActiveDatabase=Standby,Secondary!F965,Primary!F965)</f>
        <v>0</v>
      </c>
      <c r="G965" s="10">
        <f>IF(ActiveDatabase=Standby,Secondary!G965,Primary!G965)</f>
        <v>0</v>
      </c>
      <c r="H965" s="10">
        <f>IF(ActiveDatabase=Standby,Secondary!H965,Primary!H965)</f>
        <v>0</v>
      </c>
      <c r="I965" s="13">
        <f>IF(ActiveDatabase=Standby,Secondary!I965,Primary!I965)</f>
        <v>0</v>
      </c>
      <c r="J965" s="13">
        <f>IF(ActiveDatabase=Standby,Secondary!J965,Primary!J965)</f>
        <v>0</v>
      </c>
      <c r="K965" s="13">
        <f>IF(ActiveDatabase=Standby,Secondary!K965,Primary!K965)</f>
        <v>0</v>
      </c>
      <c r="L965" s="13">
        <f>IF(ActiveDatabase=Standby,Secondary!L965,Primary!L965)</f>
        <v>0</v>
      </c>
      <c r="M965" s="7">
        <f>IF(ActiveDatabase=Standby,Secondary!M965,Primary!M965)</f>
        <v>0</v>
      </c>
      <c r="N965" s="10">
        <f>IF(ActiveDatabase=Standby,Secondary!N965,Primary!N965)</f>
        <v>0</v>
      </c>
      <c r="O965" s="10">
        <f>IF(ActiveDatabase=Standby,Secondary!O965,Primary!O965)</f>
        <v>0</v>
      </c>
      <c r="P965" s="10">
        <f>IF(ActiveDatabase=Standby,Secondary!P965,Primary!P965)</f>
        <v>0</v>
      </c>
      <c r="Q965" s="6">
        <f>IF(ActiveDatabase=Standby,Secondary!Q965,Primary!Q965)</f>
        <v>0</v>
      </c>
      <c r="R965" s="18">
        <f>IF(ActiveDatabase=Standby,Secondary!R965,Primary!R965)</f>
        <v>0</v>
      </c>
      <c r="S965" s="19">
        <f>IF(ActiveDatabase=Standby,Secondary!S965,Primary!S965)</f>
        <v>0</v>
      </c>
      <c r="T965" s="10">
        <f>IF(ActiveDatabase=Standby,Secondary!T965,Primary!T965)</f>
        <v>0</v>
      </c>
      <c r="U965" s="10">
        <f>IF(ActiveDatabase=Standby,Secondary!U965,Primary!U965)</f>
        <v>0</v>
      </c>
      <c r="V965" s="10">
        <f>IF(ActiveDatabase=Standby,Secondary!V965,Primary!V965)</f>
        <v>0</v>
      </c>
      <c r="W965" s="6">
        <f>IF(ActiveDatabase=Standby,Secondary!W965,Primary!W965)</f>
        <v>0</v>
      </c>
      <c r="X965" s="6">
        <f>IF(ActiveDatabase=Standby,Secondary!X965,Primary!X965)</f>
        <v>0</v>
      </c>
      <c r="Y965" s="12">
        <f>IF(ActiveDatabase=Standby,Secondary!Y965,Primary!Y1623)</f>
        <v>0</v>
      </c>
      <c r="Z965" s="12">
        <f>IF(ActiveDatabase=Standby,Secondary!Z965,Primary!Z1623)</f>
        <v>0</v>
      </c>
      <c r="AA965" s="7">
        <f>IF(ActiveDatabase=Standby,Secondary!AA965,Primary!AA1623)</f>
        <v>0</v>
      </c>
      <c r="AB965" s="12"/>
      <c r="AC965" s="6"/>
      <c r="AD965" s="6"/>
      <c r="AE965" s="7"/>
      <c r="AF965" s="7"/>
      <c r="AG965" s="7"/>
      <c r="AH965" s="7"/>
      <c r="AI965" s="7"/>
      <c r="AJ965" s="7"/>
      <c r="AK965" s="7"/>
      <c r="AL965" s="7"/>
      <c r="AM965" s="7"/>
      <c r="AN965" s="7"/>
      <c r="AO965" s="6"/>
      <c r="AP965" s="7"/>
      <c r="AQ965" s="7"/>
      <c r="AR965" s="6"/>
      <c r="AS965" s="7"/>
      <c r="AT965" s="7"/>
      <c r="AU965" s="7"/>
      <c r="AV965" s="7"/>
      <c r="AW965" s="7"/>
      <c r="AX965" s="7"/>
      <c r="AY965" s="7"/>
      <c r="AZ965" s="7"/>
      <c r="BA965" s="7"/>
      <c r="BB965" s="7"/>
      <c r="BC965" s="7"/>
      <c r="BD965" s="7"/>
      <c r="BE965" s="7"/>
      <c r="BF965" s="7"/>
      <c r="BG965" s="7"/>
    </row>
    <row r="966" customHeight="1" spans="1:59">
      <c r="A966" s="9">
        <f>IF(ActiveDatabase=Standby,Secondary!A966,Primary!A966)</f>
        <v>0</v>
      </c>
      <c r="B966" s="5">
        <f>IF(ActiveDatabase=Standby,Secondary!B966,Primary!B966)</f>
        <v>0</v>
      </c>
      <c r="C966" s="5">
        <f>IF(ActiveDatabase=Standby,Secondary!C966,Primary!C966)</f>
        <v>0</v>
      </c>
      <c r="D966" s="5">
        <f>IF(ActiveDatabase=Standby,Secondary!D966,Primary!D966)</f>
        <v>0</v>
      </c>
      <c r="E966" s="6">
        <f>IF(ActiveDatabase=Standby,Secondary!E966,Primary!E966)</f>
        <v>0</v>
      </c>
      <c r="F966" s="10">
        <f>IF(ActiveDatabase=Standby,Secondary!F966,Primary!F966)</f>
        <v>0</v>
      </c>
      <c r="G966" s="10">
        <f>IF(ActiveDatabase=Standby,Secondary!G966,Primary!G966)</f>
        <v>0</v>
      </c>
      <c r="H966" s="10">
        <f>IF(ActiveDatabase=Standby,Secondary!H966,Primary!H966)</f>
        <v>0</v>
      </c>
      <c r="I966" s="13">
        <f>IF(ActiveDatabase=Standby,Secondary!I966,Primary!I966)</f>
        <v>0</v>
      </c>
      <c r="J966" s="13">
        <f>IF(ActiveDatabase=Standby,Secondary!J966,Primary!J966)</f>
        <v>0</v>
      </c>
      <c r="K966" s="13">
        <f>IF(ActiveDatabase=Standby,Secondary!K966,Primary!K966)</f>
        <v>0</v>
      </c>
      <c r="L966" s="13">
        <f>IF(ActiveDatabase=Standby,Secondary!L966,Primary!L966)</f>
        <v>0</v>
      </c>
      <c r="M966" s="7">
        <f>IF(ActiveDatabase=Standby,Secondary!M966,Primary!M966)</f>
        <v>0</v>
      </c>
      <c r="N966" s="10">
        <f>IF(ActiveDatabase=Standby,Secondary!N966,Primary!N966)</f>
        <v>0</v>
      </c>
      <c r="O966" s="10">
        <f>IF(ActiveDatabase=Standby,Secondary!O966,Primary!O966)</f>
        <v>0</v>
      </c>
      <c r="P966" s="10">
        <f>IF(ActiveDatabase=Standby,Secondary!P966,Primary!P966)</f>
        <v>0</v>
      </c>
      <c r="Q966" s="6">
        <f>IF(ActiveDatabase=Standby,Secondary!Q966,Primary!Q966)</f>
        <v>0</v>
      </c>
      <c r="R966" s="18">
        <f>IF(ActiveDatabase=Standby,Secondary!R966,Primary!R966)</f>
        <v>0</v>
      </c>
      <c r="S966" s="19">
        <f>IF(ActiveDatabase=Standby,Secondary!S966,Primary!S966)</f>
        <v>0</v>
      </c>
      <c r="T966" s="10">
        <f>IF(ActiveDatabase=Standby,Secondary!T966,Primary!T966)</f>
        <v>0</v>
      </c>
      <c r="U966" s="10">
        <f>IF(ActiveDatabase=Standby,Secondary!U966,Primary!U966)</f>
        <v>0</v>
      </c>
      <c r="V966" s="10">
        <f>IF(ActiveDatabase=Standby,Secondary!V966,Primary!V966)</f>
        <v>0</v>
      </c>
      <c r="W966" s="6">
        <f>IF(ActiveDatabase=Standby,Secondary!W966,Primary!W966)</f>
        <v>0</v>
      </c>
      <c r="X966" s="6">
        <f>IF(ActiveDatabase=Standby,Secondary!X966,Primary!X966)</f>
        <v>0</v>
      </c>
      <c r="Y966" s="12">
        <f>IF(ActiveDatabase=Standby,Secondary!Y966,Primary!Y1624)</f>
        <v>0</v>
      </c>
      <c r="Z966" s="12">
        <f>IF(ActiveDatabase=Standby,Secondary!Z966,Primary!Z1624)</f>
        <v>0</v>
      </c>
      <c r="AA966" s="7">
        <f>IF(ActiveDatabase=Standby,Secondary!AA966,Primary!AA1624)</f>
        <v>0</v>
      </c>
      <c r="AB966" s="12"/>
      <c r="AC966" s="6"/>
      <c r="AD966" s="6"/>
      <c r="AE966" s="7"/>
      <c r="AF966" s="7"/>
      <c r="AG966" s="7"/>
      <c r="AH966" s="7"/>
      <c r="AI966" s="7"/>
      <c r="AJ966" s="7"/>
      <c r="AK966" s="7"/>
      <c r="AL966" s="7"/>
      <c r="AM966" s="7"/>
      <c r="AN966" s="7"/>
      <c r="AO966" s="6"/>
      <c r="AP966" s="7"/>
      <c r="AQ966" s="7"/>
      <c r="AR966" s="6"/>
      <c r="AS966" s="7"/>
      <c r="AT966" s="7"/>
      <c r="AU966" s="7"/>
      <c r="AV966" s="7"/>
      <c r="AW966" s="7"/>
      <c r="AX966" s="7"/>
      <c r="AY966" s="7"/>
      <c r="AZ966" s="7"/>
      <c r="BA966" s="7"/>
      <c r="BB966" s="7"/>
      <c r="BC966" s="7"/>
      <c r="BD966" s="7"/>
      <c r="BE966" s="7"/>
      <c r="BF966" s="7"/>
      <c r="BG966" s="7"/>
    </row>
    <row r="967" customHeight="1" spans="1:59">
      <c r="A967" s="9">
        <f>IF(ActiveDatabase=Standby,Secondary!A967,Primary!A967)</f>
        <v>0</v>
      </c>
      <c r="B967" s="5">
        <f>IF(ActiveDatabase=Standby,Secondary!B967,Primary!B967)</f>
        <v>0</v>
      </c>
      <c r="C967" s="5">
        <f>IF(ActiveDatabase=Standby,Secondary!C967,Primary!C967)</f>
        <v>0</v>
      </c>
      <c r="D967" s="5">
        <f>IF(ActiveDatabase=Standby,Secondary!D967,Primary!D967)</f>
        <v>0</v>
      </c>
      <c r="E967" s="6">
        <f>IF(ActiveDatabase=Standby,Secondary!E967,Primary!E967)</f>
        <v>0</v>
      </c>
      <c r="F967" s="10">
        <f>IF(ActiveDatabase=Standby,Secondary!F967,Primary!F967)</f>
        <v>0</v>
      </c>
      <c r="G967" s="10">
        <f>IF(ActiveDatabase=Standby,Secondary!G967,Primary!G967)</f>
        <v>0</v>
      </c>
      <c r="H967" s="10">
        <f>IF(ActiveDatabase=Standby,Secondary!H967,Primary!H967)</f>
        <v>0</v>
      </c>
      <c r="I967" s="13">
        <f>IF(ActiveDatabase=Standby,Secondary!I967,Primary!I967)</f>
        <v>0</v>
      </c>
      <c r="J967" s="13">
        <f>IF(ActiveDatabase=Standby,Secondary!J967,Primary!J967)</f>
        <v>0</v>
      </c>
      <c r="K967" s="13">
        <f>IF(ActiveDatabase=Standby,Secondary!K967,Primary!K967)</f>
        <v>0</v>
      </c>
      <c r="L967" s="13">
        <f>IF(ActiveDatabase=Standby,Secondary!L967,Primary!L967)</f>
        <v>0</v>
      </c>
      <c r="M967" s="7">
        <f>IF(ActiveDatabase=Standby,Secondary!M967,Primary!M967)</f>
        <v>0</v>
      </c>
      <c r="N967" s="10">
        <f>IF(ActiveDatabase=Standby,Secondary!N967,Primary!N967)</f>
        <v>0</v>
      </c>
      <c r="O967" s="10">
        <f>IF(ActiveDatabase=Standby,Secondary!O967,Primary!O967)</f>
        <v>0</v>
      </c>
      <c r="P967" s="10">
        <f>IF(ActiveDatabase=Standby,Secondary!P967,Primary!P967)</f>
        <v>0</v>
      </c>
      <c r="Q967" s="6">
        <f>IF(ActiveDatabase=Standby,Secondary!Q967,Primary!Q967)</f>
        <v>0</v>
      </c>
      <c r="R967" s="18">
        <f>IF(ActiveDatabase=Standby,Secondary!R967,Primary!R967)</f>
        <v>0</v>
      </c>
      <c r="S967" s="19">
        <f>IF(ActiveDatabase=Standby,Secondary!S967,Primary!S967)</f>
        <v>0</v>
      </c>
      <c r="T967" s="10">
        <f>IF(ActiveDatabase=Standby,Secondary!T967,Primary!T967)</f>
        <v>0</v>
      </c>
      <c r="U967" s="10">
        <f>IF(ActiveDatabase=Standby,Secondary!U967,Primary!U967)</f>
        <v>0</v>
      </c>
      <c r="V967" s="10">
        <f>IF(ActiveDatabase=Standby,Secondary!V967,Primary!V967)</f>
        <v>0</v>
      </c>
      <c r="W967" s="6">
        <f>IF(ActiveDatabase=Standby,Secondary!W967,Primary!W967)</f>
        <v>0</v>
      </c>
      <c r="X967" s="6">
        <f>IF(ActiveDatabase=Standby,Secondary!X967,Primary!X967)</f>
        <v>0</v>
      </c>
      <c r="Y967" s="12">
        <f>IF(ActiveDatabase=Standby,Secondary!Y967,Primary!Y1625)</f>
        <v>0</v>
      </c>
      <c r="Z967" s="12">
        <f>IF(ActiveDatabase=Standby,Secondary!Z967,Primary!Z1625)</f>
        <v>0</v>
      </c>
      <c r="AA967" s="7">
        <f>IF(ActiveDatabase=Standby,Secondary!AA967,Primary!AA1625)</f>
        <v>0</v>
      </c>
      <c r="AB967" s="12"/>
      <c r="AC967" s="6"/>
      <c r="AD967" s="6"/>
      <c r="AE967" s="7"/>
      <c r="AF967" s="7"/>
      <c r="AG967" s="7"/>
      <c r="AH967" s="7"/>
      <c r="AI967" s="7"/>
      <c r="AJ967" s="7"/>
      <c r="AK967" s="7"/>
      <c r="AL967" s="7"/>
      <c r="AM967" s="7"/>
      <c r="AN967" s="7"/>
      <c r="AO967" s="6"/>
      <c r="AP967" s="7"/>
      <c r="AQ967" s="7"/>
      <c r="AR967" s="6"/>
      <c r="AS967" s="7"/>
      <c r="AT967" s="7"/>
      <c r="AU967" s="7"/>
      <c r="AV967" s="7"/>
      <c r="AW967" s="7"/>
      <c r="AX967" s="7"/>
      <c r="AY967" s="7"/>
      <c r="AZ967" s="7"/>
      <c r="BA967" s="7"/>
      <c r="BB967" s="7"/>
      <c r="BC967" s="7"/>
      <c r="BD967" s="7"/>
      <c r="BE967" s="7"/>
      <c r="BF967" s="7"/>
      <c r="BG967" s="7"/>
    </row>
    <row r="968" customHeight="1" spans="1:59">
      <c r="A968" s="9">
        <f>IF(ActiveDatabase=Standby,Secondary!A968,Primary!A968)</f>
        <v>0</v>
      </c>
      <c r="B968" s="5">
        <f>IF(ActiveDatabase=Standby,Secondary!B968,Primary!B968)</f>
        <v>0</v>
      </c>
      <c r="C968" s="5">
        <f>IF(ActiveDatabase=Standby,Secondary!C968,Primary!C968)</f>
        <v>0</v>
      </c>
      <c r="D968" s="5">
        <f>IF(ActiveDatabase=Standby,Secondary!D968,Primary!D968)</f>
        <v>0</v>
      </c>
      <c r="E968" s="6">
        <f>IF(ActiveDatabase=Standby,Secondary!E968,Primary!E968)</f>
        <v>0</v>
      </c>
      <c r="F968" s="10">
        <f>IF(ActiveDatabase=Standby,Secondary!F968,Primary!F968)</f>
        <v>0</v>
      </c>
      <c r="G968" s="10">
        <f>IF(ActiveDatabase=Standby,Secondary!G968,Primary!G968)</f>
        <v>0</v>
      </c>
      <c r="H968" s="10">
        <f>IF(ActiveDatabase=Standby,Secondary!H968,Primary!H968)</f>
        <v>0</v>
      </c>
      <c r="I968" s="13">
        <f>IF(ActiveDatabase=Standby,Secondary!I968,Primary!I968)</f>
        <v>0</v>
      </c>
      <c r="J968" s="13">
        <f>IF(ActiveDatabase=Standby,Secondary!J968,Primary!J968)</f>
        <v>0</v>
      </c>
      <c r="K968" s="13">
        <f>IF(ActiveDatabase=Standby,Secondary!K968,Primary!K968)</f>
        <v>0</v>
      </c>
      <c r="L968" s="13">
        <f>IF(ActiveDatabase=Standby,Secondary!L968,Primary!L968)</f>
        <v>0</v>
      </c>
      <c r="M968" s="7">
        <f>IF(ActiveDatabase=Standby,Secondary!M968,Primary!M968)</f>
        <v>0</v>
      </c>
      <c r="N968" s="10">
        <f>IF(ActiveDatabase=Standby,Secondary!N968,Primary!N968)</f>
        <v>0</v>
      </c>
      <c r="O968" s="10">
        <f>IF(ActiveDatabase=Standby,Secondary!O968,Primary!O968)</f>
        <v>0</v>
      </c>
      <c r="P968" s="10">
        <f>IF(ActiveDatabase=Standby,Secondary!P968,Primary!P968)</f>
        <v>0</v>
      </c>
      <c r="Q968" s="6">
        <f>IF(ActiveDatabase=Standby,Secondary!Q968,Primary!Q968)</f>
        <v>0</v>
      </c>
      <c r="R968" s="18">
        <f>IF(ActiveDatabase=Standby,Secondary!R968,Primary!R968)</f>
        <v>0</v>
      </c>
      <c r="S968" s="19">
        <f>IF(ActiveDatabase=Standby,Secondary!S968,Primary!S968)</f>
        <v>0</v>
      </c>
      <c r="T968" s="10">
        <f>IF(ActiveDatabase=Standby,Secondary!T968,Primary!T968)</f>
        <v>0</v>
      </c>
      <c r="U968" s="10">
        <f>IF(ActiveDatabase=Standby,Secondary!U968,Primary!U968)</f>
        <v>0</v>
      </c>
      <c r="V968" s="10">
        <f>IF(ActiveDatabase=Standby,Secondary!V968,Primary!V968)</f>
        <v>0</v>
      </c>
      <c r="W968" s="6">
        <f>IF(ActiveDatabase=Standby,Secondary!W968,Primary!W968)</f>
        <v>0</v>
      </c>
      <c r="X968" s="6">
        <f>IF(ActiveDatabase=Standby,Secondary!X968,Primary!X968)</f>
        <v>0</v>
      </c>
      <c r="Y968" s="12">
        <f>IF(ActiveDatabase=Standby,Secondary!Y968,Primary!Y1626)</f>
        <v>0</v>
      </c>
      <c r="Z968" s="12">
        <f>IF(ActiveDatabase=Standby,Secondary!Z968,Primary!Z1626)</f>
        <v>0</v>
      </c>
      <c r="AA968" s="7">
        <f>IF(ActiveDatabase=Standby,Secondary!AA968,Primary!AA1626)</f>
        <v>0</v>
      </c>
      <c r="AB968" s="12"/>
      <c r="AC968" s="6"/>
      <c r="AD968" s="6"/>
      <c r="AE968" s="7"/>
      <c r="AF968" s="7"/>
      <c r="AG968" s="7"/>
      <c r="AH968" s="7"/>
      <c r="AI968" s="7"/>
      <c r="AJ968" s="7"/>
      <c r="AK968" s="7"/>
      <c r="AL968" s="7"/>
      <c r="AM968" s="7"/>
      <c r="AN968" s="7"/>
      <c r="AO968" s="6"/>
      <c r="AP968" s="7"/>
      <c r="AQ968" s="7"/>
      <c r="AR968" s="6"/>
      <c r="AS968" s="7"/>
      <c r="AT968" s="7"/>
      <c r="AU968" s="7"/>
      <c r="AV968" s="7"/>
      <c r="AW968" s="7"/>
      <c r="AX968" s="7"/>
      <c r="AY968" s="7"/>
      <c r="AZ968" s="7"/>
      <c r="BA968" s="7"/>
      <c r="BB968" s="7"/>
      <c r="BC968" s="7"/>
      <c r="BD968" s="7"/>
      <c r="BE968" s="7"/>
      <c r="BF968" s="7"/>
      <c r="BG968" s="7"/>
    </row>
    <row r="969" customHeight="1" spans="1:59">
      <c r="A969" s="9">
        <f>IF(ActiveDatabase=Standby,Secondary!A969,Primary!A969)</f>
        <v>0</v>
      </c>
      <c r="B969" s="5">
        <f>IF(ActiveDatabase=Standby,Secondary!B969,Primary!B969)</f>
        <v>0</v>
      </c>
      <c r="C969" s="5">
        <f>IF(ActiveDatabase=Standby,Secondary!C969,Primary!C969)</f>
        <v>0</v>
      </c>
      <c r="D969" s="5">
        <f>IF(ActiveDatabase=Standby,Secondary!D969,Primary!D969)</f>
        <v>0</v>
      </c>
      <c r="E969" s="6">
        <f>IF(ActiveDatabase=Standby,Secondary!E969,Primary!E969)</f>
        <v>0</v>
      </c>
      <c r="F969" s="10">
        <f>IF(ActiveDatabase=Standby,Secondary!F969,Primary!F969)</f>
        <v>0</v>
      </c>
      <c r="G969" s="10">
        <f>IF(ActiveDatabase=Standby,Secondary!G969,Primary!G969)</f>
        <v>0</v>
      </c>
      <c r="H969" s="10">
        <f>IF(ActiveDatabase=Standby,Secondary!H969,Primary!H969)</f>
        <v>0</v>
      </c>
      <c r="I969" s="13">
        <f>IF(ActiveDatabase=Standby,Secondary!I969,Primary!I969)</f>
        <v>0</v>
      </c>
      <c r="J969" s="13">
        <f>IF(ActiveDatabase=Standby,Secondary!J969,Primary!J969)</f>
        <v>0</v>
      </c>
      <c r="K969" s="13">
        <f>IF(ActiveDatabase=Standby,Secondary!K969,Primary!K969)</f>
        <v>0</v>
      </c>
      <c r="L969" s="13">
        <f>IF(ActiveDatabase=Standby,Secondary!L969,Primary!L969)</f>
        <v>0</v>
      </c>
      <c r="M969" s="7">
        <f>IF(ActiveDatabase=Standby,Secondary!M969,Primary!M969)</f>
        <v>0</v>
      </c>
      <c r="N969" s="10">
        <f>IF(ActiveDatabase=Standby,Secondary!N969,Primary!N969)</f>
        <v>0</v>
      </c>
      <c r="O969" s="10">
        <f>IF(ActiveDatabase=Standby,Secondary!O969,Primary!O969)</f>
        <v>0</v>
      </c>
      <c r="P969" s="10">
        <f>IF(ActiveDatabase=Standby,Secondary!P969,Primary!P969)</f>
        <v>0</v>
      </c>
      <c r="Q969" s="6">
        <f>IF(ActiveDatabase=Standby,Secondary!Q969,Primary!Q969)</f>
        <v>0</v>
      </c>
      <c r="R969" s="18">
        <f>IF(ActiveDatabase=Standby,Secondary!R969,Primary!R969)</f>
        <v>0</v>
      </c>
      <c r="S969" s="19">
        <f>IF(ActiveDatabase=Standby,Secondary!S969,Primary!S969)</f>
        <v>0</v>
      </c>
      <c r="T969" s="10">
        <f>IF(ActiveDatabase=Standby,Secondary!T969,Primary!T969)</f>
        <v>0</v>
      </c>
      <c r="U969" s="10">
        <f>IF(ActiveDatabase=Standby,Secondary!U969,Primary!U969)</f>
        <v>0</v>
      </c>
      <c r="V969" s="10">
        <f>IF(ActiveDatabase=Standby,Secondary!V969,Primary!V969)</f>
        <v>0</v>
      </c>
      <c r="W969" s="6">
        <f>IF(ActiveDatabase=Standby,Secondary!W969,Primary!W969)</f>
        <v>0</v>
      </c>
      <c r="X969" s="6">
        <f>IF(ActiveDatabase=Standby,Secondary!X969,Primary!X969)</f>
        <v>0</v>
      </c>
      <c r="Y969" s="12">
        <f>IF(ActiveDatabase=Standby,Secondary!Y969,Primary!Y1627)</f>
        <v>0</v>
      </c>
      <c r="Z969" s="12">
        <f>IF(ActiveDatabase=Standby,Secondary!Z969,Primary!Z1627)</f>
        <v>0</v>
      </c>
      <c r="AA969" s="7">
        <f>IF(ActiveDatabase=Standby,Secondary!AA969,Primary!AA1627)</f>
        <v>0</v>
      </c>
      <c r="AB969" s="12"/>
      <c r="AC969" s="6"/>
      <c r="AD969" s="6"/>
      <c r="AE969" s="7"/>
      <c r="AF969" s="7"/>
      <c r="AG969" s="7"/>
      <c r="AH969" s="7"/>
      <c r="AI969" s="7"/>
      <c r="AJ969" s="7"/>
      <c r="AK969" s="7"/>
      <c r="AL969" s="7"/>
      <c r="AM969" s="7"/>
      <c r="AN969" s="7"/>
      <c r="AO969" s="6"/>
      <c r="AP969" s="7"/>
      <c r="AQ969" s="7"/>
      <c r="AR969" s="6"/>
      <c r="AS969" s="7"/>
      <c r="AT969" s="7"/>
      <c r="AU969" s="7"/>
      <c r="AV969" s="7"/>
      <c r="AW969" s="7"/>
      <c r="AX969" s="7"/>
      <c r="AY969" s="7"/>
      <c r="AZ969" s="7"/>
      <c r="BA969" s="7"/>
      <c r="BB969" s="7"/>
      <c r="BC969" s="7"/>
      <c r="BD969" s="7"/>
      <c r="BE969" s="7"/>
      <c r="BF969" s="7"/>
      <c r="BG969" s="7"/>
    </row>
    <row r="970" customHeight="1" spans="1:59">
      <c r="A970" s="9">
        <f>IF(ActiveDatabase=Standby,Secondary!A970,Primary!A970)</f>
        <v>0</v>
      </c>
      <c r="B970" s="5">
        <f>IF(ActiveDatabase=Standby,Secondary!B970,Primary!B970)</f>
        <v>0</v>
      </c>
      <c r="C970" s="5">
        <f>IF(ActiveDatabase=Standby,Secondary!C970,Primary!C970)</f>
        <v>0</v>
      </c>
      <c r="D970" s="5">
        <f>IF(ActiveDatabase=Standby,Secondary!D970,Primary!D970)</f>
        <v>0</v>
      </c>
      <c r="E970" s="6">
        <f>IF(ActiveDatabase=Standby,Secondary!E970,Primary!E970)</f>
        <v>0</v>
      </c>
      <c r="F970" s="10">
        <f>IF(ActiveDatabase=Standby,Secondary!F970,Primary!F970)</f>
        <v>0</v>
      </c>
      <c r="G970" s="10">
        <f>IF(ActiveDatabase=Standby,Secondary!G970,Primary!G970)</f>
        <v>0</v>
      </c>
      <c r="H970" s="10">
        <f>IF(ActiveDatabase=Standby,Secondary!H970,Primary!H970)</f>
        <v>0</v>
      </c>
      <c r="I970" s="13">
        <f>IF(ActiveDatabase=Standby,Secondary!I970,Primary!I970)</f>
        <v>0</v>
      </c>
      <c r="J970" s="13">
        <f>IF(ActiveDatabase=Standby,Secondary!J970,Primary!J970)</f>
        <v>0</v>
      </c>
      <c r="K970" s="13">
        <f>IF(ActiveDatabase=Standby,Secondary!K970,Primary!K970)</f>
        <v>0</v>
      </c>
      <c r="L970" s="13">
        <f>IF(ActiveDatabase=Standby,Secondary!L970,Primary!L970)</f>
        <v>0</v>
      </c>
      <c r="M970" s="7">
        <f>IF(ActiveDatabase=Standby,Secondary!M970,Primary!M970)</f>
        <v>0</v>
      </c>
      <c r="N970" s="10">
        <f>IF(ActiveDatabase=Standby,Secondary!N970,Primary!N970)</f>
        <v>0</v>
      </c>
      <c r="O970" s="10">
        <f>IF(ActiveDatabase=Standby,Secondary!O970,Primary!O970)</f>
        <v>0</v>
      </c>
      <c r="P970" s="10">
        <f>IF(ActiveDatabase=Standby,Secondary!P970,Primary!P970)</f>
        <v>0</v>
      </c>
      <c r="Q970" s="6">
        <f>IF(ActiveDatabase=Standby,Secondary!Q970,Primary!Q970)</f>
        <v>0</v>
      </c>
      <c r="R970" s="18">
        <f>IF(ActiveDatabase=Standby,Secondary!R970,Primary!R970)</f>
        <v>0</v>
      </c>
      <c r="S970" s="19">
        <f>IF(ActiveDatabase=Standby,Secondary!S970,Primary!S970)</f>
        <v>0</v>
      </c>
      <c r="T970" s="10">
        <f>IF(ActiveDatabase=Standby,Secondary!T970,Primary!T970)</f>
        <v>0</v>
      </c>
      <c r="U970" s="10">
        <f>IF(ActiveDatabase=Standby,Secondary!U970,Primary!U970)</f>
        <v>0</v>
      </c>
      <c r="V970" s="10">
        <f>IF(ActiveDatabase=Standby,Secondary!V970,Primary!V970)</f>
        <v>0</v>
      </c>
      <c r="W970" s="6">
        <f>IF(ActiveDatabase=Standby,Secondary!W970,Primary!W970)</f>
        <v>0</v>
      </c>
      <c r="X970" s="6">
        <f>IF(ActiveDatabase=Standby,Secondary!X970,Primary!X970)</f>
        <v>0</v>
      </c>
      <c r="Y970" s="12">
        <f>IF(ActiveDatabase=Standby,Secondary!Y970,Primary!Y1628)</f>
        <v>0</v>
      </c>
      <c r="Z970" s="12">
        <f>IF(ActiveDatabase=Standby,Secondary!Z970,Primary!Z1628)</f>
        <v>0</v>
      </c>
      <c r="AA970" s="7">
        <f>IF(ActiveDatabase=Standby,Secondary!AA970,Primary!AA1628)</f>
        <v>0</v>
      </c>
      <c r="AB970" s="12"/>
      <c r="AC970" s="6"/>
      <c r="AD970" s="6"/>
      <c r="AE970" s="7"/>
      <c r="AF970" s="7"/>
      <c r="AG970" s="7"/>
      <c r="AH970" s="7"/>
      <c r="AI970" s="7"/>
      <c r="AJ970" s="7"/>
      <c r="AK970" s="7"/>
      <c r="AL970" s="7"/>
      <c r="AM970" s="7"/>
      <c r="AN970" s="7"/>
      <c r="AO970" s="6"/>
      <c r="AP970" s="7"/>
      <c r="AQ970" s="7"/>
      <c r="AR970" s="6"/>
      <c r="AS970" s="7"/>
      <c r="AT970" s="7"/>
      <c r="AU970" s="7"/>
      <c r="AV970" s="7"/>
      <c r="AW970" s="7"/>
      <c r="AX970" s="7"/>
      <c r="AY970" s="7"/>
      <c r="AZ970" s="7"/>
      <c r="BA970" s="7"/>
      <c r="BB970" s="7"/>
      <c r="BC970" s="7"/>
      <c r="BD970" s="7"/>
      <c r="BE970" s="7"/>
      <c r="BF970" s="7"/>
      <c r="BG970" s="7"/>
    </row>
    <row r="971" customHeight="1" spans="1:59">
      <c r="A971" s="9">
        <f>IF(ActiveDatabase=Standby,Secondary!A971,Primary!A971)</f>
        <v>0</v>
      </c>
      <c r="B971" s="5">
        <f>IF(ActiveDatabase=Standby,Secondary!B971,Primary!B971)</f>
        <v>0</v>
      </c>
      <c r="C971" s="5">
        <f>IF(ActiveDatabase=Standby,Secondary!C971,Primary!C971)</f>
        <v>0</v>
      </c>
      <c r="D971" s="5">
        <f>IF(ActiveDatabase=Standby,Secondary!D971,Primary!D971)</f>
        <v>0</v>
      </c>
      <c r="E971" s="6">
        <f>IF(ActiveDatabase=Standby,Secondary!E971,Primary!E971)</f>
        <v>0</v>
      </c>
      <c r="F971" s="10">
        <f>IF(ActiveDatabase=Standby,Secondary!F971,Primary!F971)</f>
        <v>0</v>
      </c>
      <c r="G971" s="10">
        <f>IF(ActiveDatabase=Standby,Secondary!G971,Primary!G971)</f>
        <v>0</v>
      </c>
      <c r="H971" s="10">
        <f>IF(ActiveDatabase=Standby,Secondary!H971,Primary!H971)</f>
        <v>0</v>
      </c>
      <c r="I971" s="13">
        <f>IF(ActiveDatabase=Standby,Secondary!I971,Primary!I971)</f>
        <v>0</v>
      </c>
      <c r="J971" s="13">
        <f>IF(ActiveDatabase=Standby,Secondary!J971,Primary!J971)</f>
        <v>0</v>
      </c>
      <c r="K971" s="13">
        <f>IF(ActiveDatabase=Standby,Secondary!K971,Primary!K971)</f>
        <v>0</v>
      </c>
      <c r="L971" s="13">
        <f>IF(ActiveDatabase=Standby,Secondary!L971,Primary!L971)</f>
        <v>0</v>
      </c>
      <c r="M971" s="7">
        <f>IF(ActiveDatabase=Standby,Secondary!M971,Primary!M971)</f>
        <v>0</v>
      </c>
      <c r="N971" s="10">
        <f>IF(ActiveDatabase=Standby,Secondary!N971,Primary!N971)</f>
        <v>0</v>
      </c>
      <c r="O971" s="10">
        <f>IF(ActiveDatabase=Standby,Secondary!O971,Primary!O971)</f>
        <v>0</v>
      </c>
      <c r="P971" s="10">
        <f>IF(ActiveDatabase=Standby,Secondary!P971,Primary!P971)</f>
        <v>0</v>
      </c>
      <c r="Q971" s="6">
        <f>IF(ActiveDatabase=Standby,Secondary!Q971,Primary!Q971)</f>
        <v>0</v>
      </c>
      <c r="R971" s="18">
        <f>IF(ActiveDatabase=Standby,Secondary!R971,Primary!R971)</f>
        <v>0</v>
      </c>
      <c r="S971" s="19">
        <f>IF(ActiveDatabase=Standby,Secondary!S971,Primary!S971)</f>
        <v>0</v>
      </c>
      <c r="T971" s="10">
        <f>IF(ActiveDatabase=Standby,Secondary!T971,Primary!T971)</f>
        <v>0</v>
      </c>
      <c r="U971" s="10">
        <f>IF(ActiveDatabase=Standby,Secondary!U971,Primary!U971)</f>
        <v>0</v>
      </c>
      <c r="V971" s="10">
        <f>IF(ActiveDatabase=Standby,Secondary!V971,Primary!V971)</f>
        <v>0</v>
      </c>
      <c r="W971" s="6">
        <f>IF(ActiveDatabase=Standby,Secondary!W971,Primary!W971)</f>
        <v>0</v>
      </c>
      <c r="X971" s="6">
        <f>IF(ActiveDatabase=Standby,Secondary!X971,Primary!X971)</f>
        <v>0</v>
      </c>
      <c r="Y971" s="12">
        <f>IF(ActiveDatabase=Standby,Secondary!Y971,Primary!Y1629)</f>
        <v>0</v>
      </c>
      <c r="Z971" s="12">
        <f>IF(ActiveDatabase=Standby,Secondary!Z971,Primary!Z1629)</f>
        <v>0</v>
      </c>
      <c r="AA971" s="7">
        <f>IF(ActiveDatabase=Standby,Secondary!AA971,Primary!AA1629)</f>
        <v>0</v>
      </c>
      <c r="AB971" s="12"/>
      <c r="AC971" s="6"/>
      <c r="AD971" s="6"/>
      <c r="AE971" s="7"/>
      <c r="AF971" s="7"/>
      <c r="AG971" s="7"/>
      <c r="AH971" s="7"/>
      <c r="AI971" s="7"/>
      <c r="AJ971" s="7"/>
      <c r="AK971" s="7"/>
      <c r="AL971" s="7"/>
      <c r="AM971" s="7"/>
      <c r="AN971" s="7"/>
      <c r="AO971" s="6"/>
      <c r="AP971" s="7"/>
      <c r="AQ971" s="7"/>
      <c r="AR971" s="6"/>
      <c r="AS971" s="7"/>
      <c r="AT971" s="7"/>
      <c r="AU971" s="7"/>
      <c r="AV971" s="7"/>
      <c r="AW971" s="7"/>
      <c r="AX971" s="7"/>
      <c r="AY971" s="7"/>
      <c r="AZ971" s="7"/>
      <c r="BA971" s="7"/>
      <c r="BB971" s="7"/>
      <c r="BC971" s="7"/>
      <c r="BD971" s="7"/>
      <c r="BE971" s="7"/>
      <c r="BF971" s="7"/>
      <c r="BG971" s="7"/>
    </row>
    <row r="972" customHeight="1" spans="1:59">
      <c r="A972" s="9">
        <f>IF(ActiveDatabase=Standby,Secondary!A972,Primary!A972)</f>
        <v>0</v>
      </c>
      <c r="B972" s="5">
        <f>IF(ActiveDatabase=Standby,Secondary!B972,Primary!B972)</f>
        <v>0</v>
      </c>
      <c r="C972" s="5">
        <f>IF(ActiveDatabase=Standby,Secondary!C972,Primary!C972)</f>
        <v>0</v>
      </c>
      <c r="D972" s="5">
        <f>IF(ActiveDatabase=Standby,Secondary!D972,Primary!D972)</f>
        <v>0</v>
      </c>
      <c r="E972" s="6">
        <f>IF(ActiveDatabase=Standby,Secondary!E972,Primary!E972)</f>
        <v>0</v>
      </c>
      <c r="F972" s="10">
        <f>IF(ActiveDatabase=Standby,Secondary!F972,Primary!F972)</f>
        <v>0</v>
      </c>
      <c r="G972" s="10">
        <f>IF(ActiveDatabase=Standby,Secondary!G972,Primary!G972)</f>
        <v>0</v>
      </c>
      <c r="H972" s="10">
        <f>IF(ActiveDatabase=Standby,Secondary!H972,Primary!H972)</f>
        <v>0</v>
      </c>
      <c r="I972" s="13">
        <f>IF(ActiveDatabase=Standby,Secondary!I972,Primary!I972)</f>
        <v>0</v>
      </c>
      <c r="J972" s="13">
        <f>IF(ActiveDatabase=Standby,Secondary!J972,Primary!J972)</f>
        <v>0</v>
      </c>
      <c r="K972" s="13">
        <f>IF(ActiveDatabase=Standby,Secondary!K972,Primary!K972)</f>
        <v>0</v>
      </c>
      <c r="L972" s="13">
        <f>IF(ActiveDatabase=Standby,Secondary!L972,Primary!L972)</f>
        <v>0</v>
      </c>
      <c r="M972" s="7">
        <f>IF(ActiveDatabase=Standby,Secondary!M972,Primary!M972)</f>
        <v>0</v>
      </c>
      <c r="N972" s="10">
        <f>IF(ActiveDatabase=Standby,Secondary!N972,Primary!N972)</f>
        <v>0</v>
      </c>
      <c r="O972" s="10">
        <f>IF(ActiveDatabase=Standby,Secondary!O972,Primary!O972)</f>
        <v>0</v>
      </c>
      <c r="P972" s="10">
        <f>IF(ActiveDatabase=Standby,Secondary!P972,Primary!P972)</f>
        <v>0</v>
      </c>
      <c r="Q972" s="6">
        <f>IF(ActiveDatabase=Standby,Secondary!Q972,Primary!Q972)</f>
        <v>0</v>
      </c>
      <c r="R972" s="18">
        <f>IF(ActiveDatabase=Standby,Secondary!R972,Primary!R972)</f>
        <v>0</v>
      </c>
      <c r="S972" s="19">
        <f>IF(ActiveDatabase=Standby,Secondary!S972,Primary!S972)</f>
        <v>0</v>
      </c>
      <c r="T972" s="10">
        <f>IF(ActiveDatabase=Standby,Secondary!T972,Primary!T972)</f>
        <v>0</v>
      </c>
      <c r="U972" s="10">
        <f>IF(ActiveDatabase=Standby,Secondary!U972,Primary!U972)</f>
        <v>0</v>
      </c>
      <c r="V972" s="10">
        <f>IF(ActiveDatabase=Standby,Secondary!V972,Primary!V972)</f>
        <v>0</v>
      </c>
      <c r="W972" s="6">
        <f>IF(ActiveDatabase=Standby,Secondary!W972,Primary!W972)</f>
        <v>0</v>
      </c>
      <c r="X972" s="6">
        <f>IF(ActiveDatabase=Standby,Secondary!X972,Primary!X972)</f>
        <v>0</v>
      </c>
      <c r="Y972" s="12">
        <f>IF(ActiveDatabase=Standby,Secondary!Y972,Primary!Y1630)</f>
        <v>0</v>
      </c>
      <c r="Z972" s="12">
        <f>IF(ActiveDatabase=Standby,Secondary!Z972,Primary!Z1630)</f>
        <v>0</v>
      </c>
      <c r="AA972" s="7">
        <f>IF(ActiveDatabase=Standby,Secondary!AA972,Primary!AA1630)</f>
        <v>0</v>
      </c>
      <c r="AB972" s="12"/>
      <c r="AC972" s="6"/>
      <c r="AD972" s="6"/>
      <c r="AE972" s="7"/>
      <c r="AF972" s="7"/>
      <c r="AG972" s="7"/>
      <c r="AH972" s="7"/>
      <c r="AI972" s="7"/>
      <c r="AJ972" s="7"/>
      <c r="AK972" s="7"/>
      <c r="AL972" s="7"/>
      <c r="AM972" s="7"/>
      <c r="AN972" s="7"/>
      <c r="AO972" s="6"/>
      <c r="AP972" s="7"/>
      <c r="AQ972" s="7"/>
      <c r="AR972" s="6"/>
      <c r="AS972" s="7"/>
      <c r="AT972" s="7"/>
      <c r="AU972" s="7"/>
      <c r="AV972" s="7"/>
      <c r="AW972" s="7"/>
      <c r="AX972" s="7"/>
      <c r="AY972" s="7"/>
      <c r="AZ972" s="7"/>
      <c r="BA972" s="7"/>
      <c r="BB972" s="7"/>
      <c r="BC972" s="7"/>
      <c r="BD972" s="7"/>
      <c r="BE972" s="7"/>
      <c r="BF972" s="7"/>
      <c r="BG972" s="7"/>
    </row>
    <row r="973" customHeight="1" spans="1:59">
      <c r="A973" s="9">
        <f>IF(ActiveDatabase=Standby,Secondary!A973,Primary!A973)</f>
        <v>0</v>
      </c>
      <c r="B973" s="5">
        <f>IF(ActiveDatabase=Standby,Secondary!B973,Primary!B973)</f>
        <v>0</v>
      </c>
      <c r="C973" s="5">
        <f>IF(ActiveDatabase=Standby,Secondary!C973,Primary!C973)</f>
        <v>0</v>
      </c>
      <c r="D973" s="5">
        <f>IF(ActiveDatabase=Standby,Secondary!D973,Primary!D973)</f>
        <v>0</v>
      </c>
      <c r="E973" s="6">
        <f>IF(ActiveDatabase=Standby,Secondary!E973,Primary!E973)</f>
        <v>0</v>
      </c>
      <c r="F973" s="10">
        <f>IF(ActiveDatabase=Standby,Secondary!F973,Primary!F973)</f>
        <v>0</v>
      </c>
      <c r="G973" s="10">
        <f>IF(ActiveDatabase=Standby,Secondary!G973,Primary!G973)</f>
        <v>0</v>
      </c>
      <c r="H973" s="10">
        <f>IF(ActiveDatabase=Standby,Secondary!H973,Primary!H973)</f>
        <v>0</v>
      </c>
      <c r="I973" s="13">
        <f>IF(ActiveDatabase=Standby,Secondary!I973,Primary!I973)</f>
        <v>0</v>
      </c>
      <c r="J973" s="13">
        <f>IF(ActiveDatabase=Standby,Secondary!J973,Primary!J973)</f>
        <v>0</v>
      </c>
      <c r="K973" s="13">
        <f>IF(ActiveDatabase=Standby,Secondary!K973,Primary!K973)</f>
        <v>0</v>
      </c>
      <c r="L973" s="13">
        <f>IF(ActiveDatabase=Standby,Secondary!L973,Primary!L973)</f>
        <v>0</v>
      </c>
      <c r="M973" s="7">
        <f>IF(ActiveDatabase=Standby,Secondary!M973,Primary!M973)</f>
        <v>0</v>
      </c>
      <c r="N973" s="10">
        <f>IF(ActiveDatabase=Standby,Secondary!N973,Primary!N973)</f>
        <v>0</v>
      </c>
      <c r="O973" s="10">
        <f>IF(ActiveDatabase=Standby,Secondary!O973,Primary!O973)</f>
        <v>0</v>
      </c>
      <c r="P973" s="10">
        <f>IF(ActiveDatabase=Standby,Secondary!P973,Primary!P973)</f>
        <v>0</v>
      </c>
      <c r="Q973" s="6">
        <f>IF(ActiveDatabase=Standby,Secondary!Q973,Primary!Q973)</f>
        <v>0</v>
      </c>
      <c r="R973" s="18">
        <f>IF(ActiveDatabase=Standby,Secondary!R973,Primary!R973)</f>
        <v>0</v>
      </c>
      <c r="S973" s="19">
        <f>IF(ActiveDatabase=Standby,Secondary!S973,Primary!S973)</f>
        <v>0</v>
      </c>
      <c r="T973" s="10">
        <f>IF(ActiveDatabase=Standby,Secondary!T973,Primary!T973)</f>
        <v>0</v>
      </c>
      <c r="U973" s="10">
        <f>IF(ActiveDatabase=Standby,Secondary!U973,Primary!U973)</f>
        <v>0</v>
      </c>
      <c r="V973" s="10">
        <f>IF(ActiveDatabase=Standby,Secondary!V973,Primary!V973)</f>
        <v>0</v>
      </c>
      <c r="W973" s="6">
        <f>IF(ActiveDatabase=Standby,Secondary!W973,Primary!W973)</f>
        <v>0</v>
      </c>
      <c r="X973" s="6">
        <f>IF(ActiveDatabase=Standby,Secondary!X973,Primary!X973)</f>
        <v>0</v>
      </c>
      <c r="Y973" s="12">
        <f>IF(ActiveDatabase=Standby,Secondary!Y973,Primary!Y1631)</f>
        <v>0</v>
      </c>
      <c r="Z973" s="12">
        <f>IF(ActiveDatabase=Standby,Secondary!Z973,Primary!Z1631)</f>
        <v>0</v>
      </c>
      <c r="AA973" s="7">
        <f>IF(ActiveDatabase=Standby,Secondary!AA973,Primary!AA1631)</f>
        <v>0</v>
      </c>
      <c r="AB973" s="12"/>
      <c r="AC973" s="6"/>
      <c r="AD973" s="6"/>
      <c r="AE973" s="7"/>
      <c r="AF973" s="7"/>
      <c r="AG973" s="7"/>
      <c r="AH973" s="7"/>
      <c r="AI973" s="7"/>
      <c r="AJ973" s="7"/>
      <c r="AK973" s="7"/>
      <c r="AL973" s="7"/>
      <c r="AM973" s="7"/>
      <c r="AN973" s="7"/>
      <c r="AO973" s="6"/>
      <c r="AP973" s="7"/>
      <c r="AQ973" s="7"/>
      <c r="AR973" s="6"/>
      <c r="AS973" s="7"/>
      <c r="AT973" s="7"/>
      <c r="AU973" s="7"/>
      <c r="AV973" s="7"/>
      <c r="AW973" s="7"/>
      <c r="AX973" s="7"/>
      <c r="AY973" s="7"/>
      <c r="AZ973" s="7"/>
      <c r="BA973" s="7"/>
      <c r="BB973" s="7"/>
      <c r="BC973" s="7"/>
      <c r="BD973" s="7"/>
      <c r="BE973" s="7"/>
      <c r="BF973" s="7"/>
      <c r="BG973" s="7"/>
    </row>
    <row r="974" customHeight="1" spans="1:59">
      <c r="A974" s="9">
        <f>IF(ActiveDatabase=Standby,Secondary!A974,Primary!A974)</f>
        <v>0</v>
      </c>
      <c r="B974" s="5">
        <f>IF(ActiveDatabase=Standby,Secondary!B974,Primary!B974)</f>
        <v>0</v>
      </c>
      <c r="C974" s="5">
        <f>IF(ActiveDatabase=Standby,Secondary!C974,Primary!C974)</f>
        <v>0</v>
      </c>
      <c r="D974" s="5">
        <f>IF(ActiveDatabase=Standby,Secondary!D974,Primary!D974)</f>
        <v>0</v>
      </c>
      <c r="E974" s="6">
        <f>IF(ActiveDatabase=Standby,Secondary!E974,Primary!E974)</f>
        <v>0</v>
      </c>
      <c r="F974" s="10">
        <f>IF(ActiveDatabase=Standby,Secondary!F974,Primary!F974)</f>
        <v>0</v>
      </c>
      <c r="G974" s="10">
        <f>IF(ActiveDatabase=Standby,Secondary!G974,Primary!G974)</f>
        <v>0</v>
      </c>
      <c r="H974" s="10">
        <f>IF(ActiveDatabase=Standby,Secondary!H974,Primary!H974)</f>
        <v>0</v>
      </c>
      <c r="I974" s="13">
        <f>IF(ActiveDatabase=Standby,Secondary!I974,Primary!I974)</f>
        <v>0</v>
      </c>
      <c r="J974" s="13">
        <f>IF(ActiveDatabase=Standby,Secondary!J974,Primary!J974)</f>
        <v>0</v>
      </c>
      <c r="K974" s="13">
        <f>IF(ActiveDatabase=Standby,Secondary!K974,Primary!K974)</f>
        <v>0</v>
      </c>
      <c r="L974" s="13">
        <f>IF(ActiveDatabase=Standby,Secondary!L974,Primary!L974)</f>
        <v>0</v>
      </c>
      <c r="M974" s="7">
        <f>IF(ActiveDatabase=Standby,Secondary!M974,Primary!M974)</f>
        <v>0</v>
      </c>
      <c r="N974" s="10">
        <f>IF(ActiveDatabase=Standby,Secondary!N974,Primary!N974)</f>
        <v>0</v>
      </c>
      <c r="O974" s="10">
        <f>IF(ActiveDatabase=Standby,Secondary!O974,Primary!O974)</f>
        <v>0</v>
      </c>
      <c r="P974" s="10">
        <f>IF(ActiveDatabase=Standby,Secondary!P974,Primary!P974)</f>
        <v>0</v>
      </c>
      <c r="Q974" s="6">
        <f>IF(ActiveDatabase=Standby,Secondary!Q974,Primary!Q974)</f>
        <v>0</v>
      </c>
      <c r="R974" s="18">
        <f>IF(ActiveDatabase=Standby,Secondary!R974,Primary!R974)</f>
        <v>0</v>
      </c>
      <c r="S974" s="19">
        <f>IF(ActiveDatabase=Standby,Secondary!S974,Primary!S974)</f>
        <v>0</v>
      </c>
      <c r="T974" s="10">
        <f>IF(ActiveDatabase=Standby,Secondary!T974,Primary!T974)</f>
        <v>0</v>
      </c>
      <c r="U974" s="10">
        <f>IF(ActiveDatabase=Standby,Secondary!U974,Primary!U974)</f>
        <v>0</v>
      </c>
      <c r="V974" s="10">
        <f>IF(ActiveDatabase=Standby,Secondary!V974,Primary!V974)</f>
        <v>0</v>
      </c>
      <c r="W974" s="6">
        <f>IF(ActiveDatabase=Standby,Secondary!W974,Primary!W974)</f>
        <v>0</v>
      </c>
      <c r="X974" s="6">
        <f>IF(ActiveDatabase=Standby,Secondary!X974,Primary!X974)</f>
        <v>0</v>
      </c>
      <c r="Y974" s="12">
        <f>IF(ActiveDatabase=Standby,Secondary!Y974,Primary!Y1632)</f>
        <v>0</v>
      </c>
      <c r="Z974" s="12">
        <f>IF(ActiveDatabase=Standby,Secondary!Z974,Primary!Z1632)</f>
        <v>0</v>
      </c>
      <c r="AA974" s="7">
        <f>IF(ActiveDatabase=Standby,Secondary!AA974,Primary!AA1632)</f>
        <v>0</v>
      </c>
      <c r="AB974" s="12"/>
      <c r="AC974" s="6"/>
      <c r="AD974" s="6"/>
      <c r="AE974" s="7"/>
      <c r="AF974" s="7"/>
      <c r="AG974" s="7"/>
      <c r="AH974" s="7"/>
      <c r="AI974" s="7"/>
      <c r="AJ974" s="7"/>
      <c r="AK974" s="7"/>
      <c r="AL974" s="7"/>
      <c r="AM974" s="7"/>
      <c r="AN974" s="7"/>
      <c r="AO974" s="6"/>
      <c r="AP974" s="7"/>
      <c r="AQ974" s="7"/>
      <c r="AR974" s="6"/>
      <c r="AS974" s="7"/>
      <c r="AT974" s="7"/>
      <c r="AU974" s="7"/>
      <c r="AV974" s="7"/>
      <c r="AW974" s="7"/>
      <c r="AX974" s="7"/>
      <c r="AY974" s="7"/>
      <c r="AZ974" s="7"/>
      <c r="BA974" s="7"/>
      <c r="BB974" s="7"/>
      <c r="BC974" s="7"/>
      <c r="BD974" s="7"/>
      <c r="BE974" s="7"/>
      <c r="BF974" s="7"/>
      <c r="BG974" s="7"/>
    </row>
    <row r="975" customHeight="1" spans="1:59">
      <c r="A975" s="9">
        <f>IF(ActiveDatabase=Standby,Secondary!A975,Primary!A975)</f>
        <v>0</v>
      </c>
      <c r="B975" s="5">
        <f>IF(ActiveDatabase=Standby,Secondary!B975,Primary!B975)</f>
        <v>0</v>
      </c>
      <c r="C975" s="5">
        <f>IF(ActiveDatabase=Standby,Secondary!C975,Primary!C975)</f>
        <v>0</v>
      </c>
      <c r="D975" s="5">
        <f>IF(ActiveDatabase=Standby,Secondary!D975,Primary!D975)</f>
        <v>0</v>
      </c>
      <c r="E975" s="6">
        <f>IF(ActiveDatabase=Standby,Secondary!E975,Primary!E975)</f>
        <v>0</v>
      </c>
      <c r="F975" s="10">
        <f>IF(ActiveDatabase=Standby,Secondary!F975,Primary!F975)</f>
        <v>0</v>
      </c>
      <c r="G975" s="10">
        <f>IF(ActiveDatabase=Standby,Secondary!G975,Primary!G975)</f>
        <v>0</v>
      </c>
      <c r="H975" s="10">
        <f>IF(ActiveDatabase=Standby,Secondary!H975,Primary!H975)</f>
        <v>0</v>
      </c>
      <c r="I975" s="13">
        <f>IF(ActiveDatabase=Standby,Secondary!I975,Primary!I975)</f>
        <v>0</v>
      </c>
      <c r="J975" s="13">
        <f>IF(ActiveDatabase=Standby,Secondary!J975,Primary!J975)</f>
        <v>0</v>
      </c>
      <c r="K975" s="13">
        <f>IF(ActiveDatabase=Standby,Secondary!K975,Primary!K975)</f>
        <v>0</v>
      </c>
      <c r="L975" s="13">
        <f>IF(ActiveDatabase=Standby,Secondary!L975,Primary!L975)</f>
        <v>0</v>
      </c>
      <c r="M975" s="7">
        <f>IF(ActiveDatabase=Standby,Secondary!M975,Primary!M975)</f>
        <v>0</v>
      </c>
      <c r="N975" s="10">
        <f>IF(ActiveDatabase=Standby,Secondary!N975,Primary!N975)</f>
        <v>0</v>
      </c>
      <c r="O975" s="10">
        <f>IF(ActiveDatabase=Standby,Secondary!O975,Primary!O975)</f>
        <v>0</v>
      </c>
      <c r="P975" s="10">
        <f>IF(ActiveDatabase=Standby,Secondary!P975,Primary!P975)</f>
        <v>0</v>
      </c>
      <c r="Q975" s="6">
        <f>IF(ActiveDatabase=Standby,Secondary!Q975,Primary!Q975)</f>
        <v>0</v>
      </c>
      <c r="R975" s="18">
        <f>IF(ActiveDatabase=Standby,Secondary!R975,Primary!R975)</f>
        <v>0</v>
      </c>
      <c r="S975" s="19">
        <f>IF(ActiveDatabase=Standby,Secondary!S975,Primary!S975)</f>
        <v>0</v>
      </c>
      <c r="T975" s="10">
        <f>IF(ActiveDatabase=Standby,Secondary!T975,Primary!T975)</f>
        <v>0</v>
      </c>
      <c r="U975" s="10">
        <f>IF(ActiveDatabase=Standby,Secondary!U975,Primary!U975)</f>
        <v>0</v>
      </c>
      <c r="V975" s="10">
        <f>IF(ActiveDatabase=Standby,Secondary!V975,Primary!V975)</f>
        <v>0</v>
      </c>
      <c r="W975" s="6">
        <f>IF(ActiveDatabase=Standby,Secondary!W975,Primary!W975)</f>
        <v>0</v>
      </c>
      <c r="X975" s="6">
        <f>IF(ActiveDatabase=Standby,Secondary!X975,Primary!X975)</f>
        <v>0</v>
      </c>
      <c r="Y975" s="12">
        <f>IF(ActiveDatabase=Standby,Secondary!Y975,Primary!Y1633)</f>
        <v>0</v>
      </c>
      <c r="Z975" s="12">
        <f>IF(ActiveDatabase=Standby,Secondary!Z975,Primary!Z1633)</f>
        <v>0</v>
      </c>
      <c r="AA975" s="7">
        <f>IF(ActiveDatabase=Standby,Secondary!AA975,Primary!AA1633)</f>
        <v>0</v>
      </c>
      <c r="AB975" s="12"/>
      <c r="AC975" s="6"/>
      <c r="AD975" s="6"/>
      <c r="AE975" s="7"/>
      <c r="AF975" s="7"/>
      <c r="AG975" s="7"/>
      <c r="AH975" s="7"/>
      <c r="AI975" s="7"/>
      <c r="AJ975" s="7"/>
      <c r="AK975" s="7"/>
      <c r="AL975" s="7"/>
      <c r="AM975" s="7"/>
      <c r="AN975" s="7"/>
      <c r="AO975" s="6"/>
      <c r="AP975" s="7"/>
      <c r="AQ975" s="7"/>
      <c r="AR975" s="6"/>
      <c r="AS975" s="7"/>
      <c r="AT975" s="7"/>
      <c r="AU975" s="7"/>
      <c r="AV975" s="7"/>
      <c r="AW975" s="7"/>
      <c r="AX975" s="7"/>
      <c r="AY975" s="7"/>
      <c r="AZ975" s="7"/>
      <c r="BA975" s="7"/>
      <c r="BB975" s="7"/>
      <c r="BC975" s="7"/>
      <c r="BD975" s="7"/>
      <c r="BE975" s="7"/>
      <c r="BF975" s="7"/>
      <c r="BG975" s="7"/>
    </row>
    <row r="976" customHeight="1" spans="1:59">
      <c r="A976" s="9">
        <f>IF(ActiveDatabase=Standby,Secondary!A976,Primary!A976)</f>
        <v>0</v>
      </c>
      <c r="B976" s="5">
        <f>IF(ActiveDatabase=Standby,Secondary!B976,Primary!B976)</f>
        <v>0</v>
      </c>
      <c r="C976" s="5">
        <f>IF(ActiveDatabase=Standby,Secondary!C976,Primary!C976)</f>
        <v>0</v>
      </c>
      <c r="D976" s="5">
        <f>IF(ActiveDatabase=Standby,Secondary!D976,Primary!D976)</f>
        <v>0</v>
      </c>
      <c r="E976" s="6">
        <f>IF(ActiveDatabase=Standby,Secondary!E976,Primary!E976)</f>
        <v>0</v>
      </c>
      <c r="F976" s="10">
        <f>IF(ActiveDatabase=Standby,Secondary!F976,Primary!F976)</f>
        <v>0</v>
      </c>
      <c r="G976" s="10">
        <f>IF(ActiveDatabase=Standby,Secondary!G976,Primary!G976)</f>
        <v>0</v>
      </c>
      <c r="H976" s="10">
        <f>IF(ActiveDatabase=Standby,Secondary!H976,Primary!H976)</f>
        <v>0</v>
      </c>
      <c r="I976" s="13">
        <f>IF(ActiveDatabase=Standby,Secondary!I976,Primary!I976)</f>
        <v>0</v>
      </c>
      <c r="J976" s="13">
        <f>IF(ActiveDatabase=Standby,Secondary!J976,Primary!J976)</f>
        <v>0</v>
      </c>
      <c r="K976" s="13">
        <f>IF(ActiveDatabase=Standby,Secondary!K976,Primary!K976)</f>
        <v>0</v>
      </c>
      <c r="L976" s="13">
        <f>IF(ActiveDatabase=Standby,Secondary!L976,Primary!L976)</f>
        <v>0</v>
      </c>
      <c r="M976" s="7">
        <f>IF(ActiveDatabase=Standby,Secondary!M976,Primary!M976)</f>
        <v>0</v>
      </c>
      <c r="N976" s="10">
        <f>IF(ActiveDatabase=Standby,Secondary!N976,Primary!N976)</f>
        <v>0</v>
      </c>
      <c r="O976" s="10">
        <f>IF(ActiveDatabase=Standby,Secondary!O976,Primary!O976)</f>
        <v>0</v>
      </c>
      <c r="P976" s="10">
        <f>IF(ActiveDatabase=Standby,Secondary!P976,Primary!P976)</f>
        <v>0</v>
      </c>
      <c r="Q976" s="6">
        <f>IF(ActiveDatabase=Standby,Secondary!Q976,Primary!Q976)</f>
        <v>0</v>
      </c>
      <c r="R976" s="18">
        <f>IF(ActiveDatabase=Standby,Secondary!R976,Primary!R976)</f>
        <v>0</v>
      </c>
      <c r="S976" s="19">
        <f>IF(ActiveDatabase=Standby,Secondary!S976,Primary!S976)</f>
        <v>0</v>
      </c>
      <c r="T976" s="10">
        <f>IF(ActiveDatabase=Standby,Secondary!T976,Primary!T976)</f>
        <v>0</v>
      </c>
      <c r="U976" s="10">
        <f>IF(ActiveDatabase=Standby,Secondary!U976,Primary!U976)</f>
        <v>0</v>
      </c>
      <c r="V976" s="10">
        <f>IF(ActiveDatabase=Standby,Secondary!V976,Primary!V976)</f>
        <v>0</v>
      </c>
      <c r="W976" s="6">
        <f>IF(ActiveDatabase=Standby,Secondary!W976,Primary!W976)</f>
        <v>0</v>
      </c>
      <c r="X976" s="6">
        <f>IF(ActiveDatabase=Standby,Secondary!X976,Primary!X976)</f>
        <v>0</v>
      </c>
      <c r="Y976" s="12">
        <f>IF(ActiveDatabase=Standby,Secondary!Y976,Primary!Y1634)</f>
        <v>0</v>
      </c>
      <c r="Z976" s="12">
        <f>IF(ActiveDatabase=Standby,Secondary!Z976,Primary!Z1634)</f>
        <v>0</v>
      </c>
      <c r="AA976" s="7">
        <f>IF(ActiveDatabase=Standby,Secondary!AA976,Primary!AA1634)</f>
        <v>0</v>
      </c>
      <c r="AB976" s="12"/>
      <c r="AC976" s="6"/>
      <c r="AD976" s="6"/>
      <c r="AE976" s="7"/>
      <c r="AF976" s="7"/>
      <c r="AG976" s="7"/>
      <c r="AH976" s="7"/>
      <c r="AI976" s="7"/>
      <c r="AJ976" s="7"/>
      <c r="AK976" s="7"/>
      <c r="AL976" s="7"/>
      <c r="AM976" s="7"/>
      <c r="AN976" s="7"/>
      <c r="AO976" s="6"/>
      <c r="AP976" s="7"/>
      <c r="AQ976" s="7"/>
      <c r="AR976" s="6"/>
      <c r="AS976" s="7"/>
      <c r="AT976" s="7"/>
      <c r="AU976" s="7"/>
      <c r="AV976" s="7"/>
      <c r="AW976" s="7"/>
      <c r="AX976" s="7"/>
      <c r="AY976" s="7"/>
      <c r="AZ976" s="7"/>
      <c r="BA976" s="7"/>
      <c r="BB976" s="7"/>
      <c r="BC976" s="7"/>
      <c r="BD976" s="7"/>
      <c r="BE976" s="7"/>
      <c r="BF976" s="7"/>
      <c r="BG976" s="7"/>
    </row>
    <row r="977" customHeight="1" spans="1:59">
      <c r="A977" s="9">
        <f>IF(ActiveDatabase=Standby,Secondary!A977,Primary!A977)</f>
        <v>0</v>
      </c>
      <c r="B977" s="5">
        <f>IF(ActiveDatabase=Standby,Secondary!B977,Primary!B977)</f>
        <v>0</v>
      </c>
      <c r="C977" s="5">
        <f>IF(ActiveDatabase=Standby,Secondary!C977,Primary!C977)</f>
        <v>0</v>
      </c>
      <c r="D977" s="5">
        <f>IF(ActiveDatabase=Standby,Secondary!D977,Primary!D977)</f>
        <v>0</v>
      </c>
      <c r="E977" s="6">
        <f>IF(ActiveDatabase=Standby,Secondary!E977,Primary!E977)</f>
        <v>0</v>
      </c>
      <c r="F977" s="10">
        <f>IF(ActiveDatabase=Standby,Secondary!F977,Primary!F977)</f>
        <v>0</v>
      </c>
      <c r="G977" s="10">
        <f>IF(ActiveDatabase=Standby,Secondary!G977,Primary!G977)</f>
        <v>0</v>
      </c>
      <c r="H977" s="10">
        <f>IF(ActiveDatabase=Standby,Secondary!H977,Primary!H977)</f>
        <v>0</v>
      </c>
      <c r="I977" s="13">
        <f>IF(ActiveDatabase=Standby,Secondary!I977,Primary!I977)</f>
        <v>0</v>
      </c>
      <c r="J977" s="13">
        <f>IF(ActiveDatabase=Standby,Secondary!J977,Primary!J977)</f>
        <v>0</v>
      </c>
      <c r="K977" s="13">
        <f>IF(ActiveDatabase=Standby,Secondary!K977,Primary!K977)</f>
        <v>0</v>
      </c>
      <c r="L977" s="13">
        <f>IF(ActiveDatabase=Standby,Secondary!L977,Primary!L977)</f>
        <v>0</v>
      </c>
      <c r="M977" s="7">
        <f>IF(ActiveDatabase=Standby,Secondary!M977,Primary!M977)</f>
        <v>0</v>
      </c>
      <c r="N977" s="10">
        <f>IF(ActiveDatabase=Standby,Secondary!N977,Primary!N977)</f>
        <v>0</v>
      </c>
      <c r="O977" s="10">
        <f>IF(ActiveDatabase=Standby,Secondary!O977,Primary!O977)</f>
        <v>0</v>
      </c>
      <c r="P977" s="10">
        <f>IF(ActiveDatabase=Standby,Secondary!P977,Primary!P977)</f>
        <v>0</v>
      </c>
      <c r="Q977" s="6">
        <f>IF(ActiveDatabase=Standby,Secondary!Q977,Primary!Q977)</f>
        <v>0</v>
      </c>
      <c r="R977" s="18">
        <f>IF(ActiveDatabase=Standby,Secondary!R977,Primary!R977)</f>
        <v>0</v>
      </c>
      <c r="S977" s="19">
        <f>IF(ActiveDatabase=Standby,Secondary!S977,Primary!S977)</f>
        <v>0</v>
      </c>
      <c r="T977" s="10">
        <f>IF(ActiveDatabase=Standby,Secondary!T977,Primary!T977)</f>
        <v>0</v>
      </c>
      <c r="U977" s="10">
        <f>IF(ActiveDatabase=Standby,Secondary!U977,Primary!U977)</f>
        <v>0</v>
      </c>
      <c r="V977" s="10">
        <f>IF(ActiveDatabase=Standby,Secondary!V977,Primary!V977)</f>
        <v>0</v>
      </c>
      <c r="W977" s="6">
        <f>IF(ActiveDatabase=Standby,Secondary!W977,Primary!W977)</f>
        <v>0</v>
      </c>
      <c r="X977" s="6">
        <f>IF(ActiveDatabase=Standby,Secondary!X977,Primary!X977)</f>
        <v>0</v>
      </c>
      <c r="Y977" s="12">
        <f>IF(ActiveDatabase=Standby,Secondary!Y977,Primary!Y1635)</f>
        <v>0</v>
      </c>
      <c r="Z977" s="12">
        <f>IF(ActiveDatabase=Standby,Secondary!Z977,Primary!Z1635)</f>
        <v>0</v>
      </c>
      <c r="AA977" s="7">
        <f>IF(ActiveDatabase=Standby,Secondary!AA977,Primary!AA1635)</f>
        <v>0</v>
      </c>
      <c r="AB977" s="12"/>
      <c r="AC977" s="6"/>
      <c r="AD977" s="6"/>
      <c r="AE977" s="7"/>
      <c r="AF977" s="7"/>
      <c r="AG977" s="7"/>
      <c r="AH977" s="7"/>
      <c r="AI977" s="7"/>
      <c r="AJ977" s="7"/>
      <c r="AK977" s="7"/>
      <c r="AL977" s="7"/>
      <c r="AM977" s="7"/>
      <c r="AN977" s="7"/>
      <c r="AO977" s="6"/>
      <c r="AP977" s="7"/>
      <c r="AQ977" s="7"/>
      <c r="AR977" s="6"/>
      <c r="AS977" s="7"/>
      <c r="AT977" s="7"/>
      <c r="AU977" s="7"/>
      <c r="AV977" s="7"/>
      <c r="AW977" s="7"/>
      <c r="AX977" s="7"/>
      <c r="AY977" s="7"/>
      <c r="AZ977" s="7"/>
      <c r="BA977" s="7"/>
      <c r="BB977" s="7"/>
      <c r="BC977" s="7"/>
      <c r="BD977" s="7"/>
      <c r="BE977" s="7"/>
      <c r="BF977" s="7"/>
      <c r="BG977" s="7"/>
    </row>
    <row r="978" customHeight="1" spans="1:59">
      <c r="A978" s="9">
        <f>IF(ActiveDatabase=Standby,Secondary!A978,Primary!A978)</f>
        <v>0</v>
      </c>
      <c r="B978" s="5">
        <f>IF(ActiveDatabase=Standby,Secondary!B978,Primary!B978)</f>
        <v>0</v>
      </c>
      <c r="C978" s="5">
        <f>IF(ActiveDatabase=Standby,Secondary!C978,Primary!C978)</f>
        <v>0</v>
      </c>
      <c r="D978" s="5">
        <f>IF(ActiveDatabase=Standby,Secondary!D978,Primary!D978)</f>
        <v>0</v>
      </c>
      <c r="E978" s="6">
        <f>IF(ActiveDatabase=Standby,Secondary!E978,Primary!E978)</f>
        <v>0</v>
      </c>
      <c r="F978" s="10">
        <f>IF(ActiveDatabase=Standby,Secondary!F978,Primary!F978)</f>
        <v>0</v>
      </c>
      <c r="G978" s="10">
        <f>IF(ActiveDatabase=Standby,Secondary!G978,Primary!G978)</f>
        <v>0</v>
      </c>
      <c r="H978" s="10">
        <f>IF(ActiveDatabase=Standby,Secondary!H978,Primary!H978)</f>
        <v>0</v>
      </c>
      <c r="I978" s="13">
        <f>IF(ActiveDatabase=Standby,Secondary!I978,Primary!I978)</f>
        <v>0</v>
      </c>
      <c r="J978" s="13">
        <f>IF(ActiveDatabase=Standby,Secondary!J978,Primary!J978)</f>
        <v>0</v>
      </c>
      <c r="K978" s="13">
        <f>IF(ActiveDatabase=Standby,Secondary!K978,Primary!K978)</f>
        <v>0</v>
      </c>
      <c r="L978" s="13">
        <f>IF(ActiveDatabase=Standby,Secondary!L978,Primary!L978)</f>
        <v>0</v>
      </c>
      <c r="M978" s="7">
        <f>IF(ActiveDatabase=Standby,Secondary!M978,Primary!M978)</f>
        <v>0</v>
      </c>
      <c r="N978" s="10">
        <f>IF(ActiveDatabase=Standby,Secondary!N978,Primary!N978)</f>
        <v>0</v>
      </c>
      <c r="O978" s="10">
        <f>IF(ActiveDatabase=Standby,Secondary!O978,Primary!O978)</f>
        <v>0</v>
      </c>
      <c r="P978" s="10">
        <f>IF(ActiveDatabase=Standby,Secondary!P978,Primary!P978)</f>
        <v>0</v>
      </c>
      <c r="Q978" s="6">
        <f>IF(ActiveDatabase=Standby,Secondary!Q978,Primary!Q978)</f>
        <v>0</v>
      </c>
      <c r="R978" s="18">
        <f>IF(ActiveDatabase=Standby,Secondary!R978,Primary!R978)</f>
        <v>0</v>
      </c>
      <c r="S978" s="19">
        <f>IF(ActiveDatabase=Standby,Secondary!S978,Primary!S978)</f>
        <v>0</v>
      </c>
      <c r="T978" s="10">
        <f>IF(ActiveDatabase=Standby,Secondary!T978,Primary!T978)</f>
        <v>0</v>
      </c>
      <c r="U978" s="10">
        <f>IF(ActiveDatabase=Standby,Secondary!U978,Primary!U978)</f>
        <v>0</v>
      </c>
      <c r="V978" s="10">
        <f>IF(ActiveDatabase=Standby,Secondary!V978,Primary!V978)</f>
        <v>0</v>
      </c>
      <c r="W978" s="6">
        <f>IF(ActiveDatabase=Standby,Secondary!W978,Primary!W978)</f>
        <v>0</v>
      </c>
      <c r="X978" s="6">
        <f>IF(ActiveDatabase=Standby,Secondary!X978,Primary!X978)</f>
        <v>0</v>
      </c>
      <c r="Y978" s="12">
        <f>IF(ActiveDatabase=Standby,Secondary!Y978,Primary!Y1636)</f>
        <v>0</v>
      </c>
      <c r="Z978" s="12">
        <f>IF(ActiveDatabase=Standby,Secondary!Z978,Primary!Z1636)</f>
        <v>0</v>
      </c>
      <c r="AA978" s="7">
        <f>IF(ActiveDatabase=Standby,Secondary!AA978,Primary!AA1636)</f>
        <v>0</v>
      </c>
      <c r="AB978" s="12"/>
      <c r="AC978" s="6"/>
      <c r="AD978" s="6"/>
      <c r="AE978" s="7"/>
      <c r="AF978" s="7"/>
      <c r="AG978" s="7"/>
      <c r="AH978" s="7"/>
      <c r="AI978" s="7"/>
      <c r="AJ978" s="7"/>
      <c r="AK978" s="7"/>
      <c r="AL978" s="7"/>
      <c r="AM978" s="7"/>
      <c r="AN978" s="7"/>
      <c r="AO978" s="6"/>
      <c r="AP978" s="7"/>
      <c r="AQ978" s="7"/>
      <c r="AR978" s="6"/>
      <c r="AS978" s="7"/>
      <c r="AT978" s="7"/>
      <c r="AU978" s="7"/>
      <c r="AV978" s="7"/>
      <c r="AW978" s="7"/>
      <c r="AX978" s="7"/>
      <c r="AY978" s="7"/>
      <c r="AZ978" s="7"/>
      <c r="BA978" s="7"/>
      <c r="BB978" s="7"/>
      <c r="BC978" s="7"/>
      <c r="BD978" s="7"/>
      <c r="BE978" s="7"/>
      <c r="BF978" s="7"/>
      <c r="BG978" s="7"/>
    </row>
    <row r="979" customHeight="1" spans="1:59">
      <c r="A979" s="9">
        <f>IF(ActiveDatabase=Standby,Secondary!A979,Primary!A979)</f>
        <v>0</v>
      </c>
      <c r="B979" s="5">
        <f>IF(ActiveDatabase=Standby,Secondary!B979,Primary!B979)</f>
        <v>0</v>
      </c>
      <c r="C979" s="5">
        <f>IF(ActiveDatabase=Standby,Secondary!C979,Primary!C979)</f>
        <v>0</v>
      </c>
      <c r="D979" s="5">
        <f>IF(ActiveDatabase=Standby,Secondary!D979,Primary!D979)</f>
        <v>0</v>
      </c>
      <c r="E979" s="6">
        <f>IF(ActiveDatabase=Standby,Secondary!E979,Primary!E979)</f>
        <v>0</v>
      </c>
      <c r="F979" s="10">
        <f>IF(ActiveDatabase=Standby,Secondary!F979,Primary!F979)</f>
        <v>0</v>
      </c>
      <c r="G979" s="10">
        <f>IF(ActiveDatabase=Standby,Secondary!G979,Primary!G979)</f>
        <v>0</v>
      </c>
      <c r="H979" s="10">
        <f>IF(ActiveDatabase=Standby,Secondary!H979,Primary!H979)</f>
        <v>0</v>
      </c>
      <c r="I979" s="13">
        <f>IF(ActiveDatabase=Standby,Secondary!I979,Primary!I979)</f>
        <v>0</v>
      </c>
      <c r="J979" s="13">
        <f>IF(ActiveDatabase=Standby,Secondary!J979,Primary!J979)</f>
        <v>0</v>
      </c>
      <c r="K979" s="13">
        <f>IF(ActiveDatabase=Standby,Secondary!K979,Primary!K979)</f>
        <v>0</v>
      </c>
      <c r="L979" s="13">
        <f>IF(ActiveDatabase=Standby,Secondary!L979,Primary!L979)</f>
        <v>0</v>
      </c>
      <c r="M979" s="7">
        <f>IF(ActiveDatabase=Standby,Secondary!M979,Primary!M979)</f>
        <v>0</v>
      </c>
      <c r="N979" s="10">
        <f>IF(ActiveDatabase=Standby,Secondary!N979,Primary!N979)</f>
        <v>0</v>
      </c>
      <c r="O979" s="10">
        <f>IF(ActiveDatabase=Standby,Secondary!O979,Primary!O979)</f>
        <v>0</v>
      </c>
      <c r="P979" s="10">
        <f>IF(ActiveDatabase=Standby,Secondary!P979,Primary!P979)</f>
        <v>0</v>
      </c>
      <c r="Q979" s="6">
        <f>IF(ActiveDatabase=Standby,Secondary!Q979,Primary!Q979)</f>
        <v>0</v>
      </c>
      <c r="R979" s="18">
        <f>IF(ActiveDatabase=Standby,Secondary!R979,Primary!R979)</f>
        <v>0</v>
      </c>
      <c r="S979" s="19">
        <f>IF(ActiveDatabase=Standby,Secondary!S979,Primary!S979)</f>
        <v>0</v>
      </c>
      <c r="T979" s="10">
        <f>IF(ActiveDatabase=Standby,Secondary!T979,Primary!T979)</f>
        <v>0</v>
      </c>
      <c r="U979" s="10">
        <f>IF(ActiveDatabase=Standby,Secondary!U979,Primary!U979)</f>
        <v>0</v>
      </c>
      <c r="V979" s="10">
        <f>IF(ActiveDatabase=Standby,Secondary!V979,Primary!V979)</f>
        <v>0</v>
      </c>
      <c r="W979" s="6">
        <f>IF(ActiveDatabase=Standby,Secondary!W979,Primary!W979)</f>
        <v>0</v>
      </c>
      <c r="X979" s="6">
        <f>IF(ActiveDatabase=Standby,Secondary!X979,Primary!X979)</f>
        <v>0</v>
      </c>
      <c r="Y979" s="12">
        <f>IF(ActiveDatabase=Standby,Secondary!Y979,Primary!Y1637)</f>
        <v>0</v>
      </c>
      <c r="Z979" s="12">
        <f>IF(ActiveDatabase=Standby,Secondary!Z979,Primary!Z1637)</f>
        <v>0</v>
      </c>
      <c r="AA979" s="7">
        <f>IF(ActiveDatabase=Standby,Secondary!AA979,Primary!AA1637)</f>
        <v>0</v>
      </c>
      <c r="AB979" s="12"/>
      <c r="AC979" s="6"/>
      <c r="AD979" s="6"/>
      <c r="AE979" s="7"/>
      <c r="AF979" s="7"/>
      <c r="AG979" s="7"/>
      <c r="AH979" s="7"/>
      <c r="AI979" s="7"/>
      <c r="AJ979" s="7"/>
      <c r="AK979" s="7"/>
      <c r="AL979" s="7"/>
      <c r="AM979" s="7"/>
      <c r="AN979" s="7"/>
      <c r="AO979" s="6"/>
      <c r="AP979" s="7"/>
      <c r="AQ979" s="7"/>
      <c r="AR979" s="6"/>
      <c r="AS979" s="7"/>
      <c r="AT979" s="7"/>
      <c r="AU979" s="7"/>
      <c r="AV979" s="7"/>
      <c r="AW979" s="7"/>
      <c r="AX979" s="7"/>
      <c r="AY979" s="7"/>
      <c r="AZ979" s="7"/>
      <c r="BA979" s="7"/>
      <c r="BB979" s="7"/>
      <c r="BC979" s="7"/>
      <c r="BD979" s="7"/>
      <c r="BE979" s="7"/>
      <c r="BF979" s="7"/>
      <c r="BG979" s="7"/>
    </row>
    <row r="980" customHeight="1" spans="1:59">
      <c r="A980" s="9">
        <f>IF(ActiveDatabase=Standby,Secondary!A980,Primary!A980)</f>
        <v>0</v>
      </c>
      <c r="B980" s="5">
        <f>IF(ActiveDatabase=Standby,Secondary!B980,Primary!B980)</f>
        <v>0</v>
      </c>
      <c r="C980" s="5">
        <f>IF(ActiveDatabase=Standby,Secondary!C980,Primary!C980)</f>
        <v>0</v>
      </c>
      <c r="D980" s="5">
        <f>IF(ActiveDatabase=Standby,Secondary!D980,Primary!D980)</f>
        <v>0</v>
      </c>
      <c r="E980" s="6">
        <f>IF(ActiveDatabase=Standby,Secondary!E980,Primary!E980)</f>
        <v>0</v>
      </c>
      <c r="F980" s="10">
        <f>IF(ActiveDatabase=Standby,Secondary!F980,Primary!F980)</f>
        <v>0</v>
      </c>
      <c r="G980" s="10">
        <f>IF(ActiveDatabase=Standby,Secondary!G980,Primary!G980)</f>
        <v>0</v>
      </c>
      <c r="H980" s="10">
        <f>IF(ActiveDatabase=Standby,Secondary!H980,Primary!H980)</f>
        <v>0</v>
      </c>
      <c r="I980" s="13">
        <f>IF(ActiveDatabase=Standby,Secondary!I980,Primary!I980)</f>
        <v>0</v>
      </c>
      <c r="J980" s="13">
        <f>IF(ActiveDatabase=Standby,Secondary!J980,Primary!J980)</f>
        <v>0</v>
      </c>
      <c r="K980" s="13">
        <f>IF(ActiveDatabase=Standby,Secondary!K980,Primary!K980)</f>
        <v>0</v>
      </c>
      <c r="L980" s="13">
        <f>IF(ActiveDatabase=Standby,Secondary!L980,Primary!L980)</f>
        <v>0</v>
      </c>
      <c r="M980" s="7">
        <f>IF(ActiveDatabase=Standby,Secondary!M980,Primary!M980)</f>
        <v>0</v>
      </c>
      <c r="N980" s="10">
        <f>IF(ActiveDatabase=Standby,Secondary!N980,Primary!N980)</f>
        <v>0</v>
      </c>
      <c r="O980" s="10">
        <f>IF(ActiveDatabase=Standby,Secondary!O980,Primary!O980)</f>
        <v>0</v>
      </c>
      <c r="P980" s="10">
        <f>IF(ActiveDatabase=Standby,Secondary!P980,Primary!P980)</f>
        <v>0</v>
      </c>
      <c r="Q980" s="6">
        <f>IF(ActiveDatabase=Standby,Secondary!Q980,Primary!Q980)</f>
        <v>0</v>
      </c>
      <c r="R980" s="18">
        <f>IF(ActiveDatabase=Standby,Secondary!R980,Primary!R980)</f>
        <v>0</v>
      </c>
      <c r="S980" s="19">
        <f>IF(ActiveDatabase=Standby,Secondary!S980,Primary!S980)</f>
        <v>0</v>
      </c>
      <c r="T980" s="10">
        <f>IF(ActiveDatabase=Standby,Secondary!T980,Primary!T980)</f>
        <v>0</v>
      </c>
      <c r="U980" s="10">
        <f>IF(ActiveDatabase=Standby,Secondary!U980,Primary!U980)</f>
        <v>0</v>
      </c>
      <c r="V980" s="10">
        <f>IF(ActiveDatabase=Standby,Secondary!V980,Primary!V980)</f>
        <v>0</v>
      </c>
      <c r="W980" s="6">
        <f>IF(ActiveDatabase=Standby,Secondary!W980,Primary!W980)</f>
        <v>0</v>
      </c>
      <c r="X980" s="6">
        <f>IF(ActiveDatabase=Standby,Secondary!X980,Primary!X980)</f>
        <v>0</v>
      </c>
      <c r="Y980" s="12">
        <f>IF(ActiveDatabase=Standby,Secondary!Y980,Primary!Y1638)</f>
        <v>0</v>
      </c>
      <c r="Z980" s="12">
        <f>IF(ActiveDatabase=Standby,Secondary!Z980,Primary!Z1638)</f>
        <v>0</v>
      </c>
      <c r="AA980" s="7">
        <f>IF(ActiveDatabase=Standby,Secondary!AA980,Primary!AA1638)</f>
        <v>0</v>
      </c>
      <c r="AB980" s="12"/>
      <c r="AC980" s="6"/>
      <c r="AD980" s="6"/>
      <c r="AE980" s="7"/>
      <c r="AF980" s="7"/>
      <c r="AG980" s="7"/>
      <c r="AH980" s="7"/>
      <c r="AI980" s="7"/>
      <c r="AJ980" s="7"/>
      <c r="AK980" s="7"/>
      <c r="AL980" s="7"/>
      <c r="AM980" s="7"/>
      <c r="AN980" s="7"/>
      <c r="AO980" s="6"/>
      <c r="AP980" s="7"/>
      <c r="AQ980" s="7"/>
      <c r="AR980" s="6"/>
      <c r="AS980" s="7"/>
      <c r="AT980" s="7"/>
      <c r="AU980" s="7"/>
      <c r="AV980" s="7"/>
      <c r="AW980" s="7"/>
      <c r="AX980" s="7"/>
      <c r="AY980" s="7"/>
      <c r="AZ980" s="7"/>
      <c r="BA980" s="7"/>
      <c r="BB980" s="7"/>
      <c r="BC980" s="7"/>
      <c r="BD980" s="7"/>
      <c r="BE980" s="7"/>
      <c r="BF980" s="7"/>
      <c r="BG980" s="7"/>
    </row>
    <row r="981" customHeight="1" spans="1:59">
      <c r="A981" s="9">
        <f>IF(ActiveDatabase=Standby,Secondary!A981,Primary!A981)</f>
        <v>0</v>
      </c>
      <c r="B981" s="5">
        <f>IF(ActiveDatabase=Standby,Secondary!B981,Primary!B981)</f>
        <v>0</v>
      </c>
      <c r="C981" s="5">
        <f>IF(ActiveDatabase=Standby,Secondary!C981,Primary!C981)</f>
        <v>0</v>
      </c>
      <c r="D981" s="5">
        <f>IF(ActiveDatabase=Standby,Secondary!D981,Primary!D981)</f>
        <v>0</v>
      </c>
      <c r="E981" s="6">
        <f>IF(ActiveDatabase=Standby,Secondary!E981,Primary!E981)</f>
        <v>0</v>
      </c>
      <c r="F981" s="10">
        <f>IF(ActiveDatabase=Standby,Secondary!F981,Primary!F981)</f>
        <v>0</v>
      </c>
      <c r="G981" s="10">
        <f>IF(ActiveDatabase=Standby,Secondary!G981,Primary!G981)</f>
        <v>0</v>
      </c>
      <c r="H981" s="10">
        <f>IF(ActiveDatabase=Standby,Secondary!H981,Primary!H981)</f>
        <v>0</v>
      </c>
      <c r="I981" s="13">
        <f>IF(ActiveDatabase=Standby,Secondary!I981,Primary!I981)</f>
        <v>0</v>
      </c>
      <c r="J981" s="13">
        <f>IF(ActiveDatabase=Standby,Secondary!J981,Primary!J981)</f>
        <v>0</v>
      </c>
      <c r="K981" s="13">
        <f>IF(ActiveDatabase=Standby,Secondary!K981,Primary!K981)</f>
        <v>0</v>
      </c>
      <c r="L981" s="13">
        <f>IF(ActiveDatabase=Standby,Secondary!L981,Primary!L981)</f>
        <v>0</v>
      </c>
      <c r="M981" s="7">
        <f>IF(ActiveDatabase=Standby,Secondary!M981,Primary!M981)</f>
        <v>0</v>
      </c>
      <c r="N981" s="10">
        <f>IF(ActiveDatabase=Standby,Secondary!N981,Primary!N981)</f>
        <v>0</v>
      </c>
      <c r="O981" s="10">
        <f>IF(ActiveDatabase=Standby,Secondary!O981,Primary!O981)</f>
        <v>0</v>
      </c>
      <c r="P981" s="10">
        <f>IF(ActiveDatabase=Standby,Secondary!P981,Primary!P981)</f>
        <v>0</v>
      </c>
      <c r="Q981" s="6">
        <f>IF(ActiveDatabase=Standby,Secondary!Q981,Primary!Q981)</f>
        <v>0</v>
      </c>
      <c r="R981" s="18">
        <f>IF(ActiveDatabase=Standby,Secondary!R981,Primary!R981)</f>
        <v>0</v>
      </c>
      <c r="S981" s="19">
        <f>IF(ActiveDatabase=Standby,Secondary!S981,Primary!S981)</f>
        <v>0</v>
      </c>
      <c r="T981" s="10">
        <f>IF(ActiveDatabase=Standby,Secondary!T981,Primary!T981)</f>
        <v>0</v>
      </c>
      <c r="U981" s="10">
        <f>IF(ActiveDatabase=Standby,Secondary!U981,Primary!U981)</f>
        <v>0</v>
      </c>
      <c r="V981" s="10">
        <f>IF(ActiveDatabase=Standby,Secondary!V981,Primary!V981)</f>
        <v>0</v>
      </c>
      <c r="W981" s="6">
        <f>IF(ActiveDatabase=Standby,Secondary!W981,Primary!W981)</f>
        <v>0</v>
      </c>
      <c r="X981" s="6">
        <f>IF(ActiveDatabase=Standby,Secondary!X981,Primary!X981)</f>
        <v>0</v>
      </c>
      <c r="Y981" s="12">
        <f>IF(ActiveDatabase=Standby,Secondary!Y981,Primary!Y1639)</f>
        <v>0</v>
      </c>
      <c r="Z981" s="12">
        <f>IF(ActiveDatabase=Standby,Secondary!Z981,Primary!Z1639)</f>
        <v>0</v>
      </c>
      <c r="AA981" s="7">
        <f>IF(ActiveDatabase=Standby,Secondary!AA981,Primary!AA1639)</f>
        <v>0</v>
      </c>
      <c r="AB981" s="12"/>
      <c r="AC981" s="6"/>
      <c r="AD981" s="6"/>
      <c r="AE981" s="7"/>
      <c r="AF981" s="7"/>
      <c r="AG981" s="7"/>
      <c r="AH981" s="7"/>
      <c r="AI981" s="7"/>
      <c r="AJ981" s="7"/>
      <c r="AK981" s="7"/>
      <c r="AL981" s="7"/>
      <c r="AM981" s="7"/>
      <c r="AN981" s="7"/>
      <c r="AO981" s="6"/>
      <c r="AP981" s="7"/>
      <c r="AQ981" s="7"/>
      <c r="AR981" s="6"/>
      <c r="AS981" s="7"/>
      <c r="AT981" s="7"/>
      <c r="AU981" s="7"/>
      <c r="AV981" s="7"/>
      <c r="AW981" s="7"/>
      <c r="AX981" s="7"/>
      <c r="AY981" s="7"/>
      <c r="AZ981" s="7"/>
      <c r="BA981" s="7"/>
      <c r="BB981" s="7"/>
      <c r="BC981" s="7"/>
      <c r="BD981" s="7"/>
      <c r="BE981" s="7"/>
      <c r="BF981" s="7"/>
      <c r="BG981" s="7"/>
    </row>
    <row r="982" customHeight="1" spans="1:59">
      <c r="A982" s="9">
        <f>IF(ActiveDatabase=Standby,Secondary!A982,Primary!A982)</f>
        <v>0</v>
      </c>
      <c r="B982" s="5">
        <f>IF(ActiveDatabase=Standby,Secondary!B982,Primary!B982)</f>
        <v>0</v>
      </c>
      <c r="C982" s="5">
        <f>IF(ActiveDatabase=Standby,Secondary!C982,Primary!C982)</f>
        <v>0</v>
      </c>
      <c r="D982" s="5">
        <f>IF(ActiveDatabase=Standby,Secondary!D982,Primary!D982)</f>
        <v>0</v>
      </c>
      <c r="E982" s="6">
        <f>IF(ActiveDatabase=Standby,Secondary!E982,Primary!E982)</f>
        <v>0</v>
      </c>
      <c r="F982" s="10">
        <f>IF(ActiveDatabase=Standby,Secondary!F982,Primary!F982)</f>
        <v>0</v>
      </c>
      <c r="G982" s="10">
        <f>IF(ActiveDatabase=Standby,Secondary!G982,Primary!G982)</f>
        <v>0</v>
      </c>
      <c r="H982" s="10">
        <f>IF(ActiveDatabase=Standby,Secondary!H982,Primary!H982)</f>
        <v>0</v>
      </c>
      <c r="I982" s="13">
        <f>IF(ActiveDatabase=Standby,Secondary!I982,Primary!I982)</f>
        <v>0</v>
      </c>
      <c r="J982" s="13">
        <f>IF(ActiveDatabase=Standby,Secondary!J982,Primary!J982)</f>
        <v>0</v>
      </c>
      <c r="K982" s="13">
        <f>IF(ActiveDatabase=Standby,Secondary!K982,Primary!K982)</f>
        <v>0</v>
      </c>
      <c r="L982" s="13">
        <f>IF(ActiveDatabase=Standby,Secondary!L982,Primary!L982)</f>
        <v>0</v>
      </c>
      <c r="M982" s="7">
        <f>IF(ActiveDatabase=Standby,Secondary!M982,Primary!M982)</f>
        <v>0</v>
      </c>
      <c r="N982" s="10">
        <f>IF(ActiveDatabase=Standby,Secondary!N982,Primary!N982)</f>
        <v>0</v>
      </c>
      <c r="O982" s="10">
        <f>IF(ActiveDatabase=Standby,Secondary!O982,Primary!O982)</f>
        <v>0</v>
      </c>
      <c r="P982" s="10">
        <f>IF(ActiveDatabase=Standby,Secondary!P982,Primary!P982)</f>
        <v>0</v>
      </c>
      <c r="Q982" s="6">
        <f>IF(ActiveDatabase=Standby,Secondary!Q982,Primary!Q982)</f>
        <v>0</v>
      </c>
      <c r="R982" s="18">
        <f>IF(ActiveDatabase=Standby,Secondary!R982,Primary!R982)</f>
        <v>0</v>
      </c>
      <c r="S982" s="19">
        <f>IF(ActiveDatabase=Standby,Secondary!S982,Primary!S982)</f>
        <v>0</v>
      </c>
      <c r="T982" s="10">
        <f>IF(ActiveDatabase=Standby,Secondary!T982,Primary!T982)</f>
        <v>0</v>
      </c>
      <c r="U982" s="10">
        <f>IF(ActiveDatabase=Standby,Secondary!U982,Primary!U982)</f>
        <v>0</v>
      </c>
      <c r="V982" s="10">
        <f>IF(ActiveDatabase=Standby,Secondary!V982,Primary!V982)</f>
        <v>0</v>
      </c>
      <c r="W982" s="6">
        <f>IF(ActiveDatabase=Standby,Secondary!W982,Primary!W982)</f>
        <v>0</v>
      </c>
      <c r="X982" s="6">
        <f>IF(ActiveDatabase=Standby,Secondary!X982,Primary!X982)</f>
        <v>0</v>
      </c>
      <c r="Y982" s="12">
        <f>IF(ActiveDatabase=Standby,Secondary!Y982,Primary!Y1640)</f>
        <v>0</v>
      </c>
      <c r="Z982" s="12">
        <f>IF(ActiveDatabase=Standby,Secondary!Z982,Primary!Z1640)</f>
        <v>0</v>
      </c>
      <c r="AA982" s="7">
        <f>IF(ActiveDatabase=Standby,Secondary!AA982,Primary!AA1640)</f>
        <v>0</v>
      </c>
      <c r="AB982" s="12"/>
      <c r="AC982" s="6"/>
      <c r="AD982" s="6"/>
      <c r="AE982" s="7"/>
      <c r="AF982" s="7"/>
      <c r="AG982" s="7"/>
      <c r="AH982" s="7"/>
      <c r="AI982" s="7"/>
      <c r="AJ982" s="7"/>
      <c r="AK982" s="7"/>
      <c r="AL982" s="7"/>
      <c r="AM982" s="7"/>
      <c r="AN982" s="7"/>
      <c r="AO982" s="6"/>
      <c r="AP982" s="7"/>
      <c r="AQ982" s="7"/>
      <c r="AR982" s="6"/>
      <c r="AS982" s="7"/>
      <c r="AT982" s="7"/>
      <c r="AU982" s="7"/>
      <c r="AV982" s="7"/>
      <c r="AW982" s="7"/>
      <c r="AX982" s="7"/>
      <c r="AY982" s="7"/>
      <c r="AZ982" s="7"/>
      <c r="BA982" s="7"/>
      <c r="BB982" s="7"/>
      <c r="BC982" s="7"/>
      <c r="BD982" s="7"/>
      <c r="BE982" s="7"/>
      <c r="BF982" s="7"/>
      <c r="BG982" s="7"/>
    </row>
    <row r="983" customHeight="1" spans="1:59">
      <c r="A983" s="9">
        <f>IF(ActiveDatabase=Standby,Secondary!A983,Primary!A983)</f>
        <v>0</v>
      </c>
      <c r="B983" s="5">
        <f>IF(ActiveDatabase=Standby,Secondary!B983,Primary!B983)</f>
        <v>0</v>
      </c>
      <c r="C983" s="5">
        <f>IF(ActiveDatabase=Standby,Secondary!C983,Primary!C983)</f>
        <v>0</v>
      </c>
      <c r="D983" s="5">
        <f>IF(ActiveDatabase=Standby,Secondary!D983,Primary!D983)</f>
        <v>0</v>
      </c>
      <c r="E983" s="6">
        <f>IF(ActiveDatabase=Standby,Secondary!E983,Primary!E983)</f>
        <v>0</v>
      </c>
      <c r="F983" s="10">
        <f>IF(ActiveDatabase=Standby,Secondary!F983,Primary!F983)</f>
        <v>0</v>
      </c>
      <c r="G983" s="10">
        <f>IF(ActiveDatabase=Standby,Secondary!G983,Primary!G983)</f>
        <v>0</v>
      </c>
      <c r="H983" s="10">
        <f>IF(ActiveDatabase=Standby,Secondary!H983,Primary!H983)</f>
        <v>0</v>
      </c>
      <c r="I983" s="13">
        <f>IF(ActiveDatabase=Standby,Secondary!I983,Primary!I983)</f>
        <v>0</v>
      </c>
      <c r="J983" s="13">
        <f>IF(ActiveDatabase=Standby,Secondary!J983,Primary!J983)</f>
        <v>0</v>
      </c>
      <c r="K983" s="13">
        <f>IF(ActiveDatabase=Standby,Secondary!K983,Primary!K983)</f>
        <v>0</v>
      </c>
      <c r="L983" s="13">
        <f>IF(ActiveDatabase=Standby,Secondary!L983,Primary!L983)</f>
        <v>0</v>
      </c>
      <c r="M983" s="7">
        <f>IF(ActiveDatabase=Standby,Secondary!M983,Primary!M983)</f>
        <v>0</v>
      </c>
      <c r="N983" s="10">
        <f>IF(ActiveDatabase=Standby,Secondary!N983,Primary!N983)</f>
        <v>0</v>
      </c>
      <c r="O983" s="10">
        <f>IF(ActiveDatabase=Standby,Secondary!O983,Primary!O983)</f>
        <v>0</v>
      </c>
      <c r="P983" s="10">
        <f>IF(ActiveDatabase=Standby,Secondary!P983,Primary!P983)</f>
        <v>0</v>
      </c>
      <c r="Q983" s="6">
        <f>IF(ActiveDatabase=Standby,Secondary!Q983,Primary!Q983)</f>
        <v>0</v>
      </c>
      <c r="R983" s="18">
        <f>IF(ActiveDatabase=Standby,Secondary!R983,Primary!R983)</f>
        <v>0</v>
      </c>
      <c r="S983" s="19">
        <f>IF(ActiveDatabase=Standby,Secondary!S983,Primary!S983)</f>
        <v>0</v>
      </c>
      <c r="T983" s="10">
        <f>IF(ActiveDatabase=Standby,Secondary!T983,Primary!T983)</f>
        <v>0</v>
      </c>
      <c r="U983" s="10">
        <f>IF(ActiveDatabase=Standby,Secondary!U983,Primary!U983)</f>
        <v>0</v>
      </c>
      <c r="V983" s="10">
        <f>IF(ActiveDatabase=Standby,Secondary!V983,Primary!V983)</f>
        <v>0</v>
      </c>
      <c r="W983" s="6">
        <f>IF(ActiveDatabase=Standby,Secondary!W983,Primary!W983)</f>
        <v>0</v>
      </c>
      <c r="X983" s="6">
        <f>IF(ActiveDatabase=Standby,Secondary!X983,Primary!X983)</f>
        <v>0</v>
      </c>
      <c r="Y983" s="12">
        <f>IF(ActiveDatabase=Standby,Secondary!Y983,Primary!Y1641)</f>
        <v>0</v>
      </c>
      <c r="Z983" s="12">
        <f>IF(ActiveDatabase=Standby,Secondary!Z983,Primary!Z1641)</f>
        <v>0</v>
      </c>
      <c r="AA983" s="7">
        <f>IF(ActiveDatabase=Standby,Secondary!AA983,Primary!AA1641)</f>
        <v>0</v>
      </c>
      <c r="AB983" s="12"/>
      <c r="AC983" s="6"/>
      <c r="AD983" s="6"/>
      <c r="AE983" s="7"/>
      <c r="AF983" s="7"/>
      <c r="AG983" s="7"/>
      <c r="AH983" s="7"/>
      <c r="AI983" s="7"/>
      <c r="AJ983" s="7"/>
      <c r="AK983" s="7"/>
      <c r="AL983" s="7"/>
      <c r="AM983" s="7"/>
      <c r="AN983" s="7"/>
      <c r="AO983" s="6"/>
      <c r="AP983" s="7"/>
      <c r="AQ983" s="7"/>
      <c r="AR983" s="6"/>
      <c r="AS983" s="7"/>
      <c r="AT983" s="7"/>
      <c r="AU983" s="7"/>
      <c r="AV983" s="7"/>
      <c r="AW983" s="7"/>
      <c r="AX983" s="7"/>
      <c r="AY983" s="7"/>
      <c r="AZ983" s="7"/>
      <c r="BA983" s="7"/>
      <c r="BB983" s="7"/>
      <c r="BC983" s="7"/>
      <c r="BD983" s="7"/>
      <c r="BE983" s="7"/>
      <c r="BF983" s="7"/>
      <c r="BG983" s="7"/>
    </row>
    <row r="984" customHeight="1" spans="1:59">
      <c r="A984" s="9">
        <f>IF(ActiveDatabase=Standby,Secondary!A984,Primary!A984)</f>
        <v>0</v>
      </c>
      <c r="B984" s="5">
        <f>IF(ActiveDatabase=Standby,Secondary!B984,Primary!B984)</f>
        <v>0</v>
      </c>
      <c r="C984" s="5">
        <f>IF(ActiveDatabase=Standby,Secondary!C984,Primary!C984)</f>
        <v>0</v>
      </c>
      <c r="D984" s="5">
        <f>IF(ActiveDatabase=Standby,Secondary!D984,Primary!D984)</f>
        <v>0</v>
      </c>
      <c r="E984" s="6">
        <f>IF(ActiveDatabase=Standby,Secondary!E984,Primary!E984)</f>
        <v>0</v>
      </c>
      <c r="F984" s="10">
        <f>IF(ActiveDatabase=Standby,Secondary!F984,Primary!F984)</f>
        <v>0</v>
      </c>
      <c r="G984" s="10">
        <f>IF(ActiveDatabase=Standby,Secondary!G984,Primary!G984)</f>
        <v>0</v>
      </c>
      <c r="H984" s="10">
        <f>IF(ActiveDatabase=Standby,Secondary!H984,Primary!H984)</f>
        <v>0</v>
      </c>
      <c r="I984" s="13">
        <f>IF(ActiveDatabase=Standby,Secondary!I984,Primary!I984)</f>
        <v>0</v>
      </c>
      <c r="J984" s="13">
        <f>IF(ActiveDatabase=Standby,Secondary!J984,Primary!J984)</f>
        <v>0</v>
      </c>
      <c r="K984" s="13">
        <f>IF(ActiveDatabase=Standby,Secondary!K984,Primary!K984)</f>
        <v>0</v>
      </c>
      <c r="L984" s="13">
        <f>IF(ActiveDatabase=Standby,Secondary!L984,Primary!L984)</f>
        <v>0</v>
      </c>
      <c r="M984" s="7">
        <f>IF(ActiveDatabase=Standby,Secondary!M984,Primary!M984)</f>
        <v>0</v>
      </c>
      <c r="N984" s="10">
        <f>IF(ActiveDatabase=Standby,Secondary!N984,Primary!N984)</f>
        <v>0</v>
      </c>
      <c r="O984" s="10">
        <f>IF(ActiveDatabase=Standby,Secondary!O984,Primary!O984)</f>
        <v>0</v>
      </c>
      <c r="P984" s="10">
        <f>IF(ActiveDatabase=Standby,Secondary!P984,Primary!P984)</f>
        <v>0</v>
      </c>
      <c r="Q984" s="6">
        <f>IF(ActiveDatabase=Standby,Secondary!Q984,Primary!Q984)</f>
        <v>0</v>
      </c>
      <c r="R984" s="18">
        <f>IF(ActiveDatabase=Standby,Secondary!R984,Primary!R984)</f>
        <v>0</v>
      </c>
      <c r="S984" s="19">
        <f>IF(ActiveDatabase=Standby,Secondary!S984,Primary!S984)</f>
        <v>0</v>
      </c>
      <c r="T984" s="10">
        <f>IF(ActiveDatabase=Standby,Secondary!T984,Primary!T984)</f>
        <v>0</v>
      </c>
      <c r="U984" s="10">
        <f>IF(ActiveDatabase=Standby,Secondary!U984,Primary!U984)</f>
        <v>0</v>
      </c>
      <c r="V984" s="10">
        <f>IF(ActiveDatabase=Standby,Secondary!V984,Primary!V984)</f>
        <v>0</v>
      </c>
      <c r="W984" s="6">
        <f>IF(ActiveDatabase=Standby,Secondary!W984,Primary!W984)</f>
        <v>0</v>
      </c>
      <c r="X984" s="6">
        <f>IF(ActiveDatabase=Standby,Secondary!X984,Primary!X984)</f>
        <v>0</v>
      </c>
      <c r="Y984" s="12">
        <f>IF(ActiveDatabase=Standby,Secondary!Y984,Primary!Y1642)</f>
        <v>0</v>
      </c>
      <c r="Z984" s="12">
        <f>IF(ActiveDatabase=Standby,Secondary!Z984,Primary!Z1642)</f>
        <v>0</v>
      </c>
      <c r="AA984" s="7">
        <f>IF(ActiveDatabase=Standby,Secondary!AA984,Primary!AA1642)</f>
        <v>0</v>
      </c>
      <c r="AB984" s="12"/>
      <c r="AC984" s="6"/>
      <c r="AD984" s="6"/>
      <c r="AE984" s="7"/>
      <c r="AF984" s="7"/>
      <c r="AG984" s="7"/>
      <c r="AH984" s="7"/>
      <c r="AI984" s="7"/>
      <c r="AJ984" s="7"/>
      <c r="AK984" s="7"/>
      <c r="AL984" s="7"/>
      <c r="AM984" s="7"/>
      <c r="AN984" s="7"/>
      <c r="AO984" s="6"/>
      <c r="AP984" s="7"/>
      <c r="AQ984" s="7"/>
      <c r="AR984" s="6"/>
      <c r="AS984" s="7"/>
      <c r="AT984" s="7"/>
      <c r="AU984" s="7"/>
      <c r="AV984" s="7"/>
      <c r="AW984" s="7"/>
      <c r="AX984" s="7"/>
      <c r="AY984" s="7"/>
      <c r="AZ984" s="7"/>
      <c r="BA984" s="7"/>
      <c r="BB984" s="7"/>
      <c r="BC984" s="7"/>
      <c r="BD984" s="7"/>
      <c r="BE984" s="7"/>
      <c r="BF984" s="7"/>
      <c r="BG984" s="7"/>
    </row>
    <row r="985" customHeight="1" spans="1:59">
      <c r="A985" s="9">
        <f>IF(ActiveDatabase=Standby,Secondary!A985,Primary!A985)</f>
        <v>0</v>
      </c>
      <c r="B985" s="5">
        <f>IF(ActiveDatabase=Standby,Secondary!B985,Primary!B985)</f>
        <v>0</v>
      </c>
      <c r="C985" s="5">
        <f>IF(ActiveDatabase=Standby,Secondary!C985,Primary!C985)</f>
        <v>0</v>
      </c>
      <c r="D985" s="5">
        <f>IF(ActiveDatabase=Standby,Secondary!D985,Primary!D985)</f>
        <v>0</v>
      </c>
      <c r="E985" s="6">
        <f>IF(ActiveDatabase=Standby,Secondary!E985,Primary!E985)</f>
        <v>0</v>
      </c>
      <c r="F985" s="10">
        <f>IF(ActiveDatabase=Standby,Secondary!F985,Primary!F985)</f>
        <v>0</v>
      </c>
      <c r="G985" s="10">
        <f>IF(ActiveDatabase=Standby,Secondary!G985,Primary!G985)</f>
        <v>0</v>
      </c>
      <c r="H985" s="10">
        <f>IF(ActiveDatabase=Standby,Secondary!H985,Primary!H985)</f>
        <v>0</v>
      </c>
      <c r="I985" s="13">
        <f>IF(ActiveDatabase=Standby,Secondary!I985,Primary!I985)</f>
        <v>0</v>
      </c>
      <c r="J985" s="13">
        <f>IF(ActiveDatabase=Standby,Secondary!J985,Primary!J985)</f>
        <v>0</v>
      </c>
      <c r="K985" s="13">
        <f>IF(ActiveDatabase=Standby,Secondary!K985,Primary!K985)</f>
        <v>0</v>
      </c>
      <c r="L985" s="13">
        <f>IF(ActiveDatabase=Standby,Secondary!L985,Primary!L985)</f>
        <v>0</v>
      </c>
      <c r="M985" s="7">
        <f>IF(ActiveDatabase=Standby,Secondary!M985,Primary!M985)</f>
        <v>0</v>
      </c>
      <c r="N985" s="10">
        <f>IF(ActiveDatabase=Standby,Secondary!N985,Primary!N985)</f>
        <v>0</v>
      </c>
      <c r="O985" s="10">
        <f>IF(ActiveDatabase=Standby,Secondary!O985,Primary!O985)</f>
        <v>0</v>
      </c>
      <c r="P985" s="10">
        <f>IF(ActiveDatabase=Standby,Secondary!P985,Primary!P985)</f>
        <v>0</v>
      </c>
      <c r="Q985" s="6">
        <f>IF(ActiveDatabase=Standby,Secondary!Q985,Primary!Q985)</f>
        <v>0</v>
      </c>
      <c r="R985" s="18">
        <f>IF(ActiveDatabase=Standby,Secondary!R985,Primary!R985)</f>
        <v>0</v>
      </c>
      <c r="S985" s="19">
        <f>IF(ActiveDatabase=Standby,Secondary!S985,Primary!S985)</f>
        <v>0</v>
      </c>
      <c r="T985" s="10">
        <f>IF(ActiveDatabase=Standby,Secondary!T985,Primary!T985)</f>
        <v>0</v>
      </c>
      <c r="U985" s="10">
        <f>IF(ActiveDatabase=Standby,Secondary!U985,Primary!U985)</f>
        <v>0</v>
      </c>
      <c r="V985" s="10">
        <f>IF(ActiveDatabase=Standby,Secondary!V985,Primary!V985)</f>
        <v>0</v>
      </c>
      <c r="W985" s="6">
        <f>IF(ActiveDatabase=Standby,Secondary!W985,Primary!W985)</f>
        <v>0</v>
      </c>
      <c r="X985" s="6">
        <f>IF(ActiveDatabase=Standby,Secondary!X985,Primary!X985)</f>
        <v>0</v>
      </c>
      <c r="Y985" s="12">
        <f>IF(ActiveDatabase=Standby,Secondary!Y985,Primary!Y1643)</f>
        <v>0</v>
      </c>
      <c r="Z985" s="12">
        <f>IF(ActiveDatabase=Standby,Secondary!Z985,Primary!Z1643)</f>
        <v>0</v>
      </c>
      <c r="AA985" s="7">
        <f>IF(ActiveDatabase=Standby,Secondary!AA985,Primary!AA1643)</f>
        <v>0</v>
      </c>
      <c r="AB985" s="12"/>
      <c r="AC985" s="6"/>
      <c r="AD985" s="6"/>
      <c r="AE985" s="7"/>
      <c r="AF985" s="7"/>
      <c r="AG985" s="7"/>
      <c r="AH985" s="7"/>
      <c r="AI985" s="7"/>
      <c r="AJ985" s="7"/>
      <c r="AK985" s="7"/>
      <c r="AL985" s="7"/>
      <c r="AM985" s="7"/>
      <c r="AN985" s="7"/>
      <c r="AO985" s="6"/>
      <c r="AP985" s="7"/>
      <c r="AQ985" s="7"/>
      <c r="AR985" s="6"/>
      <c r="AS985" s="7"/>
      <c r="AT985" s="7"/>
      <c r="AU985" s="7"/>
      <c r="AV985" s="7"/>
      <c r="AW985" s="7"/>
      <c r="AX985" s="7"/>
      <c r="AY985" s="7"/>
      <c r="AZ985" s="7"/>
      <c r="BA985" s="7"/>
      <c r="BB985" s="7"/>
      <c r="BC985" s="7"/>
      <c r="BD985" s="7"/>
      <c r="BE985" s="7"/>
      <c r="BF985" s="7"/>
      <c r="BG985" s="7"/>
    </row>
    <row r="986" customHeight="1" spans="1:59">
      <c r="A986" s="9">
        <f>IF(ActiveDatabase=Standby,Secondary!A986,Primary!A986)</f>
        <v>0</v>
      </c>
      <c r="B986" s="5">
        <f>IF(ActiveDatabase=Standby,Secondary!B986,Primary!B986)</f>
        <v>0</v>
      </c>
      <c r="C986" s="5">
        <f>IF(ActiveDatabase=Standby,Secondary!C986,Primary!C986)</f>
        <v>0</v>
      </c>
      <c r="D986" s="5">
        <f>IF(ActiveDatabase=Standby,Secondary!D986,Primary!D986)</f>
        <v>0</v>
      </c>
      <c r="E986" s="6">
        <f>IF(ActiveDatabase=Standby,Secondary!E986,Primary!E986)</f>
        <v>0</v>
      </c>
      <c r="F986" s="10">
        <f>IF(ActiveDatabase=Standby,Secondary!F986,Primary!F986)</f>
        <v>0</v>
      </c>
      <c r="G986" s="10">
        <f>IF(ActiveDatabase=Standby,Secondary!G986,Primary!G986)</f>
        <v>0</v>
      </c>
      <c r="H986" s="10">
        <f>IF(ActiveDatabase=Standby,Secondary!H986,Primary!H986)</f>
        <v>0</v>
      </c>
      <c r="I986" s="13">
        <f>IF(ActiveDatabase=Standby,Secondary!I986,Primary!I986)</f>
        <v>0</v>
      </c>
      <c r="J986" s="13">
        <f>IF(ActiveDatabase=Standby,Secondary!J986,Primary!J986)</f>
        <v>0</v>
      </c>
      <c r="K986" s="13">
        <f>IF(ActiveDatabase=Standby,Secondary!K986,Primary!K986)</f>
        <v>0</v>
      </c>
      <c r="L986" s="13">
        <f>IF(ActiveDatabase=Standby,Secondary!L986,Primary!L986)</f>
        <v>0</v>
      </c>
      <c r="M986" s="7">
        <f>IF(ActiveDatabase=Standby,Secondary!M986,Primary!M986)</f>
        <v>0</v>
      </c>
      <c r="N986" s="10">
        <f>IF(ActiveDatabase=Standby,Secondary!N986,Primary!N986)</f>
        <v>0</v>
      </c>
      <c r="O986" s="10">
        <f>IF(ActiveDatabase=Standby,Secondary!O986,Primary!O986)</f>
        <v>0</v>
      </c>
      <c r="P986" s="10">
        <f>IF(ActiveDatabase=Standby,Secondary!P986,Primary!P986)</f>
        <v>0</v>
      </c>
      <c r="Q986" s="6">
        <f>IF(ActiveDatabase=Standby,Secondary!Q986,Primary!Q986)</f>
        <v>0</v>
      </c>
      <c r="R986" s="18">
        <f>IF(ActiveDatabase=Standby,Secondary!R986,Primary!R986)</f>
        <v>0</v>
      </c>
      <c r="S986" s="19">
        <f>IF(ActiveDatabase=Standby,Secondary!S986,Primary!S986)</f>
        <v>0</v>
      </c>
      <c r="T986" s="10">
        <f>IF(ActiveDatabase=Standby,Secondary!T986,Primary!T986)</f>
        <v>0</v>
      </c>
      <c r="U986" s="10">
        <f>IF(ActiveDatabase=Standby,Secondary!U986,Primary!U986)</f>
        <v>0</v>
      </c>
      <c r="V986" s="10">
        <f>IF(ActiveDatabase=Standby,Secondary!V986,Primary!V986)</f>
        <v>0</v>
      </c>
      <c r="W986" s="6">
        <f>IF(ActiveDatabase=Standby,Secondary!W986,Primary!W986)</f>
        <v>0</v>
      </c>
      <c r="X986" s="6">
        <f>IF(ActiveDatabase=Standby,Secondary!X986,Primary!X986)</f>
        <v>0</v>
      </c>
      <c r="Y986" s="12">
        <f>IF(ActiveDatabase=Standby,Secondary!Y986,Primary!Y1644)</f>
        <v>0</v>
      </c>
      <c r="Z986" s="12">
        <f>IF(ActiveDatabase=Standby,Secondary!Z986,Primary!Z1644)</f>
        <v>0</v>
      </c>
      <c r="AA986" s="7">
        <f>IF(ActiveDatabase=Standby,Secondary!AA986,Primary!AA1644)</f>
        <v>0</v>
      </c>
      <c r="AB986" s="12"/>
      <c r="AC986" s="6"/>
      <c r="AD986" s="6"/>
      <c r="AE986" s="7"/>
      <c r="AF986" s="7"/>
      <c r="AG986" s="7"/>
      <c r="AH986" s="7"/>
      <c r="AI986" s="7"/>
      <c r="AJ986" s="7"/>
      <c r="AK986" s="7"/>
      <c r="AL986" s="7"/>
      <c r="AM986" s="7"/>
      <c r="AN986" s="7"/>
      <c r="AO986" s="6"/>
      <c r="AP986" s="7"/>
      <c r="AQ986" s="7"/>
      <c r="AR986" s="6"/>
      <c r="AS986" s="7"/>
      <c r="AT986" s="7"/>
      <c r="AU986" s="7"/>
      <c r="AV986" s="7"/>
      <c r="AW986" s="7"/>
      <c r="AX986" s="7"/>
      <c r="AY986" s="7"/>
      <c r="AZ986" s="7"/>
      <c r="BA986" s="7"/>
      <c r="BB986" s="7"/>
      <c r="BC986" s="7"/>
      <c r="BD986" s="7"/>
      <c r="BE986" s="7"/>
      <c r="BF986" s="7"/>
      <c r="BG986" s="7"/>
    </row>
    <row r="987" customHeight="1" spans="1:59">
      <c r="A987" s="9">
        <f>IF(ActiveDatabase=Standby,Secondary!A987,Primary!A987)</f>
        <v>0</v>
      </c>
      <c r="B987" s="5">
        <f>IF(ActiveDatabase=Standby,Secondary!B987,Primary!B987)</f>
        <v>0</v>
      </c>
      <c r="C987" s="5">
        <f>IF(ActiveDatabase=Standby,Secondary!C987,Primary!C987)</f>
        <v>0</v>
      </c>
      <c r="D987" s="5">
        <f>IF(ActiveDatabase=Standby,Secondary!D987,Primary!D987)</f>
        <v>0</v>
      </c>
      <c r="E987" s="6">
        <f>IF(ActiveDatabase=Standby,Secondary!E987,Primary!E987)</f>
        <v>0</v>
      </c>
      <c r="F987" s="10">
        <f>IF(ActiveDatabase=Standby,Secondary!F987,Primary!F987)</f>
        <v>0</v>
      </c>
      <c r="G987" s="10">
        <f>IF(ActiveDatabase=Standby,Secondary!G987,Primary!G987)</f>
        <v>0</v>
      </c>
      <c r="H987" s="10">
        <f>IF(ActiveDatabase=Standby,Secondary!H987,Primary!H987)</f>
        <v>0</v>
      </c>
      <c r="I987" s="13">
        <f>IF(ActiveDatabase=Standby,Secondary!I987,Primary!I987)</f>
        <v>0</v>
      </c>
      <c r="J987" s="13">
        <f>IF(ActiveDatabase=Standby,Secondary!J987,Primary!J987)</f>
        <v>0</v>
      </c>
      <c r="K987" s="13">
        <f>IF(ActiveDatabase=Standby,Secondary!K987,Primary!K987)</f>
        <v>0</v>
      </c>
      <c r="L987" s="13">
        <f>IF(ActiveDatabase=Standby,Secondary!L987,Primary!L987)</f>
        <v>0</v>
      </c>
      <c r="M987" s="7">
        <f>IF(ActiveDatabase=Standby,Secondary!M987,Primary!M987)</f>
        <v>0</v>
      </c>
      <c r="N987" s="10">
        <f>IF(ActiveDatabase=Standby,Secondary!N987,Primary!N987)</f>
        <v>0</v>
      </c>
      <c r="O987" s="10">
        <f>IF(ActiveDatabase=Standby,Secondary!O987,Primary!O987)</f>
        <v>0</v>
      </c>
      <c r="P987" s="10">
        <f>IF(ActiveDatabase=Standby,Secondary!P987,Primary!P987)</f>
        <v>0</v>
      </c>
      <c r="Q987" s="6">
        <f>IF(ActiveDatabase=Standby,Secondary!Q987,Primary!Q987)</f>
        <v>0</v>
      </c>
      <c r="R987" s="18">
        <f>IF(ActiveDatabase=Standby,Secondary!R987,Primary!R987)</f>
        <v>0</v>
      </c>
      <c r="S987" s="19">
        <f>IF(ActiveDatabase=Standby,Secondary!S987,Primary!S987)</f>
        <v>0</v>
      </c>
      <c r="T987" s="10">
        <f>IF(ActiveDatabase=Standby,Secondary!T987,Primary!T987)</f>
        <v>0</v>
      </c>
      <c r="U987" s="10">
        <f>IF(ActiveDatabase=Standby,Secondary!U987,Primary!U987)</f>
        <v>0</v>
      </c>
      <c r="V987" s="10">
        <f>IF(ActiveDatabase=Standby,Secondary!V987,Primary!V987)</f>
        <v>0</v>
      </c>
      <c r="W987" s="6">
        <f>IF(ActiveDatabase=Standby,Secondary!W987,Primary!W987)</f>
        <v>0</v>
      </c>
      <c r="X987" s="6">
        <f>IF(ActiveDatabase=Standby,Secondary!X987,Primary!X987)</f>
        <v>0</v>
      </c>
      <c r="Y987" s="12">
        <f>IF(ActiveDatabase=Standby,Secondary!Y987,Primary!Y1645)</f>
        <v>0</v>
      </c>
      <c r="Z987" s="12">
        <f>IF(ActiveDatabase=Standby,Secondary!Z987,Primary!Z1645)</f>
        <v>0</v>
      </c>
      <c r="AA987" s="7">
        <f>IF(ActiveDatabase=Standby,Secondary!AA987,Primary!AA1645)</f>
        <v>0</v>
      </c>
      <c r="AB987" s="12"/>
      <c r="AC987" s="6"/>
      <c r="AD987" s="6"/>
      <c r="AE987" s="7"/>
      <c r="AF987" s="7"/>
      <c r="AG987" s="7"/>
      <c r="AH987" s="7"/>
      <c r="AI987" s="7"/>
      <c r="AJ987" s="7"/>
      <c r="AK987" s="7"/>
      <c r="AL987" s="7"/>
      <c r="AM987" s="7"/>
      <c r="AN987" s="7"/>
      <c r="AO987" s="6"/>
      <c r="AP987" s="7"/>
      <c r="AQ987" s="7"/>
      <c r="AR987" s="6"/>
      <c r="AS987" s="7"/>
      <c r="AT987" s="7"/>
      <c r="AU987" s="7"/>
      <c r="AV987" s="7"/>
      <c r="AW987" s="7"/>
      <c r="AX987" s="7"/>
      <c r="AY987" s="7"/>
      <c r="AZ987" s="7"/>
      <c r="BA987" s="7"/>
      <c r="BB987" s="7"/>
      <c r="BC987" s="7"/>
      <c r="BD987" s="7"/>
      <c r="BE987" s="7"/>
      <c r="BF987" s="7"/>
      <c r="BG987" s="7"/>
    </row>
    <row r="988" customHeight="1" spans="1:59">
      <c r="A988" s="9">
        <f>IF(ActiveDatabase=Standby,Secondary!A988,Primary!A988)</f>
        <v>0</v>
      </c>
      <c r="B988" s="5">
        <f>IF(ActiveDatabase=Standby,Secondary!B988,Primary!B988)</f>
        <v>0</v>
      </c>
      <c r="C988" s="5">
        <f>IF(ActiveDatabase=Standby,Secondary!C988,Primary!C988)</f>
        <v>0</v>
      </c>
      <c r="D988" s="5">
        <f>IF(ActiveDatabase=Standby,Secondary!D988,Primary!D988)</f>
        <v>0</v>
      </c>
      <c r="E988" s="6">
        <f>IF(ActiveDatabase=Standby,Secondary!E988,Primary!E988)</f>
        <v>0</v>
      </c>
      <c r="F988" s="10">
        <f>IF(ActiveDatabase=Standby,Secondary!F988,Primary!F988)</f>
        <v>0</v>
      </c>
      <c r="G988" s="10">
        <f>IF(ActiveDatabase=Standby,Secondary!G988,Primary!G988)</f>
        <v>0</v>
      </c>
      <c r="H988" s="10">
        <f>IF(ActiveDatabase=Standby,Secondary!H988,Primary!H988)</f>
        <v>0</v>
      </c>
      <c r="I988" s="13">
        <f>IF(ActiveDatabase=Standby,Secondary!I988,Primary!I988)</f>
        <v>0</v>
      </c>
      <c r="J988" s="13">
        <f>IF(ActiveDatabase=Standby,Secondary!J988,Primary!J988)</f>
        <v>0</v>
      </c>
      <c r="K988" s="13">
        <f>IF(ActiveDatabase=Standby,Secondary!K988,Primary!K988)</f>
        <v>0</v>
      </c>
      <c r="L988" s="13">
        <f>IF(ActiveDatabase=Standby,Secondary!L988,Primary!L988)</f>
        <v>0</v>
      </c>
      <c r="M988" s="7">
        <f>IF(ActiveDatabase=Standby,Secondary!M988,Primary!M988)</f>
        <v>0</v>
      </c>
      <c r="N988" s="10">
        <f>IF(ActiveDatabase=Standby,Secondary!N988,Primary!N988)</f>
        <v>0</v>
      </c>
      <c r="O988" s="10">
        <f>IF(ActiveDatabase=Standby,Secondary!O988,Primary!O988)</f>
        <v>0</v>
      </c>
      <c r="P988" s="10">
        <f>IF(ActiveDatabase=Standby,Secondary!P988,Primary!P988)</f>
        <v>0</v>
      </c>
      <c r="Q988" s="6">
        <f>IF(ActiveDatabase=Standby,Secondary!Q988,Primary!Q988)</f>
        <v>0</v>
      </c>
      <c r="R988" s="18">
        <f>IF(ActiveDatabase=Standby,Secondary!R988,Primary!R988)</f>
        <v>0</v>
      </c>
      <c r="S988" s="19">
        <f>IF(ActiveDatabase=Standby,Secondary!S988,Primary!S988)</f>
        <v>0</v>
      </c>
      <c r="T988" s="10">
        <f>IF(ActiveDatabase=Standby,Secondary!T988,Primary!T988)</f>
        <v>0</v>
      </c>
      <c r="U988" s="10">
        <f>IF(ActiveDatabase=Standby,Secondary!U988,Primary!U988)</f>
        <v>0</v>
      </c>
      <c r="V988" s="10">
        <f>IF(ActiveDatabase=Standby,Secondary!V988,Primary!V988)</f>
        <v>0</v>
      </c>
      <c r="W988" s="6">
        <f>IF(ActiveDatabase=Standby,Secondary!W988,Primary!W988)</f>
        <v>0</v>
      </c>
      <c r="X988" s="6">
        <f>IF(ActiveDatabase=Standby,Secondary!X988,Primary!X988)</f>
        <v>0</v>
      </c>
      <c r="Y988" s="12">
        <f>IF(ActiveDatabase=Standby,Secondary!Y988,Primary!Y1646)</f>
        <v>0</v>
      </c>
      <c r="Z988" s="12">
        <f>IF(ActiveDatabase=Standby,Secondary!Z988,Primary!Z1646)</f>
        <v>0</v>
      </c>
      <c r="AA988" s="7">
        <f>IF(ActiveDatabase=Standby,Secondary!AA988,Primary!AA1646)</f>
        <v>0</v>
      </c>
      <c r="AB988" s="12"/>
      <c r="AC988" s="6"/>
      <c r="AD988" s="6"/>
      <c r="AE988" s="7"/>
      <c r="AF988" s="7"/>
      <c r="AG988" s="7"/>
      <c r="AH988" s="7"/>
      <c r="AI988" s="7"/>
      <c r="AJ988" s="7"/>
      <c r="AK988" s="7"/>
      <c r="AL988" s="7"/>
      <c r="AM988" s="7"/>
      <c r="AN988" s="7"/>
      <c r="AO988" s="6"/>
      <c r="AP988" s="7"/>
      <c r="AQ988" s="7"/>
      <c r="AR988" s="6"/>
      <c r="AS988" s="7"/>
      <c r="AT988" s="7"/>
      <c r="AU988" s="7"/>
      <c r="AV988" s="7"/>
      <c r="AW988" s="7"/>
      <c r="AX988" s="7"/>
      <c r="AY988" s="7"/>
      <c r="AZ988" s="7"/>
      <c r="BA988" s="7"/>
      <c r="BB988" s="7"/>
      <c r="BC988" s="7"/>
      <c r="BD988" s="7"/>
      <c r="BE988" s="7"/>
      <c r="BF988" s="7"/>
      <c r="BG988" s="7"/>
    </row>
    <row r="989" customHeight="1" spans="1:59">
      <c r="A989" s="9">
        <f>IF(ActiveDatabase=Standby,Secondary!A989,Primary!A989)</f>
        <v>0</v>
      </c>
      <c r="B989" s="5">
        <f>IF(ActiveDatabase=Standby,Secondary!B989,Primary!B989)</f>
        <v>0</v>
      </c>
      <c r="C989" s="5">
        <f>IF(ActiveDatabase=Standby,Secondary!C989,Primary!C989)</f>
        <v>0</v>
      </c>
      <c r="D989" s="5">
        <f>IF(ActiveDatabase=Standby,Secondary!D989,Primary!D989)</f>
        <v>0</v>
      </c>
      <c r="E989" s="6">
        <f>IF(ActiveDatabase=Standby,Secondary!E989,Primary!E989)</f>
        <v>0</v>
      </c>
      <c r="F989" s="10">
        <f>IF(ActiveDatabase=Standby,Secondary!F989,Primary!F989)</f>
        <v>0</v>
      </c>
      <c r="G989" s="10">
        <f>IF(ActiveDatabase=Standby,Secondary!G989,Primary!G989)</f>
        <v>0</v>
      </c>
      <c r="H989" s="10">
        <f>IF(ActiveDatabase=Standby,Secondary!H989,Primary!H989)</f>
        <v>0</v>
      </c>
      <c r="I989" s="13">
        <f>IF(ActiveDatabase=Standby,Secondary!I989,Primary!I989)</f>
        <v>0</v>
      </c>
      <c r="J989" s="13">
        <f>IF(ActiveDatabase=Standby,Secondary!J989,Primary!J989)</f>
        <v>0</v>
      </c>
      <c r="K989" s="13">
        <f>IF(ActiveDatabase=Standby,Secondary!K989,Primary!K989)</f>
        <v>0</v>
      </c>
      <c r="L989" s="13">
        <f>IF(ActiveDatabase=Standby,Secondary!L989,Primary!L989)</f>
        <v>0</v>
      </c>
      <c r="M989" s="7">
        <f>IF(ActiveDatabase=Standby,Secondary!M989,Primary!M989)</f>
        <v>0</v>
      </c>
      <c r="N989" s="10">
        <f>IF(ActiveDatabase=Standby,Secondary!N989,Primary!N989)</f>
        <v>0</v>
      </c>
      <c r="O989" s="10">
        <f>IF(ActiveDatabase=Standby,Secondary!O989,Primary!O989)</f>
        <v>0</v>
      </c>
      <c r="P989" s="10">
        <f>IF(ActiveDatabase=Standby,Secondary!P989,Primary!P989)</f>
        <v>0</v>
      </c>
      <c r="Q989" s="6">
        <f>IF(ActiveDatabase=Standby,Secondary!Q989,Primary!Q989)</f>
        <v>0</v>
      </c>
      <c r="R989" s="18">
        <f>IF(ActiveDatabase=Standby,Secondary!R989,Primary!R989)</f>
        <v>0</v>
      </c>
      <c r="S989" s="19">
        <f>IF(ActiveDatabase=Standby,Secondary!S989,Primary!S989)</f>
        <v>0</v>
      </c>
      <c r="T989" s="10">
        <f>IF(ActiveDatabase=Standby,Secondary!T989,Primary!T989)</f>
        <v>0</v>
      </c>
      <c r="U989" s="10">
        <f>IF(ActiveDatabase=Standby,Secondary!U989,Primary!U989)</f>
        <v>0</v>
      </c>
      <c r="V989" s="10">
        <f>IF(ActiveDatabase=Standby,Secondary!V989,Primary!V989)</f>
        <v>0</v>
      </c>
      <c r="W989" s="6">
        <f>IF(ActiveDatabase=Standby,Secondary!W989,Primary!W989)</f>
        <v>0</v>
      </c>
      <c r="X989" s="6">
        <f>IF(ActiveDatabase=Standby,Secondary!X989,Primary!X989)</f>
        <v>0</v>
      </c>
      <c r="Y989" s="12">
        <f>IF(ActiveDatabase=Standby,Secondary!Y989,Primary!Y1647)</f>
        <v>0</v>
      </c>
      <c r="Z989" s="12">
        <f>IF(ActiveDatabase=Standby,Secondary!Z989,Primary!Z1647)</f>
        <v>0</v>
      </c>
      <c r="AA989" s="7">
        <f>IF(ActiveDatabase=Standby,Secondary!AA989,Primary!AA1647)</f>
        <v>0</v>
      </c>
      <c r="AB989" s="12"/>
      <c r="AC989" s="6"/>
      <c r="AD989" s="6"/>
      <c r="AE989" s="7"/>
      <c r="AF989" s="7"/>
      <c r="AG989" s="7"/>
      <c r="AH989" s="7"/>
      <c r="AI989" s="7"/>
      <c r="AJ989" s="7"/>
      <c r="AK989" s="7"/>
      <c r="AL989" s="7"/>
      <c r="AM989" s="7"/>
      <c r="AN989" s="7"/>
      <c r="AO989" s="6"/>
      <c r="AP989" s="7"/>
      <c r="AQ989" s="7"/>
      <c r="AR989" s="6"/>
      <c r="AS989" s="7"/>
      <c r="AT989" s="7"/>
      <c r="AU989" s="7"/>
      <c r="AV989" s="7"/>
      <c r="AW989" s="7"/>
      <c r="AX989" s="7"/>
      <c r="AY989" s="7"/>
      <c r="AZ989" s="7"/>
      <c r="BA989" s="7"/>
      <c r="BB989" s="7"/>
      <c r="BC989" s="7"/>
      <c r="BD989" s="7"/>
      <c r="BE989" s="7"/>
      <c r="BF989" s="7"/>
      <c r="BG989" s="7"/>
    </row>
    <row r="990" customHeight="1" spans="1:59">
      <c r="A990" s="9">
        <f>IF(ActiveDatabase=Standby,Secondary!A990,Primary!A990)</f>
        <v>0</v>
      </c>
      <c r="B990" s="5">
        <f>IF(ActiveDatabase=Standby,Secondary!B990,Primary!B990)</f>
        <v>0</v>
      </c>
      <c r="C990" s="5">
        <f>IF(ActiveDatabase=Standby,Secondary!C990,Primary!C990)</f>
        <v>0</v>
      </c>
      <c r="D990" s="5">
        <f>IF(ActiveDatabase=Standby,Secondary!D990,Primary!D990)</f>
        <v>0</v>
      </c>
      <c r="E990" s="6">
        <f>IF(ActiveDatabase=Standby,Secondary!E990,Primary!E990)</f>
        <v>0</v>
      </c>
      <c r="F990" s="10">
        <f>IF(ActiveDatabase=Standby,Secondary!F990,Primary!F990)</f>
        <v>0</v>
      </c>
      <c r="G990" s="10">
        <f>IF(ActiveDatabase=Standby,Secondary!G990,Primary!G990)</f>
        <v>0</v>
      </c>
      <c r="H990" s="10">
        <f>IF(ActiveDatabase=Standby,Secondary!H990,Primary!H990)</f>
        <v>0</v>
      </c>
      <c r="I990" s="13">
        <f>IF(ActiveDatabase=Standby,Secondary!I990,Primary!I990)</f>
        <v>0</v>
      </c>
      <c r="J990" s="13">
        <f>IF(ActiveDatabase=Standby,Secondary!J990,Primary!J990)</f>
        <v>0</v>
      </c>
      <c r="K990" s="13">
        <f>IF(ActiveDatabase=Standby,Secondary!K990,Primary!K990)</f>
        <v>0</v>
      </c>
      <c r="L990" s="13">
        <f>IF(ActiveDatabase=Standby,Secondary!L990,Primary!L990)</f>
        <v>0</v>
      </c>
      <c r="M990" s="7">
        <f>IF(ActiveDatabase=Standby,Secondary!M990,Primary!M990)</f>
        <v>0</v>
      </c>
      <c r="N990" s="10">
        <f>IF(ActiveDatabase=Standby,Secondary!N990,Primary!N990)</f>
        <v>0</v>
      </c>
      <c r="O990" s="10">
        <f>IF(ActiveDatabase=Standby,Secondary!O990,Primary!O990)</f>
        <v>0</v>
      </c>
      <c r="P990" s="10">
        <f>IF(ActiveDatabase=Standby,Secondary!P990,Primary!P990)</f>
        <v>0</v>
      </c>
      <c r="Q990" s="6">
        <f>IF(ActiveDatabase=Standby,Secondary!Q990,Primary!Q990)</f>
        <v>0</v>
      </c>
      <c r="R990" s="18">
        <f>IF(ActiveDatabase=Standby,Secondary!R990,Primary!R990)</f>
        <v>0</v>
      </c>
      <c r="S990" s="19">
        <f>IF(ActiveDatabase=Standby,Secondary!S990,Primary!S990)</f>
        <v>0</v>
      </c>
      <c r="T990" s="10">
        <f>IF(ActiveDatabase=Standby,Secondary!T990,Primary!T990)</f>
        <v>0</v>
      </c>
      <c r="U990" s="10">
        <f>IF(ActiveDatabase=Standby,Secondary!U990,Primary!U990)</f>
        <v>0</v>
      </c>
      <c r="V990" s="10">
        <f>IF(ActiveDatabase=Standby,Secondary!V990,Primary!V990)</f>
        <v>0</v>
      </c>
      <c r="W990" s="6">
        <f>IF(ActiveDatabase=Standby,Secondary!W990,Primary!W990)</f>
        <v>0</v>
      </c>
      <c r="X990" s="6">
        <f>IF(ActiveDatabase=Standby,Secondary!X990,Primary!X990)</f>
        <v>0</v>
      </c>
      <c r="Y990" s="12">
        <f>IF(ActiveDatabase=Standby,Secondary!Y990,Primary!Y1648)</f>
        <v>0</v>
      </c>
      <c r="Z990" s="12">
        <f>IF(ActiveDatabase=Standby,Secondary!Z990,Primary!Z1648)</f>
        <v>0</v>
      </c>
      <c r="AA990" s="7">
        <f>IF(ActiveDatabase=Standby,Secondary!AA990,Primary!AA1648)</f>
        <v>0</v>
      </c>
      <c r="AB990" s="12"/>
      <c r="AC990" s="6"/>
      <c r="AD990" s="6"/>
      <c r="AE990" s="7"/>
      <c r="AF990" s="7"/>
      <c r="AG990" s="7"/>
      <c r="AH990" s="7"/>
      <c r="AI990" s="7"/>
      <c r="AJ990" s="7"/>
      <c r="AK990" s="7"/>
      <c r="AL990" s="7"/>
      <c r="AM990" s="7"/>
      <c r="AN990" s="7"/>
      <c r="AO990" s="6"/>
      <c r="AP990" s="7"/>
      <c r="AQ990" s="7"/>
      <c r="AR990" s="6"/>
      <c r="AS990" s="7"/>
      <c r="AT990" s="7"/>
      <c r="AU990" s="7"/>
      <c r="AV990" s="7"/>
      <c r="AW990" s="7"/>
      <c r="AX990" s="7"/>
      <c r="AY990" s="7"/>
      <c r="AZ990" s="7"/>
      <c r="BA990" s="7"/>
      <c r="BB990" s="7"/>
      <c r="BC990" s="7"/>
      <c r="BD990" s="7"/>
      <c r="BE990" s="7"/>
      <c r="BF990" s="7"/>
      <c r="BG990" s="7"/>
    </row>
    <row r="991" customHeight="1" spans="1:59">
      <c r="A991" s="9">
        <f>IF(ActiveDatabase=Standby,Secondary!A991,Primary!A991)</f>
        <v>0</v>
      </c>
      <c r="B991" s="5">
        <f>IF(ActiveDatabase=Standby,Secondary!B991,Primary!B991)</f>
        <v>0</v>
      </c>
      <c r="C991" s="5">
        <f>IF(ActiveDatabase=Standby,Secondary!C991,Primary!C991)</f>
        <v>0</v>
      </c>
      <c r="D991" s="5">
        <f>IF(ActiveDatabase=Standby,Secondary!D991,Primary!D991)</f>
        <v>0</v>
      </c>
      <c r="E991" s="6">
        <f>IF(ActiveDatabase=Standby,Secondary!E991,Primary!E991)</f>
        <v>0</v>
      </c>
      <c r="F991" s="10">
        <f>IF(ActiveDatabase=Standby,Secondary!F991,Primary!F991)</f>
        <v>0</v>
      </c>
      <c r="G991" s="10">
        <f>IF(ActiveDatabase=Standby,Secondary!G991,Primary!G991)</f>
        <v>0</v>
      </c>
      <c r="H991" s="10">
        <f>IF(ActiveDatabase=Standby,Secondary!H991,Primary!H991)</f>
        <v>0</v>
      </c>
      <c r="I991" s="13">
        <f>IF(ActiveDatabase=Standby,Secondary!I991,Primary!I991)</f>
        <v>0</v>
      </c>
      <c r="J991" s="13">
        <f>IF(ActiveDatabase=Standby,Secondary!J991,Primary!J991)</f>
        <v>0</v>
      </c>
      <c r="K991" s="13">
        <f>IF(ActiveDatabase=Standby,Secondary!K991,Primary!K991)</f>
        <v>0</v>
      </c>
      <c r="L991" s="13">
        <f>IF(ActiveDatabase=Standby,Secondary!L991,Primary!L991)</f>
        <v>0</v>
      </c>
      <c r="M991" s="7">
        <f>IF(ActiveDatabase=Standby,Secondary!M991,Primary!M991)</f>
        <v>0</v>
      </c>
      <c r="N991" s="10">
        <f>IF(ActiveDatabase=Standby,Secondary!N991,Primary!N991)</f>
        <v>0</v>
      </c>
      <c r="O991" s="10">
        <f>IF(ActiveDatabase=Standby,Secondary!O991,Primary!O991)</f>
        <v>0</v>
      </c>
      <c r="P991" s="10">
        <f>IF(ActiveDatabase=Standby,Secondary!P991,Primary!P991)</f>
        <v>0</v>
      </c>
      <c r="Q991" s="6">
        <f>IF(ActiveDatabase=Standby,Secondary!Q991,Primary!Q991)</f>
        <v>0</v>
      </c>
      <c r="R991" s="18">
        <f>IF(ActiveDatabase=Standby,Secondary!R991,Primary!R991)</f>
        <v>0</v>
      </c>
      <c r="S991" s="19">
        <f>IF(ActiveDatabase=Standby,Secondary!S991,Primary!S991)</f>
        <v>0</v>
      </c>
      <c r="T991" s="10">
        <f>IF(ActiveDatabase=Standby,Secondary!T991,Primary!T991)</f>
        <v>0</v>
      </c>
      <c r="U991" s="10">
        <f>IF(ActiveDatabase=Standby,Secondary!U991,Primary!U991)</f>
        <v>0</v>
      </c>
      <c r="V991" s="10">
        <f>IF(ActiveDatabase=Standby,Secondary!V991,Primary!V991)</f>
        <v>0</v>
      </c>
      <c r="W991" s="6">
        <f>IF(ActiveDatabase=Standby,Secondary!W991,Primary!W991)</f>
        <v>0</v>
      </c>
      <c r="X991" s="6">
        <f>IF(ActiveDatabase=Standby,Secondary!X991,Primary!X991)</f>
        <v>0</v>
      </c>
      <c r="Y991" s="12">
        <f>IF(ActiveDatabase=Standby,Secondary!Y991,Primary!Y1649)</f>
        <v>0</v>
      </c>
      <c r="Z991" s="12">
        <f>IF(ActiveDatabase=Standby,Secondary!Z991,Primary!Z1649)</f>
        <v>0</v>
      </c>
      <c r="AA991" s="7">
        <f>IF(ActiveDatabase=Standby,Secondary!AA991,Primary!AA1649)</f>
        <v>0</v>
      </c>
      <c r="AB991" s="12"/>
      <c r="AC991" s="6"/>
      <c r="AD991" s="6"/>
      <c r="AE991" s="7"/>
      <c r="AF991" s="7"/>
      <c r="AG991" s="7"/>
      <c r="AH991" s="7"/>
      <c r="AI991" s="7"/>
      <c r="AJ991" s="7"/>
      <c r="AK991" s="7"/>
      <c r="AL991" s="7"/>
      <c r="AM991" s="7"/>
      <c r="AN991" s="7"/>
      <c r="AO991" s="6"/>
      <c r="AP991" s="7"/>
      <c r="AQ991" s="7"/>
      <c r="AR991" s="6"/>
      <c r="AS991" s="7"/>
      <c r="AT991" s="7"/>
      <c r="AU991" s="7"/>
      <c r="AV991" s="7"/>
      <c r="AW991" s="7"/>
      <c r="AX991" s="7"/>
      <c r="AY991" s="7"/>
      <c r="AZ991" s="7"/>
      <c r="BA991" s="7"/>
      <c r="BB991" s="7"/>
      <c r="BC991" s="7"/>
      <c r="BD991" s="7"/>
      <c r="BE991" s="7"/>
      <c r="BF991" s="7"/>
      <c r="BG991" s="7"/>
    </row>
    <row r="992" customHeight="1" spans="1:59">
      <c r="A992" s="9">
        <f>IF(ActiveDatabase=Standby,Secondary!A992,Primary!A992)</f>
        <v>0</v>
      </c>
      <c r="B992" s="5">
        <f>IF(ActiveDatabase=Standby,Secondary!B992,Primary!B992)</f>
        <v>0</v>
      </c>
      <c r="C992" s="5">
        <f>IF(ActiveDatabase=Standby,Secondary!C992,Primary!C992)</f>
        <v>0</v>
      </c>
      <c r="D992" s="5">
        <f>IF(ActiveDatabase=Standby,Secondary!D992,Primary!D992)</f>
        <v>0</v>
      </c>
      <c r="E992" s="6">
        <f>IF(ActiveDatabase=Standby,Secondary!E992,Primary!E992)</f>
        <v>0</v>
      </c>
      <c r="F992" s="10">
        <f>IF(ActiveDatabase=Standby,Secondary!F992,Primary!F992)</f>
        <v>0</v>
      </c>
      <c r="G992" s="10">
        <f>IF(ActiveDatabase=Standby,Secondary!G992,Primary!G992)</f>
        <v>0</v>
      </c>
      <c r="H992" s="10">
        <f>IF(ActiveDatabase=Standby,Secondary!H992,Primary!H992)</f>
        <v>0</v>
      </c>
      <c r="I992" s="13">
        <f>IF(ActiveDatabase=Standby,Secondary!I992,Primary!I992)</f>
        <v>0</v>
      </c>
      <c r="J992" s="13">
        <f>IF(ActiveDatabase=Standby,Secondary!J992,Primary!J992)</f>
        <v>0</v>
      </c>
      <c r="K992" s="13">
        <f>IF(ActiveDatabase=Standby,Secondary!K992,Primary!K992)</f>
        <v>0</v>
      </c>
      <c r="L992" s="13">
        <f>IF(ActiveDatabase=Standby,Secondary!L992,Primary!L992)</f>
        <v>0</v>
      </c>
      <c r="M992" s="7">
        <f>IF(ActiveDatabase=Standby,Secondary!M992,Primary!M992)</f>
        <v>0</v>
      </c>
      <c r="N992" s="10">
        <f>IF(ActiveDatabase=Standby,Secondary!N992,Primary!N992)</f>
        <v>0</v>
      </c>
      <c r="O992" s="10">
        <f>IF(ActiveDatabase=Standby,Secondary!O992,Primary!O992)</f>
        <v>0</v>
      </c>
      <c r="P992" s="10">
        <f>IF(ActiveDatabase=Standby,Secondary!P992,Primary!P992)</f>
        <v>0</v>
      </c>
      <c r="Q992" s="6">
        <f>IF(ActiveDatabase=Standby,Secondary!Q992,Primary!Q992)</f>
        <v>0</v>
      </c>
      <c r="R992" s="18">
        <f>IF(ActiveDatabase=Standby,Secondary!R992,Primary!R992)</f>
        <v>0</v>
      </c>
      <c r="S992" s="19">
        <f>IF(ActiveDatabase=Standby,Secondary!S992,Primary!S992)</f>
        <v>0</v>
      </c>
      <c r="T992" s="10">
        <f>IF(ActiveDatabase=Standby,Secondary!T992,Primary!T992)</f>
        <v>0</v>
      </c>
      <c r="U992" s="10">
        <f>IF(ActiveDatabase=Standby,Secondary!U992,Primary!U992)</f>
        <v>0</v>
      </c>
      <c r="V992" s="10">
        <f>IF(ActiveDatabase=Standby,Secondary!V992,Primary!V992)</f>
        <v>0</v>
      </c>
      <c r="W992" s="6">
        <f>IF(ActiveDatabase=Standby,Secondary!W992,Primary!W992)</f>
        <v>0</v>
      </c>
      <c r="X992" s="6">
        <f>IF(ActiveDatabase=Standby,Secondary!X992,Primary!X992)</f>
        <v>0</v>
      </c>
      <c r="Y992" s="12">
        <f>IF(ActiveDatabase=Standby,Secondary!Y992,Primary!Y1650)</f>
        <v>0</v>
      </c>
      <c r="Z992" s="12">
        <f>IF(ActiveDatabase=Standby,Secondary!Z992,Primary!Z1650)</f>
        <v>0</v>
      </c>
      <c r="AA992" s="7">
        <f>IF(ActiveDatabase=Standby,Secondary!AA992,Primary!AA1650)</f>
        <v>0</v>
      </c>
      <c r="AB992" s="12"/>
      <c r="AC992" s="6"/>
      <c r="AD992" s="6"/>
      <c r="AE992" s="7"/>
      <c r="AF992" s="7"/>
      <c r="AG992" s="7"/>
      <c r="AH992" s="7"/>
      <c r="AI992" s="7"/>
      <c r="AJ992" s="7"/>
      <c r="AK992" s="7"/>
      <c r="AL992" s="7"/>
      <c r="AM992" s="7"/>
      <c r="AN992" s="7"/>
      <c r="AO992" s="6"/>
      <c r="AP992" s="7"/>
      <c r="AQ992" s="7"/>
      <c r="AR992" s="6"/>
      <c r="AS992" s="7"/>
      <c r="AT992" s="7"/>
      <c r="AU992" s="7"/>
      <c r="AV992" s="7"/>
      <c r="AW992" s="7"/>
      <c r="AX992" s="7"/>
      <c r="AY992" s="7"/>
      <c r="AZ992" s="7"/>
      <c r="BA992" s="7"/>
      <c r="BB992" s="7"/>
      <c r="BC992" s="7"/>
      <c r="BD992" s="7"/>
      <c r="BE992" s="7"/>
      <c r="BF992" s="7"/>
      <c r="BG992" s="7"/>
    </row>
    <row r="993" customHeight="1" spans="1:59">
      <c r="A993" s="9">
        <f>IF(ActiveDatabase=Standby,Secondary!A993,Primary!A993)</f>
        <v>0</v>
      </c>
      <c r="B993" s="5">
        <f>IF(ActiveDatabase=Standby,Secondary!B993,Primary!B993)</f>
        <v>0</v>
      </c>
      <c r="C993" s="5">
        <f>IF(ActiveDatabase=Standby,Secondary!C993,Primary!C993)</f>
        <v>0</v>
      </c>
      <c r="D993" s="5">
        <f>IF(ActiveDatabase=Standby,Secondary!D993,Primary!D993)</f>
        <v>0</v>
      </c>
      <c r="E993" s="6">
        <f>IF(ActiveDatabase=Standby,Secondary!E993,Primary!E993)</f>
        <v>0</v>
      </c>
      <c r="F993" s="10">
        <f>IF(ActiveDatabase=Standby,Secondary!F993,Primary!F993)</f>
        <v>0</v>
      </c>
      <c r="G993" s="10">
        <f>IF(ActiveDatabase=Standby,Secondary!G993,Primary!G993)</f>
        <v>0</v>
      </c>
      <c r="H993" s="10">
        <f>IF(ActiveDatabase=Standby,Secondary!H993,Primary!H993)</f>
        <v>0</v>
      </c>
      <c r="I993" s="13">
        <f>IF(ActiveDatabase=Standby,Secondary!I993,Primary!I993)</f>
        <v>0</v>
      </c>
      <c r="J993" s="13">
        <f>IF(ActiveDatabase=Standby,Secondary!J993,Primary!J993)</f>
        <v>0</v>
      </c>
      <c r="K993" s="13">
        <f>IF(ActiveDatabase=Standby,Secondary!K993,Primary!K993)</f>
        <v>0</v>
      </c>
      <c r="L993" s="13">
        <f>IF(ActiveDatabase=Standby,Secondary!L993,Primary!L993)</f>
        <v>0</v>
      </c>
      <c r="M993" s="7">
        <f>IF(ActiveDatabase=Standby,Secondary!M993,Primary!M993)</f>
        <v>0</v>
      </c>
      <c r="N993" s="10">
        <f>IF(ActiveDatabase=Standby,Secondary!N993,Primary!N993)</f>
        <v>0</v>
      </c>
      <c r="O993" s="10">
        <f>IF(ActiveDatabase=Standby,Secondary!O993,Primary!O993)</f>
        <v>0</v>
      </c>
      <c r="P993" s="10">
        <f>IF(ActiveDatabase=Standby,Secondary!P993,Primary!P993)</f>
        <v>0</v>
      </c>
      <c r="Q993" s="6">
        <f>IF(ActiveDatabase=Standby,Secondary!Q993,Primary!Q993)</f>
        <v>0</v>
      </c>
      <c r="R993" s="18">
        <f>IF(ActiveDatabase=Standby,Secondary!R993,Primary!R993)</f>
        <v>0</v>
      </c>
      <c r="S993" s="19">
        <f>IF(ActiveDatabase=Standby,Secondary!S993,Primary!S993)</f>
        <v>0</v>
      </c>
      <c r="T993" s="10">
        <f>IF(ActiveDatabase=Standby,Secondary!T993,Primary!T993)</f>
        <v>0</v>
      </c>
      <c r="U993" s="10">
        <f>IF(ActiveDatabase=Standby,Secondary!U993,Primary!U993)</f>
        <v>0</v>
      </c>
      <c r="V993" s="10">
        <f>IF(ActiveDatabase=Standby,Secondary!V993,Primary!V993)</f>
        <v>0</v>
      </c>
      <c r="W993" s="6">
        <f>IF(ActiveDatabase=Standby,Secondary!W993,Primary!W993)</f>
        <v>0</v>
      </c>
      <c r="X993" s="6">
        <f>IF(ActiveDatabase=Standby,Secondary!X993,Primary!X993)</f>
        <v>0</v>
      </c>
      <c r="Y993" s="12">
        <f>IF(ActiveDatabase=Standby,Secondary!Y993,Primary!Y1651)</f>
        <v>0</v>
      </c>
      <c r="Z993" s="12">
        <f>IF(ActiveDatabase=Standby,Secondary!Z993,Primary!Z1651)</f>
        <v>0</v>
      </c>
      <c r="AA993" s="7">
        <f>IF(ActiveDatabase=Standby,Secondary!AA993,Primary!AA1651)</f>
        <v>0</v>
      </c>
      <c r="AB993" s="12"/>
      <c r="AC993" s="6"/>
      <c r="AD993" s="6"/>
      <c r="AE993" s="7"/>
      <c r="AF993" s="7"/>
      <c r="AG993" s="7"/>
      <c r="AH993" s="7"/>
      <c r="AI993" s="7"/>
      <c r="AJ993" s="7"/>
      <c r="AK993" s="7"/>
      <c r="AL993" s="7"/>
      <c r="AM993" s="7"/>
      <c r="AN993" s="7"/>
      <c r="AO993" s="6"/>
      <c r="AP993" s="7"/>
      <c r="AQ993" s="7"/>
      <c r="AR993" s="6"/>
      <c r="AS993" s="7"/>
      <c r="AT993" s="7"/>
      <c r="AU993" s="7"/>
      <c r="AV993" s="7"/>
      <c r="AW993" s="7"/>
      <c r="AX993" s="7"/>
      <c r="AY993" s="7"/>
      <c r="AZ993" s="7"/>
      <c r="BA993" s="7"/>
      <c r="BB993" s="7"/>
      <c r="BC993" s="7"/>
      <c r="BD993" s="7"/>
      <c r="BE993" s="7"/>
      <c r="BF993" s="7"/>
      <c r="BG993" s="7"/>
    </row>
    <row r="994" customHeight="1" spans="1:59">
      <c r="A994" s="9">
        <f>IF(ActiveDatabase=Standby,Secondary!A994,Primary!A994)</f>
        <v>0</v>
      </c>
      <c r="B994" s="5">
        <f>IF(ActiveDatabase=Standby,Secondary!B994,Primary!B994)</f>
        <v>0</v>
      </c>
      <c r="C994" s="5">
        <f>IF(ActiveDatabase=Standby,Secondary!C994,Primary!C994)</f>
        <v>0</v>
      </c>
      <c r="D994" s="5">
        <f>IF(ActiveDatabase=Standby,Secondary!D994,Primary!D994)</f>
        <v>0</v>
      </c>
      <c r="E994" s="6">
        <f>IF(ActiveDatabase=Standby,Secondary!E994,Primary!E994)</f>
        <v>0</v>
      </c>
      <c r="F994" s="10">
        <f>IF(ActiveDatabase=Standby,Secondary!F994,Primary!F994)</f>
        <v>0</v>
      </c>
      <c r="G994" s="10">
        <f>IF(ActiveDatabase=Standby,Secondary!G994,Primary!G994)</f>
        <v>0</v>
      </c>
      <c r="H994" s="10">
        <f>IF(ActiveDatabase=Standby,Secondary!H994,Primary!H994)</f>
        <v>0</v>
      </c>
      <c r="I994" s="13">
        <f>IF(ActiveDatabase=Standby,Secondary!I994,Primary!I994)</f>
        <v>0</v>
      </c>
      <c r="J994" s="13">
        <f>IF(ActiveDatabase=Standby,Secondary!J994,Primary!J994)</f>
        <v>0</v>
      </c>
      <c r="K994" s="13">
        <f>IF(ActiveDatabase=Standby,Secondary!K994,Primary!K994)</f>
        <v>0</v>
      </c>
      <c r="L994" s="13">
        <f>IF(ActiveDatabase=Standby,Secondary!L994,Primary!L994)</f>
        <v>0</v>
      </c>
      <c r="M994" s="7">
        <f>IF(ActiveDatabase=Standby,Secondary!M994,Primary!M994)</f>
        <v>0</v>
      </c>
      <c r="N994" s="10">
        <f>IF(ActiveDatabase=Standby,Secondary!N994,Primary!N994)</f>
        <v>0</v>
      </c>
      <c r="O994" s="10">
        <f>IF(ActiveDatabase=Standby,Secondary!O994,Primary!O994)</f>
        <v>0</v>
      </c>
      <c r="P994" s="10">
        <f>IF(ActiveDatabase=Standby,Secondary!P994,Primary!P994)</f>
        <v>0</v>
      </c>
      <c r="Q994" s="6">
        <f>IF(ActiveDatabase=Standby,Secondary!Q994,Primary!Q994)</f>
        <v>0</v>
      </c>
      <c r="R994" s="18">
        <f>IF(ActiveDatabase=Standby,Secondary!R994,Primary!R994)</f>
        <v>0</v>
      </c>
      <c r="S994" s="19">
        <f>IF(ActiveDatabase=Standby,Secondary!S994,Primary!S994)</f>
        <v>0</v>
      </c>
      <c r="T994" s="10">
        <f>IF(ActiveDatabase=Standby,Secondary!T994,Primary!T994)</f>
        <v>0</v>
      </c>
      <c r="U994" s="10">
        <f>IF(ActiveDatabase=Standby,Secondary!U994,Primary!U994)</f>
        <v>0</v>
      </c>
      <c r="V994" s="10">
        <f>IF(ActiveDatabase=Standby,Secondary!V994,Primary!V994)</f>
        <v>0</v>
      </c>
      <c r="W994" s="6">
        <f>IF(ActiveDatabase=Standby,Secondary!W994,Primary!W994)</f>
        <v>0</v>
      </c>
      <c r="X994" s="6">
        <f>IF(ActiveDatabase=Standby,Secondary!X994,Primary!X994)</f>
        <v>0</v>
      </c>
      <c r="Y994" s="12">
        <f>IF(ActiveDatabase=Standby,Secondary!Y994,Primary!Y1652)</f>
        <v>0</v>
      </c>
      <c r="Z994" s="12">
        <f>IF(ActiveDatabase=Standby,Secondary!Z994,Primary!Z1652)</f>
        <v>0</v>
      </c>
      <c r="AA994" s="7">
        <f>IF(ActiveDatabase=Standby,Secondary!AA994,Primary!AA1652)</f>
        <v>0</v>
      </c>
      <c r="AB994" s="12"/>
      <c r="AC994" s="6"/>
      <c r="AD994" s="6"/>
      <c r="AE994" s="7"/>
      <c r="AF994" s="7"/>
      <c r="AG994" s="7"/>
      <c r="AH994" s="7"/>
      <c r="AI994" s="7"/>
      <c r="AJ994" s="7"/>
      <c r="AK994" s="7"/>
      <c r="AL994" s="7"/>
      <c r="AM994" s="7"/>
      <c r="AN994" s="7"/>
      <c r="AO994" s="6"/>
      <c r="AP994" s="7"/>
      <c r="AQ994" s="7"/>
      <c r="AR994" s="6"/>
      <c r="AS994" s="7"/>
      <c r="AT994" s="7"/>
      <c r="AU994" s="7"/>
      <c r="AV994" s="7"/>
      <c r="AW994" s="7"/>
      <c r="AX994" s="7"/>
      <c r="AY994" s="7"/>
      <c r="AZ994" s="7"/>
      <c r="BA994" s="7"/>
      <c r="BB994" s="7"/>
      <c r="BC994" s="7"/>
      <c r="BD994" s="7"/>
      <c r="BE994" s="7"/>
      <c r="BF994" s="7"/>
      <c r="BG994" s="7"/>
    </row>
    <row r="995" customHeight="1" spans="1:59">
      <c r="A995" s="9">
        <f>IF(ActiveDatabase=Standby,Secondary!A995,Primary!A995)</f>
        <v>0</v>
      </c>
      <c r="B995" s="5">
        <f>IF(ActiveDatabase=Standby,Secondary!B995,Primary!B995)</f>
        <v>0</v>
      </c>
      <c r="C995" s="5">
        <f>IF(ActiveDatabase=Standby,Secondary!C995,Primary!C995)</f>
        <v>0</v>
      </c>
      <c r="D995" s="5">
        <f>IF(ActiveDatabase=Standby,Secondary!D995,Primary!D995)</f>
        <v>0</v>
      </c>
      <c r="E995" s="6">
        <f>IF(ActiveDatabase=Standby,Secondary!E995,Primary!E995)</f>
        <v>0</v>
      </c>
      <c r="F995" s="10">
        <f>IF(ActiveDatabase=Standby,Secondary!F995,Primary!F995)</f>
        <v>0</v>
      </c>
      <c r="G995" s="10">
        <f>IF(ActiveDatabase=Standby,Secondary!G995,Primary!G995)</f>
        <v>0</v>
      </c>
      <c r="H995" s="10">
        <f>IF(ActiveDatabase=Standby,Secondary!H995,Primary!H995)</f>
        <v>0</v>
      </c>
      <c r="I995" s="13">
        <f>IF(ActiveDatabase=Standby,Secondary!I995,Primary!I995)</f>
        <v>0</v>
      </c>
      <c r="J995" s="13">
        <f>IF(ActiveDatabase=Standby,Secondary!J995,Primary!J995)</f>
        <v>0</v>
      </c>
      <c r="K995" s="13">
        <f>IF(ActiveDatabase=Standby,Secondary!K995,Primary!K995)</f>
        <v>0</v>
      </c>
      <c r="L995" s="13">
        <f>IF(ActiveDatabase=Standby,Secondary!L995,Primary!L995)</f>
        <v>0</v>
      </c>
      <c r="M995" s="7">
        <f>IF(ActiveDatabase=Standby,Secondary!M995,Primary!M995)</f>
        <v>0</v>
      </c>
      <c r="N995" s="10">
        <f>IF(ActiveDatabase=Standby,Secondary!N995,Primary!N995)</f>
        <v>0</v>
      </c>
      <c r="O995" s="10">
        <f>IF(ActiveDatabase=Standby,Secondary!O995,Primary!O995)</f>
        <v>0</v>
      </c>
      <c r="P995" s="10">
        <f>IF(ActiveDatabase=Standby,Secondary!P995,Primary!P995)</f>
        <v>0</v>
      </c>
      <c r="Q995" s="6">
        <f>IF(ActiveDatabase=Standby,Secondary!Q995,Primary!Q995)</f>
        <v>0</v>
      </c>
      <c r="R995" s="18">
        <f>IF(ActiveDatabase=Standby,Secondary!R995,Primary!R995)</f>
        <v>0</v>
      </c>
      <c r="S995" s="19">
        <f>IF(ActiveDatabase=Standby,Secondary!S995,Primary!S995)</f>
        <v>0</v>
      </c>
      <c r="T995" s="10">
        <f>IF(ActiveDatabase=Standby,Secondary!T995,Primary!T995)</f>
        <v>0</v>
      </c>
      <c r="U995" s="10">
        <f>IF(ActiveDatabase=Standby,Secondary!U995,Primary!U995)</f>
        <v>0</v>
      </c>
      <c r="V995" s="10">
        <f>IF(ActiveDatabase=Standby,Secondary!V995,Primary!V995)</f>
        <v>0</v>
      </c>
      <c r="W995" s="6">
        <f>IF(ActiveDatabase=Standby,Secondary!W995,Primary!W995)</f>
        <v>0</v>
      </c>
      <c r="X995" s="6">
        <f>IF(ActiveDatabase=Standby,Secondary!X995,Primary!X995)</f>
        <v>0</v>
      </c>
      <c r="Y995" s="12">
        <f>IF(ActiveDatabase=Standby,Secondary!Y995,Primary!Y1653)</f>
        <v>0</v>
      </c>
      <c r="Z995" s="12">
        <f>IF(ActiveDatabase=Standby,Secondary!Z995,Primary!Z1653)</f>
        <v>0</v>
      </c>
      <c r="AA995" s="7">
        <f>IF(ActiveDatabase=Standby,Secondary!AA995,Primary!AA1653)</f>
        <v>0</v>
      </c>
      <c r="AB995" s="12"/>
      <c r="AC995" s="6"/>
      <c r="AD995" s="6"/>
      <c r="AE995" s="7"/>
      <c r="AF995" s="7"/>
      <c r="AG995" s="7"/>
      <c r="AH995" s="7"/>
      <c r="AI995" s="7"/>
      <c r="AJ995" s="7"/>
      <c r="AK995" s="7"/>
      <c r="AL995" s="7"/>
      <c r="AM995" s="7"/>
      <c r="AN995" s="7"/>
      <c r="AO995" s="6"/>
      <c r="AP995" s="7"/>
      <c r="AQ995" s="7"/>
      <c r="AR995" s="6"/>
      <c r="AS995" s="7"/>
      <c r="AT995" s="7"/>
      <c r="AU995" s="7"/>
      <c r="AV995" s="7"/>
      <c r="AW995" s="7"/>
      <c r="AX995" s="7"/>
      <c r="AY995" s="7"/>
      <c r="AZ995" s="7"/>
      <c r="BA995" s="7"/>
      <c r="BB995" s="7"/>
      <c r="BC995" s="7"/>
      <c r="BD995" s="7"/>
      <c r="BE995" s="7"/>
      <c r="BF995" s="7"/>
      <c r="BG995" s="7"/>
    </row>
    <row r="996" customHeight="1" spans="1:59">
      <c r="A996" s="9">
        <f>IF(ActiveDatabase=Standby,Secondary!A996,Primary!A996)</f>
        <v>0</v>
      </c>
      <c r="B996" s="5">
        <f>IF(ActiveDatabase=Standby,Secondary!B996,Primary!B996)</f>
        <v>0</v>
      </c>
      <c r="C996" s="5">
        <f>IF(ActiveDatabase=Standby,Secondary!C996,Primary!C996)</f>
        <v>0</v>
      </c>
      <c r="D996" s="5">
        <f>IF(ActiveDatabase=Standby,Secondary!D996,Primary!D996)</f>
        <v>0</v>
      </c>
      <c r="E996" s="6">
        <f>IF(ActiveDatabase=Standby,Secondary!E996,Primary!E996)</f>
        <v>0</v>
      </c>
      <c r="F996" s="10">
        <f>IF(ActiveDatabase=Standby,Secondary!F996,Primary!F996)</f>
        <v>0</v>
      </c>
      <c r="G996" s="10">
        <f>IF(ActiveDatabase=Standby,Secondary!G996,Primary!G996)</f>
        <v>0</v>
      </c>
      <c r="H996" s="10">
        <f>IF(ActiveDatabase=Standby,Secondary!H996,Primary!H996)</f>
        <v>0</v>
      </c>
      <c r="I996" s="13">
        <f>IF(ActiveDatabase=Standby,Secondary!I996,Primary!I996)</f>
        <v>0</v>
      </c>
      <c r="J996" s="13">
        <f>IF(ActiveDatabase=Standby,Secondary!J996,Primary!J996)</f>
        <v>0</v>
      </c>
      <c r="K996" s="13">
        <f>IF(ActiveDatabase=Standby,Secondary!K996,Primary!K996)</f>
        <v>0</v>
      </c>
      <c r="L996" s="13">
        <f>IF(ActiveDatabase=Standby,Secondary!L996,Primary!L996)</f>
        <v>0</v>
      </c>
      <c r="M996" s="7">
        <f>IF(ActiveDatabase=Standby,Secondary!M996,Primary!M996)</f>
        <v>0</v>
      </c>
      <c r="N996" s="10">
        <f>IF(ActiveDatabase=Standby,Secondary!N996,Primary!N996)</f>
        <v>0</v>
      </c>
      <c r="O996" s="10">
        <f>IF(ActiveDatabase=Standby,Secondary!O996,Primary!O996)</f>
        <v>0</v>
      </c>
      <c r="P996" s="10">
        <f>IF(ActiveDatabase=Standby,Secondary!P996,Primary!P996)</f>
        <v>0</v>
      </c>
      <c r="Q996" s="6">
        <f>IF(ActiveDatabase=Standby,Secondary!Q996,Primary!Q996)</f>
        <v>0</v>
      </c>
      <c r="R996" s="18">
        <f>IF(ActiveDatabase=Standby,Secondary!R996,Primary!R996)</f>
        <v>0</v>
      </c>
      <c r="S996" s="19">
        <f>IF(ActiveDatabase=Standby,Secondary!S996,Primary!S996)</f>
        <v>0</v>
      </c>
      <c r="T996" s="10">
        <f>IF(ActiveDatabase=Standby,Secondary!T996,Primary!T996)</f>
        <v>0</v>
      </c>
      <c r="U996" s="10">
        <f>IF(ActiveDatabase=Standby,Secondary!U996,Primary!U996)</f>
        <v>0</v>
      </c>
      <c r="V996" s="10">
        <f>IF(ActiveDatabase=Standby,Secondary!V996,Primary!V996)</f>
        <v>0</v>
      </c>
      <c r="W996" s="6">
        <f>IF(ActiveDatabase=Standby,Secondary!W996,Primary!W996)</f>
        <v>0</v>
      </c>
      <c r="X996" s="6">
        <f>IF(ActiveDatabase=Standby,Secondary!X996,Primary!X996)</f>
        <v>0</v>
      </c>
      <c r="Y996" s="12">
        <f>IF(ActiveDatabase=Standby,Secondary!Y996,Primary!Y1654)</f>
        <v>0</v>
      </c>
      <c r="Z996" s="12">
        <f>IF(ActiveDatabase=Standby,Secondary!Z996,Primary!Z1654)</f>
        <v>0</v>
      </c>
      <c r="AA996" s="7">
        <f>IF(ActiveDatabase=Standby,Secondary!AA996,Primary!AA1654)</f>
        <v>0</v>
      </c>
      <c r="AB996" s="12"/>
      <c r="AC996" s="6"/>
      <c r="AD996" s="6"/>
      <c r="AE996" s="7"/>
      <c r="AF996" s="7"/>
      <c r="AG996" s="7"/>
      <c r="AH996" s="7"/>
      <c r="AI996" s="7"/>
      <c r="AJ996" s="7"/>
      <c r="AK996" s="7"/>
      <c r="AL996" s="7"/>
      <c r="AM996" s="7"/>
      <c r="AN996" s="7"/>
      <c r="AO996" s="6"/>
      <c r="AP996" s="7"/>
      <c r="AQ996" s="7"/>
      <c r="AR996" s="6"/>
      <c r="AS996" s="7"/>
      <c r="AT996" s="7"/>
      <c r="AU996" s="7"/>
      <c r="AV996" s="7"/>
      <c r="AW996" s="7"/>
      <c r="AX996" s="7"/>
      <c r="AY996" s="7"/>
      <c r="AZ996" s="7"/>
      <c r="BA996" s="7"/>
      <c r="BB996" s="7"/>
      <c r="BC996" s="7"/>
      <c r="BD996" s="7"/>
      <c r="BE996" s="7"/>
      <c r="BF996" s="7"/>
      <c r="BG996" s="7"/>
    </row>
    <row r="997" customHeight="1" spans="1:59">
      <c r="A997" s="9">
        <f>IF(ActiveDatabase=Standby,Secondary!A997,Primary!A997)</f>
        <v>0</v>
      </c>
      <c r="B997" s="5">
        <f>IF(ActiveDatabase=Standby,Secondary!B997,Primary!B997)</f>
        <v>0</v>
      </c>
      <c r="C997" s="5">
        <f>IF(ActiveDatabase=Standby,Secondary!C997,Primary!C997)</f>
        <v>0</v>
      </c>
      <c r="D997" s="5">
        <f>IF(ActiveDatabase=Standby,Secondary!D997,Primary!D997)</f>
        <v>0</v>
      </c>
      <c r="E997" s="6">
        <f>IF(ActiveDatabase=Standby,Secondary!E997,Primary!E997)</f>
        <v>0</v>
      </c>
      <c r="F997" s="10">
        <f>IF(ActiveDatabase=Standby,Secondary!F997,Primary!F997)</f>
        <v>0</v>
      </c>
      <c r="G997" s="10">
        <f>IF(ActiveDatabase=Standby,Secondary!G997,Primary!G997)</f>
        <v>0</v>
      </c>
      <c r="H997" s="10">
        <f>IF(ActiveDatabase=Standby,Secondary!H997,Primary!H997)</f>
        <v>0</v>
      </c>
      <c r="I997" s="13">
        <f>IF(ActiveDatabase=Standby,Secondary!I997,Primary!I997)</f>
        <v>0</v>
      </c>
      <c r="J997" s="13">
        <f>IF(ActiveDatabase=Standby,Secondary!J997,Primary!J997)</f>
        <v>0</v>
      </c>
      <c r="K997" s="13">
        <f>IF(ActiveDatabase=Standby,Secondary!K997,Primary!K997)</f>
        <v>0</v>
      </c>
      <c r="L997" s="13">
        <f>IF(ActiveDatabase=Standby,Secondary!L997,Primary!L997)</f>
        <v>0</v>
      </c>
      <c r="M997" s="7">
        <f>IF(ActiveDatabase=Standby,Secondary!M997,Primary!M997)</f>
        <v>0</v>
      </c>
      <c r="N997" s="10">
        <f>IF(ActiveDatabase=Standby,Secondary!N997,Primary!N997)</f>
        <v>0</v>
      </c>
      <c r="O997" s="10">
        <f>IF(ActiveDatabase=Standby,Secondary!O997,Primary!O997)</f>
        <v>0</v>
      </c>
      <c r="P997" s="10">
        <f>IF(ActiveDatabase=Standby,Secondary!P997,Primary!P997)</f>
        <v>0</v>
      </c>
      <c r="Q997" s="6">
        <f>IF(ActiveDatabase=Standby,Secondary!Q997,Primary!Q997)</f>
        <v>0</v>
      </c>
      <c r="R997" s="18">
        <f>IF(ActiveDatabase=Standby,Secondary!R997,Primary!R997)</f>
        <v>0</v>
      </c>
      <c r="S997" s="19">
        <f>IF(ActiveDatabase=Standby,Secondary!S997,Primary!S997)</f>
        <v>0</v>
      </c>
      <c r="T997" s="10">
        <f>IF(ActiveDatabase=Standby,Secondary!T997,Primary!T997)</f>
        <v>0</v>
      </c>
      <c r="U997" s="10">
        <f>IF(ActiveDatabase=Standby,Secondary!U997,Primary!U997)</f>
        <v>0</v>
      </c>
      <c r="V997" s="10">
        <f>IF(ActiveDatabase=Standby,Secondary!V997,Primary!V997)</f>
        <v>0</v>
      </c>
      <c r="W997" s="6">
        <f>IF(ActiveDatabase=Standby,Secondary!W997,Primary!W997)</f>
        <v>0</v>
      </c>
      <c r="X997" s="6">
        <f>IF(ActiveDatabase=Standby,Secondary!X997,Primary!X997)</f>
        <v>0</v>
      </c>
      <c r="Y997" s="12">
        <f>IF(ActiveDatabase=Standby,Secondary!Y997,Primary!Y1655)</f>
        <v>0</v>
      </c>
      <c r="Z997" s="12">
        <f>IF(ActiveDatabase=Standby,Secondary!Z997,Primary!Z1655)</f>
        <v>0</v>
      </c>
      <c r="AA997" s="9">
        <f>IF(ActiveDatabase=Standby,Secondary!AA997,Primary!AA1655)</f>
        <v>0</v>
      </c>
      <c r="AB997" s="12"/>
      <c r="AC997" s="6"/>
      <c r="AD997" s="6"/>
      <c r="AE997" s="7"/>
      <c r="AF997" s="7"/>
      <c r="AG997" s="7"/>
      <c r="AH997" s="7"/>
      <c r="AI997" s="7"/>
      <c r="AJ997" s="7"/>
      <c r="AK997" s="7"/>
      <c r="AL997" s="7"/>
      <c r="AM997" s="7"/>
      <c r="AN997" s="7"/>
      <c r="AO997" s="6"/>
      <c r="AP997" s="7"/>
      <c r="AQ997" s="7"/>
      <c r="AR997" s="6"/>
      <c r="AS997" s="7"/>
      <c r="AT997" s="7"/>
      <c r="AU997" s="7"/>
      <c r="AV997" s="7"/>
      <c r="AW997" s="7"/>
      <c r="AX997" s="7"/>
      <c r="AY997" s="7"/>
      <c r="AZ997" s="7"/>
      <c r="BA997" s="7"/>
      <c r="BB997" s="7"/>
      <c r="BC997" s="7"/>
      <c r="BD997" s="7"/>
      <c r="BE997" s="7"/>
      <c r="BF997" s="7"/>
      <c r="BG997" s="7"/>
    </row>
    <row r="998" customHeight="1" spans="1:59">
      <c r="A998" s="9">
        <f>IF(ActiveDatabase=Standby,Secondary!A998,Primary!A998)</f>
        <v>0</v>
      </c>
      <c r="B998" s="5">
        <f>IF(ActiveDatabase=Standby,Secondary!B998,Primary!B998)</f>
        <v>0</v>
      </c>
      <c r="C998" s="5">
        <f>IF(ActiveDatabase=Standby,Secondary!C998,Primary!C998)</f>
        <v>0</v>
      </c>
      <c r="D998" s="5">
        <f>IF(ActiveDatabase=Standby,Secondary!D998,Primary!D998)</f>
        <v>0</v>
      </c>
      <c r="E998" s="6">
        <f>IF(ActiveDatabase=Standby,Secondary!E998,Primary!E998)</f>
        <v>0</v>
      </c>
      <c r="F998" s="10">
        <f>IF(ActiveDatabase=Standby,Secondary!F998,Primary!F998)</f>
        <v>0</v>
      </c>
      <c r="G998" s="10">
        <f>IF(ActiveDatabase=Standby,Secondary!G998,Primary!G998)</f>
        <v>0</v>
      </c>
      <c r="H998" s="10">
        <f>IF(ActiveDatabase=Standby,Secondary!H998,Primary!H998)</f>
        <v>0</v>
      </c>
      <c r="I998" s="13">
        <f>IF(ActiveDatabase=Standby,Secondary!I998,Primary!I998)</f>
        <v>0</v>
      </c>
      <c r="J998" s="13">
        <f>IF(ActiveDatabase=Standby,Secondary!J998,Primary!J998)</f>
        <v>0</v>
      </c>
      <c r="K998" s="13">
        <f>IF(ActiveDatabase=Standby,Secondary!K998,Primary!K998)</f>
        <v>0</v>
      </c>
      <c r="L998" s="13">
        <f>IF(ActiveDatabase=Standby,Secondary!L998,Primary!L998)</f>
        <v>0</v>
      </c>
      <c r="M998" s="7">
        <f>IF(ActiveDatabase=Standby,Secondary!M998,Primary!M998)</f>
        <v>0</v>
      </c>
      <c r="N998" s="10">
        <f>IF(ActiveDatabase=Standby,Secondary!N998,Primary!N998)</f>
        <v>0</v>
      </c>
      <c r="O998" s="10">
        <f>IF(ActiveDatabase=Standby,Secondary!O998,Primary!O998)</f>
        <v>0</v>
      </c>
      <c r="P998" s="10">
        <f>IF(ActiveDatabase=Standby,Secondary!P998,Primary!P998)</f>
        <v>0</v>
      </c>
      <c r="Q998" s="6">
        <f>IF(ActiveDatabase=Standby,Secondary!Q998,Primary!Q998)</f>
        <v>0</v>
      </c>
      <c r="R998" s="18">
        <f>IF(ActiveDatabase=Standby,Secondary!R998,Primary!R998)</f>
        <v>0</v>
      </c>
      <c r="S998" s="19">
        <f>IF(ActiveDatabase=Standby,Secondary!S998,Primary!S998)</f>
        <v>0</v>
      </c>
      <c r="T998" s="10">
        <f>IF(ActiveDatabase=Standby,Secondary!T998,Primary!T998)</f>
        <v>0</v>
      </c>
      <c r="U998" s="10">
        <f>IF(ActiveDatabase=Standby,Secondary!U998,Primary!U998)</f>
        <v>0</v>
      </c>
      <c r="V998" s="10">
        <f>IF(ActiveDatabase=Standby,Secondary!V998,Primary!V998)</f>
        <v>0</v>
      </c>
      <c r="W998" s="6">
        <f>IF(ActiveDatabase=Standby,Secondary!W998,Primary!W998)</f>
        <v>0</v>
      </c>
      <c r="X998" s="6">
        <f>IF(ActiveDatabase=Standby,Secondary!X998,Primary!X998)</f>
        <v>0</v>
      </c>
      <c r="Y998" s="12">
        <f>IF(ActiveDatabase=Standby,Secondary!Y998,Primary!Y1656)</f>
        <v>0</v>
      </c>
      <c r="Z998" s="12">
        <f>IF(ActiveDatabase=Standby,Secondary!Z998,Primary!Z1656)</f>
        <v>0</v>
      </c>
      <c r="AA998" s="9">
        <f>IF(ActiveDatabase=Standby,Secondary!AA998,Primary!AA1656)</f>
        <v>0</v>
      </c>
      <c r="AB998" s="12"/>
      <c r="AC998" s="6"/>
      <c r="AD998" s="6"/>
      <c r="AE998" s="7"/>
      <c r="AF998" s="7"/>
      <c r="AG998" s="7"/>
      <c r="AH998" s="7"/>
      <c r="AI998" s="7"/>
      <c r="AJ998" s="7"/>
      <c r="AK998" s="7"/>
      <c r="AL998" s="7"/>
      <c r="AM998" s="7"/>
      <c r="AN998" s="7"/>
      <c r="AO998" s="6"/>
      <c r="AP998" s="7"/>
      <c r="AQ998" s="7"/>
      <c r="AR998" s="6"/>
      <c r="AS998" s="7"/>
      <c r="AT998" s="7"/>
      <c r="AU998" s="7"/>
      <c r="AV998" s="7"/>
      <c r="AW998" s="7"/>
      <c r="AX998" s="7"/>
      <c r="AY998" s="7"/>
      <c r="AZ998" s="7"/>
      <c r="BA998" s="7"/>
      <c r="BB998" s="7"/>
      <c r="BC998" s="7"/>
      <c r="BD998" s="7"/>
      <c r="BE998" s="7"/>
      <c r="BF998" s="7"/>
      <c r="BG998" s="7"/>
    </row>
    <row r="999" customHeight="1" spans="1:59">
      <c r="A999" s="9">
        <f>IF(ActiveDatabase=Standby,Secondary!A999,Primary!A999)</f>
        <v>0</v>
      </c>
      <c r="B999" s="5">
        <f>IF(ActiveDatabase=Standby,Secondary!B999,Primary!B999)</f>
        <v>0</v>
      </c>
      <c r="C999" s="5">
        <f>IF(ActiveDatabase=Standby,Secondary!C999,Primary!C999)</f>
        <v>0</v>
      </c>
      <c r="D999" s="5">
        <f>IF(ActiveDatabase=Standby,Secondary!D999,Primary!D999)</f>
        <v>0</v>
      </c>
      <c r="E999" s="6">
        <f>IF(ActiveDatabase=Standby,Secondary!E999,Primary!E999)</f>
        <v>0</v>
      </c>
      <c r="F999" s="10">
        <f>IF(ActiveDatabase=Standby,Secondary!F999,Primary!F999)</f>
        <v>0</v>
      </c>
      <c r="G999" s="10">
        <f>IF(ActiveDatabase=Standby,Secondary!G999,Primary!G999)</f>
        <v>0</v>
      </c>
      <c r="H999" s="10">
        <f>IF(ActiveDatabase=Standby,Secondary!H999,Primary!H999)</f>
        <v>0</v>
      </c>
      <c r="I999" s="13">
        <f>IF(ActiveDatabase=Standby,Secondary!I999,Primary!I999)</f>
        <v>0</v>
      </c>
      <c r="J999" s="13">
        <f>IF(ActiveDatabase=Standby,Secondary!J999,Primary!J999)</f>
        <v>0</v>
      </c>
      <c r="K999" s="13">
        <f>IF(ActiveDatabase=Standby,Secondary!K999,Primary!K999)</f>
        <v>0</v>
      </c>
      <c r="L999" s="13">
        <f>IF(ActiveDatabase=Standby,Secondary!L999,Primary!L999)</f>
        <v>0</v>
      </c>
      <c r="M999" s="7">
        <f>IF(ActiveDatabase=Standby,Secondary!M999,Primary!M999)</f>
        <v>0</v>
      </c>
      <c r="N999" s="10">
        <f>IF(ActiveDatabase=Standby,Secondary!N999,Primary!N999)</f>
        <v>0</v>
      </c>
      <c r="O999" s="10">
        <f>IF(ActiveDatabase=Standby,Secondary!O999,Primary!O999)</f>
        <v>0</v>
      </c>
      <c r="P999" s="10">
        <f>IF(ActiveDatabase=Standby,Secondary!P999,Primary!P999)</f>
        <v>0</v>
      </c>
      <c r="Q999" s="6">
        <f>IF(ActiveDatabase=Standby,Secondary!Q999,Primary!Q999)</f>
        <v>0</v>
      </c>
      <c r="R999" s="18">
        <f>IF(ActiveDatabase=Standby,Secondary!R999,Primary!R999)</f>
        <v>0</v>
      </c>
      <c r="S999" s="19">
        <f>IF(ActiveDatabase=Standby,Secondary!S999,Primary!S999)</f>
        <v>0</v>
      </c>
      <c r="T999" s="10">
        <f>IF(ActiveDatabase=Standby,Secondary!T999,Primary!T999)</f>
        <v>0</v>
      </c>
      <c r="U999" s="10">
        <f>IF(ActiveDatabase=Standby,Secondary!U999,Primary!U999)</f>
        <v>0</v>
      </c>
      <c r="V999" s="10">
        <f>IF(ActiveDatabase=Standby,Secondary!V999,Primary!V999)</f>
        <v>0</v>
      </c>
      <c r="W999" s="6">
        <f>IF(ActiveDatabase=Standby,Secondary!W999,Primary!W999)</f>
        <v>0</v>
      </c>
      <c r="X999" s="6">
        <f>IF(ActiveDatabase=Standby,Secondary!X999,Primary!X999)</f>
        <v>0</v>
      </c>
      <c r="Y999" s="12">
        <f>IF(ActiveDatabase=Standby,Secondary!Y999,Primary!Y1657)</f>
        <v>0</v>
      </c>
      <c r="Z999" s="12">
        <f>IF(ActiveDatabase=Standby,Secondary!Z999,Primary!Z1657)</f>
        <v>0</v>
      </c>
      <c r="AA999" s="9">
        <f>IF(ActiveDatabase=Standby,Secondary!AA999,Primary!AA1657)</f>
        <v>0</v>
      </c>
      <c r="AB999" s="12"/>
      <c r="AC999" s="6"/>
      <c r="AD999" s="6"/>
      <c r="AE999" s="7"/>
      <c r="AF999" s="7"/>
      <c r="AG999" s="7"/>
      <c r="AH999" s="7"/>
      <c r="AI999" s="7"/>
      <c r="AJ999" s="7"/>
      <c r="AK999" s="7"/>
      <c r="AL999" s="7"/>
      <c r="AM999" s="7"/>
      <c r="AN999" s="7"/>
      <c r="AO999" s="6"/>
      <c r="AP999" s="7"/>
      <c r="AQ999" s="7"/>
      <c r="AR999" s="6"/>
      <c r="AS999" s="7"/>
      <c r="AT999" s="7"/>
      <c r="AU999" s="7"/>
      <c r="AV999" s="7"/>
      <c r="AW999" s="7"/>
      <c r="AX999" s="7"/>
      <c r="AY999" s="7"/>
      <c r="AZ999" s="7"/>
      <c r="BA999" s="7"/>
      <c r="BB999" s="7"/>
      <c r="BC999" s="7"/>
      <c r="BD999" s="7"/>
      <c r="BE999" s="7"/>
      <c r="BF999" s="7"/>
      <c r="BG999" s="7"/>
    </row>
    <row r="1000" customHeight="1" spans="1:59">
      <c r="A1000" s="9">
        <f>IF(ActiveDatabase=Standby,Secondary!A1000,Primary!A1000)</f>
        <v>0</v>
      </c>
      <c r="B1000" s="5">
        <f>IF(ActiveDatabase=Standby,Secondary!B1000,Primary!B1000)</f>
        <v>0</v>
      </c>
      <c r="C1000" s="5">
        <f>IF(ActiveDatabase=Standby,Secondary!C1000,Primary!C1000)</f>
        <v>0</v>
      </c>
      <c r="D1000" s="5">
        <f>IF(ActiveDatabase=Standby,Secondary!D1000,Primary!D1000)</f>
        <v>0</v>
      </c>
      <c r="E1000" s="6">
        <f>IF(ActiveDatabase=Standby,Secondary!E1000,Primary!E1000)</f>
        <v>0</v>
      </c>
      <c r="F1000" s="10">
        <f>IF(ActiveDatabase=Standby,Secondary!F1000,Primary!F1000)</f>
        <v>0</v>
      </c>
      <c r="G1000" s="10">
        <f>IF(ActiveDatabase=Standby,Secondary!G1000,Primary!G1000)</f>
        <v>0</v>
      </c>
      <c r="H1000" s="10">
        <f>IF(ActiveDatabase=Standby,Secondary!H1000,Primary!H1000)</f>
        <v>0</v>
      </c>
      <c r="I1000" s="13">
        <f>IF(ActiveDatabase=Standby,Secondary!I1000,Primary!I1000)</f>
        <v>0</v>
      </c>
      <c r="J1000" s="13">
        <f>IF(ActiveDatabase=Standby,Secondary!J1000,Primary!J1000)</f>
        <v>0</v>
      </c>
      <c r="K1000" s="13">
        <f>IF(ActiveDatabase=Standby,Secondary!K1000,Primary!K1000)</f>
        <v>0</v>
      </c>
      <c r="L1000" s="13">
        <f>IF(ActiveDatabase=Standby,Secondary!L1000,Primary!L1000)</f>
        <v>0</v>
      </c>
      <c r="M1000" s="7">
        <f>IF(ActiveDatabase=Standby,Secondary!M1000,Primary!M1000)</f>
        <v>0</v>
      </c>
      <c r="N1000" s="10">
        <f>IF(ActiveDatabase=Standby,Secondary!N1000,Primary!N1000)</f>
        <v>0</v>
      </c>
      <c r="O1000" s="10">
        <f>IF(ActiveDatabase=Standby,Secondary!O1000,Primary!O1000)</f>
        <v>0</v>
      </c>
      <c r="P1000" s="10">
        <f>IF(ActiveDatabase=Standby,Secondary!P1000,Primary!P1000)</f>
        <v>0</v>
      </c>
      <c r="Q1000" s="6">
        <f>IF(ActiveDatabase=Standby,Secondary!Q1000,Primary!Q1000)</f>
        <v>0</v>
      </c>
      <c r="R1000" s="18">
        <f>IF(ActiveDatabase=Standby,Secondary!R1000,Primary!R1000)</f>
        <v>0</v>
      </c>
      <c r="S1000" s="19">
        <f>IF(ActiveDatabase=Standby,Secondary!S1000,Primary!S1000)</f>
        <v>0</v>
      </c>
      <c r="T1000" s="10">
        <f>IF(ActiveDatabase=Standby,Secondary!T1000,Primary!T1000)</f>
        <v>0</v>
      </c>
      <c r="U1000" s="10">
        <f>IF(ActiveDatabase=Standby,Secondary!U1000,Primary!U1000)</f>
        <v>0</v>
      </c>
      <c r="V1000" s="10">
        <f>IF(ActiveDatabase=Standby,Secondary!V1000,Primary!V1000)</f>
        <v>0</v>
      </c>
      <c r="W1000" s="6">
        <f>IF(ActiveDatabase=Standby,Secondary!W1000,Primary!W1000)</f>
        <v>0</v>
      </c>
      <c r="X1000" s="6">
        <f>IF(ActiveDatabase=Standby,Secondary!X1000,Primary!X1000)</f>
        <v>0</v>
      </c>
      <c r="Y1000" s="12">
        <f>IF(ActiveDatabase=Standby,Secondary!Y1000,Primary!Y1658)</f>
        <v>0</v>
      </c>
      <c r="Z1000" s="12">
        <f>IF(ActiveDatabase=Standby,Secondary!Z1000,Primary!Z1658)</f>
        <v>0</v>
      </c>
      <c r="AA1000" s="9">
        <f>IF(ActiveDatabase=Standby,Secondary!AA1000,Primary!AA1658)</f>
        <v>0</v>
      </c>
      <c r="AB1000" s="12"/>
      <c r="AC1000" s="6"/>
      <c r="AD1000" s="6"/>
      <c r="AE1000" s="7"/>
      <c r="AF1000" s="7"/>
      <c r="AG1000" s="7"/>
      <c r="AH1000" s="7"/>
      <c r="AI1000" s="7"/>
      <c r="AJ1000" s="7"/>
      <c r="AK1000" s="7"/>
      <c r="AL1000" s="7"/>
      <c r="AM1000" s="7"/>
      <c r="AN1000" s="7"/>
      <c r="AO1000" s="6"/>
      <c r="AP1000" s="7"/>
      <c r="AQ1000" s="7"/>
      <c r="AR1000" s="6"/>
      <c r="AS1000" s="7"/>
      <c r="AT1000" s="7"/>
      <c r="AU1000" s="7"/>
      <c r="AV1000" s="7"/>
      <c r="AW1000" s="7"/>
      <c r="AX1000" s="7"/>
      <c r="AY1000" s="7"/>
      <c r="AZ1000" s="7"/>
      <c r="BA1000" s="7"/>
      <c r="BB1000" s="7"/>
      <c r="BC1000" s="7"/>
      <c r="BD1000" s="7"/>
      <c r="BE1000" s="7"/>
      <c r="BF1000" s="7"/>
      <c r="BG1000" s="7"/>
    </row>
    <row r="1001" customHeight="1" spans="1:59">
      <c r="A1001" s="9">
        <f>IF(ActiveDatabase=Standby,Secondary!A1001,Primary!A1001)</f>
        <v>0</v>
      </c>
      <c r="B1001" s="5">
        <f>IF(ActiveDatabase=Standby,Secondary!B1001,Primary!B1001)</f>
        <v>0</v>
      </c>
      <c r="C1001" s="5">
        <f>IF(ActiveDatabase=Standby,Secondary!C1001,Primary!C1001)</f>
        <v>0</v>
      </c>
      <c r="D1001" s="5">
        <f>IF(ActiveDatabase=Standby,Secondary!D1001,Primary!D1001)</f>
        <v>0</v>
      </c>
      <c r="E1001" s="6">
        <f>IF(ActiveDatabase=Standby,Secondary!E1001,Primary!E1001)</f>
        <v>0</v>
      </c>
      <c r="F1001" s="10">
        <f>IF(ActiveDatabase=Standby,Secondary!F1001,Primary!F1001)</f>
        <v>0</v>
      </c>
      <c r="G1001" s="10">
        <f>IF(ActiveDatabase=Standby,Secondary!G1001,Primary!G1001)</f>
        <v>0</v>
      </c>
      <c r="H1001" s="10">
        <f>IF(ActiveDatabase=Standby,Secondary!H1001,Primary!H1001)</f>
        <v>0</v>
      </c>
      <c r="I1001" s="13">
        <f>IF(ActiveDatabase=Standby,Secondary!I1001,Primary!I1001)</f>
        <v>0</v>
      </c>
      <c r="J1001" s="13">
        <f>IF(ActiveDatabase=Standby,Secondary!J1001,Primary!J1001)</f>
        <v>0</v>
      </c>
      <c r="K1001" s="13">
        <f>IF(ActiveDatabase=Standby,Secondary!K1001,Primary!K1001)</f>
        <v>0</v>
      </c>
      <c r="L1001" s="13">
        <f>IF(ActiveDatabase=Standby,Secondary!L1001,Primary!L1001)</f>
        <v>0</v>
      </c>
      <c r="M1001" s="7">
        <f>IF(ActiveDatabase=Standby,Secondary!M1001,Primary!M1001)</f>
        <v>0</v>
      </c>
      <c r="N1001" s="10">
        <f>IF(ActiveDatabase=Standby,Secondary!N1001,Primary!N1001)</f>
        <v>0</v>
      </c>
      <c r="O1001" s="10">
        <f>IF(ActiveDatabase=Standby,Secondary!O1001,Primary!O1001)</f>
        <v>0</v>
      </c>
      <c r="P1001" s="10">
        <f>IF(ActiveDatabase=Standby,Secondary!P1001,Primary!P1001)</f>
        <v>0</v>
      </c>
      <c r="Q1001" s="6">
        <f>IF(ActiveDatabase=Standby,Secondary!Q1001,Primary!Q1001)</f>
        <v>0</v>
      </c>
      <c r="R1001" s="18">
        <f>IF(ActiveDatabase=Standby,Secondary!R1001,Primary!R1001)</f>
        <v>0</v>
      </c>
      <c r="S1001" s="19">
        <f>IF(ActiveDatabase=Standby,Secondary!S1001,Primary!S1001)</f>
        <v>0</v>
      </c>
      <c r="T1001" s="10">
        <f>IF(ActiveDatabase=Standby,Secondary!T1001,Primary!T1001)</f>
        <v>0</v>
      </c>
      <c r="U1001" s="10">
        <f>IF(ActiveDatabase=Standby,Secondary!U1001,Primary!U1001)</f>
        <v>0</v>
      </c>
      <c r="V1001" s="10">
        <f>IF(ActiveDatabase=Standby,Secondary!V1001,Primary!V1001)</f>
        <v>0</v>
      </c>
      <c r="W1001" s="6">
        <f>IF(ActiveDatabase=Standby,Secondary!W1001,Primary!W1001)</f>
        <v>0</v>
      </c>
      <c r="X1001" s="6">
        <f>IF(ActiveDatabase=Standby,Secondary!X1001,Primary!X1001)</f>
        <v>0</v>
      </c>
      <c r="Y1001" s="12">
        <f>IF(ActiveDatabase=Standby,Secondary!Y1001,Primary!Y1659)</f>
        <v>0</v>
      </c>
      <c r="Z1001" s="12">
        <f>IF(ActiveDatabase=Standby,Secondary!Z1001,Primary!Z1659)</f>
        <v>0</v>
      </c>
      <c r="AA1001" s="9">
        <f>IF(ActiveDatabase=Standby,Secondary!AA1001,Primary!AA1659)</f>
        <v>0</v>
      </c>
      <c r="AB1001" s="12"/>
      <c r="AC1001" s="6"/>
      <c r="AD1001" s="6"/>
      <c r="AE1001" s="7"/>
      <c r="AF1001" s="7"/>
      <c r="AG1001" s="7"/>
      <c r="AH1001" s="7"/>
      <c r="AI1001" s="7"/>
      <c r="AJ1001" s="7"/>
      <c r="AK1001" s="7"/>
      <c r="AL1001" s="7"/>
      <c r="AM1001" s="7"/>
      <c r="AN1001" s="7"/>
      <c r="AO1001" s="6"/>
      <c r="AP1001" s="7"/>
      <c r="AQ1001" s="7"/>
      <c r="AR1001" s="6"/>
      <c r="AS1001" s="7"/>
      <c r="AT1001" s="7"/>
      <c r="AU1001" s="7"/>
      <c r="AV1001" s="7"/>
      <c r="AW1001" s="7"/>
      <c r="AX1001" s="7"/>
      <c r="AY1001" s="7"/>
      <c r="AZ1001" s="7"/>
      <c r="BA1001" s="7"/>
      <c r="BB1001" s="7"/>
      <c r="BC1001" s="7"/>
      <c r="BD1001" s="7"/>
      <c r="BE1001" s="7"/>
      <c r="BF1001" s="7"/>
      <c r="BG1001" s="7"/>
    </row>
    <row r="1002" customHeight="1" spans="1:59">
      <c r="A1002" s="9">
        <f>IF(ActiveDatabase=Standby,Secondary!A1002,Primary!A1002)</f>
        <v>0</v>
      </c>
      <c r="B1002" s="5">
        <f>IF(ActiveDatabase=Standby,Secondary!B1002,Primary!B1002)</f>
        <v>0</v>
      </c>
      <c r="C1002" s="5">
        <f>IF(ActiveDatabase=Standby,Secondary!C1002,Primary!C1002)</f>
        <v>0</v>
      </c>
      <c r="D1002" s="5">
        <f>IF(ActiveDatabase=Standby,Secondary!D1002,Primary!D1002)</f>
        <v>0</v>
      </c>
      <c r="E1002" s="6">
        <f>IF(ActiveDatabase=Standby,Secondary!E1002,Primary!E1002)</f>
        <v>0</v>
      </c>
      <c r="F1002" s="10">
        <f>IF(ActiveDatabase=Standby,Secondary!F1002,Primary!F1002)</f>
        <v>0</v>
      </c>
      <c r="G1002" s="10">
        <f>IF(ActiveDatabase=Standby,Secondary!G1002,Primary!G1002)</f>
        <v>0</v>
      </c>
      <c r="H1002" s="10">
        <f>IF(ActiveDatabase=Standby,Secondary!H1002,Primary!H1002)</f>
        <v>0</v>
      </c>
      <c r="I1002" s="13">
        <f>IF(ActiveDatabase=Standby,Secondary!I1002,Primary!I1002)</f>
        <v>0</v>
      </c>
      <c r="J1002" s="13">
        <f>IF(ActiveDatabase=Standby,Secondary!J1002,Primary!J1002)</f>
        <v>0</v>
      </c>
      <c r="K1002" s="13">
        <f>IF(ActiveDatabase=Standby,Secondary!K1002,Primary!K1002)</f>
        <v>0</v>
      </c>
      <c r="L1002" s="13">
        <f>IF(ActiveDatabase=Standby,Secondary!L1002,Primary!L1002)</f>
        <v>0</v>
      </c>
      <c r="M1002" s="7">
        <f>IF(ActiveDatabase=Standby,Secondary!M1002,Primary!M1002)</f>
        <v>0</v>
      </c>
      <c r="N1002" s="10">
        <f>IF(ActiveDatabase=Standby,Secondary!N1002,Primary!N1002)</f>
        <v>0</v>
      </c>
      <c r="O1002" s="10">
        <f>IF(ActiveDatabase=Standby,Secondary!O1002,Primary!O1002)</f>
        <v>0</v>
      </c>
      <c r="P1002" s="10">
        <f>IF(ActiveDatabase=Standby,Secondary!P1002,Primary!P1002)</f>
        <v>0</v>
      </c>
      <c r="Q1002" s="6">
        <f>IF(ActiveDatabase=Standby,Secondary!Q1002,Primary!Q1002)</f>
        <v>0</v>
      </c>
      <c r="R1002" s="18">
        <f>IF(ActiveDatabase=Standby,Secondary!R1002,Primary!R1002)</f>
        <v>0</v>
      </c>
      <c r="S1002" s="19">
        <f>IF(ActiveDatabase=Standby,Secondary!S1002,Primary!S1002)</f>
        <v>0</v>
      </c>
      <c r="T1002" s="10">
        <f>IF(ActiveDatabase=Standby,Secondary!T1002,Primary!T1002)</f>
        <v>0</v>
      </c>
      <c r="U1002" s="10">
        <f>IF(ActiveDatabase=Standby,Secondary!U1002,Primary!U1002)</f>
        <v>0</v>
      </c>
      <c r="V1002" s="10">
        <f>IF(ActiveDatabase=Standby,Secondary!V1002,Primary!V1002)</f>
        <v>0</v>
      </c>
      <c r="W1002" s="6">
        <f>IF(ActiveDatabase=Standby,Secondary!W1002,Primary!W1002)</f>
        <v>0</v>
      </c>
      <c r="X1002" s="6">
        <f>IF(ActiveDatabase=Standby,Secondary!X1002,Primary!X1002)</f>
        <v>0</v>
      </c>
      <c r="Y1002" s="12">
        <f>IF(ActiveDatabase=Standby,Secondary!Y1002,Primary!Y1660)</f>
        <v>0</v>
      </c>
      <c r="Z1002" s="12">
        <f>IF(ActiveDatabase=Standby,Secondary!Z1002,Primary!Z1660)</f>
        <v>0</v>
      </c>
      <c r="AA1002" s="9">
        <f>IF(ActiveDatabase=Standby,Secondary!AA1002,Primary!AA1660)</f>
        <v>0</v>
      </c>
      <c r="AB1002" s="12"/>
      <c r="AC1002" s="6"/>
      <c r="AD1002" s="6"/>
      <c r="AE1002" s="7"/>
      <c r="AF1002" s="7"/>
      <c r="AG1002" s="7"/>
      <c r="AH1002" s="7"/>
      <c r="AI1002" s="7"/>
      <c r="AJ1002" s="7"/>
      <c r="AK1002" s="7"/>
      <c r="AL1002" s="7"/>
      <c r="AM1002" s="7"/>
      <c r="AN1002" s="7"/>
      <c r="AO1002" s="6"/>
      <c r="AP1002" s="7"/>
      <c r="AQ1002" s="7"/>
      <c r="AR1002" s="6"/>
      <c r="AS1002" s="7"/>
      <c r="AT1002" s="7"/>
      <c r="AU1002" s="7"/>
      <c r="AV1002" s="7"/>
      <c r="AW1002" s="7"/>
      <c r="AX1002" s="7"/>
      <c r="AY1002" s="7"/>
      <c r="AZ1002" s="7"/>
      <c r="BA1002" s="7"/>
      <c r="BB1002" s="7"/>
      <c r="BC1002" s="7"/>
      <c r="BD1002" s="7"/>
      <c r="BE1002" s="7"/>
      <c r="BF1002" s="7"/>
      <c r="BG1002" s="7"/>
    </row>
    <row r="1003" customHeight="1" spans="1:59">
      <c r="A1003" s="9">
        <f>IF(ActiveDatabase=Standby,Secondary!A1003,Primary!A1003)</f>
        <v>0</v>
      </c>
      <c r="B1003" s="5">
        <f>IF(ActiveDatabase=Standby,Secondary!B1003,Primary!B1003)</f>
        <v>0</v>
      </c>
      <c r="C1003" s="5">
        <f>IF(ActiveDatabase=Standby,Secondary!C1003,Primary!C1003)</f>
        <v>0</v>
      </c>
      <c r="D1003" s="5">
        <f>IF(ActiveDatabase=Standby,Secondary!D1003,Primary!D1003)</f>
        <v>0</v>
      </c>
      <c r="E1003" s="6">
        <f>IF(ActiveDatabase=Standby,Secondary!E1003,Primary!E1003)</f>
        <v>0</v>
      </c>
      <c r="F1003" s="10">
        <f>IF(ActiveDatabase=Standby,Secondary!F1003,Primary!F1003)</f>
        <v>0</v>
      </c>
      <c r="G1003" s="10">
        <f>IF(ActiveDatabase=Standby,Secondary!G1003,Primary!G1003)</f>
        <v>0</v>
      </c>
      <c r="H1003" s="10">
        <f>IF(ActiveDatabase=Standby,Secondary!H1003,Primary!H1003)</f>
        <v>0</v>
      </c>
      <c r="I1003" s="13">
        <f>IF(ActiveDatabase=Standby,Secondary!I1003,Primary!I1003)</f>
        <v>0</v>
      </c>
      <c r="J1003" s="13">
        <f>IF(ActiveDatabase=Standby,Secondary!J1003,Primary!J1003)</f>
        <v>0</v>
      </c>
      <c r="K1003" s="13">
        <f>IF(ActiveDatabase=Standby,Secondary!K1003,Primary!K1003)</f>
        <v>0</v>
      </c>
      <c r="L1003" s="13">
        <f>IF(ActiveDatabase=Standby,Secondary!L1003,Primary!L1003)</f>
        <v>0</v>
      </c>
      <c r="M1003" s="7">
        <f>IF(ActiveDatabase=Standby,Secondary!M1003,Primary!M1003)</f>
        <v>0</v>
      </c>
      <c r="N1003" s="10">
        <f>IF(ActiveDatabase=Standby,Secondary!N1003,Primary!N1003)</f>
        <v>0</v>
      </c>
      <c r="O1003" s="10">
        <f>IF(ActiveDatabase=Standby,Secondary!O1003,Primary!O1003)</f>
        <v>0</v>
      </c>
      <c r="P1003" s="10">
        <f>IF(ActiveDatabase=Standby,Secondary!P1003,Primary!P1003)</f>
        <v>0</v>
      </c>
      <c r="Q1003" s="6">
        <f>IF(ActiveDatabase=Standby,Secondary!Q1003,Primary!Q1003)</f>
        <v>0</v>
      </c>
      <c r="R1003" s="18">
        <f>IF(ActiveDatabase=Standby,Secondary!R1003,Primary!R1003)</f>
        <v>0</v>
      </c>
      <c r="S1003" s="19">
        <f>IF(ActiveDatabase=Standby,Secondary!S1003,Primary!S1003)</f>
        <v>0</v>
      </c>
      <c r="T1003" s="10">
        <f>IF(ActiveDatabase=Standby,Secondary!T1003,Primary!T1003)</f>
        <v>0</v>
      </c>
      <c r="U1003" s="10">
        <f>IF(ActiveDatabase=Standby,Secondary!U1003,Primary!U1003)</f>
        <v>0</v>
      </c>
      <c r="V1003" s="10">
        <f>IF(ActiveDatabase=Standby,Secondary!V1003,Primary!V1003)</f>
        <v>0</v>
      </c>
      <c r="W1003" s="6">
        <f>IF(ActiveDatabase=Standby,Secondary!W1003,Primary!W1003)</f>
        <v>0</v>
      </c>
      <c r="X1003" s="6">
        <f>IF(ActiveDatabase=Standby,Secondary!X1003,Primary!X1003)</f>
        <v>0</v>
      </c>
      <c r="Y1003" s="12">
        <f>IF(ActiveDatabase=Standby,Secondary!Y1003,Primary!Y1661)</f>
        <v>0</v>
      </c>
      <c r="Z1003" s="12">
        <f>IF(ActiveDatabase=Standby,Secondary!Z1003,Primary!Z1661)</f>
        <v>0</v>
      </c>
      <c r="AA1003" s="9">
        <f>IF(ActiveDatabase=Standby,Secondary!AA1003,Primary!AA1661)</f>
        <v>0</v>
      </c>
      <c r="AB1003" s="12"/>
      <c r="AC1003" s="6"/>
      <c r="AD1003" s="6"/>
      <c r="AE1003" s="7"/>
      <c r="AF1003" s="7"/>
      <c r="AG1003" s="7"/>
      <c r="AH1003" s="7"/>
      <c r="AI1003" s="7"/>
      <c r="AJ1003" s="7"/>
      <c r="AK1003" s="7"/>
      <c r="AL1003" s="7"/>
      <c r="AM1003" s="7"/>
      <c r="AN1003" s="7"/>
      <c r="AO1003" s="6"/>
      <c r="AP1003" s="7"/>
      <c r="AQ1003" s="7"/>
      <c r="AR1003" s="6"/>
      <c r="AS1003" s="7"/>
      <c r="AT1003" s="7"/>
      <c r="AU1003" s="7"/>
      <c r="AV1003" s="7"/>
      <c r="AW1003" s="7"/>
      <c r="AX1003" s="7"/>
      <c r="AY1003" s="7"/>
      <c r="AZ1003" s="7"/>
      <c r="BA1003" s="7"/>
      <c r="BB1003" s="7"/>
      <c r="BC1003" s="7"/>
      <c r="BD1003" s="7"/>
      <c r="BE1003" s="7"/>
      <c r="BF1003" s="7"/>
      <c r="BG1003" s="7"/>
    </row>
    <row r="1004" customHeight="1" spans="1:59">
      <c r="A1004" s="9">
        <f>IF(ActiveDatabase=Standby,Secondary!A1004,Primary!A1004)</f>
        <v>0</v>
      </c>
      <c r="B1004" s="5">
        <f>IF(ActiveDatabase=Standby,Secondary!B1004,Primary!B1004)</f>
        <v>0</v>
      </c>
      <c r="C1004" s="5">
        <f>IF(ActiveDatabase=Standby,Secondary!C1004,Primary!C1004)</f>
        <v>0</v>
      </c>
      <c r="D1004" s="5">
        <f>IF(ActiveDatabase=Standby,Secondary!D1004,Primary!D1004)</f>
        <v>0</v>
      </c>
      <c r="E1004" s="6">
        <f>IF(ActiveDatabase=Standby,Secondary!E1004,Primary!E1004)</f>
        <v>0</v>
      </c>
      <c r="F1004" s="10">
        <f>IF(ActiveDatabase=Standby,Secondary!F1004,Primary!F1004)</f>
        <v>0</v>
      </c>
      <c r="G1004" s="10">
        <f>IF(ActiveDatabase=Standby,Secondary!G1004,Primary!G1004)</f>
        <v>0</v>
      </c>
      <c r="H1004" s="10">
        <f>IF(ActiveDatabase=Standby,Secondary!H1004,Primary!H1004)</f>
        <v>0</v>
      </c>
      <c r="I1004" s="13">
        <f>IF(ActiveDatabase=Standby,Secondary!I1004,Primary!I1004)</f>
        <v>0</v>
      </c>
      <c r="J1004" s="13">
        <f>IF(ActiveDatabase=Standby,Secondary!J1004,Primary!J1004)</f>
        <v>0</v>
      </c>
      <c r="K1004" s="13">
        <f>IF(ActiveDatabase=Standby,Secondary!K1004,Primary!K1004)</f>
        <v>0</v>
      </c>
      <c r="L1004" s="13">
        <f>IF(ActiveDatabase=Standby,Secondary!L1004,Primary!L1004)</f>
        <v>0</v>
      </c>
      <c r="M1004" s="7">
        <f>IF(ActiveDatabase=Standby,Secondary!M1004,Primary!M1004)</f>
        <v>0</v>
      </c>
      <c r="N1004" s="10">
        <f>IF(ActiveDatabase=Standby,Secondary!N1004,Primary!N1004)</f>
        <v>0</v>
      </c>
      <c r="O1004" s="10">
        <f>IF(ActiveDatabase=Standby,Secondary!O1004,Primary!O1004)</f>
        <v>0</v>
      </c>
      <c r="P1004" s="10">
        <f>IF(ActiveDatabase=Standby,Secondary!P1004,Primary!P1004)</f>
        <v>0</v>
      </c>
      <c r="Q1004" s="6">
        <f>IF(ActiveDatabase=Standby,Secondary!Q1004,Primary!Q1004)</f>
        <v>0</v>
      </c>
      <c r="R1004" s="18">
        <f>IF(ActiveDatabase=Standby,Secondary!R1004,Primary!R1004)</f>
        <v>0</v>
      </c>
      <c r="S1004" s="19">
        <f>IF(ActiveDatabase=Standby,Secondary!S1004,Primary!S1004)</f>
        <v>0</v>
      </c>
      <c r="T1004" s="10">
        <f>IF(ActiveDatabase=Standby,Secondary!T1004,Primary!T1004)</f>
        <v>0</v>
      </c>
      <c r="U1004" s="10">
        <f>IF(ActiveDatabase=Standby,Secondary!U1004,Primary!U1004)</f>
        <v>0</v>
      </c>
      <c r="V1004" s="10">
        <f>IF(ActiveDatabase=Standby,Secondary!V1004,Primary!V1004)</f>
        <v>0</v>
      </c>
      <c r="W1004" s="6">
        <f>IF(ActiveDatabase=Standby,Secondary!W1004,Primary!W1004)</f>
        <v>0</v>
      </c>
      <c r="X1004" s="6">
        <f>IF(ActiveDatabase=Standby,Secondary!X1004,Primary!X1004)</f>
        <v>0</v>
      </c>
      <c r="Y1004" s="12">
        <f>IF(ActiveDatabase=Standby,Secondary!Y1004,Primary!Y1662)</f>
        <v>0</v>
      </c>
      <c r="Z1004" s="12">
        <f>IF(ActiveDatabase=Standby,Secondary!Z1004,Primary!Z1662)</f>
        <v>0</v>
      </c>
      <c r="AA1004" s="9">
        <f>IF(ActiveDatabase=Standby,Secondary!AA1004,Primary!AA1662)</f>
        <v>0</v>
      </c>
      <c r="AB1004" s="12"/>
      <c r="AC1004" s="6"/>
      <c r="AD1004" s="6"/>
      <c r="AE1004" s="7"/>
      <c r="AF1004" s="7"/>
      <c r="AG1004" s="7"/>
      <c r="AH1004" s="7"/>
      <c r="AI1004" s="7"/>
      <c r="AJ1004" s="7"/>
      <c r="AK1004" s="7"/>
      <c r="AL1004" s="7"/>
      <c r="AM1004" s="7"/>
      <c r="AN1004" s="7"/>
      <c r="AO1004" s="6"/>
      <c r="AP1004" s="7"/>
      <c r="AQ1004" s="7"/>
      <c r="AR1004" s="6"/>
      <c r="AS1004" s="7"/>
      <c r="AT1004" s="7"/>
      <c r="AU1004" s="7"/>
      <c r="AV1004" s="7"/>
      <c r="AW1004" s="7"/>
      <c r="AX1004" s="7"/>
      <c r="AY1004" s="7"/>
      <c r="AZ1004" s="7"/>
      <c r="BA1004" s="7"/>
      <c r="BB1004" s="7"/>
      <c r="BC1004" s="7"/>
      <c r="BD1004" s="7"/>
      <c r="BE1004" s="7"/>
      <c r="BF1004" s="7"/>
      <c r="BG1004" s="7"/>
    </row>
    <row r="1005" customHeight="1" spans="1:59">
      <c r="A1005" s="9">
        <f>IF(ActiveDatabase=Standby,Secondary!A1005,Primary!A1005)</f>
        <v>0</v>
      </c>
      <c r="B1005" s="5">
        <f>IF(ActiveDatabase=Standby,Secondary!B1005,Primary!B1005)</f>
        <v>0</v>
      </c>
      <c r="C1005" s="5">
        <f>IF(ActiveDatabase=Standby,Secondary!C1005,Primary!C1005)</f>
        <v>0</v>
      </c>
      <c r="D1005" s="5">
        <f>IF(ActiveDatabase=Standby,Secondary!D1005,Primary!D1005)</f>
        <v>0</v>
      </c>
      <c r="E1005" s="6">
        <f>IF(ActiveDatabase=Standby,Secondary!E1005,Primary!E1005)</f>
        <v>0</v>
      </c>
      <c r="F1005" s="10">
        <f>IF(ActiveDatabase=Standby,Secondary!F1005,Primary!F1005)</f>
        <v>0</v>
      </c>
      <c r="G1005" s="10">
        <f>IF(ActiveDatabase=Standby,Secondary!G1005,Primary!G1005)</f>
        <v>0</v>
      </c>
      <c r="H1005" s="10">
        <f>IF(ActiveDatabase=Standby,Secondary!H1005,Primary!H1005)</f>
        <v>0</v>
      </c>
      <c r="I1005" s="13">
        <f>IF(ActiveDatabase=Standby,Secondary!I1005,Primary!I1005)</f>
        <v>0</v>
      </c>
      <c r="J1005" s="13">
        <f>IF(ActiveDatabase=Standby,Secondary!J1005,Primary!J1005)</f>
        <v>0</v>
      </c>
      <c r="K1005" s="13">
        <f>IF(ActiveDatabase=Standby,Secondary!K1005,Primary!K1005)</f>
        <v>0</v>
      </c>
      <c r="L1005" s="13">
        <f>IF(ActiveDatabase=Standby,Secondary!L1005,Primary!L1005)</f>
        <v>0</v>
      </c>
      <c r="M1005" s="7">
        <f>IF(ActiveDatabase=Standby,Secondary!M1005,Primary!M1005)</f>
        <v>0</v>
      </c>
      <c r="N1005" s="10">
        <f>IF(ActiveDatabase=Standby,Secondary!N1005,Primary!N1005)</f>
        <v>0</v>
      </c>
      <c r="O1005" s="10">
        <f>IF(ActiveDatabase=Standby,Secondary!O1005,Primary!O1005)</f>
        <v>0</v>
      </c>
      <c r="P1005" s="10">
        <f>IF(ActiveDatabase=Standby,Secondary!P1005,Primary!P1005)</f>
        <v>0</v>
      </c>
      <c r="Q1005" s="6">
        <f>IF(ActiveDatabase=Standby,Secondary!Q1005,Primary!Q1005)</f>
        <v>0</v>
      </c>
      <c r="R1005" s="18">
        <f>IF(ActiveDatabase=Standby,Secondary!R1005,Primary!R1005)</f>
        <v>0</v>
      </c>
      <c r="S1005" s="19">
        <f>IF(ActiveDatabase=Standby,Secondary!S1005,Primary!S1005)</f>
        <v>0</v>
      </c>
      <c r="T1005" s="10">
        <f>IF(ActiveDatabase=Standby,Secondary!T1005,Primary!T1005)</f>
        <v>0</v>
      </c>
      <c r="U1005" s="10">
        <f>IF(ActiveDatabase=Standby,Secondary!U1005,Primary!U1005)</f>
        <v>0</v>
      </c>
      <c r="V1005" s="10">
        <f>IF(ActiveDatabase=Standby,Secondary!V1005,Primary!V1005)</f>
        <v>0</v>
      </c>
      <c r="W1005" s="6">
        <f>IF(ActiveDatabase=Standby,Secondary!W1005,Primary!W1005)</f>
        <v>0</v>
      </c>
      <c r="X1005" s="6">
        <f>IF(ActiveDatabase=Standby,Secondary!X1005,Primary!X1005)</f>
        <v>0</v>
      </c>
      <c r="Y1005" s="12">
        <f>IF(ActiveDatabase=Standby,Secondary!Y1005,Primary!Y1663)</f>
        <v>0</v>
      </c>
      <c r="Z1005" s="12">
        <f>IF(ActiveDatabase=Standby,Secondary!Z1005,Primary!Z1663)</f>
        <v>0</v>
      </c>
      <c r="AA1005" s="9">
        <f>IF(ActiveDatabase=Standby,Secondary!AA1005,Primary!AA1663)</f>
        <v>0</v>
      </c>
      <c r="AB1005" s="12"/>
      <c r="AC1005" s="6"/>
      <c r="AD1005" s="6"/>
      <c r="AE1005" s="7"/>
      <c r="AF1005" s="7"/>
      <c r="AG1005" s="7"/>
      <c r="AH1005" s="7"/>
      <c r="AI1005" s="7"/>
      <c r="AJ1005" s="7"/>
      <c r="AK1005" s="7"/>
      <c r="AL1005" s="7"/>
      <c r="AM1005" s="7"/>
      <c r="AN1005" s="7"/>
      <c r="AO1005" s="6"/>
      <c r="AP1005" s="7"/>
      <c r="AQ1005" s="7"/>
      <c r="AR1005" s="6"/>
      <c r="AS1005" s="7"/>
      <c r="AT1005" s="7"/>
      <c r="AU1005" s="7"/>
      <c r="AV1005" s="7"/>
      <c r="AW1005" s="7"/>
      <c r="AX1005" s="7"/>
      <c r="AY1005" s="7"/>
      <c r="AZ1005" s="7"/>
      <c r="BA1005" s="7"/>
      <c r="BB1005" s="7"/>
      <c r="BC1005" s="7"/>
      <c r="BD1005" s="7"/>
      <c r="BE1005" s="7"/>
      <c r="BF1005" s="7"/>
      <c r="BG1005" s="7"/>
    </row>
    <row r="1006" customHeight="1" spans="1:59">
      <c r="A1006" s="9">
        <f>IF(ActiveDatabase=Standby,Secondary!A1006,Primary!A1006)</f>
        <v>0</v>
      </c>
      <c r="B1006" s="5">
        <f>IF(ActiveDatabase=Standby,Secondary!B1006,Primary!B1006)</f>
        <v>0</v>
      </c>
      <c r="C1006" s="5">
        <f>IF(ActiveDatabase=Standby,Secondary!C1006,Primary!C1006)</f>
        <v>0</v>
      </c>
      <c r="D1006" s="5">
        <f>IF(ActiveDatabase=Standby,Secondary!D1006,Primary!D1006)</f>
        <v>0</v>
      </c>
      <c r="E1006" s="6">
        <f>IF(ActiveDatabase=Standby,Secondary!E1006,Primary!E1006)</f>
        <v>0</v>
      </c>
      <c r="F1006" s="10">
        <f>IF(ActiveDatabase=Standby,Secondary!F1006,Primary!F1006)</f>
        <v>0</v>
      </c>
      <c r="G1006" s="10">
        <f>IF(ActiveDatabase=Standby,Secondary!G1006,Primary!G1006)</f>
        <v>0</v>
      </c>
      <c r="H1006" s="10">
        <f>IF(ActiveDatabase=Standby,Secondary!H1006,Primary!H1006)</f>
        <v>0</v>
      </c>
      <c r="I1006" s="13">
        <f>IF(ActiveDatabase=Standby,Secondary!I1006,Primary!I1006)</f>
        <v>0</v>
      </c>
      <c r="J1006" s="13">
        <f>IF(ActiveDatabase=Standby,Secondary!J1006,Primary!J1006)</f>
        <v>0</v>
      </c>
      <c r="K1006" s="13">
        <f>IF(ActiveDatabase=Standby,Secondary!K1006,Primary!K1006)</f>
        <v>0</v>
      </c>
      <c r="L1006" s="13">
        <f>IF(ActiveDatabase=Standby,Secondary!L1006,Primary!L1006)</f>
        <v>0</v>
      </c>
      <c r="M1006" s="7">
        <f>IF(ActiveDatabase=Standby,Secondary!M1006,Primary!M1006)</f>
        <v>0</v>
      </c>
      <c r="N1006" s="10">
        <f>IF(ActiveDatabase=Standby,Secondary!N1006,Primary!N1006)</f>
        <v>0</v>
      </c>
      <c r="O1006" s="10">
        <f>IF(ActiveDatabase=Standby,Secondary!O1006,Primary!O1006)</f>
        <v>0</v>
      </c>
      <c r="P1006" s="10">
        <f>IF(ActiveDatabase=Standby,Secondary!P1006,Primary!P1006)</f>
        <v>0</v>
      </c>
      <c r="Q1006" s="6">
        <f>IF(ActiveDatabase=Standby,Secondary!Q1006,Primary!Q1006)</f>
        <v>0</v>
      </c>
      <c r="R1006" s="18">
        <f>IF(ActiveDatabase=Standby,Secondary!R1006,Primary!R1006)</f>
        <v>0</v>
      </c>
      <c r="S1006" s="19">
        <f>IF(ActiveDatabase=Standby,Secondary!S1006,Primary!S1006)</f>
        <v>0</v>
      </c>
      <c r="T1006" s="10">
        <f>IF(ActiveDatabase=Standby,Secondary!T1006,Primary!T1006)</f>
        <v>0</v>
      </c>
      <c r="U1006" s="10">
        <f>IF(ActiveDatabase=Standby,Secondary!U1006,Primary!U1006)</f>
        <v>0</v>
      </c>
      <c r="V1006" s="10">
        <f>IF(ActiveDatabase=Standby,Secondary!V1006,Primary!V1006)</f>
        <v>0</v>
      </c>
      <c r="W1006" s="6">
        <f>IF(ActiveDatabase=Standby,Secondary!W1006,Primary!W1006)</f>
        <v>0</v>
      </c>
      <c r="X1006" s="6">
        <f>IF(ActiveDatabase=Standby,Secondary!X1006,Primary!X1006)</f>
        <v>0</v>
      </c>
      <c r="Y1006" s="12">
        <f>IF(ActiveDatabase=Standby,Secondary!Y1006,Primary!Y1664)</f>
        <v>0</v>
      </c>
      <c r="Z1006" s="12">
        <f>IF(ActiveDatabase=Standby,Secondary!Z1006,Primary!Z1664)</f>
        <v>0</v>
      </c>
      <c r="AA1006" s="9">
        <f>IF(ActiveDatabase=Standby,Secondary!AA1006,Primary!AA1664)</f>
        <v>0</v>
      </c>
      <c r="AB1006" s="12"/>
      <c r="AC1006" s="6"/>
      <c r="AD1006" s="6"/>
      <c r="AE1006" s="7"/>
      <c r="AF1006" s="7"/>
      <c r="AG1006" s="7"/>
      <c r="AH1006" s="7"/>
      <c r="AI1006" s="7"/>
      <c r="AJ1006" s="7"/>
      <c r="AK1006" s="7"/>
      <c r="AL1006" s="7"/>
      <c r="AM1006" s="7"/>
      <c r="AN1006" s="7"/>
      <c r="AO1006" s="6"/>
      <c r="AP1006" s="7"/>
      <c r="AQ1006" s="7"/>
      <c r="AR1006" s="6"/>
      <c r="AS1006" s="7"/>
      <c r="AT1006" s="7"/>
      <c r="AU1006" s="7"/>
      <c r="AV1006" s="7"/>
      <c r="AW1006" s="7"/>
      <c r="AX1006" s="7"/>
      <c r="AY1006" s="7"/>
      <c r="AZ1006" s="7"/>
      <c r="BA1006" s="7"/>
      <c r="BB1006" s="7"/>
      <c r="BC1006" s="7"/>
      <c r="BD1006" s="7"/>
      <c r="BE1006" s="7"/>
      <c r="BF1006" s="7"/>
      <c r="BG1006" s="7"/>
    </row>
    <row r="1007" customHeight="1" spans="1:59">
      <c r="A1007" s="9">
        <f>IF(ActiveDatabase=Standby,Secondary!A1007,Primary!A1007)</f>
        <v>0</v>
      </c>
      <c r="B1007" s="5">
        <f>IF(ActiveDatabase=Standby,Secondary!B1007,Primary!B1007)</f>
        <v>0</v>
      </c>
      <c r="C1007" s="5">
        <f>IF(ActiveDatabase=Standby,Secondary!C1007,Primary!C1007)</f>
        <v>0</v>
      </c>
      <c r="D1007" s="5">
        <f>IF(ActiveDatabase=Standby,Secondary!D1007,Primary!D1007)</f>
        <v>0</v>
      </c>
      <c r="E1007" s="6">
        <f>IF(ActiveDatabase=Standby,Secondary!E1007,Primary!E1007)</f>
        <v>0</v>
      </c>
      <c r="F1007" s="10">
        <f>IF(ActiveDatabase=Standby,Secondary!F1007,Primary!F1007)</f>
        <v>0</v>
      </c>
      <c r="G1007" s="10">
        <f>IF(ActiveDatabase=Standby,Secondary!G1007,Primary!G1007)</f>
        <v>0</v>
      </c>
      <c r="H1007" s="10">
        <f>IF(ActiveDatabase=Standby,Secondary!H1007,Primary!H1007)</f>
        <v>0</v>
      </c>
      <c r="I1007" s="13">
        <f>IF(ActiveDatabase=Standby,Secondary!I1007,Primary!I1007)</f>
        <v>0</v>
      </c>
      <c r="J1007" s="13">
        <f>IF(ActiveDatabase=Standby,Secondary!J1007,Primary!J1007)</f>
        <v>0</v>
      </c>
      <c r="K1007" s="13">
        <f>IF(ActiveDatabase=Standby,Secondary!K1007,Primary!K1007)</f>
        <v>0</v>
      </c>
      <c r="L1007" s="13">
        <f>IF(ActiveDatabase=Standby,Secondary!L1007,Primary!L1007)</f>
        <v>0</v>
      </c>
      <c r="M1007" s="7">
        <f>IF(ActiveDatabase=Standby,Secondary!M1007,Primary!M1007)</f>
        <v>0</v>
      </c>
      <c r="N1007" s="10">
        <f>IF(ActiveDatabase=Standby,Secondary!N1007,Primary!N1007)</f>
        <v>0</v>
      </c>
      <c r="O1007" s="10">
        <f>IF(ActiveDatabase=Standby,Secondary!O1007,Primary!O1007)</f>
        <v>0</v>
      </c>
      <c r="P1007" s="10">
        <f>IF(ActiveDatabase=Standby,Secondary!P1007,Primary!P1007)</f>
        <v>0</v>
      </c>
      <c r="Q1007" s="6">
        <f>IF(ActiveDatabase=Standby,Secondary!Q1007,Primary!Q1007)</f>
        <v>0</v>
      </c>
      <c r="R1007" s="18">
        <f>IF(ActiveDatabase=Standby,Secondary!R1007,Primary!R1007)</f>
        <v>0</v>
      </c>
      <c r="S1007" s="19">
        <f>IF(ActiveDatabase=Standby,Secondary!S1007,Primary!S1007)</f>
        <v>0</v>
      </c>
      <c r="T1007" s="10">
        <f>IF(ActiveDatabase=Standby,Secondary!T1007,Primary!T1007)</f>
        <v>0</v>
      </c>
      <c r="U1007" s="10">
        <f>IF(ActiveDatabase=Standby,Secondary!U1007,Primary!U1007)</f>
        <v>0</v>
      </c>
      <c r="V1007" s="10">
        <f>IF(ActiveDatabase=Standby,Secondary!V1007,Primary!V1007)</f>
        <v>0</v>
      </c>
      <c r="W1007" s="6">
        <f>IF(ActiveDatabase=Standby,Secondary!W1007,Primary!W1007)</f>
        <v>0</v>
      </c>
      <c r="X1007" s="6">
        <f>IF(ActiveDatabase=Standby,Secondary!X1007,Primary!X1007)</f>
        <v>0</v>
      </c>
      <c r="Y1007" s="12">
        <f>IF(ActiveDatabase=Standby,Secondary!Y1007,Primary!Y1665)</f>
        <v>0</v>
      </c>
      <c r="Z1007" s="12">
        <f>IF(ActiveDatabase=Standby,Secondary!Z1007,Primary!Z1665)</f>
        <v>0</v>
      </c>
      <c r="AA1007" s="9">
        <f>IF(ActiveDatabase=Standby,Secondary!AA1007,Primary!AA1665)</f>
        <v>0</v>
      </c>
      <c r="AB1007" s="12"/>
      <c r="AC1007" s="6"/>
      <c r="AD1007" s="6"/>
      <c r="AE1007" s="7"/>
      <c r="AF1007" s="7"/>
      <c r="AG1007" s="7"/>
      <c r="AH1007" s="7"/>
      <c r="AI1007" s="7"/>
      <c r="AJ1007" s="7"/>
      <c r="AK1007" s="7"/>
      <c r="AL1007" s="7"/>
      <c r="AM1007" s="7"/>
      <c r="AN1007" s="7"/>
      <c r="AO1007" s="6"/>
      <c r="AP1007" s="7"/>
      <c r="AQ1007" s="7"/>
      <c r="AR1007" s="6"/>
      <c r="AS1007" s="7"/>
      <c r="AT1007" s="7"/>
      <c r="AU1007" s="7"/>
      <c r="AV1007" s="7"/>
      <c r="AW1007" s="7"/>
      <c r="AX1007" s="7"/>
      <c r="AY1007" s="7"/>
      <c r="AZ1007" s="7"/>
      <c r="BA1007" s="7"/>
      <c r="BB1007" s="7"/>
      <c r="BC1007" s="7"/>
      <c r="BD1007" s="7"/>
      <c r="BE1007" s="7"/>
      <c r="BF1007" s="7"/>
      <c r="BG1007" s="7"/>
    </row>
    <row r="1008" customHeight="1" spans="1:59">
      <c r="A1008" s="9">
        <f>IF(ActiveDatabase=Standby,Secondary!A1008,Primary!A1008)</f>
        <v>0</v>
      </c>
      <c r="B1008" s="5">
        <f>IF(ActiveDatabase=Standby,Secondary!B1008,Primary!B1008)</f>
        <v>0</v>
      </c>
      <c r="C1008" s="5">
        <f>IF(ActiveDatabase=Standby,Secondary!C1008,Primary!C1008)</f>
        <v>0</v>
      </c>
      <c r="D1008" s="5">
        <f>IF(ActiveDatabase=Standby,Secondary!D1008,Primary!D1008)</f>
        <v>0</v>
      </c>
      <c r="E1008" s="6">
        <f>IF(ActiveDatabase=Standby,Secondary!E1008,Primary!E1008)</f>
        <v>0</v>
      </c>
      <c r="F1008" s="10">
        <f>IF(ActiveDatabase=Standby,Secondary!F1008,Primary!F1008)</f>
        <v>0</v>
      </c>
      <c r="G1008" s="10">
        <f>IF(ActiveDatabase=Standby,Secondary!G1008,Primary!G1008)</f>
        <v>0</v>
      </c>
      <c r="H1008" s="10">
        <f>IF(ActiveDatabase=Standby,Secondary!H1008,Primary!H1008)</f>
        <v>0</v>
      </c>
      <c r="I1008" s="13">
        <f>IF(ActiveDatabase=Standby,Secondary!I1008,Primary!I1008)</f>
        <v>0</v>
      </c>
      <c r="J1008" s="13">
        <f>IF(ActiveDatabase=Standby,Secondary!J1008,Primary!J1008)</f>
        <v>0</v>
      </c>
      <c r="K1008" s="13">
        <f>IF(ActiveDatabase=Standby,Secondary!K1008,Primary!K1008)</f>
        <v>0</v>
      </c>
      <c r="L1008" s="13">
        <f>IF(ActiveDatabase=Standby,Secondary!L1008,Primary!L1008)</f>
        <v>0</v>
      </c>
      <c r="M1008" s="7">
        <f>IF(ActiveDatabase=Standby,Secondary!M1008,Primary!M1008)</f>
        <v>0</v>
      </c>
      <c r="N1008" s="10">
        <f>IF(ActiveDatabase=Standby,Secondary!N1008,Primary!N1008)</f>
        <v>0</v>
      </c>
      <c r="O1008" s="10">
        <f>IF(ActiveDatabase=Standby,Secondary!O1008,Primary!O1008)</f>
        <v>0</v>
      </c>
      <c r="P1008" s="10">
        <f>IF(ActiveDatabase=Standby,Secondary!P1008,Primary!P1008)</f>
        <v>0</v>
      </c>
      <c r="Q1008" s="6">
        <f>IF(ActiveDatabase=Standby,Secondary!Q1008,Primary!Q1008)</f>
        <v>0</v>
      </c>
      <c r="R1008" s="18">
        <f>IF(ActiveDatabase=Standby,Secondary!R1008,Primary!R1008)</f>
        <v>0</v>
      </c>
      <c r="S1008" s="19">
        <f>IF(ActiveDatabase=Standby,Secondary!S1008,Primary!S1008)</f>
        <v>0</v>
      </c>
      <c r="T1008" s="10">
        <f>IF(ActiveDatabase=Standby,Secondary!T1008,Primary!T1008)</f>
        <v>0</v>
      </c>
      <c r="U1008" s="10">
        <f>IF(ActiveDatabase=Standby,Secondary!U1008,Primary!U1008)</f>
        <v>0</v>
      </c>
      <c r="V1008" s="10">
        <f>IF(ActiveDatabase=Standby,Secondary!V1008,Primary!V1008)</f>
        <v>0</v>
      </c>
      <c r="W1008" s="6">
        <f>IF(ActiveDatabase=Standby,Secondary!W1008,Primary!W1008)</f>
        <v>0</v>
      </c>
      <c r="X1008" s="6">
        <f>IF(ActiveDatabase=Standby,Secondary!X1008,Primary!X1008)</f>
        <v>0</v>
      </c>
      <c r="Y1008" s="12">
        <f>IF(ActiveDatabase=Standby,Secondary!Y1008,Primary!Y1666)</f>
        <v>0</v>
      </c>
      <c r="Z1008" s="12">
        <f>IF(ActiveDatabase=Standby,Secondary!Z1008,Primary!Z1666)</f>
        <v>0</v>
      </c>
      <c r="AA1008" s="9">
        <f>IF(ActiveDatabase=Standby,Secondary!AA1008,Primary!AA1666)</f>
        <v>0</v>
      </c>
      <c r="AB1008" s="12"/>
      <c r="AC1008" s="6"/>
      <c r="AD1008" s="6"/>
      <c r="AE1008" s="7"/>
      <c r="AF1008" s="7"/>
      <c r="AG1008" s="7"/>
      <c r="AH1008" s="7"/>
      <c r="AI1008" s="7"/>
      <c r="AJ1008" s="7"/>
      <c r="AK1008" s="7"/>
      <c r="AL1008" s="7"/>
      <c r="AM1008" s="7"/>
      <c r="AN1008" s="7"/>
      <c r="AO1008" s="6"/>
      <c r="AP1008" s="7"/>
      <c r="AQ1008" s="7"/>
      <c r="AR1008" s="6"/>
      <c r="AS1008" s="7"/>
      <c r="AT1008" s="7"/>
      <c r="AU1008" s="7"/>
      <c r="AV1008" s="7"/>
      <c r="AW1008" s="7"/>
      <c r="AX1008" s="7"/>
      <c r="AY1008" s="7"/>
      <c r="AZ1008" s="7"/>
      <c r="BA1008" s="7"/>
      <c r="BB1008" s="7"/>
      <c r="BC1008" s="7"/>
      <c r="BD1008" s="7"/>
      <c r="BE1008" s="7"/>
      <c r="BF1008" s="7"/>
      <c r="BG1008" s="7"/>
    </row>
    <row r="1009" customHeight="1" spans="1:59">
      <c r="A1009" s="9">
        <f>IF(ActiveDatabase=Standby,Secondary!A1009,Primary!A1009)</f>
        <v>0</v>
      </c>
      <c r="B1009" s="5">
        <f>IF(ActiveDatabase=Standby,Secondary!B1009,Primary!B1009)</f>
        <v>0</v>
      </c>
      <c r="C1009" s="5">
        <f>IF(ActiveDatabase=Standby,Secondary!C1009,Primary!C1009)</f>
        <v>0</v>
      </c>
      <c r="D1009" s="5">
        <f>IF(ActiveDatabase=Standby,Secondary!D1009,Primary!D1009)</f>
        <v>0</v>
      </c>
      <c r="E1009" s="6">
        <f>IF(ActiveDatabase=Standby,Secondary!E1009,Primary!E1009)</f>
        <v>0</v>
      </c>
      <c r="F1009" s="10">
        <f>IF(ActiveDatabase=Standby,Secondary!F1009,Primary!F1009)</f>
        <v>0</v>
      </c>
      <c r="G1009" s="10">
        <f>IF(ActiveDatabase=Standby,Secondary!G1009,Primary!G1009)</f>
        <v>0</v>
      </c>
      <c r="H1009" s="10">
        <f>IF(ActiveDatabase=Standby,Secondary!H1009,Primary!H1009)</f>
        <v>0</v>
      </c>
      <c r="I1009" s="13">
        <f>IF(ActiveDatabase=Standby,Secondary!I1009,Primary!I1009)</f>
        <v>0</v>
      </c>
      <c r="J1009" s="13">
        <f>IF(ActiveDatabase=Standby,Secondary!J1009,Primary!J1009)</f>
        <v>0</v>
      </c>
      <c r="K1009" s="13">
        <f>IF(ActiveDatabase=Standby,Secondary!K1009,Primary!K1009)</f>
        <v>0</v>
      </c>
      <c r="L1009" s="13">
        <f>IF(ActiveDatabase=Standby,Secondary!L1009,Primary!L1009)</f>
        <v>0</v>
      </c>
      <c r="M1009" s="7">
        <f>IF(ActiveDatabase=Standby,Secondary!M1009,Primary!M1009)</f>
        <v>0</v>
      </c>
      <c r="N1009" s="10">
        <f>IF(ActiveDatabase=Standby,Secondary!N1009,Primary!N1009)</f>
        <v>0</v>
      </c>
      <c r="O1009" s="10">
        <f>IF(ActiveDatabase=Standby,Secondary!O1009,Primary!O1009)</f>
        <v>0</v>
      </c>
      <c r="P1009" s="10">
        <f>IF(ActiveDatabase=Standby,Secondary!P1009,Primary!P1009)</f>
        <v>0</v>
      </c>
      <c r="Q1009" s="6">
        <f>IF(ActiveDatabase=Standby,Secondary!Q1009,Primary!Q1009)</f>
        <v>0</v>
      </c>
      <c r="R1009" s="18">
        <f>IF(ActiveDatabase=Standby,Secondary!R1009,Primary!R1009)</f>
        <v>0</v>
      </c>
      <c r="S1009" s="19">
        <f>IF(ActiveDatabase=Standby,Secondary!S1009,Primary!S1009)</f>
        <v>0</v>
      </c>
      <c r="T1009" s="10">
        <f>IF(ActiveDatabase=Standby,Secondary!T1009,Primary!T1009)</f>
        <v>0</v>
      </c>
      <c r="U1009" s="10">
        <f>IF(ActiveDatabase=Standby,Secondary!U1009,Primary!U1009)</f>
        <v>0</v>
      </c>
      <c r="V1009" s="10">
        <f>IF(ActiveDatabase=Standby,Secondary!V1009,Primary!V1009)</f>
        <v>0</v>
      </c>
      <c r="W1009" s="6">
        <f>IF(ActiveDatabase=Standby,Secondary!W1009,Primary!W1009)</f>
        <v>0</v>
      </c>
      <c r="X1009" s="6">
        <f>IF(ActiveDatabase=Standby,Secondary!X1009,Primary!X1009)</f>
        <v>0</v>
      </c>
      <c r="Y1009" s="12">
        <f>IF(ActiveDatabase=Standby,Secondary!Y1009,Primary!Y1667)</f>
        <v>0</v>
      </c>
      <c r="Z1009" s="12">
        <f>IF(ActiveDatabase=Standby,Secondary!Z1009,Primary!Z1667)</f>
        <v>0</v>
      </c>
      <c r="AA1009" s="9">
        <f>IF(ActiveDatabase=Standby,Secondary!AA1009,Primary!AA1667)</f>
        <v>0</v>
      </c>
      <c r="AB1009" s="12"/>
      <c r="AC1009" s="6"/>
      <c r="AD1009" s="6"/>
      <c r="AE1009" s="7"/>
      <c r="AF1009" s="7"/>
      <c r="AG1009" s="7"/>
      <c r="AH1009" s="7"/>
      <c r="AI1009" s="7"/>
      <c r="AJ1009" s="7"/>
      <c r="AK1009" s="7"/>
      <c r="AL1009" s="7"/>
      <c r="AM1009" s="7"/>
      <c r="AN1009" s="7"/>
      <c r="AO1009" s="6"/>
      <c r="AP1009" s="7"/>
      <c r="AQ1009" s="7"/>
      <c r="AR1009" s="6"/>
      <c r="AS1009" s="7"/>
      <c r="AT1009" s="7"/>
      <c r="AU1009" s="7"/>
      <c r="AV1009" s="7"/>
      <c r="AW1009" s="7"/>
      <c r="AX1009" s="7"/>
      <c r="AY1009" s="7"/>
      <c r="AZ1009" s="7"/>
      <c r="BA1009" s="7"/>
      <c r="BB1009" s="7"/>
      <c r="BC1009" s="7"/>
      <c r="BD1009" s="7"/>
      <c r="BE1009" s="7"/>
      <c r="BF1009" s="7"/>
      <c r="BG1009" s="7"/>
    </row>
    <row r="1010" customHeight="1" spans="1:59">
      <c r="A1010" s="9">
        <f>IF(ActiveDatabase=Standby,Secondary!A1010,Primary!A1010)</f>
        <v>0</v>
      </c>
      <c r="B1010" s="5">
        <f>IF(ActiveDatabase=Standby,Secondary!B1010,Primary!B1010)</f>
        <v>0</v>
      </c>
      <c r="C1010" s="5">
        <f>IF(ActiveDatabase=Standby,Secondary!C1010,Primary!C1010)</f>
        <v>0</v>
      </c>
      <c r="D1010" s="5">
        <f>IF(ActiveDatabase=Standby,Secondary!D1010,Primary!D1010)</f>
        <v>0</v>
      </c>
      <c r="E1010" s="6">
        <f>IF(ActiveDatabase=Standby,Secondary!E1010,Primary!E1010)</f>
        <v>0</v>
      </c>
      <c r="F1010" s="10">
        <f>IF(ActiveDatabase=Standby,Secondary!F1010,Primary!F1010)</f>
        <v>0</v>
      </c>
      <c r="G1010" s="10">
        <f>IF(ActiveDatabase=Standby,Secondary!G1010,Primary!G1010)</f>
        <v>0</v>
      </c>
      <c r="H1010" s="10">
        <f>IF(ActiveDatabase=Standby,Secondary!H1010,Primary!H1010)</f>
        <v>0</v>
      </c>
      <c r="I1010" s="13">
        <f>IF(ActiveDatabase=Standby,Secondary!I1010,Primary!I1010)</f>
        <v>0</v>
      </c>
      <c r="J1010" s="13">
        <f>IF(ActiveDatabase=Standby,Secondary!J1010,Primary!J1010)</f>
        <v>0</v>
      </c>
      <c r="K1010" s="13">
        <f>IF(ActiveDatabase=Standby,Secondary!K1010,Primary!K1010)</f>
        <v>0</v>
      </c>
      <c r="L1010" s="13">
        <f>IF(ActiveDatabase=Standby,Secondary!L1010,Primary!L1010)</f>
        <v>0</v>
      </c>
      <c r="M1010" s="7">
        <f>IF(ActiveDatabase=Standby,Secondary!M1010,Primary!M1010)</f>
        <v>0</v>
      </c>
      <c r="N1010" s="10">
        <f>IF(ActiveDatabase=Standby,Secondary!N1010,Primary!N1010)</f>
        <v>0</v>
      </c>
      <c r="O1010" s="10">
        <f>IF(ActiveDatabase=Standby,Secondary!O1010,Primary!O1010)</f>
        <v>0</v>
      </c>
      <c r="P1010" s="10">
        <f>IF(ActiveDatabase=Standby,Secondary!P1010,Primary!P1010)</f>
        <v>0</v>
      </c>
      <c r="Q1010" s="6">
        <f>IF(ActiveDatabase=Standby,Secondary!Q1010,Primary!Q1010)</f>
        <v>0</v>
      </c>
      <c r="R1010" s="18">
        <f>IF(ActiveDatabase=Standby,Secondary!R1010,Primary!R1010)</f>
        <v>0</v>
      </c>
      <c r="S1010" s="19">
        <f>IF(ActiveDatabase=Standby,Secondary!S1010,Primary!S1010)</f>
        <v>0</v>
      </c>
      <c r="T1010" s="10">
        <f>IF(ActiveDatabase=Standby,Secondary!T1010,Primary!T1010)</f>
        <v>0</v>
      </c>
      <c r="U1010" s="10">
        <f>IF(ActiveDatabase=Standby,Secondary!U1010,Primary!U1010)</f>
        <v>0</v>
      </c>
      <c r="V1010" s="10">
        <f>IF(ActiveDatabase=Standby,Secondary!V1010,Primary!V1010)</f>
        <v>0</v>
      </c>
      <c r="W1010" s="6">
        <f>IF(ActiveDatabase=Standby,Secondary!W1010,Primary!W1010)</f>
        <v>0</v>
      </c>
      <c r="X1010" s="6">
        <f>IF(ActiveDatabase=Standby,Secondary!X1010,Primary!X1010)</f>
        <v>0</v>
      </c>
      <c r="Y1010" s="12">
        <f>IF(ActiveDatabase=Standby,Secondary!Y1010,Primary!Y1668)</f>
        <v>0</v>
      </c>
      <c r="Z1010" s="12">
        <f>IF(ActiveDatabase=Standby,Secondary!Z1010,Primary!Z1668)</f>
        <v>0</v>
      </c>
      <c r="AA1010" s="9">
        <f>IF(ActiveDatabase=Standby,Secondary!AA1010,Primary!AA1668)</f>
        <v>0</v>
      </c>
      <c r="AB1010" s="12"/>
      <c r="AC1010" s="6"/>
      <c r="AD1010" s="6"/>
      <c r="AE1010" s="7"/>
      <c r="AF1010" s="7"/>
      <c r="AG1010" s="7"/>
      <c r="AH1010" s="7"/>
      <c r="AI1010" s="7"/>
      <c r="AJ1010" s="7"/>
      <c r="AK1010" s="7"/>
      <c r="AL1010" s="7"/>
      <c r="AM1010" s="7"/>
      <c r="AN1010" s="7"/>
      <c r="AO1010" s="6"/>
      <c r="AP1010" s="7"/>
      <c r="AQ1010" s="7"/>
      <c r="AR1010" s="6"/>
      <c r="AS1010" s="7"/>
      <c r="AT1010" s="7"/>
      <c r="AU1010" s="7"/>
      <c r="AV1010" s="7"/>
      <c r="AW1010" s="7"/>
      <c r="AX1010" s="7"/>
      <c r="AY1010" s="7"/>
      <c r="AZ1010" s="7"/>
      <c r="BA1010" s="7"/>
      <c r="BB1010" s="7"/>
      <c r="BC1010" s="7"/>
      <c r="BD1010" s="7"/>
      <c r="BE1010" s="7"/>
      <c r="BF1010" s="7"/>
      <c r="BG1010" s="7"/>
    </row>
    <row r="1011" customHeight="1" spans="1:59">
      <c r="A1011" s="9">
        <f>IF(ActiveDatabase=Standby,Secondary!A1011,Primary!A1011)</f>
        <v>0</v>
      </c>
      <c r="B1011" s="5">
        <f>IF(ActiveDatabase=Standby,Secondary!B1011,Primary!B1011)</f>
        <v>0</v>
      </c>
      <c r="C1011" s="5">
        <f>IF(ActiveDatabase=Standby,Secondary!C1011,Primary!C1011)</f>
        <v>0</v>
      </c>
      <c r="D1011" s="5">
        <f>IF(ActiveDatabase=Standby,Secondary!D1011,Primary!D1011)</f>
        <v>0</v>
      </c>
      <c r="E1011" s="6">
        <f>IF(ActiveDatabase=Standby,Secondary!E1011,Primary!E1011)</f>
        <v>0</v>
      </c>
      <c r="F1011" s="10">
        <f>IF(ActiveDatabase=Standby,Secondary!F1011,Primary!F1011)</f>
        <v>0</v>
      </c>
      <c r="G1011" s="10">
        <f>IF(ActiveDatabase=Standby,Secondary!G1011,Primary!G1011)</f>
        <v>0</v>
      </c>
      <c r="H1011" s="10">
        <f>IF(ActiveDatabase=Standby,Secondary!H1011,Primary!H1011)</f>
        <v>0</v>
      </c>
      <c r="I1011" s="13">
        <f>IF(ActiveDatabase=Standby,Secondary!I1011,Primary!I1011)</f>
        <v>0</v>
      </c>
      <c r="J1011" s="13">
        <f>IF(ActiveDatabase=Standby,Secondary!J1011,Primary!J1011)</f>
        <v>0</v>
      </c>
      <c r="K1011" s="13">
        <f>IF(ActiveDatabase=Standby,Secondary!K1011,Primary!K1011)</f>
        <v>0</v>
      </c>
      <c r="L1011" s="13">
        <f>IF(ActiveDatabase=Standby,Secondary!L1011,Primary!L1011)</f>
        <v>0</v>
      </c>
      <c r="M1011" s="7">
        <f>IF(ActiveDatabase=Standby,Secondary!M1011,Primary!M1011)</f>
        <v>0</v>
      </c>
      <c r="N1011" s="10">
        <f>IF(ActiveDatabase=Standby,Secondary!N1011,Primary!N1011)</f>
        <v>0</v>
      </c>
      <c r="O1011" s="10">
        <f>IF(ActiveDatabase=Standby,Secondary!O1011,Primary!O1011)</f>
        <v>0</v>
      </c>
      <c r="P1011" s="10">
        <f>IF(ActiveDatabase=Standby,Secondary!P1011,Primary!P1011)</f>
        <v>0</v>
      </c>
      <c r="Q1011" s="6">
        <f>IF(ActiveDatabase=Standby,Secondary!Q1011,Primary!Q1011)</f>
        <v>0</v>
      </c>
      <c r="R1011" s="18">
        <f>IF(ActiveDatabase=Standby,Secondary!R1011,Primary!R1011)</f>
        <v>0</v>
      </c>
      <c r="S1011" s="19">
        <f>IF(ActiveDatabase=Standby,Secondary!S1011,Primary!S1011)</f>
        <v>0</v>
      </c>
      <c r="T1011" s="10">
        <f>IF(ActiveDatabase=Standby,Secondary!T1011,Primary!T1011)</f>
        <v>0</v>
      </c>
      <c r="U1011" s="10">
        <f>IF(ActiveDatabase=Standby,Secondary!U1011,Primary!U1011)</f>
        <v>0</v>
      </c>
      <c r="V1011" s="10">
        <f>IF(ActiveDatabase=Standby,Secondary!V1011,Primary!V1011)</f>
        <v>0</v>
      </c>
      <c r="W1011" s="6">
        <f>IF(ActiveDatabase=Standby,Secondary!W1011,Primary!W1011)</f>
        <v>0</v>
      </c>
      <c r="X1011" s="6">
        <f>IF(ActiveDatabase=Standby,Secondary!X1011,Primary!X1011)</f>
        <v>0</v>
      </c>
      <c r="Y1011" s="12">
        <f>IF(ActiveDatabase=Standby,Secondary!Y1011,Primary!Y1669)</f>
        <v>0</v>
      </c>
      <c r="Z1011" s="12">
        <f>IF(ActiveDatabase=Standby,Secondary!Z1011,Primary!Z1669)</f>
        <v>0</v>
      </c>
      <c r="AA1011" s="9">
        <f>IF(ActiveDatabase=Standby,Secondary!AA1011,Primary!AA1669)</f>
        <v>0</v>
      </c>
      <c r="AB1011" s="12"/>
      <c r="AC1011" s="6"/>
      <c r="AD1011" s="6"/>
      <c r="AE1011" s="7"/>
      <c r="AF1011" s="7"/>
      <c r="AG1011" s="7"/>
      <c r="AH1011" s="7"/>
      <c r="AI1011" s="7"/>
      <c r="AJ1011" s="7"/>
      <c r="AK1011" s="7"/>
      <c r="AL1011" s="7"/>
      <c r="AM1011" s="7"/>
      <c r="AN1011" s="7"/>
      <c r="AO1011" s="6"/>
      <c r="AP1011" s="7"/>
      <c r="AQ1011" s="7"/>
      <c r="AR1011" s="6"/>
      <c r="AS1011" s="7"/>
      <c r="AT1011" s="7"/>
      <c r="AU1011" s="7"/>
      <c r="AV1011" s="7"/>
      <c r="AW1011" s="7"/>
      <c r="AX1011" s="7"/>
      <c r="AY1011" s="7"/>
      <c r="AZ1011" s="7"/>
      <c r="BA1011" s="7"/>
      <c r="BB1011" s="7"/>
      <c r="BC1011" s="7"/>
      <c r="BD1011" s="7"/>
      <c r="BE1011" s="7"/>
      <c r="BF1011" s="7"/>
      <c r="BG1011" s="7"/>
    </row>
    <row r="1012" customHeight="1" spans="1:59">
      <c r="A1012" s="9">
        <f>IF(ActiveDatabase=Standby,Secondary!A1012,Primary!A1012)</f>
        <v>0</v>
      </c>
      <c r="B1012" s="5">
        <f>IF(ActiveDatabase=Standby,Secondary!B1012,Primary!B1012)</f>
        <v>0</v>
      </c>
      <c r="C1012" s="5">
        <f>IF(ActiveDatabase=Standby,Secondary!C1012,Primary!C1012)</f>
        <v>0</v>
      </c>
      <c r="D1012" s="5">
        <f>IF(ActiveDatabase=Standby,Secondary!D1012,Primary!D1012)</f>
        <v>0</v>
      </c>
      <c r="E1012" s="6">
        <f>IF(ActiveDatabase=Standby,Secondary!E1012,Primary!E1012)</f>
        <v>0</v>
      </c>
      <c r="F1012" s="10">
        <f>IF(ActiveDatabase=Standby,Secondary!F1012,Primary!F1012)</f>
        <v>0</v>
      </c>
      <c r="G1012" s="10">
        <f>IF(ActiveDatabase=Standby,Secondary!G1012,Primary!G1012)</f>
        <v>0</v>
      </c>
      <c r="H1012" s="10">
        <f>IF(ActiveDatabase=Standby,Secondary!H1012,Primary!H1012)</f>
        <v>0</v>
      </c>
      <c r="I1012" s="13">
        <f>IF(ActiveDatabase=Standby,Secondary!I1012,Primary!I1012)</f>
        <v>0</v>
      </c>
      <c r="J1012" s="13">
        <f>IF(ActiveDatabase=Standby,Secondary!J1012,Primary!J1012)</f>
        <v>0</v>
      </c>
      <c r="K1012" s="13">
        <f>IF(ActiveDatabase=Standby,Secondary!K1012,Primary!K1012)</f>
        <v>0</v>
      </c>
      <c r="L1012" s="13">
        <f>IF(ActiveDatabase=Standby,Secondary!L1012,Primary!L1012)</f>
        <v>0</v>
      </c>
      <c r="M1012" s="7">
        <f>IF(ActiveDatabase=Standby,Secondary!M1012,Primary!M1012)</f>
        <v>0</v>
      </c>
      <c r="N1012" s="10">
        <f>IF(ActiveDatabase=Standby,Secondary!N1012,Primary!N1012)</f>
        <v>0</v>
      </c>
      <c r="O1012" s="10">
        <f>IF(ActiveDatabase=Standby,Secondary!O1012,Primary!O1012)</f>
        <v>0</v>
      </c>
      <c r="P1012" s="10">
        <f>IF(ActiveDatabase=Standby,Secondary!P1012,Primary!P1012)</f>
        <v>0</v>
      </c>
      <c r="Q1012" s="6">
        <f>IF(ActiveDatabase=Standby,Secondary!Q1012,Primary!Q1012)</f>
        <v>0</v>
      </c>
      <c r="R1012" s="18">
        <f>IF(ActiveDatabase=Standby,Secondary!R1012,Primary!R1012)</f>
        <v>0</v>
      </c>
      <c r="S1012" s="19">
        <f>IF(ActiveDatabase=Standby,Secondary!S1012,Primary!S1012)</f>
        <v>0</v>
      </c>
      <c r="T1012" s="10">
        <f>IF(ActiveDatabase=Standby,Secondary!T1012,Primary!T1012)</f>
        <v>0</v>
      </c>
      <c r="U1012" s="10">
        <f>IF(ActiveDatabase=Standby,Secondary!U1012,Primary!U1012)</f>
        <v>0</v>
      </c>
      <c r="V1012" s="10">
        <f>IF(ActiveDatabase=Standby,Secondary!V1012,Primary!V1012)</f>
        <v>0</v>
      </c>
      <c r="W1012" s="6">
        <f>IF(ActiveDatabase=Standby,Secondary!W1012,Primary!W1012)</f>
        <v>0</v>
      </c>
      <c r="X1012" s="6">
        <f>IF(ActiveDatabase=Standby,Secondary!X1012,Primary!X1012)</f>
        <v>0</v>
      </c>
      <c r="Y1012" s="12">
        <f>IF(ActiveDatabase=Standby,Secondary!Y1012,Primary!Y1670)</f>
        <v>0</v>
      </c>
      <c r="Z1012" s="12">
        <f>IF(ActiveDatabase=Standby,Secondary!Z1012,Primary!Z1670)</f>
        <v>0</v>
      </c>
      <c r="AA1012" s="9">
        <f>IF(ActiveDatabase=Standby,Secondary!AA1012,Primary!AA1670)</f>
        <v>0</v>
      </c>
      <c r="AB1012" s="12"/>
      <c r="AC1012" s="6"/>
      <c r="AD1012" s="6"/>
      <c r="AE1012" s="7"/>
      <c r="AF1012" s="7"/>
      <c r="AG1012" s="7"/>
      <c r="AH1012" s="7"/>
      <c r="AI1012" s="7"/>
      <c r="AJ1012" s="7"/>
      <c r="AK1012" s="7"/>
      <c r="AL1012" s="7"/>
      <c r="AM1012" s="7"/>
      <c r="AN1012" s="7"/>
      <c r="AO1012" s="6"/>
      <c r="AP1012" s="7"/>
      <c r="AQ1012" s="7"/>
      <c r="AR1012" s="6"/>
      <c r="AS1012" s="7"/>
      <c r="AT1012" s="7"/>
      <c r="AU1012" s="7"/>
      <c r="AV1012" s="7"/>
      <c r="AW1012" s="7"/>
      <c r="AX1012" s="7"/>
      <c r="AY1012" s="7"/>
      <c r="AZ1012" s="7"/>
      <c r="BA1012" s="7"/>
      <c r="BB1012" s="7"/>
      <c r="BC1012" s="7"/>
      <c r="BD1012" s="7"/>
      <c r="BE1012" s="7"/>
      <c r="BF1012" s="7"/>
      <c r="BG1012" s="7"/>
    </row>
    <row r="1013" customHeight="1" spans="1:59">
      <c r="A1013" s="9">
        <f>IF(ActiveDatabase=Standby,Secondary!A1013,Primary!A1013)</f>
        <v>0</v>
      </c>
      <c r="B1013" s="5">
        <f>IF(ActiveDatabase=Standby,Secondary!B1013,Primary!B1013)</f>
        <v>0</v>
      </c>
      <c r="C1013" s="5">
        <f>IF(ActiveDatabase=Standby,Secondary!C1013,Primary!C1013)</f>
        <v>0</v>
      </c>
      <c r="D1013" s="5">
        <f>IF(ActiveDatabase=Standby,Secondary!D1013,Primary!D1013)</f>
        <v>0</v>
      </c>
      <c r="E1013" s="6">
        <f>IF(ActiveDatabase=Standby,Secondary!E1013,Primary!E1013)</f>
        <v>0</v>
      </c>
      <c r="F1013" s="10">
        <f>IF(ActiveDatabase=Standby,Secondary!F1013,Primary!F1013)</f>
        <v>0</v>
      </c>
      <c r="G1013" s="10">
        <f>IF(ActiveDatabase=Standby,Secondary!G1013,Primary!G1013)</f>
        <v>0</v>
      </c>
      <c r="H1013" s="10">
        <f>IF(ActiveDatabase=Standby,Secondary!H1013,Primary!H1013)</f>
        <v>0</v>
      </c>
      <c r="I1013" s="13">
        <f>IF(ActiveDatabase=Standby,Secondary!I1013,Primary!I1013)</f>
        <v>0</v>
      </c>
      <c r="J1013" s="13">
        <f>IF(ActiveDatabase=Standby,Secondary!J1013,Primary!J1013)</f>
        <v>0</v>
      </c>
      <c r="K1013" s="13">
        <f>IF(ActiveDatabase=Standby,Secondary!K1013,Primary!K1013)</f>
        <v>0</v>
      </c>
      <c r="L1013" s="13">
        <f>IF(ActiveDatabase=Standby,Secondary!L1013,Primary!L1013)</f>
        <v>0</v>
      </c>
      <c r="M1013" s="7">
        <f>IF(ActiveDatabase=Standby,Secondary!M1013,Primary!M1013)</f>
        <v>0</v>
      </c>
      <c r="N1013" s="10">
        <f>IF(ActiveDatabase=Standby,Secondary!N1013,Primary!N1013)</f>
        <v>0</v>
      </c>
      <c r="O1013" s="10">
        <f>IF(ActiveDatabase=Standby,Secondary!O1013,Primary!O1013)</f>
        <v>0</v>
      </c>
      <c r="P1013" s="10">
        <f>IF(ActiveDatabase=Standby,Secondary!P1013,Primary!P1013)</f>
        <v>0</v>
      </c>
      <c r="Q1013" s="6">
        <f>IF(ActiveDatabase=Standby,Secondary!Q1013,Primary!Q1013)</f>
        <v>0</v>
      </c>
      <c r="R1013" s="18">
        <f>IF(ActiveDatabase=Standby,Secondary!R1013,Primary!R1013)</f>
        <v>0</v>
      </c>
      <c r="S1013" s="19">
        <f>IF(ActiveDatabase=Standby,Secondary!S1013,Primary!S1013)</f>
        <v>0</v>
      </c>
      <c r="T1013" s="10">
        <f>IF(ActiveDatabase=Standby,Secondary!T1013,Primary!T1013)</f>
        <v>0</v>
      </c>
      <c r="U1013" s="10">
        <f>IF(ActiveDatabase=Standby,Secondary!U1013,Primary!U1013)</f>
        <v>0</v>
      </c>
      <c r="V1013" s="10">
        <f>IF(ActiveDatabase=Standby,Secondary!V1013,Primary!V1013)</f>
        <v>0</v>
      </c>
      <c r="W1013" s="6">
        <f>IF(ActiveDatabase=Standby,Secondary!W1013,Primary!W1013)</f>
        <v>0</v>
      </c>
      <c r="X1013" s="6">
        <f>IF(ActiveDatabase=Standby,Secondary!X1013,Primary!X1013)</f>
        <v>0</v>
      </c>
      <c r="Y1013" s="12">
        <f>IF(ActiveDatabase=Standby,Secondary!Y1013,Primary!Y1671)</f>
        <v>0</v>
      </c>
      <c r="Z1013" s="12">
        <f>IF(ActiveDatabase=Standby,Secondary!Z1013,Primary!Z1671)</f>
        <v>0</v>
      </c>
      <c r="AA1013" s="9">
        <f>IF(ActiveDatabase=Standby,Secondary!AA1013,Primary!AA1671)</f>
        <v>0</v>
      </c>
      <c r="AB1013" s="12"/>
      <c r="AC1013" s="6"/>
      <c r="AD1013" s="6"/>
      <c r="AE1013" s="7"/>
      <c r="AF1013" s="7"/>
      <c r="AG1013" s="7"/>
      <c r="AH1013" s="7"/>
      <c r="AI1013" s="7"/>
      <c r="AJ1013" s="7"/>
      <c r="AK1013" s="7"/>
      <c r="AL1013" s="7"/>
      <c r="AM1013" s="7"/>
      <c r="AN1013" s="7"/>
      <c r="AO1013" s="6"/>
      <c r="AP1013" s="7"/>
      <c r="AQ1013" s="7"/>
      <c r="AR1013" s="6"/>
      <c r="AS1013" s="7"/>
      <c r="AT1013" s="7"/>
      <c r="AU1013" s="7"/>
      <c r="AV1013" s="7"/>
      <c r="AW1013" s="7"/>
      <c r="AX1013" s="7"/>
      <c r="AY1013" s="7"/>
      <c r="AZ1013" s="7"/>
      <c r="BA1013" s="7"/>
      <c r="BB1013" s="7"/>
      <c r="BC1013" s="7"/>
      <c r="BD1013" s="7"/>
      <c r="BE1013" s="7"/>
      <c r="BF1013" s="7"/>
      <c r="BG1013" s="7"/>
    </row>
    <row r="1014" customHeight="1" spans="1:59">
      <c r="A1014" s="9">
        <f>IF(ActiveDatabase=Standby,Secondary!A1014,Primary!A1014)</f>
        <v>0</v>
      </c>
      <c r="B1014" s="5">
        <f>IF(ActiveDatabase=Standby,Secondary!B1014,Primary!B1014)</f>
        <v>0</v>
      </c>
      <c r="C1014" s="5">
        <f>IF(ActiveDatabase=Standby,Secondary!C1014,Primary!C1014)</f>
        <v>0</v>
      </c>
      <c r="D1014" s="5">
        <f>IF(ActiveDatabase=Standby,Secondary!D1014,Primary!D1014)</f>
        <v>0</v>
      </c>
      <c r="E1014" s="6">
        <f>IF(ActiveDatabase=Standby,Secondary!E1014,Primary!E1014)</f>
        <v>0</v>
      </c>
      <c r="F1014" s="10">
        <f>IF(ActiveDatabase=Standby,Secondary!F1014,Primary!F1014)</f>
        <v>0</v>
      </c>
      <c r="G1014" s="10">
        <f>IF(ActiveDatabase=Standby,Secondary!G1014,Primary!G1014)</f>
        <v>0</v>
      </c>
      <c r="H1014" s="10">
        <f>IF(ActiveDatabase=Standby,Secondary!H1014,Primary!H1014)</f>
        <v>0</v>
      </c>
      <c r="I1014" s="13">
        <f>IF(ActiveDatabase=Standby,Secondary!I1014,Primary!I1014)</f>
        <v>0</v>
      </c>
      <c r="J1014" s="13">
        <f>IF(ActiveDatabase=Standby,Secondary!J1014,Primary!J1014)</f>
        <v>0</v>
      </c>
      <c r="K1014" s="13">
        <f>IF(ActiveDatabase=Standby,Secondary!K1014,Primary!K1014)</f>
        <v>0</v>
      </c>
      <c r="L1014" s="13">
        <f>IF(ActiveDatabase=Standby,Secondary!L1014,Primary!L1014)</f>
        <v>0</v>
      </c>
      <c r="M1014" s="7">
        <f>IF(ActiveDatabase=Standby,Secondary!M1014,Primary!M1014)</f>
        <v>0</v>
      </c>
      <c r="N1014" s="10">
        <f>IF(ActiveDatabase=Standby,Secondary!N1014,Primary!N1014)</f>
        <v>0</v>
      </c>
      <c r="O1014" s="10">
        <f>IF(ActiveDatabase=Standby,Secondary!O1014,Primary!O1014)</f>
        <v>0</v>
      </c>
      <c r="P1014" s="10">
        <f>IF(ActiveDatabase=Standby,Secondary!P1014,Primary!P1014)</f>
        <v>0</v>
      </c>
      <c r="Q1014" s="6">
        <f>IF(ActiveDatabase=Standby,Secondary!Q1014,Primary!Q1014)</f>
        <v>0</v>
      </c>
      <c r="R1014" s="18">
        <f>IF(ActiveDatabase=Standby,Secondary!R1014,Primary!R1014)</f>
        <v>0</v>
      </c>
      <c r="S1014" s="19">
        <f>IF(ActiveDatabase=Standby,Secondary!S1014,Primary!S1014)</f>
        <v>0</v>
      </c>
      <c r="T1014" s="10">
        <f>IF(ActiveDatabase=Standby,Secondary!T1014,Primary!T1014)</f>
        <v>0</v>
      </c>
      <c r="U1014" s="10">
        <f>IF(ActiveDatabase=Standby,Secondary!U1014,Primary!U1014)</f>
        <v>0</v>
      </c>
      <c r="V1014" s="10">
        <f>IF(ActiveDatabase=Standby,Secondary!V1014,Primary!V1014)</f>
        <v>0</v>
      </c>
      <c r="W1014" s="6">
        <f>IF(ActiveDatabase=Standby,Secondary!W1014,Primary!W1014)</f>
        <v>0</v>
      </c>
      <c r="X1014" s="6">
        <f>IF(ActiveDatabase=Standby,Secondary!X1014,Primary!X1014)</f>
        <v>0</v>
      </c>
      <c r="Y1014" s="12">
        <f>IF(ActiveDatabase=Standby,Secondary!Y1014,Primary!Y1672)</f>
        <v>0</v>
      </c>
      <c r="Z1014" s="12">
        <f>IF(ActiveDatabase=Standby,Secondary!Z1014,Primary!Z1672)</f>
        <v>0</v>
      </c>
      <c r="AA1014" s="9">
        <f>IF(ActiveDatabase=Standby,Secondary!AA1014,Primary!AA1672)</f>
        <v>0</v>
      </c>
      <c r="AB1014" s="12"/>
      <c r="AC1014" s="6"/>
      <c r="AD1014" s="6"/>
      <c r="AE1014" s="7"/>
      <c r="AF1014" s="7"/>
      <c r="AG1014" s="7"/>
      <c r="AH1014" s="7"/>
      <c r="AI1014" s="7"/>
      <c r="AJ1014" s="7"/>
      <c r="AK1014" s="7"/>
      <c r="AL1014" s="7"/>
      <c r="AM1014" s="7"/>
      <c r="AN1014" s="7"/>
      <c r="AO1014" s="6"/>
      <c r="AP1014" s="7"/>
      <c r="AQ1014" s="7"/>
      <c r="AR1014" s="6"/>
      <c r="AS1014" s="7"/>
      <c r="AT1014" s="7"/>
      <c r="AU1014" s="7"/>
      <c r="AV1014" s="7"/>
      <c r="AW1014" s="7"/>
      <c r="AX1014" s="7"/>
      <c r="AY1014" s="7"/>
      <c r="AZ1014" s="7"/>
      <c r="BA1014" s="7"/>
      <c r="BB1014" s="7"/>
      <c r="BC1014" s="7"/>
      <c r="BD1014" s="7"/>
      <c r="BE1014" s="7"/>
      <c r="BF1014" s="7"/>
      <c r="BG1014" s="7"/>
    </row>
    <row r="1015" customHeight="1" spans="1:59">
      <c r="A1015" s="9">
        <f>IF(ActiveDatabase=Standby,Secondary!A1015,Primary!A1015)</f>
        <v>0</v>
      </c>
      <c r="B1015" s="5">
        <f>IF(ActiveDatabase=Standby,Secondary!B1015,Primary!B1015)</f>
        <v>0</v>
      </c>
      <c r="C1015" s="5">
        <f>IF(ActiveDatabase=Standby,Secondary!C1015,Primary!C1015)</f>
        <v>0</v>
      </c>
      <c r="D1015" s="5">
        <f>IF(ActiveDatabase=Standby,Secondary!D1015,Primary!D1015)</f>
        <v>0</v>
      </c>
      <c r="E1015" s="6">
        <f>IF(ActiveDatabase=Standby,Secondary!E1015,Primary!E1015)</f>
        <v>0</v>
      </c>
      <c r="F1015" s="10">
        <f>IF(ActiveDatabase=Standby,Secondary!F1015,Primary!F1015)</f>
        <v>0</v>
      </c>
      <c r="G1015" s="10">
        <f>IF(ActiveDatabase=Standby,Secondary!G1015,Primary!G1015)</f>
        <v>0</v>
      </c>
      <c r="H1015" s="10">
        <f>IF(ActiveDatabase=Standby,Secondary!H1015,Primary!H1015)</f>
        <v>0</v>
      </c>
      <c r="I1015" s="13">
        <f>IF(ActiveDatabase=Standby,Secondary!I1015,Primary!I1015)</f>
        <v>0</v>
      </c>
      <c r="J1015" s="13">
        <f>IF(ActiveDatabase=Standby,Secondary!J1015,Primary!J1015)</f>
        <v>0</v>
      </c>
      <c r="K1015" s="13">
        <f>IF(ActiveDatabase=Standby,Secondary!K1015,Primary!K1015)</f>
        <v>0</v>
      </c>
      <c r="L1015" s="13">
        <f>IF(ActiveDatabase=Standby,Secondary!L1015,Primary!L1015)</f>
        <v>0</v>
      </c>
      <c r="M1015" s="7">
        <f>IF(ActiveDatabase=Standby,Secondary!M1015,Primary!M1015)</f>
        <v>0</v>
      </c>
      <c r="N1015" s="10">
        <f>IF(ActiveDatabase=Standby,Secondary!N1015,Primary!N1015)</f>
        <v>0</v>
      </c>
      <c r="O1015" s="10">
        <f>IF(ActiveDatabase=Standby,Secondary!O1015,Primary!O1015)</f>
        <v>0</v>
      </c>
      <c r="P1015" s="10">
        <f>IF(ActiveDatabase=Standby,Secondary!P1015,Primary!P1015)</f>
        <v>0</v>
      </c>
      <c r="Q1015" s="6">
        <f>IF(ActiveDatabase=Standby,Secondary!Q1015,Primary!Q1015)</f>
        <v>0</v>
      </c>
      <c r="R1015" s="18">
        <f>IF(ActiveDatabase=Standby,Secondary!R1015,Primary!R1015)</f>
        <v>0</v>
      </c>
      <c r="S1015" s="19">
        <f>IF(ActiveDatabase=Standby,Secondary!S1015,Primary!S1015)</f>
        <v>0</v>
      </c>
      <c r="T1015" s="10">
        <f>IF(ActiveDatabase=Standby,Secondary!T1015,Primary!T1015)</f>
        <v>0</v>
      </c>
      <c r="U1015" s="10">
        <f>IF(ActiveDatabase=Standby,Secondary!U1015,Primary!U1015)</f>
        <v>0</v>
      </c>
      <c r="V1015" s="10">
        <f>IF(ActiveDatabase=Standby,Secondary!V1015,Primary!V1015)</f>
        <v>0</v>
      </c>
      <c r="W1015" s="6">
        <f>IF(ActiveDatabase=Standby,Secondary!W1015,Primary!W1015)</f>
        <v>0</v>
      </c>
      <c r="X1015" s="6">
        <f>IF(ActiveDatabase=Standby,Secondary!X1015,Primary!X1015)</f>
        <v>0</v>
      </c>
      <c r="Y1015" s="12">
        <f>IF(ActiveDatabase=Standby,Secondary!Y1015,Primary!Y1673)</f>
        <v>0</v>
      </c>
      <c r="Z1015" s="12">
        <f>IF(ActiveDatabase=Standby,Secondary!Z1015,Primary!Z1673)</f>
        <v>0</v>
      </c>
      <c r="AA1015" s="9">
        <f>IF(ActiveDatabase=Standby,Secondary!AA1015,Primary!AA1673)</f>
        <v>0</v>
      </c>
      <c r="AB1015" s="12"/>
      <c r="AC1015" s="6"/>
      <c r="AD1015" s="6"/>
      <c r="AE1015" s="7"/>
      <c r="AF1015" s="7"/>
      <c r="AG1015" s="7"/>
      <c r="AH1015" s="7"/>
      <c r="AI1015" s="7"/>
      <c r="AJ1015" s="7"/>
      <c r="AK1015" s="7"/>
      <c r="AL1015" s="7"/>
      <c r="AM1015" s="7"/>
      <c r="AN1015" s="7"/>
      <c r="AO1015" s="6"/>
      <c r="AP1015" s="7"/>
      <c r="AQ1015" s="7"/>
      <c r="AR1015" s="6"/>
      <c r="AS1015" s="7"/>
      <c r="AT1015" s="7"/>
      <c r="AU1015" s="7"/>
      <c r="AV1015" s="7"/>
      <c r="AW1015" s="7"/>
      <c r="AX1015" s="7"/>
      <c r="AY1015" s="7"/>
      <c r="AZ1015" s="7"/>
      <c r="BA1015" s="7"/>
      <c r="BB1015" s="7"/>
      <c r="BC1015" s="7"/>
      <c r="BD1015" s="7"/>
      <c r="BE1015" s="7"/>
      <c r="BF1015" s="7"/>
      <c r="BG1015" s="7"/>
    </row>
    <row r="1016" customHeight="1" spans="1:59">
      <c r="A1016" s="9">
        <f>IF(ActiveDatabase=Standby,Secondary!A1016,Primary!A1016)</f>
        <v>0</v>
      </c>
      <c r="B1016" s="5">
        <f>IF(ActiveDatabase=Standby,Secondary!B1016,Primary!B1016)</f>
        <v>0</v>
      </c>
      <c r="C1016" s="5">
        <f>IF(ActiveDatabase=Standby,Secondary!C1016,Primary!C1016)</f>
        <v>0</v>
      </c>
      <c r="D1016" s="5">
        <f>IF(ActiveDatabase=Standby,Secondary!D1016,Primary!D1016)</f>
        <v>0</v>
      </c>
      <c r="E1016" s="6">
        <f>IF(ActiveDatabase=Standby,Secondary!E1016,Primary!E1016)</f>
        <v>0</v>
      </c>
      <c r="F1016" s="10">
        <f>IF(ActiveDatabase=Standby,Secondary!F1016,Primary!F1016)</f>
        <v>0</v>
      </c>
      <c r="G1016" s="10">
        <f>IF(ActiveDatabase=Standby,Secondary!G1016,Primary!G1016)</f>
        <v>0</v>
      </c>
      <c r="H1016" s="10">
        <f>IF(ActiveDatabase=Standby,Secondary!H1016,Primary!H1016)</f>
        <v>0</v>
      </c>
      <c r="I1016" s="13">
        <f>IF(ActiveDatabase=Standby,Secondary!I1016,Primary!I1016)</f>
        <v>0</v>
      </c>
      <c r="J1016" s="13">
        <f>IF(ActiveDatabase=Standby,Secondary!J1016,Primary!J1016)</f>
        <v>0</v>
      </c>
      <c r="K1016" s="13">
        <f>IF(ActiveDatabase=Standby,Secondary!K1016,Primary!K1016)</f>
        <v>0</v>
      </c>
      <c r="L1016" s="13">
        <f>IF(ActiveDatabase=Standby,Secondary!L1016,Primary!L1016)</f>
        <v>0</v>
      </c>
      <c r="M1016" s="7">
        <f>IF(ActiveDatabase=Standby,Secondary!M1016,Primary!M1016)</f>
        <v>0</v>
      </c>
      <c r="N1016" s="10">
        <f>IF(ActiveDatabase=Standby,Secondary!N1016,Primary!N1016)</f>
        <v>0</v>
      </c>
      <c r="O1016" s="10">
        <f>IF(ActiveDatabase=Standby,Secondary!O1016,Primary!O1016)</f>
        <v>0</v>
      </c>
      <c r="P1016" s="10">
        <f>IF(ActiveDatabase=Standby,Secondary!P1016,Primary!P1016)</f>
        <v>0</v>
      </c>
      <c r="Q1016" s="6">
        <f>IF(ActiveDatabase=Standby,Secondary!Q1016,Primary!Q1016)</f>
        <v>0</v>
      </c>
      <c r="R1016" s="18">
        <f>IF(ActiveDatabase=Standby,Secondary!R1016,Primary!R1016)</f>
        <v>0</v>
      </c>
      <c r="S1016" s="19">
        <f>IF(ActiveDatabase=Standby,Secondary!S1016,Primary!S1016)</f>
        <v>0</v>
      </c>
      <c r="T1016" s="10">
        <f>IF(ActiveDatabase=Standby,Secondary!T1016,Primary!T1016)</f>
        <v>0</v>
      </c>
      <c r="U1016" s="10">
        <f>IF(ActiveDatabase=Standby,Secondary!U1016,Primary!U1016)</f>
        <v>0</v>
      </c>
      <c r="V1016" s="10">
        <f>IF(ActiveDatabase=Standby,Secondary!V1016,Primary!V1016)</f>
        <v>0</v>
      </c>
      <c r="W1016" s="6">
        <f>IF(ActiveDatabase=Standby,Secondary!W1016,Primary!W1016)</f>
        <v>0</v>
      </c>
      <c r="X1016" s="6">
        <f>IF(ActiveDatabase=Standby,Secondary!X1016,Primary!X1016)</f>
        <v>0</v>
      </c>
      <c r="Y1016" s="12">
        <f>IF(ActiveDatabase=Standby,Secondary!Y1016,Primary!Y1674)</f>
        <v>0</v>
      </c>
      <c r="Z1016" s="12">
        <f>IF(ActiveDatabase=Standby,Secondary!Z1016,Primary!Z1674)</f>
        <v>0</v>
      </c>
      <c r="AA1016" s="9">
        <f>IF(ActiveDatabase=Standby,Secondary!AA1016,Primary!AA1674)</f>
        <v>0</v>
      </c>
      <c r="AB1016" s="12"/>
      <c r="AC1016" s="6"/>
      <c r="AD1016" s="6"/>
      <c r="AE1016" s="7"/>
      <c r="AF1016" s="7"/>
      <c r="AG1016" s="7"/>
      <c r="AH1016" s="7"/>
      <c r="AI1016" s="7"/>
      <c r="AJ1016" s="7"/>
      <c r="AK1016" s="7"/>
      <c r="AL1016" s="7"/>
      <c r="AM1016" s="7"/>
      <c r="AN1016" s="7"/>
      <c r="AO1016" s="6"/>
      <c r="AP1016" s="7"/>
      <c r="AQ1016" s="7"/>
      <c r="AR1016" s="6"/>
      <c r="AS1016" s="7"/>
      <c r="AT1016" s="7"/>
      <c r="AU1016" s="7"/>
      <c r="AV1016" s="7"/>
      <c r="AW1016" s="7"/>
      <c r="AX1016" s="7"/>
      <c r="AY1016" s="7"/>
      <c r="AZ1016" s="7"/>
      <c r="BA1016" s="7"/>
      <c r="BB1016" s="7"/>
      <c r="BC1016" s="7"/>
      <c r="BD1016" s="7"/>
      <c r="BE1016" s="7"/>
      <c r="BF1016" s="7"/>
      <c r="BG1016" s="7"/>
    </row>
    <row r="1017" customHeight="1" spans="1:59">
      <c r="A1017" s="9">
        <f>IF(ActiveDatabase=Standby,Secondary!A1017,Primary!A1017)</f>
        <v>0</v>
      </c>
      <c r="B1017" s="5">
        <f>IF(ActiveDatabase=Standby,Secondary!B1017,Primary!B1017)</f>
        <v>0</v>
      </c>
      <c r="C1017" s="5">
        <f>IF(ActiveDatabase=Standby,Secondary!C1017,Primary!C1017)</f>
        <v>0</v>
      </c>
      <c r="D1017" s="5">
        <f>IF(ActiveDatabase=Standby,Secondary!D1017,Primary!D1017)</f>
        <v>0</v>
      </c>
      <c r="E1017" s="6">
        <f>IF(ActiveDatabase=Standby,Secondary!E1017,Primary!E1017)</f>
        <v>0</v>
      </c>
      <c r="F1017" s="10">
        <f>IF(ActiveDatabase=Standby,Secondary!F1017,Primary!F1017)</f>
        <v>0</v>
      </c>
      <c r="G1017" s="10">
        <f>IF(ActiveDatabase=Standby,Secondary!G1017,Primary!G1017)</f>
        <v>0</v>
      </c>
      <c r="H1017" s="10">
        <f>IF(ActiveDatabase=Standby,Secondary!H1017,Primary!H1017)</f>
        <v>0</v>
      </c>
      <c r="I1017" s="13">
        <f>IF(ActiveDatabase=Standby,Secondary!I1017,Primary!I1017)</f>
        <v>0</v>
      </c>
      <c r="J1017" s="13">
        <f>IF(ActiveDatabase=Standby,Secondary!J1017,Primary!J1017)</f>
        <v>0</v>
      </c>
      <c r="K1017" s="13">
        <f>IF(ActiveDatabase=Standby,Secondary!K1017,Primary!K1017)</f>
        <v>0</v>
      </c>
      <c r="L1017" s="13">
        <f>IF(ActiveDatabase=Standby,Secondary!L1017,Primary!L1017)</f>
        <v>0</v>
      </c>
      <c r="M1017" s="7">
        <f>IF(ActiveDatabase=Standby,Secondary!M1017,Primary!M1017)</f>
        <v>0</v>
      </c>
      <c r="N1017" s="10">
        <f>IF(ActiveDatabase=Standby,Secondary!N1017,Primary!N1017)</f>
        <v>0</v>
      </c>
      <c r="O1017" s="10">
        <f>IF(ActiveDatabase=Standby,Secondary!O1017,Primary!O1017)</f>
        <v>0</v>
      </c>
      <c r="P1017" s="10">
        <f>IF(ActiveDatabase=Standby,Secondary!P1017,Primary!P1017)</f>
        <v>0</v>
      </c>
      <c r="Q1017" s="6">
        <f>IF(ActiveDatabase=Standby,Secondary!Q1017,Primary!Q1017)</f>
        <v>0</v>
      </c>
      <c r="R1017" s="18">
        <f>IF(ActiveDatabase=Standby,Secondary!R1017,Primary!R1017)</f>
        <v>0</v>
      </c>
      <c r="S1017" s="19">
        <f>IF(ActiveDatabase=Standby,Secondary!S1017,Primary!S1017)</f>
        <v>0</v>
      </c>
      <c r="T1017" s="10">
        <f>IF(ActiveDatabase=Standby,Secondary!T1017,Primary!T1017)</f>
        <v>0</v>
      </c>
      <c r="U1017" s="10">
        <f>IF(ActiveDatabase=Standby,Secondary!U1017,Primary!U1017)</f>
        <v>0</v>
      </c>
      <c r="V1017" s="10">
        <f>IF(ActiveDatabase=Standby,Secondary!V1017,Primary!V1017)</f>
        <v>0</v>
      </c>
      <c r="W1017" s="6">
        <f>IF(ActiveDatabase=Standby,Secondary!W1017,Primary!W1017)</f>
        <v>0</v>
      </c>
      <c r="X1017" s="6">
        <f>IF(ActiveDatabase=Standby,Secondary!X1017,Primary!X1017)</f>
        <v>0</v>
      </c>
      <c r="Y1017" s="12">
        <f>IF(ActiveDatabase=Standby,Secondary!Y1017,Primary!Y1675)</f>
        <v>0</v>
      </c>
      <c r="Z1017" s="12">
        <f>IF(ActiveDatabase=Standby,Secondary!Z1017,Primary!Z1675)</f>
        <v>0</v>
      </c>
      <c r="AA1017" s="9">
        <f>IF(ActiveDatabase=Standby,Secondary!AA1017,Primary!AA1675)</f>
        <v>0</v>
      </c>
      <c r="AB1017" s="12"/>
      <c r="AC1017" s="6"/>
      <c r="AD1017" s="6"/>
      <c r="AE1017" s="7"/>
      <c r="AF1017" s="7"/>
      <c r="AG1017" s="7"/>
      <c r="AH1017" s="7"/>
      <c r="AI1017" s="7"/>
      <c r="AJ1017" s="7"/>
      <c r="AK1017" s="7"/>
      <c r="AL1017" s="7"/>
      <c r="AM1017" s="7"/>
      <c r="AN1017" s="7"/>
      <c r="AO1017" s="6"/>
      <c r="AP1017" s="7"/>
      <c r="AQ1017" s="7"/>
      <c r="AR1017" s="6"/>
      <c r="AS1017" s="7"/>
      <c r="AT1017" s="7"/>
      <c r="AU1017" s="7"/>
      <c r="AV1017" s="7"/>
      <c r="AW1017" s="7"/>
      <c r="AX1017" s="7"/>
      <c r="AY1017" s="7"/>
      <c r="AZ1017" s="7"/>
      <c r="BA1017" s="7"/>
      <c r="BB1017" s="7"/>
      <c r="BC1017" s="7"/>
      <c r="BD1017" s="7"/>
      <c r="BE1017" s="7"/>
      <c r="BF1017" s="7"/>
      <c r="BG1017" s="7"/>
    </row>
    <row r="1018" customHeight="1" spans="1:59">
      <c r="A1018" s="9">
        <f>IF(ActiveDatabase=Standby,Secondary!A1018,Primary!A1018)</f>
        <v>0</v>
      </c>
      <c r="B1018" s="5">
        <f>IF(ActiveDatabase=Standby,Secondary!B1018,Primary!B1018)</f>
        <v>0</v>
      </c>
      <c r="C1018" s="5">
        <f>IF(ActiveDatabase=Standby,Secondary!C1018,Primary!C1018)</f>
        <v>0</v>
      </c>
      <c r="D1018" s="5">
        <f>IF(ActiveDatabase=Standby,Secondary!D1018,Primary!D1018)</f>
        <v>0</v>
      </c>
      <c r="E1018" s="6">
        <f>IF(ActiveDatabase=Standby,Secondary!E1018,Primary!E1018)</f>
        <v>0</v>
      </c>
      <c r="F1018" s="10">
        <f>IF(ActiveDatabase=Standby,Secondary!F1018,Primary!F1018)</f>
        <v>0</v>
      </c>
      <c r="G1018" s="10">
        <f>IF(ActiveDatabase=Standby,Secondary!G1018,Primary!G1018)</f>
        <v>0</v>
      </c>
      <c r="H1018" s="10">
        <f>IF(ActiveDatabase=Standby,Secondary!H1018,Primary!H1018)</f>
        <v>0</v>
      </c>
      <c r="I1018" s="13">
        <f>IF(ActiveDatabase=Standby,Secondary!I1018,Primary!I1018)</f>
        <v>0</v>
      </c>
      <c r="J1018" s="13">
        <f>IF(ActiveDatabase=Standby,Secondary!J1018,Primary!J1018)</f>
        <v>0</v>
      </c>
      <c r="K1018" s="13">
        <f>IF(ActiveDatabase=Standby,Secondary!K1018,Primary!K1018)</f>
        <v>0</v>
      </c>
      <c r="L1018" s="13">
        <f>IF(ActiveDatabase=Standby,Secondary!L1018,Primary!L1018)</f>
        <v>0</v>
      </c>
      <c r="M1018" s="7">
        <f>IF(ActiveDatabase=Standby,Secondary!M1018,Primary!M1018)</f>
        <v>0</v>
      </c>
      <c r="N1018" s="10">
        <f>IF(ActiveDatabase=Standby,Secondary!N1018,Primary!N1018)</f>
        <v>0</v>
      </c>
      <c r="O1018" s="10">
        <f>IF(ActiveDatabase=Standby,Secondary!O1018,Primary!O1018)</f>
        <v>0</v>
      </c>
      <c r="P1018" s="10">
        <f>IF(ActiveDatabase=Standby,Secondary!P1018,Primary!P1018)</f>
        <v>0</v>
      </c>
      <c r="Q1018" s="6">
        <f>IF(ActiveDatabase=Standby,Secondary!Q1018,Primary!Q1018)</f>
        <v>0</v>
      </c>
      <c r="R1018" s="18">
        <f>IF(ActiveDatabase=Standby,Secondary!R1018,Primary!R1018)</f>
        <v>0</v>
      </c>
      <c r="S1018" s="19">
        <f>IF(ActiveDatabase=Standby,Secondary!S1018,Primary!S1018)</f>
        <v>0</v>
      </c>
      <c r="T1018" s="10">
        <f>IF(ActiveDatabase=Standby,Secondary!T1018,Primary!T1018)</f>
        <v>0</v>
      </c>
      <c r="U1018" s="10">
        <f>IF(ActiveDatabase=Standby,Secondary!U1018,Primary!U1018)</f>
        <v>0</v>
      </c>
      <c r="V1018" s="10">
        <f>IF(ActiveDatabase=Standby,Secondary!V1018,Primary!V1018)</f>
        <v>0</v>
      </c>
      <c r="W1018" s="6">
        <f>IF(ActiveDatabase=Standby,Secondary!W1018,Primary!W1018)</f>
        <v>0</v>
      </c>
      <c r="X1018" s="6">
        <f>IF(ActiveDatabase=Standby,Secondary!X1018,Primary!X1018)</f>
        <v>0</v>
      </c>
      <c r="Y1018" s="12">
        <f>IF(ActiveDatabase=Standby,Secondary!Y1018,Primary!Y1676)</f>
        <v>0</v>
      </c>
      <c r="Z1018" s="12">
        <f>IF(ActiveDatabase=Standby,Secondary!Z1018,Primary!Z1676)</f>
        <v>0</v>
      </c>
      <c r="AA1018" s="9">
        <f>IF(ActiveDatabase=Standby,Secondary!AA1018,Primary!AA1676)</f>
        <v>0</v>
      </c>
      <c r="AB1018" s="12"/>
      <c r="AC1018" s="6"/>
      <c r="AD1018" s="6"/>
      <c r="AE1018" s="7"/>
      <c r="AF1018" s="7"/>
      <c r="AG1018" s="7"/>
      <c r="AH1018" s="7"/>
      <c r="AI1018" s="7"/>
      <c r="AJ1018" s="7"/>
      <c r="AK1018" s="7"/>
      <c r="AL1018" s="7"/>
      <c r="AM1018" s="7"/>
      <c r="AN1018" s="7"/>
      <c r="AO1018" s="6"/>
      <c r="AP1018" s="7"/>
      <c r="AQ1018" s="7"/>
      <c r="AR1018" s="6"/>
      <c r="AS1018" s="7"/>
      <c r="AT1018" s="7"/>
      <c r="AU1018" s="7"/>
      <c r="AV1018" s="7"/>
      <c r="AW1018" s="7"/>
      <c r="AX1018" s="7"/>
      <c r="AY1018" s="7"/>
      <c r="AZ1018" s="7"/>
      <c r="BA1018" s="7"/>
      <c r="BB1018" s="7"/>
      <c r="BC1018" s="7"/>
      <c r="BD1018" s="7"/>
      <c r="BE1018" s="7"/>
      <c r="BF1018" s="7"/>
      <c r="BG1018" s="7"/>
    </row>
    <row r="1019" customHeight="1" spans="1:59">
      <c r="A1019" s="9">
        <f>IF(ActiveDatabase=Standby,Secondary!A1019,Primary!A1019)</f>
        <v>0</v>
      </c>
      <c r="B1019" s="5">
        <f>IF(ActiveDatabase=Standby,Secondary!B1019,Primary!B1019)</f>
        <v>0</v>
      </c>
      <c r="C1019" s="5">
        <f>IF(ActiveDatabase=Standby,Secondary!C1019,Primary!C1019)</f>
        <v>0</v>
      </c>
      <c r="D1019" s="5">
        <f>IF(ActiveDatabase=Standby,Secondary!D1019,Primary!D1019)</f>
        <v>0</v>
      </c>
      <c r="E1019" s="6">
        <f>IF(ActiveDatabase=Standby,Secondary!E1019,Primary!E1019)</f>
        <v>0</v>
      </c>
      <c r="F1019" s="10">
        <f>IF(ActiveDatabase=Standby,Secondary!F1019,Primary!F1019)</f>
        <v>0</v>
      </c>
      <c r="G1019" s="10">
        <f>IF(ActiveDatabase=Standby,Secondary!G1019,Primary!G1019)</f>
        <v>0</v>
      </c>
      <c r="H1019" s="10">
        <f>IF(ActiveDatabase=Standby,Secondary!H1019,Primary!H1019)</f>
        <v>0</v>
      </c>
      <c r="I1019" s="13">
        <f>IF(ActiveDatabase=Standby,Secondary!I1019,Primary!I1019)</f>
        <v>0</v>
      </c>
      <c r="J1019" s="13">
        <f>IF(ActiveDatabase=Standby,Secondary!J1019,Primary!J1019)</f>
        <v>0</v>
      </c>
      <c r="K1019" s="13">
        <f>IF(ActiveDatabase=Standby,Secondary!K1019,Primary!K1019)</f>
        <v>0</v>
      </c>
      <c r="L1019" s="13">
        <f>IF(ActiveDatabase=Standby,Secondary!L1019,Primary!L1019)</f>
        <v>0</v>
      </c>
      <c r="M1019" s="7">
        <f>IF(ActiveDatabase=Standby,Secondary!M1019,Primary!M1019)</f>
        <v>0</v>
      </c>
      <c r="N1019" s="10">
        <f>IF(ActiveDatabase=Standby,Secondary!N1019,Primary!N1019)</f>
        <v>0</v>
      </c>
      <c r="O1019" s="10">
        <f>IF(ActiveDatabase=Standby,Secondary!O1019,Primary!O1019)</f>
        <v>0</v>
      </c>
      <c r="P1019" s="10">
        <f>IF(ActiveDatabase=Standby,Secondary!P1019,Primary!P1019)</f>
        <v>0</v>
      </c>
      <c r="Q1019" s="6">
        <f>IF(ActiveDatabase=Standby,Secondary!Q1019,Primary!Q1019)</f>
        <v>0</v>
      </c>
      <c r="R1019" s="18">
        <f>IF(ActiveDatabase=Standby,Secondary!R1019,Primary!R1019)</f>
        <v>0</v>
      </c>
      <c r="S1019" s="19">
        <f>IF(ActiveDatabase=Standby,Secondary!S1019,Primary!S1019)</f>
        <v>0</v>
      </c>
      <c r="T1019" s="10">
        <f>IF(ActiveDatabase=Standby,Secondary!T1019,Primary!T1019)</f>
        <v>0</v>
      </c>
      <c r="U1019" s="10">
        <f>IF(ActiveDatabase=Standby,Secondary!U1019,Primary!U1019)</f>
        <v>0</v>
      </c>
      <c r="V1019" s="10">
        <f>IF(ActiveDatabase=Standby,Secondary!V1019,Primary!V1019)</f>
        <v>0</v>
      </c>
      <c r="W1019" s="6">
        <f>IF(ActiveDatabase=Standby,Secondary!W1019,Primary!W1019)</f>
        <v>0</v>
      </c>
      <c r="X1019" s="6">
        <f>IF(ActiveDatabase=Standby,Secondary!X1019,Primary!X1019)</f>
        <v>0</v>
      </c>
      <c r="Y1019" s="12">
        <f>IF(ActiveDatabase=Standby,Secondary!Y1019,Primary!Y1677)</f>
        <v>0</v>
      </c>
      <c r="Z1019" s="12">
        <f>IF(ActiveDatabase=Standby,Secondary!Z1019,Primary!Z1677)</f>
        <v>0</v>
      </c>
      <c r="AA1019" s="9">
        <f>IF(ActiveDatabase=Standby,Secondary!AA1019,Primary!AA1677)</f>
        <v>0</v>
      </c>
      <c r="AB1019" s="12"/>
      <c r="AC1019" s="6"/>
      <c r="AD1019" s="6"/>
      <c r="AE1019" s="7"/>
      <c r="AF1019" s="7"/>
      <c r="AG1019" s="7"/>
      <c r="AH1019" s="7"/>
      <c r="AI1019" s="7"/>
      <c r="AJ1019" s="7"/>
      <c r="AK1019" s="7"/>
      <c r="AL1019" s="7"/>
      <c r="AM1019" s="7"/>
      <c r="AN1019" s="7"/>
      <c r="AO1019" s="6"/>
      <c r="AP1019" s="7"/>
      <c r="AQ1019" s="7"/>
      <c r="AR1019" s="6"/>
      <c r="AS1019" s="7"/>
      <c r="AT1019" s="7"/>
      <c r="AU1019" s="7"/>
      <c r="AV1019" s="7"/>
      <c r="AW1019" s="7"/>
      <c r="AX1019" s="7"/>
      <c r="AY1019" s="7"/>
      <c r="AZ1019" s="7"/>
      <c r="BA1019" s="7"/>
      <c r="BB1019" s="7"/>
      <c r="BC1019" s="7"/>
      <c r="BD1019" s="7"/>
      <c r="BE1019" s="7"/>
      <c r="BF1019" s="7"/>
      <c r="BG1019" s="7"/>
    </row>
    <row r="1020" customHeight="1" spans="1:59">
      <c r="A1020" s="9">
        <f>IF(ActiveDatabase=Standby,Secondary!A1020,Primary!A1020)</f>
        <v>0</v>
      </c>
      <c r="B1020" s="5">
        <f>IF(ActiveDatabase=Standby,Secondary!B1020,Primary!B1020)</f>
        <v>0</v>
      </c>
      <c r="C1020" s="5">
        <f>IF(ActiveDatabase=Standby,Secondary!C1020,Primary!C1020)</f>
        <v>0</v>
      </c>
      <c r="D1020" s="5">
        <f>IF(ActiveDatabase=Standby,Secondary!D1020,Primary!D1020)</f>
        <v>0</v>
      </c>
      <c r="E1020" s="6">
        <f>IF(ActiveDatabase=Standby,Secondary!E1020,Primary!E1020)</f>
        <v>0</v>
      </c>
      <c r="F1020" s="10">
        <f>IF(ActiveDatabase=Standby,Secondary!F1020,Primary!F1020)</f>
        <v>0</v>
      </c>
      <c r="G1020" s="10">
        <f>IF(ActiveDatabase=Standby,Secondary!G1020,Primary!G1020)</f>
        <v>0</v>
      </c>
      <c r="H1020" s="10">
        <f>IF(ActiveDatabase=Standby,Secondary!H1020,Primary!H1020)</f>
        <v>0</v>
      </c>
      <c r="I1020" s="13">
        <f>IF(ActiveDatabase=Standby,Secondary!I1020,Primary!I1020)</f>
        <v>0</v>
      </c>
      <c r="J1020" s="13">
        <f>IF(ActiveDatabase=Standby,Secondary!J1020,Primary!J1020)</f>
        <v>0</v>
      </c>
      <c r="K1020" s="13">
        <f>IF(ActiveDatabase=Standby,Secondary!K1020,Primary!K1020)</f>
        <v>0</v>
      </c>
      <c r="L1020" s="13">
        <f>IF(ActiveDatabase=Standby,Secondary!L1020,Primary!L1020)</f>
        <v>0</v>
      </c>
      <c r="M1020" s="7">
        <f>IF(ActiveDatabase=Standby,Secondary!M1020,Primary!M1020)</f>
        <v>0</v>
      </c>
      <c r="N1020" s="10">
        <f>IF(ActiveDatabase=Standby,Secondary!N1020,Primary!N1020)</f>
        <v>0</v>
      </c>
      <c r="O1020" s="10">
        <f>IF(ActiveDatabase=Standby,Secondary!O1020,Primary!O1020)</f>
        <v>0</v>
      </c>
      <c r="P1020" s="10">
        <f>IF(ActiveDatabase=Standby,Secondary!P1020,Primary!P1020)</f>
        <v>0</v>
      </c>
      <c r="Q1020" s="6">
        <f>IF(ActiveDatabase=Standby,Secondary!Q1020,Primary!Q1020)</f>
        <v>0</v>
      </c>
      <c r="R1020" s="18">
        <f>IF(ActiveDatabase=Standby,Secondary!R1020,Primary!R1020)</f>
        <v>0</v>
      </c>
      <c r="S1020" s="19">
        <f>IF(ActiveDatabase=Standby,Secondary!S1020,Primary!S1020)</f>
        <v>0</v>
      </c>
      <c r="T1020" s="10">
        <f>IF(ActiveDatabase=Standby,Secondary!T1020,Primary!T1020)</f>
        <v>0</v>
      </c>
      <c r="U1020" s="10">
        <f>IF(ActiveDatabase=Standby,Secondary!U1020,Primary!U1020)</f>
        <v>0</v>
      </c>
      <c r="V1020" s="10">
        <f>IF(ActiveDatabase=Standby,Secondary!V1020,Primary!V1020)</f>
        <v>0</v>
      </c>
      <c r="W1020" s="6">
        <f>IF(ActiveDatabase=Standby,Secondary!W1020,Primary!W1020)</f>
        <v>0</v>
      </c>
      <c r="X1020" s="6">
        <f>IF(ActiveDatabase=Standby,Secondary!X1020,Primary!X1020)</f>
        <v>0</v>
      </c>
      <c r="Y1020" s="12">
        <f>IF(ActiveDatabase=Standby,Secondary!Y1020,Primary!Y1678)</f>
        <v>0</v>
      </c>
      <c r="Z1020" s="12">
        <f>IF(ActiveDatabase=Standby,Secondary!Z1020,Primary!Z1678)</f>
        <v>0</v>
      </c>
      <c r="AA1020" s="9">
        <f>IF(ActiveDatabase=Standby,Secondary!AA1020,Primary!AA1678)</f>
        <v>0</v>
      </c>
      <c r="AB1020" s="12"/>
      <c r="AC1020" s="6"/>
      <c r="AD1020" s="6"/>
      <c r="AE1020" s="7"/>
      <c r="AF1020" s="7"/>
      <c r="AG1020" s="7"/>
      <c r="AH1020" s="7"/>
      <c r="AI1020" s="7"/>
      <c r="AJ1020" s="7"/>
      <c r="AK1020" s="7"/>
      <c r="AL1020" s="7"/>
      <c r="AM1020" s="7"/>
      <c r="AN1020" s="7"/>
      <c r="AO1020" s="6"/>
      <c r="AP1020" s="7"/>
      <c r="AQ1020" s="7"/>
      <c r="AR1020" s="6"/>
      <c r="AS1020" s="7"/>
      <c r="AT1020" s="7"/>
      <c r="AU1020" s="7"/>
      <c r="AV1020" s="7"/>
      <c r="AW1020" s="7"/>
      <c r="AX1020" s="7"/>
      <c r="AY1020" s="7"/>
      <c r="AZ1020" s="7"/>
      <c r="BA1020" s="7"/>
      <c r="BB1020" s="7"/>
      <c r="BC1020" s="7"/>
      <c r="BD1020" s="7"/>
      <c r="BE1020" s="7"/>
      <c r="BF1020" s="7"/>
      <c r="BG1020" s="7"/>
    </row>
    <row r="1021" customHeight="1" spans="1:59">
      <c r="A1021" s="9">
        <f>IF(ActiveDatabase=Standby,Secondary!A1021,Primary!A1021)</f>
        <v>0</v>
      </c>
      <c r="B1021" s="5">
        <f>IF(ActiveDatabase=Standby,Secondary!B1021,Primary!B1021)</f>
        <v>0</v>
      </c>
      <c r="C1021" s="5">
        <f>IF(ActiveDatabase=Standby,Secondary!C1021,Primary!C1021)</f>
        <v>0</v>
      </c>
      <c r="D1021" s="5">
        <f>IF(ActiveDatabase=Standby,Secondary!D1021,Primary!D1021)</f>
        <v>0</v>
      </c>
      <c r="E1021" s="6">
        <f>IF(ActiveDatabase=Standby,Secondary!E1021,Primary!E1021)</f>
        <v>0</v>
      </c>
      <c r="F1021" s="10">
        <f>IF(ActiveDatabase=Standby,Secondary!F1021,Primary!F1021)</f>
        <v>0</v>
      </c>
      <c r="G1021" s="10">
        <f>IF(ActiveDatabase=Standby,Secondary!G1021,Primary!G1021)</f>
        <v>0</v>
      </c>
      <c r="H1021" s="10">
        <f>IF(ActiveDatabase=Standby,Secondary!H1021,Primary!H1021)</f>
        <v>0</v>
      </c>
      <c r="I1021" s="13">
        <f>IF(ActiveDatabase=Standby,Secondary!I1021,Primary!I1021)</f>
        <v>0</v>
      </c>
      <c r="J1021" s="13">
        <f>IF(ActiveDatabase=Standby,Secondary!J1021,Primary!J1021)</f>
        <v>0</v>
      </c>
      <c r="K1021" s="13">
        <f>IF(ActiveDatabase=Standby,Secondary!K1021,Primary!K1021)</f>
        <v>0</v>
      </c>
      <c r="L1021" s="13">
        <f>IF(ActiveDatabase=Standby,Secondary!L1021,Primary!L1021)</f>
        <v>0</v>
      </c>
      <c r="M1021" s="7">
        <f>IF(ActiveDatabase=Standby,Secondary!M1021,Primary!M1021)</f>
        <v>0</v>
      </c>
      <c r="N1021" s="10">
        <f>IF(ActiveDatabase=Standby,Secondary!N1021,Primary!N1021)</f>
        <v>0</v>
      </c>
      <c r="O1021" s="10">
        <f>IF(ActiveDatabase=Standby,Secondary!O1021,Primary!O1021)</f>
        <v>0</v>
      </c>
      <c r="P1021" s="10">
        <f>IF(ActiveDatabase=Standby,Secondary!P1021,Primary!P1021)</f>
        <v>0</v>
      </c>
      <c r="Q1021" s="6">
        <f>IF(ActiveDatabase=Standby,Secondary!Q1021,Primary!Q1021)</f>
        <v>0</v>
      </c>
      <c r="R1021" s="18">
        <f>IF(ActiveDatabase=Standby,Secondary!R1021,Primary!R1021)</f>
        <v>0</v>
      </c>
      <c r="S1021" s="19">
        <f>IF(ActiveDatabase=Standby,Secondary!S1021,Primary!S1021)</f>
        <v>0</v>
      </c>
      <c r="T1021" s="10">
        <f>IF(ActiveDatabase=Standby,Secondary!T1021,Primary!T1021)</f>
        <v>0</v>
      </c>
      <c r="U1021" s="10">
        <f>IF(ActiveDatabase=Standby,Secondary!U1021,Primary!U1021)</f>
        <v>0</v>
      </c>
      <c r="V1021" s="10">
        <f>IF(ActiveDatabase=Standby,Secondary!V1021,Primary!V1021)</f>
        <v>0</v>
      </c>
      <c r="W1021" s="6">
        <f>IF(ActiveDatabase=Standby,Secondary!W1021,Primary!W1021)</f>
        <v>0</v>
      </c>
      <c r="X1021" s="6">
        <f>IF(ActiveDatabase=Standby,Secondary!X1021,Primary!X1021)</f>
        <v>0</v>
      </c>
      <c r="Y1021" s="12">
        <f>IF(ActiveDatabase=Standby,Secondary!Y1021,Primary!Y1679)</f>
        <v>0</v>
      </c>
      <c r="Z1021" s="12">
        <f>IF(ActiveDatabase=Standby,Secondary!Z1021,Primary!Z1679)</f>
        <v>0</v>
      </c>
      <c r="AA1021" s="9">
        <f>IF(ActiveDatabase=Standby,Secondary!AA1021,Primary!AA1679)</f>
        <v>0</v>
      </c>
      <c r="AB1021" s="12"/>
      <c r="AC1021" s="6"/>
      <c r="AD1021" s="6"/>
      <c r="AE1021" s="7"/>
      <c r="AF1021" s="7"/>
      <c r="AG1021" s="7"/>
      <c r="AH1021" s="7"/>
      <c r="AI1021" s="7"/>
      <c r="AJ1021" s="7"/>
      <c r="AK1021" s="7"/>
      <c r="AL1021" s="7"/>
      <c r="AM1021" s="7"/>
      <c r="AN1021" s="7"/>
      <c r="AO1021" s="6"/>
      <c r="AP1021" s="7"/>
      <c r="AQ1021" s="7"/>
      <c r="AR1021" s="6"/>
      <c r="AS1021" s="7"/>
      <c r="AT1021" s="7"/>
      <c r="AU1021" s="7"/>
      <c r="AV1021" s="7"/>
      <c r="AW1021" s="7"/>
      <c r="AX1021" s="7"/>
      <c r="AY1021" s="7"/>
      <c r="AZ1021" s="7"/>
      <c r="BA1021" s="7"/>
      <c r="BB1021" s="7"/>
      <c r="BC1021" s="7"/>
      <c r="BD1021" s="7"/>
      <c r="BE1021" s="7"/>
      <c r="BF1021" s="7"/>
      <c r="BG1021" s="7"/>
    </row>
    <row r="1022" customHeight="1" spans="1:59">
      <c r="A1022" s="9">
        <f>IF(ActiveDatabase=Standby,Secondary!A1022,Primary!A1022)</f>
        <v>0</v>
      </c>
      <c r="B1022" s="5">
        <f>IF(ActiveDatabase=Standby,Secondary!B1022,Primary!B1022)</f>
        <v>0</v>
      </c>
      <c r="C1022" s="5">
        <f>IF(ActiveDatabase=Standby,Secondary!C1022,Primary!C1022)</f>
        <v>0</v>
      </c>
      <c r="D1022" s="5">
        <f>IF(ActiveDatabase=Standby,Secondary!D1022,Primary!D1022)</f>
        <v>0</v>
      </c>
      <c r="E1022" s="6">
        <f>IF(ActiveDatabase=Standby,Secondary!E1022,Primary!E1022)</f>
        <v>0</v>
      </c>
      <c r="F1022" s="10">
        <f>IF(ActiveDatabase=Standby,Secondary!F1022,Primary!F1022)</f>
        <v>0</v>
      </c>
      <c r="G1022" s="10">
        <f>IF(ActiveDatabase=Standby,Secondary!G1022,Primary!G1022)</f>
        <v>0</v>
      </c>
      <c r="H1022" s="10">
        <f>IF(ActiveDatabase=Standby,Secondary!H1022,Primary!H1022)</f>
        <v>0</v>
      </c>
      <c r="I1022" s="13">
        <f>IF(ActiveDatabase=Standby,Secondary!I1022,Primary!I1022)</f>
        <v>0</v>
      </c>
      <c r="J1022" s="13">
        <f>IF(ActiveDatabase=Standby,Secondary!J1022,Primary!J1022)</f>
        <v>0</v>
      </c>
      <c r="K1022" s="13">
        <f>IF(ActiveDatabase=Standby,Secondary!K1022,Primary!K1022)</f>
        <v>0</v>
      </c>
      <c r="L1022" s="13">
        <f>IF(ActiveDatabase=Standby,Secondary!L1022,Primary!L1022)</f>
        <v>0</v>
      </c>
      <c r="M1022" s="7">
        <f>IF(ActiveDatabase=Standby,Secondary!M1022,Primary!M1022)</f>
        <v>0</v>
      </c>
      <c r="N1022" s="10">
        <f>IF(ActiveDatabase=Standby,Secondary!N1022,Primary!N1022)</f>
        <v>0</v>
      </c>
      <c r="O1022" s="10">
        <f>IF(ActiveDatabase=Standby,Secondary!O1022,Primary!O1022)</f>
        <v>0</v>
      </c>
      <c r="P1022" s="10">
        <f>IF(ActiveDatabase=Standby,Secondary!P1022,Primary!P1022)</f>
        <v>0</v>
      </c>
      <c r="Q1022" s="6">
        <f>IF(ActiveDatabase=Standby,Secondary!Q1022,Primary!Q1022)</f>
        <v>0</v>
      </c>
      <c r="R1022" s="18">
        <f>IF(ActiveDatabase=Standby,Secondary!R1022,Primary!R1022)</f>
        <v>0</v>
      </c>
      <c r="S1022" s="19">
        <f>IF(ActiveDatabase=Standby,Secondary!S1022,Primary!S1022)</f>
        <v>0</v>
      </c>
      <c r="T1022" s="10">
        <f>IF(ActiveDatabase=Standby,Secondary!T1022,Primary!T1022)</f>
        <v>0</v>
      </c>
      <c r="U1022" s="10">
        <f>IF(ActiveDatabase=Standby,Secondary!U1022,Primary!U1022)</f>
        <v>0</v>
      </c>
      <c r="V1022" s="10">
        <f>IF(ActiveDatabase=Standby,Secondary!V1022,Primary!V1022)</f>
        <v>0</v>
      </c>
      <c r="W1022" s="6">
        <f>IF(ActiveDatabase=Standby,Secondary!W1022,Primary!W1022)</f>
        <v>0</v>
      </c>
      <c r="X1022" s="6">
        <f>IF(ActiveDatabase=Standby,Secondary!X1022,Primary!X1022)</f>
        <v>0</v>
      </c>
      <c r="Y1022" s="12">
        <f>IF(ActiveDatabase=Standby,Secondary!Y1022,Primary!Y1680)</f>
        <v>0</v>
      </c>
      <c r="Z1022" s="12">
        <f>IF(ActiveDatabase=Standby,Secondary!Z1022,Primary!Z1680)</f>
        <v>0</v>
      </c>
      <c r="AA1022" s="9">
        <f>IF(ActiveDatabase=Standby,Secondary!AA1022,Primary!AA1680)</f>
        <v>0</v>
      </c>
      <c r="AB1022" s="12"/>
      <c r="AC1022" s="6"/>
      <c r="AD1022" s="6"/>
      <c r="AE1022" s="7"/>
      <c r="AF1022" s="7"/>
      <c r="AG1022" s="7"/>
      <c r="AH1022" s="7"/>
      <c r="AI1022" s="7"/>
      <c r="AJ1022" s="7"/>
      <c r="AK1022" s="7"/>
      <c r="AL1022" s="7"/>
      <c r="AM1022" s="7"/>
      <c r="AN1022" s="7"/>
      <c r="AO1022" s="6"/>
      <c r="AP1022" s="7"/>
      <c r="AQ1022" s="7"/>
      <c r="AR1022" s="6"/>
      <c r="AS1022" s="7"/>
      <c r="AT1022" s="7"/>
      <c r="AU1022" s="7"/>
      <c r="AV1022" s="7"/>
      <c r="AW1022" s="7"/>
      <c r="AX1022" s="7"/>
      <c r="AY1022" s="7"/>
      <c r="AZ1022" s="7"/>
      <c r="BA1022" s="7"/>
      <c r="BB1022" s="7"/>
      <c r="BC1022" s="7"/>
      <c r="BD1022" s="7"/>
      <c r="BE1022" s="7"/>
      <c r="BF1022" s="7"/>
      <c r="BG1022" s="7"/>
    </row>
    <row r="1023" customHeight="1" spans="1:59">
      <c r="A1023" s="9">
        <f>IF(ActiveDatabase=Standby,Secondary!A1023,Primary!A1023)</f>
        <v>0</v>
      </c>
      <c r="B1023" s="5">
        <f>IF(ActiveDatabase=Standby,Secondary!B1023,Primary!B1023)</f>
        <v>0</v>
      </c>
      <c r="C1023" s="5">
        <f>IF(ActiveDatabase=Standby,Secondary!C1023,Primary!C1023)</f>
        <v>0</v>
      </c>
      <c r="D1023" s="5">
        <f>IF(ActiveDatabase=Standby,Secondary!D1023,Primary!D1023)</f>
        <v>0</v>
      </c>
      <c r="E1023" s="6">
        <f>IF(ActiveDatabase=Standby,Secondary!E1023,Primary!E1023)</f>
        <v>0</v>
      </c>
      <c r="F1023" s="10">
        <f>IF(ActiveDatabase=Standby,Secondary!F1023,Primary!F1023)</f>
        <v>0</v>
      </c>
      <c r="G1023" s="10">
        <f>IF(ActiveDatabase=Standby,Secondary!G1023,Primary!G1023)</f>
        <v>0</v>
      </c>
      <c r="H1023" s="10">
        <f>IF(ActiveDatabase=Standby,Secondary!H1023,Primary!H1023)</f>
        <v>0</v>
      </c>
      <c r="I1023" s="13">
        <f>IF(ActiveDatabase=Standby,Secondary!I1023,Primary!I1023)</f>
        <v>0</v>
      </c>
      <c r="J1023" s="13">
        <f>IF(ActiveDatabase=Standby,Secondary!J1023,Primary!J1023)</f>
        <v>0</v>
      </c>
      <c r="K1023" s="13">
        <f>IF(ActiveDatabase=Standby,Secondary!K1023,Primary!K1023)</f>
        <v>0</v>
      </c>
      <c r="L1023" s="13">
        <f>IF(ActiveDatabase=Standby,Secondary!L1023,Primary!L1023)</f>
        <v>0</v>
      </c>
      <c r="M1023" s="7">
        <f>IF(ActiveDatabase=Standby,Secondary!M1023,Primary!M1023)</f>
        <v>0</v>
      </c>
      <c r="N1023" s="10">
        <f>IF(ActiveDatabase=Standby,Secondary!N1023,Primary!N1023)</f>
        <v>0</v>
      </c>
      <c r="O1023" s="10">
        <f>IF(ActiveDatabase=Standby,Secondary!O1023,Primary!O1023)</f>
        <v>0</v>
      </c>
      <c r="P1023" s="10">
        <f>IF(ActiveDatabase=Standby,Secondary!P1023,Primary!P1023)</f>
        <v>0</v>
      </c>
      <c r="Q1023" s="6">
        <f>IF(ActiveDatabase=Standby,Secondary!Q1023,Primary!Q1023)</f>
        <v>0</v>
      </c>
      <c r="R1023" s="18">
        <f>IF(ActiveDatabase=Standby,Secondary!R1023,Primary!R1023)</f>
        <v>0</v>
      </c>
      <c r="S1023" s="19">
        <f>IF(ActiveDatabase=Standby,Secondary!S1023,Primary!S1023)</f>
        <v>0</v>
      </c>
      <c r="T1023" s="10">
        <f>IF(ActiveDatabase=Standby,Secondary!T1023,Primary!T1023)</f>
        <v>0</v>
      </c>
      <c r="U1023" s="10">
        <f>IF(ActiveDatabase=Standby,Secondary!U1023,Primary!U1023)</f>
        <v>0</v>
      </c>
      <c r="V1023" s="10">
        <f>IF(ActiveDatabase=Standby,Secondary!V1023,Primary!V1023)</f>
        <v>0</v>
      </c>
      <c r="W1023" s="6">
        <f>IF(ActiveDatabase=Standby,Secondary!W1023,Primary!W1023)</f>
        <v>0</v>
      </c>
      <c r="X1023" s="6">
        <f>IF(ActiveDatabase=Standby,Secondary!X1023,Primary!X1023)</f>
        <v>0</v>
      </c>
      <c r="Y1023" s="12">
        <f>IF(ActiveDatabase=Standby,Secondary!Y1023,Primary!Y1681)</f>
        <v>0</v>
      </c>
      <c r="Z1023" s="12">
        <f>IF(ActiveDatabase=Standby,Secondary!Z1023,Primary!Z1681)</f>
        <v>0</v>
      </c>
      <c r="AA1023" s="9">
        <f>IF(ActiveDatabase=Standby,Secondary!AA1023,Primary!AA1681)</f>
        <v>0</v>
      </c>
      <c r="AB1023" s="12"/>
      <c r="AC1023" s="6"/>
      <c r="AD1023" s="6"/>
      <c r="AE1023" s="7"/>
      <c r="AF1023" s="7"/>
      <c r="AG1023" s="7"/>
      <c r="AH1023" s="7"/>
      <c r="AI1023" s="7"/>
      <c r="AJ1023" s="7"/>
      <c r="AK1023" s="7"/>
      <c r="AL1023" s="7"/>
      <c r="AM1023" s="7"/>
      <c r="AN1023" s="7"/>
      <c r="AO1023" s="6"/>
      <c r="AP1023" s="7"/>
      <c r="AQ1023" s="7"/>
      <c r="AR1023" s="6"/>
      <c r="AS1023" s="7"/>
      <c r="AT1023" s="7"/>
      <c r="AU1023" s="7"/>
      <c r="AV1023" s="7"/>
      <c r="AW1023" s="7"/>
      <c r="AX1023" s="7"/>
      <c r="AY1023" s="7"/>
      <c r="AZ1023" s="7"/>
      <c r="BA1023" s="7"/>
      <c r="BB1023" s="7"/>
      <c r="BC1023" s="7"/>
      <c r="BD1023" s="7"/>
      <c r="BE1023" s="7"/>
      <c r="BF1023" s="7"/>
      <c r="BG1023" s="7"/>
    </row>
    <row r="1024" customHeight="1" spans="1:59">
      <c r="A1024" s="9">
        <f>IF(ActiveDatabase=Standby,Secondary!A1024,Primary!A1024)</f>
        <v>0</v>
      </c>
      <c r="B1024" s="5">
        <f>IF(ActiveDatabase=Standby,Secondary!B1024,Primary!B1024)</f>
        <v>0</v>
      </c>
      <c r="C1024" s="5">
        <f>IF(ActiveDatabase=Standby,Secondary!C1024,Primary!C1024)</f>
        <v>0</v>
      </c>
      <c r="D1024" s="5">
        <f>IF(ActiveDatabase=Standby,Secondary!D1024,Primary!D1024)</f>
        <v>0</v>
      </c>
      <c r="E1024" s="6">
        <f>IF(ActiveDatabase=Standby,Secondary!E1024,Primary!E1024)</f>
        <v>0</v>
      </c>
      <c r="F1024" s="10">
        <f>IF(ActiveDatabase=Standby,Secondary!F1024,Primary!F1024)</f>
        <v>0</v>
      </c>
      <c r="G1024" s="10">
        <f>IF(ActiveDatabase=Standby,Secondary!G1024,Primary!G1024)</f>
        <v>0</v>
      </c>
      <c r="H1024" s="10">
        <f>IF(ActiveDatabase=Standby,Secondary!H1024,Primary!H1024)</f>
        <v>0</v>
      </c>
      <c r="I1024" s="13">
        <f>IF(ActiveDatabase=Standby,Secondary!I1024,Primary!I1024)</f>
        <v>0</v>
      </c>
      <c r="J1024" s="13">
        <f>IF(ActiveDatabase=Standby,Secondary!J1024,Primary!J1024)</f>
        <v>0</v>
      </c>
      <c r="K1024" s="13">
        <f>IF(ActiveDatabase=Standby,Secondary!K1024,Primary!K1024)</f>
        <v>0</v>
      </c>
      <c r="L1024" s="13">
        <f>IF(ActiveDatabase=Standby,Secondary!L1024,Primary!L1024)</f>
        <v>0</v>
      </c>
      <c r="M1024" s="7">
        <f>IF(ActiveDatabase=Standby,Secondary!M1024,Primary!M1024)</f>
        <v>0</v>
      </c>
      <c r="N1024" s="10">
        <f>IF(ActiveDatabase=Standby,Secondary!N1024,Primary!N1024)</f>
        <v>0</v>
      </c>
      <c r="O1024" s="10">
        <f>IF(ActiveDatabase=Standby,Secondary!O1024,Primary!O1024)</f>
        <v>0</v>
      </c>
      <c r="P1024" s="10">
        <f>IF(ActiveDatabase=Standby,Secondary!P1024,Primary!P1024)</f>
        <v>0</v>
      </c>
      <c r="Q1024" s="6">
        <f>IF(ActiveDatabase=Standby,Secondary!Q1024,Primary!Q1024)</f>
        <v>0</v>
      </c>
      <c r="R1024" s="18">
        <f>IF(ActiveDatabase=Standby,Secondary!R1024,Primary!R1024)</f>
        <v>0</v>
      </c>
      <c r="S1024" s="19">
        <f>IF(ActiveDatabase=Standby,Secondary!S1024,Primary!S1024)</f>
        <v>0</v>
      </c>
      <c r="T1024" s="10">
        <f>IF(ActiveDatabase=Standby,Secondary!T1024,Primary!T1024)</f>
        <v>0</v>
      </c>
      <c r="U1024" s="10">
        <f>IF(ActiveDatabase=Standby,Secondary!U1024,Primary!U1024)</f>
        <v>0</v>
      </c>
      <c r="V1024" s="10">
        <f>IF(ActiveDatabase=Standby,Secondary!V1024,Primary!V1024)</f>
        <v>0</v>
      </c>
      <c r="W1024" s="6">
        <f>IF(ActiveDatabase=Standby,Secondary!W1024,Primary!W1024)</f>
        <v>0</v>
      </c>
      <c r="X1024" s="6">
        <f>IF(ActiveDatabase=Standby,Secondary!X1024,Primary!X1024)</f>
        <v>0</v>
      </c>
      <c r="Y1024" s="12">
        <f>IF(ActiveDatabase=Standby,Secondary!Y1024,Primary!Y1682)</f>
        <v>0</v>
      </c>
      <c r="Z1024" s="12">
        <f>IF(ActiveDatabase=Standby,Secondary!Z1024,Primary!Z1682)</f>
        <v>0</v>
      </c>
      <c r="AA1024" s="9">
        <f>IF(ActiveDatabase=Standby,Secondary!AA1024,Primary!AA1682)</f>
        <v>0</v>
      </c>
      <c r="AB1024" s="12"/>
      <c r="AC1024" s="6"/>
      <c r="AD1024" s="6"/>
      <c r="AE1024" s="7"/>
      <c r="AF1024" s="7"/>
      <c r="AG1024" s="7"/>
      <c r="AH1024" s="7"/>
      <c r="AI1024" s="7"/>
      <c r="AJ1024" s="7"/>
      <c r="AK1024" s="7"/>
      <c r="AL1024" s="7"/>
      <c r="AM1024" s="7"/>
      <c r="AN1024" s="7"/>
      <c r="AO1024" s="6"/>
      <c r="AP1024" s="7"/>
      <c r="AQ1024" s="7"/>
      <c r="AR1024" s="6"/>
      <c r="AS1024" s="7"/>
      <c r="AT1024" s="7"/>
      <c r="AU1024" s="7"/>
      <c r="AV1024" s="7"/>
      <c r="AW1024" s="7"/>
      <c r="AX1024" s="7"/>
      <c r="AY1024" s="7"/>
      <c r="AZ1024" s="7"/>
      <c r="BA1024" s="7"/>
      <c r="BB1024" s="7"/>
      <c r="BC1024" s="7"/>
      <c r="BD1024" s="7"/>
      <c r="BE1024" s="7"/>
      <c r="BF1024" s="7"/>
      <c r="BG1024" s="7"/>
    </row>
    <row r="1025" customHeight="1" spans="1:59">
      <c r="A1025" s="9">
        <f>IF(ActiveDatabase=Standby,Secondary!A1025,Primary!A1025)</f>
        <v>0</v>
      </c>
      <c r="B1025" s="5">
        <f>IF(ActiveDatabase=Standby,Secondary!B1025,Primary!B1025)</f>
        <v>0</v>
      </c>
      <c r="C1025" s="5">
        <f>IF(ActiveDatabase=Standby,Secondary!C1025,Primary!C1025)</f>
        <v>0</v>
      </c>
      <c r="D1025" s="5">
        <f>IF(ActiveDatabase=Standby,Secondary!D1025,Primary!D1025)</f>
        <v>0</v>
      </c>
      <c r="E1025" s="6">
        <f>IF(ActiveDatabase=Standby,Secondary!E1025,Primary!E1025)</f>
        <v>0</v>
      </c>
      <c r="F1025" s="10">
        <f>IF(ActiveDatabase=Standby,Secondary!F1025,Primary!F1025)</f>
        <v>0</v>
      </c>
      <c r="G1025" s="10">
        <f>IF(ActiveDatabase=Standby,Secondary!G1025,Primary!G1025)</f>
        <v>0</v>
      </c>
      <c r="H1025" s="10">
        <f>IF(ActiveDatabase=Standby,Secondary!H1025,Primary!H1025)</f>
        <v>0</v>
      </c>
      <c r="I1025" s="13">
        <f>IF(ActiveDatabase=Standby,Secondary!I1025,Primary!I1025)</f>
        <v>0</v>
      </c>
      <c r="J1025" s="13">
        <f>IF(ActiveDatabase=Standby,Secondary!J1025,Primary!J1025)</f>
        <v>0</v>
      </c>
      <c r="K1025" s="13">
        <f>IF(ActiveDatabase=Standby,Secondary!K1025,Primary!K1025)</f>
        <v>0</v>
      </c>
      <c r="L1025" s="13">
        <f>IF(ActiveDatabase=Standby,Secondary!L1025,Primary!L1025)</f>
        <v>0</v>
      </c>
      <c r="M1025" s="7">
        <f>IF(ActiveDatabase=Standby,Secondary!M1025,Primary!M1025)</f>
        <v>0</v>
      </c>
      <c r="N1025" s="10">
        <f>IF(ActiveDatabase=Standby,Secondary!N1025,Primary!N1025)</f>
        <v>0</v>
      </c>
      <c r="O1025" s="10">
        <f>IF(ActiveDatabase=Standby,Secondary!O1025,Primary!O1025)</f>
        <v>0</v>
      </c>
      <c r="P1025" s="10">
        <f>IF(ActiveDatabase=Standby,Secondary!P1025,Primary!P1025)</f>
        <v>0</v>
      </c>
      <c r="Q1025" s="6">
        <f>IF(ActiveDatabase=Standby,Secondary!Q1025,Primary!Q1025)</f>
        <v>0</v>
      </c>
      <c r="R1025" s="18">
        <f>IF(ActiveDatabase=Standby,Secondary!R1025,Primary!R1025)</f>
        <v>0</v>
      </c>
      <c r="S1025" s="19">
        <f>IF(ActiveDatabase=Standby,Secondary!S1025,Primary!S1025)</f>
        <v>0</v>
      </c>
      <c r="T1025" s="10">
        <f>IF(ActiveDatabase=Standby,Secondary!T1025,Primary!T1025)</f>
        <v>0</v>
      </c>
      <c r="U1025" s="10">
        <f>IF(ActiveDatabase=Standby,Secondary!U1025,Primary!U1025)</f>
        <v>0</v>
      </c>
      <c r="V1025" s="10">
        <f>IF(ActiveDatabase=Standby,Secondary!V1025,Primary!V1025)</f>
        <v>0</v>
      </c>
      <c r="W1025" s="6">
        <f>IF(ActiveDatabase=Standby,Secondary!W1025,Primary!W1025)</f>
        <v>0</v>
      </c>
      <c r="X1025" s="6">
        <f>IF(ActiveDatabase=Standby,Secondary!X1025,Primary!X1025)</f>
        <v>0</v>
      </c>
      <c r="Y1025" s="12">
        <f>IF(ActiveDatabase=Standby,Secondary!Y1025,Primary!Y1683)</f>
        <v>0</v>
      </c>
      <c r="Z1025" s="12">
        <f>IF(ActiveDatabase=Standby,Secondary!Z1025,Primary!Z1683)</f>
        <v>0</v>
      </c>
      <c r="AA1025" s="9">
        <f>IF(ActiveDatabase=Standby,Secondary!AA1025,Primary!AA1683)</f>
        <v>0</v>
      </c>
      <c r="AB1025" s="12"/>
      <c r="AC1025" s="6"/>
      <c r="AD1025" s="6"/>
      <c r="AE1025" s="7"/>
      <c r="AF1025" s="7"/>
      <c r="AG1025" s="7"/>
      <c r="AH1025" s="7"/>
      <c r="AI1025" s="7"/>
      <c r="AJ1025" s="7"/>
      <c r="AK1025" s="7"/>
      <c r="AL1025" s="7"/>
      <c r="AM1025" s="7"/>
      <c r="AN1025" s="7"/>
      <c r="AO1025" s="6"/>
      <c r="AP1025" s="7"/>
      <c r="AQ1025" s="7"/>
      <c r="AR1025" s="6"/>
      <c r="AS1025" s="7"/>
      <c r="AT1025" s="7"/>
      <c r="AU1025" s="7"/>
      <c r="AV1025" s="7"/>
      <c r="AW1025" s="7"/>
      <c r="AX1025" s="7"/>
      <c r="AY1025" s="7"/>
      <c r="AZ1025" s="7"/>
      <c r="BA1025" s="7"/>
      <c r="BB1025" s="7"/>
      <c r="BC1025" s="7"/>
      <c r="BD1025" s="7"/>
      <c r="BE1025" s="7"/>
      <c r="BF1025" s="7"/>
      <c r="BG1025" s="7"/>
    </row>
    <row r="1026" customHeight="1" spans="1:59">
      <c r="A1026" s="9">
        <f>IF(ActiveDatabase=Standby,Secondary!A1026,Primary!A1026)</f>
        <v>0</v>
      </c>
      <c r="B1026" s="5">
        <f>IF(ActiveDatabase=Standby,Secondary!B1026,Primary!B1026)</f>
        <v>0</v>
      </c>
      <c r="C1026" s="5">
        <f>IF(ActiveDatabase=Standby,Secondary!C1026,Primary!C1026)</f>
        <v>0</v>
      </c>
      <c r="D1026" s="5">
        <f>IF(ActiveDatabase=Standby,Secondary!D1026,Primary!D1026)</f>
        <v>0</v>
      </c>
      <c r="E1026" s="6">
        <f>IF(ActiveDatabase=Standby,Secondary!E1026,Primary!E1026)</f>
        <v>0</v>
      </c>
      <c r="F1026" s="10">
        <f>IF(ActiveDatabase=Standby,Secondary!F1026,Primary!F1026)</f>
        <v>0</v>
      </c>
      <c r="G1026" s="10">
        <f>IF(ActiveDatabase=Standby,Secondary!G1026,Primary!G1026)</f>
        <v>0</v>
      </c>
      <c r="H1026" s="10">
        <f>IF(ActiveDatabase=Standby,Secondary!H1026,Primary!H1026)</f>
        <v>0</v>
      </c>
      <c r="I1026" s="13">
        <f>IF(ActiveDatabase=Standby,Secondary!I1026,Primary!I1026)</f>
        <v>0</v>
      </c>
      <c r="J1026" s="13">
        <f>IF(ActiveDatabase=Standby,Secondary!J1026,Primary!J1026)</f>
        <v>0</v>
      </c>
      <c r="K1026" s="13">
        <f>IF(ActiveDatabase=Standby,Secondary!K1026,Primary!K1026)</f>
        <v>0</v>
      </c>
      <c r="L1026" s="13">
        <f>IF(ActiveDatabase=Standby,Secondary!L1026,Primary!L1026)</f>
        <v>0</v>
      </c>
      <c r="M1026" s="7">
        <f>IF(ActiveDatabase=Standby,Secondary!M1026,Primary!M1026)</f>
        <v>0</v>
      </c>
      <c r="N1026" s="10">
        <f>IF(ActiveDatabase=Standby,Secondary!N1026,Primary!N1026)</f>
        <v>0</v>
      </c>
      <c r="O1026" s="10">
        <f>IF(ActiveDatabase=Standby,Secondary!O1026,Primary!O1026)</f>
        <v>0</v>
      </c>
      <c r="P1026" s="10">
        <f>IF(ActiveDatabase=Standby,Secondary!P1026,Primary!P1026)</f>
        <v>0</v>
      </c>
      <c r="Q1026" s="6">
        <f>IF(ActiveDatabase=Standby,Secondary!Q1026,Primary!Q1026)</f>
        <v>0</v>
      </c>
      <c r="R1026" s="18">
        <f>IF(ActiveDatabase=Standby,Secondary!R1026,Primary!R1026)</f>
        <v>0</v>
      </c>
      <c r="S1026" s="19">
        <f>IF(ActiveDatabase=Standby,Secondary!S1026,Primary!S1026)</f>
        <v>0</v>
      </c>
      <c r="T1026" s="10">
        <f>IF(ActiveDatabase=Standby,Secondary!T1026,Primary!T1026)</f>
        <v>0</v>
      </c>
      <c r="U1026" s="10">
        <f>IF(ActiveDatabase=Standby,Secondary!U1026,Primary!U1026)</f>
        <v>0</v>
      </c>
      <c r="V1026" s="10">
        <f>IF(ActiveDatabase=Standby,Secondary!V1026,Primary!V1026)</f>
        <v>0</v>
      </c>
      <c r="W1026" s="6">
        <f>IF(ActiveDatabase=Standby,Secondary!W1026,Primary!W1026)</f>
        <v>0</v>
      </c>
      <c r="X1026" s="6">
        <f>IF(ActiveDatabase=Standby,Secondary!X1026,Primary!X1026)</f>
        <v>0</v>
      </c>
      <c r="Y1026" s="12">
        <f>IF(ActiveDatabase=Standby,Secondary!Y1026,Primary!Y1684)</f>
        <v>0</v>
      </c>
      <c r="Z1026" s="12">
        <f>IF(ActiveDatabase=Standby,Secondary!Z1026,Primary!Z1684)</f>
        <v>0</v>
      </c>
      <c r="AA1026" s="9">
        <f>IF(ActiveDatabase=Standby,Secondary!AA1026,Primary!AA1684)</f>
        <v>0</v>
      </c>
      <c r="AB1026" s="12"/>
      <c r="AC1026" s="6"/>
      <c r="AD1026" s="6"/>
      <c r="AE1026" s="7"/>
      <c r="AF1026" s="7"/>
      <c r="AG1026" s="7"/>
      <c r="AH1026" s="7"/>
      <c r="AI1026" s="7"/>
      <c r="AJ1026" s="7"/>
      <c r="AK1026" s="7"/>
      <c r="AL1026" s="7"/>
      <c r="AM1026" s="7"/>
      <c r="AN1026" s="7"/>
      <c r="AO1026" s="6"/>
      <c r="AP1026" s="7"/>
      <c r="AQ1026" s="7"/>
      <c r="AR1026" s="6"/>
      <c r="AS1026" s="7"/>
      <c r="AT1026" s="7"/>
      <c r="AU1026" s="7"/>
      <c r="AV1026" s="7"/>
      <c r="AW1026" s="7"/>
      <c r="AX1026" s="7"/>
      <c r="AY1026" s="7"/>
      <c r="AZ1026" s="7"/>
      <c r="BA1026" s="7"/>
      <c r="BB1026" s="7"/>
      <c r="BC1026" s="7"/>
      <c r="BD1026" s="7"/>
      <c r="BE1026" s="7"/>
      <c r="BF1026" s="7"/>
      <c r="BG1026" s="7"/>
    </row>
    <row r="1027" customHeight="1" spans="1:59">
      <c r="A1027" s="9">
        <f>IF(ActiveDatabase=Standby,Secondary!A1027,Primary!A1027)</f>
        <v>0</v>
      </c>
      <c r="B1027" s="5">
        <f>IF(ActiveDatabase=Standby,Secondary!B1027,Primary!B1027)</f>
        <v>0</v>
      </c>
      <c r="C1027" s="5">
        <f>IF(ActiveDatabase=Standby,Secondary!C1027,Primary!C1027)</f>
        <v>0</v>
      </c>
      <c r="D1027" s="5">
        <f>IF(ActiveDatabase=Standby,Secondary!D1027,Primary!D1027)</f>
        <v>0</v>
      </c>
      <c r="E1027" s="6">
        <f>IF(ActiveDatabase=Standby,Secondary!E1027,Primary!E1027)</f>
        <v>0</v>
      </c>
      <c r="F1027" s="10">
        <f>IF(ActiveDatabase=Standby,Secondary!F1027,Primary!F1027)</f>
        <v>0</v>
      </c>
      <c r="G1027" s="10">
        <f>IF(ActiveDatabase=Standby,Secondary!G1027,Primary!G1027)</f>
        <v>0</v>
      </c>
      <c r="H1027" s="10">
        <f>IF(ActiveDatabase=Standby,Secondary!H1027,Primary!H1027)</f>
        <v>0</v>
      </c>
      <c r="I1027" s="13">
        <f>IF(ActiveDatabase=Standby,Secondary!I1027,Primary!I1027)</f>
        <v>0</v>
      </c>
      <c r="J1027" s="13">
        <f>IF(ActiveDatabase=Standby,Secondary!J1027,Primary!J1027)</f>
        <v>0</v>
      </c>
      <c r="K1027" s="13">
        <f>IF(ActiveDatabase=Standby,Secondary!K1027,Primary!K1027)</f>
        <v>0</v>
      </c>
      <c r="L1027" s="13">
        <f>IF(ActiveDatabase=Standby,Secondary!L1027,Primary!L1027)</f>
        <v>0</v>
      </c>
      <c r="M1027" s="7">
        <f>IF(ActiveDatabase=Standby,Secondary!M1027,Primary!M1027)</f>
        <v>0</v>
      </c>
      <c r="N1027" s="10">
        <f>IF(ActiveDatabase=Standby,Secondary!N1027,Primary!N1027)</f>
        <v>0</v>
      </c>
      <c r="O1027" s="10">
        <f>IF(ActiveDatabase=Standby,Secondary!O1027,Primary!O1027)</f>
        <v>0</v>
      </c>
      <c r="P1027" s="10">
        <f>IF(ActiveDatabase=Standby,Secondary!P1027,Primary!P1027)</f>
        <v>0</v>
      </c>
      <c r="Q1027" s="6">
        <f>IF(ActiveDatabase=Standby,Secondary!Q1027,Primary!Q1027)</f>
        <v>0</v>
      </c>
      <c r="R1027" s="18">
        <f>IF(ActiveDatabase=Standby,Secondary!R1027,Primary!R1027)</f>
        <v>0</v>
      </c>
      <c r="S1027" s="19">
        <f>IF(ActiveDatabase=Standby,Secondary!S1027,Primary!S1027)</f>
        <v>0</v>
      </c>
      <c r="T1027" s="10">
        <f>IF(ActiveDatabase=Standby,Secondary!T1027,Primary!T1027)</f>
        <v>0</v>
      </c>
      <c r="U1027" s="10">
        <f>IF(ActiveDatabase=Standby,Secondary!U1027,Primary!U1027)</f>
        <v>0</v>
      </c>
      <c r="V1027" s="10">
        <f>IF(ActiveDatabase=Standby,Secondary!V1027,Primary!V1027)</f>
        <v>0</v>
      </c>
      <c r="W1027" s="6">
        <f>IF(ActiveDatabase=Standby,Secondary!W1027,Primary!W1027)</f>
        <v>0</v>
      </c>
      <c r="X1027" s="6">
        <f>IF(ActiveDatabase=Standby,Secondary!X1027,Primary!X1027)</f>
        <v>0</v>
      </c>
      <c r="Y1027" s="12">
        <f>IF(ActiveDatabase=Standby,Secondary!Y1027,Primary!Y1685)</f>
        <v>0</v>
      </c>
      <c r="Z1027" s="12">
        <f>IF(ActiveDatabase=Standby,Secondary!Z1027,Primary!Z1685)</f>
        <v>0</v>
      </c>
      <c r="AA1027" s="9">
        <f>IF(ActiveDatabase=Standby,Secondary!AA1027,Primary!AA1685)</f>
        <v>0</v>
      </c>
      <c r="AB1027" s="12"/>
      <c r="AC1027" s="6"/>
      <c r="AD1027" s="6"/>
      <c r="AE1027" s="7"/>
      <c r="AF1027" s="7"/>
      <c r="AG1027" s="7"/>
      <c r="AH1027" s="7"/>
      <c r="AI1027" s="7"/>
      <c r="AJ1027" s="7"/>
      <c r="AK1027" s="7"/>
      <c r="AL1027" s="7"/>
      <c r="AM1027" s="7"/>
      <c r="AN1027" s="7"/>
      <c r="AO1027" s="6"/>
      <c r="AP1027" s="7"/>
      <c r="AQ1027" s="7"/>
      <c r="AR1027" s="6"/>
      <c r="AS1027" s="7"/>
      <c r="AT1027" s="7"/>
      <c r="AU1027" s="7"/>
      <c r="AV1027" s="7"/>
      <c r="AW1027" s="7"/>
      <c r="AX1027" s="7"/>
      <c r="AY1027" s="7"/>
      <c r="AZ1027" s="7"/>
      <c r="BA1027" s="7"/>
      <c r="BB1027" s="7"/>
      <c r="BC1027" s="7"/>
      <c r="BD1027" s="7"/>
      <c r="BE1027" s="7"/>
      <c r="BF1027" s="7"/>
      <c r="BG1027" s="7"/>
    </row>
    <row r="1028" customHeight="1" spans="1:59">
      <c r="A1028" s="9">
        <f>IF(ActiveDatabase=Standby,Secondary!A1028,Primary!A1028)</f>
        <v>0</v>
      </c>
      <c r="B1028" s="5">
        <f>IF(ActiveDatabase=Standby,Secondary!B1028,Primary!B1028)</f>
        <v>0</v>
      </c>
      <c r="C1028" s="5">
        <f>IF(ActiveDatabase=Standby,Secondary!C1028,Primary!C1028)</f>
        <v>0</v>
      </c>
      <c r="D1028" s="5">
        <f>IF(ActiveDatabase=Standby,Secondary!D1028,Primary!D1028)</f>
        <v>0</v>
      </c>
      <c r="E1028" s="6">
        <f>IF(ActiveDatabase=Standby,Secondary!E1028,Primary!E1028)</f>
        <v>0</v>
      </c>
      <c r="F1028" s="10">
        <f>IF(ActiveDatabase=Standby,Secondary!F1028,Primary!F1028)</f>
        <v>0</v>
      </c>
      <c r="G1028" s="10">
        <f>IF(ActiveDatabase=Standby,Secondary!G1028,Primary!G1028)</f>
        <v>0</v>
      </c>
      <c r="H1028" s="10">
        <f>IF(ActiveDatabase=Standby,Secondary!H1028,Primary!H1028)</f>
        <v>0</v>
      </c>
      <c r="I1028" s="13">
        <f>IF(ActiveDatabase=Standby,Secondary!I1028,Primary!I1028)</f>
        <v>0</v>
      </c>
      <c r="J1028" s="13">
        <f>IF(ActiveDatabase=Standby,Secondary!J1028,Primary!J1028)</f>
        <v>0</v>
      </c>
      <c r="K1028" s="13">
        <f>IF(ActiveDatabase=Standby,Secondary!K1028,Primary!K1028)</f>
        <v>0</v>
      </c>
      <c r="L1028" s="13">
        <f>IF(ActiveDatabase=Standby,Secondary!L1028,Primary!L1028)</f>
        <v>0</v>
      </c>
      <c r="M1028" s="7">
        <f>IF(ActiveDatabase=Standby,Secondary!M1028,Primary!M1028)</f>
        <v>0</v>
      </c>
      <c r="N1028" s="10">
        <f>IF(ActiveDatabase=Standby,Secondary!N1028,Primary!N1028)</f>
        <v>0</v>
      </c>
      <c r="O1028" s="10">
        <f>IF(ActiveDatabase=Standby,Secondary!O1028,Primary!O1028)</f>
        <v>0</v>
      </c>
      <c r="P1028" s="10">
        <f>IF(ActiveDatabase=Standby,Secondary!P1028,Primary!P1028)</f>
        <v>0</v>
      </c>
      <c r="Q1028" s="6">
        <f>IF(ActiveDatabase=Standby,Secondary!Q1028,Primary!Q1028)</f>
        <v>0</v>
      </c>
      <c r="R1028" s="18">
        <f>IF(ActiveDatabase=Standby,Secondary!R1028,Primary!R1028)</f>
        <v>0</v>
      </c>
      <c r="S1028" s="19">
        <f>IF(ActiveDatabase=Standby,Secondary!S1028,Primary!S1028)</f>
        <v>0</v>
      </c>
      <c r="T1028" s="10">
        <f>IF(ActiveDatabase=Standby,Secondary!T1028,Primary!T1028)</f>
        <v>0</v>
      </c>
      <c r="U1028" s="10">
        <f>IF(ActiveDatabase=Standby,Secondary!U1028,Primary!U1028)</f>
        <v>0</v>
      </c>
      <c r="V1028" s="10">
        <f>IF(ActiveDatabase=Standby,Secondary!V1028,Primary!V1028)</f>
        <v>0</v>
      </c>
      <c r="W1028" s="6">
        <f>IF(ActiveDatabase=Standby,Secondary!W1028,Primary!W1028)</f>
        <v>0</v>
      </c>
      <c r="X1028" s="6">
        <f>IF(ActiveDatabase=Standby,Secondary!X1028,Primary!X1028)</f>
        <v>0</v>
      </c>
      <c r="Y1028" s="12">
        <f>IF(ActiveDatabase=Standby,Secondary!Y1028,Primary!Y1686)</f>
        <v>0</v>
      </c>
      <c r="Z1028" s="12">
        <f>IF(ActiveDatabase=Standby,Secondary!Z1028,Primary!Z1686)</f>
        <v>0</v>
      </c>
      <c r="AA1028" s="9">
        <f>IF(ActiveDatabase=Standby,Secondary!AA1028,Primary!AA1686)</f>
        <v>0</v>
      </c>
      <c r="AB1028" s="12"/>
      <c r="AC1028" s="6"/>
      <c r="AD1028" s="6"/>
      <c r="AE1028" s="7"/>
      <c r="AF1028" s="7"/>
      <c r="AG1028" s="7"/>
      <c r="AH1028" s="7"/>
      <c r="AI1028" s="7"/>
      <c r="AJ1028" s="7"/>
      <c r="AK1028" s="7"/>
      <c r="AL1028" s="7"/>
      <c r="AM1028" s="7"/>
      <c r="AN1028" s="7"/>
      <c r="AO1028" s="6"/>
      <c r="AP1028" s="7"/>
      <c r="AQ1028" s="7"/>
      <c r="AR1028" s="6"/>
      <c r="AS1028" s="7"/>
      <c r="AT1028" s="7"/>
      <c r="AU1028" s="7"/>
      <c r="AV1028" s="7"/>
      <c r="AW1028" s="7"/>
      <c r="AX1028" s="7"/>
      <c r="AY1028" s="7"/>
      <c r="AZ1028" s="7"/>
      <c r="BA1028" s="7"/>
      <c r="BB1028" s="7"/>
      <c r="BC1028" s="7"/>
      <c r="BD1028" s="7"/>
      <c r="BE1028" s="7"/>
      <c r="BF1028" s="7"/>
      <c r="BG1028" s="7"/>
    </row>
    <row r="1029" customHeight="1" spans="1:59">
      <c r="A1029" s="9">
        <f>IF(ActiveDatabase=Standby,Secondary!A1029,Primary!A1029)</f>
        <v>0</v>
      </c>
      <c r="B1029" s="5">
        <f>IF(ActiveDatabase=Standby,Secondary!B1029,Primary!B1029)</f>
        <v>0</v>
      </c>
      <c r="C1029" s="5">
        <f>IF(ActiveDatabase=Standby,Secondary!C1029,Primary!C1029)</f>
        <v>0</v>
      </c>
      <c r="D1029" s="5">
        <f>IF(ActiveDatabase=Standby,Secondary!D1029,Primary!D1029)</f>
        <v>0</v>
      </c>
      <c r="E1029" s="6">
        <f>IF(ActiveDatabase=Standby,Secondary!E1029,Primary!E1029)</f>
        <v>0</v>
      </c>
      <c r="F1029" s="10">
        <f>IF(ActiveDatabase=Standby,Secondary!F1029,Primary!F1029)</f>
        <v>0</v>
      </c>
      <c r="G1029" s="10">
        <f>IF(ActiveDatabase=Standby,Secondary!G1029,Primary!G1029)</f>
        <v>0</v>
      </c>
      <c r="H1029" s="10">
        <f>IF(ActiveDatabase=Standby,Secondary!H1029,Primary!H1029)</f>
        <v>0</v>
      </c>
      <c r="I1029" s="13">
        <f>IF(ActiveDatabase=Standby,Secondary!I1029,Primary!I1029)</f>
        <v>0</v>
      </c>
      <c r="J1029" s="13">
        <f>IF(ActiveDatabase=Standby,Secondary!J1029,Primary!J1029)</f>
        <v>0</v>
      </c>
      <c r="K1029" s="13">
        <f>IF(ActiveDatabase=Standby,Secondary!K1029,Primary!K1029)</f>
        <v>0</v>
      </c>
      <c r="L1029" s="13">
        <f>IF(ActiveDatabase=Standby,Secondary!L1029,Primary!L1029)</f>
        <v>0</v>
      </c>
      <c r="M1029" s="7">
        <f>IF(ActiveDatabase=Standby,Secondary!M1029,Primary!M1029)</f>
        <v>0</v>
      </c>
      <c r="N1029" s="10">
        <f>IF(ActiveDatabase=Standby,Secondary!N1029,Primary!N1029)</f>
        <v>0</v>
      </c>
      <c r="O1029" s="10">
        <f>IF(ActiveDatabase=Standby,Secondary!O1029,Primary!O1029)</f>
        <v>0</v>
      </c>
      <c r="P1029" s="10">
        <f>IF(ActiveDatabase=Standby,Secondary!P1029,Primary!P1029)</f>
        <v>0</v>
      </c>
      <c r="Q1029" s="6">
        <f>IF(ActiveDatabase=Standby,Secondary!Q1029,Primary!Q1029)</f>
        <v>0</v>
      </c>
      <c r="R1029" s="18">
        <f>IF(ActiveDatabase=Standby,Secondary!R1029,Primary!R1029)</f>
        <v>0</v>
      </c>
      <c r="S1029" s="19">
        <f>IF(ActiveDatabase=Standby,Secondary!S1029,Primary!S1029)</f>
        <v>0</v>
      </c>
      <c r="T1029" s="10">
        <f>IF(ActiveDatabase=Standby,Secondary!T1029,Primary!T1029)</f>
        <v>0</v>
      </c>
      <c r="U1029" s="10">
        <f>IF(ActiveDatabase=Standby,Secondary!U1029,Primary!U1029)</f>
        <v>0</v>
      </c>
      <c r="V1029" s="10">
        <f>IF(ActiveDatabase=Standby,Secondary!V1029,Primary!V1029)</f>
        <v>0</v>
      </c>
      <c r="W1029" s="6">
        <f>IF(ActiveDatabase=Standby,Secondary!W1029,Primary!W1029)</f>
        <v>0</v>
      </c>
      <c r="X1029" s="6">
        <f>IF(ActiveDatabase=Standby,Secondary!X1029,Primary!X1029)</f>
        <v>0</v>
      </c>
      <c r="Y1029" s="12">
        <f>IF(ActiveDatabase=Standby,Secondary!Y1029,Primary!Y1687)</f>
        <v>0</v>
      </c>
      <c r="Z1029" s="12">
        <f>IF(ActiveDatabase=Standby,Secondary!Z1029,Primary!Z1687)</f>
        <v>0</v>
      </c>
      <c r="AA1029" s="9">
        <f>IF(ActiveDatabase=Standby,Secondary!AA1029,Primary!AA1687)</f>
        <v>0</v>
      </c>
      <c r="AB1029" s="12"/>
      <c r="AC1029" s="6"/>
      <c r="AD1029" s="6"/>
      <c r="AE1029" s="7"/>
      <c r="AF1029" s="7"/>
      <c r="AG1029" s="7"/>
      <c r="AH1029" s="7"/>
      <c r="AI1029" s="7"/>
      <c r="AJ1029" s="7"/>
      <c r="AK1029" s="7"/>
      <c r="AL1029" s="7"/>
      <c r="AM1029" s="7"/>
      <c r="AN1029" s="7"/>
      <c r="AO1029" s="6"/>
      <c r="AP1029" s="7"/>
      <c r="AQ1029" s="7"/>
      <c r="AR1029" s="6"/>
      <c r="AS1029" s="7"/>
      <c r="AT1029" s="7"/>
      <c r="AU1029" s="7"/>
      <c r="AV1029" s="7"/>
      <c r="AW1029" s="7"/>
      <c r="AX1029" s="7"/>
      <c r="AY1029" s="7"/>
      <c r="AZ1029" s="7"/>
      <c r="BA1029" s="7"/>
      <c r="BB1029" s="7"/>
      <c r="BC1029" s="7"/>
      <c r="BD1029" s="7"/>
      <c r="BE1029" s="7"/>
      <c r="BF1029" s="7"/>
      <c r="BG1029" s="7"/>
    </row>
    <row r="1030" customHeight="1" spans="1:59">
      <c r="A1030" s="9">
        <f>IF(ActiveDatabase=Standby,Secondary!A1030,Primary!A1030)</f>
        <v>0</v>
      </c>
      <c r="B1030" s="5">
        <f>IF(ActiveDatabase=Standby,Secondary!B1030,Primary!B1030)</f>
        <v>0</v>
      </c>
      <c r="C1030" s="5">
        <f>IF(ActiveDatabase=Standby,Secondary!C1030,Primary!C1030)</f>
        <v>0</v>
      </c>
      <c r="D1030" s="5">
        <f>IF(ActiveDatabase=Standby,Secondary!D1030,Primary!D1030)</f>
        <v>0</v>
      </c>
      <c r="E1030" s="6">
        <f>IF(ActiveDatabase=Standby,Secondary!E1030,Primary!E1030)</f>
        <v>0</v>
      </c>
      <c r="F1030" s="10">
        <f>IF(ActiveDatabase=Standby,Secondary!F1030,Primary!F1030)</f>
        <v>0</v>
      </c>
      <c r="G1030" s="10">
        <f>IF(ActiveDatabase=Standby,Secondary!G1030,Primary!G1030)</f>
        <v>0</v>
      </c>
      <c r="H1030" s="10">
        <f>IF(ActiveDatabase=Standby,Secondary!H1030,Primary!H1030)</f>
        <v>0</v>
      </c>
      <c r="I1030" s="13">
        <f>IF(ActiveDatabase=Standby,Secondary!I1030,Primary!I1030)</f>
        <v>0</v>
      </c>
      <c r="J1030" s="13">
        <f>IF(ActiveDatabase=Standby,Secondary!J1030,Primary!J1030)</f>
        <v>0</v>
      </c>
      <c r="K1030" s="13">
        <f>IF(ActiveDatabase=Standby,Secondary!K1030,Primary!K1030)</f>
        <v>0</v>
      </c>
      <c r="L1030" s="13">
        <f>IF(ActiveDatabase=Standby,Secondary!L1030,Primary!L1030)</f>
        <v>0</v>
      </c>
      <c r="M1030" s="7">
        <f>IF(ActiveDatabase=Standby,Secondary!M1030,Primary!M1030)</f>
        <v>0</v>
      </c>
      <c r="N1030" s="10">
        <f>IF(ActiveDatabase=Standby,Secondary!N1030,Primary!N1030)</f>
        <v>0</v>
      </c>
      <c r="O1030" s="10">
        <f>IF(ActiveDatabase=Standby,Secondary!O1030,Primary!O1030)</f>
        <v>0</v>
      </c>
      <c r="P1030" s="10">
        <f>IF(ActiveDatabase=Standby,Secondary!P1030,Primary!P1030)</f>
        <v>0</v>
      </c>
      <c r="Q1030" s="6">
        <f>IF(ActiveDatabase=Standby,Secondary!Q1030,Primary!Q1030)</f>
        <v>0</v>
      </c>
      <c r="R1030" s="18">
        <f>IF(ActiveDatabase=Standby,Secondary!R1030,Primary!R1030)</f>
        <v>0</v>
      </c>
      <c r="S1030" s="19">
        <f>IF(ActiveDatabase=Standby,Secondary!S1030,Primary!S1030)</f>
        <v>0</v>
      </c>
      <c r="T1030" s="10">
        <f>IF(ActiveDatabase=Standby,Secondary!T1030,Primary!T1030)</f>
        <v>0</v>
      </c>
      <c r="U1030" s="10">
        <f>IF(ActiveDatabase=Standby,Secondary!U1030,Primary!U1030)</f>
        <v>0</v>
      </c>
      <c r="V1030" s="10">
        <f>IF(ActiveDatabase=Standby,Secondary!V1030,Primary!V1030)</f>
        <v>0</v>
      </c>
      <c r="W1030" s="6">
        <f>IF(ActiveDatabase=Standby,Secondary!W1030,Primary!W1030)</f>
        <v>0</v>
      </c>
      <c r="X1030" s="6">
        <f>IF(ActiveDatabase=Standby,Secondary!X1030,Primary!X1030)</f>
        <v>0</v>
      </c>
      <c r="Y1030" s="12">
        <f>IF(ActiveDatabase=Standby,Secondary!Y1030,Primary!Y1688)</f>
        <v>0</v>
      </c>
      <c r="Z1030" s="12">
        <f>IF(ActiveDatabase=Standby,Secondary!Z1030,Primary!Z1688)</f>
        <v>0</v>
      </c>
      <c r="AA1030" s="6">
        <f>IF(ActiveDatabase=Standby,Secondary!AA1030,Primary!AA1688)</f>
        <v>0</v>
      </c>
      <c r="AB1030" s="12"/>
      <c r="AC1030" s="6"/>
      <c r="AD1030" s="6"/>
      <c r="AE1030" s="7"/>
      <c r="AF1030" s="7"/>
      <c r="AG1030" s="7"/>
      <c r="AH1030" s="7"/>
      <c r="AI1030" s="7"/>
      <c r="AJ1030" s="7"/>
      <c r="AK1030" s="7"/>
      <c r="AL1030" s="7"/>
      <c r="AM1030" s="7"/>
      <c r="AN1030" s="7"/>
      <c r="AO1030" s="6"/>
      <c r="AP1030" s="7"/>
      <c r="AQ1030" s="7"/>
      <c r="AR1030" s="6"/>
      <c r="AS1030" s="6"/>
      <c r="AT1030" s="6"/>
      <c r="AU1030" s="6"/>
      <c r="AV1030" s="6"/>
      <c r="AW1030" s="6"/>
      <c r="AX1030" s="6"/>
      <c r="AY1030" s="6"/>
      <c r="AZ1030" s="6"/>
      <c r="BA1030" s="6"/>
      <c r="BB1030" s="6"/>
      <c r="BC1030" s="6"/>
      <c r="BD1030" s="6"/>
      <c r="BE1030" s="6"/>
      <c r="BF1030" s="6"/>
      <c r="BG1030" s="6"/>
    </row>
    <row r="1031" customHeight="1" spans="1:59">
      <c r="A1031" s="9">
        <f>IF(ActiveDatabase=Standby,Secondary!A1031,Primary!A1031)</f>
        <v>0</v>
      </c>
      <c r="B1031" s="5">
        <f>IF(ActiveDatabase=Standby,Secondary!B1031,Primary!B1031)</f>
        <v>0</v>
      </c>
      <c r="C1031" s="5">
        <f>IF(ActiveDatabase=Standby,Secondary!C1031,Primary!C1031)</f>
        <v>0</v>
      </c>
      <c r="D1031" s="5">
        <f>IF(ActiveDatabase=Standby,Secondary!D1031,Primary!D1031)</f>
        <v>0</v>
      </c>
      <c r="E1031" s="6">
        <f>IF(ActiveDatabase=Standby,Secondary!E1031,Primary!E1031)</f>
        <v>0</v>
      </c>
      <c r="F1031" s="10">
        <f>IF(ActiveDatabase=Standby,Secondary!F1031,Primary!F1031)</f>
        <v>0</v>
      </c>
      <c r="G1031" s="10">
        <f>IF(ActiveDatabase=Standby,Secondary!G1031,Primary!G1031)</f>
        <v>0</v>
      </c>
      <c r="H1031" s="10">
        <f>IF(ActiveDatabase=Standby,Secondary!H1031,Primary!H1031)</f>
        <v>0</v>
      </c>
      <c r="I1031" s="13">
        <f>IF(ActiveDatabase=Standby,Secondary!I1031,Primary!I1031)</f>
        <v>0</v>
      </c>
      <c r="J1031" s="13">
        <f>IF(ActiveDatabase=Standby,Secondary!J1031,Primary!J1031)</f>
        <v>0</v>
      </c>
      <c r="K1031" s="13">
        <f>IF(ActiveDatabase=Standby,Secondary!K1031,Primary!K1031)</f>
        <v>0</v>
      </c>
      <c r="L1031" s="13">
        <f>IF(ActiveDatabase=Standby,Secondary!L1031,Primary!L1031)</f>
        <v>0</v>
      </c>
      <c r="M1031" s="7">
        <f>IF(ActiveDatabase=Standby,Secondary!M1031,Primary!M1031)</f>
        <v>0</v>
      </c>
      <c r="N1031" s="10">
        <f>IF(ActiveDatabase=Standby,Secondary!N1031,Primary!N1031)</f>
        <v>0</v>
      </c>
      <c r="O1031" s="10">
        <f>IF(ActiveDatabase=Standby,Secondary!O1031,Primary!O1031)</f>
        <v>0</v>
      </c>
      <c r="P1031" s="10">
        <f>IF(ActiveDatabase=Standby,Secondary!P1031,Primary!P1031)</f>
        <v>0</v>
      </c>
      <c r="Q1031" s="6">
        <f>IF(ActiveDatabase=Standby,Secondary!Q1031,Primary!Q1031)</f>
        <v>0</v>
      </c>
      <c r="R1031" s="18">
        <f>IF(ActiveDatabase=Standby,Secondary!R1031,Primary!R1031)</f>
        <v>0</v>
      </c>
      <c r="S1031" s="19">
        <f>IF(ActiveDatabase=Standby,Secondary!S1031,Primary!S1031)</f>
        <v>0</v>
      </c>
      <c r="T1031" s="10">
        <f>IF(ActiveDatabase=Standby,Secondary!T1031,Primary!T1031)</f>
        <v>0</v>
      </c>
      <c r="U1031" s="10">
        <f>IF(ActiveDatabase=Standby,Secondary!U1031,Primary!U1031)</f>
        <v>0</v>
      </c>
      <c r="V1031" s="10">
        <f>IF(ActiveDatabase=Standby,Secondary!V1031,Primary!V1031)</f>
        <v>0</v>
      </c>
      <c r="W1031" s="6">
        <f>IF(ActiveDatabase=Standby,Secondary!W1031,Primary!W1031)</f>
        <v>0</v>
      </c>
      <c r="X1031" s="6">
        <f>IF(ActiveDatabase=Standby,Secondary!X1031,Primary!X1031)</f>
        <v>0</v>
      </c>
      <c r="Y1031" s="12">
        <f>IF(ActiveDatabase=Standby,Secondary!Y1031,Primary!Y1689)</f>
        <v>0</v>
      </c>
      <c r="Z1031" s="12">
        <f>IF(ActiveDatabase=Standby,Secondary!Z1031,Primary!Z1689)</f>
        <v>0</v>
      </c>
      <c r="AA1031" s="7">
        <f>IF(ActiveDatabase=Standby,Secondary!AA1031,Primary!AA1689)</f>
        <v>0</v>
      </c>
      <c r="AB1031" s="12"/>
      <c r="AC1031" s="6"/>
      <c r="AD1031" s="6"/>
      <c r="AE1031" s="7"/>
      <c r="AF1031" s="7"/>
      <c r="AG1031" s="7"/>
      <c r="AH1031" s="7"/>
      <c r="AI1031" s="7"/>
      <c r="AJ1031" s="7"/>
      <c r="AK1031" s="7"/>
      <c r="AL1031" s="7"/>
      <c r="AM1031" s="7"/>
      <c r="AN1031" s="7"/>
      <c r="AO1031" s="6"/>
      <c r="AP1031" s="7"/>
      <c r="AQ1031" s="7"/>
      <c r="AR1031" s="6"/>
      <c r="AS1031" s="7"/>
      <c r="AT1031" s="7"/>
      <c r="AU1031" s="7"/>
      <c r="AV1031" s="7"/>
      <c r="AW1031" s="7"/>
      <c r="AX1031" s="7"/>
      <c r="AY1031" s="7"/>
      <c r="AZ1031" s="7"/>
      <c r="BA1031" s="7"/>
      <c r="BB1031" s="7"/>
      <c r="BC1031" s="7"/>
      <c r="BD1031" s="7"/>
      <c r="BE1031" s="7"/>
      <c r="BF1031" s="7"/>
      <c r="BG1031" s="7"/>
    </row>
    <row r="1032" customHeight="1" spans="1:59">
      <c r="A1032" s="9">
        <f>IF(ActiveDatabase=Standby,Secondary!A1032,Primary!A1032)</f>
        <v>0</v>
      </c>
      <c r="B1032" s="5">
        <f>IF(ActiveDatabase=Standby,Secondary!B1032,Primary!B1032)</f>
        <v>0</v>
      </c>
      <c r="C1032" s="5">
        <f>IF(ActiveDatabase=Standby,Secondary!C1032,Primary!C1032)</f>
        <v>0</v>
      </c>
      <c r="D1032" s="5">
        <f>IF(ActiveDatabase=Standby,Secondary!D1032,Primary!D1032)</f>
        <v>0</v>
      </c>
      <c r="E1032" s="6">
        <f>IF(ActiveDatabase=Standby,Secondary!E1032,Primary!E1032)</f>
        <v>0</v>
      </c>
      <c r="F1032" s="10">
        <f>IF(ActiveDatabase=Standby,Secondary!F1032,Primary!F1032)</f>
        <v>0</v>
      </c>
      <c r="G1032" s="10">
        <f>IF(ActiveDatabase=Standby,Secondary!G1032,Primary!G1032)</f>
        <v>0</v>
      </c>
      <c r="H1032" s="10">
        <f>IF(ActiveDatabase=Standby,Secondary!H1032,Primary!H1032)</f>
        <v>0</v>
      </c>
      <c r="I1032" s="13">
        <f>IF(ActiveDatabase=Standby,Secondary!I1032,Primary!I1032)</f>
        <v>0</v>
      </c>
      <c r="J1032" s="13">
        <f>IF(ActiveDatabase=Standby,Secondary!J1032,Primary!J1032)</f>
        <v>0</v>
      </c>
      <c r="K1032" s="13">
        <f>IF(ActiveDatabase=Standby,Secondary!K1032,Primary!K1032)</f>
        <v>0</v>
      </c>
      <c r="L1032" s="13">
        <f>IF(ActiveDatabase=Standby,Secondary!L1032,Primary!L1032)</f>
        <v>0</v>
      </c>
      <c r="M1032" s="7">
        <f>IF(ActiveDatabase=Standby,Secondary!M1032,Primary!M1032)</f>
        <v>0</v>
      </c>
      <c r="N1032" s="10">
        <f>IF(ActiveDatabase=Standby,Secondary!N1032,Primary!N1032)</f>
        <v>0</v>
      </c>
      <c r="O1032" s="10">
        <f>IF(ActiveDatabase=Standby,Secondary!O1032,Primary!O1032)</f>
        <v>0</v>
      </c>
      <c r="P1032" s="10">
        <f>IF(ActiveDatabase=Standby,Secondary!P1032,Primary!P1032)</f>
        <v>0</v>
      </c>
      <c r="Q1032" s="6">
        <f>IF(ActiveDatabase=Standby,Secondary!Q1032,Primary!Q1032)</f>
        <v>0</v>
      </c>
      <c r="R1032" s="18">
        <f>IF(ActiveDatabase=Standby,Secondary!R1032,Primary!R1032)</f>
        <v>0</v>
      </c>
      <c r="S1032" s="19">
        <f>IF(ActiveDatabase=Standby,Secondary!S1032,Primary!S1032)</f>
        <v>0</v>
      </c>
      <c r="T1032" s="10">
        <f>IF(ActiveDatabase=Standby,Secondary!T1032,Primary!T1032)</f>
        <v>0</v>
      </c>
      <c r="U1032" s="10">
        <f>IF(ActiveDatabase=Standby,Secondary!U1032,Primary!U1032)</f>
        <v>0</v>
      </c>
      <c r="V1032" s="10">
        <f>IF(ActiveDatabase=Standby,Secondary!V1032,Primary!V1032)</f>
        <v>0</v>
      </c>
      <c r="W1032" s="6">
        <f>IF(ActiveDatabase=Standby,Secondary!W1032,Primary!W1032)</f>
        <v>0</v>
      </c>
      <c r="X1032" s="6">
        <f>IF(ActiveDatabase=Standby,Secondary!X1032,Primary!X1032)</f>
        <v>0</v>
      </c>
      <c r="Y1032" s="12">
        <f>IF(ActiveDatabase=Standby,Secondary!Y1032,Primary!Y1690)</f>
        <v>0</v>
      </c>
      <c r="Z1032" s="12">
        <f>IF(ActiveDatabase=Standby,Secondary!Z1032,Primary!Z1690)</f>
        <v>0</v>
      </c>
      <c r="AA1032" s="7">
        <f>IF(ActiveDatabase=Standby,Secondary!AA1032,Primary!AA1690)</f>
        <v>0</v>
      </c>
      <c r="AB1032" s="12"/>
      <c r="AC1032" s="6"/>
      <c r="AD1032" s="6"/>
      <c r="AE1032" s="7"/>
      <c r="AF1032" s="7"/>
      <c r="AG1032" s="7"/>
      <c r="AH1032" s="7"/>
      <c r="AI1032" s="7"/>
      <c r="AJ1032" s="7"/>
      <c r="AK1032" s="7"/>
      <c r="AL1032" s="7"/>
      <c r="AM1032" s="7"/>
      <c r="AN1032" s="7"/>
      <c r="AO1032" s="6"/>
      <c r="AP1032" s="7"/>
      <c r="AQ1032" s="7"/>
      <c r="AR1032" s="6"/>
      <c r="AS1032" s="7"/>
      <c r="AT1032" s="7"/>
      <c r="AU1032" s="7"/>
      <c r="AV1032" s="7"/>
      <c r="AW1032" s="7"/>
      <c r="AX1032" s="7"/>
      <c r="AY1032" s="7"/>
      <c r="AZ1032" s="7"/>
      <c r="BA1032" s="7"/>
      <c r="BB1032" s="7"/>
      <c r="BC1032" s="7"/>
      <c r="BD1032" s="7"/>
      <c r="BE1032" s="7"/>
      <c r="BF1032" s="7"/>
      <c r="BG1032" s="7"/>
    </row>
    <row r="1033" customHeight="1" spans="1:59">
      <c r="A1033" s="9">
        <f>IF(ActiveDatabase=Standby,Secondary!A1033,Primary!A1033)</f>
        <v>0</v>
      </c>
      <c r="B1033" s="5">
        <f>IF(ActiveDatabase=Standby,Secondary!B1033,Primary!B1033)</f>
        <v>0</v>
      </c>
      <c r="C1033" s="5">
        <f>IF(ActiveDatabase=Standby,Secondary!C1033,Primary!C1033)</f>
        <v>0</v>
      </c>
      <c r="D1033" s="5">
        <f>IF(ActiveDatabase=Standby,Secondary!D1033,Primary!D1033)</f>
        <v>0</v>
      </c>
      <c r="E1033" s="6">
        <f>IF(ActiveDatabase=Standby,Secondary!E1033,Primary!E1033)</f>
        <v>0</v>
      </c>
      <c r="F1033" s="10">
        <f>IF(ActiveDatabase=Standby,Secondary!F1033,Primary!F1033)</f>
        <v>0</v>
      </c>
      <c r="G1033" s="10">
        <f>IF(ActiveDatabase=Standby,Secondary!G1033,Primary!G1033)</f>
        <v>0</v>
      </c>
      <c r="H1033" s="10">
        <f>IF(ActiveDatabase=Standby,Secondary!H1033,Primary!H1033)</f>
        <v>0</v>
      </c>
      <c r="I1033" s="13">
        <f>IF(ActiveDatabase=Standby,Secondary!I1033,Primary!I1033)</f>
        <v>0</v>
      </c>
      <c r="J1033" s="13">
        <f>IF(ActiveDatabase=Standby,Secondary!J1033,Primary!J1033)</f>
        <v>0</v>
      </c>
      <c r="K1033" s="13">
        <f>IF(ActiveDatabase=Standby,Secondary!K1033,Primary!K1033)</f>
        <v>0</v>
      </c>
      <c r="L1033" s="13">
        <f>IF(ActiveDatabase=Standby,Secondary!L1033,Primary!L1033)</f>
        <v>0</v>
      </c>
      <c r="M1033" s="7">
        <f>IF(ActiveDatabase=Standby,Secondary!M1033,Primary!M1033)</f>
        <v>0</v>
      </c>
      <c r="N1033" s="10">
        <f>IF(ActiveDatabase=Standby,Secondary!N1033,Primary!N1033)</f>
        <v>0</v>
      </c>
      <c r="O1033" s="10">
        <f>IF(ActiveDatabase=Standby,Secondary!O1033,Primary!O1033)</f>
        <v>0</v>
      </c>
      <c r="P1033" s="10">
        <f>IF(ActiveDatabase=Standby,Secondary!P1033,Primary!P1033)</f>
        <v>0</v>
      </c>
      <c r="Q1033" s="6">
        <f>IF(ActiveDatabase=Standby,Secondary!Q1033,Primary!Q1033)</f>
        <v>0</v>
      </c>
      <c r="R1033" s="18">
        <f>IF(ActiveDatabase=Standby,Secondary!R1033,Primary!R1033)</f>
        <v>0</v>
      </c>
      <c r="S1033" s="19">
        <f>IF(ActiveDatabase=Standby,Secondary!S1033,Primary!S1033)</f>
        <v>0</v>
      </c>
      <c r="T1033" s="10">
        <f>IF(ActiveDatabase=Standby,Secondary!T1033,Primary!T1033)</f>
        <v>0</v>
      </c>
      <c r="U1033" s="10">
        <f>IF(ActiveDatabase=Standby,Secondary!U1033,Primary!U1033)</f>
        <v>0</v>
      </c>
      <c r="V1033" s="10">
        <f>IF(ActiveDatabase=Standby,Secondary!V1033,Primary!V1033)</f>
        <v>0</v>
      </c>
      <c r="W1033" s="6">
        <f>IF(ActiveDatabase=Standby,Secondary!W1033,Primary!W1033)</f>
        <v>0</v>
      </c>
      <c r="X1033" s="6">
        <f>IF(ActiveDatabase=Standby,Secondary!X1033,Primary!X1033)</f>
        <v>0</v>
      </c>
      <c r="Y1033" s="12">
        <f>IF(ActiveDatabase=Standby,Secondary!Y1033,Primary!Y1691)</f>
        <v>0</v>
      </c>
      <c r="Z1033" s="12">
        <f>IF(ActiveDatabase=Standby,Secondary!Z1033,Primary!Z1691)</f>
        <v>0</v>
      </c>
      <c r="AA1033" s="7">
        <f>IF(ActiveDatabase=Standby,Secondary!AA1033,Primary!AA1691)</f>
        <v>0</v>
      </c>
      <c r="AB1033" s="12"/>
      <c r="AC1033" s="6"/>
      <c r="AD1033" s="6"/>
      <c r="AE1033" s="7"/>
      <c r="AF1033" s="7"/>
      <c r="AG1033" s="7"/>
      <c r="AH1033" s="7"/>
      <c r="AI1033" s="7"/>
      <c r="AJ1033" s="7"/>
      <c r="AK1033" s="7"/>
      <c r="AL1033" s="7"/>
      <c r="AM1033" s="7"/>
      <c r="AN1033" s="7"/>
      <c r="AO1033" s="6"/>
      <c r="AP1033" s="7"/>
      <c r="AQ1033" s="7"/>
      <c r="AR1033" s="6"/>
      <c r="AS1033" s="7"/>
      <c r="AT1033" s="7"/>
      <c r="AU1033" s="7"/>
      <c r="AV1033" s="7"/>
      <c r="AW1033" s="7"/>
      <c r="AX1033" s="7"/>
      <c r="AY1033" s="7"/>
      <c r="AZ1033" s="7"/>
      <c r="BA1033" s="7"/>
      <c r="BB1033" s="7"/>
      <c r="BC1033" s="7"/>
      <c r="BD1033" s="7"/>
      <c r="BE1033" s="7"/>
      <c r="BF1033" s="7"/>
      <c r="BG1033" s="7"/>
    </row>
    <row r="1034" customHeight="1" spans="1:59">
      <c r="A1034" s="9">
        <f>IF(ActiveDatabase=Standby,Secondary!A1034,Primary!A1034)</f>
        <v>0</v>
      </c>
      <c r="B1034" s="5">
        <f>IF(ActiveDatabase=Standby,Secondary!B1034,Primary!B1034)</f>
        <v>0</v>
      </c>
      <c r="C1034" s="5">
        <f>IF(ActiveDatabase=Standby,Secondary!C1034,Primary!C1034)</f>
        <v>0</v>
      </c>
      <c r="D1034" s="5">
        <f>IF(ActiveDatabase=Standby,Secondary!D1034,Primary!D1034)</f>
        <v>0</v>
      </c>
      <c r="E1034" s="6">
        <f>IF(ActiveDatabase=Standby,Secondary!E1034,Primary!E1034)</f>
        <v>0</v>
      </c>
      <c r="F1034" s="10">
        <f>IF(ActiveDatabase=Standby,Secondary!F1034,Primary!F1034)</f>
        <v>0</v>
      </c>
      <c r="G1034" s="10">
        <f>IF(ActiveDatabase=Standby,Secondary!G1034,Primary!G1034)</f>
        <v>0</v>
      </c>
      <c r="H1034" s="10">
        <f>IF(ActiveDatabase=Standby,Secondary!H1034,Primary!H1034)</f>
        <v>0</v>
      </c>
      <c r="I1034" s="13">
        <f>IF(ActiveDatabase=Standby,Secondary!I1034,Primary!I1034)</f>
        <v>0</v>
      </c>
      <c r="J1034" s="13">
        <f>IF(ActiveDatabase=Standby,Secondary!J1034,Primary!J1034)</f>
        <v>0</v>
      </c>
      <c r="K1034" s="13">
        <f>IF(ActiveDatabase=Standby,Secondary!K1034,Primary!K1034)</f>
        <v>0</v>
      </c>
      <c r="L1034" s="13">
        <f>IF(ActiveDatabase=Standby,Secondary!L1034,Primary!L1034)</f>
        <v>0</v>
      </c>
      <c r="M1034" s="7">
        <f>IF(ActiveDatabase=Standby,Secondary!M1034,Primary!M1034)</f>
        <v>0</v>
      </c>
      <c r="N1034" s="10">
        <f>IF(ActiveDatabase=Standby,Secondary!N1034,Primary!N1034)</f>
        <v>0</v>
      </c>
      <c r="O1034" s="10">
        <f>IF(ActiveDatabase=Standby,Secondary!O1034,Primary!O1034)</f>
        <v>0</v>
      </c>
      <c r="P1034" s="10">
        <f>IF(ActiveDatabase=Standby,Secondary!P1034,Primary!P1034)</f>
        <v>0</v>
      </c>
      <c r="Q1034" s="6">
        <f>IF(ActiveDatabase=Standby,Secondary!Q1034,Primary!Q1034)</f>
        <v>0</v>
      </c>
      <c r="R1034" s="18">
        <f>IF(ActiveDatabase=Standby,Secondary!R1034,Primary!R1034)</f>
        <v>0</v>
      </c>
      <c r="S1034" s="19">
        <f>IF(ActiveDatabase=Standby,Secondary!S1034,Primary!S1034)</f>
        <v>0</v>
      </c>
      <c r="T1034" s="10">
        <f>IF(ActiveDatabase=Standby,Secondary!T1034,Primary!T1034)</f>
        <v>0</v>
      </c>
      <c r="U1034" s="10">
        <f>IF(ActiveDatabase=Standby,Secondary!U1034,Primary!U1034)</f>
        <v>0</v>
      </c>
      <c r="V1034" s="10">
        <f>IF(ActiveDatabase=Standby,Secondary!V1034,Primary!V1034)</f>
        <v>0</v>
      </c>
      <c r="W1034" s="6">
        <f>IF(ActiveDatabase=Standby,Secondary!W1034,Primary!W1034)</f>
        <v>0</v>
      </c>
      <c r="X1034" s="6">
        <f>IF(ActiveDatabase=Standby,Secondary!X1034,Primary!X1034)</f>
        <v>0</v>
      </c>
      <c r="Y1034" s="12">
        <f>IF(ActiveDatabase=Standby,Secondary!Y1034,Primary!Y1692)</f>
        <v>0</v>
      </c>
      <c r="Z1034" s="12">
        <f>IF(ActiveDatabase=Standby,Secondary!Z1034,Primary!Z1692)</f>
        <v>0</v>
      </c>
      <c r="AA1034" s="7">
        <f>IF(ActiveDatabase=Standby,Secondary!AA1034,Primary!AA1692)</f>
        <v>0</v>
      </c>
      <c r="AB1034" s="12"/>
      <c r="AC1034" s="6"/>
      <c r="AD1034" s="6"/>
      <c r="AE1034" s="7"/>
      <c r="AF1034" s="7"/>
      <c r="AG1034" s="7"/>
      <c r="AH1034" s="7"/>
      <c r="AI1034" s="7"/>
      <c r="AJ1034" s="7"/>
      <c r="AK1034" s="7"/>
      <c r="AL1034" s="7"/>
      <c r="AM1034" s="7"/>
      <c r="AN1034" s="7"/>
      <c r="AO1034" s="6"/>
      <c r="AP1034" s="7"/>
      <c r="AQ1034" s="7"/>
      <c r="AR1034" s="6"/>
      <c r="AS1034" s="7"/>
      <c r="AT1034" s="7"/>
      <c r="AU1034" s="7"/>
      <c r="AV1034" s="7"/>
      <c r="AW1034" s="7"/>
      <c r="AX1034" s="7"/>
      <c r="AY1034" s="7"/>
      <c r="AZ1034" s="7"/>
      <c r="BA1034" s="7"/>
      <c r="BB1034" s="7"/>
      <c r="BC1034" s="7"/>
      <c r="BD1034" s="7"/>
      <c r="BE1034" s="7"/>
      <c r="BF1034" s="7"/>
      <c r="BG1034" s="7"/>
    </row>
    <row r="1035" customHeight="1" spans="1:59">
      <c r="A1035" s="9">
        <f>IF(ActiveDatabase=Standby,Secondary!A1035,Primary!A1035)</f>
        <v>0</v>
      </c>
      <c r="B1035" s="5">
        <f>IF(ActiveDatabase=Standby,Secondary!B1035,Primary!B1035)</f>
        <v>0</v>
      </c>
      <c r="C1035" s="5">
        <f>IF(ActiveDatabase=Standby,Secondary!C1035,Primary!C1035)</f>
        <v>0</v>
      </c>
      <c r="D1035" s="5">
        <f>IF(ActiveDatabase=Standby,Secondary!D1035,Primary!D1035)</f>
        <v>0</v>
      </c>
      <c r="E1035" s="6">
        <f>IF(ActiveDatabase=Standby,Secondary!E1035,Primary!E1035)</f>
        <v>0</v>
      </c>
      <c r="F1035" s="10">
        <f>IF(ActiveDatabase=Standby,Secondary!F1035,Primary!F1035)</f>
        <v>0</v>
      </c>
      <c r="G1035" s="10">
        <f>IF(ActiveDatabase=Standby,Secondary!G1035,Primary!G1035)</f>
        <v>0</v>
      </c>
      <c r="H1035" s="10">
        <f>IF(ActiveDatabase=Standby,Secondary!H1035,Primary!H1035)</f>
        <v>0</v>
      </c>
      <c r="I1035" s="13">
        <f>IF(ActiveDatabase=Standby,Secondary!I1035,Primary!I1035)</f>
        <v>0</v>
      </c>
      <c r="J1035" s="13">
        <f>IF(ActiveDatabase=Standby,Secondary!J1035,Primary!J1035)</f>
        <v>0</v>
      </c>
      <c r="K1035" s="13">
        <f>IF(ActiveDatabase=Standby,Secondary!K1035,Primary!K1035)</f>
        <v>0</v>
      </c>
      <c r="L1035" s="13">
        <f>IF(ActiveDatabase=Standby,Secondary!L1035,Primary!L1035)</f>
        <v>0</v>
      </c>
      <c r="M1035" s="7">
        <f>IF(ActiveDatabase=Standby,Secondary!M1035,Primary!M1035)</f>
        <v>0</v>
      </c>
      <c r="N1035" s="10">
        <f>IF(ActiveDatabase=Standby,Secondary!N1035,Primary!N1035)</f>
        <v>0</v>
      </c>
      <c r="O1035" s="10">
        <f>IF(ActiveDatabase=Standby,Secondary!O1035,Primary!O1035)</f>
        <v>0</v>
      </c>
      <c r="P1035" s="10">
        <f>IF(ActiveDatabase=Standby,Secondary!P1035,Primary!P1035)</f>
        <v>0</v>
      </c>
      <c r="Q1035" s="6">
        <f>IF(ActiveDatabase=Standby,Secondary!Q1035,Primary!Q1035)</f>
        <v>0</v>
      </c>
      <c r="R1035" s="18">
        <f>IF(ActiveDatabase=Standby,Secondary!R1035,Primary!R1035)</f>
        <v>0</v>
      </c>
      <c r="S1035" s="19">
        <f>IF(ActiveDatabase=Standby,Secondary!S1035,Primary!S1035)</f>
        <v>0</v>
      </c>
      <c r="T1035" s="10">
        <f>IF(ActiveDatabase=Standby,Secondary!T1035,Primary!T1035)</f>
        <v>0</v>
      </c>
      <c r="U1035" s="10">
        <f>IF(ActiveDatabase=Standby,Secondary!U1035,Primary!U1035)</f>
        <v>0</v>
      </c>
      <c r="V1035" s="10">
        <f>IF(ActiveDatabase=Standby,Secondary!V1035,Primary!V1035)</f>
        <v>0</v>
      </c>
      <c r="W1035" s="6">
        <f>IF(ActiveDatabase=Standby,Secondary!W1035,Primary!W1035)</f>
        <v>0</v>
      </c>
      <c r="X1035" s="6">
        <f>IF(ActiveDatabase=Standby,Secondary!X1035,Primary!X1035)</f>
        <v>0</v>
      </c>
      <c r="Y1035" s="12">
        <f>IF(ActiveDatabase=Standby,Secondary!Y1035,Primary!Y1693)</f>
        <v>0</v>
      </c>
      <c r="Z1035" s="12">
        <f>IF(ActiveDatabase=Standby,Secondary!Z1035,Primary!Z1693)</f>
        <v>0</v>
      </c>
      <c r="AA1035" s="7">
        <f>IF(ActiveDatabase=Standby,Secondary!AA1035,Primary!AA1693)</f>
        <v>0</v>
      </c>
      <c r="AB1035" s="12"/>
      <c r="AC1035" s="6"/>
      <c r="AD1035" s="6"/>
      <c r="AE1035" s="7"/>
      <c r="AF1035" s="7"/>
      <c r="AG1035" s="7"/>
      <c r="AH1035" s="7"/>
      <c r="AI1035" s="7"/>
      <c r="AJ1035" s="7"/>
      <c r="AK1035" s="7"/>
      <c r="AL1035" s="7"/>
      <c r="AM1035" s="7"/>
      <c r="AN1035" s="7"/>
      <c r="AO1035" s="6"/>
      <c r="AP1035" s="7"/>
      <c r="AQ1035" s="7"/>
      <c r="AR1035" s="6"/>
      <c r="AS1035" s="7"/>
      <c r="AT1035" s="7"/>
      <c r="AU1035" s="7"/>
      <c r="AV1035" s="7"/>
      <c r="AW1035" s="7"/>
      <c r="AX1035" s="7"/>
      <c r="AY1035" s="7"/>
      <c r="AZ1035" s="7"/>
      <c r="BA1035" s="7"/>
      <c r="BB1035" s="7"/>
      <c r="BC1035" s="7"/>
      <c r="BD1035" s="7"/>
      <c r="BE1035" s="7"/>
      <c r="BF1035" s="7"/>
      <c r="BG1035" s="7"/>
    </row>
    <row r="1036" customHeight="1" spans="1:59">
      <c r="A1036" s="9">
        <f>IF(ActiveDatabase=Standby,Secondary!A1036,Primary!A1036)</f>
        <v>0</v>
      </c>
      <c r="B1036" s="5">
        <f>IF(ActiveDatabase=Standby,Secondary!B1036,Primary!B1036)</f>
        <v>0</v>
      </c>
      <c r="C1036" s="5">
        <f>IF(ActiveDatabase=Standby,Secondary!C1036,Primary!C1036)</f>
        <v>0</v>
      </c>
      <c r="D1036" s="5">
        <f>IF(ActiveDatabase=Standby,Secondary!D1036,Primary!D1036)</f>
        <v>0</v>
      </c>
      <c r="E1036" s="6">
        <f>IF(ActiveDatabase=Standby,Secondary!E1036,Primary!E1036)</f>
        <v>0</v>
      </c>
      <c r="F1036" s="10">
        <f>IF(ActiveDatabase=Standby,Secondary!F1036,Primary!F1036)</f>
        <v>0</v>
      </c>
      <c r="G1036" s="10">
        <f>IF(ActiveDatabase=Standby,Secondary!G1036,Primary!G1036)</f>
        <v>0</v>
      </c>
      <c r="H1036" s="10">
        <f>IF(ActiveDatabase=Standby,Secondary!H1036,Primary!H1036)</f>
        <v>0</v>
      </c>
      <c r="I1036" s="13">
        <f>IF(ActiveDatabase=Standby,Secondary!I1036,Primary!I1036)</f>
        <v>0</v>
      </c>
      <c r="J1036" s="13">
        <f>IF(ActiveDatabase=Standby,Secondary!J1036,Primary!J1036)</f>
        <v>0</v>
      </c>
      <c r="K1036" s="13">
        <f>IF(ActiveDatabase=Standby,Secondary!K1036,Primary!K1036)</f>
        <v>0</v>
      </c>
      <c r="L1036" s="13">
        <f>IF(ActiveDatabase=Standby,Secondary!L1036,Primary!L1036)</f>
        <v>0</v>
      </c>
      <c r="M1036" s="7">
        <f>IF(ActiveDatabase=Standby,Secondary!M1036,Primary!M1036)</f>
        <v>0</v>
      </c>
      <c r="N1036" s="10">
        <f>IF(ActiveDatabase=Standby,Secondary!N1036,Primary!N1036)</f>
        <v>0</v>
      </c>
      <c r="O1036" s="10">
        <f>IF(ActiveDatabase=Standby,Secondary!O1036,Primary!O1036)</f>
        <v>0</v>
      </c>
      <c r="P1036" s="10">
        <f>IF(ActiveDatabase=Standby,Secondary!P1036,Primary!P1036)</f>
        <v>0</v>
      </c>
      <c r="Q1036" s="6">
        <f>IF(ActiveDatabase=Standby,Secondary!Q1036,Primary!Q1036)</f>
        <v>0</v>
      </c>
      <c r="R1036" s="18">
        <f>IF(ActiveDatabase=Standby,Secondary!R1036,Primary!R1036)</f>
        <v>0</v>
      </c>
      <c r="S1036" s="19">
        <f>IF(ActiveDatabase=Standby,Secondary!S1036,Primary!S1036)</f>
        <v>0</v>
      </c>
      <c r="T1036" s="10">
        <f>IF(ActiveDatabase=Standby,Secondary!T1036,Primary!T1036)</f>
        <v>0</v>
      </c>
      <c r="U1036" s="10">
        <f>IF(ActiveDatabase=Standby,Secondary!U1036,Primary!U1036)</f>
        <v>0</v>
      </c>
      <c r="V1036" s="10">
        <f>IF(ActiveDatabase=Standby,Secondary!V1036,Primary!V1036)</f>
        <v>0</v>
      </c>
      <c r="W1036" s="6">
        <f>IF(ActiveDatabase=Standby,Secondary!W1036,Primary!W1036)</f>
        <v>0</v>
      </c>
      <c r="X1036" s="6">
        <f>IF(ActiveDatabase=Standby,Secondary!X1036,Primary!X1036)</f>
        <v>0</v>
      </c>
      <c r="Y1036" s="12">
        <f>IF(ActiveDatabase=Standby,Secondary!Y1036,Primary!Y1694)</f>
        <v>0</v>
      </c>
      <c r="Z1036" s="12">
        <f>IF(ActiveDatabase=Standby,Secondary!Z1036,Primary!Z1694)</f>
        <v>0</v>
      </c>
      <c r="AA1036" s="7">
        <f>IF(ActiveDatabase=Standby,Secondary!AA1036,Primary!AA1694)</f>
        <v>0</v>
      </c>
      <c r="AB1036" s="12"/>
      <c r="AC1036" s="6"/>
      <c r="AD1036" s="6"/>
      <c r="AE1036" s="7"/>
      <c r="AF1036" s="7"/>
      <c r="AG1036" s="7"/>
      <c r="AH1036" s="7"/>
      <c r="AI1036" s="7"/>
      <c r="AJ1036" s="7"/>
      <c r="AK1036" s="7"/>
      <c r="AL1036" s="7"/>
      <c r="AM1036" s="7"/>
      <c r="AN1036" s="7"/>
      <c r="AO1036" s="6"/>
      <c r="AP1036" s="7"/>
      <c r="AQ1036" s="7"/>
      <c r="AR1036" s="6"/>
      <c r="AS1036" s="7"/>
      <c r="AT1036" s="7"/>
      <c r="AU1036" s="7"/>
      <c r="AV1036" s="7"/>
      <c r="AW1036" s="7"/>
      <c r="AX1036" s="7"/>
      <c r="AY1036" s="7"/>
      <c r="AZ1036" s="7"/>
      <c r="BA1036" s="7"/>
      <c r="BB1036" s="7"/>
      <c r="BC1036" s="7"/>
      <c r="BD1036" s="7"/>
      <c r="BE1036" s="7"/>
      <c r="BF1036" s="7"/>
      <c r="BG1036" s="7"/>
    </row>
    <row r="1037" customHeight="1" spans="1:59">
      <c r="A1037" s="9">
        <f>IF(ActiveDatabase=Standby,Secondary!A1037,Primary!A1037)</f>
        <v>0</v>
      </c>
      <c r="B1037" s="5">
        <f>IF(ActiveDatabase=Standby,Secondary!B1037,Primary!B1037)</f>
        <v>0</v>
      </c>
      <c r="C1037" s="5">
        <f>IF(ActiveDatabase=Standby,Secondary!C1037,Primary!C1037)</f>
        <v>0</v>
      </c>
      <c r="D1037" s="5">
        <f>IF(ActiveDatabase=Standby,Secondary!D1037,Primary!D1037)</f>
        <v>0</v>
      </c>
      <c r="E1037" s="6">
        <f>IF(ActiveDatabase=Standby,Secondary!E1037,Primary!E1037)</f>
        <v>0</v>
      </c>
      <c r="F1037" s="10">
        <f>IF(ActiveDatabase=Standby,Secondary!F1037,Primary!F1037)</f>
        <v>0</v>
      </c>
      <c r="G1037" s="10">
        <f>IF(ActiveDatabase=Standby,Secondary!G1037,Primary!G1037)</f>
        <v>0</v>
      </c>
      <c r="H1037" s="10">
        <f>IF(ActiveDatabase=Standby,Secondary!H1037,Primary!H1037)</f>
        <v>0</v>
      </c>
      <c r="I1037" s="13">
        <f>IF(ActiveDatabase=Standby,Secondary!I1037,Primary!I1037)</f>
        <v>0</v>
      </c>
      <c r="J1037" s="13">
        <f>IF(ActiveDatabase=Standby,Secondary!J1037,Primary!J1037)</f>
        <v>0</v>
      </c>
      <c r="K1037" s="13">
        <f>IF(ActiveDatabase=Standby,Secondary!K1037,Primary!K1037)</f>
        <v>0</v>
      </c>
      <c r="L1037" s="13">
        <f>IF(ActiveDatabase=Standby,Secondary!L1037,Primary!L1037)</f>
        <v>0</v>
      </c>
      <c r="M1037" s="7">
        <f>IF(ActiveDatabase=Standby,Secondary!M1037,Primary!M1037)</f>
        <v>0</v>
      </c>
      <c r="N1037" s="10">
        <f>IF(ActiveDatabase=Standby,Secondary!N1037,Primary!N1037)</f>
        <v>0</v>
      </c>
      <c r="O1037" s="10">
        <f>IF(ActiveDatabase=Standby,Secondary!O1037,Primary!O1037)</f>
        <v>0</v>
      </c>
      <c r="P1037" s="10">
        <f>IF(ActiveDatabase=Standby,Secondary!P1037,Primary!P1037)</f>
        <v>0</v>
      </c>
      <c r="Q1037" s="6">
        <f>IF(ActiveDatabase=Standby,Secondary!Q1037,Primary!Q1037)</f>
        <v>0</v>
      </c>
      <c r="R1037" s="18">
        <f>IF(ActiveDatabase=Standby,Secondary!R1037,Primary!R1037)</f>
        <v>0</v>
      </c>
      <c r="S1037" s="19">
        <f>IF(ActiveDatabase=Standby,Secondary!S1037,Primary!S1037)</f>
        <v>0</v>
      </c>
      <c r="T1037" s="10">
        <f>IF(ActiveDatabase=Standby,Secondary!T1037,Primary!T1037)</f>
        <v>0</v>
      </c>
      <c r="U1037" s="10">
        <f>IF(ActiveDatabase=Standby,Secondary!U1037,Primary!U1037)</f>
        <v>0</v>
      </c>
      <c r="V1037" s="10">
        <f>IF(ActiveDatabase=Standby,Secondary!V1037,Primary!V1037)</f>
        <v>0</v>
      </c>
      <c r="W1037" s="6">
        <f>IF(ActiveDatabase=Standby,Secondary!W1037,Primary!W1037)</f>
        <v>0</v>
      </c>
      <c r="X1037" s="6">
        <f>IF(ActiveDatabase=Standby,Secondary!X1037,Primary!X1037)</f>
        <v>0</v>
      </c>
      <c r="Y1037" s="12">
        <f>IF(ActiveDatabase=Standby,Secondary!Y1037,Primary!Y1695)</f>
        <v>0</v>
      </c>
      <c r="Z1037" s="12">
        <f>IF(ActiveDatabase=Standby,Secondary!Z1037,Primary!Z1695)</f>
        <v>0</v>
      </c>
      <c r="AA1037" s="7">
        <f>IF(ActiveDatabase=Standby,Secondary!AA1037,Primary!AA1695)</f>
        <v>0</v>
      </c>
      <c r="AB1037" s="12"/>
      <c r="AC1037" s="6"/>
      <c r="AD1037" s="6"/>
      <c r="AE1037" s="7"/>
      <c r="AF1037" s="7"/>
      <c r="AG1037" s="7"/>
      <c r="AH1037" s="7"/>
      <c r="AI1037" s="7"/>
      <c r="AJ1037" s="7"/>
      <c r="AK1037" s="7"/>
      <c r="AL1037" s="7"/>
      <c r="AM1037" s="7"/>
      <c r="AN1037" s="7"/>
      <c r="AO1037" s="6"/>
      <c r="AP1037" s="7"/>
      <c r="AQ1037" s="7"/>
      <c r="AR1037" s="6"/>
      <c r="AS1037" s="7"/>
      <c r="AT1037" s="7"/>
      <c r="AU1037" s="7"/>
      <c r="AV1037" s="7"/>
      <c r="AW1037" s="7"/>
      <c r="AX1037" s="7"/>
      <c r="AY1037" s="7"/>
      <c r="AZ1037" s="7"/>
      <c r="BA1037" s="7"/>
      <c r="BB1037" s="7"/>
      <c r="BC1037" s="7"/>
      <c r="BD1037" s="7"/>
      <c r="BE1037" s="7"/>
      <c r="BF1037" s="7"/>
      <c r="BG1037" s="7"/>
    </row>
    <row r="1038" customHeight="1" spans="1:59">
      <c r="A1038" s="9">
        <f>IF(ActiveDatabase=Standby,Secondary!A1038,Primary!A1038)</f>
        <v>0</v>
      </c>
      <c r="B1038" s="5">
        <f>IF(ActiveDatabase=Standby,Secondary!B1038,Primary!B1038)</f>
        <v>0</v>
      </c>
      <c r="C1038" s="5">
        <f>IF(ActiveDatabase=Standby,Secondary!C1038,Primary!C1038)</f>
        <v>0</v>
      </c>
      <c r="D1038" s="5">
        <f>IF(ActiveDatabase=Standby,Secondary!D1038,Primary!D1038)</f>
        <v>0</v>
      </c>
      <c r="E1038" s="6">
        <f>IF(ActiveDatabase=Standby,Secondary!E1038,Primary!E1038)</f>
        <v>0</v>
      </c>
      <c r="F1038" s="10">
        <f>IF(ActiveDatabase=Standby,Secondary!F1038,Primary!F1038)</f>
        <v>0</v>
      </c>
      <c r="G1038" s="10">
        <f>IF(ActiveDatabase=Standby,Secondary!G1038,Primary!G1038)</f>
        <v>0</v>
      </c>
      <c r="H1038" s="10">
        <f>IF(ActiveDatabase=Standby,Secondary!H1038,Primary!H1038)</f>
        <v>0</v>
      </c>
      <c r="I1038" s="13">
        <f>IF(ActiveDatabase=Standby,Secondary!I1038,Primary!I1038)</f>
        <v>0</v>
      </c>
      <c r="J1038" s="13">
        <f>IF(ActiveDatabase=Standby,Secondary!J1038,Primary!J1038)</f>
        <v>0</v>
      </c>
      <c r="K1038" s="13">
        <f>IF(ActiveDatabase=Standby,Secondary!K1038,Primary!K1038)</f>
        <v>0</v>
      </c>
      <c r="L1038" s="13">
        <f>IF(ActiveDatabase=Standby,Secondary!L1038,Primary!L1038)</f>
        <v>0</v>
      </c>
      <c r="M1038" s="7">
        <f>IF(ActiveDatabase=Standby,Secondary!M1038,Primary!M1038)</f>
        <v>0</v>
      </c>
      <c r="N1038" s="10">
        <f>IF(ActiveDatabase=Standby,Secondary!N1038,Primary!N1038)</f>
        <v>0</v>
      </c>
      <c r="O1038" s="10">
        <f>IF(ActiveDatabase=Standby,Secondary!O1038,Primary!O1038)</f>
        <v>0</v>
      </c>
      <c r="P1038" s="10">
        <f>IF(ActiveDatabase=Standby,Secondary!P1038,Primary!P1038)</f>
        <v>0</v>
      </c>
      <c r="Q1038" s="6">
        <f>IF(ActiveDatabase=Standby,Secondary!Q1038,Primary!Q1038)</f>
        <v>0</v>
      </c>
      <c r="R1038" s="18">
        <f>IF(ActiveDatabase=Standby,Secondary!R1038,Primary!R1038)</f>
        <v>0</v>
      </c>
      <c r="S1038" s="19">
        <f>IF(ActiveDatabase=Standby,Secondary!S1038,Primary!S1038)</f>
        <v>0</v>
      </c>
      <c r="T1038" s="10">
        <f>IF(ActiveDatabase=Standby,Secondary!T1038,Primary!T1038)</f>
        <v>0</v>
      </c>
      <c r="U1038" s="10">
        <f>IF(ActiveDatabase=Standby,Secondary!U1038,Primary!U1038)</f>
        <v>0</v>
      </c>
      <c r="V1038" s="10">
        <f>IF(ActiveDatabase=Standby,Secondary!V1038,Primary!V1038)</f>
        <v>0</v>
      </c>
      <c r="W1038" s="6">
        <f>IF(ActiveDatabase=Standby,Secondary!W1038,Primary!W1038)</f>
        <v>0</v>
      </c>
      <c r="X1038" s="6">
        <f>IF(ActiveDatabase=Standby,Secondary!X1038,Primary!X1038)</f>
        <v>0</v>
      </c>
      <c r="Y1038" s="12">
        <f>IF(ActiveDatabase=Standby,Secondary!Y1038,Primary!Y1696)</f>
        <v>0</v>
      </c>
      <c r="Z1038" s="12">
        <f>IF(ActiveDatabase=Standby,Secondary!Z1038,Primary!Z1696)</f>
        <v>0</v>
      </c>
      <c r="AA1038" s="7">
        <f>IF(ActiveDatabase=Standby,Secondary!AA1038,Primary!AA1696)</f>
        <v>0</v>
      </c>
      <c r="AB1038" s="12"/>
      <c r="AC1038" s="6"/>
      <c r="AD1038" s="6"/>
      <c r="AE1038" s="7"/>
      <c r="AF1038" s="7"/>
      <c r="AG1038" s="7"/>
      <c r="AH1038" s="7"/>
      <c r="AI1038" s="7"/>
      <c r="AJ1038" s="7"/>
      <c r="AK1038" s="7"/>
      <c r="AL1038" s="7"/>
      <c r="AM1038" s="7"/>
      <c r="AN1038" s="7"/>
      <c r="AO1038" s="6"/>
      <c r="AP1038" s="7"/>
      <c r="AQ1038" s="7"/>
      <c r="AR1038" s="6"/>
      <c r="AS1038" s="7"/>
      <c r="AT1038" s="7"/>
      <c r="AU1038" s="7"/>
      <c r="AV1038" s="7"/>
      <c r="AW1038" s="7"/>
      <c r="AX1038" s="7"/>
      <c r="AY1038" s="7"/>
      <c r="AZ1038" s="7"/>
      <c r="BA1038" s="7"/>
      <c r="BB1038" s="7"/>
      <c r="BC1038" s="7"/>
      <c r="BD1038" s="7"/>
      <c r="BE1038" s="7"/>
      <c r="BF1038" s="7"/>
      <c r="BG1038" s="7"/>
    </row>
    <row r="1039" customHeight="1" spans="1:59">
      <c r="A1039" s="9">
        <f>IF(ActiveDatabase=Standby,Secondary!A1039,Primary!A1039)</f>
        <v>0</v>
      </c>
      <c r="B1039" s="5">
        <f>IF(ActiveDatabase=Standby,Secondary!B1039,Primary!B1039)</f>
        <v>0</v>
      </c>
      <c r="C1039" s="5">
        <f>IF(ActiveDatabase=Standby,Secondary!C1039,Primary!C1039)</f>
        <v>0</v>
      </c>
      <c r="D1039" s="5">
        <f>IF(ActiveDatabase=Standby,Secondary!D1039,Primary!D1039)</f>
        <v>0</v>
      </c>
      <c r="E1039" s="6">
        <f>IF(ActiveDatabase=Standby,Secondary!E1039,Primary!E1039)</f>
        <v>0</v>
      </c>
      <c r="F1039" s="10">
        <f>IF(ActiveDatabase=Standby,Secondary!F1039,Primary!F1039)</f>
        <v>0</v>
      </c>
      <c r="G1039" s="10">
        <f>IF(ActiveDatabase=Standby,Secondary!G1039,Primary!G1039)</f>
        <v>0</v>
      </c>
      <c r="H1039" s="10">
        <f>IF(ActiveDatabase=Standby,Secondary!H1039,Primary!H1039)</f>
        <v>0</v>
      </c>
      <c r="I1039" s="13">
        <f>IF(ActiveDatabase=Standby,Secondary!I1039,Primary!I1039)</f>
        <v>0</v>
      </c>
      <c r="J1039" s="13">
        <f>IF(ActiveDatabase=Standby,Secondary!J1039,Primary!J1039)</f>
        <v>0</v>
      </c>
      <c r="K1039" s="13">
        <f>IF(ActiveDatabase=Standby,Secondary!K1039,Primary!K1039)</f>
        <v>0</v>
      </c>
      <c r="L1039" s="13">
        <f>IF(ActiveDatabase=Standby,Secondary!L1039,Primary!L1039)</f>
        <v>0</v>
      </c>
      <c r="M1039" s="7">
        <f>IF(ActiveDatabase=Standby,Secondary!M1039,Primary!M1039)</f>
        <v>0</v>
      </c>
      <c r="N1039" s="10">
        <f>IF(ActiveDatabase=Standby,Secondary!N1039,Primary!N1039)</f>
        <v>0</v>
      </c>
      <c r="O1039" s="10">
        <f>IF(ActiveDatabase=Standby,Secondary!O1039,Primary!O1039)</f>
        <v>0</v>
      </c>
      <c r="P1039" s="10">
        <f>IF(ActiveDatabase=Standby,Secondary!P1039,Primary!P1039)</f>
        <v>0</v>
      </c>
      <c r="Q1039" s="6">
        <f>IF(ActiveDatabase=Standby,Secondary!Q1039,Primary!Q1039)</f>
        <v>0</v>
      </c>
      <c r="R1039" s="18">
        <f>IF(ActiveDatabase=Standby,Secondary!R1039,Primary!R1039)</f>
        <v>0</v>
      </c>
      <c r="S1039" s="19">
        <f>IF(ActiveDatabase=Standby,Secondary!S1039,Primary!S1039)</f>
        <v>0</v>
      </c>
      <c r="T1039" s="10">
        <f>IF(ActiveDatabase=Standby,Secondary!T1039,Primary!T1039)</f>
        <v>0</v>
      </c>
      <c r="U1039" s="10">
        <f>IF(ActiveDatabase=Standby,Secondary!U1039,Primary!U1039)</f>
        <v>0</v>
      </c>
      <c r="V1039" s="10">
        <f>IF(ActiveDatabase=Standby,Secondary!V1039,Primary!V1039)</f>
        <v>0</v>
      </c>
      <c r="W1039" s="6">
        <f>IF(ActiveDatabase=Standby,Secondary!W1039,Primary!W1039)</f>
        <v>0</v>
      </c>
      <c r="X1039" s="6">
        <f>IF(ActiveDatabase=Standby,Secondary!X1039,Primary!X1039)</f>
        <v>0</v>
      </c>
      <c r="Y1039" s="12">
        <f>IF(ActiveDatabase=Standby,Secondary!Y1039,Primary!Y1697)</f>
        <v>0</v>
      </c>
      <c r="Z1039" s="12">
        <f>IF(ActiveDatabase=Standby,Secondary!Z1039,Primary!Z1697)</f>
        <v>0</v>
      </c>
      <c r="AA1039" s="7">
        <f>IF(ActiveDatabase=Standby,Secondary!AA1039,Primary!AA1697)</f>
        <v>0</v>
      </c>
      <c r="AB1039" s="12"/>
      <c r="AC1039" s="6"/>
      <c r="AD1039" s="6"/>
      <c r="AE1039" s="7"/>
      <c r="AF1039" s="7"/>
      <c r="AG1039" s="7"/>
      <c r="AH1039" s="7"/>
      <c r="AI1039" s="7"/>
      <c r="AJ1039" s="7"/>
      <c r="AK1039" s="7"/>
      <c r="AL1039" s="7"/>
      <c r="AM1039" s="7"/>
      <c r="AN1039" s="7"/>
      <c r="AO1039" s="6"/>
      <c r="AP1039" s="7"/>
      <c r="AQ1039" s="7"/>
      <c r="AR1039" s="6"/>
      <c r="AS1039" s="7"/>
      <c r="AT1039" s="7"/>
      <c r="AU1039" s="7"/>
      <c r="AV1039" s="7"/>
      <c r="AW1039" s="7"/>
      <c r="AX1039" s="7"/>
      <c r="AY1039" s="7"/>
      <c r="AZ1039" s="7"/>
      <c r="BA1039" s="7"/>
      <c r="BB1039" s="7"/>
      <c r="BC1039" s="7"/>
      <c r="BD1039" s="7"/>
      <c r="BE1039" s="7"/>
      <c r="BF1039" s="7"/>
      <c r="BG1039" s="7"/>
    </row>
    <row r="1040" customHeight="1" spans="1:59">
      <c r="A1040" s="9">
        <f>IF(ActiveDatabase=Standby,Secondary!A1040,Primary!A1040)</f>
        <v>0</v>
      </c>
      <c r="B1040" s="5">
        <f>IF(ActiveDatabase=Standby,Secondary!B1040,Primary!B1040)</f>
        <v>0</v>
      </c>
      <c r="C1040" s="5">
        <f>IF(ActiveDatabase=Standby,Secondary!C1040,Primary!C1040)</f>
        <v>0</v>
      </c>
      <c r="D1040" s="5">
        <f>IF(ActiveDatabase=Standby,Secondary!D1040,Primary!D1040)</f>
        <v>0</v>
      </c>
      <c r="E1040" s="6">
        <f>IF(ActiveDatabase=Standby,Secondary!E1040,Primary!E1040)</f>
        <v>0</v>
      </c>
      <c r="F1040" s="10">
        <f>IF(ActiveDatabase=Standby,Secondary!F1040,Primary!F1040)</f>
        <v>0</v>
      </c>
      <c r="G1040" s="10">
        <f>IF(ActiveDatabase=Standby,Secondary!G1040,Primary!G1040)</f>
        <v>0</v>
      </c>
      <c r="H1040" s="10">
        <f>IF(ActiveDatabase=Standby,Secondary!H1040,Primary!H1040)</f>
        <v>0</v>
      </c>
      <c r="I1040" s="13">
        <f>IF(ActiveDatabase=Standby,Secondary!I1040,Primary!I1040)</f>
        <v>0</v>
      </c>
      <c r="J1040" s="13">
        <f>IF(ActiveDatabase=Standby,Secondary!J1040,Primary!J1040)</f>
        <v>0</v>
      </c>
      <c r="K1040" s="13">
        <f>IF(ActiveDatabase=Standby,Secondary!K1040,Primary!K1040)</f>
        <v>0</v>
      </c>
      <c r="L1040" s="13">
        <f>IF(ActiveDatabase=Standby,Secondary!L1040,Primary!L1040)</f>
        <v>0</v>
      </c>
      <c r="M1040" s="7">
        <f>IF(ActiveDatabase=Standby,Secondary!M1040,Primary!M1040)</f>
        <v>0</v>
      </c>
      <c r="N1040" s="10">
        <f>IF(ActiveDatabase=Standby,Secondary!N1040,Primary!N1040)</f>
        <v>0</v>
      </c>
      <c r="O1040" s="10">
        <f>IF(ActiveDatabase=Standby,Secondary!O1040,Primary!O1040)</f>
        <v>0</v>
      </c>
      <c r="P1040" s="10">
        <f>IF(ActiveDatabase=Standby,Secondary!P1040,Primary!P1040)</f>
        <v>0</v>
      </c>
      <c r="Q1040" s="6">
        <f>IF(ActiveDatabase=Standby,Secondary!Q1040,Primary!Q1040)</f>
        <v>0</v>
      </c>
      <c r="R1040" s="18">
        <f>IF(ActiveDatabase=Standby,Secondary!R1040,Primary!R1040)</f>
        <v>0</v>
      </c>
      <c r="S1040" s="19">
        <f>IF(ActiveDatabase=Standby,Secondary!S1040,Primary!S1040)</f>
        <v>0</v>
      </c>
      <c r="T1040" s="10">
        <f>IF(ActiveDatabase=Standby,Secondary!T1040,Primary!T1040)</f>
        <v>0</v>
      </c>
      <c r="U1040" s="10">
        <f>IF(ActiveDatabase=Standby,Secondary!U1040,Primary!U1040)</f>
        <v>0</v>
      </c>
      <c r="V1040" s="10">
        <f>IF(ActiveDatabase=Standby,Secondary!V1040,Primary!V1040)</f>
        <v>0</v>
      </c>
      <c r="W1040" s="6">
        <f>IF(ActiveDatabase=Standby,Secondary!W1040,Primary!W1040)</f>
        <v>0</v>
      </c>
      <c r="X1040" s="6">
        <f>IF(ActiveDatabase=Standby,Secondary!X1040,Primary!X1040)</f>
        <v>0</v>
      </c>
      <c r="Y1040" s="12">
        <f>IF(ActiveDatabase=Standby,Secondary!Y1040,Primary!Y1698)</f>
        <v>0</v>
      </c>
      <c r="Z1040" s="12">
        <f>IF(ActiveDatabase=Standby,Secondary!Z1040,Primary!Z1698)</f>
        <v>0</v>
      </c>
      <c r="AA1040" s="7">
        <f>IF(ActiveDatabase=Standby,Secondary!AA1040,Primary!AA1698)</f>
        <v>0</v>
      </c>
      <c r="AB1040" s="12"/>
      <c r="AC1040" s="6"/>
      <c r="AD1040" s="6"/>
      <c r="AE1040" s="7"/>
      <c r="AF1040" s="7"/>
      <c r="AG1040" s="7"/>
      <c r="AH1040" s="7"/>
      <c r="AI1040" s="7"/>
      <c r="AJ1040" s="7"/>
      <c r="AK1040" s="7"/>
      <c r="AL1040" s="7"/>
      <c r="AM1040" s="7"/>
      <c r="AN1040" s="7"/>
      <c r="AO1040" s="6"/>
      <c r="AP1040" s="7"/>
      <c r="AQ1040" s="7"/>
      <c r="AR1040" s="6"/>
      <c r="AS1040" s="7"/>
      <c r="AT1040" s="7"/>
      <c r="AU1040" s="7"/>
      <c r="AV1040" s="7"/>
      <c r="AW1040" s="7"/>
      <c r="AX1040" s="7"/>
      <c r="AY1040" s="7"/>
      <c r="AZ1040" s="7"/>
      <c r="BA1040" s="7"/>
      <c r="BB1040" s="7"/>
      <c r="BC1040" s="7"/>
      <c r="BD1040" s="7"/>
      <c r="BE1040" s="7"/>
      <c r="BF1040" s="7"/>
      <c r="BG1040" s="7"/>
    </row>
    <row r="1041" customHeight="1" spans="1:59">
      <c r="A1041" s="9">
        <f>IF(ActiveDatabase=Standby,Secondary!A1041,Primary!A1041)</f>
        <v>0</v>
      </c>
      <c r="B1041" s="5">
        <f>IF(ActiveDatabase=Standby,Secondary!B1041,Primary!B1041)</f>
        <v>0</v>
      </c>
      <c r="C1041" s="5">
        <f>IF(ActiveDatabase=Standby,Secondary!C1041,Primary!C1041)</f>
        <v>0</v>
      </c>
      <c r="D1041" s="5">
        <f>IF(ActiveDatabase=Standby,Secondary!D1041,Primary!D1041)</f>
        <v>0</v>
      </c>
      <c r="E1041" s="6">
        <f>IF(ActiveDatabase=Standby,Secondary!E1041,Primary!E1041)</f>
        <v>0</v>
      </c>
      <c r="F1041" s="10">
        <f>IF(ActiveDatabase=Standby,Secondary!F1041,Primary!F1041)</f>
        <v>0</v>
      </c>
      <c r="G1041" s="10">
        <f>IF(ActiveDatabase=Standby,Secondary!G1041,Primary!G1041)</f>
        <v>0</v>
      </c>
      <c r="H1041" s="10">
        <f>IF(ActiveDatabase=Standby,Secondary!H1041,Primary!H1041)</f>
        <v>0</v>
      </c>
      <c r="I1041" s="13">
        <f>IF(ActiveDatabase=Standby,Secondary!I1041,Primary!I1041)</f>
        <v>0</v>
      </c>
      <c r="J1041" s="13">
        <f>IF(ActiveDatabase=Standby,Secondary!J1041,Primary!J1041)</f>
        <v>0</v>
      </c>
      <c r="K1041" s="13">
        <f>IF(ActiveDatabase=Standby,Secondary!K1041,Primary!K1041)</f>
        <v>0</v>
      </c>
      <c r="L1041" s="13">
        <f>IF(ActiveDatabase=Standby,Secondary!L1041,Primary!L1041)</f>
        <v>0</v>
      </c>
      <c r="M1041" s="7">
        <f>IF(ActiveDatabase=Standby,Secondary!M1041,Primary!M1041)</f>
        <v>0</v>
      </c>
      <c r="N1041" s="10">
        <f>IF(ActiveDatabase=Standby,Secondary!N1041,Primary!N1041)</f>
        <v>0</v>
      </c>
      <c r="O1041" s="10">
        <f>IF(ActiveDatabase=Standby,Secondary!O1041,Primary!O1041)</f>
        <v>0</v>
      </c>
      <c r="P1041" s="10">
        <f>IF(ActiveDatabase=Standby,Secondary!P1041,Primary!P1041)</f>
        <v>0</v>
      </c>
      <c r="Q1041" s="6">
        <f>IF(ActiveDatabase=Standby,Secondary!Q1041,Primary!Q1041)</f>
        <v>0</v>
      </c>
      <c r="R1041" s="18">
        <f>IF(ActiveDatabase=Standby,Secondary!R1041,Primary!R1041)</f>
        <v>0</v>
      </c>
      <c r="S1041" s="19">
        <f>IF(ActiveDatabase=Standby,Secondary!S1041,Primary!S1041)</f>
        <v>0</v>
      </c>
      <c r="T1041" s="10">
        <f>IF(ActiveDatabase=Standby,Secondary!T1041,Primary!T1041)</f>
        <v>0</v>
      </c>
      <c r="U1041" s="10">
        <f>IF(ActiveDatabase=Standby,Secondary!U1041,Primary!U1041)</f>
        <v>0</v>
      </c>
      <c r="V1041" s="10">
        <f>IF(ActiveDatabase=Standby,Secondary!V1041,Primary!V1041)</f>
        <v>0</v>
      </c>
      <c r="W1041" s="6">
        <f>IF(ActiveDatabase=Standby,Secondary!W1041,Primary!W1041)</f>
        <v>0</v>
      </c>
      <c r="X1041" s="6">
        <f>IF(ActiveDatabase=Standby,Secondary!X1041,Primary!X1041)</f>
        <v>0</v>
      </c>
      <c r="Y1041" s="12">
        <f>IF(ActiveDatabase=Standby,Secondary!Y1041,Primary!Y1699)</f>
        <v>0</v>
      </c>
      <c r="Z1041" s="12">
        <f>IF(ActiveDatabase=Standby,Secondary!Z1041,Primary!Z1699)</f>
        <v>0</v>
      </c>
      <c r="AA1041" s="7">
        <f>IF(ActiveDatabase=Standby,Secondary!AA1041,Primary!AA1699)</f>
        <v>0</v>
      </c>
      <c r="AB1041" s="12"/>
      <c r="AC1041" s="6"/>
      <c r="AD1041" s="6"/>
      <c r="AE1041" s="7"/>
      <c r="AF1041" s="7"/>
      <c r="AG1041" s="7"/>
      <c r="AH1041" s="7"/>
      <c r="AI1041" s="7"/>
      <c r="AJ1041" s="7"/>
      <c r="AK1041" s="7"/>
      <c r="AL1041" s="7"/>
      <c r="AM1041" s="7"/>
      <c r="AN1041" s="7"/>
      <c r="AO1041" s="6"/>
      <c r="AP1041" s="7"/>
      <c r="AQ1041" s="7"/>
      <c r="AR1041" s="6"/>
      <c r="AS1041" s="7"/>
      <c r="AT1041" s="7"/>
      <c r="AU1041" s="7"/>
      <c r="AV1041" s="7"/>
      <c r="AW1041" s="7"/>
      <c r="AX1041" s="7"/>
      <c r="AY1041" s="7"/>
      <c r="AZ1041" s="7"/>
      <c r="BA1041" s="7"/>
      <c r="BB1041" s="7"/>
      <c r="BC1041" s="7"/>
      <c r="BD1041" s="7"/>
      <c r="BE1041" s="7"/>
      <c r="BF1041" s="7"/>
      <c r="BG1041" s="7"/>
    </row>
    <row r="1042" customHeight="1" spans="1:59">
      <c r="A1042" s="9">
        <f>IF(ActiveDatabase=Standby,Secondary!A1042,Primary!A1042)</f>
        <v>0</v>
      </c>
      <c r="B1042" s="5">
        <f>IF(ActiveDatabase=Standby,Secondary!B1042,Primary!B1042)</f>
        <v>0</v>
      </c>
      <c r="C1042" s="5">
        <f>IF(ActiveDatabase=Standby,Secondary!C1042,Primary!C1042)</f>
        <v>0</v>
      </c>
      <c r="D1042" s="5">
        <f>IF(ActiveDatabase=Standby,Secondary!D1042,Primary!D1042)</f>
        <v>0</v>
      </c>
      <c r="E1042" s="6">
        <f>IF(ActiveDatabase=Standby,Secondary!E1042,Primary!E1042)</f>
        <v>0</v>
      </c>
      <c r="F1042" s="10">
        <f>IF(ActiveDatabase=Standby,Secondary!F1042,Primary!F1042)</f>
        <v>0</v>
      </c>
      <c r="G1042" s="10">
        <f>IF(ActiveDatabase=Standby,Secondary!G1042,Primary!G1042)</f>
        <v>0</v>
      </c>
      <c r="H1042" s="10">
        <f>IF(ActiveDatabase=Standby,Secondary!H1042,Primary!H1042)</f>
        <v>0</v>
      </c>
      <c r="I1042" s="13">
        <f>IF(ActiveDatabase=Standby,Secondary!I1042,Primary!I1042)</f>
        <v>0</v>
      </c>
      <c r="J1042" s="13">
        <f>IF(ActiveDatabase=Standby,Secondary!J1042,Primary!J1042)</f>
        <v>0</v>
      </c>
      <c r="K1042" s="13">
        <f>IF(ActiveDatabase=Standby,Secondary!K1042,Primary!K1042)</f>
        <v>0</v>
      </c>
      <c r="L1042" s="13">
        <f>IF(ActiveDatabase=Standby,Secondary!L1042,Primary!L1042)</f>
        <v>0</v>
      </c>
      <c r="M1042" s="7">
        <f>IF(ActiveDatabase=Standby,Secondary!M1042,Primary!M1042)</f>
        <v>0</v>
      </c>
      <c r="N1042" s="10">
        <f>IF(ActiveDatabase=Standby,Secondary!N1042,Primary!N1042)</f>
        <v>0</v>
      </c>
      <c r="O1042" s="10">
        <f>IF(ActiveDatabase=Standby,Secondary!O1042,Primary!O1042)</f>
        <v>0</v>
      </c>
      <c r="P1042" s="10">
        <f>IF(ActiveDatabase=Standby,Secondary!P1042,Primary!P1042)</f>
        <v>0</v>
      </c>
      <c r="Q1042" s="6">
        <f>IF(ActiveDatabase=Standby,Secondary!Q1042,Primary!Q1042)</f>
        <v>0</v>
      </c>
      <c r="R1042" s="18">
        <f>IF(ActiveDatabase=Standby,Secondary!R1042,Primary!R1042)</f>
        <v>0</v>
      </c>
      <c r="S1042" s="19">
        <f>IF(ActiveDatabase=Standby,Secondary!S1042,Primary!S1042)</f>
        <v>0</v>
      </c>
      <c r="T1042" s="10">
        <f>IF(ActiveDatabase=Standby,Secondary!T1042,Primary!T1042)</f>
        <v>0</v>
      </c>
      <c r="U1042" s="10">
        <f>IF(ActiveDatabase=Standby,Secondary!U1042,Primary!U1042)</f>
        <v>0</v>
      </c>
      <c r="V1042" s="10">
        <f>IF(ActiveDatabase=Standby,Secondary!V1042,Primary!V1042)</f>
        <v>0</v>
      </c>
      <c r="W1042" s="6">
        <f>IF(ActiveDatabase=Standby,Secondary!W1042,Primary!W1042)</f>
        <v>0</v>
      </c>
      <c r="X1042" s="6">
        <f>IF(ActiveDatabase=Standby,Secondary!X1042,Primary!X1042)</f>
        <v>0</v>
      </c>
      <c r="Y1042" s="12">
        <f>IF(ActiveDatabase=Standby,Secondary!Y1042,Primary!Y1700)</f>
        <v>0</v>
      </c>
      <c r="Z1042" s="12">
        <f>IF(ActiveDatabase=Standby,Secondary!Z1042,Primary!Z1700)</f>
        <v>0</v>
      </c>
      <c r="AA1042" s="7">
        <f>IF(ActiveDatabase=Standby,Secondary!AA1042,Primary!AA1700)</f>
        <v>0</v>
      </c>
      <c r="AB1042" s="12"/>
      <c r="AC1042" s="6"/>
      <c r="AD1042" s="6"/>
      <c r="AE1042" s="7"/>
      <c r="AF1042" s="7"/>
      <c r="AG1042" s="7"/>
      <c r="AH1042" s="7"/>
      <c r="AI1042" s="7"/>
      <c r="AJ1042" s="7"/>
      <c r="AK1042" s="7"/>
      <c r="AL1042" s="7"/>
      <c r="AM1042" s="7"/>
      <c r="AN1042" s="7"/>
      <c r="AO1042" s="6"/>
      <c r="AP1042" s="7"/>
      <c r="AQ1042" s="7"/>
      <c r="AR1042" s="6"/>
      <c r="AS1042" s="7"/>
      <c r="AT1042" s="7"/>
      <c r="AU1042" s="7"/>
      <c r="AV1042" s="7"/>
      <c r="AW1042" s="7"/>
      <c r="AX1042" s="7"/>
      <c r="AY1042" s="7"/>
      <c r="AZ1042" s="7"/>
      <c r="BA1042" s="7"/>
      <c r="BB1042" s="7"/>
      <c r="BC1042" s="7"/>
      <c r="BD1042" s="7"/>
      <c r="BE1042" s="7"/>
      <c r="BF1042" s="7"/>
      <c r="BG1042" s="7"/>
    </row>
    <row r="1043" customHeight="1" spans="1:59">
      <c r="A1043" s="9">
        <f>IF(ActiveDatabase=Standby,Secondary!A1043,Primary!A1043)</f>
        <v>0</v>
      </c>
      <c r="B1043" s="5">
        <f>IF(ActiveDatabase=Standby,Secondary!B1043,Primary!B1043)</f>
        <v>0</v>
      </c>
      <c r="C1043" s="5">
        <f>IF(ActiveDatabase=Standby,Secondary!C1043,Primary!C1043)</f>
        <v>0</v>
      </c>
      <c r="D1043" s="5">
        <f>IF(ActiveDatabase=Standby,Secondary!D1043,Primary!D1043)</f>
        <v>0</v>
      </c>
      <c r="E1043" s="6">
        <f>IF(ActiveDatabase=Standby,Secondary!E1043,Primary!E1043)</f>
        <v>0</v>
      </c>
      <c r="F1043" s="10">
        <f>IF(ActiveDatabase=Standby,Secondary!F1043,Primary!F1043)</f>
        <v>0</v>
      </c>
      <c r="G1043" s="10">
        <f>IF(ActiveDatabase=Standby,Secondary!G1043,Primary!G1043)</f>
        <v>0</v>
      </c>
      <c r="H1043" s="10">
        <f>IF(ActiveDatabase=Standby,Secondary!H1043,Primary!H1043)</f>
        <v>0</v>
      </c>
      <c r="I1043" s="13">
        <f>IF(ActiveDatabase=Standby,Secondary!I1043,Primary!I1043)</f>
        <v>0</v>
      </c>
      <c r="J1043" s="13">
        <f>IF(ActiveDatabase=Standby,Secondary!J1043,Primary!J1043)</f>
        <v>0</v>
      </c>
      <c r="K1043" s="13">
        <f>IF(ActiveDatabase=Standby,Secondary!K1043,Primary!K1043)</f>
        <v>0</v>
      </c>
      <c r="L1043" s="13">
        <f>IF(ActiveDatabase=Standby,Secondary!L1043,Primary!L1043)</f>
        <v>0</v>
      </c>
      <c r="M1043" s="7">
        <f>IF(ActiveDatabase=Standby,Secondary!M1043,Primary!M1043)</f>
        <v>0</v>
      </c>
      <c r="N1043" s="10">
        <f>IF(ActiveDatabase=Standby,Secondary!N1043,Primary!N1043)</f>
        <v>0</v>
      </c>
      <c r="O1043" s="10">
        <f>IF(ActiveDatabase=Standby,Secondary!O1043,Primary!O1043)</f>
        <v>0</v>
      </c>
      <c r="P1043" s="10">
        <f>IF(ActiveDatabase=Standby,Secondary!P1043,Primary!P1043)</f>
        <v>0</v>
      </c>
      <c r="Q1043" s="6">
        <f>IF(ActiveDatabase=Standby,Secondary!Q1043,Primary!Q1043)</f>
        <v>0</v>
      </c>
      <c r="R1043" s="18">
        <f>IF(ActiveDatabase=Standby,Secondary!R1043,Primary!R1043)</f>
        <v>0</v>
      </c>
      <c r="S1043" s="19">
        <f>IF(ActiveDatabase=Standby,Secondary!S1043,Primary!S1043)</f>
        <v>0</v>
      </c>
      <c r="T1043" s="10">
        <f>IF(ActiveDatabase=Standby,Secondary!T1043,Primary!T1043)</f>
        <v>0</v>
      </c>
      <c r="U1043" s="10">
        <f>IF(ActiveDatabase=Standby,Secondary!U1043,Primary!U1043)</f>
        <v>0</v>
      </c>
      <c r="V1043" s="10">
        <f>IF(ActiveDatabase=Standby,Secondary!V1043,Primary!V1043)</f>
        <v>0</v>
      </c>
      <c r="W1043" s="6">
        <f>IF(ActiveDatabase=Standby,Secondary!W1043,Primary!W1043)</f>
        <v>0</v>
      </c>
      <c r="X1043" s="6">
        <f>IF(ActiveDatabase=Standby,Secondary!X1043,Primary!X1043)</f>
        <v>0</v>
      </c>
      <c r="Y1043" s="12">
        <f>IF(ActiveDatabase=Standby,Secondary!Y1043,Primary!Y1701)</f>
        <v>0</v>
      </c>
      <c r="Z1043" s="12">
        <f>IF(ActiveDatabase=Standby,Secondary!Z1043,Primary!Z1701)</f>
        <v>0</v>
      </c>
      <c r="AA1043" s="7">
        <f>IF(ActiveDatabase=Standby,Secondary!AA1043,Primary!AA1701)</f>
        <v>0</v>
      </c>
      <c r="AB1043" s="12"/>
      <c r="AC1043" s="6"/>
      <c r="AD1043" s="6"/>
      <c r="AE1043" s="7"/>
      <c r="AF1043" s="7"/>
      <c r="AG1043" s="7"/>
      <c r="AH1043" s="7"/>
      <c r="AI1043" s="7"/>
      <c r="AJ1043" s="7"/>
      <c r="AK1043" s="7"/>
      <c r="AL1043" s="7"/>
      <c r="AM1043" s="7"/>
      <c r="AN1043" s="7"/>
      <c r="AO1043" s="6"/>
      <c r="AP1043" s="7"/>
      <c r="AQ1043" s="7"/>
      <c r="AR1043" s="6"/>
      <c r="AS1043" s="7"/>
      <c r="AT1043" s="7"/>
      <c r="AU1043" s="7"/>
      <c r="AV1043" s="7"/>
      <c r="AW1043" s="7"/>
      <c r="AX1043" s="7"/>
      <c r="AY1043" s="7"/>
      <c r="AZ1043" s="7"/>
      <c r="BA1043" s="7"/>
      <c r="BB1043" s="7"/>
      <c r="BC1043" s="7"/>
      <c r="BD1043" s="7"/>
      <c r="BE1043" s="7"/>
      <c r="BF1043" s="7"/>
      <c r="BG1043" s="7"/>
    </row>
    <row r="1044" customHeight="1" spans="1:59">
      <c r="A1044" s="9">
        <f>IF(ActiveDatabase=Standby,Secondary!A1044,Primary!A1044)</f>
        <v>0</v>
      </c>
      <c r="B1044" s="5">
        <f>IF(ActiveDatabase=Standby,Secondary!B1044,Primary!B1044)</f>
        <v>0</v>
      </c>
      <c r="C1044" s="5">
        <f>IF(ActiveDatabase=Standby,Secondary!C1044,Primary!C1044)</f>
        <v>0</v>
      </c>
      <c r="D1044" s="5">
        <f>IF(ActiveDatabase=Standby,Secondary!D1044,Primary!D1044)</f>
        <v>0</v>
      </c>
      <c r="E1044" s="6">
        <f>IF(ActiveDatabase=Standby,Secondary!E1044,Primary!E1044)</f>
        <v>0</v>
      </c>
      <c r="F1044" s="10">
        <f>IF(ActiveDatabase=Standby,Secondary!F1044,Primary!F1044)</f>
        <v>0</v>
      </c>
      <c r="G1044" s="10">
        <f>IF(ActiveDatabase=Standby,Secondary!G1044,Primary!G1044)</f>
        <v>0</v>
      </c>
      <c r="H1044" s="10">
        <f>IF(ActiveDatabase=Standby,Secondary!H1044,Primary!H1044)</f>
        <v>0</v>
      </c>
      <c r="I1044" s="13">
        <f>IF(ActiveDatabase=Standby,Secondary!I1044,Primary!I1044)</f>
        <v>0</v>
      </c>
      <c r="J1044" s="13">
        <f>IF(ActiveDatabase=Standby,Secondary!J1044,Primary!J1044)</f>
        <v>0</v>
      </c>
      <c r="K1044" s="13">
        <f>IF(ActiveDatabase=Standby,Secondary!K1044,Primary!K1044)</f>
        <v>0</v>
      </c>
      <c r="L1044" s="13">
        <f>IF(ActiveDatabase=Standby,Secondary!L1044,Primary!L1044)</f>
        <v>0</v>
      </c>
      <c r="M1044" s="7">
        <f>IF(ActiveDatabase=Standby,Secondary!M1044,Primary!M1044)</f>
        <v>0</v>
      </c>
      <c r="N1044" s="10">
        <f>IF(ActiveDatabase=Standby,Secondary!N1044,Primary!N1044)</f>
        <v>0</v>
      </c>
      <c r="O1044" s="10">
        <f>IF(ActiveDatabase=Standby,Secondary!O1044,Primary!O1044)</f>
        <v>0</v>
      </c>
      <c r="P1044" s="10">
        <f>IF(ActiveDatabase=Standby,Secondary!P1044,Primary!P1044)</f>
        <v>0</v>
      </c>
      <c r="Q1044" s="6">
        <f>IF(ActiveDatabase=Standby,Secondary!Q1044,Primary!Q1044)</f>
        <v>0</v>
      </c>
      <c r="R1044" s="18">
        <f>IF(ActiveDatabase=Standby,Secondary!R1044,Primary!R1044)</f>
        <v>0</v>
      </c>
      <c r="S1044" s="19">
        <f>IF(ActiveDatabase=Standby,Secondary!S1044,Primary!S1044)</f>
        <v>0</v>
      </c>
      <c r="T1044" s="10">
        <f>IF(ActiveDatabase=Standby,Secondary!T1044,Primary!T1044)</f>
        <v>0</v>
      </c>
      <c r="U1044" s="10">
        <f>IF(ActiveDatabase=Standby,Secondary!U1044,Primary!U1044)</f>
        <v>0</v>
      </c>
      <c r="V1044" s="10">
        <f>IF(ActiveDatabase=Standby,Secondary!V1044,Primary!V1044)</f>
        <v>0</v>
      </c>
      <c r="W1044" s="6">
        <f>IF(ActiveDatabase=Standby,Secondary!W1044,Primary!W1044)</f>
        <v>0</v>
      </c>
      <c r="X1044" s="6">
        <f>IF(ActiveDatabase=Standby,Secondary!X1044,Primary!X1044)</f>
        <v>0</v>
      </c>
      <c r="Y1044" s="12">
        <f>IF(ActiveDatabase=Standby,Secondary!Y1044,Primary!Y1702)</f>
        <v>0</v>
      </c>
      <c r="Z1044" s="12">
        <f>IF(ActiveDatabase=Standby,Secondary!Z1044,Primary!Z1702)</f>
        <v>0</v>
      </c>
      <c r="AA1044" s="7">
        <f>IF(ActiveDatabase=Standby,Secondary!AA1044,Primary!AA1702)</f>
        <v>0</v>
      </c>
      <c r="AB1044" s="12"/>
      <c r="AC1044" s="6"/>
      <c r="AD1044" s="6"/>
      <c r="AE1044" s="7"/>
      <c r="AF1044" s="7"/>
      <c r="AG1044" s="7"/>
      <c r="AH1044" s="7"/>
      <c r="AI1044" s="7"/>
      <c r="AJ1044" s="7"/>
      <c r="AK1044" s="7"/>
      <c r="AL1044" s="7"/>
      <c r="AM1044" s="7"/>
      <c r="AN1044" s="7"/>
      <c r="AO1044" s="6"/>
      <c r="AP1044" s="7"/>
      <c r="AQ1044" s="7"/>
      <c r="AR1044" s="6"/>
      <c r="AS1044" s="7"/>
      <c r="AT1044" s="7"/>
      <c r="AU1044" s="7"/>
      <c r="AV1044" s="7"/>
      <c r="AW1044" s="7"/>
      <c r="AX1044" s="7"/>
      <c r="AY1044" s="7"/>
      <c r="AZ1044" s="7"/>
      <c r="BA1044" s="7"/>
      <c r="BB1044" s="7"/>
      <c r="BC1044" s="7"/>
      <c r="BD1044" s="7"/>
      <c r="BE1044" s="7"/>
      <c r="BF1044" s="7"/>
      <c r="BG1044" s="7"/>
    </row>
    <row r="1045" customHeight="1" spans="1:59">
      <c r="A1045" s="9">
        <f>IF(ActiveDatabase=Standby,Secondary!A1045,Primary!A1045)</f>
        <v>0</v>
      </c>
      <c r="B1045" s="5">
        <f>IF(ActiveDatabase=Standby,Secondary!B1045,Primary!B1045)</f>
        <v>0</v>
      </c>
      <c r="C1045" s="5">
        <f>IF(ActiveDatabase=Standby,Secondary!C1045,Primary!C1045)</f>
        <v>0</v>
      </c>
      <c r="D1045" s="5">
        <f>IF(ActiveDatabase=Standby,Secondary!D1045,Primary!D1045)</f>
        <v>0</v>
      </c>
      <c r="E1045" s="6">
        <f>IF(ActiveDatabase=Standby,Secondary!E1045,Primary!E1045)</f>
        <v>0</v>
      </c>
      <c r="F1045" s="10">
        <f>IF(ActiveDatabase=Standby,Secondary!F1045,Primary!F1045)</f>
        <v>0</v>
      </c>
      <c r="G1045" s="10">
        <f>IF(ActiveDatabase=Standby,Secondary!G1045,Primary!G1045)</f>
        <v>0</v>
      </c>
      <c r="H1045" s="10">
        <f>IF(ActiveDatabase=Standby,Secondary!H1045,Primary!H1045)</f>
        <v>0</v>
      </c>
      <c r="I1045" s="13">
        <f>IF(ActiveDatabase=Standby,Secondary!I1045,Primary!I1045)</f>
        <v>0</v>
      </c>
      <c r="J1045" s="13">
        <f>IF(ActiveDatabase=Standby,Secondary!J1045,Primary!J1045)</f>
        <v>0</v>
      </c>
      <c r="K1045" s="13">
        <f>IF(ActiveDatabase=Standby,Secondary!K1045,Primary!K1045)</f>
        <v>0</v>
      </c>
      <c r="L1045" s="13">
        <f>IF(ActiveDatabase=Standby,Secondary!L1045,Primary!L1045)</f>
        <v>0</v>
      </c>
      <c r="M1045" s="7">
        <f>IF(ActiveDatabase=Standby,Secondary!M1045,Primary!M1045)</f>
        <v>0</v>
      </c>
      <c r="N1045" s="10">
        <f>IF(ActiveDatabase=Standby,Secondary!N1045,Primary!N1045)</f>
        <v>0</v>
      </c>
      <c r="O1045" s="10">
        <f>IF(ActiveDatabase=Standby,Secondary!O1045,Primary!O1045)</f>
        <v>0</v>
      </c>
      <c r="P1045" s="10">
        <f>IF(ActiveDatabase=Standby,Secondary!P1045,Primary!P1045)</f>
        <v>0</v>
      </c>
      <c r="Q1045" s="6">
        <f>IF(ActiveDatabase=Standby,Secondary!Q1045,Primary!Q1045)</f>
        <v>0</v>
      </c>
      <c r="R1045" s="18">
        <f>IF(ActiveDatabase=Standby,Secondary!R1045,Primary!R1045)</f>
        <v>0</v>
      </c>
      <c r="S1045" s="19">
        <f>IF(ActiveDatabase=Standby,Secondary!S1045,Primary!S1045)</f>
        <v>0</v>
      </c>
      <c r="T1045" s="10">
        <f>IF(ActiveDatabase=Standby,Secondary!T1045,Primary!T1045)</f>
        <v>0</v>
      </c>
      <c r="U1045" s="10">
        <f>IF(ActiveDatabase=Standby,Secondary!U1045,Primary!U1045)</f>
        <v>0</v>
      </c>
      <c r="V1045" s="10">
        <f>IF(ActiveDatabase=Standby,Secondary!V1045,Primary!V1045)</f>
        <v>0</v>
      </c>
      <c r="W1045" s="6">
        <f>IF(ActiveDatabase=Standby,Secondary!W1045,Primary!W1045)</f>
        <v>0</v>
      </c>
      <c r="X1045" s="6">
        <f>IF(ActiveDatabase=Standby,Secondary!X1045,Primary!X1045)</f>
        <v>0</v>
      </c>
      <c r="Y1045" s="7">
        <f>IF(ActiveDatabase=Standby,Secondary!Y1045,Primary!Y1703)</f>
        <v>0</v>
      </c>
      <c r="Z1045" s="7">
        <f>IF(ActiveDatabase=Standby,Secondary!Z1045,Primary!Z1703)</f>
        <v>0</v>
      </c>
      <c r="AA1045" s="7">
        <f>IF(ActiveDatabase=Standby,Secondary!AA1045,Primary!AA1703)</f>
        <v>0</v>
      </c>
      <c r="AB1045" s="7"/>
      <c r="AC1045" s="6"/>
      <c r="AD1045" s="6"/>
      <c r="AE1045" s="7"/>
      <c r="AF1045" s="7"/>
      <c r="AG1045" s="7"/>
      <c r="AH1045" s="7"/>
      <c r="AI1045" s="7"/>
      <c r="AJ1045" s="7"/>
      <c r="AK1045" s="7"/>
      <c r="AL1045" s="7"/>
      <c r="AM1045" s="7"/>
      <c r="AN1045" s="7"/>
      <c r="AO1045" s="6"/>
      <c r="AP1045" s="7"/>
      <c r="AQ1045" s="7"/>
      <c r="AR1045" s="6"/>
      <c r="AS1045" s="7"/>
      <c r="AT1045" s="7"/>
      <c r="AU1045" s="7"/>
      <c r="AV1045" s="7"/>
      <c r="AW1045" s="7"/>
      <c r="AX1045" s="7"/>
      <c r="AY1045" s="7"/>
      <c r="AZ1045" s="7"/>
      <c r="BA1045" s="7"/>
      <c r="BB1045" s="7"/>
      <c r="BC1045" s="7"/>
      <c r="BD1045" s="7"/>
      <c r="BE1045" s="7"/>
      <c r="BF1045" s="7"/>
      <c r="BG1045" s="7"/>
    </row>
    <row r="1046" customHeight="1" spans="1:59">
      <c r="A1046" s="9">
        <f>IF(ActiveDatabase=Standby,Secondary!A1046,Primary!A1046)</f>
        <v>0</v>
      </c>
      <c r="B1046" s="5">
        <f>IF(ActiveDatabase=Standby,Secondary!B1046,Primary!B1046)</f>
        <v>0</v>
      </c>
      <c r="C1046" s="5">
        <f>IF(ActiveDatabase=Standby,Secondary!C1046,Primary!C1046)</f>
        <v>0</v>
      </c>
      <c r="D1046" s="5">
        <f>IF(ActiveDatabase=Standby,Secondary!D1046,Primary!D1046)</f>
        <v>0</v>
      </c>
      <c r="E1046" s="6">
        <f>IF(ActiveDatabase=Standby,Secondary!E1046,Primary!E1046)</f>
        <v>0</v>
      </c>
      <c r="F1046" s="10">
        <f>IF(ActiveDatabase=Standby,Secondary!F1046,Primary!F1046)</f>
        <v>0</v>
      </c>
      <c r="G1046" s="10">
        <f>IF(ActiveDatabase=Standby,Secondary!G1046,Primary!G1046)</f>
        <v>0</v>
      </c>
      <c r="H1046" s="10">
        <f>IF(ActiveDatabase=Standby,Secondary!H1046,Primary!H1046)</f>
        <v>0</v>
      </c>
      <c r="I1046" s="13">
        <f>IF(ActiveDatabase=Standby,Secondary!I1046,Primary!I1046)</f>
        <v>0</v>
      </c>
      <c r="J1046" s="13">
        <f>IF(ActiveDatabase=Standby,Secondary!J1046,Primary!J1046)</f>
        <v>0</v>
      </c>
      <c r="K1046" s="13">
        <f>IF(ActiveDatabase=Standby,Secondary!K1046,Primary!K1046)</f>
        <v>0</v>
      </c>
      <c r="L1046" s="13">
        <f>IF(ActiveDatabase=Standby,Secondary!L1046,Primary!L1046)</f>
        <v>0</v>
      </c>
      <c r="M1046" s="7">
        <f>IF(ActiveDatabase=Standby,Secondary!M1046,Primary!M1046)</f>
        <v>0</v>
      </c>
      <c r="N1046" s="10">
        <f>IF(ActiveDatabase=Standby,Secondary!N1046,Primary!N1046)</f>
        <v>0</v>
      </c>
      <c r="O1046" s="10">
        <f>IF(ActiveDatabase=Standby,Secondary!O1046,Primary!O1046)</f>
        <v>0</v>
      </c>
      <c r="P1046" s="10">
        <f>IF(ActiveDatabase=Standby,Secondary!P1046,Primary!P1046)</f>
        <v>0</v>
      </c>
      <c r="Q1046" s="6">
        <f>IF(ActiveDatabase=Standby,Secondary!Q1046,Primary!Q1046)</f>
        <v>0</v>
      </c>
      <c r="R1046" s="18">
        <f>IF(ActiveDatabase=Standby,Secondary!R1046,Primary!R1046)</f>
        <v>0</v>
      </c>
      <c r="S1046" s="19">
        <f>IF(ActiveDatabase=Standby,Secondary!S1046,Primary!S1046)</f>
        <v>0</v>
      </c>
      <c r="T1046" s="10">
        <f>IF(ActiveDatabase=Standby,Secondary!T1046,Primary!T1046)</f>
        <v>0</v>
      </c>
      <c r="U1046" s="10">
        <f>IF(ActiveDatabase=Standby,Secondary!U1046,Primary!U1046)</f>
        <v>0</v>
      </c>
      <c r="V1046" s="10">
        <f>IF(ActiveDatabase=Standby,Secondary!V1046,Primary!V1046)</f>
        <v>0</v>
      </c>
      <c r="W1046" s="6">
        <f>IF(ActiveDatabase=Standby,Secondary!W1046,Primary!W1046)</f>
        <v>0</v>
      </c>
      <c r="X1046" s="6">
        <f>IF(ActiveDatabase=Standby,Secondary!X1046,Primary!X1046)</f>
        <v>0</v>
      </c>
      <c r="Y1046" s="7">
        <f>IF(ActiveDatabase=Standby,Secondary!Y1046,Primary!Y1704)</f>
        <v>0</v>
      </c>
      <c r="Z1046" s="7">
        <f>IF(ActiveDatabase=Standby,Secondary!Z1046,Primary!Z1704)</f>
        <v>0</v>
      </c>
      <c r="AA1046" s="7">
        <f>IF(ActiveDatabase=Standby,Secondary!AA1046,Primary!AA1704)</f>
        <v>0</v>
      </c>
      <c r="AB1046" s="7"/>
      <c r="AC1046" s="6"/>
      <c r="AD1046" s="6"/>
      <c r="AE1046" s="7"/>
      <c r="AF1046" s="7"/>
      <c r="AG1046" s="7"/>
      <c r="AH1046" s="7"/>
      <c r="AI1046" s="7"/>
      <c r="AJ1046" s="7"/>
      <c r="AK1046" s="7"/>
      <c r="AL1046" s="7"/>
      <c r="AM1046" s="7"/>
      <c r="AN1046" s="7"/>
      <c r="AO1046" s="6"/>
      <c r="AP1046" s="7"/>
      <c r="AQ1046" s="7"/>
      <c r="AR1046" s="6"/>
      <c r="AS1046" s="7"/>
      <c r="AT1046" s="7"/>
      <c r="AU1046" s="7"/>
      <c r="AV1046" s="7"/>
      <c r="AW1046" s="7"/>
      <c r="AX1046" s="7"/>
      <c r="AY1046" s="7"/>
      <c r="AZ1046" s="7"/>
      <c r="BA1046" s="7"/>
      <c r="BB1046" s="7"/>
      <c r="BC1046" s="7"/>
      <c r="BD1046" s="7"/>
      <c r="BE1046" s="7"/>
      <c r="BF1046" s="7"/>
      <c r="BG1046" s="7"/>
    </row>
    <row r="1047" customHeight="1" spans="1:59">
      <c r="A1047" s="9">
        <f>IF(ActiveDatabase=Standby,Secondary!A1047,Primary!A1047)</f>
        <v>0</v>
      </c>
      <c r="B1047" s="5">
        <f>IF(ActiveDatabase=Standby,Secondary!B1047,Primary!B1047)</f>
        <v>0</v>
      </c>
      <c r="C1047" s="5">
        <f>IF(ActiveDatabase=Standby,Secondary!C1047,Primary!C1047)</f>
        <v>0</v>
      </c>
      <c r="D1047" s="5">
        <f>IF(ActiveDatabase=Standby,Secondary!D1047,Primary!D1047)</f>
        <v>0</v>
      </c>
      <c r="E1047" s="6">
        <f>IF(ActiveDatabase=Standby,Secondary!E1047,Primary!E1047)</f>
        <v>0</v>
      </c>
      <c r="F1047" s="10">
        <f>IF(ActiveDatabase=Standby,Secondary!F1047,Primary!F1047)</f>
        <v>0</v>
      </c>
      <c r="G1047" s="10">
        <f>IF(ActiveDatabase=Standby,Secondary!G1047,Primary!G1047)</f>
        <v>0</v>
      </c>
      <c r="H1047" s="10">
        <f>IF(ActiveDatabase=Standby,Secondary!H1047,Primary!H1047)</f>
        <v>0</v>
      </c>
      <c r="I1047" s="13">
        <f>IF(ActiveDatabase=Standby,Secondary!I1047,Primary!I1047)</f>
        <v>0</v>
      </c>
      <c r="J1047" s="13">
        <f>IF(ActiveDatabase=Standby,Secondary!J1047,Primary!J1047)</f>
        <v>0</v>
      </c>
      <c r="K1047" s="13">
        <f>IF(ActiveDatabase=Standby,Secondary!K1047,Primary!K1047)</f>
        <v>0</v>
      </c>
      <c r="L1047" s="13">
        <f>IF(ActiveDatabase=Standby,Secondary!L1047,Primary!L1047)</f>
        <v>0</v>
      </c>
      <c r="M1047" s="7">
        <f>IF(ActiveDatabase=Standby,Secondary!M1047,Primary!M1047)</f>
        <v>0</v>
      </c>
      <c r="N1047" s="10">
        <f>IF(ActiveDatabase=Standby,Secondary!N1047,Primary!N1047)</f>
        <v>0</v>
      </c>
      <c r="O1047" s="10">
        <f>IF(ActiveDatabase=Standby,Secondary!O1047,Primary!O1047)</f>
        <v>0</v>
      </c>
      <c r="P1047" s="10">
        <f>IF(ActiveDatabase=Standby,Secondary!P1047,Primary!P1047)</f>
        <v>0</v>
      </c>
      <c r="Q1047" s="6">
        <f>IF(ActiveDatabase=Standby,Secondary!Q1047,Primary!Q1047)</f>
        <v>0</v>
      </c>
      <c r="R1047" s="18">
        <f>IF(ActiveDatabase=Standby,Secondary!R1047,Primary!R1047)</f>
        <v>0</v>
      </c>
      <c r="S1047" s="19">
        <f>IF(ActiveDatabase=Standby,Secondary!S1047,Primary!S1047)</f>
        <v>0</v>
      </c>
      <c r="T1047" s="10">
        <f>IF(ActiveDatabase=Standby,Secondary!T1047,Primary!T1047)</f>
        <v>0</v>
      </c>
      <c r="U1047" s="10">
        <f>IF(ActiveDatabase=Standby,Secondary!U1047,Primary!U1047)</f>
        <v>0</v>
      </c>
      <c r="V1047" s="10">
        <f>IF(ActiveDatabase=Standby,Secondary!V1047,Primary!V1047)</f>
        <v>0</v>
      </c>
      <c r="W1047" s="6">
        <f>IF(ActiveDatabase=Standby,Secondary!W1047,Primary!W1047)</f>
        <v>0</v>
      </c>
      <c r="X1047" s="6">
        <f>IF(ActiveDatabase=Standby,Secondary!X1047,Primary!X1047)</f>
        <v>0</v>
      </c>
      <c r="Y1047" s="7">
        <f>IF(ActiveDatabase=Standby,Secondary!Y1047,Primary!Y1705)</f>
        <v>0</v>
      </c>
      <c r="Z1047" s="7">
        <f>IF(ActiveDatabase=Standby,Secondary!Z1047,Primary!Z1705)</f>
        <v>0</v>
      </c>
      <c r="AA1047" s="7">
        <f>IF(ActiveDatabase=Standby,Secondary!AA1047,Primary!AA1705)</f>
        <v>0</v>
      </c>
      <c r="AB1047" s="7"/>
      <c r="AC1047" s="6"/>
      <c r="AD1047" s="6"/>
      <c r="AE1047" s="7"/>
      <c r="AF1047" s="7"/>
      <c r="AG1047" s="7"/>
      <c r="AH1047" s="7"/>
      <c r="AI1047" s="7"/>
      <c r="AJ1047" s="7"/>
      <c r="AK1047" s="7"/>
      <c r="AL1047" s="7"/>
      <c r="AM1047" s="7"/>
      <c r="AN1047" s="7"/>
      <c r="AO1047" s="6"/>
      <c r="AP1047" s="7"/>
      <c r="AQ1047" s="7"/>
      <c r="AR1047" s="6"/>
      <c r="AS1047" s="7"/>
      <c r="AT1047" s="7"/>
      <c r="AU1047" s="7"/>
      <c r="AV1047" s="7"/>
      <c r="AW1047" s="7"/>
      <c r="AX1047" s="7"/>
      <c r="AY1047" s="7"/>
      <c r="AZ1047" s="7"/>
      <c r="BA1047" s="7"/>
      <c r="BB1047" s="7"/>
      <c r="BC1047" s="7"/>
      <c r="BD1047" s="7"/>
      <c r="BE1047" s="7"/>
      <c r="BF1047" s="7"/>
      <c r="BG1047" s="7"/>
    </row>
    <row r="1048" customHeight="1" spans="1:59">
      <c r="A1048" s="9">
        <f>IF(ActiveDatabase=Standby,Secondary!A1048,Primary!A1048)</f>
        <v>0</v>
      </c>
      <c r="B1048" s="5">
        <f>IF(ActiveDatabase=Standby,Secondary!B1048,Primary!B1048)</f>
        <v>0</v>
      </c>
      <c r="C1048" s="5">
        <f>IF(ActiveDatabase=Standby,Secondary!C1048,Primary!C1048)</f>
        <v>0</v>
      </c>
      <c r="D1048" s="5">
        <f>IF(ActiveDatabase=Standby,Secondary!D1048,Primary!D1048)</f>
        <v>0</v>
      </c>
      <c r="E1048" s="6">
        <f>IF(ActiveDatabase=Standby,Secondary!E1048,Primary!E1048)</f>
        <v>0</v>
      </c>
      <c r="F1048" s="10">
        <f>IF(ActiveDatabase=Standby,Secondary!F1048,Primary!F1048)</f>
        <v>0</v>
      </c>
      <c r="G1048" s="10">
        <f>IF(ActiveDatabase=Standby,Secondary!G1048,Primary!G1048)</f>
        <v>0</v>
      </c>
      <c r="H1048" s="10">
        <f>IF(ActiveDatabase=Standby,Secondary!H1048,Primary!H1048)</f>
        <v>0</v>
      </c>
      <c r="I1048" s="13">
        <f>IF(ActiveDatabase=Standby,Secondary!I1048,Primary!I1048)</f>
        <v>0</v>
      </c>
      <c r="J1048" s="13">
        <f>IF(ActiveDatabase=Standby,Secondary!J1048,Primary!J1048)</f>
        <v>0</v>
      </c>
      <c r="K1048" s="13">
        <f>IF(ActiveDatabase=Standby,Secondary!K1048,Primary!K1048)</f>
        <v>0</v>
      </c>
      <c r="L1048" s="13">
        <f>IF(ActiveDatabase=Standby,Secondary!L1048,Primary!L1048)</f>
        <v>0</v>
      </c>
      <c r="M1048" s="7">
        <f>IF(ActiveDatabase=Standby,Secondary!M1048,Primary!M1048)</f>
        <v>0</v>
      </c>
      <c r="N1048" s="10">
        <f>IF(ActiveDatabase=Standby,Secondary!N1048,Primary!N1048)</f>
        <v>0</v>
      </c>
      <c r="O1048" s="10">
        <f>IF(ActiveDatabase=Standby,Secondary!O1048,Primary!O1048)</f>
        <v>0</v>
      </c>
      <c r="P1048" s="10">
        <f>IF(ActiveDatabase=Standby,Secondary!P1048,Primary!P1048)</f>
        <v>0</v>
      </c>
      <c r="Q1048" s="6">
        <f>IF(ActiveDatabase=Standby,Secondary!Q1048,Primary!Q1048)</f>
        <v>0</v>
      </c>
      <c r="R1048" s="18">
        <f>IF(ActiveDatabase=Standby,Secondary!R1048,Primary!R1048)</f>
        <v>0</v>
      </c>
      <c r="S1048" s="19">
        <f>IF(ActiveDatabase=Standby,Secondary!S1048,Primary!S1048)</f>
        <v>0</v>
      </c>
      <c r="T1048" s="10">
        <f>IF(ActiveDatabase=Standby,Secondary!T1048,Primary!T1048)</f>
        <v>0</v>
      </c>
      <c r="U1048" s="10">
        <f>IF(ActiveDatabase=Standby,Secondary!U1048,Primary!U1048)</f>
        <v>0</v>
      </c>
      <c r="V1048" s="10">
        <f>IF(ActiveDatabase=Standby,Secondary!V1048,Primary!V1048)</f>
        <v>0</v>
      </c>
      <c r="W1048" s="6">
        <f>IF(ActiveDatabase=Standby,Secondary!W1048,Primary!W1048)</f>
        <v>0</v>
      </c>
      <c r="X1048" s="6">
        <f>IF(ActiveDatabase=Standby,Secondary!X1048,Primary!X1048)</f>
        <v>0</v>
      </c>
      <c r="Y1048" s="7">
        <f>IF(ActiveDatabase=Standby,Secondary!Y1048,Primary!Y1706)</f>
        <v>0</v>
      </c>
      <c r="Z1048" s="7">
        <f>IF(ActiveDatabase=Standby,Secondary!Z1048,Primary!Z1706)</f>
        <v>0</v>
      </c>
      <c r="AA1048" s="7">
        <f>IF(ActiveDatabase=Standby,Secondary!AA1048,Primary!AA1706)</f>
        <v>0</v>
      </c>
      <c r="AB1048" s="7"/>
      <c r="AC1048" s="6"/>
      <c r="AD1048" s="6"/>
      <c r="AE1048" s="7"/>
      <c r="AF1048" s="7"/>
      <c r="AG1048" s="7"/>
      <c r="AH1048" s="7"/>
      <c r="AI1048" s="7"/>
      <c r="AJ1048" s="7"/>
      <c r="AK1048" s="7"/>
      <c r="AL1048" s="7"/>
      <c r="AM1048" s="7"/>
      <c r="AN1048" s="7"/>
      <c r="AO1048" s="6"/>
      <c r="AP1048" s="7"/>
      <c r="AQ1048" s="7"/>
      <c r="AR1048" s="6"/>
      <c r="AS1048" s="7"/>
      <c r="AT1048" s="7"/>
      <c r="AU1048" s="7"/>
      <c r="AV1048" s="7"/>
      <c r="AW1048" s="7"/>
      <c r="AX1048" s="7"/>
      <c r="AY1048" s="7"/>
      <c r="AZ1048" s="7"/>
      <c r="BA1048" s="7"/>
      <c r="BB1048" s="7"/>
      <c r="BC1048" s="7"/>
      <c r="BD1048" s="7"/>
      <c r="BE1048" s="7"/>
      <c r="BF1048" s="7"/>
      <c r="BG1048" s="7"/>
    </row>
    <row r="1049" customHeight="1" spans="1:59">
      <c r="A1049" s="9">
        <f>IF(ActiveDatabase=Standby,Secondary!A1049,Primary!A1049)</f>
        <v>0</v>
      </c>
      <c r="B1049" s="5">
        <f>IF(ActiveDatabase=Standby,Secondary!B1049,Primary!B1049)</f>
        <v>0</v>
      </c>
      <c r="C1049" s="5">
        <f>IF(ActiveDatabase=Standby,Secondary!C1049,Primary!C1049)</f>
        <v>0</v>
      </c>
      <c r="D1049" s="5">
        <f>IF(ActiveDatabase=Standby,Secondary!D1049,Primary!D1049)</f>
        <v>0</v>
      </c>
      <c r="E1049" s="6">
        <f>IF(ActiveDatabase=Standby,Secondary!E1049,Primary!E1049)</f>
        <v>0</v>
      </c>
      <c r="F1049" s="10">
        <f>IF(ActiveDatabase=Standby,Secondary!F1049,Primary!F1049)</f>
        <v>0</v>
      </c>
      <c r="G1049" s="10">
        <f>IF(ActiveDatabase=Standby,Secondary!G1049,Primary!G1049)</f>
        <v>0</v>
      </c>
      <c r="H1049" s="10">
        <f>IF(ActiveDatabase=Standby,Secondary!H1049,Primary!H1049)</f>
        <v>0</v>
      </c>
      <c r="I1049" s="13">
        <f>IF(ActiveDatabase=Standby,Secondary!I1049,Primary!I1049)</f>
        <v>0</v>
      </c>
      <c r="J1049" s="13">
        <f>IF(ActiveDatabase=Standby,Secondary!J1049,Primary!J1049)</f>
        <v>0</v>
      </c>
      <c r="K1049" s="13">
        <f>IF(ActiveDatabase=Standby,Secondary!K1049,Primary!K1049)</f>
        <v>0</v>
      </c>
      <c r="L1049" s="13">
        <f>IF(ActiveDatabase=Standby,Secondary!L1049,Primary!L1049)</f>
        <v>0</v>
      </c>
      <c r="M1049" s="7">
        <f>IF(ActiveDatabase=Standby,Secondary!M1049,Primary!M1049)</f>
        <v>0</v>
      </c>
      <c r="N1049" s="10">
        <f>IF(ActiveDatabase=Standby,Secondary!N1049,Primary!N1049)</f>
        <v>0</v>
      </c>
      <c r="O1049" s="10">
        <f>IF(ActiveDatabase=Standby,Secondary!O1049,Primary!O1049)</f>
        <v>0</v>
      </c>
      <c r="P1049" s="10">
        <f>IF(ActiveDatabase=Standby,Secondary!P1049,Primary!P1049)</f>
        <v>0</v>
      </c>
      <c r="Q1049" s="6">
        <f>IF(ActiveDatabase=Standby,Secondary!Q1049,Primary!Q1049)</f>
        <v>0</v>
      </c>
      <c r="R1049" s="18">
        <f>IF(ActiveDatabase=Standby,Secondary!R1049,Primary!R1049)</f>
        <v>0</v>
      </c>
      <c r="S1049" s="19">
        <f>IF(ActiveDatabase=Standby,Secondary!S1049,Primary!S1049)</f>
        <v>0</v>
      </c>
      <c r="T1049" s="10">
        <f>IF(ActiveDatabase=Standby,Secondary!T1049,Primary!T1049)</f>
        <v>0</v>
      </c>
      <c r="U1049" s="10">
        <f>IF(ActiveDatabase=Standby,Secondary!U1049,Primary!U1049)</f>
        <v>0</v>
      </c>
      <c r="V1049" s="10">
        <f>IF(ActiveDatabase=Standby,Secondary!V1049,Primary!V1049)</f>
        <v>0</v>
      </c>
      <c r="W1049" s="6">
        <f>IF(ActiveDatabase=Standby,Secondary!W1049,Primary!W1049)</f>
        <v>0</v>
      </c>
      <c r="X1049" s="6">
        <f>IF(ActiveDatabase=Standby,Secondary!X1049,Primary!X1049)</f>
        <v>0</v>
      </c>
      <c r="Y1049" s="7">
        <f>IF(ActiveDatabase=Standby,Secondary!Y1049,Primary!Y1707)</f>
        <v>0</v>
      </c>
      <c r="Z1049" s="7">
        <f>IF(ActiveDatabase=Standby,Secondary!Z1049,Primary!Z1707)</f>
        <v>0</v>
      </c>
      <c r="AA1049" s="7">
        <f>IF(ActiveDatabase=Standby,Secondary!AA1049,Primary!AA1707)</f>
        <v>0</v>
      </c>
      <c r="AB1049" s="7"/>
      <c r="AC1049" s="6"/>
      <c r="AD1049" s="6"/>
      <c r="AE1049" s="7"/>
      <c r="AF1049" s="7"/>
      <c r="AG1049" s="7"/>
      <c r="AH1049" s="7"/>
      <c r="AI1049" s="7"/>
      <c r="AJ1049" s="7"/>
      <c r="AK1049" s="7"/>
      <c r="AL1049" s="7"/>
      <c r="AM1049" s="7"/>
      <c r="AN1049" s="7"/>
      <c r="AO1049" s="6"/>
      <c r="AP1049" s="7"/>
      <c r="AQ1049" s="7"/>
      <c r="AR1049" s="6"/>
      <c r="AS1049" s="7"/>
      <c r="AT1049" s="7"/>
      <c r="AU1049" s="7"/>
      <c r="AV1049" s="7"/>
      <c r="AW1049" s="7"/>
      <c r="AX1049" s="7"/>
      <c r="AY1049" s="7"/>
      <c r="AZ1049" s="7"/>
      <c r="BA1049" s="7"/>
      <c r="BB1049" s="7"/>
      <c r="BC1049" s="7"/>
      <c r="BD1049" s="7"/>
      <c r="BE1049" s="7"/>
      <c r="BF1049" s="7"/>
      <c r="BG1049" s="7"/>
    </row>
    <row r="1050" customHeight="1" spans="1:59">
      <c r="A1050" s="9">
        <f>IF(ActiveDatabase=Standby,Secondary!A1050,Primary!A1050)</f>
        <v>0</v>
      </c>
      <c r="B1050" s="5">
        <f>IF(ActiveDatabase=Standby,Secondary!B1050,Primary!B1050)</f>
        <v>0</v>
      </c>
      <c r="C1050" s="5">
        <f>IF(ActiveDatabase=Standby,Secondary!C1050,Primary!C1050)</f>
        <v>0</v>
      </c>
      <c r="D1050" s="5">
        <f>IF(ActiveDatabase=Standby,Secondary!D1050,Primary!D1050)</f>
        <v>0</v>
      </c>
      <c r="E1050" s="6">
        <f>IF(ActiveDatabase=Standby,Secondary!E1050,Primary!E1050)</f>
        <v>0</v>
      </c>
      <c r="F1050" s="10">
        <f>IF(ActiveDatabase=Standby,Secondary!F1050,Primary!F1050)</f>
        <v>0</v>
      </c>
      <c r="G1050" s="10">
        <f>IF(ActiveDatabase=Standby,Secondary!G1050,Primary!G1050)</f>
        <v>0</v>
      </c>
      <c r="H1050" s="10">
        <f>IF(ActiveDatabase=Standby,Secondary!H1050,Primary!H1050)</f>
        <v>0</v>
      </c>
      <c r="I1050" s="13">
        <f>IF(ActiveDatabase=Standby,Secondary!I1050,Primary!I1050)</f>
        <v>0</v>
      </c>
      <c r="J1050" s="13">
        <f>IF(ActiveDatabase=Standby,Secondary!J1050,Primary!J1050)</f>
        <v>0</v>
      </c>
      <c r="K1050" s="13">
        <f>IF(ActiveDatabase=Standby,Secondary!K1050,Primary!K1050)</f>
        <v>0</v>
      </c>
      <c r="L1050" s="13">
        <f>IF(ActiveDatabase=Standby,Secondary!L1050,Primary!L1050)</f>
        <v>0</v>
      </c>
      <c r="M1050" s="7">
        <f>IF(ActiveDatabase=Standby,Secondary!M1050,Primary!M1050)</f>
        <v>0</v>
      </c>
      <c r="N1050" s="10">
        <f>IF(ActiveDatabase=Standby,Secondary!N1050,Primary!N1050)</f>
        <v>0</v>
      </c>
      <c r="O1050" s="10">
        <f>IF(ActiveDatabase=Standby,Secondary!O1050,Primary!O1050)</f>
        <v>0</v>
      </c>
      <c r="P1050" s="10">
        <f>IF(ActiveDatabase=Standby,Secondary!P1050,Primary!P1050)</f>
        <v>0</v>
      </c>
      <c r="Q1050" s="6">
        <f>IF(ActiveDatabase=Standby,Secondary!Q1050,Primary!Q1050)</f>
        <v>0</v>
      </c>
      <c r="R1050" s="18">
        <f>IF(ActiveDatabase=Standby,Secondary!R1050,Primary!R1050)</f>
        <v>0</v>
      </c>
      <c r="S1050" s="19">
        <f>IF(ActiveDatabase=Standby,Secondary!S1050,Primary!S1050)</f>
        <v>0</v>
      </c>
      <c r="T1050" s="10">
        <f>IF(ActiveDatabase=Standby,Secondary!T1050,Primary!T1050)</f>
        <v>0</v>
      </c>
      <c r="U1050" s="10">
        <f>IF(ActiveDatabase=Standby,Secondary!U1050,Primary!U1050)</f>
        <v>0</v>
      </c>
      <c r="V1050" s="10">
        <f>IF(ActiveDatabase=Standby,Secondary!V1050,Primary!V1050)</f>
        <v>0</v>
      </c>
      <c r="W1050" s="6">
        <f>IF(ActiveDatabase=Standby,Secondary!W1050,Primary!W1050)</f>
        <v>0</v>
      </c>
      <c r="X1050" s="6">
        <f>IF(ActiveDatabase=Standby,Secondary!X1050,Primary!X1050)</f>
        <v>0</v>
      </c>
      <c r="Y1050" s="7">
        <f>IF(ActiveDatabase=Standby,Secondary!Y1050,Primary!Y1708)</f>
        <v>0</v>
      </c>
      <c r="Z1050" s="7">
        <f>IF(ActiveDatabase=Standby,Secondary!Z1050,Primary!Z1708)</f>
        <v>0</v>
      </c>
      <c r="AA1050" s="7">
        <f>IF(ActiveDatabase=Standby,Secondary!AA1050,Primary!AA1708)</f>
        <v>0</v>
      </c>
      <c r="AB1050" s="7"/>
      <c r="AC1050" s="6"/>
      <c r="AD1050" s="6"/>
      <c r="AE1050" s="7"/>
      <c r="AF1050" s="7"/>
      <c r="AG1050" s="7"/>
      <c r="AH1050" s="7"/>
      <c r="AI1050" s="7"/>
      <c r="AJ1050" s="7"/>
      <c r="AK1050" s="7"/>
      <c r="AL1050" s="7"/>
      <c r="AM1050" s="7"/>
      <c r="AN1050" s="7"/>
      <c r="AO1050" s="6"/>
      <c r="AP1050" s="7"/>
      <c r="AQ1050" s="7"/>
      <c r="AR1050" s="6"/>
      <c r="AS1050" s="7"/>
      <c r="AT1050" s="7"/>
      <c r="AU1050" s="7"/>
      <c r="AV1050" s="7"/>
      <c r="AW1050" s="7"/>
      <c r="AX1050" s="7"/>
      <c r="AY1050" s="7"/>
      <c r="AZ1050" s="7"/>
      <c r="BA1050" s="7"/>
      <c r="BB1050" s="7"/>
      <c r="BC1050" s="7"/>
      <c r="BD1050" s="7"/>
      <c r="BE1050" s="7"/>
      <c r="BF1050" s="7"/>
      <c r="BG1050" s="7"/>
    </row>
    <row r="1051" customHeight="1" spans="1:59">
      <c r="A1051" s="9">
        <f>IF(ActiveDatabase=Standby,Secondary!A1051,Primary!A1051)</f>
        <v>0</v>
      </c>
      <c r="B1051" s="5">
        <f>IF(ActiveDatabase=Standby,Secondary!B1051,Primary!B1051)</f>
        <v>0</v>
      </c>
      <c r="C1051" s="5">
        <f>IF(ActiveDatabase=Standby,Secondary!C1051,Primary!C1051)</f>
        <v>0</v>
      </c>
      <c r="D1051" s="5">
        <f>IF(ActiveDatabase=Standby,Secondary!D1051,Primary!D1051)</f>
        <v>0</v>
      </c>
      <c r="E1051" s="6">
        <f>IF(ActiveDatabase=Standby,Secondary!E1051,Primary!E1051)</f>
        <v>0</v>
      </c>
      <c r="F1051" s="10">
        <f>IF(ActiveDatabase=Standby,Secondary!F1051,Primary!F1051)</f>
        <v>0</v>
      </c>
      <c r="G1051" s="10">
        <f>IF(ActiveDatabase=Standby,Secondary!G1051,Primary!G1051)</f>
        <v>0</v>
      </c>
      <c r="H1051" s="10">
        <f>IF(ActiveDatabase=Standby,Secondary!H1051,Primary!H1051)</f>
        <v>0</v>
      </c>
      <c r="I1051" s="13">
        <f>IF(ActiveDatabase=Standby,Secondary!I1051,Primary!I1051)</f>
        <v>0</v>
      </c>
      <c r="J1051" s="13">
        <f>IF(ActiveDatabase=Standby,Secondary!J1051,Primary!J1051)</f>
        <v>0</v>
      </c>
      <c r="K1051" s="13">
        <f>IF(ActiveDatabase=Standby,Secondary!K1051,Primary!K1051)</f>
        <v>0</v>
      </c>
      <c r="L1051" s="13">
        <f>IF(ActiveDatabase=Standby,Secondary!L1051,Primary!L1051)</f>
        <v>0</v>
      </c>
      <c r="M1051" s="7">
        <f>IF(ActiveDatabase=Standby,Secondary!M1051,Primary!M1051)</f>
        <v>0</v>
      </c>
      <c r="N1051" s="10">
        <f>IF(ActiveDatabase=Standby,Secondary!N1051,Primary!N1051)</f>
        <v>0</v>
      </c>
      <c r="O1051" s="10">
        <f>IF(ActiveDatabase=Standby,Secondary!O1051,Primary!O1051)</f>
        <v>0</v>
      </c>
      <c r="P1051" s="10">
        <f>IF(ActiveDatabase=Standby,Secondary!P1051,Primary!P1051)</f>
        <v>0</v>
      </c>
      <c r="Q1051" s="6">
        <f>IF(ActiveDatabase=Standby,Secondary!Q1051,Primary!Q1051)</f>
        <v>0</v>
      </c>
      <c r="R1051" s="18">
        <f>IF(ActiveDatabase=Standby,Secondary!R1051,Primary!R1051)</f>
        <v>0</v>
      </c>
      <c r="S1051" s="19">
        <f>IF(ActiveDatabase=Standby,Secondary!S1051,Primary!S1051)</f>
        <v>0</v>
      </c>
      <c r="T1051" s="10">
        <f>IF(ActiveDatabase=Standby,Secondary!T1051,Primary!T1051)</f>
        <v>0</v>
      </c>
      <c r="U1051" s="10">
        <f>IF(ActiveDatabase=Standby,Secondary!U1051,Primary!U1051)</f>
        <v>0</v>
      </c>
      <c r="V1051" s="10">
        <f>IF(ActiveDatabase=Standby,Secondary!V1051,Primary!V1051)</f>
        <v>0</v>
      </c>
      <c r="W1051" s="6">
        <f>IF(ActiveDatabase=Standby,Secondary!W1051,Primary!W1051)</f>
        <v>0</v>
      </c>
      <c r="X1051" s="6">
        <f>IF(ActiveDatabase=Standby,Secondary!X1051,Primary!X1051)</f>
        <v>0</v>
      </c>
      <c r="Y1051" s="7">
        <f>IF(ActiveDatabase=Standby,Secondary!Y1051,Primary!Y1709)</f>
        <v>0</v>
      </c>
      <c r="Z1051" s="7">
        <f>IF(ActiveDatabase=Standby,Secondary!Z1051,Primary!Z1709)</f>
        <v>0</v>
      </c>
      <c r="AA1051" s="7">
        <f>IF(ActiveDatabase=Standby,Secondary!AA1051,Primary!AA1709)</f>
        <v>0</v>
      </c>
      <c r="AB1051" s="7"/>
      <c r="AC1051" s="6"/>
      <c r="AD1051" s="6"/>
      <c r="AE1051" s="7"/>
      <c r="AF1051" s="7"/>
      <c r="AG1051" s="7"/>
      <c r="AH1051" s="7"/>
      <c r="AI1051" s="7"/>
      <c r="AJ1051" s="7"/>
      <c r="AK1051" s="7"/>
      <c r="AL1051" s="7"/>
      <c r="AM1051" s="7"/>
      <c r="AN1051" s="7"/>
      <c r="AO1051" s="6"/>
      <c r="AP1051" s="7"/>
      <c r="AQ1051" s="7"/>
      <c r="AR1051" s="6"/>
      <c r="AS1051" s="7"/>
      <c r="AT1051" s="7"/>
      <c r="AU1051" s="7"/>
      <c r="AV1051" s="7"/>
      <c r="AW1051" s="7"/>
      <c r="AX1051" s="7"/>
      <c r="AY1051" s="7"/>
      <c r="AZ1051" s="7"/>
      <c r="BA1051" s="7"/>
      <c r="BB1051" s="7"/>
      <c r="BC1051" s="7"/>
      <c r="BD1051" s="7"/>
      <c r="BE1051" s="7"/>
      <c r="BF1051" s="7"/>
      <c r="BG1051" s="7"/>
    </row>
    <row r="1052" customHeight="1" spans="1:59">
      <c r="A1052" s="9">
        <f>IF(ActiveDatabase=Standby,Secondary!A1052,Primary!A1052)</f>
        <v>0</v>
      </c>
      <c r="B1052" s="5">
        <f>IF(ActiveDatabase=Standby,Secondary!B1052,Primary!B1052)</f>
        <v>0</v>
      </c>
      <c r="C1052" s="5">
        <f>IF(ActiveDatabase=Standby,Secondary!C1052,Primary!C1052)</f>
        <v>0</v>
      </c>
      <c r="D1052" s="5">
        <f>IF(ActiveDatabase=Standby,Secondary!D1052,Primary!D1052)</f>
        <v>0</v>
      </c>
      <c r="E1052" s="6">
        <f>IF(ActiveDatabase=Standby,Secondary!E1052,Primary!E1052)</f>
        <v>0</v>
      </c>
      <c r="F1052" s="10">
        <f>IF(ActiveDatabase=Standby,Secondary!F1052,Primary!F1052)</f>
        <v>0</v>
      </c>
      <c r="G1052" s="10">
        <f>IF(ActiveDatabase=Standby,Secondary!G1052,Primary!G1052)</f>
        <v>0</v>
      </c>
      <c r="H1052" s="10">
        <f>IF(ActiveDatabase=Standby,Secondary!H1052,Primary!H1052)</f>
        <v>0</v>
      </c>
      <c r="I1052" s="13">
        <f>IF(ActiveDatabase=Standby,Secondary!I1052,Primary!I1052)</f>
        <v>0</v>
      </c>
      <c r="J1052" s="13">
        <f>IF(ActiveDatabase=Standby,Secondary!J1052,Primary!J1052)</f>
        <v>0</v>
      </c>
      <c r="K1052" s="13">
        <f>IF(ActiveDatabase=Standby,Secondary!K1052,Primary!K1052)</f>
        <v>0</v>
      </c>
      <c r="L1052" s="13">
        <f>IF(ActiveDatabase=Standby,Secondary!L1052,Primary!L1052)</f>
        <v>0</v>
      </c>
      <c r="M1052" s="7">
        <f>IF(ActiveDatabase=Standby,Secondary!M1052,Primary!M1052)</f>
        <v>0</v>
      </c>
      <c r="N1052" s="10">
        <f>IF(ActiveDatabase=Standby,Secondary!N1052,Primary!N1052)</f>
        <v>0</v>
      </c>
      <c r="O1052" s="10">
        <f>IF(ActiveDatabase=Standby,Secondary!O1052,Primary!O1052)</f>
        <v>0</v>
      </c>
      <c r="P1052" s="10">
        <f>IF(ActiveDatabase=Standby,Secondary!P1052,Primary!P1052)</f>
        <v>0</v>
      </c>
      <c r="Q1052" s="6">
        <f>IF(ActiveDatabase=Standby,Secondary!Q1052,Primary!Q1052)</f>
        <v>0</v>
      </c>
      <c r="R1052" s="18">
        <f>IF(ActiveDatabase=Standby,Secondary!R1052,Primary!R1052)</f>
        <v>0</v>
      </c>
      <c r="S1052" s="19">
        <f>IF(ActiveDatabase=Standby,Secondary!S1052,Primary!S1052)</f>
        <v>0</v>
      </c>
      <c r="T1052" s="10">
        <f>IF(ActiveDatabase=Standby,Secondary!T1052,Primary!T1052)</f>
        <v>0</v>
      </c>
      <c r="U1052" s="10">
        <f>IF(ActiveDatabase=Standby,Secondary!U1052,Primary!U1052)</f>
        <v>0</v>
      </c>
      <c r="V1052" s="10">
        <f>IF(ActiveDatabase=Standby,Secondary!V1052,Primary!V1052)</f>
        <v>0</v>
      </c>
      <c r="W1052" s="6">
        <f>IF(ActiveDatabase=Standby,Secondary!W1052,Primary!W1052)</f>
        <v>0</v>
      </c>
      <c r="X1052" s="6">
        <f>IF(ActiveDatabase=Standby,Secondary!X1052,Primary!X1052)</f>
        <v>0</v>
      </c>
      <c r="Y1052" s="7">
        <f>IF(ActiveDatabase=Standby,Secondary!Y1052,Primary!Y1710)</f>
        <v>0</v>
      </c>
      <c r="Z1052" s="7">
        <f>IF(ActiveDatabase=Standby,Secondary!Z1052,Primary!Z1710)</f>
        <v>0</v>
      </c>
      <c r="AA1052" s="7">
        <f>IF(ActiveDatabase=Standby,Secondary!AA1052,Primary!AA1710)</f>
        <v>0</v>
      </c>
      <c r="AB1052" s="7"/>
      <c r="AC1052" s="6"/>
      <c r="AD1052" s="6"/>
      <c r="AE1052" s="7"/>
      <c r="AF1052" s="7"/>
      <c r="AG1052" s="7"/>
      <c r="AH1052" s="7"/>
      <c r="AI1052" s="7"/>
      <c r="AJ1052" s="7"/>
      <c r="AK1052" s="7"/>
      <c r="AL1052" s="7"/>
      <c r="AM1052" s="7"/>
      <c r="AN1052" s="7"/>
      <c r="AO1052" s="6"/>
      <c r="AP1052" s="7"/>
      <c r="AQ1052" s="7"/>
      <c r="AR1052" s="6"/>
      <c r="AS1052" s="7"/>
      <c r="AT1052" s="7"/>
      <c r="AU1052" s="7"/>
      <c r="AV1052" s="7"/>
      <c r="AW1052" s="7"/>
      <c r="AX1052" s="7"/>
      <c r="AY1052" s="7"/>
      <c r="AZ1052" s="7"/>
      <c r="BA1052" s="7"/>
      <c r="BB1052" s="7"/>
      <c r="BC1052" s="7"/>
      <c r="BD1052" s="7"/>
      <c r="BE1052" s="7"/>
      <c r="BF1052" s="7"/>
      <c r="BG1052" s="7"/>
    </row>
    <row r="1053" customHeight="1" spans="1:59">
      <c r="A1053" s="9">
        <f>IF(ActiveDatabase=Standby,Secondary!A1053,Primary!A1053)</f>
        <v>0</v>
      </c>
      <c r="B1053" s="5">
        <f>IF(ActiveDatabase=Standby,Secondary!B1053,Primary!B1053)</f>
        <v>0</v>
      </c>
      <c r="C1053" s="5">
        <f>IF(ActiveDatabase=Standby,Secondary!C1053,Primary!C1053)</f>
        <v>0</v>
      </c>
      <c r="D1053" s="5">
        <f>IF(ActiveDatabase=Standby,Secondary!D1053,Primary!D1053)</f>
        <v>0</v>
      </c>
      <c r="E1053" s="6">
        <f>IF(ActiveDatabase=Standby,Secondary!E1053,Primary!E1053)</f>
        <v>0</v>
      </c>
      <c r="F1053" s="10">
        <f>IF(ActiveDatabase=Standby,Secondary!F1053,Primary!F1053)</f>
        <v>0</v>
      </c>
      <c r="G1053" s="10">
        <f>IF(ActiveDatabase=Standby,Secondary!G1053,Primary!G1053)</f>
        <v>0</v>
      </c>
      <c r="H1053" s="10">
        <f>IF(ActiveDatabase=Standby,Secondary!H1053,Primary!H1053)</f>
        <v>0</v>
      </c>
      <c r="I1053" s="13">
        <f>IF(ActiveDatabase=Standby,Secondary!I1053,Primary!I1053)</f>
        <v>0</v>
      </c>
      <c r="J1053" s="13">
        <f>IF(ActiveDatabase=Standby,Secondary!J1053,Primary!J1053)</f>
        <v>0</v>
      </c>
      <c r="K1053" s="13">
        <f>IF(ActiveDatabase=Standby,Secondary!K1053,Primary!K1053)</f>
        <v>0</v>
      </c>
      <c r="L1053" s="13">
        <f>IF(ActiveDatabase=Standby,Secondary!L1053,Primary!L1053)</f>
        <v>0</v>
      </c>
      <c r="M1053" s="7">
        <f>IF(ActiveDatabase=Standby,Secondary!M1053,Primary!M1053)</f>
        <v>0</v>
      </c>
      <c r="N1053" s="10">
        <f>IF(ActiveDatabase=Standby,Secondary!N1053,Primary!N1053)</f>
        <v>0</v>
      </c>
      <c r="O1053" s="10">
        <f>IF(ActiveDatabase=Standby,Secondary!O1053,Primary!O1053)</f>
        <v>0</v>
      </c>
      <c r="P1053" s="10">
        <f>IF(ActiveDatabase=Standby,Secondary!P1053,Primary!P1053)</f>
        <v>0</v>
      </c>
      <c r="Q1053" s="6">
        <f>IF(ActiveDatabase=Standby,Secondary!Q1053,Primary!Q1053)</f>
        <v>0</v>
      </c>
      <c r="R1053" s="18">
        <f>IF(ActiveDatabase=Standby,Secondary!R1053,Primary!R1053)</f>
        <v>0</v>
      </c>
      <c r="S1053" s="19">
        <f>IF(ActiveDatabase=Standby,Secondary!S1053,Primary!S1053)</f>
        <v>0</v>
      </c>
      <c r="T1053" s="10">
        <f>IF(ActiveDatabase=Standby,Secondary!T1053,Primary!T1053)</f>
        <v>0</v>
      </c>
      <c r="U1053" s="10">
        <f>IF(ActiveDatabase=Standby,Secondary!U1053,Primary!U1053)</f>
        <v>0</v>
      </c>
      <c r="V1053" s="10">
        <f>IF(ActiveDatabase=Standby,Secondary!V1053,Primary!V1053)</f>
        <v>0</v>
      </c>
      <c r="W1053" s="6">
        <f>IF(ActiveDatabase=Standby,Secondary!W1053,Primary!W1053)</f>
        <v>0</v>
      </c>
      <c r="X1053" s="6">
        <f>IF(ActiveDatabase=Standby,Secondary!X1053,Primary!X1053)</f>
        <v>0</v>
      </c>
      <c r="Y1053" s="7">
        <f>IF(ActiveDatabase=Standby,Secondary!Y1053,Primary!Y1711)</f>
        <v>0</v>
      </c>
      <c r="Z1053" s="7">
        <f>IF(ActiveDatabase=Standby,Secondary!Z1053,Primary!Z1711)</f>
        <v>0</v>
      </c>
      <c r="AA1053" s="7">
        <f>IF(ActiveDatabase=Standby,Secondary!AA1053,Primary!AA1711)</f>
        <v>0</v>
      </c>
      <c r="AB1053" s="7"/>
      <c r="AC1053" s="6"/>
      <c r="AD1053" s="6"/>
      <c r="AE1053" s="7"/>
      <c r="AF1053" s="7"/>
      <c r="AG1053" s="7"/>
      <c r="AH1053" s="7"/>
      <c r="AI1053" s="7"/>
      <c r="AJ1053" s="7"/>
      <c r="AK1053" s="7"/>
      <c r="AL1053" s="7"/>
      <c r="AM1053" s="7"/>
      <c r="AN1053" s="7"/>
      <c r="AO1053" s="6"/>
      <c r="AP1053" s="7"/>
      <c r="AQ1053" s="7"/>
      <c r="AR1053" s="6"/>
      <c r="AS1053" s="7"/>
      <c r="AT1053" s="7"/>
      <c r="AU1053" s="7"/>
      <c r="AV1053" s="7"/>
      <c r="AW1053" s="7"/>
      <c r="AX1053" s="7"/>
      <c r="AY1053" s="7"/>
      <c r="AZ1053" s="7"/>
      <c r="BA1053" s="7"/>
      <c r="BB1053" s="7"/>
      <c r="BC1053" s="7"/>
      <c r="BD1053" s="7"/>
      <c r="BE1053" s="7"/>
      <c r="BF1053" s="7"/>
      <c r="BG1053" s="7"/>
    </row>
    <row r="1054" customHeight="1" spans="1:59">
      <c r="A1054" s="9">
        <f>IF(ActiveDatabase=Standby,Secondary!A1054,Primary!A1054)</f>
        <v>0</v>
      </c>
      <c r="B1054" s="5">
        <f>IF(ActiveDatabase=Standby,Secondary!B1054,Primary!B1054)</f>
        <v>0</v>
      </c>
      <c r="C1054" s="5">
        <f>IF(ActiveDatabase=Standby,Secondary!C1054,Primary!C1054)</f>
        <v>0</v>
      </c>
      <c r="D1054" s="5">
        <f>IF(ActiveDatabase=Standby,Secondary!D1054,Primary!D1054)</f>
        <v>0</v>
      </c>
      <c r="E1054" s="6">
        <f>IF(ActiveDatabase=Standby,Secondary!E1054,Primary!E1054)</f>
        <v>0</v>
      </c>
      <c r="F1054" s="10">
        <f>IF(ActiveDatabase=Standby,Secondary!F1054,Primary!F1054)</f>
        <v>0</v>
      </c>
      <c r="G1054" s="10">
        <f>IF(ActiveDatabase=Standby,Secondary!G1054,Primary!G1054)</f>
        <v>0</v>
      </c>
      <c r="H1054" s="10">
        <f>IF(ActiveDatabase=Standby,Secondary!H1054,Primary!H1054)</f>
        <v>0</v>
      </c>
      <c r="I1054" s="13">
        <f>IF(ActiveDatabase=Standby,Secondary!I1054,Primary!I1054)</f>
        <v>0</v>
      </c>
      <c r="J1054" s="13">
        <f>IF(ActiveDatabase=Standby,Secondary!J1054,Primary!J1054)</f>
        <v>0</v>
      </c>
      <c r="K1054" s="13">
        <f>IF(ActiveDatabase=Standby,Secondary!K1054,Primary!K1054)</f>
        <v>0</v>
      </c>
      <c r="L1054" s="13">
        <f>IF(ActiveDatabase=Standby,Secondary!L1054,Primary!L1054)</f>
        <v>0</v>
      </c>
      <c r="M1054" s="7">
        <f>IF(ActiveDatabase=Standby,Secondary!M1054,Primary!M1054)</f>
        <v>0</v>
      </c>
      <c r="N1054" s="10">
        <f>IF(ActiveDatabase=Standby,Secondary!N1054,Primary!N1054)</f>
        <v>0</v>
      </c>
      <c r="O1054" s="10">
        <f>IF(ActiveDatabase=Standby,Secondary!O1054,Primary!O1054)</f>
        <v>0</v>
      </c>
      <c r="P1054" s="10">
        <f>IF(ActiveDatabase=Standby,Secondary!P1054,Primary!P1054)</f>
        <v>0</v>
      </c>
      <c r="Q1054" s="6">
        <f>IF(ActiveDatabase=Standby,Secondary!Q1054,Primary!Q1054)</f>
        <v>0</v>
      </c>
      <c r="R1054" s="18">
        <f>IF(ActiveDatabase=Standby,Secondary!R1054,Primary!R1054)</f>
        <v>0</v>
      </c>
      <c r="S1054" s="19">
        <f>IF(ActiveDatabase=Standby,Secondary!S1054,Primary!S1054)</f>
        <v>0</v>
      </c>
      <c r="T1054" s="10">
        <f>IF(ActiveDatabase=Standby,Secondary!T1054,Primary!T1054)</f>
        <v>0</v>
      </c>
      <c r="U1054" s="10">
        <f>IF(ActiveDatabase=Standby,Secondary!U1054,Primary!U1054)</f>
        <v>0</v>
      </c>
      <c r="V1054" s="10">
        <f>IF(ActiveDatabase=Standby,Secondary!V1054,Primary!V1054)</f>
        <v>0</v>
      </c>
      <c r="W1054" s="6">
        <f>IF(ActiveDatabase=Standby,Secondary!W1054,Primary!W1054)</f>
        <v>0</v>
      </c>
      <c r="X1054" s="6">
        <f>IF(ActiveDatabase=Standby,Secondary!X1054,Primary!X1054)</f>
        <v>0</v>
      </c>
      <c r="Y1054" s="7">
        <f>IF(ActiveDatabase=Standby,Secondary!Y1054,Primary!Y1712)</f>
        <v>0</v>
      </c>
      <c r="Z1054" s="7">
        <f>IF(ActiveDatabase=Standby,Secondary!Z1054,Primary!Z1712)</f>
        <v>0</v>
      </c>
      <c r="AA1054" s="7">
        <f>IF(ActiveDatabase=Standby,Secondary!AA1054,Primary!AA1712)</f>
        <v>0</v>
      </c>
      <c r="AB1054" s="7"/>
      <c r="AC1054" s="6"/>
      <c r="AD1054" s="6"/>
      <c r="AE1054" s="7"/>
      <c r="AF1054" s="7"/>
      <c r="AG1054" s="7"/>
      <c r="AH1054" s="7"/>
      <c r="AI1054" s="7"/>
      <c r="AJ1054" s="7"/>
      <c r="AK1054" s="7"/>
      <c r="AL1054" s="7"/>
      <c r="AM1054" s="7"/>
      <c r="AN1054" s="7"/>
      <c r="AO1054" s="6"/>
      <c r="AP1054" s="7"/>
      <c r="AQ1054" s="7"/>
      <c r="AR1054" s="6"/>
      <c r="AS1054" s="7"/>
      <c r="AT1054" s="7"/>
      <c r="AU1054" s="7"/>
      <c r="AV1054" s="7"/>
      <c r="AW1054" s="7"/>
      <c r="AX1054" s="7"/>
      <c r="AY1054" s="7"/>
      <c r="AZ1054" s="7"/>
      <c r="BA1054" s="7"/>
      <c r="BB1054" s="7"/>
      <c r="BC1054" s="7"/>
      <c r="BD1054" s="7"/>
      <c r="BE1054" s="7"/>
      <c r="BF1054" s="7"/>
      <c r="BG1054" s="7"/>
    </row>
    <row r="1055" customHeight="1" spans="1:59">
      <c r="A1055" s="9">
        <f>IF(ActiveDatabase=Standby,Secondary!A1055,Primary!A1055)</f>
        <v>0</v>
      </c>
      <c r="B1055" s="5">
        <f>IF(ActiveDatabase=Standby,Secondary!B1055,Primary!B1055)</f>
        <v>0</v>
      </c>
      <c r="C1055" s="5">
        <f>IF(ActiveDatabase=Standby,Secondary!C1055,Primary!C1055)</f>
        <v>0</v>
      </c>
      <c r="D1055" s="5">
        <f>IF(ActiveDatabase=Standby,Secondary!D1055,Primary!D1055)</f>
        <v>0</v>
      </c>
      <c r="E1055" s="6">
        <f>IF(ActiveDatabase=Standby,Secondary!E1055,Primary!E1055)</f>
        <v>0</v>
      </c>
      <c r="F1055" s="10">
        <f>IF(ActiveDatabase=Standby,Secondary!F1055,Primary!F1055)</f>
        <v>0</v>
      </c>
      <c r="G1055" s="10">
        <f>IF(ActiveDatabase=Standby,Secondary!G1055,Primary!G1055)</f>
        <v>0</v>
      </c>
      <c r="H1055" s="10">
        <f>IF(ActiveDatabase=Standby,Secondary!H1055,Primary!H1055)</f>
        <v>0</v>
      </c>
      <c r="I1055" s="13">
        <f>IF(ActiveDatabase=Standby,Secondary!I1055,Primary!I1055)</f>
        <v>0</v>
      </c>
      <c r="J1055" s="13">
        <f>IF(ActiveDatabase=Standby,Secondary!J1055,Primary!J1055)</f>
        <v>0</v>
      </c>
      <c r="K1055" s="13">
        <f>IF(ActiveDatabase=Standby,Secondary!K1055,Primary!K1055)</f>
        <v>0</v>
      </c>
      <c r="L1055" s="13">
        <f>IF(ActiveDatabase=Standby,Secondary!L1055,Primary!L1055)</f>
        <v>0</v>
      </c>
      <c r="M1055" s="7">
        <f>IF(ActiveDatabase=Standby,Secondary!M1055,Primary!M1055)</f>
        <v>0</v>
      </c>
      <c r="N1055" s="10">
        <f>IF(ActiveDatabase=Standby,Secondary!N1055,Primary!N1055)</f>
        <v>0</v>
      </c>
      <c r="O1055" s="10">
        <f>IF(ActiveDatabase=Standby,Secondary!O1055,Primary!O1055)</f>
        <v>0</v>
      </c>
      <c r="P1055" s="10">
        <f>IF(ActiveDatabase=Standby,Secondary!P1055,Primary!P1055)</f>
        <v>0</v>
      </c>
      <c r="Q1055" s="6">
        <f>IF(ActiveDatabase=Standby,Secondary!Q1055,Primary!Q1055)</f>
        <v>0</v>
      </c>
      <c r="R1055" s="18">
        <f>IF(ActiveDatabase=Standby,Secondary!R1055,Primary!R1055)</f>
        <v>0</v>
      </c>
      <c r="S1055" s="19">
        <f>IF(ActiveDatabase=Standby,Secondary!S1055,Primary!S1055)</f>
        <v>0</v>
      </c>
      <c r="T1055" s="10">
        <f>IF(ActiveDatabase=Standby,Secondary!T1055,Primary!T1055)</f>
        <v>0</v>
      </c>
      <c r="U1055" s="10">
        <f>IF(ActiveDatabase=Standby,Secondary!U1055,Primary!U1055)</f>
        <v>0</v>
      </c>
      <c r="V1055" s="10">
        <f>IF(ActiveDatabase=Standby,Secondary!V1055,Primary!V1055)</f>
        <v>0</v>
      </c>
      <c r="W1055" s="6">
        <f>IF(ActiveDatabase=Standby,Secondary!W1055,Primary!W1055)</f>
        <v>0</v>
      </c>
      <c r="X1055" s="6">
        <f>IF(ActiveDatabase=Standby,Secondary!X1055,Primary!X1055)</f>
        <v>0</v>
      </c>
      <c r="Y1055" s="7">
        <f>IF(ActiveDatabase=Standby,Secondary!Y1055,Primary!Y1713)</f>
        <v>0</v>
      </c>
      <c r="Z1055" s="7">
        <f>IF(ActiveDatabase=Standby,Secondary!Z1055,Primary!Z1713)</f>
        <v>0</v>
      </c>
      <c r="AA1055" s="7">
        <f>IF(ActiveDatabase=Standby,Secondary!AA1055,Primary!AA1713)</f>
        <v>0</v>
      </c>
      <c r="AB1055" s="7"/>
      <c r="AC1055" s="6"/>
      <c r="AD1055" s="6"/>
      <c r="AE1055" s="7"/>
      <c r="AF1055" s="7"/>
      <c r="AG1055" s="7"/>
      <c r="AH1055" s="7"/>
      <c r="AI1055" s="7"/>
      <c r="AJ1055" s="7"/>
      <c r="AK1055" s="7"/>
      <c r="AL1055" s="7"/>
      <c r="AM1055" s="7"/>
      <c r="AN1055" s="7"/>
      <c r="AO1055" s="6"/>
      <c r="AP1055" s="7"/>
      <c r="AQ1055" s="7"/>
      <c r="AR1055" s="6"/>
      <c r="AS1055" s="7"/>
      <c r="AT1055" s="7"/>
      <c r="AU1055" s="7"/>
      <c r="AV1055" s="7"/>
      <c r="AW1055" s="7"/>
      <c r="AX1055" s="7"/>
      <c r="AY1055" s="7"/>
      <c r="AZ1055" s="7"/>
      <c r="BA1055" s="7"/>
      <c r="BB1055" s="7"/>
      <c r="BC1055" s="7"/>
      <c r="BD1055" s="7"/>
      <c r="BE1055" s="7"/>
      <c r="BF1055" s="7"/>
      <c r="BG1055" s="7"/>
    </row>
    <row r="1056" customHeight="1" spans="1:59">
      <c r="A1056" s="9">
        <f>IF(ActiveDatabase=Standby,Secondary!A1056,Primary!A1056)</f>
        <v>0</v>
      </c>
      <c r="B1056" s="5">
        <f>IF(ActiveDatabase=Standby,Secondary!B1056,Primary!B1056)</f>
        <v>0</v>
      </c>
      <c r="C1056" s="5">
        <f>IF(ActiveDatabase=Standby,Secondary!C1056,Primary!C1056)</f>
        <v>0</v>
      </c>
      <c r="D1056" s="5">
        <f>IF(ActiveDatabase=Standby,Secondary!D1056,Primary!D1056)</f>
        <v>0</v>
      </c>
      <c r="E1056" s="6">
        <f>IF(ActiveDatabase=Standby,Secondary!E1056,Primary!E1056)</f>
        <v>0</v>
      </c>
      <c r="F1056" s="10">
        <f>IF(ActiveDatabase=Standby,Secondary!F1056,Primary!F1056)</f>
        <v>0</v>
      </c>
      <c r="G1056" s="10">
        <f>IF(ActiveDatabase=Standby,Secondary!G1056,Primary!G1056)</f>
        <v>0</v>
      </c>
      <c r="H1056" s="10">
        <f>IF(ActiveDatabase=Standby,Secondary!H1056,Primary!H1056)</f>
        <v>0</v>
      </c>
      <c r="I1056" s="13">
        <f>IF(ActiveDatabase=Standby,Secondary!I1056,Primary!I1056)</f>
        <v>0</v>
      </c>
      <c r="J1056" s="13">
        <f>IF(ActiveDatabase=Standby,Secondary!J1056,Primary!J1056)</f>
        <v>0</v>
      </c>
      <c r="K1056" s="13">
        <f>IF(ActiveDatabase=Standby,Secondary!K1056,Primary!K1056)</f>
        <v>0</v>
      </c>
      <c r="L1056" s="13">
        <f>IF(ActiveDatabase=Standby,Secondary!L1056,Primary!L1056)</f>
        <v>0</v>
      </c>
      <c r="M1056" s="7">
        <f>IF(ActiveDatabase=Standby,Secondary!M1056,Primary!M1056)</f>
        <v>0</v>
      </c>
      <c r="N1056" s="10">
        <f>IF(ActiveDatabase=Standby,Secondary!N1056,Primary!N1056)</f>
        <v>0</v>
      </c>
      <c r="O1056" s="10">
        <f>IF(ActiveDatabase=Standby,Secondary!O1056,Primary!O1056)</f>
        <v>0</v>
      </c>
      <c r="P1056" s="10">
        <f>IF(ActiveDatabase=Standby,Secondary!P1056,Primary!P1056)</f>
        <v>0</v>
      </c>
      <c r="Q1056" s="6">
        <f>IF(ActiveDatabase=Standby,Secondary!Q1056,Primary!Q1056)</f>
        <v>0</v>
      </c>
      <c r="R1056" s="18">
        <f>IF(ActiveDatabase=Standby,Secondary!R1056,Primary!R1056)</f>
        <v>0</v>
      </c>
      <c r="S1056" s="19">
        <f>IF(ActiveDatabase=Standby,Secondary!S1056,Primary!S1056)</f>
        <v>0</v>
      </c>
      <c r="T1056" s="10">
        <f>IF(ActiveDatabase=Standby,Secondary!T1056,Primary!T1056)</f>
        <v>0</v>
      </c>
      <c r="U1056" s="10">
        <f>IF(ActiveDatabase=Standby,Secondary!U1056,Primary!U1056)</f>
        <v>0</v>
      </c>
      <c r="V1056" s="10">
        <f>IF(ActiveDatabase=Standby,Secondary!V1056,Primary!V1056)</f>
        <v>0</v>
      </c>
      <c r="W1056" s="6">
        <f>IF(ActiveDatabase=Standby,Secondary!W1056,Primary!W1056)</f>
        <v>0</v>
      </c>
      <c r="X1056" s="6">
        <f>IF(ActiveDatabase=Standby,Secondary!X1056,Primary!X1056)</f>
        <v>0</v>
      </c>
      <c r="Y1056" s="7">
        <f>IF(ActiveDatabase=Standby,Secondary!Y1056,Primary!Y1714)</f>
        <v>0</v>
      </c>
      <c r="Z1056" s="7">
        <f>IF(ActiveDatabase=Standby,Secondary!Z1056,Primary!Z1714)</f>
        <v>0</v>
      </c>
      <c r="AA1056" s="7">
        <f>IF(ActiveDatabase=Standby,Secondary!AA1056,Primary!AA1714)</f>
        <v>0</v>
      </c>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row>
    <row r="1057" customHeight="1" spans="1:59">
      <c r="A1057" s="9">
        <f>IF(ActiveDatabase=Standby,Secondary!A1057,Primary!A1057)</f>
        <v>0</v>
      </c>
      <c r="B1057" s="5">
        <f>IF(ActiveDatabase=Standby,Secondary!B1057,Primary!B1057)</f>
        <v>0</v>
      </c>
      <c r="C1057" s="5">
        <f>IF(ActiveDatabase=Standby,Secondary!C1057,Primary!C1057)</f>
        <v>0</v>
      </c>
      <c r="D1057" s="5">
        <f>IF(ActiveDatabase=Standby,Secondary!D1057,Primary!D1057)</f>
        <v>0</v>
      </c>
      <c r="E1057" s="6">
        <f>IF(ActiveDatabase=Standby,Secondary!E1057,Primary!E1057)</f>
        <v>0</v>
      </c>
      <c r="F1057" s="10">
        <f>IF(ActiveDatabase=Standby,Secondary!F1057,Primary!F1057)</f>
        <v>0</v>
      </c>
      <c r="G1057" s="10">
        <f>IF(ActiveDatabase=Standby,Secondary!G1057,Primary!G1057)</f>
        <v>0</v>
      </c>
      <c r="H1057" s="10">
        <f>IF(ActiveDatabase=Standby,Secondary!H1057,Primary!H1057)</f>
        <v>0</v>
      </c>
      <c r="I1057" s="13">
        <f>IF(ActiveDatabase=Standby,Secondary!I1057,Primary!I1057)</f>
        <v>0</v>
      </c>
      <c r="J1057" s="13">
        <f>IF(ActiveDatabase=Standby,Secondary!J1057,Primary!J1057)</f>
        <v>0</v>
      </c>
      <c r="K1057" s="13">
        <f>IF(ActiveDatabase=Standby,Secondary!K1057,Primary!K1057)</f>
        <v>0</v>
      </c>
      <c r="L1057" s="13">
        <f>IF(ActiveDatabase=Standby,Secondary!L1057,Primary!L1057)</f>
        <v>0</v>
      </c>
      <c r="M1057" s="7">
        <f>IF(ActiveDatabase=Standby,Secondary!M1057,Primary!M1057)</f>
        <v>0</v>
      </c>
      <c r="N1057" s="10">
        <f>IF(ActiveDatabase=Standby,Secondary!N1057,Primary!N1057)</f>
        <v>0</v>
      </c>
      <c r="O1057" s="10">
        <f>IF(ActiveDatabase=Standby,Secondary!O1057,Primary!O1057)</f>
        <v>0</v>
      </c>
      <c r="P1057" s="10">
        <f>IF(ActiveDatabase=Standby,Secondary!P1057,Primary!P1057)</f>
        <v>0</v>
      </c>
      <c r="Q1057" s="6">
        <f>IF(ActiveDatabase=Standby,Secondary!Q1057,Primary!Q1057)</f>
        <v>0</v>
      </c>
      <c r="R1057" s="18">
        <f>IF(ActiveDatabase=Standby,Secondary!R1057,Primary!R1057)</f>
        <v>0</v>
      </c>
      <c r="S1057" s="19">
        <f>IF(ActiveDatabase=Standby,Secondary!S1057,Primary!S1057)</f>
        <v>0</v>
      </c>
      <c r="T1057" s="10">
        <f>IF(ActiveDatabase=Standby,Secondary!T1057,Primary!T1057)</f>
        <v>0</v>
      </c>
      <c r="U1057" s="10">
        <f>IF(ActiveDatabase=Standby,Secondary!U1057,Primary!U1057)</f>
        <v>0</v>
      </c>
      <c r="V1057" s="10">
        <f>IF(ActiveDatabase=Standby,Secondary!V1057,Primary!V1057)</f>
        <v>0</v>
      </c>
      <c r="W1057" s="6">
        <f>IF(ActiveDatabase=Standby,Secondary!W1057,Primary!W1057)</f>
        <v>0</v>
      </c>
      <c r="X1057" s="6">
        <f>IF(ActiveDatabase=Standby,Secondary!X1057,Primary!X1057)</f>
        <v>0</v>
      </c>
      <c r="Y1057" s="7">
        <f>IF(ActiveDatabase=Standby,Secondary!Y1057,Primary!Y1715)</f>
        <v>0</v>
      </c>
      <c r="Z1057" s="7">
        <f>IF(ActiveDatabase=Standby,Secondary!Z1057,Primary!Z1715)</f>
        <v>0</v>
      </c>
      <c r="AA1057" s="7">
        <f>IF(ActiveDatabase=Standby,Secondary!AA1057,Primary!AA1715)</f>
        <v>0</v>
      </c>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row>
    <row r="1058" customHeight="1" spans="1:59">
      <c r="A1058" s="9">
        <f>IF(ActiveDatabase=Standby,Secondary!A1058,Primary!A1058)</f>
        <v>0</v>
      </c>
      <c r="B1058" s="5">
        <f>IF(ActiveDatabase=Standby,Secondary!B1058,Primary!B1058)</f>
        <v>0</v>
      </c>
      <c r="C1058" s="5">
        <f>IF(ActiveDatabase=Standby,Secondary!C1058,Primary!C1058)</f>
        <v>0</v>
      </c>
      <c r="D1058" s="5">
        <f>IF(ActiveDatabase=Standby,Secondary!D1058,Primary!D1058)</f>
        <v>0</v>
      </c>
      <c r="E1058" s="6">
        <f>IF(ActiveDatabase=Standby,Secondary!E1058,Primary!E1058)</f>
        <v>0</v>
      </c>
      <c r="F1058" s="10">
        <f>IF(ActiveDatabase=Standby,Secondary!F1058,Primary!F1058)</f>
        <v>0</v>
      </c>
      <c r="G1058" s="10">
        <f>IF(ActiveDatabase=Standby,Secondary!G1058,Primary!G1058)</f>
        <v>0</v>
      </c>
      <c r="H1058" s="10">
        <f>IF(ActiveDatabase=Standby,Secondary!H1058,Primary!H1058)</f>
        <v>0</v>
      </c>
      <c r="I1058" s="13">
        <f>IF(ActiveDatabase=Standby,Secondary!I1058,Primary!I1058)</f>
        <v>0</v>
      </c>
      <c r="J1058" s="13">
        <f>IF(ActiveDatabase=Standby,Secondary!J1058,Primary!J1058)</f>
        <v>0</v>
      </c>
      <c r="K1058" s="13">
        <f>IF(ActiveDatabase=Standby,Secondary!K1058,Primary!K1058)</f>
        <v>0</v>
      </c>
      <c r="L1058" s="13">
        <f>IF(ActiveDatabase=Standby,Secondary!L1058,Primary!L1058)</f>
        <v>0</v>
      </c>
      <c r="M1058" s="7">
        <f>IF(ActiveDatabase=Standby,Secondary!M1058,Primary!M1058)</f>
        <v>0</v>
      </c>
      <c r="N1058" s="10">
        <f>IF(ActiveDatabase=Standby,Secondary!N1058,Primary!N1058)</f>
        <v>0</v>
      </c>
      <c r="O1058" s="10">
        <f>IF(ActiveDatabase=Standby,Secondary!O1058,Primary!O1058)</f>
        <v>0</v>
      </c>
      <c r="P1058" s="10">
        <f>IF(ActiveDatabase=Standby,Secondary!P1058,Primary!P1058)</f>
        <v>0</v>
      </c>
      <c r="Q1058" s="6">
        <f>IF(ActiveDatabase=Standby,Secondary!Q1058,Primary!Q1058)</f>
        <v>0</v>
      </c>
      <c r="R1058" s="18">
        <f>IF(ActiveDatabase=Standby,Secondary!R1058,Primary!R1058)</f>
        <v>0</v>
      </c>
      <c r="S1058" s="19">
        <f>IF(ActiveDatabase=Standby,Secondary!S1058,Primary!S1058)</f>
        <v>0</v>
      </c>
      <c r="T1058" s="10">
        <f>IF(ActiveDatabase=Standby,Secondary!T1058,Primary!T1058)</f>
        <v>0</v>
      </c>
      <c r="U1058" s="10">
        <f>IF(ActiveDatabase=Standby,Secondary!U1058,Primary!U1058)</f>
        <v>0</v>
      </c>
      <c r="V1058" s="10">
        <f>IF(ActiveDatabase=Standby,Secondary!V1058,Primary!V1058)</f>
        <v>0</v>
      </c>
      <c r="W1058" s="6">
        <f>IF(ActiveDatabase=Standby,Secondary!W1058,Primary!W1058)</f>
        <v>0</v>
      </c>
      <c r="X1058" s="6">
        <f>IF(ActiveDatabase=Standby,Secondary!X1058,Primary!X1058)</f>
        <v>0</v>
      </c>
      <c r="Y1058" s="7">
        <f>IF(ActiveDatabase=Standby,Secondary!Y1058,Primary!Y1716)</f>
        <v>0</v>
      </c>
      <c r="Z1058" s="7">
        <f>IF(ActiveDatabase=Standby,Secondary!Z1058,Primary!Z1716)</f>
        <v>0</v>
      </c>
      <c r="AA1058" s="7">
        <f>IF(ActiveDatabase=Standby,Secondary!AA1058,Primary!AA1716)</f>
        <v>0</v>
      </c>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row>
    <row r="1059" customHeight="1" spans="1:59">
      <c r="A1059" s="9">
        <f>IF(ActiveDatabase=Standby,Secondary!A1059,Primary!A1059)</f>
        <v>0</v>
      </c>
      <c r="B1059" s="5">
        <f>IF(ActiveDatabase=Standby,Secondary!B1059,Primary!B1059)</f>
        <v>0</v>
      </c>
      <c r="C1059" s="5">
        <f>IF(ActiveDatabase=Standby,Secondary!C1059,Primary!C1059)</f>
        <v>0</v>
      </c>
      <c r="D1059" s="5">
        <f>IF(ActiveDatabase=Standby,Secondary!D1059,Primary!D1059)</f>
        <v>0</v>
      </c>
      <c r="E1059" s="6">
        <f>IF(ActiveDatabase=Standby,Secondary!E1059,Primary!E1059)</f>
        <v>0</v>
      </c>
      <c r="F1059" s="10">
        <f>IF(ActiveDatabase=Standby,Secondary!F1059,Primary!F1059)</f>
        <v>0</v>
      </c>
      <c r="G1059" s="10">
        <f>IF(ActiveDatabase=Standby,Secondary!G1059,Primary!G1059)</f>
        <v>0</v>
      </c>
      <c r="H1059" s="10">
        <f>IF(ActiveDatabase=Standby,Secondary!H1059,Primary!H1059)</f>
        <v>0</v>
      </c>
      <c r="I1059" s="13">
        <f>IF(ActiveDatabase=Standby,Secondary!I1059,Primary!I1059)</f>
        <v>0</v>
      </c>
      <c r="J1059" s="13">
        <f>IF(ActiveDatabase=Standby,Secondary!J1059,Primary!J1059)</f>
        <v>0</v>
      </c>
      <c r="K1059" s="13">
        <f>IF(ActiveDatabase=Standby,Secondary!K1059,Primary!K1059)</f>
        <v>0</v>
      </c>
      <c r="L1059" s="13">
        <f>IF(ActiveDatabase=Standby,Secondary!L1059,Primary!L1059)</f>
        <v>0</v>
      </c>
      <c r="M1059" s="7">
        <f>IF(ActiveDatabase=Standby,Secondary!M1059,Primary!M1059)</f>
        <v>0</v>
      </c>
      <c r="N1059" s="10">
        <f>IF(ActiveDatabase=Standby,Secondary!N1059,Primary!N1059)</f>
        <v>0</v>
      </c>
      <c r="O1059" s="10">
        <f>IF(ActiveDatabase=Standby,Secondary!O1059,Primary!O1059)</f>
        <v>0</v>
      </c>
      <c r="P1059" s="10">
        <f>IF(ActiveDatabase=Standby,Secondary!P1059,Primary!P1059)</f>
        <v>0</v>
      </c>
      <c r="Q1059" s="6">
        <f>IF(ActiveDatabase=Standby,Secondary!Q1059,Primary!Q1059)</f>
        <v>0</v>
      </c>
      <c r="R1059" s="18">
        <f>IF(ActiveDatabase=Standby,Secondary!R1059,Primary!R1059)</f>
        <v>0</v>
      </c>
      <c r="S1059" s="19">
        <f>IF(ActiveDatabase=Standby,Secondary!S1059,Primary!S1059)</f>
        <v>0</v>
      </c>
      <c r="T1059" s="10">
        <f>IF(ActiveDatabase=Standby,Secondary!T1059,Primary!T1059)</f>
        <v>0</v>
      </c>
      <c r="U1059" s="10">
        <f>IF(ActiveDatabase=Standby,Secondary!U1059,Primary!U1059)</f>
        <v>0</v>
      </c>
      <c r="V1059" s="10">
        <f>IF(ActiveDatabase=Standby,Secondary!V1059,Primary!V1059)</f>
        <v>0</v>
      </c>
      <c r="W1059" s="6">
        <f>IF(ActiveDatabase=Standby,Secondary!W1059,Primary!W1059)</f>
        <v>0</v>
      </c>
      <c r="X1059" s="6">
        <f>IF(ActiveDatabase=Standby,Secondary!X1059,Primary!X1059)</f>
        <v>0</v>
      </c>
      <c r="Y1059" s="7">
        <f>IF(ActiveDatabase=Standby,Secondary!Y1059,Primary!Y1717)</f>
        <v>0</v>
      </c>
      <c r="Z1059" s="7">
        <f>IF(ActiveDatabase=Standby,Secondary!Z1059,Primary!Z1717)</f>
        <v>0</v>
      </c>
      <c r="AA1059" s="7">
        <f>IF(ActiveDatabase=Standby,Secondary!AA1059,Primary!AA1717)</f>
        <v>0</v>
      </c>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row>
    <row r="1060" customHeight="1" spans="1:59">
      <c r="A1060" s="9">
        <f>IF(ActiveDatabase=Standby,Secondary!A1060,Primary!A1060)</f>
        <v>0</v>
      </c>
      <c r="B1060" s="5">
        <f>IF(ActiveDatabase=Standby,Secondary!B1060,Primary!B1060)</f>
        <v>0</v>
      </c>
      <c r="C1060" s="5">
        <f>IF(ActiveDatabase=Standby,Secondary!C1060,Primary!C1060)</f>
        <v>0</v>
      </c>
      <c r="D1060" s="5">
        <f>IF(ActiveDatabase=Standby,Secondary!D1060,Primary!D1060)</f>
        <v>0</v>
      </c>
      <c r="E1060" s="6">
        <f>IF(ActiveDatabase=Standby,Secondary!E1060,Primary!E1060)</f>
        <v>0</v>
      </c>
      <c r="F1060" s="10">
        <f>IF(ActiveDatabase=Standby,Secondary!F1060,Primary!F1060)</f>
        <v>0</v>
      </c>
      <c r="G1060" s="10">
        <f>IF(ActiveDatabase=Standby,Secondary!G1060,Primary!G1060)</f>
        <v>0</v>
      </c>
      <c r="H1060" s="10">
        <f>IF(ActiveDatabase=Standby,Secondary!H1060,Primary!H1060)</f>
        <v>0</v>
      </c>
      <c r="I1060" s="13">
        <f>IF(ActiveDatabase=Standby,Secondary!I1060,Primary!I1060)</f>
        <v>0</v>
      </c>
      <c r="J1060" s="13">
        <f>IF(ActiveDatabase=Standby,Secondary!J1060,Primary!J1060)</f>
        <v>0</v>
      </c>
      <c r="K1060" s="13">
        <f>IF(ActiveDatabase=Standby,Secondary!K1060,Primary!K1060)</f>
        <v>0</v>
      </c>
      <c r="L1060" s="13">
        <f>IF(ActiveDatabase=Standby,Secondary!L1060,Primary!L1060)</f>
        <v>0</v>
      </c>
      <c r="M1060" s="7">
        <f>IF(ActiveDatabase=Standby,Secondary!M1060,Primary!M1060)</f>
        <v>0</v>
      </c>
      <c r="N1060" s="10">
        <f>IF(ActiveDatabase=Standby,Secondary!N1060,Primary!N1060)</f>
        <v>0</v>
      </c>
      <c r="O1060" s="10">
        <f>IF(ActiveDatabase=Standby,Secondary!O1060,Primary!O1060)</f>
        <v>0</v>
      </c>
      <c r="P1060" s="10">
        <f>IF(ActiveDatabase=Standby,Secondary!P1060,Primary!P1060)</f>
        <v>0</v>
      </c>
      <c r="Q1060" s="6">
        <f>IF(ActiveDatabase=Standby,Secondary!Q1060,Primary!Q1060)</f>
        <v>0</v>
      </c>
      <c r="R1060" s="18">
        <f>IF(ActiveDatabase=Standby,Secondary!R1060,Primary!R1060)</f>
        <v>0</v>
      </c>
      <c r="S1060" s="19">
        <f>IF(ActiveDatabase=Standby,Secondary!S1060,Primary!S1060)</f>
        <v>0</v>
      </c>
      <c r="T1060" s="10">
        <f>IF(ActiveDatabase=Standby,Secondary!T1060,Primary!T1060)</f>
        <v>0</v>
      </c>
      <c r="U1060" s="10">
        <f>IF(ActiveDatabase=Standby,Secondary!U1060,Primary!U1060)</f>
        <v>0</v>
      </c>
      <c r="V1060" s="10">
        <f>IF(ActiveDatabase=Standby,Secondary!V1060,Primary!V1060)</f>
        <v>0</v>
      </c>
      <c r="W1060" s="6">
        <f>IF(ActiveDatabase=Standby,Secondary!W1060,Primary!W1060)</f>
        <v>0</v>
      </c>
      <c r="X1060" s="6">
        <f>IF(ActiveDatabase=Standby,Secondary!X1060,Primary!X1060)</f>
        <v>0</v>
      </c>
      <c r="Y1060" s="7">
        <f>IF(ActiveDatabase=Standby,Secondary!Y1060,Primary!Y1718)</f>
        <v>0</v>
      </c>
      <c r="Z1060" s="7">
        <f>IF(ActiveDatabase=Standby,Secondary!Z1060,Primary!Z1718)</f>
        <v>0</v>
      </c>
      <c r="AA1060" s="7">
        <f>IF(ActiveDatabase=Standby,Secondary!AA1060,Primary!AA1718)</f>
        <v>0</v>
      </c>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row>
    <row r="1061" customHeight="1" spans="1:59">
      <c r="A1061" s="9">
        <f>IF(ActiveDatabase=Standby,Secondary!A1061,Primary!A1061)</f>
        <v>0</v>
      </c>
      <c r="B1061" s="5">
        <f>IF(ActiveDatabase=Standby,Secondary!B1061,Primary!B1061)</f>
        <v>0</v>
      </c>
      <c r="C1061" s="5">
        <f>IF(ActiveDatabase=Standby,Secondary!C1061,Primary!C1061)</f>
        <v>0</v>
      </c>
      <c r="D1061" s="5">
        <f>IF(ActiveDatabase=Standby,Secondary!D1061,Primary!D1061)</f>
        <v>0</v>
      </c>
      <c r="E1061" s="6">
        <f>IF(ActiveDatabase=Standby,Secondary!E1061,Primary!E1061)</f>
        <v>0</v>
      </c>
      <c r="F1061" s="10">
        <f>IF(ActiveDatabase=Standby,Secondary!F1061,Primary!F1061)</f>
        <v>0</v>
      </c>
      <c r="G1061" s="10">
        <f>IF(ActiveDatabase=Standby,Secondary!G1061,Primary!G1061)</f>
        <v>0</v>
      </c>
      <c r="H1061" s="10">
        <f>IF(ActiveDatabase=Standby,Secondary!H1061,Primary!H1061)</f>
        <v>0</v>
      </c>
      <c r="I1061" s="13">
        <f>IF(ActiveDatabase=Standby,Secondary!I1061,Primary!I1061)</f>
        <v>0</v>
      </c>
      <c r="J1061" s="13">
        <f>IF(ActiveDatabase=Standby,Secondary!J1061,Primary!J1061)</f>
        <v>0</v>
      </c>
      <c r="K1061" s="13">
        <f>IF(ActiveDatabase=Standby,Secondary!K1061,Primary!K1061)</f>
        <v>0</v>
      </c>
      <c r="L1061" s="13">
        <f>IF(ActiveDatabase=Standby,Secondary!L1061,Primary!L1061)</f>
        <v>0</v>
      </c>
      <c r="M1061" s="7">
        <f>IF(ActiveDatabase=Standby,Secondary!M1061,Primary!M1061)</f>
        <v>0</v>
      </c>
      <c r="N1061" s="10">
        <f>IF(ActiveDatabase=Standby,Secondary!N1061,Primary!N1061)</f>
        <v>0</v>
      </c>
      <c r="O1061" s="10">
        <f>IF(ActiveDatabase=Standby,Secondary!O1061,Primary!O1061)</f>
        <v>0</v>
      </c>
      <c r="P1061" s="10">
        <f>IF(ActiveDatabase=Standby,Secondary!P1061,Primary!P1061)</f>
        <v>0</v>
      </c>
      <c r="Q1061" s="6">
        <f>IF(ActiveDatabase=Standby,Secondary!Q1061,Primary!Q1061)</f>
        <v>0</v>
      </c>
      <c r="R1061" s="18">
        <f>IF(ActiveDatabase=Standby,Secondary!R1061,Primary!R1061)</f>
        <v>0</v>
      </c>
      <c r="S1061" s="19">
        <f>IF(ActiveDatabase=Standby,Secondary!S1061,Primary!S1061)</f>
        <v>0</v>
      </c>
      <c r="T1061" s="10">
        <f>IF(ActiveDatabase=Standby,Secondary!T1061,Primary!T1061)</f>
        <v>0</v>
      </c>
      <c r="U1061" s="10">
        <f>IF(ActiveDatabase=Standby,Secondary!U1061,Primary!U1061)</f>
        <v>0</v>
      </c>
      <c r="V1061" s="10">
        <f>IF(ActiveDatabase=Standby,Secondary!V1061,Primary!V1061)</f>
        <v>0</v>
      </c>
      <c r="W1061" s="6">
        <f>IF(ActiveDatabase=Standby,Secondary!W1061,Primary!W1061)</f>
        <v>0</v>
      </c>
      <c r="X1061" s="6">
        <f>IF(ActiveDatabase=Standby,Secondary!X1061,Primary!X1061)</f>
        <v>0</v>
      </c>
      <c r="Y1061" s="7">
        <f>IF(ActiveDatabase=Standby,Secondary!Y1061,Primary!Y1719)</f>
        <v>0</v>
      </c>
      <c r="Z1061" s="7">
        <f>IF(ActiveDatabase=Standby,Secondary!Z1061,Primary!Z1719)</f>
        <v>0</v>
      </c>
      <c r="AA1061" s="7">
        <f>IF(ActiveDatabase=Standby,Secondary!AA1061,Primary!AA1719)</f>
        <v>0</v>
      </c>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row>
    <row r="1062" customHeight="1" spans="1:59">
      <c r="A1062" s="9">
        <f>IF(ActiveDatabase=Standby,Secondary!A1062,Primary!A1062)</f>
        <v>0</v>
      </c>
      <c r="B1062" s="5">
        <f>IF(ActiveDatabase=Standby,Secondary!B1062,Primary!B1062)</f>
        <v>0</v>
      </c>
      <c r="C1062" s="5">
        <f>IF(ActiveDatabase=Standby,Secondary!C1062,Primary!C1062)</f>
        <v>0</v>
      </c>
      <c r="D1062" s="5">
        <f>IF(ActiveDatabase=Standby,Secondary!D1062,Primary!D1062)</f>
        <v>0</v>
      </c>
      <c r="E1062" s="6">
        <f>IF(ActiveDatabase=Standby,Secondary!E1062,Primary!E1062)</f>
        <v>0</v>
      </c>
      <c r="F1062" s="10">
        <f>IF(ActiveDatabase=Standby,Secondary!F1062,Primary!F1062)</f>
        <v>0</v>
      </c>
      <c r="G1062" s="10">
        <f>IF(ActiveDatabase=Standby,Secondary!G1062,Primary!G1062)</f>
        <v>0</v>
      </c>
      <c r="H1062" s="10">
        <f>IF(ActiveDatabase=Standby,Secondary!H1062,Primary!H1062)</f>
        <v>0</v>
      </c>
      <c r="I1062" s="13">
        <f>IF(ActiveDatabase=Standby,Secondary!I1062,Primary!I1062)</f>
        <v>0</v>
      </c>
      <c r="J1062" s="13">
        <f>IF(ActiveDatabase=Standby,Secondary!J1062,Primary!J1062)</f>
        <v>0</v>
      </c>
      <c r="K1062" s="13">
        <f>IF(ActiveDatabase=Standby,Secondary!K1062,Primary!K1062)</f>
        <v>0</v>
      </c>
      <c r="L1062" s="13">
        <f>IF(ActiveDatabase=Standby,Secondary!L1062,Primary!L1062)</f>
        <v>0</v>
      </c>
      <c r="M1062" s="7">
        <f>IF(ActiveDatabase=Standby,Secondary!M1062,Primary!M1062)</f>
        <v>0</v>
      </c>
      <c r="N1062" s="10">
        <f>IF(ActiveDatabase=Standby,Secondary!N1062,Primary!N1062)</f>
        <v>0</v>
      </c>
      <c r="O1062" s="10">
        <f>IF(ActiveDatabase=Standby,Secondary!O1062,Primary!O1062)</f>
        <v>0</v>
      </c>
      <c r="P1062" s="10">
        <f>IF(ActiveDatabase=Standby,Secondary!P1062,Primary!P1062)</f>
        <v>0</v>
      </c>
      <c r="Q1062" s="6">
        <f>IF(ActiveDatabase=Standby,Secondary!Q1062,Primary!Q1062)</f>
        <v>0</v>
      </c>
      <c r="R1062" s="18">
        <f>IF(ActiveDatabase=Standby,Secondary!R1062,Primary!R1062)</f>
        <v>0</v>
      </c>
      <c r="S1062" s="19">
        <f>IF(ActiveDatabase=Standby,Secondary!S1062,Primary!S1062)</f>
        <v>0</v>
      </c>
      <c r="T1062" s="10">
        <f>IF(ActiveDatabase=Standby,Secondary!T1062,Primary!T1062)</f>
        <v>0</v>
      </c>
      <c r="U1062" s="10">
        <f>IF(ActiveDatabase=Standby,Secondary!U1062,Primary!U1062)</f>
        <v>0</v>
      </c>
      <c r="V1062" s="10">
        <f>IF(ActiveDatabase=Standby,Secondary!V1062,Primary!V1062)</f>
        <v>0</v>
      </c>
      <c r="W1062" s="6">
        <f>IF(ActiveDatabase=Standby,Secondary!W1062,Primary!W1062)</f>
        <v>0</v>
      </c>
      <c r="X1062" s="6">
        <f>IF(ActiveDatabase=Standby,Secondary!X1062,Primary!X1062)</f>
        <v>0</v>
      </c>
      <c r="Y1062" s="7">
        <f>IF(ActiveDatabase=Standby,Secondary!Y1062,Primary!Y1720)</f>
        <v>0</v>
      </c>
      <c r="Z1062" s="7">
        <f>IF(ActiveDatabase=Standby,Secondary!Z1062,Primary!Z1720)</f>
        <v>0</v>
      </c>
      <c r="AA1062" s="7">
        <f>IF(ActiveDatabase=Standby,Secondary!AA1062,Primary!AA1720)</f>
        <v>0</v>
      </c>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row>
    <row r="1063" customHeight="1" spans="1:59">
      <c r="A1063" s="9">
        <f>IF(ActiveDatabase=Standby,Secondary!A1063,Primary!A1063)</f>
        <v>0</v>
      </c>
      <c r="B1063" s="5">
        <f>IF(ActiveDatabase=Standby,Secondary!B1063,Primary!B1063)</f>
        <v>0</v>
      </c>
      <c r="C1063" s="5">
        <f>IF(ActiveDatabase=Standby,Secondary!C1063,Primary!C1063)</f>
        <v>0</v>
      </c>
      <c r="D1063" s="5">
        <f>IF(ActiveDatabase=Standby,Secondary!D1063,Primary!D1063)</f>
        <v>0</v>
      </c>
      <c r="E1063" s="6">
        <f>IF(ActiveDatabase=Standby,Secondary!E1063,Primary!E1063)</f>
        <v>0</v>
      </c>
      <c r="F1063" s="10">
        <f>IF(ActiveDatabase=Standby,Secondary!F1063,Primary!F1063)</f>
        <v>0</v>
      </c>
      <c r="G1063" s="10">
        <f>IF(ActiveDatabase=Standby,Secondary!G1063,Primary!G1063)</f>
        <v>0</v>
      </c>
      <c r="H1063" s="10">
        <f>IF(ActiveDatabase=Standby,Secondary!H1063,Primary!H1063)</f>
        <v>0</v>
      </c>
      <c r="I1063" s="13">
        <f>IF(ActiveDatabase=Standby,Secondary!I1063,Primary!I1063)</f>
        <v>0</v>
      </c>
      <c r="J1063" s="13">
        <f>IF(ActiveDatabase=Standby,Secondary!J1063,Primary!J1063)</f>
        <v>0</v>
      </c>
      <c r="K1063" s="13">
        <f>IF(ActiveDatabase=Standby,Secondary!K1063,Primary!K1063)</f>
        <v>0</v>
      </c>
      <c r="L1063" s="13">
        <f>IF(ActiveDatabase=Standby,Secondary!L1063,Primary!L1063)</f>
        <v>0</v>
      </c>
      <c r="M1063" s="7">
        <f>IF(ActiveDatabase=Standby,Secondary!M1063,Primary!M1063)</f>
        <v>0</v>
      </c>
      <c r="N1063" s="10">
        <f>IF(ActiveDatabase=Standby,Secondary!N1063,Primary!N1063)</f>
        <v>0</v>
      </c>
      <c r="O1063" s="10">
        <f>IF(ActiveDatabase=Standby,Secondary!O1063,Primary!O1063)</f>
        <v>0</v>
      </c>
      <c r="P1063" s="10">
        <f>IF(ActiveDatabase=Standby,Secondary!P1063,Primary!P1063)</f>
        <v>0</v>
      </c>
      <c r="Q1063" s="6">
        <f>IF(ActiveDatabase=Standby,Secondary!Q1063,Primary!Q1063)</f>
        <v>0</v>
      </c>
      <c r="R1063" s="18">
        <f>IF(ActiveDatabase=Standby,Secondary!R1063,Primary!R1063)</f>
        <v>0</v>
      </c>
      <c r="S1063" s="19">
        <f>IF(ActiveDatabase=Standby,Secondary!S1063,Primary!S1063)</f>
        <v>0</v>
      </c>
      <c r="T1063" s="10">
        <f>IF(ActiveDatabase=Standby,Secondary!T1063,Primary!T1063)</f>
        <v>0</v>
      </c>
      <c r="U1063" s="10">
        <f>IF(ActiveDatabase=Standby,Secondary!U1063,Primary!U1063)</f>
        <v>0</v>
      </c>
      <c r="V1063" s="10">
        <f>IF(ActiveDatabase=Standby,Secondary!V1063,Primary!V1063)</f>
        <v>0</v>
      </c>
      <c r="W1063" s="6">
        <f>IF(ActiveDatabase=Standby,Secondary!W1063,Primary!W1063)</f>
        <v>0</v>
      </c>
      <c r="X1063" s="6">
        <f>IF(ActiveDatabase=Standby,Secondary!X1063,Primary!X1063)</f>
        <v>0</v>
      </c>
      <c r="Y1063" s="7">
        <f>IF(ActiveDatabase=Standby,Secondary!Y1063,Primary!Y1721)</f>
        <v>0</v>
      </c>
      <c r="Z1063" s="7">
        <f>IF(ActiveDatabase=Standby,Secondary!Z1063,Primary!Z1721)</f>
        <v>0</v>
      </c>
      <c r="AA1063" s="7">
        <f>IF(ActiveDatabase=Standby,Secondary!AA1063,Primary!AA1721)</f>
        <v>0</v>
      </c>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row>
    <row r="1064" customHeight="1" spans="1:59">
      <c r="A1064" s="9">
        <f>IF(ActiveDatabase=Standby,Secondary!A1064,Primary!A1064)</f>
        <v>0</v>
      </c>
      <c r="B1064" s="5">
        <f>IF(ActiveDatabase=Standby,Secondary!B1064,Primary!B1064)</f>
        <v>0</v>
      </c>
      <c r="C1064" s="5">
        <f>IF(ActiveDatabase=Standby,Secondary!C1064,Primary!C1064)</f>
        <v>0</v>
      </c>
      <c r="D1064" s="5">
        <f>IF(ActiveDatabase=Standby,Secondary!D1064,Primary!D1064)</f>
        <v>0</v>
      </c>
      <c r="E1064" s="6">
        <f>IF(ActiveDatabase=Standby,Secondary!E1064,Primary!E1064)</f>
        <v>0</v>
      </c>
      <c r="F1064" s="10">
        <f>IF(ActiveDatabase=Standby,Secondary!F1064,Primary!F1064)</f>
        <v>0</v>
      </c>
      <c r="G1064" s="10">
        <f>IF(ActiveDatabase=Standby,Secondary!G1064,Primary!G1064)</f>
        <v>0</v>
      </c>
      <c r="H1064" s="10">
        <f>IF(ActiveDatabase=Standby,Secondary!H1064,Primary!H1064)</f>
        <v>0</v>
      </c>
      <c r="I1064" s="13">
        <f>IF(ActiveDatabase=Standby,Secondary!I1064,Primary!I1064)</f>
        <v>0</v>
      </c>
      <c r="J1064" s="13">
        <f>IF(ActiveDatabase=Standby,Secondary!J1064,Primary!J1064)</f>
        <v>0</v>
      </c>
      <c r="K1064" s="13">
        <f>IF(ActiveDatabase=Standby,Secondary!K1064,Primary!K1064)</f>
        <v>0</v>
      </c>
      <c r="L1064" s="13">
        <f>IF(ActiveDatabase=Standby,Secondary!L1064,Primary!L1064)</f>
        <v>0</v>
      </c>
      <c r="M1064" s="7">
        <f>IF(ActiveDatabase=Standby,Secondary!M1064,Primary!M1064)</f>
        <v>0</v>
      </c>
      <c r="N1064" s="10">
        <f>IF(ActiveDatabase=Standby,Secondary!N1064,Primary!N1064)</f>
        <v>0</v>
      </c>
      <c r="O1064" s="10">
        <f>IF(ActiveDatabase=Standby,Secondary!O1064,Primary!O1064)</f>
        <v>0</v>
      </c>
      <c r="P1064" s="10">
        <f>IF(ActiveDatabase=Standby,Secondary!P1064,Primary!P1064)</f>
        <v>0</v>
      </c>
      <c r="Q1064" s="6">
        <f>IF(ActiveDatabase=Standby,Secondary!Q1064,Primary!Q1064)</f>
        <v>0</v>
      </c>
      <c r="R1064" s="18">
        <f>IF(ActiveDatabase=Standby,Secondary!R1064,Primary!R1064)</f>
        <v>0</v>
      </c>
      <c r="S1064" s="19">
        <f>IF(ActiveDatabase=Standby,Secondary!S1064,Primary!S1064)</f>
        <v>0</v>
      </c>
      <c r="T1064" s="10">
        <f>IF(ActiveDatabase=Standby,Secondary!T1064,Primary!T1064)</f>
        <v>0</v>
      </c>
      <c r="U1064" s="10">
        <f>IF(ActiveDatabase=Standby,Secondary!U1064,Primary!U1064)</f>
        <v>0</v>
      </c>
      <c r="V1064" s="10">
        <f>IF(ActiveDatabase=Standby,Secondary!V1064,Primary!V1064)</f>
        <v>0</v>
      </c>
      <c r="W1064" s="6">
        <f>IF(ActiveDatabase=Standby,Secondary!W1064,Primary!W1064)</f>
        <v>0</v>
      </c>
      <c r="X1064" s="6">
        <f>IF(ActiveDatabase=Standby,Secondary!X1064,Primary!X1064)</f>
        <v>0</v>
      </c>
      <c r="Y1064" s="7">
        <f>IF(ActiveDatabase=Standby,Secondary!Y1064,Primary!Y1722)</f>
        <v>0</v>
      </c>
      <c r="Z1064" s="7">
        <f>IF(ActiveDatabase=Standby,Secondary!Z1064,Primary!Z1722)</f>
        <v>0</v>
      </c>
      <c r="AA1064" s="7">
        <f>IF(ActiveDatabase=Standby,Secondary!AA1064,Primary!AA1722)</f>
        <v>0</v>
      </c>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row>
    <row r="1065" customHeight="1" spans="1:59">
      <c r="A1065" s="9">
        <f>IF(ActiveDatabase=Standby,Secondary!A1065,Primary!A1065)</f>
        <v>0</v>
      </c>
      <c r="B1065" s="5">
        <f>IF(ActiveDatabase=Standby,Secondary!B1065,Primary!B1065)</f>
        <v>0</v>
      </c>
      <c r="C1065" s="5">
        <f>IF(ActiveDatabase=Standby,Secondary!C1065,Primary!C1065)</f>
        <v>0</v>
      </c>
      <c r="D1065" s="5">
        <f>IF(ActiveDatabase=Standby,Secondary!D1065,Primary!D1065)</f>
        <v>0</v>
      </c>
      <c r="E1065" s="6">
        <f>IF(ActiveDatabase=Standby,Secondary!E1065,Primary!E1065)</f>
        <v>0</v>
      </c>
      <c r="F1065" s="10">
        <f>IF(ActiveDatabase=Standby,Secondary!F1065,Primary!F1065)</f>
        <v>0</v>
      </c>
      <c r="G1065" s="10">
        <f>IF(ActiveDatabase=Standby,Secondary!G1065,Primary!G1065)</f>
        <v>0</v>
      </c>
      <c r="H1065" s="10">
        <f>IF(ActiveDatabase=Standby,Secondary!H1065,Primary!H1065)</f>
        <v>0</v>
      </c>
      <c r="I1065" s="13">
        <f>IF(ActiveDatabase=Standby,Secondary!I1065,Primary!I1065)</f>
        <v>0</v>
      </c>
      <c r="J1065" s="13">
        <f>IF(ActiveDatabase=Standby,Secondary!J1065,Primary!J1065)</f>
        <v>0</v>
      </c>
      <c r="K1065" s="13">
        <f>IF(ActiveDatabase=Standby,Secondary!K1065,Primary!K1065)</f>
        <v>0</v>
      </c>
      <c r="L1065" s="13">
        <f>IF(ActiveDatabase=Standby,Secondary!L1065,Primary!L1065)</f>
        <v>0</v>
      </c>
      <c r="M1065" s="7">
        <f>IF(ActiveDatabase=Standby,Secondary!M1065,Primary!M1065)</f>
        <v>0</v>
      </c>
      <c r="N1065" s="10">
        <f>IF(ActiveDatabase=Standby,Secondary!N1065,Primary!N1065)</f>
        <v>0</v>
      </c>
      <c r="O1065" s="10">
        <f>IF(ActiveDatabase=Standby,Secondary!O1065,Primary!O1065)</f>
        <v>0</v>
      </c>
      <c r="P1065" s="10">
        <f>IF(ActiveDatabase=Standby,Secondary!P1065,Primary!P1065)</f>
        <v>0</v>
      </c>
      <c r="Q1065" s="6">
        <f>IF(ActiveDatabase=Standby,Secondary!Q1065,Primary!Q1065)</f>
        <v>0</v>
      </c>
      <c r="R1065" s="18">
        <f>IF(ActiveDatabase=Standby,Secondary!R1065,Primary!R1065)</f>
        <v>0</v>
      </c>
      <c r="S1065" s="19">
        <f>IF(ActiveDatabase=Standby,Secondary!S1065,Primary!S1065)</f>
        <v>0</v>
      </c>
      <c r="T1065" s="10">
        <f>IF(ActiveDatabase=Standby,Secondary!T1065,Primary!T1065)</f>
        <v>0</v>
      </c>
      <c r="U1065" s="10">
        <f>IF(ActiveDatabase=Standby,Secondary!U1065,Primary!U1065)</f>
        <v>0</v>
      </c>
      <c r="V1065" s="10">
        <f>IF(ActiveDatabase=Standby,Secondary!V1065,Primary!V1065)</f>
        <v>0</v>
      </c>
      <c r="W1065" s="6">
        <f>IF(ActiveDatabase=Standby,Secondary!W1065,Primary!W1065)</f>
        <v>0</v>
      </c>
      <c r="X1065" s="6">
        <f>IF(ActiveDatabase=Standby,Secondary!X1065,Primary!X1065)</f>
        <v>0</v>
      </c>
      <c r="Y1065" s="7">
        <f>IF(ActiveDatabase=Standby,Secondary!Y1065,Primary!Y1723)</f>
        <v>0</v>
      </c>
      <c r="Z1065" s="7">
        <f>IF(ActiveDatabase=Standby,Secondary!Z1065,Primary!Z1723)</f>
        <v>0</v>
      </c>
      <c r="AA1065" s="7">
        <f>IF(ActiveDatabase=Standby,Secondary!AA1065,Primary!AA1723)</f>
        <v>0</v>
      </c>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7"/>
      <c r="BD1065" s="7"/>
      <c r="BE1065" s="7"/>
      <c r="BF1065" s="7"/>
      <c r="BG1065" s="7"/>
    </row>
    <row r="1066" customHeight="1" spans="1:59">
      <c r="A1066" s="9">
        <f>IF(ActiveDatabase=Standby,Secondary!A1066,Primary!A1066)</f>
        <v>0</v>
      </c>
      <c r="B1066" s="5">
        <f>IF(ActiveDatabase=Standby,Secondary!B1066,Primary!B1066)</f>
        <v>0</v>
      </c>
      <c r="C1066" s="5">
        <f>IF(ActiveDatabase=Standby,Secondary!C1066,Primary!C1066)</f>
        <v>0</v>
      </c>
      <c r="D1066" s="5">
        <f>IF(ActiveDatabase=Standby,Secondary!D1066,Primary!D1066)</f>
        <v>0</v>
      </c>
      <c r="E1066" s="6">
        <f>IF(ActiveDatabase=Standby,Secondary!E1066,Primary!E1066)</f>
        <v>0</v>
      </c>
      <c r="F1066" s="10">
        <f>IF(ActiveDatabase=Standby,Secondary!F1066,Primary!F1066)</f>
        <v>0</v>
      </c>
      <c r="G1066" s="10">
        <f>IF(ActiveDatabase=Standby,Secondary!G1066,Primary!G1066)</f>
        <v>0</v>
      </c>
      <c r="H1066" s="10">
        <f>IF(ActiveDatabase=Standby,Secondary!H1066,Primary!H1066)</f>
        <v>0</v>
      </c>
      <c r="I1066" s="13">
        <f>IF(ActiveDatabase=Standby,Secondary!I1066,Primary!I1066)</f>
        <v>0</v>
      </c>
      <c r="J1066" s="13">
        <f>IF(ActiveDatabase=Standby,Secondary!J1066,Primary!J1066)</f>
        <v>0</v>
      </c>
      <c r="K1066" s="13">
        <f>IF(ActiveDatabase=Standby,Secondary!K1066,Primary!K1066)</f>
        <v>0</v>
      </c>
      <c r="L1066" s="13">
        <f>IF(ActiveDatabase=Standby,Secondary!L1066,Primary!L1066)</f>
        <v>0</v>
      </c>
      <c r="M1066" s="7">
        <f>IF(ActiveDatabase=Standby,Secondary!M1066,Primary!M1066)</f>
        <v>0</v>
      </c>
      <c r="N1066" s="10">
        <f>IF(ActiveDatabase=Standby,Secondary!N1066,Primary!N1066)</f>
        <v>0</v>
      </c>
      <c r="O1066" s="10">
        <f>IF(ActiveDatabase=Standby,Secondary!O1066,Primary!O1066)</f>
        <v>0</v>
      </c>
      <c r="P1066" s="10">
        <f>IF(ActiveDatabase=Standby,Secondary!P1066,Primary!P1066)</f>
        <v>0</v>
      </c>
      <c r="Q1066" s="6">
        <f>IF(ActiveDatabase=Standby,Secondary!Q1066,Primary!Q1066)</f>
        <v>0</v>
      </c>
      <c r="R1066" s="18">
        <f>IF(ActiveDatabase=Standby,Secondary!R1066,Primary!R1066)</f>
        <v>0</v>
      </c>
      <c r="S1066" s="19">
        <f>IF(ActiveDatabase=Standby,Secondary!S1066,Primary!S1066)</f>
        <v>0</v>
      </c>
      <c r="T1066" s="10">
        <f>IF(ActiveDatabase=Standby,Secondary!T1066,Primary!T1066)</f>
        <v>0</v>
      </c>
      <c r="U1066" s="10">
        <f>IF(ActiveDatabase=Standby,Secondary!U1066,Primary!U1066)</f>
        <v>0</v>
      </c>
      <c r="V1066" s="10">
        <f>IF(ActiveDatabase=Standby,Secondary!V1066,Primary!V1066)</f>
        <v>0</v>
      </c>
      <c r="W1066" s="6">
        <f>IF(ActiveDatabase=Standby,Secondary!W1066,Primary!W1066)</f>
        <v>0</v>
      </c>
      <c r="X1066" s="6">
        <f>IF(ActiveDatabase=Standby,Secondary!X1066,Primary!X1066)</f>
        <v>0</v>
      </c>
      <c r="Y1066" s="7">
        <f>IF(ActiveDatabase=Standby,Secondary!Y1066,Primary!Y1724)</f>
        <v>0</v>
      </c>
      <c r="Z1066" s="7">
        <f>IF(ActiveDatabase=Standby,Secondary!Z1066,Primary!Z1724)</f>
        <v>0</v>
      </c>
      <c r="AA1066" s="7">
        <f>IF(ActiveDatabase=Standby,Secondary!AA1066,Primary!AA1724)</f>
        <v>0</v>
      </c>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row>
    <row r="1067" customHeight="1" spans="1:59">
      <c r="A1067" s="9">
        <f>IF(ActiveDatabase=Standby,Secondary!A1067,Primary!A1067)</f>
        <v>0</v>
      </c>
      <c r="B1067" s="5">
        <f>IF(ActiveDatabase=Standby,Secondary!B1067,Primary!B1067)</f>
        <v>0</v>
      </c>
      <c r="C1067" s="5">
        <f>IF(ActiveDatabase=Standby,Secondary!C1067,Primary!C1067)</f>
        <v>0</v>
      </c>
      <c r="D1067" s="5">
        <f>IF(ActiveDatabase=Standby,Secondary!D1067,Primary!D1067)</f>
        <v>0</v>
      </c>
      <c r="E1067" s="6">
        <f>IF(ActiveDatabase=Standby,Secondary!E1067,Primary!E1067)</f>
        <v>0</v>
      </c>
      <c r="F1067" s="10">
        <f>IF(ActiveDatabase=Standby,Secondary!F1067,Primary!F1067)</f>
        <v>0</v>
      </c>
      <c r="G1067" s="10">
        <f>IF(ActiveDatabase=Standby,Secondary!G1067,Primary!G1067)</f>
        <v>0</v>
      </c>
      <c r="H1067" s="10">
        <f>IF(ActiveDatabase=Standby,Secondary!H1067,Primary!H1067)</f>
        <v>0</v>
      </c>
      <c r="I1067" s="13">
        <f>IF(ActiveDatabase=Standby,Secondary!I1067,Primary!I1067)</f>
        <v>0</v>
      </c>
      <c r="J1067" s="13">
        <f>IF(ActiveDatabase=Standby,Secondary!J1067,Primary!J1067)</f>
        <v>0</v>
      </c>
      <c r="K1067" s="13">
        <f>IF(ActiveDatabase=Standby,Secondary!K1067,Primary!K1067)</f>
        <v>0</v>
      </c>
      <c r="L1067" s="13">
        <f>IF(ActiveDatabase=Standby,Secondary!L1067,Primary!L1067)</f>
        <v>0</v>
      </c>
      <c r="M1067" s="7">
        <f>IF(ActiveDatabase=Standby,Secondary!M1067,Primary!M1067)</f>
        <v>0</v>
      </c>
      <c r="N1067" s="10">
        <f>IF(ActiveDatabase=Standby,Secondary!N1067,Primary!N1067)</f>
        <v>0</v>
      </c>
      <c r="O1067" s="10">
        <f>IF(ActiveDatabase=Standby,Secondary!O1067,Primary!O1067)</f>
        <v>0</v>
      </c>
      <c r="P1067" s="10">
        <f>IF(ActiveDatabase=Standby,Secondary!P1067,Primary!P1067)</f>
        <v>0</v>
      </c>
      <c r="Q1067" s="6">
        <f>IF(ActiveDatabase=Standby,Secondary!Q1067,Primary!Q1067)</f>
        <v>0</v>
      </c>
      <c r="R1067" s="18">
        <f>IF(ActiveDatabase=Standby,Secondary!R1067,Primary!R1067)</f>
        <v>0</v>
      </c>
      <c r="S1067" s="19">
        <f>IF(ActiveDatabase=Standby,Secondary!S1067,Primary!S1067)</f>
        <v>0</v>
      </c>
      <c r="T1067" s="10">
        <f>IF(ActiveDatabase=Standby,Secondary!T1067,Primary!T1067)</f>
        <v>0</v>
      </c>
      <c r="U1067" s="10">
        <f>IF(ActiveDatabase=Standby,Secondary!U1067,Primary!U1067)</f>
        <v>0</v>
      </c>
      <c r="V1067" s="10">
        <f>IF(ActiveDatabase=Standby,Secondary!V1067,Primary!V1067)</f>
        <v>0</v>
      </c>
      <c r="W1067" s="6">
        <f>IF(ActiveDatabase=Standby,Secondary!W1067,Primary!W1067)</f>
        <v>0</v>
      </c>
      <c r="X1067" s="6">
        <f>IF(ActiveDatabase=Standby,Secondary!X1067,Primary!X1067)</f>
        <v>0</v>
      </c>
      <c r="Y1067" s="7">
        <f>IF(ActiveDatabase=Standby,Secondary!Y1067,Primary!Y1725)</f>
        <v>0</v>
      </c>
      <c r="Z1067" s="7">
        <f>IF(ActiveDatabase=Standby,Secondary!Z1067,Primary!Z1725)</f>
        <v>0</v>
      </c>
      <c r="AA1067" s="7">
        <f>IF(ActiveDatabase=Standby,Secondary!AA1067,Primary!AA1725)</f>
        <v>0</v>
      </c>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row>
    <row r="1068" customHeight="1" spans="1:59">
      <c r="A1068" s="9">
        <f>IF(ActiveDatabase=Standby,Secondary!A1068,Primary!A1068)</f>
        <v>0</v>
      </c>
      <c r="B1068" s="5">
        <f>IF(ActiveDatabase=Standby,Secondary!B1068,Primary!B1068)</f>
        <v>0</v>
      </c>
      <c r="C1068" s="5">
        <f>IF(ActiveDatabase=Standby,Secondary!C1068,Primary!C1068)</f>
        <v>0</v>
      </c>
      <c r="D1068" s="5">
        <f>IF(ActiveDatabase=Standby,Secondary!D1068,Primary!D1068)</f>
        <v>0</v>
      </c>
      <c r="E1068" s="6">
        <f>IF(ActiveDatabase=Standby,Secondary!E1068,Primary!E1068)</f>
        <v>0</v>
      </c>
      <c r="F1068" s="10">
        <f>IF(ActiveDatabase=Standby,Secondary!F1068,Primary!F1068)</f>
        <v>0</v>
      </c>
      <c r="G1068" s="10">
        <f>IF(ActiveDatabase=Standby,Secondary!G1068,Primary!G1068)</f>
        <v>0</v>
      </c>
      <c r="H1068" s="10">
        <f>IF(ActiveDatabase=Standby,Secondary!H1068,Primary!H1068)</f>
        <v>0</v>
      </c>
      <c r="I1068" s="13">
        <f>IF(ActiveDatabase=Standby,Secondary!I1068,Primary!I1068)</f>
        <v>0</v>
      </c>
      <c r="J1068" s="13">
        <f>IF(ActiveDatabase=Standby,Secondary!J1068,Primary!J1068)</f>
        <v>0</v>
      </c>
      <c r="K1068" s="13">
        <f>IF(ActiveDatabase=Standby,Secondary!K1068,Primary!K1068)</f>
        <v>0</v>
      </c>
      <c r="L1068" s="13">
        <f>IF(ActiveDatabase=Standby,Secondary!L1068,Primary!L1068)</f>
        <v>0</v>
      </c>
      <c r="M1068" s="7">
        <f>IF(ActiveDatabase=Standby,Secondary!M1068,Primary!M1068)</f>
        <v>0</v>
      </c>
      <c r="N1068" s="10">
        <f>IF(ActiveDatabase=Standby,Secondary!N1068,Primary!N1068)</f>
        <v>0</v>
      </c>
      <c r="O1068" s="10">
        <f>IF(ActiveDatabase=Standby,Secondary!O1068,Primary!O1068)</f>
        <v>0</v>
      </c>
      <c r="P1068" s="10">
        <f>IF(ActiveDatabase=Standby,Secondary!P1068,Primary!P1068)</f>
        <v>0</v>
      </c>
      <c r="Q1068" s="6">
        <f>IF(ActiveDatabase=Standby,Secondary!Q1068,Primary!Q1068)</f>
        <v>0</v>
      </c>
      <c r="R1068" s="18">
        <f>IF(ActiveDatabase=Standby,Secondary!R1068,Primary!R1068)</f>
        <v>0</v>
      </c>
      <c r="S1068" s="19">
        <f>IF(ActiveDatabase=Standby,Secondary!S1068,Primary!S1068)</f>
        <v>0</v>
      </c>
      <c r="T1068" s="10">
        <f>IF(ActiveDatabase=Standby,Secondary!T1068,Primary!T1068)</f>
        <v>0</v>
      </c>
      <c r="U1068" s="10">
        <f>IF(ActiveDatabase=Standby,Secondary!U1068,Primary!U1068)</f>
        <v>0</v>
      </c>
      <c r="V1068" s="10">
        <f>IF(ActiveDatabase=Standby,Secondary!V1068,Primary!V1068)</f>
        <v>0</v>
      </c>
      <c r="W1068" s="6">
        <f>IF(ActiveDatabase=Standby,Secondary!W1068,Primary!W1068)</f>
        <v>0</v>
      </c>
      <c r="X1068" s="6">
        <f>IF(ActiveDatabase=Standby,Secondary!X1068,Primary!X1068)</f>
        <v>0</v>
      </c>
      <c r="Y1068" s="7">
        <f>IF(ActiveDatabase=Standby,Secondary!Y1068,Primary!Y1726)</f>
        <v>0</v>
      </c>
      <c r="Z1068" s="7">
        <f>IF(ActiveDatabase=Standby,Secondary!Z1068,Primary!Z1726)</f>
        <v>0</v>
      </c>
      <c r="AA1068" s="7">
        <f>IF(ActiveDatabase=Standby,Secondary!AA1068,Primary!AA1726)</f>
        <v>0</v>
      </c>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row>
    <row r="1069" customHeight="1" spans="1:59">
      <c r="A1069" s="9">
        <f>IF(ActiveDatabase=Standby,Secondary!A1069,Primary!A1069)</f>
        <v>0</v>
      </c>
      <c r="B1069" s="5">
        <f>IF(ActiveDatabase=Standby,Secondary!B1069,Primary!B1069)</f>
        <v>0</v>
      </c>
      <c r="C1069" s="5">
        <f>IF(ActiveDatabase=Standby,Secondary!C1069,Primary!C1069)</f>
        <v>0</v>
      </c>
      <c r="D1069" s="5">
        <f>IF(ActiveDatabase=Standby,Secondary!D1069,Primary!D1069)</f>
        <v>0</v>
      </c>
      <c r="E1069" s="6">
        <f>IF(ActiveDatabase=Standby,Secondary!E1069,Primary!E1069)</f>
        <v>0</v>
      </c>
      <c r="F1069" s="10">
        <f>IF(ActiveDatabase=Standby,Secondary!F1069,Primary!F1069)</f>
        <v>0</v>
      </c>
      <c r="G1069" s="10">
        <f>IF(ActiveDatabase=Standby,Secondary!G1069,Primary!G1069)</f>
        <v>0</v>
      </c>
      <c r="H1069" s="10">
        <f>IF(ActiveDatabase=Standby,Secondary!H1069,Primary!H1069)</f>
        <v>0</v>
      </c>
      <c r="I1069" s="13">
        <f>IF(ActiveDatabase=Standby,Secondary!I1069,Primary!I1069)</f>
        <v>0</v>
      </c>
      <c r="J1069" s="13">
        <f>IF(ActiveDatabase=Standby,Secondary!J1069,Primary!J1069)</f>
        <v>0</v>
      </c>
      <c r="K1069" s="13">
        <f>IF(ActiveDatabase=Standby,Secondary!K1069,Primary!K1069)</f>
        <v>0</v>
      </c>
      <c r="L1069" s="13">
        <f>IF(ActiveDatabase=Standby,Secondary!L1069,Primary!L1069)</f>
        <v>0</v>
      </c>
      <c r="M1069" s="7">
        <f>IF(ActiveDatabase=Standby,Secondary!M1069,Primary!M1069)</f>
        <v>0</v>
      </c>
      <c r="N1069" s="10">
        <f>IF(ActiveDatabase=Standby,Secondary!N1069,Primary!N1069)</f>
        <v>0</v>
      </c>
      <c r="O1069" s="10">
        <f>IF(ActiveDatabase=Standby,Secondary!O1069,Primary!O1069)</f>
        <v>0</v>
      </c>
      <c r="P1069" s="10">
        <f>IF(ActiveDatabase=Standby,Secondary!P1069,Primary!P1069)</f>
        <v>0</v>
      </c>
      <c r="Q1069" s="6">
        <f>IF(ActiveDatabase=Standby,Secondary!Q1069,Primary!Q1069)</f>
        <v>0</v>
      </c>
      <c r="R1069" s="18">
        <f>IF(ActiveDatabase=Standby,Secondary!R1069,Primary!R1069)</f>
        <v>0</v>
      </c>
      <c r="S1069" s="19">
        <f>IF(ActiveDatabase=Standby,Secondary!S1069,Primary!S1069)</f>
        <v>0</v>
      </c>
      <c r="T1069" s="10">
        <f>IF(ActiveDatabase=Standby,Secondary!T1069,Primary!T1069)</f>
        <v>0</v>
      </c>
      <c r="U1069" s="10">
        <f>IF(ActiveDatabase=Standby,Secondary!U1069,Primary!U1069)</f>
        <v>0</v>
      </c>
      <c r="V1069" s="10">
        <f>IF(ActiveDatabase=Standby,Secondary!V1069,Primary!V1069)</f>
        <v>0</v>
      </c>
      <c r="W1069" s="6">
        <f>IF(ActiveDatabase=Standby,Secondary!W1069,Primary!W1069)</f>
        <v>0</v>
      </c>
      <c r="X1069" s="6">
        <f>IF(ActiveDatabase=Standby,Secondary!X1069,Primary!X1069)</f>
        <v>0</v>
      </c>
      <c r="Y1069" s="7">
        <f>IF(ActiveDatabase=Standby,Secondary!Y1069,Primary!Y1727)</f>
        <v>0</v>
      </c>
      <c r="Z1069" s="7">
        <f>IF(ActiveDatabase=Standby,Secondary!Z1069,Primary!Z1727)</f>
        <v>0</v>
      </c>
      <c r="AA1069" s="7">
        <f>IF(ActiveDatabase=Standby,Secondary!AA1069,Primary!AA1727)</f>
        <v>0</v>
      </c>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row>
    <row r="1070" customHeight="1" spans="1:59">
      <c r="A1070" s="9">
        <f>IF(ActiveDatabase=Standby,Secondary!A1070,Primary!A1070)</f>
        <v>0</v>
      </c>
      <c r="B1070" s="5">
        <f>IF(ActiveDatabase=Standby,Secondary!B1070,Primary!B1070)</f>
        <v>0</v>
      </c>
      <c r="C1070" s="5">
        <f>IF(ActiveDatabase=Standby,Secondary!C1070,Primary!C1070)</f>
        <v>0</v>
      </c>
      <c r="D1070" s="5">
        <f>IF(ActiveDatabase=Standby,Secondary!D1070,Primary!D1070)</f>
        <v>0</v>
      </c>
      <c r="E1070" s="6">
        <f>IF(ActiveDatabase=Standby,Secondary!E1070,Primary!E1070)</f>
        <v>0</v>
      </c>
      <c r="F1070" s="10">
        <f>IF(ActiveDatabase=Standby,Secondary!F1070,Primary!F1070)</f>
        <v>0</v>
      </c>
      <c r="G1070" s="10">
        <f>IF(ActiveDatabase=Standby,Secondary!G1070,Primary!G1070)</f>
        <v>0</v>
      </c>
      <c r="H1070" s="10">
        <f>IF(ActiveDatabase=Standby,Secondary!H1070,Primary!H1070)</f>
        <v>0</v>
      </c>
      <c r="I1070" s="13">
        <f>IF(ActiveDatabase=Standby,Secondary!I1070,Primary!I1070)</f>
        <v>0</v>
      </c>
      <c r="J1070" s="13">
        <f>IF(ActiveDatabase=Standby,Secondary!J1070,Primary!J1070)</f>
        <v>0</v>
      </c>
      <c r="K1070" s="13">
        <f>IF(ActiveDatabase=Standby,Secondary!K1070,Primary!K1070)</f>
        <v>0</v>
      </c>
      <c r="L1070" s="13">
        <f>IF(ActiveDatabase=Standby,Secondary!L1070,Primary!L1070)</f>
        <v>0</v>
      </c>
      <c r="M1070" s="7">
        <f>IF(ActiveDatabase=Standby,Secondary!M1070,Primary!M1070)</f>
        <v>0</v>
      </c>
      <c r="N1070" s="10">
        <f>IF(ActiveDatabase=Standby,Secondary!N1070,Primary!N1070)</f>
        <v>0</v>
      </c>
      <c r="O1070" s="10">
        <f>IF(ActiveDatabase=Standby,Secondary!O1070,Primary!O1070)</f>
        <v>0</v>
      </c>
      <c r="P1070" s="10">
        <f>IF(ActiveDatabase=Standby,Secondary!P1070,Primary!P1070)</f>
        <v>0</v>
      </c>
      <c r="Q1070" s="6">
        <f>IF(ActiveDatabase=Standby,Secondary!Q1070,Primary!Q1070)</f>
        <v>0</v>
      </c>
      <c r="R1070" s="18">
        <f>IF(ActiveDatabase=Standby,Secondary!R1070,Primary!R1070)</f>
        <v>0</v>
      </c>
      <c r="S1070" s="19">
        <f>IF(ActiveDatabase=Standby,Secondary!S1070,Primary!S1070)</f>
        <v>0</v>
      </c>
      <c r="T1070" s="10">
        <f>IF(ActiveDatabase=Standby,Secondary!T1070,Primary!T1070)</f>
        <v>0</v>
      </c>
      <c r="U1070" s="10">
        <f>IF(ActiveDatabase=Standby,Secondary!U1070,Primary!U1070)</f>
        <v>0</v>
      </c>
      <c r="V1070" s="10">
        <f>IF(ActiveDatabase=Standby,Secondary!V1070,Primary!V1070)</f>
        <v>0</v>
      </c>
      <c r="W1070" s="6">
        <f>IF(ActiveDatabase=Standby,Secondary!W1070,Primary!W1070)</f>
        <v>0</v>
      </c>
      <c r="X1070" s="6">
        <f>IF(ActiveDatabase=Standby,Secondary!X1070,Primary!X1070)</f>
        <v>0</v>
      </c>
      <c r="Y1070" s="7">
        <f>IF(ActiveDatabase=Standby,Secondary!Y1070,Primary!Y1728)</f>
        <v>0</v>
      </c>
      <c r="Z1070" s="7">
        <f>IF(ActiveDatabase=Standby,Secondary!Z1070,Primary!Z1728)</f>
        <v>0</v>
      </c>
      <c r="AA1070" s="7">
        <f>IF(ActiveDatabase=Standby,Secondary!AA1070,Primary!AA1728)</f>
        <v>0</v>
      </c>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row>
    <row r="1071" customHeight="1" spans="1:59">
      <c r="A1071" s="9">
        <f>IF(ActiveDatabase=Standby,Secondary!A1071,Primary!A1071)</f>
        <v>0</v>
      </c>
      <c r="B1071" s="5">
        <f>IF(ActiveDatabase=Standby,Secondary!B1071,Primary!B1071)</f>
        <v>0</v>
      </c>
      <c r="C1071" s="5">
        <f>IF(ActiveDatabase=Standby,Secondary!C1071,Primary!C1071)</f>
        <v>0</v>
      </c>
      <c r="D1071" s="5">
        <f>IF(ActiveDatabase=Standby,Secondary!D1071,Primary!D1071)</f>
        <v>0</v>
      </c>
      <c r="E1071" s="6">
        <f>IF(ActiveDatabase=Standby,Secondary!E1071,Primary!E1071)</f>
        <v>0</v>
      </c>
      <c r="F1071" s="10">
        <f>IF(ActiveDatabase=Standby,Secondary!F1071,Primary!F1071)</f>
        <v>0</v>
      </c>
      <c r="G1071" s="10">
        <f>IF(ActiveDatabase=Standby,Secondary!G1071,Primary!G1071)</f>
        <v>0</v>
      </c>
      <c r="H1071" s="10">
        <f>IF(ActiveDatabase=Standby,Secondary!H1071,Primary!H1071)</f>
        <v>0</v>
      </c>
      <c r="I1071" s="13">
        <f>IF(ActiveDatabase=Standby,Secondary!I1071,Primary!I1071)</f>
        <v>0</v>
      </c>
      <c r="J1071" s="13">
        <f>IF(ActiveDatabase=Standby,Secondary!J1071,Primary!J1071)</f>
        <v>0</v>
      </c>
      <c r="K1071" s="13">
        <f>IF(ActiveDatabase=Standby,Secondary!K1071,Primary!K1071)</f>
        <v>0</v>
      </c>
      <c r="L1071" s="13">
        <f>IF(ActiveDatabase=Standby,Secondary!L1071,Primary!L1071)</f>
        <v>0</v>
      </c>
      <c r="M1071" s="7">
        <f>IF(ActiveDatabase=Standby,Secondary!M1071,Primary!M1071)</f>
        <v>0</v>
      </c>
      <c r="N1071" s="10">
        <f>IF(ActiveDatabase=Standby,Secondary!N1071,Primary!N1071)</f>
        <v>0</v>
      </c>
      <c r="O1071" s="10">
        <f>IF(ActiveDatabase=Standby,Secondary!O1071,Primary!O1071)</f>
        <v>0</v>
      </c>
      <c r="P1071" s="10">
        <f>IF(ActiveDatabase=Standby,Secondary!P1071,Primary!P1071)</f>
        <v>0</v>
      </c>
      <c r="Q1071" s="6">
        <f>IF(ActiveDatabase=Standby,Secondary!Q1071,Primary!Q1071)</f>
        <v>0</v>
      </c>
      <c r="R1071" s="18">
        <f>IF(ActiveDatabase=Standby,Secondary!R1071,Primary!R1071)</f>
        <v>0</v>
      </c>
      <c r="S1071" s="19">
        <f>IF(ActiveDatabase=Standby,Secondary!S1071,Primary!S1071)</f>
        <v>0</v>
      </c>
      <c r="T1071" s="10">
        <f>IF(ActiveDatabase=Standby,Secondary!T1071,Primary!T1071)</f>
        <v>0</v>
      </c>
      <c r="U1071" s="10">
        <f>IF(ActiveDatabase=Standby,Secondary!U1071,Primary!U1071)</f>
        <v>0</v>
      </c>
      <c r="V1071" s="10">
        <f>IF(ActiveDatabase=Standby,Secondary!V1071,Primary!V1071)</f>
        <v>0</v>
      </c>
      <c r="W1071" s="6">
        <f>IF(ActiveDatabase=Standby,Secondary!W1071,Primary!W1071)</f>
        <v>0</v>
      </c>
      <c r="X1071" s="6">
        <f>IF(ActiveDatabase=Standby,Secondary!X1071,Primary!X1071)</f>
        <v>0</v>
      </c>
      <c r="Y1071" s="7">
        <f>IF(ActiveDatabase=Standby,Secondary!Y1071,Primary!Y1729)</f>
        <v>0</v>
      </c>
      <c r="Z1071" s="7">
        <f>IF(ActiveDatabase=Standby,Secondary!Z1071,Primary!Z1729)</f>
        <v>0</v>
      </c>
      <c r="AA1071" s="7">
        <f>IF(ActiveDatabase=Standby,Secondary!AA1071,Primary!AA1729)</f>
        <v>0</v>
      </c>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row>
    <row r="1072" customHeight="1" spans="1:59">
      <c r="A1072" s="9">
        <f>IF(ActiveDatabase=Standby,Secondary!A1072,Primary!A1072)</f>
        <v>0</v>
      </c>
      <c r="B1072" s="5">
        <f>IF(ActiveDatabase=Standby,Secondary!B1072,Primary!B1072)</f>
        <v>0</v>
      </c>
      <c r="C1072" s="5">
        <f>IF(ActiveDatabase=Standby,Secondary!C1072,Primary!C1072)</f>
        <v>0</v>
      </c>
      <c r="D1072" s="5">
        <f>IF(ActiveDatabase=Standby,Secondary!D1072,Primary!D1072)</f>
        <v>0</v>
      </c>
      <c r="E1072" s="6">
        <f>IF(ActiveDatabase=Standby,Secondary!E1072,Primary!E1072)</f>
        <v>0</v>
      </c>
      <c r="F1072" s="10">
        <f>IF(ActiveDatabase=Standby,Secondary!F1072,Primary!F1072)</f>
        <v>0</v>
      </c>
      <c r="G1072" s="10">
        <f>IF(ActiveDatabase=Standby,Secondary!G1072,Primary!G1072)</f>
        <v>0</v>
      </c>
      <c r="H1072" s="10">
        <f>IF(ActiveDatabase=Standby,Secondary!H1072,Primary!H1072)</f>
        <v>0</v>
      </c>
      <c r="I1072" s="13">
        <f>IF(ActiveDatabase=Standby,Secondary!I1072,Primary!I1072)</f>
        <v>0</v>
      </c>
      <c r="J1072" s="13">
        <f>IF(ActiveDatabase=Standby,Secondary!J1072,Primary!J1072)</f>
        <v>0</v>
      </c>
      <c r="K1072" s="13">
        <f>IF(ActiveDatabase=Standby,Secondary!K1072,Primary!K1072)</f>
        <v>0</v>
      </c>
      <c r="L1072" s="13">
        <f>IF(ActiveDatabase=Standby,Secondary!L1072,Primary!L1072)</f>
        <v>0</v>
      </c>
      <c r="M1072" s="7">
        <f>IF(ActiveDatabase=Standby,Secondary!M1072,Primary!M1072)</f>
        <v>0</v>
      </c>
      <c r="N1072" s="10">
        <f>IF(ActiveDatabase=Standby,Secondary!N1072,Primary!N1072)</f>
        <v>0</v>
      </c>
      <c r="O1072" s="10">
        <f>IF(ActiveDatabase=Standby,Secondary!O1072,Primary!O1072)</f>
        <v>0</v>
      </c>
      <c r="P1072" s="10">
        <f>IF(ActiveDatabase=Standby,Secondary!P1072,Primary!P1072)</f>
        <v>0</v>
      </c>
      <c r="Q1072" s="6">
        <f>IF(ActiveDatabase=Standby,Secondary!Q1072,Primary!Q1072)</f>
        <v>0</v>
      </c>
      <c r="R1072" s="18">
        <f>IF(ActiveDatabase=Standby,Secondary!R1072,Primary!R1072)</f>
        <v>0</v>
      </c>
      <c r="S1072" s="19">
        <f>IF(ActiveDatabase=Standby,Secondary!S1072,Primary!S1072)</f>
        <v>0</v>
      </c>
      <c r="T1072" s="10">
        <f>IF(ActiveDatabase=Standby,Secondary!T1072,Primary!T1072)</f>
        <v>0</v>
      </c>
      <c r="U1072" s="10">
        <f>IF(ActiveDatabase=Standby,Secondary!U1072,Primary!U1072)</f>
        <v>0</v>
      </c>
      <c r="V1072" s="10">
        <f>IF(ActiveDatabase=Standby,Secondary!V1072,Primary!V1072)</f>
        <v>0</v>
      </c>
      <c r="W1072" s="6">
        <f>IF(ActiveDatabase=Standby,Secondary!W1072,Primary!W1072)</f>
        <v>0</v>
      </c>
      <c r="X1072" s="6">
        <f>IF(ActiveDatabase=Standby,Secondary!X1072,Primary!X1072)</f>
        <v>0</v>
      </c>
      <c r="Y1072" s="7">
        <f>IF(ActiveDatabase=Standby,Secondary!Y1072,Primary!Y1730)</f>
        <v>0</v>
      </c>
      <c r="Z1072" s="7">
        <f>IF(ActiveDatabase=Standby,Secondary!Z1072,Primary!Z1730)</f>
        <v>0</v>
      </c>
      <c r="AA1072" s="7">
        <f>IF(ActiveDatabase=Standby,Secondary!AA1072,Primary!AA1730)</f>
        <v>0</v>
      </c>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row>
    <row r="1073" customHeight="1" spans="1:59">
      <c r="A1073" s="9">
        <f>IF(ActiveDatabase=Standby,Secondary!A1073,Primary!A1073)</f>
        <v>0</v>
      </c>
      <c r="B1073" s="5">
        <f>IF(ActiveDatabase=Standby,Secondary!B1073,Primary!B1073)</f>
        <v>0</v>
      </c>
      <c r="C1073" s="5">
        <f>IF(ActiveDatabase=Standby,Secondary!C1073,Primary!C1073)</f>
        <v>0</v>
      </c>
      <c r="D1073" s="5">
        <f>IF(ActiveDatabase=Standby,Secondary!D1073,Primary!D1073)</f>
        <v>0</v>
      </c>
      <c r="E1073" s="6">
        <f>IF(ActiveDatabase=Standby,Secondary!E1073,Primary!E1073)</f>
        <v>0</v>
      </c>
      <c r="F1073" s="10">
        <f>IF(ActiveDatabase=Standby,Secondary!F1073,Primary!F1073)</f>
        <v>0</v>
      </c>
      <c r="G1073" s="10">
        <f>IF(ActiveDatabase=Standby,Secondary!G1073,Primary!G1073)</f>
        <v>0</v>
      </c>
      <c r="H1073" s="10">
        <f>IF(ActiveDatabase=Standby,Secondary!H1073,Primary!H1073)</f>
        <v>0</v>
      </c>
      <c r="I1073" s="13">
        <f>IF(ActiveDatabase=Standby,Secondary!I1073,Primary!I1073)</f>
        <v>0</v>
      </c>
      <c r="J1073" s="13">
        <f>IF(ActiveDatabase=Standby,Secondary!J1073,Primary!J1073)</f>
        <v>0</v>
      </c>
      <c r="K1073" s="13">
        <f>IF(ActiveDatabase=Standby,Secondary!K1073,Primary!K1073)</f>
        <v>0</v>
      </c>
      <c r="L1073" s="13">
        <f>IF(ActiveDatabase=Standby,Secondary!L1073,Primary!L1073)</f>
        <v>0</v>
      </c>
      <c r="M1073" s="7">
        <f>IF(ActiveDatabase=Standby,Secondary!M1073,Primary!M1073)</f>
        <v>0</v>
      </c>
      <c r="N1073" s="10">
        <f>IF(ActiveDatabase=Standby,Secondary!N1073,Primary!N1073)</f>
        <v>0</v>
      </c>
      <c r="O1073" s="10">
        <f>IF(ActiveDatabase=Standby,Secondary!O1073,Primary!O1073)</f>
        <v>0</v>
      </c>
      <c r="P1073" s="10">
        <f>IF(ActiveDatabase=Standby,Secondary!P1073,Primary!P1073)</f>
        <v>0</v>
      </c>
      <c r="Q1073" s="6">
        <f>IF(ActiveDatabase=Standby,Secondary!Q1073,Primary!Q1073)</f>
        <v>0</v>
      </c>
      <c r="R1073" s="18">
        <f>IF(ActiveDatabase=Standby,Secondary!R1073,Primary!R1073)</f>
        <v>0</v>
      </c>
      <c r="S1073" s="19">
        <f>IF(ActiveDatabase=Standby,Secondary!S1073,Primary!S1073)</f>
        <v>0</v>
      </c>
      <c r="T1073" s="10">
        <f>IF(ActiveDatabase=Standby,Secondary!T1073,Primary!T1073)</f>
        <v>0</v>
      </c>
      <c r="U1073" s="10">
        <f>IF(ActiveDatabase=Standby,Secondary!U1073,Primary!U1073)</f>
        <v>0</v>
      </c>
      <c r="V1073" s="10">
        <f>IF(ActiveDatabase=Standby,Secondary!V1073,Primary!V1073)</f>
        <v>0</v>
      </c>
      <c r="W1073" s="6">
        <f>IF(ActiveDatabase=Standby,Secondary!W1073,Primary!W1073)</f>
        <v>0</v>
      </c>
      <c r="X1073" s="6">
        <f>IF(ActiveDatabase=Standby,Secondary!X1073,Primary!X1073)</f>
        <v>0</v>
      </c>
      <c r="Y1073" s="7">
        <f>IF(ActiveDatabase=Standby,Secondary!Y1073,Primary!Y1731)</f>
        <v>0</v>
      </c>
      <c r="Z1073" s="7">
        <f>IF(ActiveDatabase=Standby,Secondary!Z1073,Primary!Z1731)</f>
        <v>0</v>
      </c>
      <c r="AA1073" s="7">
        <f>IF(ActiveDatabase=Standby,Secondary!AA1073,Primary!AA1731)</f>
        <v>0</v>
      </c>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row>
    <row r="1074" customHeight="1" spans="1:59">
      <c r="A1074" s="9">
        <f>IF(ActiveDatabase=Standby,Secondary!A1074,Primary!A1074)</f>
        <v>0</v>
      </c>
      <c r="B1074" s="5">
        <f>IF(ActiveDatabase=Standby,Secondary!B1074,Primary!B1074)</f>
        <v>0</v>
      </c>
      <c r="C1074" s="5">
        <f>IF(ActiveDatabase=Standby,Secondary!C1074,Primary!C1074)</f>
        <v>0</v>
      </c>
      <c r="D1074" s="5">
        <f>IF(ActiveDatabase=Standby,Secondary!D1074,Primary!D1074)</f>
        <v>0</v>
      </c>
      <c r="E1074" s="6">
        <f>IF(ActiveDatabase=Standby,Secondary!E1074,Primary!E1074)</f>
        <v>0</v>
      </c>
      <c r="F1074" s="10">
        <f>IF(ActiveDatabase=Standby,Secondary!F1074,Primary!F1074)</f>
        <v>0</v>
      </c>
      <c r="G1074" s="10">
        <f>IF(ActiveDatabase=Standby,Secondary!G1074,Primary!G1074)</f>
        <v>0</v>
      </c>
      <c r="H1074" s="10">
        <f>IF(ActiveDatabase=Standby,Secondary!H1074,Primary!H1074)</f>
        <v>0</v>
      </c>
      <c r="I1074" s="13">
        <f>IF(ActiveDatabase=Standby,Secondary!I1074,Primary!I1074)</f>
        <v>0</v>
      </c>
      <c r="J1074" s="13">
        <f>IF(ActiveDatabase=Standby,Secondary!J1074,Primary!J1074)</f>
        <v>0</v>
      </c>
      <c r="K1074" s="13">
        <f>IF(ActiveDatabase=Standby,Secondary!K1074,Primary!K1074)</f>
        <v>0</v>
      </c>
      <c r="L1074" s="13">
        <f>IF(ActiveDatabase=Standby,Secondary!L1074,Primary!L1074)</f>
        <v>0</v>
      </c>
      <c r="M1074" s="7">
        <f>IF(ActiveDatabase=Standby,Secondary!M1074,Primary!M1074)</f>
        <v>0</v>
      </c>
      <c r="N1074" s="10">
        <f>IF(ActiveDatabase=Standby,Secondary!N1074,Primary!N1074)</f>
        <v>0</v>
      </c>
      <c r="O1074" s="10">
        <f>IF(ActiveDatabase=Standby,Secondary!O1074,Primary!O1074)</f>
        <v>0</v>
      </c>
      <c r="P1074" s="10">
        <f>IF(ActiveDatabase=Standby,Secondary!P1074,Primary!P1074)</f>
        <v>0</v>
      </c>
      <c r="Q1074" s="6">
        <f>IF(ActiveDatabase=Standby,Secondary!Q1074,Primary!Q1074)</f>
        <v>0</v>
      </c>
      <c r="R1074" s="18">
        <f>IF(ActiveDatabase=Standby,Secondary!R1074,Primary!R1074)</f>
        <v>0</v>
      </c>
      <c r="S1074" s="19">
        <f>IF(ActiveDatabase=Standby,Secondary!S1074,Primary!S1074)</f>
        <v>0</v>
      </c>
      <c r="T1074" s="10">
        <f>IF(ActiveDatabase=Standby,Secondary!T1074,Primary!T1074)</f>
        <v>0</v>
      </c>
      <c r="U1074" s="10">
        <f>IF(ActiveDatabase=Standby,Secondary!U1074,Primary!U1074)</f>
        <v>0</v>
      </c>
      <c r="V1074" s="10">
        <f>IF(ActiveDatabase=Standby,Secondary!V1074,Primary!V1074)</f>
        <v>0</v>
      </c>
      <c r="W1074" s="6">
        <f>IF(ActiveDatabase=Standby,Secondary!W1074,Primary!W1074)</f>
        <v>0</v>
      </c>
      <c r="X1074" s="6">
        <f>IF(ActiveDatabase=Standby,Secondary!X1074,Primary!X1074)</f>
        <v>0</v>
      </c>
      <c r="Y1074" s="7">
        <f>IF(ActiveDatabase=Standby,Secondary!Y1074,Primary!Y1732)</f>
        <v>0</v>
      </c>
      <c r="Z1074" s="7">
        <f>IF(ActiveDatabase=Standby,Secondary!Z1074,Primary!Z1732)</f>
        <v>0</v>
      </c>
      <c r="AA1074" s="7">
        <f>IF(ActiveDatabase=Standby,Secondary!AA1074,Primary!AA1732)</f>
        <v>0</v>
      </c>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7"/>
      <c r="BD1074" s="7"/>
      <c r="BE1074" s="7"/>
      <c r="BF1074" s="7"/>
      <c r="BG1074" s="7"/>
    </row>
    <row r="1075" customHeight="1" spans="1:59">
      <c r="A1075" s="9">
        <f>IF(ActiveDatabase=Standby,Secondary!A1075,Primary!A1075)</f>
        <v>0</v>
      </c>
      <c r="B1075" s="5">
        <f>IF(ActiveDatabase=Standby,Secondary!B1075,Primary!B1075)</f>
        <v>0</v>
      </c>
      <c r="C1075" s="5">
        <f>IF(ActiveDatabase=Standby,Secondary!C1075,Primary!C1075)</f>
        <v>0</v>
      </c>
      <c r="D1075" s="5">
        <f>IF(ActiveDatabase=Standby,Secondary!D1075,Primary!D1075)</f>
        <v>0</v>
      </c>
      <c r="E1075" s="6">
        <f>IF(ActiveDatabase=Standby,Secondary!E1075,Primary!E1075)</f>
        <v>0</v>
      </c>
      <c r="F1075" s="10">
        <f>IF(ActiveDatabase=Standby,Secondary!F1075,Primary!F1075)</f>
        <v>0</v>
      </c>
      <c r="G1075" s="10">
        <f>IF(ActiveDatabase=Standby,Secondary!G1075,Primary!G1075)</f>
        <v>0</v>
      </c>
      <c r="H1075" s="10">
        <f>IF(ActiveDatabase=Standby,Secondary!H1075,Primary!H1075)</f>
        <v>0</v>
      </c>
      <c r="I1075" s="13">
        <f>IF(ActiveDatabase=Standby,Secondary!I1075,Primary!I1075)</f>
        <v>0</v>
      </c>
      <c r="J1075" s="13">
        <f>IF(ActiveDatabase=Standby,Secondary!J1075,Primary!J1075)</f>
        <v>0</v>
      </c>
      <c r="K1075" s="13">
        <f>IF(ActiveDatabase=Standby,Secondary!K1075,Primary!K1075)</f>
        <v>0</v>
      </c>
      <c r="L1075" s="13">
        <f>IF(ActiveDatabase=Standby,Secondary!L1075,Primary!L1075)</f>
        <v>0</v>
      </c>
      <c r="M1075" s="7">
        <f>IF(ActiveDatabase=Standby,Secondary!M1075,Primary!M1075)</f>
        <v>0</v>
      </c>
      <c r="N1075" s="10">
        <f>IF(ActiveDatabase=Standby,Secondary!N1075,Primary!N1075)</f>
        <v>0</v>
      </c>
      <c r="O1075" s="10">
        <f>IF(ActiveDatabase=Standby,Secondary!O1075,Primary!O1075)</f>
        <v>0</v>
      </c>
      <c r="P1075" s="10">
        <f>IF(ActiveDatabase=Standby,Secondary!P1075,Primary!P1075)</f>
        <v>0</v>
      </c>
      <c r="Q1075" s="6">
        <f>IF(ActiveDatabase=Standby,Secondary!Q1075,Primary!Q1075)</f>
        <v>0</v>
      </c>
      <c r="R1075" s="18">
        <f>IF(ActiveDatabase=Standby,Secondary!R1075,Primary!R1075)</f>
        <v>0</v>
      </c>
      <c r="S1075" s="19">
        <f>IF(ActiveDatabase=Standby,Secondary!S1075,Primary!S1075)</f>
        <v>0</v>
      </c>
      <c r="T1075" s="10">
        <f>IF(ActiveDatabase=Standby,Secondary!T1075,Primary!T1075)</f>
        <v>0</v>
      </c>
      <c r="U1075" s="10">
        <f>IF(ActiveDatabase=Standby,Secondary!U1075,Primary!U1075)</f>
        <v>0</v>
      </c>
      <c r="V1075" s="10">
        <f>IF(ActiveDatabase=Standby,Secondary!V1075,Primary!V1075)</f>
        <v>0</v>
      </c>
      <c r="W1075" s="6">
        <f>IF(ActiveDatabase=Standby,Secondary!W1075,Primary!W1075)</f>
        <v>0</v>
      </c>
      <c r="X1075" s="6">
        <f>IF(ActiveDatabase=Standby,Secondary!X1075,Primary!X1075)</f>
        <v>0</v>
      </c>
      <c r="Y1075" s="7">
        <f>IF(ActiveDatabase=Standby,Secondary!Y1075,Primary!Y1733)</f>
        <v>0</v>
      </c>
      <c r="Z1075" s="7">
        <f>IF(ActiveDatabase=Standby,Secondary!Z1075,Primary!Z1733)</f>
        <v>0</v>
      </c>
      <c r="AA1075" s="7">
        <f>IF(ActiveDatabase=Standby,Secondary!AA1075,Primary!AA1733)</f>
        <v>0</v>
      </c>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row>
    <row r="1076" customHeight="1" spans="1:59">
      <c r="A1076" s="9">
        <f>IF(ActiveDatabase=Standby,Secondary!A1076,Primary!A1076)</f>
        <v>0</v>
      </c>
      <c r="B1076" s="5">
        <f>IF(ActiveDatabase=Standby,Secondary!B1076,Primary!B1076)</f>
        <v>0</v>
      </c>
      <c r="C1076" s="5">
        <f>IF(ActiveDatabase=Standby,Secondary!C1076,Primary!C1076)</f>
        <v>0</v>
      </c>
      <c r="D1076" s="5">
        <f>IF(ActiveDatabase=Standby,Secondary!D1076,Primary!D1076)</f>
        <v>0</v>
      </c>
      <c r="E1076" s="6">
        <f>IF(ActiveDatabase=Standby,Secondary!E1076,Primary!E1076)</f>
        <v>0</v>
      </c>
      <c r="F1076" s="10">
        <f>IF(ActiveDatabase=Standby,Secondary!F1076,Primary!F1076)</f>
        <v>0</v>
      </c>
      <c r="G1076" s="10">
        <f>IF(ActiveDatabase=Standby,Secondary!G1076,Primary!G1076)</f>
        <v>0</v>
      </c>
      <c r="H1076" s="10">
        <f>IF(ActiveDatabase=Standby,Secondary!H1076,Primary!H1076)</f>
        <v>0</v>
      </c>
      <c r="I1076" s="13">
        <f>IF(ActiveDatabase=Standby,Secondary!I1076,Primary!I1076)</f>
        <v>0</v>
      </c>
      <c r="J1076" s="13">
        <f>IF(ActiveDatabase=Standby,Secondary!J1076,Primary!J1076)</f>
        <v>0</v>
      </c>
      <c r="K1076" s="13">
        <f>IF(ActiveDatabase=Standby,Secondary!K1076,Primary!K1076)</f>
        <v>0</v>
      </c>
      <c r="L1076" s="13">
        <f>IF(ActiveDatabase=Standby,Secondary!L1076,Primary!L1076)</f>
        <v>0</v>
      </c>
      <c r="M1076" s="7">
        <f>IF(ActiveDatabase=Standby,Secondary!M1076,Primary!M1076)</f>
        <v>0</v>
      </c>
      <c r="N1076" s="10">
        <f>IF(ActiveDatabase=Standby,Secondary!N1076,Primary!N1076)</f>
        <v>0</v>
      </c>
      <c r="O1076" s="10">
        <f>IF(ActiveDatabase=Standby,Secondary!O1076,Primary!O1076)</f>
        <v>0</v>
      </c>
      <c r="P1076" s="10">
        <f>IF(ActiveDatabase=Standby,Secondary!P1076,Primary!P1076)</f>
        <v>0</v>
      </c>
      <c r="Q1076" s="6">
        <f>IF(ActiveDatabase=Standby,Secondary!Q1076,Primary!Q1076)</f>
        <v>0</v>
      </c>
      <c r="R1076" s="18">
        <f>IF(ActiveDatabase=Standby,Secondary!R1076,Primary!R1076)</f>
        <v>0</v>
      </c>
      <c r="S1076" s="19">
        <f>IF(ActiveDatabase=Standby,Secondary!S1076,Primary!S1076)</f>
        <v>0</v>
      </c>
      <c r="T1076" s="10">
        <f>IF(ActiveDatabase=Standby,Secondary!T1076,Primary!T1076)</f>
        <v>0</v>
      </c>
      <c r="U1076" s="10">
        <f>IF(ActiveDatabase=Standby,Secondary!U1076,Primary!U1076)</f>
        <v>0</v>
      </c>
      <c r="V1076" s="10">
        <f>IF(ActiveDatabase=Standby,Secondary!V1076,Primary!V1076)</f>
        <v>0</v>
      </c>
      <c r="W1076" s="6">
        <f>IF(ActiveDatabase=Standby,Secondary!W1076,Primary!W1076)</f>
        <v>0</v>
      </c>
      <c r="X1076" s="6">
        <f>IF(ActiveDatabase=Standby,Secondary!X1076,Primary!X1076)</f>
        <v>0</v>
      </c>
      <c r="Y1076" s="7">
        <f>IF(ActiveDatabase=Standby,Secondary!Y1076,Primary!Y1734)</f>
        <v>0</v>
      </c>
      <c r="Z1076" s="7">
        <f>IF(ActiveDatabase=Standby,Secondary!Z1076,Primary!Z1734)</f>
        <v>0</v>
      </c>
      <c r="AA1076" s="7">
        <f>IF(ActiveDatabase=Standby,Secondary!AA1076,Primary!AA1734)</f>
        <v>0</v>
      </c>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row>
    <row r="1077" customHeight="1" spans="1:59">
      <c r="A1077" s="9">
        <f>IF(ActiveDatabase=Standby,Secondary!A1077,Primary!A1077)</f>
        <v>0</v>
      </c>
      <c r="B1077" s="5">
        <f>IF(ActiveDatabase=Standby,Secondary!B1077,Primary!B1077)</f>
        <v>0</v>
      </c>
      <c r="C1077" s="5">
        <f>IF(ActiveDatabase=Standby,Secondary!C1077,Primary!C1077)</f>
        <v>0</v>
      </c>
      <c r="D1077" s="5">
        <f>IF(ActiveDatabase=Standby,Secondary!D1077,Primary!D1077)</f>
        <v>0</v>
      </c>
      <c r="E1077" s="6">
        <f>IF(ActiveDatabase=Standby,Secondary!E1077,Primary!E1077)</f>
        <v>0</v>
      </c>
      <c r="F1077" s="10">
        <f>IF(ActiveDatabase=Standby,Secondary!F1077,Primary!F1077)</f>
        <v>0</v>
      </c>
      <c r="G1077" s="10">
        <f>IF(ActiveDatabase=Standby,Secondary!G1077,Primary!G1077)</f>
        <v>0</v>
      </c>
      <c r="H1077" s="10">
        <f>IF(ActiveDatabase=Standby,Secondary!H1077,Primary!H1077)</f>
        <v>0</v>
      </c>
      <c r="I1077" s="13">
        <f>IF(ActiveDatabase=Standby,Secondary!I1077,Primary!I1077)</f>
        <v>0</v>
      </c>
      <c r="J1077" s="13">
        <f>IF(ActiveDatabase=Standby,Secondary!J1077,Primary!J1077)</f>
        <v>0</v>
      </c>
      <c r="K1077" s="13">
        <f>IF(ActiveDatabase=Standby,Secondary!K1077,Primary!K1077)</f>
        <v>0</v>
      </c>
      <c r="L1077" s="13">
        <f>IF(ActiveDatabase=Standby,Secondary!L1077,Primary!L1077)</f>
        <v>0</v>
      </c>
      <c r="M1077" s="7">
        <f>IF(ActiveDatabase=Standby,Secondary!M1077,Primary!M1077)</f>
        <v>0</v>
      </c>
      <c r="N1077" s="10">
        <f>IF(ActiveDatabase=Standby,Secondary!N1077,Primary!N1077)</f>
        <v>0</v>
      </c>
      <c r="O1077" s="10">
        <f>IF(ActiveDatabase=Standby,Secondary!O1077,Primary!O1077)</f>
        <v>0</v>
      </c>
      <c r="P1077" s="10">
        <f>IF(ActiveDatabase=Standby,Secondary!P1077,Primary!P1077)</f>
        <v>0</v>
      </c>
      <c r="Q1077" s="6">
        <f>IF(ActiveDatabase=Standby,Secondary!Q1077,Primary!Q1077)</f>
        <v>0</v>
      </c>
      <c r="R1077" s="18">
        <f>IF(ActiveDatabase=Standby,Secondary!R1077,Primary!R1077)</f>
        <v>0</v>
      </c>
      <c r="S1077" s="19">
        <f>IF(ActiveDatabase=Standby,Secondary!S1077,Primary!S1077)</f>
        <v>0</v>
      </c>
      <c r="T1077" s="10">
        <f>IF(ActiveDatabase=Standby,Secondary!T1077,Primary!T1077)</f>
        <v>0</v>
      </c>
      <c r="U1077" s="10">
        <f>IF(ActiveDatabase=Standby,Secondary!U1077,Primary!U1077)</f>
        <v>0</v>
      </c>
      <c r="V1077" s="10">
        <f>IF(ActiveDatabase=Standby,Secondary!V1077,Primary!V1077)</f>
        <v>0</v>
      </c>
      <c r="W1077" s="6">
        <f>IF(ActiveDatabase=Standby,Secondary!W1077,Primary!W1077)</f>
        <v>0</v>
      </c>
      <c r="X1077" s="6">
        <f>IF(ActiveDatabase=Standby,Secondary!X1077,Primary!X1077)</f>
        <v>0</v>
      </c>
      <c r="Y1077" s="7">
        <f>IF(ActiveDatabase=Standby,Secondary!Y1077,Primary!Y1735)</f>
        <v>0</v>
      </c>
      <c r="Z1077" s="7">
        <f>IF(ActiveDatabase=Standby,Secondary!Z1077,Primary!Z1735)</f>
        <v>0</v>
      </c>
      <c r="AA1077" s="7">
        <f>IF(ActiveDatabase=Standby,Secondary!AA1077,Primary!AA1735)</f>
        <v>0</v>
      </c>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row>
    <row r="1078" customHeight="1" spans="1:59">
      <c r="A1078" s="9">
        <f>IF(ActiveDatabase=Standby,Secondary!A1078,Primary!A1078)</f>
        <v>0</v>
      </c>
      <c r="B1078" s="5">
        <f>IF(ActiveDatabase=Standby,Secondary!B1078,Primary!B1078)</f>
        <v>0</v>
      </c>
      <c r="C1078" s="5">
        <f>IF(ActiveDatabase=Standby,Secondary!C1078,Primary!C1078)</f>
        <v>0</v>
      </c>
      <c r="D1078" s="5">
        <f>IF(ActiveDatabase=Standby,Secondary!D1078,Primary!D1078)</f>
        <v>0</v>
      </c>
      <c r="E1078" s="6">
        <f>IF(ActiveDatabase=Standby,Secondary!E1078,Primary!E1078)</f>
        <v>0</v>
      </c>
      <c r="F1078" s="10">
        <f>IF(ActiveDatabase=Standby,Secondary!F1078,Primary!F1078)</f>
        <v>0</v>
      </c>
      <c r="G1078" s="10">
        <f>IF(ActiveDatabase=Standby,Secondary!G1078,Primary!G1078)</f>
        <v>0</v>
      </c>
      <c r="H1078" s="10">
        <f>IF(ActiveDatabase=Standby,Secondary!H1078,Primary!H1078)</f>
        <v>0</v>
      </c>
      <c r="I1078" s="13">
        <f>IF(ActiveDatabase=Standby,Secondary!I1078,Primary!I1078)</f>
        <v>0</v>
      </c>
      <c r="J1078" s="13">
        <f>IF(ActiveDatabase=Standby,Secondary!J1078,Primary!J1078)</f>
        <v>0</v>
      </c>
      <c r="K1078" s="13">
        <f>IF(ActiveDatabase=Standby,Secondary!K1078,Primary!K1078)</f>
        <v>0</v>
      </c>
      <c r="L1078" s="13">
        <f>IF(ActiveDatabase=Standby,Secondary!L1078,Primary!L1078)</f>
        <v>0</v>
      </c>
      <c r="M1078" s="7">
        <f>IF(ActiveDatabase=Standby,Secondary!M1078,Primary!M1078)</f>
        <v>0</v>
      </c>
      <c r="N1078" s="10">
        <f>IF(ActiveDatabase=Standby,Secondary!N1078,Primary!N1078)</f>
        <v>0</v>
      </c>
      <c r="O1078" s="10">
        <f>IF(ActiveDatabase=Standby,Secondary!O1078,Primary!O1078)</f>
        <v>0</v>
      </c>
      <c r="P1078" s="10">
        <f>IF(ActiveDatabase=Standby,Secondary!P1078,Primary!P1078)</f>
        <v>0</v>
      </c>
      <c r="Q1078" s="6">
        <f>IF(ActiveDatabase=Standby,Secondary!Q1078,Primary!Q1078)</f>
        <v>0</v>
      </c>
      <c r="R1078" s="18">
        <f>IF(ActiveDatabase=Standby,Secondary!R1078,Primary!R1078)</f>
        <v>0</v>
      </c>
      <c r="S1078" s="19">
        <f>IF(ActiveDatabase=Standby,Secondary!S1078,Primary!S1078)</f>
        <v>0</v>
      </c>
      <c r="T1078" s="10">
        <f>IF(ActiveDatabase=Standby,Secondary!T1078,Primary!T1078)</f>
        <v>0</v>
      </c>
      <c r="U1078" s="10">
        <f>IF(ActiveDatabase=Standby,Secondary!U1078,Primary!U1078)</f>
        <v>0</v>
      </c>
      <c r="V1078" s="10">
        <f>IF(ActiveDatabase=Standby,Secondary!V1078,Primary!V1078)</f>
        <v>0</v>
      </c>
      <c r="W1078" s="6">
        <f>IF(ActiveDatabase=Standby,Secondary!W1078,Primary!W1078)</f>
        <v>0</v>
      </c>
      <c r="X1078" s="6">
        <f>IF(ActiveDatabase=Standby,Secondary!X1078,Primary!X1078)</f>
        <v>0</v>
      </c>
      <c r="Y1078" s="7">
        <f>IF(ActiveDatabase=Standby,Secondary!Y1078,Primary!Y1736)</f>
        <v>0</v>
      </c>
      <c r="Z1078" s="7">
        <f>IF(ActiveDatabase=Standby,Secondary!Z1078,Primary!Z1736)</f>
        <v>0</v>
      </c>
      <c r="AA1078" s="7">
        <f>IF(ActiveDatabase=Standby,Secondary!AA1078,Primary!AA1736)</f>
        <v>0</v>
      </c>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7"/>
      <c r="BD1078" s="7"/>
      <c r="BE1078" s="7"/>
      <c r="BF1078" s="7"/>
      <c r="BG1078" s="7"/>
    </row>
    <row r="1079" customHeight="1" spans="1:59">
      <c r="A1079" s="9">
        <f>IF(ActiveDatabase=Standby,Secondary!A1079,Primary!A1079)</f>
        <v>0</v>
      </c>
      <c r="B1079" s="5">
        <f>IF(ActiveDatabase=Standby,Secondary!B1079,Primary!B1079)</f>
        <v>0</v>
      </c>
      <c r="C1079" s="5">
        <f>IF(ActiveDatabase=Standby,Secondary!C1079,Primary!C1079)</f>
        <v>0</v>
      </c>
      <c r="D1079" s="5">
        <f>IF(ActiveDatabase=Standby,Secondary!D1079,Primary!D1079)</f>
        <v>0</v>
      </c>
      <c r="E1079" s="6">
        <f>IF(ActiveDatabase=Standby,Secondary!E1079,Primary!E1079)</f>
        <v>0</v>
      </c>
      <c r="F1079" s="10">
        <f>IF(ActiveDatabase=Standby,Secondary!F1079,Primary!F1079)</f>
        <v>0</v>
      </c>
      <c r="G1079" s="10">
        <f>IF(ActiveDatabase=Standby,Secondary!G1079,Primary!G1079)</f>
        <v>0</v>
      </c>
      <c r="H1079" s="10">
        <f>IF(ActiveDatabase=Standby,Secondary!H1079,Primary!H1079)</f>
        <v>0</v>
      </c>
      <c r="I1079" s="13">
        <f>IF(ActiveDatabase=Standby,Secondary!I1079,Primary!I1079)</f>
        <v>0</v>
      </c>
      <c r="J1079" s="13">
        <f>IF(ActiveDatabase=Standby,Secondary!J1079,Primary!J1079)</f>
        <v>0</v>
      </c>
      <c r="K1079" s="13">
        <f>IF(ActiveDatabase=Standby,Secondary!K1079,Primary!K1079)</f>
        <v>0</v>
      </c>
      <c r="L1079" s="13">
        <f>IF(ActiveDatabase=Standby,Secondary!L1079,Primary!L1079)</f>
        <v>0</v>
      </c>
      <c r="M1079" s="7">
        <f>IF(ActiveDatabase=Standby,Secondary!M1079,Primary!M1079)</f>
        <v>0</v>
      </c>
      <c r="N1079" s="10">
        <f>IF(ActiveDatabase=Standby,Secondary!N1079,Primary!N1079)</f>
        <v>0</v>
      </c>
      <c r="O1079" s="10">
        <f>IF(ActiveDatabase=Standby,Secondary!O1079,Primary!O1079)</f>
        <v>0</v>
      </c>
      <c r="P1079" s="10">
        <f>IF(ActiveDatabase=Standby,Secondary!P1079,Primary!P1079)</f>
        <v>0</v>
      </c>
      <c r="Q1079" s="6">
        <f>IF(ActiveDatabase=Standby,Secondary!Q1079,Primary!Q1079)</f>
        <v>0</v>
      </c>
      <c r="R1079" s="18">
        <f>IF(ActiveDatabase=Standby,Secondary!R1079,Primary!R1079)</f>
        <v>0</v>
      </c>
      <c r="S1079" s="19">
        <f>IF(ActiveDatabase=Standby,Secondary!S1079,Primary!S1079)</f>
        <v>0</v>
      </c>
      <c r="T1079" s="10">
        <f>IF(ActiveDatabase=Standby,Secondary!T1079,Primary!T1079)</f>
        <v>0</v>
      </c>
      <c r="U1079" s="10">
        <f>IF(ActiveDatabase=Standby,Secondary!U1079,Primary!U1079)</f>
        <v>0</v>
      </c>
      <c r="V1079" s="10">
        <f>IF(ActiveDatabase=Standby,Secondary!V1079,Primary!V1079)</f>
        <v>0</v>
      </c>
      <c r="W1079" s="6">
        <f>IF(ActiveDatabase=Standby,Secondary!W1079,Primary!W1079)</f>
        <v>0</v>
      </c>
      <c r="X1079" s="6">
        <f>IF(ActiveDatabase=Standby,Secondary!X1079,Primary!X1079)</f>
        <v>0</v>
      </c>
      <c r="Y1079" s="7">
        <f>IF(ActiveDatabase=Standby,Secondary!Y1079,Primary!Y1737)</f>
        <v>0</v>
      </c>
      <c r="Z1079" s="7">
        <f>IF(ActiveDatabase=Standby,Secondary!Z1079,Primary!Z1737)</f>
        <v>0</v>
      </c>
      <c r="AA1079" s="7">
        <f>IF(ActiveDatabase=Standby,Secondary!AA1079,Primary!AA1737)</f>
        <v>0</v>
      </c>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c r="AY1079" s="7"/>
      <c r="AZ1079" s="7"/>
      <c r="BA1079" s="7"/>
      <c r="BB1079" s="7"/>
      <c r="BC1079" s="7"/>
      <c r="BD1079" s="7"/>
      <c r="BE1079" s="7"/>
      <c r="BF1079" s="7"/>
      <c r="BG1079" s="7"/>
    </row>
    <row r="1080" customHeight="1" spans="1:59">
      <c r="A1080" s="9">
        <f>IF(ActiveDatabase=Standby,Secondary!A1080,Primary!A1080)</f>
        <v>0</v>
      </c>
      <c r="B1080" s="5">
        <f>IF(ActiveDatabase=Standby,Secondary!B1080,Primary!B1080)</f>
        <v>0</v>
      </c>
      <c r="C1080" s="5">
        <f>IF(ActiveDatabase=Standby,Secondary!C1080,Primary!C1080)</f>
        <v>0</v>
      </c>
      <c r="D1080" s="5">
        <f>IF(ActiveDatabase=Standby,Secondary!D1080,Primary!D1080)</f>
        <v>0</v>
      </c>
      <c r="E1080" s="6">
        <f>IF(ActiveDatabase=Standby,Secondary!E1080,Primary!E1080)</f>
        <v>0</v>
      </c>
      <c r="F1080" s="10">
        <f>IF(ActiveDatabase=Standby,Secondary!F1080,Primary!F1080)</f>
        <v>0</v>
      </c>
      <c r="G1080" s="10">
        <f>IF(ActiveDatabase=Standby,Secondary!G1080,Primary!G1080)</f>
        <v>0</v>
      </c>
      <c r="H1080" s="10">
        <f>IF(ActiveDatabase=Standby,Secondary!H1080,Primary!H1080)</f>
        <v>0</v>
      </c>
      <c r="I1080" s="13">
        <f>IF(ActiveDatabase=Standby,Secondary!I1080,Primary!I1080)</f>
        <v>0</v>
      </c>
      <c r="J1080" s="13">
        <f>IF(ActiveDatabase=Standby,Secondary!J1080,Primary!J1080)</f>
        <v>0</v>
      </c>
      <c r="K1080" s="13">
        <f>IF(ActiveDatabase=Standby,Secondary!K1080,Primary!K1080)</f>
        <v>0</v>
      </c>
      <c r="L1080" s="13">
        <f>IF(ActiveDatabase=Standby,Secondary!L1080,Primary!L1080)</f>
        <v>0</v>
      </c>
      <c r="M1080" s="7">
        <f>IF(ActiveDatabase=Standby,Secondary!M1080,Primary!M1080)</f>
        <v>0</v>
      </c>
      <c r="N1080" s="10">
        <f>IF(ActiveDatabase=Standby,Secondary!N1080,Primary!N1080)</f>
        <v>0</v>
      </c>
      <c r="O1080" s="10">
        <f>IF(ActiveDatabase=Standby,Secondary!O1080,Primary!O1080)</f>
        <v>0</v>
      </c>
      <c r="P1080" s="10">
        <f>IF(ActiveDatabase=Standby,Secondary!P1080,Primary!P1080)</f>
        <v>0</v>
      </c>
      <c r="Q1080" s="6">
        <f>IF(ActiveDatabase=Standby,Secondary!Q1080,Primary!Q1080)</f>
        <v>0</v>
      </c>
      <c r="R1080" s="18">
        <f>IF(ActiveDatabase=Standby,Secondary!R1080,Primary!R1080)</f>
        <v>0</v>
      </c>
      <c r="S1080" s="19">
        <f>IF(ActiveDatabase=Standby,Secondary!S1080,Primary!S1080)</f>
        <v>0</v>
      </c>
      <c r="T1080" s="10">
        <f>IF(ActiveDatabase=Standby,Secondary!T1080,Primary!T1080)</f>
        <v>0</v>
      </c>
      <c r="U1080" s="10">
        <f>IF(ActiveDatabase=Standby,Secondary!U1080,Primary!U1080)</f>
        <v>0</v>
      </c>
      <c r="V1080" s="10">
        <f>IF(ActiveDatabase=Standby,Secondary!V1080,Primary!V1080)</f>
        <v>0</v>
      </c>
      <c r="W1080" s="6">
        <f>IF(ActiveDatabase=Standby,Secondary!W1080,Primary!W1080)</f>
        <v>0</v>
      </c>
      <c r="X1080" s="6">
        <f>IF(ActiveDatabase=Standby,Secondary!X1080,Primary!X1080)</f>
        <v>0</v>
      </c>
      <c r="Y1080" s="7">
        <f>IF(ActiveDatabase=Standby,Secondary!Y1080,Primary!Y1738)</f>
        <v>0</v>
      </c>
      <c r="Z1080" s="7">
        <f>IF(ActiveDatabase=Standby,Secondary!Z1080,Primary!Z1738)</f>
        <v>0</v>
      </c>
      <c r="AA1080" s="7">
        <f>IF(ActiveDatabase=Standby,Secondary!AA1080,Primary!AA1738)</f>
        <v>0</v>
      </c>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7"/>
      <c r="BD1080" s="7"/>
      <c r="BE1080" s="7"/>
      <c r="BF1080" s="7"/>
      <c r="BG1080" s="7"/>
    </row>
    <row r="1081" customHeight="1" spans="1:59">
      <c r="A1081" s="9">
        <f>IF(ActiveDatabase=Standby,Secondary!A1081,Primary!A1081)</f>
        <v>0</v>
      </c>
      <c r="B1081" s="5">
        <f>IF(ActiveDatabase=Standby,Secondary!B1081,Primary!B1081)</f>
        <v>0</v>
      </c>
      <c r="C1081" s="5">
        <f>IF(ActiveDatabase=Standby,Secondary!C1081,Primary!C1081)</f>
        <v>0</v>
      </c>
      <c r="D1081" s="5">
        <f>IF(ActiveDatabase=Standby,Secondary!D1081,Primary!D1081)</f>
        <v>0</v>
      </c>
      <c r="E1081" s="6">
        <f>IF(ActiveDatabase=Standby,Secondary!E1081,Primary!E1081)</f>
        <v>0</v>
      </c>
      <c r="F1081" s="10">
        <f>IF(ActiveDatabase=Standby,Secondary!F1081,Primary!F1081)</f>
        <v>0</v>
      </c>
      <c r="G1081" s="10">
        <f>IF(ActiveDatabase=Standby,Secondary!G1081,Primary!G1081)</f>
        <v>0</v>
      </c>
      <c r="H1081" s="10">
        <f>IF(ActiveDatabase=Standby,Secondary!H1081,Primary!H1081)</f>
        <v>0</v>
      </c>
      <c r="I1081" s="13">
        <f>IF(ActiveDatabase=Standby,Secondary!I1081,Primary!I1081)</f>
        <v>0</v>
      </c>
      <c r="J1081" s="13">
        <f>IF(ActiveDatabase=Standby,Secondary!J1081,Primary!J1081)</f>
        <v>0</v>
      </c>
      <c r="K1081" s="13">
        <f>IF(ActiveDatabase=Standby,Secondary!K1081,Primary!K1081)</f>
        <v>0</v>
      </c>
      <c r="L1081" s="13">
        <f>IF(ActiveDatabase=Standby,Secondary!L1081,Primary!L1081)</f>
        <v>0</v>
      </c>
      <c r="M1081" s="7">
        <f>IF(ActiveDatabase=Standby,Secondary!M1081,Primary!M1081)</f>
        <v>0</v>
      </c>
      <c r="N1081" s="10">
        <f>IF(ActiveDatabase=Standby,Secondary!N1081,Primary!N1081)</f>
        <v>0</v>
      </c>
      <c r="O1081" s="10">
        <f>IF(ActiveDatabase=Standby,Secondary!O1081,Primary!O1081)</f>
        <v>0</v>
      </c>
      <c r="P1081" s="10">
        <f>IF(ActiveDatabase=Standby,Secondary!P1081,Primary!P1081)</f>
        <v>0</v>
      </c>
      <c r="Q1081" s="6">
        <f>IF(ActiveDatabase=Standby,Secondary!Q1081,Primary!Q1081)</f>
        <v>0</v>
      </c>
      <c r="R1081" s="18">
        <f>IF(ActiveDatabase=Standby,Secondary!R1081,Primary!R1081)</f>
        <v>0</v>
      </c>
      <c r="S1081" s="19">
        <f>IF(ActiveDatabase=Standby,Secondary!S1081,Primary!S1081)</f>
        <v>0</v>
      </c>
      <c r="T1081" s="10">
        <f>IF(ActiveDatabase=Standby,Secondary!T1081,Primary!T1081)</f>
        <v>0</v>
      </c>
      <c r="U1081" s="10">
        <f>IF(ActiveDatabase=Standby,Secondary!U1081,Primary!U1081)</f>
        <v>0</v>
      </c>
      <c r="V1081" s="10">
        <f>IF(ActiveDatabase=Standby,Secondary!V1081,Primary!V1081)</f>
        <v>0</v>
      </c>
      <c r="W1081" s="6">
        <f>IF(ActiveDatabase=Standby,Secondary!W1081,Primary!W1081)</f>
        <v>0</v>
      </c>
      <c r="X1081" s="6">
        <f>IF(ActiveDatabase=Standby,Secondary!X1081,Primary!X1081)</f>
        <v>0</v>
      </c>
      <c r="Y1081" s="7">
        <f>IF(ActiveDatabase=Standby,Secondary!Y1081,Primary!Y1739)</f>
        <v>0</v>
      </c>
      <c r="Z1081" s="7">
        <f>IF(ActiveDatabase=Standby,Secondary!Z1081,Primary!Z1739)</f>
        <v>0</v>
      </c>
      <c r="AA1081" s="7">
        <f>IF(ActiveDatabase=Standby,Secondary!AA1081,Primary!AA1739)</f>
        <v>0</v>
      </c>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row>
    <row r="1082" customHeight="1" spans="1:59">
      <c r="A1082" s="9">
        <f>IF(ActiveDatabase=Standby,Secondary!A1082,Primary!A1082)</f>
        <v>0</v>
      </c>
      <c r="B1082" s="5">
        <f>IF(ActiveDatabase=Standby,Secondary!B1082,Primary!B1082)</f>
        <v>0</v>
      </c>
      <c r="C1082" s="5">
        <f>IF(ActiveDatabase=Standby,Secondary!C1082,Primary!C1082)</f>
        <v>0</v>
      </c>
      <c r="D1082" s="5">
        <f>IF(ActiveDatabase=Standby,Secondary!D1082,Primary!D1082)</f>
        <v>0</v>
      </c>
      <c r="E1082" s="6">
        <f>IF(ActiveDatabase=Standby,Secondary!E1082,Primary!E1082)</f>
        <v>0</v>
      </c>
      <c r="F1082" s="10">
        <f>IF(ActiveDatabase=Standby,Secondary!F1082,Primary!F1082)</f>
        <v>0</v>
      </c>
      <c r="G1082" s="10">
        <f>IF(ActiveDatabase=Standby,Secondary!G1082,Primary!G1082)</f>
        <v>0</v>
      </c>
      <c r="H1082" s="10">
        <f>IF(ActiveDatabase=Standby,Secondary!H1082,Primary!H1082)</f>
        <v>0</v>
      </c>
      <c r="I1082" s="13">
        <f>IF(ActiveDatabase=Standby,Secondary!I1082,Primary!I1082)</f>
        <v>0</v>
      </c>
      <c r="J1082" s="13">
        <f>IF(ActiveDatabase=Standby,Secondary!J1082,Primary!J1082)</f>
        <v>0</v>
      </c>
      <c r="K1082" s="13">
        <f>IF(ActiveDatabase=Standby,Secondary!K1082,Primary!K1082)</f>
        <v>0</v>
      </c>
      <c r="L1082" s="13">
        <f>IF(ActiveDatabase=Standby,Secondary!L1082,Primary!L1082)</f>
        <v>0</v>
      </c>
      <c r="M1082" s="7">
        <f>IF(ActiveDatabase=Standby,Secondary!M1082,Primary!M1082)</f>
        <v>0</v>
      </c>
      <c r="N1082" s="10">
        <f>IF(ActiveDatabase=Standby,Secondary!N1082,Primary!N1082)</f>
        <v>0</v>
      </c>
      <c r="O1082" s="10">
        <f>IF(ActiveDatabase=Standby,Secondary!O1082,Primary!O1082)</f>
        <v>0</v>
      </c>
      <c r="P1082" s="10">
        <f>IF(ActiveDatabase=Standby,Secondary!P1082,Primary!P1082)</f>
        <v>0</v>
      </c>
      <c r="Q1082" s="6">
        <f>IF(ActiveDatabase=Standby,Secondary!Q1082,Primary!Q1082)</f>
        <v>0</v>
      </c>
      <c r="R1082" s="18">
        <f>IF(ActiveDatabase=Standby,Secondary!R1082,Primary!R1082)</f>
        <v>0</v>
      </c>
      <c r="S1082" s="19">
        <f>IF(ActiveDatabase=Standby,Secondary!S1082,Primary!S1082)</f>
        <v>0</v>
      </c>
      <c r="T1082" s="10">
        <f>IF(ActiveDatabase=Standby,Secondary!T1082,Primary!T1082)</f>
        <v>0</v>
      </c>
      <c r="U1082" s="10">
        <f>IF(ActiveDatabase=Standby,Secondary!U1082,Primary!U1082)</f>
        <v>0</v>
      </c>
      <c r="V1082" s="10">
        <f>IF(ActiveDatabase=Standby,Secondary!V1082,Primary!V1082)</f>
        <v>0</v>
      </c>
      <c r="W1082" s="6">
        <f>IF(ActiveDatabase=Standby,Secondary!W1082,Primary!W1082)</f>
        <v>0</v>
      </c>
      <c r="X1082" s="6">
        <f>IF(ActiveDatabase=Standby,Secondary!X1082,Primary!X1082)</f>
        <v>0</v>
      </c>
      <c r="Y1082" s="7">
        <f>IF(ActiveDatabase=Standby,Secondary!Y1082,Primary!Y1740)</f>
        <v>0</v>
      </c>
      <c r="Z1082" s="7">
        <f>IF(ActiveDatabase=Standby,Secondary!Z1082,Primary!Z1740)</f>
        <v>0</v>
      </c>
      <c r="AA1082" s="7">
        <f>IF(ActiveDatabase=Standby,Secondary!AA1082,Primary!AA1740)</f>
        <v>0</v>
      </c>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7"/>
      <c r="BD1082" s="7"/>
      <c r="BE1082" s="7"/>
      <c r="BF1082" s="7"/>
      <c r="BG1082" s="7"/>
    </row>
    <row r="1083" customHeight="1" spans="1:59">
      <c r="A1083" s="9">
        <f>IF(ActiveDatabase=Standby,Secondary!A1083,Primary!A1083)</f>
        <v>0</v>
      </c>
      <c r="B1083" s="5">
        <f>IF(ActiveDatabase=Standby,Secondary!B1083,Primary!B1083)</f>
        <v>0</v>
      </c>
      <c r="C1083" s="5">
        <f>IF(ActiveDatabase=Standby,Secondary!C1083,Primary!C1083)</f>
        <v>0</v>
      </c>
      <c r="D1083" s="5">
        <f>IF(ActiveDatabase=Standby,Secondary!D1083,Primary!D1083)</f>
        <v>0</v>
      </c>
      <c r="E1083" s="6">
        <f>IF(ActiveDatabase=Standby,Secondary!E1083,Primary!E1083)</f>
        <v>0</v>
      </c>
      <c r="F1083" s="10">
        <f>IF(ActiveDatabase=Standby,Secondary!F1083,Primary!F1083)</f>
        <v>0</v>
      </c>
      <c r="G1083" s="10">
        <f>IF(ActiveDatabase=Standby,Secondary!G1083,Primary!G1083)</f>
        <v>0</v>
      </c>
      <c r="H1083" s="10">
        <f>IF(ActiveDatabase=Standby,Secondary!H1083,Primary!H1083)</f>
        <v>0</v>
      </c>
      <c r="I1083" s="13">
        <f>IF(ActiveDatabase=Standby,Secondary!I1083,Primary!I1083)</f>
        <v>0</v>
      </c>
      <c r="J1083" s="13">
        <f>IF(ActiveDatabase=Standby,Secondary!J1083,Primary!J1083)</f>
        <v>0</v>
      </c>
      <c r="K1083" s="13">
        <f>IF(ActiveDatabase=Standby,Secondary!K1083,Primary!K1083)</f>
        <v>0</v>
      </c>
      <c r="L1083" s="13">
        <f>IF(ActiveDatabase=Standby,Secondary!L1083,Primary!L1083)</f>
        <v>0</v>
      </c>
      <c r="M1083" s="7">
        <f>IF(ActiveDatabase=Standby,Secondary!M1083,Primary!M1083)</f>
        <v>0</v>
      </c>
      <c r="N1083" s="10">
        <f>IF(ActiveDatabase=Standby,Secondary!N1083,Primary!N1083)</f>
        <v>0</v>
      </c>
      <c r="O1083" s="10">
        <f>IF(ActiveDatabase=Standby,Secondary!O1083,Primary!O1083)</f>
        <v>0</v>
      </c>
      <c r="P1083" s="10">
        <f>IF(ActiveDatabase=Standby,Secondary!P1083,Primary!P1083)</f>
        <v>0</v>
      </c>
      <c r="Q1083" s="6">
        <f>IF(ActiveDatabase=Standby,Secondary!Q1083,Primary!Q1083)</f>
        <v>0</v>
      </c>
      <c r="R1083" s="18">
        <f>IF(ActiveDatabase=Standby,Secondary!R1083,Primary!R1083)</f>
        <v>0</v>
      </c>
      <c r="S1083" s="19">
        <f>IF(ActiveDatabase=Standby,Secondary!S1083,Primary!S1083)</f>
        <v>0</v>
      </c>
      <c r="T1083" s="10">
        <f>IF(ActiveDatabase=Standby,Secondary!T1083,Primary!T1083)</f>
        <v>0</v>
      </c>
      <c r="U1083" s="10">
        <f>IF(ActiveDatabase=Standby,Secondary!U1083,Primary!U1083)</f>
        <v>0</v>
      </c>
      <c r="V1083" s="10">
        <f>IF(ActiveDatabase=Standby,Secondary!V1083,Primary!V1083)</f>
        <v>0</v>
      </c>
      <c r="W1083" s="6">
        <f>IF(ActiveDatabase=Standby,Secondary!W1083,Primary!W1083)</f>
        <v>0</v>
      </c>
      <c r="X1083" s="6">
        <f>IF(ActiveDatabase=Standby,Secondary!X1083,Primary!X1083)</f>
        <v>0</v>
      </c>
      <c r="Y1083" s="7">
        <f>IF(ActiveDatabase=Standby,Secondary!Y1083,Primary!Y1741)</f>
        <v>0</v>
      </c>
      <c r="Z1083" s="7">
        <f>IF(ActiveDatabase=Standby,Secondary!Z1083,Primary!Z1741)</f>
        <v>0</v>
      </c>
      <c r="AA1083" s="7">
        <f>IF(ActiveDatabase=Standby,Secondary!AA1083,Primary!AA1741)</f>
        <v>0</v>
      </c>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c r="AY1083" s="7"/>
      <c r="AZ1083" s="7"/>
      <c r="BA1083" s="7"/>
      <c r="BB1083" s="7"/>
      <c r="BC1083" s="7"/>
      <c r="BD1083" s="7"/>
      <c r="BE1083" s="7"/>
      <c r="BF1083" s="7"/>
      <c r="BG1083" s="7"/>
    </row>
    <row r="1084" customHeight="1" spans="1:59">
      <c r="A1084" s="9">
        <f>IF(ActiveDatabase=Standby,Secondary!A1084,Primary!A1084)</f>
        <v>0</v>
      </c>
      <c r="B1084" s="5">
        <f>IF(ActiveDatabase=Standby,Secondary!B1084,Primary!B1084)</f>
        <v>0</v>
      </c>
      <c r="C1084" s="5">
        <f>IF(ActiveDatabase=Standby,Secondary!C1084,Primary!C1084)</f>
        <v>0</v>
      </c>
      <c r="D1084" s="5">
        <f>IF(ActiveDatabase=Standby,Secondary!D1084,Primary!D1084)</f>
        <v>0</v>
      </c>
      <c r="E1084" s="6">
        <f>IF(ActiveDatabase=Standby,Secondary!E1084,Primary!E1084)</f>
        <v>0</v>
      </c>
      <c r="F1084" s="10">
        <f>IF(ActiveDatabase=Standby,Secondary!F1084,Primary!F1084)</f>
        <v>0</v>
      </c>
      <c r="G1084" s="10">
        <f>IF(ActiveDatabase=Standby,Secondary!G1084,Primary!G1084)</f>
        <v>0</v>
      </c>
      <c r="H1084" s="10">
        <f>IF(ActiveDatabase=Standby,Secondary!H1084,Primary!H1084)</f>
        <v>0</v>
      </c>
      <c r="I1084" s="13">
        <f>IF(ActiveDatabase=Standby,Secondary!I1084,Primary!I1084)</f>
        <v>0</v>
      </c>
      <c r="J1084" s="13">
        <f>IF(ActiveDatabase=Standby,Secondary!J1084,Primary!J1084)</f>
        <v>0</v>
      </c>
      <c r="K1084" s="13">
        <f>IF(ActiveDatabase=Standby,Secondary!K1084,Primary!K1084)</f>
        <v>0</v>
      </c>
      <c r="L1084" s="13">
        <f>IF(ActiveDatabase=Standby,Secondary!L1084,Primary!L1084)</f>
        <v>0</v>
      </c>
      <c r="M1084" s="7">
        <f>IF(ActiveDatabase=Standby,Secondary!M1084,Primary!M1084)</f>
        <v>0</v>
      </c>
      <c r="N1084" s="10">
        <f>IF(ActiveDatabase=Standby,Secondary!N1084,Primary!N1084)</f>
        <v>0</v>
      </c>
      <c r="O1084" s="10">
        <f>IF(ActiveDatabase=Standby,Secondary!O1084,Primary!O1084)</f>
        <v>0</v>
      </c>
      <c r="P1084" s="10">
        <f>IF(ActiveDatabase=Standby,Secondary!P1084,Primary!P1084)</f>
        <v>0</v>
      </c>
      <c r="Q1084" s="6">
        <f>IF(ActiveDatabase=Standby,Secondary!Q1084,Primary!Q1084)</f>
        <v>0</v>
      </c>
      <c r="R1084" s="18">
        <f>IF(ActiveDatabase=Standby,Secondary!R1084,Primary!R1084)</f>
        <v>0</v>
      </c>
      <c r="S1084" s="19">
        <f>IF(ActiveDatabase=Standby,Secondary!S1084,Primary!S1084)</f>
        <v>0</v>
      </c>
      <c r="T1084" s="10">
        <f>IF(ActiveDatabase=Standby,Secondary!T1084,Primary!T1084)</f>
        <v>0</v>
      </c>
      <c r="U1084" s="10">
        <f>IF(ActiveDatabase=Standby,Secondary!U1084,Primary!U1084)</f>
        <v>0</v>
      </c>
      <c r="V1084" s="10">
        <f>IF(ActiveDatabase=Standby,Secondary!V1084,Primary!V1084)</f>
        <v>0</v>
      </c>
      <c r="W1084" s="6">
        <f>IF(ActiveDatabase=Standby,Secondary!W1084,Primary!W1084)</f>
        <v>0</v>
      </c>
      <c r="X1084" s="6">
        <f>IF(ActiveDatabase=Standby,Secondary!X1084,Primary!X1084)</f>
        <v>0</v>
      </c>
      <c r="Y1084" s="7">
        <f>IF(ActiveDatabase=Standby,Secondary!Y1084,Primary!Y1742)</f>
        <v>0</v>
      </c>
      <c r="Z1084" s="7">
        <f>IF(ActiveDatabase=Standby,Secondary!Z1084,Primary!Z1742)</f>
        <v>0</v>
      </c>
      <c r="AA1084" s="7">
        <f>IF(ActiveDatabase=Standby,Secondary!AA1084,Primary!AA1742)</f>
        <v>0</v>
      </c>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c r="AY1084" s="7"/>
      <c r="AZ1084" s="7"/>
      <c r="BA1084" s="7"/>
      <c r="BB1084" s="7"/>
      <c r="BC1084" s="7"/>
      <c r="BD1084" s="7"/>
      <c r="BE1084" s="7"/>
      <c r="BF1084" s="7"/>
      <c r="BG1084" s="7"/>
    </row>
    <row r="1085" customHeight="1" spans="1:59">
      <c r="A1085" s="9">
        <f>IF(ActiveDatabase=Standby,Secondary!A1085,Primary!A1085)</f>
        <v>0</v>
      </c>
      <c r="B1085" s="5">
        <f>IF(ActiveDatabase=Standby,Secondary!B1085,Primary!B1085)</f>
        <v>0</v>
      </c>
      <c r="C1085" s="5">
        <f>IF(ActiveDatabase=Standby,Secondary!C1085,Primary!C1085)</f>
        <v>0</v>
      </c>
      <c r="D1085" s="5">
        <f>IF(ActiveDatabase=Standby,Secondary!D1085,Primary!D1085)</f>
        <v>0</v>
      </c>
      <c r="E1085" s="6">
        <f>IF(ActiveDatabase=Standby,Secondary!E1085,Primary!E1085)</f>
        <v>0</v>
      </c>
      <c r="F1085" s="10">
        <f>IF(ActiveDatabase=Standby,Secondary!F1085,Primary!F1085)</f>
        <v>0</v>
      </c>
      <c r="G1085" s="10">
        <f>IF(ActiveDatabase=Standby,Secondary!G1085,Primary!G1085)</f>
        <v>0</v>
      </c>
      <c r="H1085" s="10">
        <f>IF(ActiveDatabase=Standby,Secondary!H1085,Primary!H1085)</f>
        <v>0</v>
      </c>
      <c r="I1085" s="13">
        <f>IF(ActiveDatabase=Standby,Secondary!I1085,Primary!I1085)</f>
        <v>0</v>
      </c>
      <c r="J1085" s="13">
        <f>IF(ActiveDatabase=Standby,Secondary!J1085,Primary!J1085)</f>
        <v>0</v>
      </c>
      <c r="K1085" s="13">
        <f>IF(ActiveDatabase=Standby,Secondary!K1085,Primary!K1085)</f>
        <v>0</v>
      </c>
      <c r="L1085" s="13">
        <f>IF(ActiveDatabase=Standby,Secondary!L1085,Primary!L1085)</f>
        <v>0</v>
      </c>
      <c r="M1085" s="7">
        <f>IF(ActiveDatabase=Standby,Secondary!M1085,Primary!M1085)</f>
        <v>0</v>
      </c>
      <c r="N1085" s="10">
        <f>IF(ActiveDatabase=Standby,Secondary!N1085,Primary!N1085)</f>
        <v>0</v>
      </c>
      <c r="O1085" s="10">
        <f>IF(ActiveDatabase=Standby,Secondary!O1085,Primary!O1085)</f>
        <v>0</v>
      </c>
      <c r="P1085" s="10">
        <f>IF(ActiveDatabase=Standby,Secondary!P1085,Primary!P1085)</f>
        <v>0</v>
      </c>
      <c r="Q1085" s="6">
        <f>IF(ActiveDatabase=Standby,Secondary!Q1085,Primary!Q1085)</f>
        <v>0</v>
      </c>
      <c r="R1085" s="18">
        <f>IF(ActiveDatabase=Standby,Secondary!R1085,Primary!R1085)</f>
        <v>0</v>
      </c>
      <c r="S1085" s="19">
        <f>IF(ActiveDatabase=Standby,Secondary!S1085,Primary!S1085)</f>
        <v>0</v>
      </c>
      <c r="T1085" s="10">
        <f>IF(ActiveDatabase=Standby,Secondary!T1085,Primary!T1085)</f>
        <v>0</v>
      </c>
      <c r="U1085" s="10">
        <f>IF(ActiveDatabase=Standby,Secondary!U1085,Primary!U1085)</f>
        <v>0</v>
      </c>
      <c r="V1085" s="10">
        <f>IF(ActiveDatabase=Standby,Secondary!V1085,Primary!V1085)</f>
        <v>0</v>
      </c>
      <c r="W1085" s="6">
        <f>IF(ActiveDatabase=Standby,Secondary!W1085,Primary!W1085)</f>
        <v>0</v>
      </c>
      <c r="X1085" s="6">
        <f>IF(ActiveDatabase=Standby,Secondary!X1085,Primary!X1085)</f>
        <v>0</v>
      </c>
      <c r="Y1085" s="7">
        <f>IF(ActiveDatabase=Standby,Secondary!Y1085,Primary!Y1743)</f>
        <v>0</v>
      </c>
      <c r="Z1085" s="7">
        <f>IF(ActiveDatabase=Standby,Secondary!Z1085,Primary!Z1743)</f>
        <v>0</v>
      </c>
      <c r="AA1085" s="7">
        <f>IF(ActiveDatabase=Standby,Secondary!AA1085,Primary!AA1743)</f>
        <v>0</v>
      </c>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c r="AY1085" s="7"/>
      <c r="AZ1085" s="7"/>
      <c r="BA1085" s="7"/>
      <c r="BB1085" s="7"/>
      <c r="BC1085" s="7"/>
      <c r="BD1085" s="7"/>
      <c r="BE1085" s="7"/>
      <c r="BF1085" s="7"/>
      <c r="BG1085" s="7"/>
    </row>
    <row r="1086" customHeight="1" spans="1:59">
      <c r="A1086" s="9">
        <f>IF(ActiveDatabase=Standby,Secondary!A1086,Primary!A1086)</f>
        <v>0</v>
      </c>
      <c r="B1086" s="5">
        <f>IF(ActiveDatabase=Standby,Secondary!B1086,Primary!B1086)</f>
        <v>0</v>
      </c>
      <c r="C1086" s="5">
        <f>IF(ActiveDatabase=Standby,Secondary!C1086,Primary!C1086)</f>
        <v>0</v>
      </c>
      <c r="D1086" s="5">
        <f>IF(ActiveDatabase=Standby,Secondary!D1086,Primary!D1086)</f>
        <v>0</v>
      </c>
      <c r="E1086" s="6">
        <f>IF(ActiveDatabase=Standby,Secondary!E1086,Primary!E1086)</f>
        <v>0</v>
      </c>
      <c r="F1086" s="10">
        <f>IF(ActiveDatabase=Standby,Secondary!F1086,Primary!F1086)</f>
        <v>0</v>
      </c>
      <c r="G1086" s="10">
        <f>IF(ActiveDatabase=Standby,Secondary!G1086,Primary!G1086)</f>
        <v>0</v>
      </c>
      <c r="H1086" s="10">
        <f>IF(ActiveDatabase=Standby,Secondary!H1086,Primary!H1086)</f>
        <v>0</v>
      </c>
      <c r="I1086" s="13">
        <f>IF(ActiveDatabase=Standby,Secondary!I1086,Primary!I1086)</f>
        <v>0</v>
      </c>
      <c r="J1086" s="13">
        <f>IF(ActiveDatabase=Standby,Secondary!J1086,Primary!J1086)</f>
        <v>0</v>
      </c>
      <c r="K1086" s="13">
        <f>IF(ActiveDatabase=Standby,Secondary!K1086,Primary!K1086)</f>
        <v>0</v>
      </c>
      <c r="L1086" s="13">
        <f>IF(ActiveDatabase=Standby,Secondary!L1086,Primary!L1086)</f>
        <v>0</v>
      </c>
      <c r="M1086" s="7">
        <f>IF(ActiveDatabase=Standby,Secondary!M1086,Primary!M1086)</f>
        <v>0</v>
      </c>
      <c r="N1086" s="10">
        <f>IF(ActiveDatabase=Standby,Secondary!N1086,Primary!N1086)</f>
        <v>0</v>
      </c>
      <c r="O1086" s="10">
        <f>IF(ActiveDatabase=Standby,Secondary!O1086,Primary!O1086)</f>
        <v>0</v>
      </c>
      <c r="P1086" s="10">
        <f>IF(ActiveDatabase=Standby,Secondary!P1086,Primary!P1086)</f>
        <v>0</v>
      </c>
      <c r="Q1086" s="6">
        <f>IF(ActiveDatabase=Standby,Secondary!Q1086,Primary!Q1086)</f>
        <v>0</v>
      </c>
      <c r="R1086" s="18">
        <f>IF(ActiveDatabase=Standby,Secondary!R1086,Primary!R1086)</f>
        <v>0</v>
      </c>
      <c r="S1086" s="19">
        <f>IF(ActiveDatabase=Standby,Secondary!S1086,Primary!S1086)</f>
        <v>0</v>
      </c>
      <c r="T1086" s="10">
        <f>IF(ActiveDatabase=Standby,Secondary!T1086,Primary!T1086)</f>
        <v>0</v>
      </c>
      <c r="U1086" s="10">
        <f>IF(ActiveDatabase=Standby,Secondary!U1086,Primary!U1086)</f>
        <v>0</v>
      </c>
      <c r="V1086" s="10">
        <f>IF(ActiveDatabase=Standby,Secondary!V1086,Primary!V1086)</f>
        <v>0</v>
      </c>
      <c r="W1086" s="6">
        <f>IF(ActiveDatabase=Standby,Secondary!W1086,Primary!W1086)</f>
        <v>0</v>
      </c>
      <c r="X1086" s="6">
        <f>IF(ActiveDatabase=Standby,Secondary!X1086,Primary!X1086)</f>
        <v>0</v>
      </c>
      <c r="Y1086" s="7">
        <f>IF(ActiveDatabase=Standby,Secondary!Y1086,Primary!Y1744)</f>
        <v>0</v>
      </c>
      <c r="Z1086" s="7">
        <f>IF(ActiveDatabase=Standby,Secondary!Z1086,Primary!Z1744)</f>
        <v>0</v>
      </c>
      <c r="AA1086" s="7">
        <f>IF(ActiveDatabase=Standby,Secondary!AA1086,Primary!AA1744)</f>
        <v>0</v>
      </c>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c r="AY1086" s="7"/>
      <c r="AZ1086" s="7"/>
      <c r="BA1086" s="7"/>
      <c r="BB1086" s="7"/>
      <c r="BC1086" s="7"/>
      <c r="BD1086" s="7"/>
      <c r="BE1086" s="7"/>
      <c r="BF1086" s="7"/>
      <c r="BG1086" s="7"/>
    </row>
    <row r="1087" customHeight="1" spans="1:59">
      <c r="A1087" s="9">
        <f>IF(ActiveDatabase=Standby,Secondary!A1087,Primary!A1087)</f>
        <v>0</v>
      </c>
      <c r="B1087" s="5">
        <f>IF(ActiveDatabase=Standby,Secondary!B1087,Primary!B1087)</f>
        <v>0</v>
      </c>
      <c r="C1087" s="5">
        <f>IF(ActiveDatabase=Standby,Secondary!C1087,Primary!C1087)</f>
        <v>0</v>
      </c>
      <c r="D1087" s="5">
        <f>IF(ActiveDatabase=Standby,Secondary!D1087,Primary!D1087)</f>
        <v>0</v>
      </c>
      <c r="E1087" s="6">
        <f>IF(ActiveDatabase=Standby,Secondary!E1087,Primary!E1087)</f>
        <v>0</v>
      </c>
      <c r="F1087" s="10">
        <f>IF(ActiveDatabase=Standby,Secondary!F1087,Primary!F1087)</f>
        <v>0</v>
      </c>
      <c r="G1087" s="10">
        <f>IF(ActiveDatabase=Standby,Secondary!G1087,Primary!G1087)</f>
        <v>0</v>
      </c>
      <c r="H1087" s="10">
        <f>IF(ActiveDatabase=Standby,Secondary!H1087,Primary!H1087)</f>
        <v>0</v>
      </c>
      <c r="I1087" s="13">
        <f>IF(ActiveDatabase=Standby,Secondary!I1087,Primary!I1087)</f>
        <v>0</v>
      </c>
      <c r="J1087" s="13">
        <f>IF(ActiveDatabase=Standby,Secondary!J1087,Primary!J1087)</f>
        <v>0</v>
      </c>
      <c r="K1087" s="13">
        <f>IF(ActiveDatabase=Standby,Secondary!K1087,Primary!K1087)</f>
        <v>0</v>
      </c>
      <c r="L1087" s="13">
        <f>IF(ActiveDatabase=Standby,Secondary!L1087,Primary!L1087)</f>
        <v>0</v>
      </c>
      <c r="M1087" s="7">
        <f>IF(ActiveDatabase=Standby,Secondary!M1087,Primary!M1087)</f>
        <v>0</v>
      </c>
      <c r="N1087" s="10">
        <f>IF(ActiveDatabase=Standby,Secondary!N1087,Primary!N1087)</f>
        <v>0</v>
      </c>
      <c r="O1087" s="10">
        <f>IF(ActiveDatabase=Standby,Secondary!O1087,Primary!O1087)</f>
        <v>0</v>
      </c>
      <c r="P1087" s="10">
        <f>IF(ActiveDatabase=Standby,Secondary!P1087,Primary!P1087)</f>
        <v>0</v>
      </c>
      <c r="Q1087" s="6">
        <f>IF(ActiveDatabase=Standby,Secondary!Q1087,Primary!Q1087)</f>
        <v>0</v>
      </c>
      <c r="R1087" s="18">
        <f>IF(ActiveDatabase=Standby,Secondary!R1087,Primary!R1087)</f>
        <v>0</v>
      </c>
      <c r="S1087" s="19">
        <f>IF(ActiveDatabase=Standby,Secondary!S1087,Primary!S1087)</f>
        <v>0</v>
      </c>
      <c r="T1087" s="10">
        <f>IF(ActiveDatabase=Standby,Secondary!T1087,Primary!T1087)</f>
        <v>0</v>
      </c>
      <c r="U1087" s="10">
        <f>IF(ActiveDatabase=Standby,Secondary!U1087,Primary!U1087)</f>
        <v>0</v>
      </c>
      <c r="V1087" s="10">
        <f>IF(ActiveDatabase=Standby,Secondary!V1087,Primary!V1087)</f>
        <v>0</v>
      </c>
      <c r="W1087" s="6">
        <f>IF(ActiveDatabase=Standby,Secondary!W1087,Primary!W1087)</f>
        <v>0</v>
      </c>
      <c r="X1087" s="6">
        <f>IF(ActiveDatabase=Standby,Secondary!X1087,Primary!X1087)</f>
        <v>0</v>
      </c>
      <c r="Y1087" s="7">
        <f>IF(ActiveDatabase=Standby,Secondary!Y1087,Primary!Y1745)</f>
        <v>0</v>
      </c>
      <c r="Z1087" s="7">
        <f>IF(ActiveDatabase=Standby,Secondary!Z1087,Primary!Z1745)</f>
        <v>0</v>
      </c>
      <c r="AA1087" s="7">
        <f>IF(ActiveDatabase=Standby,Secondary!AA1087,Primary!AA1745)</f>
        <v>0</v>
      </c>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c r="AY1087" s="7"/>
      <c r="AZ1087" s="7"/>
      <c r="BA1087" s="7"/>
      <c r="BB1087" s="7"/>
      <c r="BC1087" s="7"/>
      <c r="BD1087" s="7"/>
      <c r="BE1087" s="7"/>
      <c r="BF1087" s="7"/>
      <c r="BG1087" s="7"/>
    </row>
    <row r="1088" customHeight="1" spans="1:59">
      <c r="A1088" s="9">
        <f>IF(ActiveDatabase=Standby,Secondary!A1088,Primary!A1088)</f>
        <v>0</v>
      </c>
      <c r="B1088" s="5">
        <f>IF(ActiveDatabase=Standby,Secondary!B1088,Primary!B1088)</f>
        <v>0</v>
      </c>
      <c r="C1088" s="5">
        <f>IF(ActiveDatabase=Standby,Secondary!C1088,Primary!C1088)</f>
        <v>0</v>
      </c>
      <c r="D1088" s="5">
        <f>IF(ActiveDatabase=Standby,Secondary!D1088,Primary!D1088)</f>
        <v>0</v>
      </c>
      <c r="E1088" s="6">
        <f>IF(ActiveDatabase=Standby,Secondary!E1088,Primary!E1088)</f>
        <v>0</v>
      </c>
      <c r="F1088" s="10">
        <f>IF(ActiveDatabase=Standby,Secondary!F1088,Primary!F1088)</f>
        <v>0</v>
      </c>
      <c r="G1088" s="10">
        <f>IF(ActiveDatabase=Standby,Secondary!G1088,Primary!G1088)</f>
        <v>0</v>
      </c>
      <c r="H1088" s="10">
        <f>IF(ActiveDatabase=Standby,Secondary!H1088,Primary!H1088)</f>
        <v>0</v>
      </c>
      <c r="I1088" s="13">
        <f>IF(ActiveDatabase=Standby,Secondary!I1088,Primary!I1088)</f>
        <v>0</v>
      </c>
      <c r="J1088" s="13">
        <f>IF(ActiveDatabase=Standby,Secondary!J1088,Primary!J1088)</f>
        <v>0</v>
      </c>
      <c r="K1088" s="13">
        <f>IF(ActiveDatabase=Standby,Secondary!K1088,Primary!K1088)</f>
        <v>0</v>
      </c>
      <c r="L1088" s="13">
        <f>IF(ActiveDatabase=Standby,Secondary!L1088,Primary!L1088)</f>
        <v>0</v>
      </c>
      <c r="M1088" s="7">
        <f>IF(ActiveDatabase=Standby,Secondary!M1088,Primary!M1088)</f>
        <v>0</v>
      </c>
      <c r="N1088" s="10">
        <f>IF(ActiveDatabase=Standby,Secondary!N1088,Primary!N1088)</f>
        <v>0</v>
      </c>
      <c r="O1088" s="10">
        <f>IF(ActiveDatabase=Standby,Secondary!O1088,Primary!O1088)</f>
        <v>0</v>
      </c>
      <c r="P1088" s="10">
        <f>IF(ActiveDatabase=Standby,Secondary!P1088,Primary!P1088)</f>
        <v>0</v>
      </c>
      <c r="Q1088" s="6">
        <f>IF(ActiveDatabase=Standby,Secondary!Q1088,Primary!Q1088)</f>
        <v>0</v>
      </c>
      <c r="R1088" s="18">
        <f>IF(ActiveDatabase=Standby,Secondary!R1088,Primary!R1088)</f>
        <v>0</v>
      </c>
      <c r="S1088" s="19">
        <f>IF(ActiveDatabase=Standby,Secondary!S1088,Primary!S1088)</f>
        <v>0</v>
      </c>
      <c r="T1088" s="10">
        <f>IF(ActiveDatabase=Standby,Secondary!T1088,Primary!T1088)</f>
        <v>0</v>
      </c>
      <c r="U1088" s="10">
        <f>IF(ActiveDatabase=Standby,Secondary!U1088,Primary!U1088)</f>
        <v>0</v>
      </c>
      <c r="V1088" s="10">
        <f>IF(ActiveDatabase=Standby,Secondary!V1088,Primary!V1088)</f>
        <v>0</v>
      </c>
      <c r="W1088" s="6">
        <f>IF(ActiveDatabase=Standby,Secondary!W1088,Primary!W1088)</f>
        <v>0</v>
      </c>
      <c r="X1088" s="6">
        <f>IF(ActiveDatabase=Standby,Secondary!X1088,Primary!X1088)</f>
        <v>0</v>
      </c>
      <c r="Y1088" s="7">
        <f>IF(ActiveDatabase=Standby,Secondary!Y1088,Primary!Y1746)</f>
        <v>0</v>
      </c>
      <c r="Z1088" s="7">
        <f>IF(ActiveDatabase=Standby,Secondary!Z1088,Primary!Z1746)</f>
        <v>0</v>
      </c>
      <c r="AA1088" s="7">
        <f>IF(ActiveDatabase=Standby,Secondary!AA1088,Primary!AA1746)</f>
        <v>0</v>
      </c>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c r="AY1088" s="7"/>
      <c r="AZ1088" s="7"/>
      <c r="BA1088" s="7"/>
      <c r="BB1088" s="7"/>
      <c r="BC1088" s="7"/>
      <c r="BD1088" s="7"/>
      <c r="BE1088" s="7"/>
      <c r="BF1088" s="7"/>
      <c r="BG1088" s="7"/>
    </row>
    <row r="1089" customHeight="1" spans="1:59">
      <c r="A1089" s="9">
        <f>IF(ActiveDatabase=Standby,Secondary!A1089,Primary!A1089)</f>
        <v>0</v>
      </c>
      <c r="B1089" s="5">
        <f>IF(ActiveDatabase=Standby,Secondary!B1089,Primary!B1089)</f>
        <v>0</v>
      </c>
      <c r="C1089" s="5">
        <f>IF(ActiveDatabase=Standby,Secondary!C1089,Primary!C1089)</f>
        <v>0</v>
      </c>
      <c r="D1089" s="5">
        <f>IF(ActiveDatabase=Standby,Secondary!D1089,Primary!D1089)</f>
        <v>0</v>
      </c>
      <c r="E1089" s="6">
        <f>IF(ActiveDatabase=Standby,Secondary!E1089,Primary!E1089)</f>
        <v>0</v>
      </c>
      <c r="F1089" s="10">
        <f>IF(ActiveDatabase=Standby,Secondary!F1089,Primary!F1089)</f>
        <v>0</v>
      </c>
      <c r="G1089" s="10">
        <f>IF(ActiveDatabase=Standby,Secondary!G1089,Primary!G1089)</f>
        <v>0</v>
      </c>
      <c r="H1089" s="10">
        <f>IF(ActiveDatabase=Standby,Secondary!H1089,Primary!H1089)</f>
        <v>0</v>
      </c>
      <c r="I1089" s="13">
        <f>IF(ActiveDatabase=Standby,Secondary!I1089,Primary!I1089)</f>
        <v>0</v>
      </c>
      <c r="J1089" s="13">
        <f>IF(ActiveDatabase=Standby,Secondary!J1089,Primary!J1089)</f>
        <v>0</v>
      </c>
      <c r="K1089" s="13">
        <f>IF(ActiveDatabase=Standby,Secondary!K1089,Primary!K1089)</f>
        <v>0</v>
      </c>
      <c r="L1089" s="13">
        <f>IF(ActiveDatabase=Standby,Secondary!L1089,Primary!L1089)</f>
        <v>0</v>
      </c>
      <c r="M1089" s="7">
        <f>IF(ActiveDatabase=Standby,Secondary!M1089,Primary!M1089)</f>
        <v>0</v>
      </c>
      <c r="N1089" s="10">
        <f>IF(ActiveDatabase=Standby,Secondary!N1089,Primary!N1089)</f>
        <v>0</v>
      </c>
      <c r="O1089" s="10">
        <f>IF(ActiveDatabase=Standby,Secondary!O1089,Primary!O1089)</f>
        <v>0</v>
      </c>
      <c r="P1089" s="10">
        <f>IF(ActiveDatabase=Standby,Secondary!P1089,Primary!P1089)</f>
        <v>0</v>
      </c>
      <c r="Q1089" s="6">
        <f>IF(ActiveDatabase=Standby,Secondary!Q1089,Primary!Q1089)</f>
        <v>0</v>
      </c>
      <c r="R1089" s="18">
        <f>IF(ActiveDatabase=Standby,Secondary!R1089,Primary!R1089)</f>
        <v>0</v>
      </c>
      <c r="S1089" s="19">
        <f>IF(ActiveDatabase=Standby,Secondary!S1089,Primary!S1089)</f>
        <v>0</v>
      </c>
      <c r="T1089" s="10">
        <f>IF(ActiveDatabase=Standby,Secondary!T1089,Primary!T1089)</f>
        <v>0</v>
      </c>
      <c r="U1089" s="10">
        <f>IF(ActiveDatabase=Standby,Secondary!U1089,Primary!U1089)</f>
        <v>0</v>
      </c>
      <c r="V1089" s="10">
        <f>IF(ActiveDatabase=Standby,Secondary!V1089,Primary!V1089)</f>
        <v>0</v>
      </c>
      <c r="W1089" s="6">
        <f>IF(ActiveDatabase=Standby,Secondary!W1089,Primary!W1089)</f>
        <v>0</v>
      </c>
      <c r="X1089" s="6">
        <f>IF(ActiveDatabase=Standby,Secondary!X1089,Primary!X1089)</f>
        <v>0</v>
      </c>
      <c r="Y1089" s="7">
        <f>IF(ActiveDatabase=Standby,Secondary!Y1089,Primary!Y1747)</f>
        <v>0</v>
      </c>
      <c r="Z1089" s="7">
        <f>IF(ActiveDatabase=Standby,Secondary!Z1089,Primary!Z1747)</f>
        <v>0</v>
      </c>
      <c r="AA1089" s="7">
        <f>IF(ActiveDatabase=Standby,Secondary!AA1089,Primary!AA1747)</f>
        <v>0</v>
      </c>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c r="AY1089" s="7"/>
      <c r="AZ1089" s="7"/>
      <c r="BA1089" s="7"/>
      <c r="BB1089" s="7"/>
      <c r="BC1089" s="7"/>
      <c r="BD1089" s="7"/>
      <c r="BE1089" s="7"/>
      <c r="BF1089" s="7"/>
      <c r="BG1089" s="7"/>
    </row>
    <row r="1090" customHeight="1" spans="1:59">
      <c r="A1090" s="9">
        <f>IF(ActiveDatabase=Standby,Secondary!A1090,Primary!A1090)</f>
        <v>0</v>
      </c>
      <c r="B1090" s="5">
        <f>IF(ActiveDatabase=Standby,Secondary!B1090,Primary!B1090)</f>
        <v>0</v>
      </c>
      <c r="C1090" s="5">
        <f>IF(ActiveDatabase=Standby,Secondary!C1090,Primary!C1090)</f>
        <v>0</v>
      </c>
      <c r="D1090" s="5">
        <f>IF(ActiveDatabase=Standby,Secondary!D1090,Primary!D1090)</f>
        <v>0</v>
      </c>
      <c r="E1090" s="6">
        <f>IF(ActiveDatabase=Standby,Secondary!E1090,Primary!E1090)</f>
        <v>0</v>
      </c>
      <c r="F1090" s="10">
        <f>IF(ActiveDatabase=Standby,Secondary!F1090,Primary!F1090)</f>
        <v>0</v>
      </c>
      <c r="G1090" s="10">
        <f>IF(ActiveDatabase=Standby,Secondary!G1090,Primary!G1090)</f>
        <v>0</v>
      </c>
      <c r="H1090" s="10">
        <f>IF(ActiveDatabase=Standby,Secondary!H1090,Primary!H1090)</f>
        <v>0</v>
      </c>
      <c r="I1090" s="13">
        <f>IF(ActiveDatabase=Standby,Secondary!I1090,Primary!I1090)</f>
        <v>0</v>
      </c>
      <c r="J1090" s="13">
        <f>IF(ActiveDatabase=Standby,Secondary!J1090,Primary!J1090)</f>
        <v>0</v>
      </c>
      <c r="K1090" s="13">
        <f>IF(ActiveDatabase=Standby,Secondary!K1090,Primary!K1090)</f>
        <v>0</v>
      </c>
      <c r="L1090" s="13">
        <f>IF(ActiveDatabase=Standby,Secondary!L1090,Primary!L1090)</f>
        <v>0</v>
      </c>
      <c r="M1090" s="7">
        <f>IF(ActiveDatabase=Standby,Secondary!M1090,Primary!M1090)</f>
        <v>0</v>
      </c>
      <c r="N1090" s="10">
        <f>IF(ActiveDatabase=Standby,Secondary!N1090,Primary!N1090)</f>
        <v>0</v>
      </c>
      <c r="O1090" s="10">
        <f>IF(ActiveDatabase=Standby,Secondary!O1090,Primary!O1090)</f>
        <v>0</v>
      </c>
      <c r="P1090" s="10">
        <f>IF(ActiveDatabase=Standby,Secondary!P1090,Primary!P1090)</f>
        <v>0</v>
      </c>
      <c r="Q1090" s="6">
        <f>IF(ActiveDatabase=Standby,Secondary!Q1090,Primary!Q1090)</f>
        <v>0</v>
      </c>
      <c r="R1090" s="18">
        <f>IF(ActiveDatabase=Standby,Secondary!R1090,Primary!R1090)</f>
        <v>0</v>
      </c>
      <c r="S1090" s="19">
        <f>IF(ActiveDatabase=Standby,Secondary!S1090,Primary!S1090)</f>
        <v>0</v>
      </c>
      <c r="T1090" s="10">
        <f>IF(ActiveDatabase=Standby,Secondary!T1090,Primary!T1090)</f>
        <v>0</v>
      </c>
      <c r="U1090" s="10">
        <f>IF(ActiveDatabase=Standby,Secondary!U1090,Primary!U1090)</f>
        <v>0</v>
      </c>
      <c r="V1090" s="10">
        <f>IF(ActiveDatabase=Standby,Secondary!V1090,Primary!V1090)</f>
        <v>0</v>
      </c>
      <c r="W1090" s="6">
        <f>IF(ActiveDatabase=Standby,Secondary!W1090,Primary!W1090)</f>
        <v>0</v>
      </c>
      <c r="X1090" s="6">
        <f>IF(ActiveDatabase=Standby,Secondary!X1090,Primary!X1090)</f>
        <v>0</v>
      </c>
      <c r="Y1090" s="7">
        <f>IF(ActiveDatabase=Standby,Secondary!Y1090,Primary!Y1748)</f>
        <v>0</v>
      </c>
      <c r="Z1090" s="7">
        <f>IF(ActiveDatabase=Standby,Secondary!Z1090,Primary!Z1748)</f>
        <v>0</v>
      </c>
      <c r="AA1090" s="7">
        <f>IF(ActiveDatabase=Standby,Secondary!AA1090,Primary!AA1748)</f>
        <v>0</v>
      </c>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c r="AY1090" s="7"/>
      <c r="AZ1090" s="7"/>
      <c r="BA1090" s="7"/>
      <c r="BB1090" s="7"/>
      <c r="BC1090" s="7"/>
      <c r="BD1090" s="7"/>
      <c r="BE1090" s="7"/>
      <c r="BF1090" s="7"/>
      <c r="BG1090" s="7"/>
    </row>
    <row r="1091" customHeight="1" spans="1:59">
      <c r="A1091" s="9">
        <f>IF(ActiveDatabase=Standby,Secondary!A1091,Primary!A1091)</f>
        <v>0</v>
      </c>
      <c r="B1091" s="5">
        <f>IF(ActiveDatabase=Standby,Secondary!B1091,Primary!B1091)</f>
        <v>0</v>
      </c>
      <c r="C1091" s="5">
        <f>IF(ActiveDatabase=Standby,Secondary!C1091,Primary!C1091)</f>
        <v>0</v>
      </c>
      <c r="D1091" s="5">
        <f>IF(ActiveDatabase=Standby,Secondary!D1091,Primary!D1091)</f>
        <v>0</v>
      </c>
      <c r="E1091" s="6">
        <f>IF(ActiveDatabase=Standby,Secondary!E1091,Primary!E1091)</f>
        <v>0</v>
      </c>
      <c r="F1091" s="10">
        <f>IF(ActiveDatabase=Standby,Secondary!F1091,Primary!F1091)</f>
        <v>0</v>
      </c>
      <c r="G1091" s="10">
        <f>IF(ActiveDatabase=Standby,Secondary!G1091,Primary!G1091)</f>
        <v>0</v>
      </c>
      <c r="H1091" s="10">
        <f>IF(ActiveDatabase=Standby,Secondary!H1091,Primary!H1091)</f>
        <v>0</v>
      </c>
      <c r="I1091" s="13">
        <f>IF(ActiveDatabase=Standby,Secondary!I1091,Primary!I1091)</f>
        <v>0</v>
      </c>
      <c r="J1091" s="13">
        <f>IF(ActiveDatabase=Standby,Secondary!J1091,Primary!J1091)</f>
        <v>0</v>
      </c>
      <c r="K1091" s="13">
        <f>IF(ActiveDatabase=Standby,Secondary!K1091,Primary!K1091)</f>
        <v>0</v>
      </c>
      <c r="L1091" s="13">
        <f>IF(ActiveDatabase=Standby,Secondary!L1091,Primary!L1091)</f>
        <v>0</v>
      </c>
      <c r="M1091" s="7">
        <f>IF(ActiveDatabase=Standby,Secondary!M1091,Primary!M1091)</f>
        <v>0</v>
      </c>
      <c r="N1091" s="10">
        <f>IF(ActiveDatabase=Standby,Secondary!N1091,Primary!N1091)</f>
        <v>0</v>
      </c>
      <c r="O1091" s="10">
        <f>IF(ActiveDatabase=Standby,Secondary!O1091,Primary!O1091)</f>
        <v>0</v>
      </c>
      <c r="P1091" s="10">
        <f>IF(ActiveDatabase=Standby,Secondary!P1091,Primary!P1091)</f>
        <v>0</v>
      </c>
      <c r="Q1091" s="6">
        <f>IF(ActiveDatabase=Standby,Secondary!Q1091,Primary!Q1091)</f>
        <v>0</v>
      </c>
      <c r="R1091" s="18">
        <f>IF(ActiveDatabase=Standby,Secondary!R1091,Primary!R1091)</f>
        <v>0</v>
      </c>
      <c r="S1091" s="19">
        <f>IF(ActiveDatabase=Standby,Secondary!S1091,Primary!S1091)</f>
        <v>0</v>
      </c>
      <c r="T1091" s="10">
        <f>IF(ActiveDatabase=Standby,Secondary!T1091,Primary!T1091)</f>
        <v>0</v>
      </c>
      <c r="U1091" s="10">
        <f>IF(ActiveDatabase=Standby,Secondary!U1091,Primary!U1091)</f>
        <v>0</v>
      </c>
      <c r="V1091" s="10">
        <f>IF(ActiveDatabase=Standby,Secondary!V1091,Primary!V1091)</f>
        <v>0</v>
      </c>
      <c r="W1091" s="6">
        <f>IF(ActiveDatabase=Standby,Secondary!W1091,Primary!W1091)</f>
        <v>0</v>
      </c>
      <c r="X1091" s="6">
        <f>IF(ActiveDatabase=Standby,Secondary!X1091,Primary!X1091)</f>
        <v>0</v>
      </c>
      <c r="Y1091" s="7">
        <f>IF(ActiveDatabase=Standby,Secondary!Y1091,Primary!Y1749)</f>
        <v>0</v>
      </c>
      <c r="Z1091" s="7">
        <f>IF(ActiveDatabase=Standby,Secondary!Z1091,Primary!Z1749)</f>
        <v>0</v>
      </c>
      <c r="AA1091" s="7">
        <f>IF(ActiveDatabase=Standby,Secondary!AA1091,Primary!AA1749)</f>
        <v>0</v>
      </c>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7"/>
      <c r="BD1091" s="7"/>
      <c r="BE1091" s="7"/>
      <c r="BF1091" s="7"/>
      <c r="BG1091" s="7"/>
    </row>
    <row r="1092" customHeight="1" spans="1:59">
      <c r="A1092" s="9">
        <f>IF(ActiveDatabase=Standby,Secondary!A1092,Primary!A1092)</f>
        <v>0</v>
      </c>
      <c r="B1092" s="5">
        <f>IF(ActiveDatabase=Standby,Secondary!B1092,Primary!B1092)</f>
        <v>0</v>
      </c>
      <c r="C1092" s="5">
        <f>IF(ActiveDatabase=Standby,Secondary!C1092,Primary!C1092)</f>
        <v>0</v>
      </c>
      <c r="D1092" s="5">
        <f>IF(ActiveDatabase=Standby,Secondary!D1092,Primary!D1092)</f>
        <v>0</v>
      </c>
      <c r="E1092" s="6">
        <f>IF(ActiveDatabase=Standby,Secondary!E1092,Primary!E1092)</f>
        <v>0</v>
      </c>
      <c r="F1092" s="10">
        <f>IF(ActiveDatabase=Standby,Secondary!F1092,Primary!F1092)</f>
        <v>0</v>
      </c>
      <c r="G1092" s="10">
        <f>IF(ActiveDatabase=Standby,Secondary!G1092,Primary!G1092)</f>
        <v>0</v>
      </c>
      <c r="H1092" s="10">
        <f>IF(ActiveDatabase=Standby,Secondary!H1092,Primary!H1092)</f>
        <v>0</v>
      </c>
      <c r="I1092" s="13">
        <f>IF(ActiveDatabase=Standby,Secondary!I1092,Primary!I1092)</f>
        <v>0</v>
      </c>
      <c r="J1092" s="13">
        <f>IF(ActiveDatabase=Standby,Secondary!J1092,Primary!J1092)</f>
        <v>0</v>
      </c>
      <c r="K1092" s="13">
        <f>IF(ActiveDatabase=Standby,Secondary!K1092,Primary!K1092)</f>
        <v>0</v>
      </c>
      <c r="L1092" s="13">
        <f>IF(ActiveDatabase=Standby,Secondary!L1092,Primary!L1092)</f>
        <v>0</v>
      </c>
      <c r="M1092" s="7">
        <f>IF(ActiveDatabase=Standby,Secondary!M1092,Primary!M1092)</f>
        <v>0</v>
      </c>
      <c r="N1092" s="10">
        <f>IF(ActiveDatabase=Standby,Secondary!N1092,Primary!N1092)</f>
        <v>0</v>
      </c>
      <c r="O1092" s="10">
        <f>IF(ActiveDatabase=Standby,Secondary!O1092,Primary!O1092)</f>
        <v>0</v>
      </c>
      <c r="P1092" s="10">
        <f>IF(ActiveDatabase=Standby,Secondary!P1092,Primary!P1092)</f>
        <v>0</v>
      </c>
      <c r="Q1092" s="6">
        <f>IF(ActiveDatabase=Standby,Secondary!Q1092,Primary!Q1092)</f>
        <v>0</v>
      </c>
      <c r="R1092" s="18">
        <f>IF(ActiveDatabase=Standby,Secondary!R1092,Primary!R1092)</f>
        <v>0</v>
      </c>
      <c r="S1092" s="19">
        <f>IF(ActiveDatabase=Standby,Secondary!S1092,Primary!S1092)</f>
        <v>0</v>
      </c>
      <c r="T1092" s="10">
        <f>IF(ActiveDatabase=Standby,Secondary!T1092,Primary!T1092)</f>
        <v>0</v>
      </c>
      <c r="U1092" s="10">
        <f>IF(ActiveDatabase=Standby,Secondary!U1092,Primary!U1092)</f>
        <v>0</v>
      </c>
      <c r="V1092" s="10">
        <f>IF(ActiveDatabase=Standby,Secondary!V1092,Primary!V1092)</f>
        <v>0</v>
      </c>
      <c r="W1092" s="6">
        <f>IF(ActiveDatabase=Standby,Secondary!W1092,Primary!W1092)</f>
        <v>0</v>
      </c>
      <c r="X1092" s="6">
        <f>IF(ActiveDatabase=Standby,Secondary!X1092,Primary!X1092)</f>
        <v>0</v>
      </c>
      <c r="Y1092" s="7">
        <f>IF(ActiveDatabase=Standby,Secondary!Y1092,Primary!Y1750)</f>
        <v>0</v>
      </c>
      <c r="Z1092" s="7">
        <f>IF(ActiveDatabase=Standby,Secondary!Z1092,Primary!Z1750)</f>
        <v>0</v>
      </c>
      <c r="AA1092" s="7">
        <f>IF(ActiveDatabase=Standby,Secondary!AA1092,Primary!AA1750)</f>
        <v>0</v>
      </c>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7"/>
      <c r="BD1092" s="7"/>
      <c r="BE1092" s="7"/>
      <c r="BF1092" s="7"/>
      <c r="BG1092" s="7"/>
    </row>
    <row r="1093" customHeight="1" spans="1:59">
      <c r="A1093" s="9">
        <f>IF(ActiveDatabase=Standby,Secondary!A1093,Primary!A1093)</f>
        <v>0</v>
      </c>
      <c r="B1093" s="5">
        <f>IF(ActiveDatabase=Standby,Secondary!B1093,Primary!B1093)</f>
        <v>0</v>
      </c>
      <c r="C1093" s="5">
        <f>IF(ActiveDatabase=Standby,Secondary!C1093,Primary!C1093)</f>
        <v>0</v>
      </c>
      <c r="D1093" s="5">
        <f>IF(ActiveDatabase=Standby,Secondary!D1093,Primary!D1093)</f>
        <v>0</v>
      </c>
      <c r="E1093" s="6">
        <f>IF(ActiveDatabase=Standby,Secondary!E1093,Primary!E1093)</f>
        <v>0</v>
      </c>
      <c r="F1093" s="10">
        <f>IF(ActiveDatabase=Standby,Secondary!F1093,Primary!F1093)</f>
        <v>0</v>
      </c>
      <c r="G1093" s="10">
        <f>IF(ActiveDatabase=Standby,Secondary!G1093,Primary!G1093)</f>
        <v>0</v>
      </c>
      <c r="H1093" s="10">
        <f>IF(ActiveDatabase=Standby,Secondary!H1093,Primary!H1093)</f>
        <v>0</v>
      </c>
      <c r="I1093" s="13">
        <f>IF(ActiveDatabase=Standby,Secondary!I1093,Primary!I1093)</f>
        <v>0</v>
      </c>
      <c r="J1093" s="13">
        <f>IF(ActiveDatabase=Standby,Secondary!J1093,Primary!J1093)</f>
        <v>0</v>
      </c>
      <c r="K1093" s="13">
        <f>IF(ActiveDatabase=Standby,Secondary!K1093,Primary!K1093)</f>
        <v>0</v>
      </c>
      <c r="L1093" s="13">
        <f>IF(ActiveDatabase=Standby,Secondary!L1093,Primary!L1093)</f>
        <v>0</v>
      </c>
      <c r="M1093" s="7">
        <f>IF(ActiveDatabase=Standby,Secondary!M1093,Primary!M1093)</f>
        <v>0</v>
      </c>
      <c r="N1093" s="10">
        <f>IF(ActiveDatabase=Standby,Secondary!N1093,Primary!N1093)</f>
        <v>0</v>
      </c>
      <c r="O1093" s="10">
        <f>IF(ActiveDatabase=Standby,Secondary!O1093,Primary!O1093)</f>
        <v>0</v>
      </c>
      <c r="P1093" s="10">
        <f>IF(ActiveDatabase=Standby,Secondary!P1093,Primary!P1093)</f>
        <v>0</v>
      </c>
      <c r="Q1093" s="6">
        <f>IF(ActiveDatabase=Standby,Secondary!Q1093,Primary!Q1093)</f>
        <v>0</v>
      </c>
      <c r="R1093" s="18">
        <f>IF(ActiveDatabase=Standby,Secondary!R1093,Primary!R1093)</f>
        <v>0</v>
      </c>
      <c r="S1093" s="19">
        <f>IF(ActiveDatabase=Standby,Secondary!S1093,Primary!S1093)</f>
        <v>0</v>
      </c>
      <c r="T1093" s="10">
        <f>IF(ActiveDatabase=Standby,Secondary!T1093,Primary!T1093)</f>
        <v>0</v>
      </c>
      <c r="U1093" s="10">
        <f>IF(ActiveDatabase=Standby,Secondary!U1093,Primary!U1093)</f>
        <v>0</v>
      </c>
      <c r="V1093" s="10">
        <f>IF(ActiveDatabase=Standby,Secondary!V1093,Primary!V1093)</f>
        <v>0</v>
      </c>
      <c r="W1093" s="6">
        <f>IF(ActiveDatabase=Standby,Secondary!W1093,Primary!W1093)</f>
        <v>0</v>
      </c>
      <c r="X1093" s="6">
        <f>IF(ActiveDatabase=Standby,Secondary!X1093,Primary!X1093)</f>
        <v>0</v>
      </c>
      <c r="Y1093" s="7">
        <f>IF(ActiveDatabase=Standby,Secondary!Y1093,Primary!Y1751)</f>
        <v>0</v>
      </c>
      <c r="Z1093" s="7">
        <f>IF(ActiveDatabase=Standby,Secondary!Z1093,Primary!Z1751)</f>
        <v>0</v>
      </c>
      <c r="AA1093" s="7">
        <f>IF(ActiveDatabase=Standby,Secondary!AA1093,Primary!AA1751)</f>
        <v>0</v>
      </c>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c r="AY1093" s="7"/>
      <c r="AZ1093" s="7"/>
      <c r="BA1093" s="7"/>
      <c r="BB1093" s="7"/>
      <c r="BC1093" s="7"/>
      <c r="BD1093" s="7"/>
      <c r="BE1093" s="7"/>
      <c r="BF1093" s="7"/>
      <c r="BG1093" s="7"/>
    </row>
    <row r="1094" customHeight="1" spans="1:59">
      <c r="A1094" s="9">
        <f>IF(ActiveDatabase=Standby,Secondary!A1094,Primary!A1094)</f>
        <v>0</v>
      </c>
      <c r="B1094" s="5">
        <f>IF(ActiveDatabase=Standby,Secondary!B1094,Primary!B1094)</f>
        <v>0</v>
      </c>
      <c r="C1094" s="5">
        <f>IF(ActiveDatabase=Standby,Secondary!C1094,Primary!C1094)</f>
        <v>0</v>
      </c>
      <c r="D1094" s="5">
        <f>IF(ActiveDatabase=Standby,Secondary!D1094,Primary!D1094)</f>
        <v>0</v>
      </c>
      <c r="E1094" s="6">
        <f>IF(ActiveDatabase=Standby,Secondary!E1094,Primary!E1094)</f>
        <v>0</v>
      </c>
      <c r="F1094" s="10">
        <f>IF(ActiveDatabase=Standby,Secondary!F1094,Primary!F1094)</f>
        <v>0</v>
      </c>
      <c r="G1094" s="10">
        <f>IF(ActiveDatabase=Standby,Secondary!G1094,Primary!G1094)</f>
        <v>0</v>
      </c>
      <c r="H1094" s="10">
        <f>IF(ActiveDatabase=Standby,Secondary!H1094,Primary!H1094)</f>
        <v>0</v>
      </c>
      <c r="I1094" s="13">
        <f>IF(ActiveDatabase=Standby,Secondary!I1094,Primary!I1094)</f>
        <v>0</v>
      </c>
      <c r="J1094" s="13">
        <f>IF(ActiveDatabase=Standby,Secondary!J1094,Primary!J1094)</f>
        <v>0</v>
      </c>
      <c r="K1094" s="13">
        <f>IF(ActiveDatabase=Standby,Secondary!K1094,Primary!K1094)</f>
        <v>0</v>
      </c>
      <c r="L1094" s="13">
        <f>IF(ActiveDatabase=Standby,Secondary!L1094,Primary!L1094)</f>
        <v>0</v>
      </c>
      <c r="M1094" s="7">
        <f>IF(ActiveDatabase=Standby,Secondary!M1094,Primary!M1094)</f>
        <v>0</v>
      </c>
      <c r="N1094" s="10">
        <f>IF(ActiveDatabase=Standby,Secondary!N1094,Primary!N1094)</f>
        <v>0</v>
      </c>
      <c r="O1094" s="10">
        <f>IF(ActiveDatabase=Standby,Secondary!O1094,Primary!O1094)</f>
        <v>0</v>
      </c>
      <c r="P1094" s="10">
        <f>IF(ActiveDatabase=Standby,Secondary!P1094,Primary!P1094)</f>
        <v>0</v>
      </c>
      <c r="Q1094" s="6">
        <f>IF(ActiveDatabase=Standby,Secondary!Q1094,Primary!Q1094)</f>
        <v>0</v>
      </c>
      <c r="R1094" s="18">
        <f>IF(ActiveDatabase=Standby,Secondary!R1094,Primary!R1094)</f>
        <v>0</v>
      </c>
      <c r="S1094" s="19">
        <f>IF(ActiveDatabase=Standby,Secondary!S1094,Primary!S1094)</f>
        <v>0</v>
      </c>
      <c r="T1094" s="10">
        <f>IF(ActiveDatabase=Standby,Secondary!T1094,Primary!T1094)</f>
        <v>0</v>
      </c>
      <c r="U1094" s="10">
        <f>IF(ActiveDatabase=Standby,Secondary!U1094,Primary!U1094)</f>
        <v>0</v>
      </c>
      <c r="V1094" s="10">
        <f>IF(ActiveDatabase=Standby,Secondary!V1094,Primary!V1094)</f>
        <v>0</v>
      </c>
      <c r="W1094" s="6">
        <f>IF(ActiveDatabase=Standby,Secondary!W1094,Primary!W1094)</f>
        <v>0</v>
      </c>
      <c r="X1094" s="6">
        <f>IF(ActiveDatabase=Standby,Secondary!X1094,Primary!X1094)</f>
        <v>0</v>
      </c>
      <c r="Y1094" s="7">
        <f>IF(ActiveDatabase=Standby,Secondary!Y1094,Primary!Y1752)</f>
        <v>0</v>
      </c>
      <c r="Z1094" s="7">
        <f>IF(ActiveDatabase=Standby,Secondary!Z1094,Primary!Z1752)</f>
        <v>0</v>
      </c>
      <c r="AA1094" s="7">
        <f>IF(ActiveDatabase=Standby,Secondary!AA1094,Primary!AA1752)</f>
        <v>0</v>
      </c>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c r="AY1094" s="7"/>
      <c r="AZ1094" s="7"/>
      <c r="BA1094" s="7"/>
      <c r="BB1094" s="7"/>
      <c r="BC1094" s="7"/>
      <c r="BD1094" s="7"/>
      <c r="BE1094" s="7"/>
      <c r="BF1094" s="7"/>
      <c r="BG1094" s="7"/>
    </row>
    <row r="1095" customHeight="1" spans="1:59">
      <c r="A1095" s="9">
        <f>IF(ActiveDatabase=Standby,Secondary!A1095,Primary!A1095)</f>
        <v>0</v>
      </c>
      <c r="B1095" s="5">
        <f>IF(ActiveDatabase=Standby,Secondary!B1095,Primary!B1095)</f>
        <v>0</v>
      </c>
      <c r="C1095" s="5">
        <f>IF(ActiveDatabase=Standby,Secondary!C1095,Primary!C1095)</f>
        <v>0</v>
      </c>
      <c r="D1095" s="5">
        <f>IF(ActiveDatabase=Standby,Secondary!D1095,Primary!D1095)</f>
        <v>0</v>
      </c>
      <c r="E1095" s="6">
        <f>IF(ActiveDatabase=Standby,Secondary!E1095,Primary!E1095)</f>
        <v>0</v>
      </c>
      <c r="F1095" s="10">
        <f>IF(ActiveDatabase=Standby,Secondary!F1095,Primary!F1095)</f>
        <v>0</v>
      </c>
      <c r="G1095" s="10">
        <f>IF(ActiveDatabase=Standby,Secondary!G1095,Primary!G1095)</f>
        <v>0</v>
      </c>
      <c r="H1095" s="10">
        <f>IF(ActiveDatabase=Standby,Secondary!H1095,Primary!H1095)</f>
        <v>0</v>
      </c>
      <c r="I1095" s="13">
        <f>IF(ActiveDatabase=Standby,Secondary!I1095,Primary!I1095)</f>
        <v>0</v>
      </c>
      <c r="J1095" s="13">
        <f>IF(ActiveDatabase=Standby,Secondary!J1095,Primary!J1095)</f>
        <v>0</v>
      </c>
      <c r="K1095" s="13">
        <f>IF(ActiveDatabase=Standby,Secondary!K1095,Primary!K1095)</f>
        <v>0</v>
      </c>
      <c r="L1095" s="13">
        <f>IF(ActiveDatabase=Standby,Secondary!L1095,Primary!L1095)</f>
        <v>0</v>
      </c>
      <c r="M1095" s="7">
        <f>IF(ActiveDatabase=Standby,Secondary!M1095,Primary!M1095)</f>
        <v>0</v>
      </c>
      <c r="N1095" s="10">
        <f>IF(ActiveDatabase=Standby,Secondary!N1095,Primary!N1095)</f>
        <v>0</v>
      </c>
      <c r="O1095" s="10">
        <f>IF(ActiveDatabase=Standby,Secondary!O1095,Primary!O1095)</f>
        <v>0</v>
      </c>
      <c r="P1095" s="10">
        <f>IF(ActiveDatabase=Standby,Secondary!P1095,Primary!P1095)</f>
        <v>0</v>
      </c>
      <c r="Q1095" s="6">
        <f>IF(ActiveDatabase=Standby,Secondary!Q1095,Primary!Q1095)</f>
        <v>0</v>
      </c>
      <c r="R1095" s="18">
        <f>IF(ActiveDatabase=Standby,Secondary!R1095,Primary!R1095)</f>
        <v>0</v>
      </c>
      <c r="S1095" s="19">
        <f>IF(ActiveDatabase=Standby,Secondary!S1095,Primary!S1095)</f>
        <v>0</v>
      </c>
      <c r="T1095" s="10">
        <f>IF(ActiveDatabase=Standby,Secondary!T1095,Primary!T1095)</f>
        <v>0</v>
      </c>
      <c r="U1095" s="10">
        <f>IF(ActiveDatabase=Standby,Secondary!U1095,Primary!U1095)</f>
        <v>0</v>
      </c>
      <c r="V1095" s="10">
        <f>IF(ActiveDatabase=Standby,Secondary!V1095,Primary!V1095)</f>
        <v>0</v>
      </c>
      <c r="W1095" s="6">
        <f>IF(ActiveDatabase=Standby,Secondary!W1095,Primary!W1095)</f>
        <v>0</v>
      </c>
      <c r="X1095" s="6">
        <f>IF(ActiveDatabase=Standby,Secondary!X1095,Primary!X1095)</f>
        <v>0</v>
      </c>
      <c r="Y1095" s="7">
        <f>IF(ActiveDatabase=Standby,Secondary!Y1095,Primary!Y1753)</f>
        <v>0</v>
      </c>
      <c r="Z1095" s="7">
        <f>IF(ActiveDatabase=Standby,Secondary!Z1095,Primary!Z1753)</f>
        <v>0</v>
      </c>
      <c r="AA1095" s="7">
        <f>IF(ActiveDatabase=Standby,Secondary!AA1095,Primary!AA1753)</f>
        <v>0</v>
      </c>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c r="AY1095" s="7"/>
      <c r="AZ1095" s="7"/>
      <c r="BA1095" s="7"/>
      <c r="BB1095" s="7"/>
      <c r="BC1095" s="7"/>
      <c r="BD1095" s="7"/>
      <c r="BE1095" s="7"/>
      <c r="BF1095" s="7"/>
      <c r="BG1095" s="7"/>
    </row>
    <row r="1096" customHeight="1" spans="1:59">
      <c r="A1096" s="9">
        <f>IF(ActiveDatabase=Standby,Secondary!A1096,Primary!A1096)</f>
        <v>0</v>
      </c>
      <c r="B1096" s="5">
        <f>IF(ActiveDatabase=Standby,Secondary!B1096,Primary!B1096)</f>
        <v>0</v>
      </c>
      <c r="C1096" s="5">
        <f>IF(ActiveDatabase=Standby,Secondary!C1096,Primary!C1096)</f>
        <v>0</v>
      </c>
      <c r="D1096" s="5">
        <f>IF(ActiveDatabase=Standby,Secondary!D1096,Primary!D1096)</f>
        <v>0</v>
      </c>
      <c r="E1096" s="6">
        <f>IF(ActiveDatabase=Standby,Secondary!E1096,Primary!E1096)</f>
        <v>0</v>
      </c>
      <c r="F1096" s="10">
        <f>IF(ActiveDatabase=Standby,Secondary!F1096,Primary!F1096)</f>
        <v>0</v>
      </c>
      <c r="G1096" s="10">
        <f>IF(ActiveDatabase=Standby,Secondary!G1096,Primary!G1096)</f>
        <v>0</v>
      </c>
      <c r="H1096" s="10">
        <f>IF(ActiveDatabase=Standby,Secondary!H1096,Primary!H1096)</f>
        <v>0</v>
      </c>
      <c r="I1096" s="13">
        <f>IF(ActiveDatabase=Standby,Secondary!I1096,Primary!I1096)</f>
        <v>0</v>
      </c>
      <c r="J1096" s="13">
        <f>IF(ActiveDatabase=Standby,Secondary!J1096,Primary!J1096)</f>
        <v>0</v>
      </c>
      <c r="K1096" s="13">
        <f>IF(ActiveDatabase=Standby,Secondary!K1096,Primary!K1096)</f>
        <v>0</v>
      </c>
      <c r="L1096" s="13">
        <f>IF(ActiveDatabase=Standby,Secondary!L1096,Primary!L1096)</f>
        <v>0</v>
      </c>
      <c r="M1096" s="7">
        <f>IF(ActiveDatabase=Standby,Secondary!M1096,Primary!M1096)</f>
        <v>0</v>
      </c>
      <c r="N1096" s="10">
        <f>IF(ActiveDatabase=Standby,Secondary!N1096,Primary!N1096)</f>
        <v>0</v>
      </c>
      <c r="O1096" s="10">
        <f>IF(ActiveDatabase=Standby,Secondary!O1096,Primary!O1096)</f>
        <v>0</v>
      </c>
      <c r="P1096" s="10">
        <f>IF(ActiveDatabase=Standby,Secondary!P1096,Primary!P1096)</f>
        <v>0</v>
      </c>
      <c r="Q1096" s="6">
        <f>IF(ActiveDatabase=Standby,Secondary!Q1096,Primary!Q1096)</f>
        <v>0</v>
      </c>
      <c r="R1096" s="18">
        <f>IF(ActiveDatabase=Standby,Secondary!R1096,Primary!R1096)</f>
        <v>0</v>
      </c>
      <c r="S1096" s="19">
        <f>IF(ActiveDatabase=Standby,Secondary!S1096,Primary!S1096)</f>
        <v>0</v>
      </c>
      <c r="T1096" s="10">
        <f>IF(ActiveDatabase=Standby,Secondary!T1096,Primary!T1096)</f>
        <v>0</v>
      </c>
      <c r="U1096" s="10">
        <f>IF(ActiveDatabase=Standby,Secondary!U1096,Primary!U1096)</f>
        <v>0</v>
      </c>
      <c r="V1096" s="10">
        <f>IF(ActiveDatabase=Standby,Secondary!V1096,Primary!V1096)</f>
        <v>0</v>
      </c>
      <c r="W1096" s="6">
        <f>IF(ActiveDatabase=Standby,Secondary!W1096,Primary!W1096)</f>
        <v>0</v>
      </c>
      <c r="X1096" s="6">
        <f>IF(ActiveDatabase=Standby,Secondary!X1096,Primary!X1096)</f>
        <v>0</v>
      </c>
      <c r="Y1096" s="7">
        <f>IF(ActiveDatabase=Standby,Secondary!Y1096,Primary!Y1754)</f>
        <v>0</v>
      </c>
      <c r="Z1096" s="7">
        <f>IF(ActiveDatabase=Standby,Secondary!Z1096,Primary!Z1754)</f>
        <v>0</v>
      </c>
      <c r="AA1096" s="7">
        <f>IF(ActiveDatabase=Standby,Secondary!AA1096,Primary!AA1754)</f>
        <v>0</v>
      </c>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row>
    <row r="1097" customHeight="1" spans="1:59">
      <c r="A1097" s="9">
        <f>IF(ActiveDatabase=Standby,Secondary!A1097,Primary!A1097)</f>
        <v>0</v>
      </c>
      <c r="B1097" s="5">
        <f>IF(ActiveDatabase=Standby,Secondary!B1097,Primary!B1097)</f>
        <v>0</v>
      </c>
      <c r="C1097" s="5">
        <f>IF(ActiveDatabase=Standby,Secondary!C1097,Primary!C1097)</f>
        <v>0</v>
      </c>
      <c r="D1097" s="5">
        <f>IF(ActiveDatabase=Standby,Secondary!D1097,Primary!D1097)</f>
        <v>0</v>
      </c>
      <c r="E1097" s="6">
        <f>IF(ActiveDatabase=Standby,Secondary!E1097,Primary!E1097)</f>
        <v>0</v>
      </c>
      <c r="F1097" s="10">
        <f>IF(ActiveDatabase=Standby,Secondary!F1097,Primary!F1097)</f>
        <v>0</v>
      </c>
      <c r="G1097" s="10">
        <f>IF(ActiveDatabase=Standby,Secondary!G1097,Primary!G1097)</f>
        <v>0</v>
      </c>
      <c r="H1097" s="10">
        <f>IF(ActiveDatabase=Standby,Secondary!H1097,Primary!H1097)</f>
        <v>0</v>
      </c>
      <c r="I1097" s="13">
        <f>IF(ActiveDatabase=Standby,Secondary!I1097,Primary!I1097)</f>
        <v>0</v>
      </c>
      <c r="J1097" s="13">
        <f>IF(ActiveDatabase=Standby,Secondary!J1097,Primary!J1097)</f>
        <v>0</v>
      </c>
      <c r="K1097" s="13">
        <f>IF(ActiveDatabase=Standby,Secondary!K1097,Primary!K1097)</f>
        <v>0</v>
      </c>
      <c r="L1097" s="13">
        <f>IF(ActiveDatabase=Standby,Secondary!L1097,Primary!L1097)</f>
        <v>0</v>
      </c>
      <c r="M1097" s="7">
        <f>IF(ActiveDatabase=Standby,Secondary!M1097,Primary!M1097)</f>
        <v>0</v>
      </c>
      <c r="N1097" s="10">
        <f>IF(ActiveDatabase=Standby,Secondary!N1097,Primary!N1097)</f>
        <v>0</v>
      </c>
      <c r="O1097" s="10">
        <f>IF(ActiveDatabase=Standby,Secondary!O1097,Primary!O1097)</f>
        <v>0</v>
      </c>
      <c r="P1097" s="10">
        <f>IF(ActiveDatabase=Standby,Secondary!P1097,Primary!P1097)</f>
        <v>0</v>
      </c>
      <c r="Q1097" s="6">
        <f>IF(ActiveDatabase=Standby,Secondary!Q1097,Primary!Q1097)</f>
        <v>0</v>
      </c>
      <c r="R1097" s="18">
        <f>IF(ActiveDatabase=Standby,Secondary!R1097,Primary!R1097)</f>
        <v>0</v>
      </c>
      <c r="S1097" s="19">
        <f>IF(ActiveDatabase=Standby,Secondary!S1097,Primary!S1097)</f>
        <v>0</v>
      </c>
      <c r="T1097" s="10">
        <f>IF(ActiveDatabase=Standby,Secondary!T1097,Primary!T1097)</f>
        <v>0</v>
      </c>
      <c r="U1097" s="10">
        <f>IF(ActiveDatabase=Standby,Secondary!U1097,Primary!U1097)</f>
        <v>0</v>
      </c>
      <c r="V1097" s="10">
        <f>IF(ActiveDatabase=Standby,Secondary!V1097,Primary!V1097)</f>
        <v>0</v>
      </c>
      <c r="W1097" s="6">
        <f>IF(ActiveDatabase=Standby,Secondary!W1097,Primary!W1097)</f>
        <v>0</v>
      </c>
      <c r="X1097" s="6">
        <f>IF(ActiveDatabase=Standby,Secondary!X1097,Primary!X1097)</f>
        <v>0</v>
      </c>
      <c r="Y1097" s="7">
        <f>IF(ActiveDatabase=Standby,Secondary!Y1097,Primary!Y1755)</f>
        <v>0</v>
      </c>
      <c r="Z1097" s="7">
        <f>IF(ActiveDatabase=Standby,Secondary!Z1097,Primary!Z1755)</f>
        <v>0</v>
      </c>
      <c r="AA1097" s="7">
        <f>IF(ActiveDatabase=Standby,Secondary!AA1097,Primary!AA1755)</f>
        <v>0</v>
      </c>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c r="AY1097" s="7"/>
      <c r="AZ1097" s="7"/>
      <c r="BA1097" s="7"/>
      <c r="BB1097" s="7"/>
      <c r="BC1097" s="7"/>
      <c r="BD1097" s="7"/>
      <c r="BE1097" s="7"/>
      <c r="BF1097" s="7"/>
      <c r="BG1097" s="7"/>
    </row>
    <row r="1098" customHeight="1" spans="1:59">
      <c r="A1098" s="9">
        <f>IF(ActiveDatabase=Standby,Secondary!A1098,Primary!A1098)</f>
        <v>0</v>
      </c>
      <c r="B1098" s="5">
        <f>IF(ActiveDatabase=Standby,Secondary!B1098,Primary!B1098)</f>
        <v>0</v>
      </c>
      <c r="C1098" s="5">
        <f>IF(ActiveDatabase=Standby,Secondary!C1098,Primary!C1098)</f>
        <v>0</v>
      </c>
      <c r="D1098" s="5">
        <f>IF(ActiveDatabase=Standby,Secondary!D1098,Primary!D1098)</f>
        <v>0</v>
      </c>
      <c r="E1098" s="6">
        <f>IF(ActiveDatabase=Standby,Secondary!E1098,Primary!E1098)</f>
        <v>0</v>
      </c>
      <c r="F1098" s="10">
        <f>IF(ActiveDatabase=Standby,Secondary!F1098,Primary!F1098)</f>
        <v>0</v>
      </c>
      <c r="G1098" s="10">
        <f>IF(ActiveDatabase=Standby,Secondary!G1098,Primary!G1098)</f>
        <v>0</v>
      </c>
      <c r="H1098" s="10">
        <f>IF(ActiveDatabase=Standby,Secondary!H1098,Primary!H1098)</f>
        <v>0</v>
      </c>
      <c r="I1098" s="13">
        <f>IF(ActiveDatabase=Standby,Secondary!I1098,Primary!I1098)</f>
        <v>0</v>
      </c>
      <c r="J1098" s="13">
        <f>IF(ActiveDatabase=Standby,Secondary!J1098,Primary!J1098)</f>
        <v>0</v>
      </c>
      <c r="K1098" s="13">
        <f>IF(ActiveDatabase=Standby,Secondary!K1098,Primary!K1098)</f>
        <v>0</v>
      </c>
      <c r="L1098" s="13">
        <f>IF(ActiveDatabase=Standby,Secondary!L1098,Primary!L1098)</f>
        <v>0</v>
      </c>
      <c r="M1098" s="7">
        <f>IF(ActiveDatabase=Standby,Secondary!M1098,Primary!M1098)</f>
        <v>0</v>
      </c>
      <c r="N1098" s="10">
        <f>IF(ActiveDatabase=Standby,Secondary!N1098,Primary!N1098)</f>
        <v>0</v>
      </c>
      <c r="O1098" s="10">
        <f>IF(ActiveDatabase=Standby,Secondary!O1098,Primary!O1098)</f>
        <v>0</v>
      </c>
      <c r="P1098" s="10">
        <f>IF(ActiveDatabase=Standby,Secondary!P1098,Primary!P1098)</f>
        <v>0</v>
      </c>
      <c r="Q1098" s="6">
        <f>IF(ActiveDatabase=Standby,Secondary!Q1098,Primary!Q1098)</f>
        <v>0</v>
      </c>
      <c r="R1098" s="18">
        <f>IF(ActiveDatabase=Standby,Secondary!R1098,Primary!R1098)</f>
        <v>0</v>
      </c>
      <c r="S1098" s="19">
        <f>IF(ActiveDatabase=Standby,Secondary!S1098,Primary!S1098)</f>
        <v>0</v>
      </c>
      <c r="T1098" s="10">
        <f>IF(ActiveDatabase=Standby,Secondary!T1098,Primary!T1098)</f>
        <v>0</v>
      </c>
      <c r="U1098" s="10">
        <f>IF(ActiveDatabase=Standby,Secondary!U1098,Primary!U1098)</f>
        <v>0</v>
      </c>
      <c r="V1098" s="10">
        <f>IF(ActiveDatabase=Standby,Secondary!V1098,Primary!V1098)</f>
        <v>0</v>
      </c>
      <c r="W1098" s="6">
        <f>IF(ActiveDatabase=Standby,Secondary!W1098,Primary!W1098)</f>
        <v>0</v>
      </c>
      <c r="X1098" s="6">
        <f>IF(ActiveDatabase=Standby,Secondary!X1098,Primary!X1098)</f>
        <v>0</v>
      </c>
      <c r="Y1098" s="7">
        <f>IF(ActiveDatabase=Standby,Secondary!Y1098,Primary!Y1756)</f>
        <v>0</v>
      </c>
      <c r="Z1098" s="7">
        <f>IF(ActiveDatabase=Standby,Secondary!Z1098,Primary!Z1756)</f>
        <v>0</v>
      </c>
      <c r="AA1098" s="7">
        <f>IF(ActiveDatabase=Standby,Secondary!AA1098,Primary!AA1756)</f>
        <v>0</v>
      </c>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7"/>
      <c r="BD1098" s="7"/>
      <c r="BE1098" s="7"/>
      <c r="BF1098" s="7"/>
      <c r="BG1098" s="7"/>
    </row>
    <row r="1099" customHeight="1" spans="1:59">
      <c r="A1099" s="9">
        <f>IF(ActiveDatabase=Standby,Secondary!A1099,Primary!A1099)</f>
        <v>0</v>
      </c>
      <c r="B1099" s="5">
        <f>IF(ActiveDatabase=Standby,Secondary!B1099,Primary!B1099)</f>
        <v>0</v>
      </c>
      <c r="C1099" s="5">
        <f>IF(ActiveDatabase=Standby,Secondary!C1099,Primary!C1099)</f>
        <v>0</v>
      </c>
      <c r="D1099" s="5">
        <f>IF(ActiveDatabase=Standby,Secondary!D1099,Primary!D1099)</f>
        <v>0</v>
      </c>
      <c r="E1099" s="6">
        <f>IF(ActiveDatabase=Standby,Secondary!E1099,Primary!E1099)</f>
        <v>0</v>
      </c>
      <c r="F1099" s="10">
        <f>IF(ActiveDatabase=Standby,Secondary!F1099,Primary!F1099)</f>
        <v>0</v>
      </c>
      <c r="G1099" s="10">
        <f>IF(ActiveDatabase=Standby,Secondary!G1099,Primary!G1099)</f>
        <v>0</v>
      </c>
      <c r="H1099" s="10">
        <f>IF(ActiveDatabase=Standby,Secondary!H1099,Primary!H1099)</f>
        <v>0</v>
      </c>
      <c r="I1099" s="13">
        <f>IF(ActiveDatabase=Standby,Secondary!I1099,Primary!I1099)</f>
        <v>0</v>
      </c>
      <c r="J1099" s="13">
        <f>IF(ActiveDatabase=Standby,Secondary!J1099,Primary!J1099)</f>
        <v>0</v>
      </c>
      <c r="K1099" s="13">
        <f>IF(ActiveDatabase=Standby,Secondary!K1099,Primary!K1099)</f>
        <v>0</v>
      </c>
      <c r="L1099" s="13">
        <f>IF(ActiveDatabase=Standby,Secondary!L1099,Primary!L1099)</f>
        <v>0</v>
      </c>
      <c r="M1099" s="7">
        <f>IF(ActiveDatabase=Standby,Secondary!M1099,Primary!M1099)</f>
        <v>0</v>
      </c>
      <c r="N1099" s="10">
        <f>IF(ActiveDatabase=Standby,Secondary!N1099,Primary!N1099)</f>
        <v>0</v>
      </c>
      <c r="O1099" s="10">
        <f>IF(ActiveDatabase=Standby,Secondary!O1099,Primary!O1099)</f>
        <v>0</v>
      </c>
      <c r="P1099" s="10">
        <f>IF(ActiveDatabase=Standby,Secondary!P1099,Primary!P1099)</f>
        <v>0</v>
      </c>
      <c r="Q1099" s="6">
        <f>IF(ActiveDatabase=Standby,Secondary!Q1099,Primary!Q1099)</f>
        <v>0</v>
      </c>
      <c r="R1099" s="18">
        <f>IF(ActiveDatabase=Standby,Secondary!R1099,Primary!R1099)</f>
        <v>0</v>
      </c>
      <c r="S1099" s="19">
        <f>IF(ActiveDatabase=Standby,Secondary!S1099,Primary!S1099)</f>
        <v>0</v>
      </c>
      <c r="T1099" s="10">
        <f>IF(ActiveDatabase=Standby,Secondary!T1099,Primary!T1099)</f>
        <v>0</v>
      </c>
      <c r="U1099" s="10">
        <f>IF(ActiveDatabase=Standby,Secondary!U1099,Primary!U1099)</f>
        <v>0</v>
      </c>
      <c r="V1099" s="10">
        <f>IF(ActiveDatabase=Standby,Secondary!V1099,Primary!V1099)</f>
        <v>0</v>
      </c>
      <c r="W1099" s="6">
        <f>IF(ActiveDatabase=Standby,Secondary!W1099,Primary!W1099)</f>
        <v>0</v>
      </c>
      <c r="X1099" s="6">
        <f>IF(ActiveDatabase=Standby,Secondary!X1099,Primary!X1099)</f>
        <v>0</v>
      </c>
      <c r="Y1099" s="7">
        <f>IF(ActiveDatabase=Standby,Secondary!Y1099,Primary!Y1757)</f>
        <v>0</v>
      </c>
      <c r="Z1099" s="7">
        <f>IF(ActiveDatabase=Standby,Secondary!Z1099,Primary!Z1757)</f>
        <v>0</v>
      </c>
      <c r="AA1099" s="7">
        <f>IF(ActiveDatabase=Standby,Secondary!AA1099,Primary!AA1757)</f>
        <v>0</v>
      </c>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c r="AY1099" s="7"/>
      <c r="AZ1099" s="7"/>
      <c r="BA1099" s="7"/>
      <c r="BB1099" s="7"/>
      <c r="BC1099" s="7"/>
      <c r="BD1099" s="7"/>
      <c r="BE1099" s="7"/>
      <c r="BF1099" s="7"/>
      <c r="BG1099" s="7"/>
    </row>
    <row r="1100" customHeight="1" spans="1:59">
      <c r="A1100" s="9">
        <f>IF(ActiveDatabase=Standby,Secondary!A1100,Primary!A1100)</f>
        <v>0</v>
      </c>
      <c r="B1100" s="5">
        <f>IF(ActiveDatabase=Standby,Secondary!B1100,Primary!B1100)</f>
        <v>0</v>
      </c>
      <c r="C1100" s="5">
        <f>IF(ActiveDatabase=Standby,Secondary!C1100,Primary!C1100)</f>
        <v>0</v>
      </c>
      <c r="D1100" s="5">
        <f>IF(ActiveDatabase=Standby,Secondary!D1100,Primary!D1100)</f>
        <v>0</v>
      </c>
      <c r="E1100" s="6">
        <f>IF(ActiveDatabase=Standby,Secondary!E1100,Primary!E1100)</f>
        <v>0</v>
      </c>
      <c r="F1100" s="10">
        <f>IF(ActiveDatabase=Standby,Secondary!F1100,Primary!F1100)</f>
        <v>0</v>
      </c>
      <c r="G1100" s="10">
        <f>IF(ActiveDatabase=Standby,Secondary!G1100,Primary!G1100)</f>
        <v>0</v>
      </c>
      <c r="H1100" s="10">
        <f>IF(ActiveDatabase=Standby,Secondary!H1100,Primary!H1100)</f>
        <v>0</v>
      </c>
      <c r="I1100" s="13">
        <f>IF(ActiveDatabase=Standby,Secondary!I1100,Primary!I1100)</f>
        <v>0</v>
      </c>
      <c r="J1100" s="13">
        <f>IF(ActiveDatabase=Standby,Secondary!J1100,Primary!J1100)</f>
        <v>0</v>
      </c>
      <c r="K1100" s="13">
        <f>IF(ActiveDatabase=Standby,Secondary!K1100,Primary!K1100)</f>
        <v>0</v>
      </c>
      <c r="L1100" s="13">
        <f>IF(ActiveDatabase=Standby,Secondary!L1100,Primary!L1100)</f>
        <v>0</v>
      </c>
      <c r="M1100" s="7">
        <f>IF(ActiveDatabase=Standby,Secondary!M1100,Primary!M1100)</f>
        <v>0</v>
      </c>
      <c r="N1100" s="10">
        <f>IF(ActiveDatabase=Standby,Secondary!N1100,Primary!N1100)</f>
        <v>0</v>
      </c>
      <c r="O1100" s="10">
        <f>IF(ActiveDatabase=Standby,Secondary!O1100,Primary!O1100)</f>
        <v>0</v>
      </c>
      <c r="P1100" s="10">
        <f>IF(ActiveDatabase=Standby,Secondary!P1100,Primary!P1100)</f>
        <v>0</v>
      </c>
      <c r="Q1100" s="6">
        <f>IF(ActiveDatabase=Standby,Secondary!Q1100,Primary!Q1100)</f>
        <v>0</v>
      </c>
      <c r="R1100" s="18">
        <f>IF(ActiveDatabase=Standby,Secondary!R1100,Primary!R1100)</f>
        <v>0</v>
      </c>
      <c r="S1100" s="19">
        <f>IF(ActiveDatabase=Standby,Secondary!S1100,Primary!S1100)</f>
        <v>0</v>
      </c>
      <c r="T1100" s="10">
        <f>IF(ActiveDatabase=Standby,Secondary!T1100,Primary!T1100)</f>
        <v>0</v>
      </c>
      <c r="U1100" s="10">
        <f>IF(ActiveDatabase=Standby,Secondary!U1100,Primary!U1100)</f>
        <v>0</v>
      </c>
      <c r="V1100" s="10">
        <f>IF(ActiveDatabase=Standby,Secondary!V1100,Primary!V1100)</f>
        <v>0</v>
      </c>
      <c r="W1100" s="6">
        <f>IF(ActiveDatabase=Standby,Secondary!W1100,Primary!W1100)</f>
        <v>0</v>
      </c>
      <c r="X1100" s="6">
        <f>IF(ActiveDatabase=Standby,Secondary!X1100,Primary!X1100)</f>
        <v>0</v>
      </c>
      <c r="Y1100" s="7">
        <f>IF(ActiveDatabase=Standby,Secondary!Y1100,Primary!Y1758)</f>
        <v>0</v>
      </c>
      <c r="Z1100" s="7">
        <f>IF(ActiveDatabase=Standby,Secondary!Z1100,Primary!Z1758)</f>
        <v>0</v>
      </c>
      <c r="AA1100" s="7">
        <f>IF(ActiveDatabase=Standby,Secondary!AA1100,Primary!AA1758)</f>
        <v>0</v>
      </c>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row>
    <row r="1101" customHeight="1" spans="1:59">
      <c r="A1101" s="9">
        <f>IF(ActiveDatabase=Standby,Secondary!A1101,Primary!A1101)</f>
        <v>0</v>
      </c>
      <c r="B1101" s="5">
        <f>IF(ActiveDatabase=Standby,Secondary!B1101,Primary!B1101)</f>
        <v>0</v>
      </c>
      <c r="C1101" s="5">
        <f>IF(ActiveDatabase=Standby,Secondary!C1101,Primary!C1101)</f>
        <v>0</v>
      </c>
      <c r="D1101" s="5">
        <f>IF(ActiveDatabase=Standby,Secondary!D1101,Primary!D1101)</f>
        <v>0</v>
      </c>
      <c r="E1101" s="6">
        <f>IF(ActiveDatabase=Standby,Secondary!E1101,Primary!E1101)</f>
        <v>0</v>
      </c>
      <c r="F1101" s="10">
        <f>IF(ActiveDatabase=Standby,Secondary!F1101,Primary!F1101)</f>
        <v>0</v>
      </c>
      <c r="G1101" s="10">
        <f>IF(ActiveDatabase=Standby,Secondary!G1101,Primary!G1101)</f>
        <v>0</v>
      </c>
      <c r="H1101" s="10">
        <f>IF(ActiveDatabase=Standby,Secondary!H1101,Primary!H1101)</f>
        <v>0</v>
      </c>
      <c r="I1101" s="13">
        <f>IF(ActiveDatabase=Standby,Secondary!I1101,Primary!I1101)</f>
        <v>0</v>
      </c>
      <c r="J1101" s="13">
        <f>IF(ActiveDatabase=Standby,Secondary!J1101,Primary!J1101)</f>
        <v>0</v>
      </c>
      <c r="K1101" s="13">
        <f>IF(ActiveDatabase=Standby,Secondary!K1101,Primary!K1101)</f>
        <v>0</v>
      </c>
      <c r="L1101" s="13">
        <f>IF(ActiveDatabase=Standby,Secondary!L1101,Primary!L1101)</f>
        <v>0</v>
      </c>
      <c r="M1101" s="7">
        <f>IF(ActiveDatabase=Standby,Secondary!M1101,Primary!M1101)</f>
        <v>0</v>
      </c>
      <c r="N1101" s="10">
        <f>IF(ActiveDatabase=Standby,Secondary!N1101,Primary!N1101)</f>
        <v>0</v>
      </c>
      <c r="O1101" s="10">
        <f>IF(ActiveDatabase=Standby,Secondary!O1101,Primary!O1101)</f>
        <v>0</v>
      </c>
      <c r="P1101" s="10">
        <f>IF(ActiveDatabase=Standby,Secondary!P1101,Primary!P1101)</f>
        <v>0</v>
      </c>
      <c r="Q1101" s="6">
        <f>IF(ActiveDatabase=Standby,Secondary!Q1101,Primary!Q1101)</f>
        <v>0</v>
      </c>
      <c r="R1101" s="18">
        <f>IF(ActiveDatabase=Standby,Secondary!R1101,Primary!R1101)</f>
        <v>0</v>
      </c>
      <c r="S1101" s="19">
        <f>IF(ActiveDatabase=Standby,Secondary!S1101,Primary!S1101)</f>
        <v>0</v>
      </c>
      <c r="T1101" s="10">
        <f>IF(ActiveDatabase=Standby,Secondary!T1101,Primary!T1101)</f>
        <v>0</v>
      </c>
      <c r="U1101" s="10">
        <f>IF(ActiveDatabase=Standby,Secondary!U1101,Primary!U1101)</f>
        <v>0</v>
      </c>
      <c r="V1101" s="10">
        <f>IF(ActiveDatabase=Standby,Secondary!V1101,Primary!V1101)</f>
        <v>0</v>
      </c>
      <c r="W1101" s="6">
        <f>IF(ActiveDatabase=Standby,Secondary!W1101,Primary!W1101)</f>
        <v>0</v>
      </c>
      <c r="X1101" s="6">
        <f>IF(ActiveDatabase=Standby,Secondary!X1101,Primary!X1101)</f>
        <v>0</v>
      </c>
      <c r="Y1101" s="7">
        <f>IF(ActiveDatabase=Standby,Secondary!Y1101,Primary!Y1759)</f>
        <v>0</v>
      </c>
      <c r="Z1101" s="7">
        <f>IF(ActiveDatabase=Standby,Secondary!Z1101,Primary!Z1759)</f>
        <v>0</v>
      </c>
      <c r="AA1101" s="7">
        <f>IF(ActiveDatabase=Standby,Secondary!AA1101,Primary!AA1759)</f>
        <v>0</v>
      </c>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c r="AY1101" s="7"/>
      <c r="AZ1101" s="7"/>
      <c r="BA1101" s="7"/>
      <c r="BB1101" s="7"/>
      <c r="BC1101" s="7"/>
      <c r="BD1101" s="7"/>
      <c r="BE1101" s="7"/>
      <c r="BF1101" s="7"/>
      <c r="BG1101" s="7"/>
    </row>
    <row r="1102" customHeight="1" spans="1:59">
      <c r="A1102" s="9">
        <f>IF(ActiveDatabase=Standby,Secondary!A1102,Primary!A1102)</f>
        <v>0</v>
      </c>
      <c r="B1102" s="5">
        <f>IF(ActiveDatabase=Standby,Secondary!B1102,Primary!B1102)</f>
        <v>0</v>
      </c>
      <c r="C1102" s="5">
        <f>IF(ActiveDatabase=Standby,Secondary!C1102,Primary!C1102)</f>
        <v>0</v>
      </c>
      <c r="D1102" s="5">
        <f>IF(ActiveDatabase=Standby,Secondary!D1102,Primary!D1102)</f>
        <v>0</v>
      </c>
      <c r="E1102" s="6">
        <f>IF(ActiveDatabase=Standby,Secondary!E1102,Primary!E1102)</f>
        <v>0</v>
      </c>
      <c r="F1102" s="10">
        <f>IF(ActiveDatabase=Standby,Secondary!F1102,Primary!F1102)</f>
        <v>0</v>
      </c>
      <c r="G1102" s="10">
        <f>IF(ActiveDatabase=Standby,Secondary!G1102,Primary!G1102)</f>
        <v>0</v>
      </c>
      <c r="H1102" s="10">
        <f>IF(ActiveDatabase=Standby,Secondary!H1102,Primary!H1102)</f>
        <v>0</v>
      </c>
      <c r="I1102" s="13">
        <f>IF(ActiveDatabase=Standby,Secondary!I1102,Primary!I1102)</f>
        <v>0</v>
      </c>
      <c r="J1102" s="13">
        <f>IF(ActiveDatabase=Standby,Secondary!J1102,Primary!J1102)</f>
        <v>0</v>
      </c>
      <c r="K1102" s="13">
        <f>IF(ActiveDatabase=Standby,Secondary!K1102,Primary!K1102)</f>
        <v>0</v>
      </c>
      <c r="L1102" s="13">
        <f>IF(ActiveDatabase=Standby,Secondary!L1102,Primary!L1102)</f>
        <v>0</v>
      </c>
      <c r="M1102" s="7">
        <f>IF(ActiveDatabase=Standby,Secondary!M1102,Primary!M1102)</f>
        <v>0</v>
      </c>
      <c r="N1102" s="10">
        <f>IF(ActiveDatabase=Standby,Secondary!N1102,Primary!N1102)</f>
        <v>0</v>
      </c>
      <c r="O1102" s="10">
        <f>IF(ActiveDatabase=Standby,Secondary!O1102,Primary!O1102)</f>
        <v>0</v>
      </c>
      <c r="P1102" s="10">
        <f>IF(ActiveDatabase=Standby,Secondary!P1102,Primary!P1102)</f>
        <v>0</v>
      </c>
      <c r="Q1102" s="6">
        <f>IF(ActiveDatabase=Standby,Secondary!Q1102,Primary!Q1102)</f>
        <v>0</v>
      </c>
      <c r="R1102" s="18">
        <f>IF(ActiveDatabase=Standby,Secondary!R1102,Primary!R1102)</f>
        <v>0</v>
      </c>
      <c r="S1102" s="19">
        <f>IF(ActiveDatabase=Standby,Secondary!S1102,Primary!S1102)</f>
        <v>0</v>
      </c>
      <c r="T1102" s="10">
        <f>IF(ActiveDatabase=Standby,Secondary!T1102,Primary!T1102)</f>
        <v>0</v>
      </c>
      <c r="U1102" s="10">
        <f>IF(ActiveDatabase=Standby,Secondary!U1102,Primary!U1102)</f>
        <v>0</v>
      </c>
      <c r="V1102" s="10">
        <f>IF(ActiveDatabase=Standby,Secondary!V1102,Primary!V1102)</f>
        <v>0</v>
      </c>
      <c r="W1102" s="6">
        <f>IF(ActiveDatabase=Standby,Secondary!W1102,Primary!W1102)</f>
        <v>0</v>
      </c>
      <c r="X1102" s="6">
        <f>IF(ActiveDatabase=Standby,Secondary!X1102,Primary!X1102)</f>
        <v>0</v>
      </c>
      <c r="Y1102" s="7">
        <f>IF(ActiveDatabase=Standby,Secondary!Y1102,Primary!Y1760)</f>
        <v>0</v>
      </c>
      <c r="Z1102" s="7">
        <f>IF(ActiveDatabase=Standby,Secondary!Z1102,Primary!Z1760)</f>
        <v>0</v>
      </c>
      <c r="AA1102" s="7">
        <f>IF(ActiveDatabase=Standby,Secondary!AA1102,Primary!AA1760)</f>
        <v>0</v>
      </c>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row>
    <row r="1103" customHeight="1" spans="1:59">
      <c r="A1103" s="9">
        <f>IF(ActiveDatabase=Standby,Secondary!A1103,Primary!A1103)</f>
        <v>0</v>
      </c>
      <c r="B1103" s="5">
        <f>IF(ActiveDatabase=Standby,Secondary!B1103,Primary!B1103)</f>
        <v>0</v>
      </c>
      <c r="C1103" s="5">
        <f>IF(ActiveDatabase=Standby,Secondary!C1103,Primary!C1103)</f>
        <v>0</v>
      </c>
      <c r="D1103" s="5">
        <f>IF(ActiveDatabase=Standby,Secondary!D1103,Primary!D1103)</f>
        <v>0</v>
      </c>
      <c r="E1103" s="6">
        <f>IF(ActiveDatabase=Standby,Secondary!E1103,Primary!E1103)</f>
        <v>0</v>
      </c>
      <c r="F1103" s="10">
        <f>IF(ActiveDatabase=Standby,Secondary!F1103,Primary!F1103)</f>
        <v>0</v>
      </c>
      <c r="G1103" s="10">
        <f>IF(ActiveDatabase=Standby,Secondary!G1103,Primary!G1103)</f>
        <v>0</v>
      </c>
      <c r="H1103" s="10">
        <f>IF(ActiveDatabase=Standby,Secondary!H1103,Primary!H1103)</f>
        <v>0</v>
      </c>
      <c r="I1103" s="13">
        <f>IF(ActiveDatabase=Standby,Secondary!I1103,Primary!I1103)</f>
        <v>0</v>
      </c>
      <c r="J1103" s="13">
        <f>IF(ActiveDatabase=Standby,Secondary!J1103,Primary!J1103)</f>
        <v>0</v>
      </c>
      <c r="K1103" s="13">
        <f>IF(ActiveDatabase=Standby,Secondary!K1103,Primary!K1103)</f>
        <v>0</v>
      </c>
      <c r="L1103" s="13">
        <f>IF(ActiveDatabase=Standby,Secondary!L1103,Primary!L1103)</f>
        <v>0</v>
      </c>
      <c r="M1103" s="7">
        <f>IF(ActiveDatabase=Standby,Secondary!M1103,Primary!M1103)</f>
        <v>0</v>
      </c>
      <c r="N1103" s="10">
        <f>IF(ActiveDatabase=Standby,Secondary!N1103,Primary!N1103)</f>
        <v>0</v>
      </c>
      <c r="O1103" s="10">
        <f>IF(ActiveDatabase=Standby,Secondary!O1103,Primary!O1103)</f>
        <v>0</v>
      </c>
      <c r="P1103" s="10">
        <f>IF(ActiveDatabase=Standby,Secondary!P1103,Primary!P1103)</f>
        <v>0</v>
      </c>
      <c r="Q1103" s="6">
        <f>IF(ActiveDatabase=Standby,Secondary!Q1103,Primary!Q1103)</f>
        <v>0</v>
      </c>
      <c r="R1103" s="18">
        <f>IF(ActiveDatabase=Standby,Secondary!R1103,Primary!R1103)</f>
        <v>0</v>
      </c>
      <c r="S1103" s="19">
        <f>IF(ActiveDatabase=Standby,Secondary!S1103,Primary!S1103)</f>
        <v>0</v>
      </c>
      <c r="T1103" s="10">
        <f>IF(ActiveDatabase=Standby,Secondary!T1103,Primary!T1103)</f>
        <v>0</v>
      </c>
      <c r="U1103" s="10">
        <f>IF(ActiveDatabase=Standby,Secondary!U1103,Primary!U1103)</f>
        <v>0</v>
      </c>
      <c r="V1103" s="10">
        <f>IF(ActiveDatabase=Standby,Secondary!V1103,Primary!V1103)</f>
        <v>0</v>
      </c>
      <c r="W1103" s="6">
        <f>IF(ActiveDatabase=Standby,Secondary!W1103,Primary!W1103)</f>
        <v>0</v>
      </c>
      <c r="X1103" s="6">
        <f>IF(ActiveDatabase=Standby,Secondary!X1103,Primary!X1103)</f>
        <v>0</v>
      </c>
      <c r="Y1103" s="7">
        <f>IF(ActiveDatabase=Standby,Secondary!Y1103,Primary!Y1761)</f>
        <v>0</v>
      </c>
      <c r="Z1103" s="7">
        <f>IF(ActiveDatabase=Standby,Secondary!Z1103,Primary!Z1761)</f>
        <v>0</v>
      </c>
      <c r="AA1103" s="7">
        <f>IF(ActiveDatabase=Standby,Secondary!AA1103,Primary!AA1761)</f>
        <v>0</v>
      </c>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7"/>
      <c r="BD1103" s="7"/>
      <c r="BE1103" s="7"/>
      <c r="BF1103" s="7"/>
      <c r="BG1103" s="7"/>
    </row>
    <row r="1104" customHeight="1" spans="1:59">
      <c r="A1104" s="9">
        <f>IF(ActiveDatabase=Standby,Secondary!A1104,Primary!A1104)</f>
        <v>0</v>
      </c>
      <c r="B1104" s="5">
        <f>IF(ActiveDatabase=Standby,Secondary!B1104,Primary!B1104)</f>
        <v>0</v>
      </c>
      <c r="C1104" s="5">
        <f>IF(ActiveDatabase=Standby,Secondary!C1104,Primary!C1104)</f>
        <v>0</v>
      </c>
      <c r="D1104" s="5">
        <f>IF(ActiveDatabase=Standby,Secondary!D1104,Primary!D1104)</f>
        <v>0</v>
      </c>
      <c r="E1104" s="6">
        <f>IF(ActiveDatabase=Standby,Secondary!E1104,Primary!E1104)</f>
        <v>0</v>
      </c>
      <c r="F1104" s="10">
        <f>IF(ActiveDatabase=Standby,Secondary!F1104,Primary!F1104)</f>
        <v>0</v>
      </c>
      <c r="G1104" s="10">
        <f>IF(ActiveDatabase=Standby,Secondary!G1104,Primary!G1104)</f>
        <v>0</v>
      </c>
      <c r="H1104" s="10">
        <f>IF(ActiveDatabase=Standby,Secondary!H1104,Primary!H1104)</f>
        <v>0</v>
      </c>
      <c r="I1104" s="13">
        <f>IF(ActiveDatabase=Standby,Secondary!I1104,Primary!I1104)</f>
        <v>0</v>
      </c>
      <c r="J1104" s="13">
        <f>IF(ActiveDatabase=Standby,Secondary!J1104,Primary!J1104)</f>
        <v>0</v>
      </c>
      <c r="K1104" s="13">
        <f>IF(ActiveDatabase=Standby,Secondary!K1104,Primary!K1104)</f>
        <v>0</v>
      </c>
      <c r="L1104" s="13">
        <f>IF(ActiveDatabase=Standby,Secondary!L1104,Primary!L1104)</f>
        <v>0</v>
      </c>
      <c r="M1104" s="7">
        <f>IF(ActiveDatabase=Standby,Secondary!M1104,Primary!M1104)</f>
        <v>0</v>
      </c>
      <c r="N1104" s="10">
        <f>IF(ActiveDatabase=Standby,Secondary!N1104,Primary!N1104)</f>
        <v>0</v>
      </c>
      <c r="O1104" s="10">
        <f>IF(ActiveDatabase=Standby,Secondary!O1104,Primary!O1104)</f>
        <v>0</v>
      </c>
      <c r="P1104" s="10">
        <f>IF(ActiveDatabase=Standby,Secondary!P1104,Primary!P1104)</f>
        <v>0</v>
      </c>
      <c r="Q1104" s="6">
        <f>IF(ActiveDatabase=Standby,Secondary!Q1104,Primary!Q1104)</f>
        <v>0</v>
      </c>
      <c r="R1104" s="18">
        <f>IF(ActiveDatabase=Standby,Secondary!R1104,Primary!R1104)</f>
        <v>0</v>
      </c>
      <c r="S1104" s="19">
        <f>IF(ActiveDatabase=Standby,Secondary!S1104,Primary!S1104)</f>
        <v>0</v>
      </c>
      <c r="T1104" s="10">
        <f>IF(ActiveDatabase=Standby,Secondary!T1104,Primary!T1104)</f>
        <v>0</v>
      </c>
      <c r="U1104" s="10">
        <f>IF(ActiveDatabase=Standby,Secondary!U1104,Primary!U1104)</f>
        <v>0</v>
      </c>
      <c r="V1104" s="10">
        <f>IF(ActiveDatabase=Standby,Secondary!V1104,Primary!V1104)</f>
        <v>0</v>
      </c>
      <c r="W1104" s="6">
        <f>IF(ActiveDatabase=Standby,Secondary!W1104,Primary!W1104)</f>
        <v>0</v>
      </c>
      <c r="X1104" s="6">
        <f>IF(ActiveDatabase=Standby,Secondary!X1104,Primary!X1104)</f>
        <v>0</v>
      </c>
      <c r="Y1104" s="7">
        <f>IF(ActiveDatabase=Standby,Secondary!Y1104,Primary!Y1762)</f>
        <v>0</v>
      </c>
      <c r="Z1104" s="7">
        <f>IF(ActiveDatabase=Standby,Secondary!Z1104,Primary!Z1762)</f>
        <v>0</v>
      </c>
      <c r="AA1104" s="7">
        <f>IF(ActiveDatabase=Standby,Secondary!AA1104,Primary!AA1762)</f>
        <v>0</v>
      </c>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row>
    <row r="1105" customHeight="1" spans="1:59">
      <c r="A1105" s="9">
        <f>IF(ActiveDatabase=Standby,Secondary!A1105,Primary!A1105)</f>
        <v>0</v>
      </c>
      <c r="B1105" s="5">
        <f>IF(ActiveDatabase=Standby,Secondary!B1105,Primary!B1105)</f>
        <v>0</v>
      </c>
      <c r="C1105" s="5">
        <f>IF(ActiveDatabase=Standby,Secondary!C1105,Primary!C1105)</f>
        <v>0</v>
      </c>
      <c r="D1105" s="5">
        <f>IF(ActiveDatabase=Standby,Secondary!D1105,Primary!D1105)</f>
        <v>0</v>
      </c>
      <c r="E1105" s="6">
        <f>IF(ActiveDatabase=Standby,Secondary!E1105,Primary!E1105)</f>
        <v>0</v>
      </c>
      <c r="F1105" s="10">
        <f>IF(ActiveDatabase=Standby,Secondary!F1105,Primary!F1105)</f>
        <v>0</v>
      </c>
      <c r="G1105" s="10">
        <f>IF(ActiveDatabase=Standby,Secondary!G1105,Primary!G1105)</f>
        <v>0</v>
      </c>
      <c r="H1105" s="10">
        <f>IF(ActiveDatabase=Standby,Secondary!H1105,Primary!H1105)</f>
        <v>0</v>
      </c>
      <c r="I1105" s="13">
        <f>IF(ActiveDatabase=Standby,Secondary!I1105,Primary!I1105)</f>
        <v>0</v>
      </c>
      <c r="J1105" s="13">
        <f>IF(ActiveDatabase=Standby,Secondary!J1105,Primary!J1105)</f>
        <v>0</v>
      </c>
      <c r="K1105" s="13">
        <f>IF(ActiveDatabase=Standby,Secondary!K1105,Primary!K1105)</f>
        <v>0</v>
      </c>
      <c r="L1105" s="13">
        <f>IF(ActiveDatabase=Standby,Secondary!L1105,Primary!L1105)</f>
        <v>0</v>
      </c>
      <c r="M1105" s="7">
        <f>IF(ActiveDatabase=Standby,Secondary!M1105,Primary!M1105)</f>
        <v>0</v>
      </c>
      <c r="N1105" s="10">
        <f>IF(ActiveDatabase=Standby,Secondary!N1105,Primary!N1105)</f>
        <v>0</v>
      </c>
      <c r="O1105" s="10">
        <f>IF(ActiveDatabase=Standby,Secondary!O1105,Primary!O1105)</f>
        <v>0</v>
      </c>
      <c r="P1105" s="10">
        <f>IF(ActiveDatabase=Standby,Secondary!P1105,Primary!P1105)</f>
        <v>0</v>
      </c>
      <c r="Q1105" s="6">
        <f>IF(ActiveDatabase=Standby,Secondary!Q1105,Primary!Q1105)</f>
        <v>0</v>
      </c>
      <c r="R1105" s="18">
        <f>IF(ActiveDatabase=Standby,Secondary!R1105,Primary!R1105)</f>
        <v>0</v>
      </c>
      <c r="S1105" s="19">
        <f>IF(ActiveDatabase=Standby,Secondary!S1105,Primary!S1105)</f>
        <v>0</v>
      </c>
      <c r="T1105" s="10">
        <f>IF(ActiveDatabase=Standby,Secondary!T1105,Primary!T1105)</f>
        <v>0</v>
      </c>
      <c r="U1105" s="10">
        <f>IF(ActiveDatabase=Standby,Secondary!U1105,Primary!U1105)</f>
        <v>0</v>
      </c>
      <c r="V1105" s="10">
        <f>IF(ActiveDatabase=Standby,Secondary!V1105,Primary!V1105)</f>
        <v>0</v>
      </c>
      <c r="W1105" s="6">
        <f>IF(ActiveDatabase=Standby,Secondary!W1105,Primary!W1105)</f>
        <v>0</v>
      </c>
      <c r="X1105" s="6">
        <f>IF(ActiveDatabase=Standby,Secondary!X1105,Primary!X1105)</f>
        <v>0</v>
      </c>
      <c r="Y1105" s="7">
        <f>IF(ActiveDatabase=Standby,Secondary!Y1105,Primary!Y1763)</f>
        <v>0</v>
      </c>
      <c r="Z1105" s="7">
        <f>IF(ActiveDatabase=Standby,Secondary!Z1105,Primary!Z1763)</f>
        <v>0</v>
      </c>
      <c r="AA1105" s="7">
        <f>IF(ActiveDatabase=Standby,Secondary!AA1105,Primary!AA1763)</f>
        <v>0</v>
      </c>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7"/>
      <c r="BD1105" s="7"/>
      <c r="BE1105" s="7"/>
      <c r="BF1105" s="7"/>
      <c r="BG1105" s="7"/>
    </row>
    <row r="1106" customHeight="1" spans="1:59">
      <c r="A1106" s="9">
        <f>IF(ActiveDatabase=Standby,Secondary!A1106,Primary!A1106)</f>
        <v>0</v>
      </c>
      <c r="B1106" s="5">
        <f>IF(ActiveDatabase=Standby,Secondary!B1106,Primary!B1106)</f>
        <v>0</v>
      </c>
      <c r="C1106" s="5">
        <f>IF(ActiveDatabase=Standby,Secondary!C1106,Primary!C1106)</f>
        <v>0</v>
      </c>
      <c r="D1106" s="5">
        <f>IF(ActiveDatabase=Standby,Secondary!D1106,Primary!D1106)</f>
        <v>0</v>
      </c>
      <c r="E1106" s="6">
        <f>IF(ActiveDatabase=Standby,Secondary!E1106,Primary!E1106)</f>
        <v>0</v>
      </c>
      <c r="F1106" s="10">
        <f>IF(ActiveDatabase=Standby,Secondary!F1106,Primary!F1106)</f>
        <v>0</v>
      </c>
      <c r="G1106" s="10">
        <f>IF(ActiveDatabase=Standby,Secondary!G1106,Primary!G1106)</f>
        <v>0</v>
      </c>
      <c r="H1106" s="10">
        <f>IF(ActiveDatabase=Standby,Secondary!H1106,Primary!H1106)</f>
        <v>0</v>
      </c>
      <c r="I1106" s="13">
        <f>IF(ActiveDatabase=Standby,Secondary!I1106,Primary!I1106)</f>
        <v>0</v>
      </c>
      <c r="J1106" s="13">
        <f>IF(ActiveDatabase=Standby,Secondary!J1106,Primary!J1106)</f>
        <v>0</v>
      </c>
      <c r="K1106" s="13">
        <f>IF(ActiveDatabase=Standby,Secondary!K1106,Primary!K1106)</f>
        <v>0</v>
      </c>
      <c r="L1106" s="13">
        <f>IF(ActiveDatabase=Standby,Secondary!L1106,Primary!L1106)</f>
        <v>0</v>
      </c>
      <c r="M1106" s="7">
        <f>IF(ActiveDatabase=Standby,Secondary!M1106,Primary!M1106)</f>
        <v>0</v>
      </c>
      <c r="N1106" s="10">
        <f>IF(ActiveDatabase=Standby,Secondary!N1106,Primary!N1106)</f>
        <v>0</v>
      </c>
      <c r="O1106" s="10">
        <f>IF(ActiveDatabase=Standby,Secondary!O1106,Primary!O1106)</f>
        <v>0</v>
      </c>
      <c r="P1106" s="10">
        <f>IF(ActiveDatabase=Standby,Secondary!P1106,Primary!P1106)</f>
        <v>0</v>
      </c>
      <c r="Q1106" s="6">
        <f>IF(ActiveDatabase=Standby,Secondary!Q1106,Primary!Q1106)</f>
        <v>0</v>
      </c>
      <c r="R1106" s="18">
        <f>IF(ActiveDatabase=Standby,Secondary!R1106,Primary!R1106)</f>
        <v>0</v>
      </c>
      <c r="S1106" s="19">
        <f>IF(ActiveDatabase=Standby,Secondary!S1106,Primary!S1106)</f>
        <v>0</v>
      </c>
      <c r="T1106" s="10">
        <f>IF(ActiveDatabase=Standby,Secondary!T1106,Primary!T1106)</f>
        <v>0</v>
      </c>
      <c r="U1106" s="10">
        <f>IF(ActiveDatabase=Standby,Secondary!U1106,Primary!U1106)</f>
        <v>0</v>
      </c>
      <c r="V1106" s="10">
        <f>IF(ActiveDatabase=Standby,Secondary!V1106,Primary!V1106)</f>
        <v>0</v>
      </c>
      <c r="W1106" s="6">
        <f>IF(ActiveDatabase=Standby,Secondary!W1106,Primary!W1106)</f>
        <v>0</v>
      </c>
      <c r="X1106" s="6">
        <f>IF(ActiveDatabase=Standby,Secondary!X1106,Primary!X1106)</f>
        <v>0</v>
      </c>
      <c r="Y1106" s="7">
        <f>IF(ActiveDatabase=Standby,Secondary!Y1106,Primary!Y1764)</f>
        <v>0</v>
      </c>
      <c r="Z1106" s="7">
        <f>IF(ActiveDatabase=Standby,Secondary!Z1106,Primary!Z1764)</f>
        <v>0</v>
      </c>
      <c r="AA1106" s="7">
        <f>IF(ActiveDatabase=Standby,Secondary!AA1106,Primary!AA1764)</f>
        <v>0</v>
      </c>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row>
    <row r="1107" customHeight="1" spans="1:59">
      <c r="A1107" s="9">
        <f>IF(ActiveDatabase=Standby,Secondary!A1107,Primary!A1107)</f>
        <v>0</v>
      </c>
      <c r="B1107" s="5">
        <f>IF(ActiveDatabase=Standby,Secondary!B1107,Primary!B1107)</f>
        <v>0</v>
      </c>
      <c r="C1107" s="5">
        <f>IF(ActiveDatabase=Standby,Secondary!C1107,Primary!C1107)</f>
        <v>0</v>
      </c>
      <c r="D1107" s="5">
        <f>IF(ActiveDatabase=Standby,Secondary!D1107,Primary!D1107)</f>
        <v>0</v>
      </c>
      <c r="E1107" s="6">
        <f>IF(ActiveDatabase=Standby,Secondary!E1107,Primary!E1107)</f>
        <v>0</v>
      </c>
      <c r="F1107" s="10">
        <f>IF(ActiveDatabase=Standby,Secondary!F1107,Primary!F1107)</f>
        <v>0</v>
      </c>
      <c r="G1107" s="10">
        <f>IF(ActiveDatabase=Standby,Secondary!G1107,Primary!G1107)</f>
        <v>0</v>
      </c>
      <c r="H1107" s="10">
        <f>IF(ActiveDatabase=Standby,Secondary!H1107,Primary!H1107)</f>
        <v>0</v>
      </c>
      <c r="I1107" s="13">
        <f>IF(ActiveDatabase=Standby,Secondary!I1107,Primary!I1107)</f>
        <v>0</v>
      </c>
      <c r="J1107" s="13">
        <f>IF(ActiveDatabase=Standby,Secondary!J1107,Primary!J1107)</f>
        <v>0</v>
      </c>
      <c r="K1107" s="13">
        <f>IF(ActiveDatabase=Standby,Secondary!K1107,Primary!K1107)</f>
        <v>0</v>
      </c>
      <c r="L1107" s="13">
        <f>IF(ActiveDatabase=Standby,Secondary!L1107,Primary!L1107)</f>
        <v>0</v>
      </c>
      <c r="M1107" s="7">
        <f>IF(ActiveDatabase=Standby,Secondary!M1107,Primary!M1107)</f>
        <v>0</v>
      </c>
      <c r="N1107" s="10">
        <f>IF(ActiveDatabase=Standby,Secondary!N1107,Primary!N1107)</f>
        <v>0</v>
      </c>
      <c r="O1107" s="10">
        <f>IF(ActiveDatabase=Standby,Secondary!O1107,Primary!O1107)</f>
        <v>0</v>
      </c>
      <c r="P1107" s="10">
        <f>IF(ActiveDatabase=Standby,Secondary!P1107,Primary!P1107)</f>
        <v>0</v>
      </c>
      <c r="Q1107" s="6">
        <f>IF(ActiveDatabase=Standby,Secondary!Q1107,Primary!Q1107)</f>
        <v>0</v>
      </c>
      <c r="R1107" s="18">
        <f>IF(ActiveDatabase=Standby,Secondary!R1107,Primary!R1107)</f>
        <v>0</v>
      </c>
      <c r="S1107" s="19">
        <f>IF(ActiveDatabase=Standby,Secondary!S1107,Primary!S1107)</f>
        <v>0</v>
      </c>
      <c r="T1107" s="10">
        <f>IF(ActiveDatabase=Standby,Secondary!T1107,Primary!T1107)</f>
        <v>0</v>
      </c>
      <c r="U1107" s="10">
        <f>IF(ActiveDatabase=Standby,Secondary!U1107,Primary!U1107)</f>
        <v>0</v>
      </c>
      <c r="V1107" s="10">
        <f>IF(ActiveDatabase=Standby,Secondary!V1107,Primary!V1107)</f>
        <v>0</v>
      </c>
      <c r="W1107" s="6">
        <f>IF(ActiveDatabase=Standby,Secondary!W1107,Primary!W1107)</f>
        <v>0</v>
      </c>
      <c r="X1107" s="6">
        <f>IF(ActiveDatabase=Standby,Secondary!X1107,Primary!X1107)</f>
        <v>0</v>
      </c>
      <c r="Y1107" s="7">
        <f>IF(ActiveDatabase=Standby,Secondary!Y1107,Primary!Y1765)</f>
        <v>0</v>
      </c>
      <c r="Z1107" s="7">
        <f>IF(ActiveDatabase=Standby,Secondary!Z1107,Primary!Z1765)</f>
        <v>0</v>
      </c>
      <c r="AA1107" s="7">
        <f>IF(ActiveDatabase=Standby,Secondary!AA1107,Primary!AA1765)</f>
        <v>0</v>
      </c>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c r="AY1107" s="7"/>
      <c r="AZ1107" s="7"/>
      <c r="BA1107" s="7"/>
      <c r="BB1107" s="7"/>
      <c r="BC1107" s="7"/>
      <c r="BD1107" s="7"/>
      <c r="BE1107" s="7"/>
      <c r="BF1107" s="7"/>
      <c r="BG1107" s="7"/>
    </row>
    <row r="1108" customHeight="1" spans="1:59">
      <c r="A1108" s="9">
        <f>IF(ActiveDatabase=Standby,Secondary!A1108,Primary!A1108)</f>
        <v>0</v>
      </c>
      <c r="B1108" s="5">
        <f>IF(ActiveDatabase=Standby,Secondary!B1108,Primary!B1108)</f>
        <v>0</v>
      </c>
      <c r="C1108" s="5">
        <f>IF(ActiveDatabase=Standby,Secondary!C1108,Primary!C1108)</f>
        <v>0</v>
      </c>
      <c r="D1108" s="5">
        <f>IF(ActiveDatabase=Standby,Secondary!D1108,Primary!D1108)</f>
        <v>0</v>
      </c>
      <c r="E1108" s="6">
        <f>IF(ActiveDatabase=Standby,Secondary!E1108,Primary!E1108)</f>
        <v>0</v>
      </c>
      <c r="F1108" s="10">
        <f>IF(ActiveDatabase=Standby,Secondary!F1108,Primary!F1108)</f>
        <v>0</v>
      </c>
      <c r="G1108" s="10">
        <f>IF(ActiveDatabase=Standby,Secondary!G1108,Primary!G1108)</f>
        <v>0</v>
      </c>
      <c r="H1108" s="10">
        <f>IF(ActiveDatabase=Standby,Secondary!H1108,Primary!H1108)</f>
        <v>0</v>
      </c>
      <c r="I1108" s="13">
        <f>IF(ActiveDatabase=Standby,Secondary!I1108,Primary!I1108)</f>
        <v>0</v>
      </c>
      <c r="J1108" s="13">
        <f>IF(ActiveDatabase=Standby,Secondary!J1108,Primary!J1108)</f>
        <v>0</v>
      </c>
      <c r="K1108" s="13">
        <f>IF(ActiveDatabase=Standby,Secondary!K1108,Primary!K1108)</f>
        <v>0</v>
      </c>
      <c r="L1108" s="13">
        <f>IF(ActiveDatabase=Standby,Secondary!L1108,Primary!L1108)</f>
        <v>0</v>
      </c>
      <c r="M1108" s="7">
        <f>IF(ActiveDatabase=Standby,Secondary!M1108,Primary!M1108)</f>
        <v>0</v>
      </c>
      <c r="N1108" s="10">
        <f>IF(ActiveDatabase=Standby,Secondary!N1108,Primary!N1108)</f>
        <v>0</v>
      </c>
      <c r="O1108" s="10">
        <f>IF(ActiveDatabase=Standby,Secondary!O1108,Primary!O1108)</f>
        <v>0</v>
      </c>
      <c r="P1108" s="10">
        <f>IF(ActiveDatabase=Standby,Secondary!P1108,Primary!P1108)</f>
        <v>0</v>
      </c>
      <c r="Q1108" s="6">
        <f>IF(ActiveDatabase=Standby,Secondary!Q1108,Primary!Q1108)</f>
        <v>0</v>
      </c>
      <c r="R1108" s="18">
        <f>IF(ActiveDatabase=Standby,Secondary!R1108,Primary!R1108)</f>
        <v>0</v>
      </c>
      <c r="S1108" s="19">
        <f>IF(ActiveDatabase=Standby,Secondary!S1108,Primary!S1108)</f>
        <v>0</v>
      </c>
      <c r="T1108" s="10">
        <f>IF(ActiveDatabase=Standby,Secondary!T1108,Primary!T1108)</f>
        <v>0</v>
      </c>
      <c r="U1108" s="10">
        <f>IF(ActiveDatabase=Standby,Secondary!U1108,Primary!U1108)</f>
        <v>0</v>
      </c>
      <c r="V1108" s="10">
        <f>IF(ActiveDatabase=Standby,Secondary!V1108,Primary!V1108)</f>
        <v>0</v>
      </c>
      <c r="W1108" s="6">
        <f>IF(ActiveDatabase=Standby,Secondary!W1108,Primary!W1108)</f>
        <v>0</v>
      </c>
      <c r="X1108" s="6">
        <f>IF(ActiveDatabase=Standby,Secondary!X1108,Primary!X1108)</f>
        <v>0</v>
      </c>
      <c r="Y1108" s="7">
        <f>IF(ActiveDatabase=Standby,Secondary!Y1108,Primary!Y1766)</f>
        <v>0</v>
      </c>
      <c r="Z1108" s="7">
        <f>IF(ActiveDatabase=Standby,Secondary!Z1108,Primary!Z1766)</f>
        <v>0</v>
      </c>
      <c r="AA1108" s="7">
        <f>IF(ActiveDatabase=Standby,Secondary!AA1108,Primary!AA1766)</f>
        <v>0</v>
      </c>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row>
    <row r="1109" customHeight="1" spans="1:59">
      <c r="A1109" s="9">
        <f>IF(ActiveDatabase=Standby,Secondary!A1109,Primary!A1109)</f>
        <v>0</v>
      </c>
      <c r="B1109" s="5">
        <f>IF(ActiveDatabase=Standby,Secondary!B1109,Primary!B1109)</f>
        <v>0</v>
      </c>
      <c r="C1109" s="5">
        <f>IF(ActiveDatabase=Standby,Secondary!C1109,Primary!C1109)</f>
        <v>0</v>
      </c>
      <c r="D1109" s="5">
        <f>IF(ActiveDatabase=Standby,Secondary!D1109,Primary!D1109)</f>
        <v>0</v>
      </c>
      <c r="E1109" s="6">
        <f>IF(ActiveDatabase=Standby,Secondary!E1109,Primary!E1109)</f>
        <v>0</v>
      </c>
      <c r="F1109" s="10">
        <f>IF(ActiveDatabase=Standby,Secondary!F1109,Primary!F1109)</f>
        <v>0</v>
      </c>
      <c r="G1109" s="10">
        <f>IF(ActiveDatabase=Standby,Secondary!G1109,Primary!G1109)</f>
        <v>0</v>
      </c>
      <c r="H1109" s="10">
        <f>IF(ActiveDatabase=Standby,Secondary!H1109,Primary!H1109)</f>
        <v>0</v>
      </c>
      <c r="I1109" s="13">
        <f>IF(ActiveDatabase=Standby,Secondary!I1109,Primary!I1109)</f>
        <v>0</v>
      </c>
      <c r="J1109" s="13">
        <f>IF(ActiveDatabase=Standby,Secondary!J1109,Primary!J1109)</f>
        <v>0</v>
      </c>
      <c r="K1109" s="13">
        <f>IF(ActiveDatabase=Standby,Secondary!K1109,Primary!K1109)</f>
        <v>0</v>
      </c>
      <c r="L1109" s="13">
        <f>IF(ActiveDatabase=Standby,Secondary!L1109,Primary!L1109)</f>
        <v>0</v>
      </c>
      <c r="M1109" s="7">
        <f>IF(ActiveDatabase=Standby,Secondary!M1109,Primary!M1109)</f>
        <v>0</v>
      </c>
      <c r="N1109" s="10">
        <f>IF(ActiveDatabase=Standby,Secondary!N1109,Primary!N1109)</f>
        <v>0</v>
      </c>
      <c r="O1109" s="10">
        <f>IF(ActiveDatabase=Standby,Secondary!O1109,Primary!O1109)</f>
        <v>0</v>
      </c>
      <c r="P1109" s="10">
        <f>IF(ActiveDatabase=Standby,Secondary!P1109,Primary!P1109)</f>
        <v>0</v>
      </c>
      <c r="Q1109" s="6">
        <f>IF(ActiveDatabase=Standby,Secondary!Q1109,Primary!Q1109)</f>
        <v>0</v>
      </c>
      <c r="R1109" s="18">
        <f>IF(ActiveDatabase=Standby,Secondary!R1109,Primary!R1109)</f>
        <v>0</v>
      </c>
      <c r="S1109" s="19">
        <f>IF(ActiveDatabase=Standby,Secondary!S1109,Primary!S1109)</f>
        <v>0</v>
      </c>
      <c r="T1109" s="10">
        <f>IF(ActiveDatabase=Standby,Secondary!T1109,Primary!T1109)</f>
        <v>0</v>
      </c>
      <c r="U1109" s="10">
        <f>IF(ActiveDatabase=Standby,Secondary!U1109,Primary!U1109)</f>
        <v>0</v>
      </c>
      <c r="V1109" s="10">
        <f>IF(ActiveDatabase=Standby,Secondary!V1109,Primary!V1109)</f>
        <v>0</v>
      </c>
      <c r="W1109" s="6">
        <f>IF(ActiveDatabase=Standby,Secondary!W1109,Primary!W1109)</f>
        <v>0</v>
      </c>
      <c r="X1109" s="6">
        <f>IF(ActiveDatabase=Standby,Secondary!X1109,Primary!X1109)</f>
        <v>0</v>
      </c>
      <c r="Y1109" s="7">
        <f>IF(ActiveDatabase=Standby,Secondary!Y1109,Primary!Y1767)</f>
        <v>0</v>
      </c>
      <c r="Z1109" s="7">
        <f>IF(ActiveDatabase=Standby,Secondary!Z1109,Primary!Z1767)</f>
        <v>0</v>
      </c>
      <c r="AA1109" s="7">
        <f>IF(ActiveDatabase=Standby,Secondary!AA1109,Primary!AA1767)</f>
        <v>0</v>
      </c>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7"/>
      <c r="AZ1109" s="7"/>
      <c r="BA1109" s="7"/>
      <c r="BB1109" s="7"/>
      <c r="BC1109" s="7"/>
      <c r="BD1109" s="7"/>
      <c r="BE1109" s="7"/>
      <c r="BF1109" s="7"/>
      <c r="BG1109" s="7"/>
    </row>
    <row r="1110" customHeight="1" spans="1:59">
      <c r="A1110" s="9">
        <f>IF(ActiveDatabase=Standby,Secondary!A1110,Primary!A1110)</f>
        <v>0</v>
      </c>
      <c r="B1110" s="5">
        <f>IF(ActiveDatabase=Standby,Secondary!B1110,Primary!B1110)</f>
        <v>0</v>
      </c>
      <c r="C1110" s="5">
        <f>IF(ActiveDatabase=Standby,Secondary!C1110,Primary!C1110)</f>
        <v>0</v>
      </c>
      <c r="D1110" s="5">
        <f>IF(ActiveDatabase=Standby,Secondary!D1110,Primary!D1110)</f>
        <v>0</v>
      </c>
      <c r="E1110" s="6">
        <f>IF(ActiveDatabase=Standby,Secondary!E1110,Primary!E1110)</f>
        <v>0</v>
      </c>
      <c r="F1110" s="10">
        <f>IF(ActiveDatabase=Standby,Secondary!F1110,Primary!F1110)</f>
        <v>0</v>
      </c>
      <c r="G1110" s="10">
        <f>IF(ActiveDatabase=Standby,Secondary!G1110,Primary!G1110)</f>
        <v>0</v>
      </c>
      <c r="H1110" s="10">
        <f>IF(ActiveDatabase=Standby,Secondary!H1110,Primary!H1110)</f>
        <v>0</v>
      </c>
      <c r="I1110" s="13">
        <f>IF(ActiveDatabase=Standby,Secondary!I1110,Primary!I1110)</f>
        <v>0</v>
      </c>
      <c r="J1110" s="13">
        <f>IF(ActiveDatabase=Standby,Secondary!J1110,Primary!J1110)</f>
        <v>0</v>
      </c>
      <c r="K1110" s="13">
        <f>IF(ActiveDatabase=Standby,Secondary!K1110,Primary!K1110)</f>
        <v>0</v>
      </c>
      <c r="L1110" s="13">
        <f>IF(ActiveDatabase=Standby,Secondary!L1110,Primary!L1110)</f>
        <v>0</v>
      </c>
      <c r="M1110" s="7">
        <f>IF(ActiveDatabase=Standby,Secondary!M1110,Primary!M1110)</f>
        <v>0</v>
      </c>
      <c r="N1110" s="10">
        <f>IF(ActiveDatabase=Standby,Secondary!N1110,Primary!N1110)</f>
        <v>0</v>
      </c>
      <c r="O1110" s="10">
        <f>IF(ActiveDatabase=Standby,Secondary!O1110,Primary!O1110)</f>
        <v>0</v>
      </c>
      <c r="P1110" s="10">
        <f>IF(ActiveDatabase=Standby,Secondary!P1110,Primary!P1110)</f>
        <v>0</v>
      </c>
      <c r="Q1110" s="6">
        <f>IF(ActiveDatabase=Standby,Secondary!Q1110,Primary!Q1110)</f>
        <v>0</v>
      </c>
      <c r="R1110" s="18">
        <f>IF(ActiveDatabase=Standby,Secondary!R1110,Primary!R1110)</f>
        <v>0</v>
      </c>
      <c r="S1110" s="19">
        <f>IF(ActiveDatabase=Standby,Secondary!S1110,Primary!S1110)</f>
        <v>0</v>
      </c>
      <c r="T1110" s="10">
        <f>IF(ActiveDatabase=Standby,Secondary!T1110,Primary!T1110)</f>
        <v>0</v>
      </c>
      <c r="U1110" s="10">
        <f>IF(ActiveDatabase=Standby,Secondary!U1110,Primary!U1110)</f>
        <v>0</v>
      </c>
      <c r="V1110" s="10">
        <f>IF(ActiveDatabase=Standby,Secondary!V1110,Primary!V1110)</f>
        <v>0</v>
      </c>
      <c r="W1110" s="6">
        <f>IF(ActiveDatabase=Standby,Secondary!W1110,Primary!W1110)</f>
        <v>0</v>
      </c>
      <c r="X1110" s="6">
        <f>IF(ActiveDatabase=Standby,Secondary!X1110,Primary!X1110)</f>
        <v>0</v>
      </c>
      <c r="Y1110" s="7">
        <f>IF(ActiveDatabase=Standby,Secondary!Y1110,Primary!Y1768)</f>
        <v>0</v>
      </c>
      <c r="Z1110" s="7">
        <f>IF(ActiveDatabase=Standby,Secondary!Z1110,Primary!Z1768)</f>
        <v>0</v>
      </c>
      <c r="AA1110" s="7">
        <f>IF(ActiveDatabase=Standby,Secondary!AA1110,Primary!AA1768)</f>
        <v>0</v>
      </c>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row>
    <row r="1111" customHeight="1" spans="1:59">
      <c r="A1111" s="9">
        <f>IF(ActiveDatabase=Standby,Secondary!A1111,Primary!A1111)</f>
        <v>0</v>
      </c>
      <c r="B1111" s="5">
        <f>IF(ActiveDatabase=Standby,Secondary!B1111,Primary!B1111)</f>
        <v>0</v>
      </c>
      <c r="C1111" s="5">
        <f>IF(ActiveDatabase=Standby,Secondary!C1111,Primary!C1111)</f>
        <v>0</v>
      </c>
      <c r="D1111" s="5">
        <f>IF(ActiveDatabase=Standby,Secondary!D1111,Primary!D1111)</f>
        <v>0</v>
      </c>
      <c r="E1111" s="6">
        <f>IF(ActiveDatabase=Standby,Secondary!E1111,Primary!E1111)</f>
        <v>0</v>
      </c>
      <c r="F1111" s="10">
        <f>IF(ActiveDatabase=Standby,Secondary!F1111,Primary!F1111)</f>
        <v>0</v>
      </c>
      <c r="G1111" s="10">
        <f>IF(ActiveDatabase=Standby,Secondary!G1111,Primary!G1111)</f>
        <v>0</v>
      </c>
      <c r="H1111" s="10">
        <f>IF(ActiveDatabase=Standby,Secondary!H1111,Primary!H1111)</f>
        <v>0</v>
      </c>
      <c r="I1111" s="13">
        <f>IF(ActiveDatabase=Standby,Secondary!I1111,Primary!I1111)</f>
        <v>0</v>
      </c>
      <c r="J1111" s="13">
        <f>IF(ActiveDatabase=Standby,Secondary!J1111,Primary!J1111)</f>
        <v>0</v>
      </c>
      <c r="K1111" s="13">
        <f>IF(ActiveDatabase=Standby,Secondary!K1111,Primary!K1111)</f>
        <v>0</v>
      </c>
      <c r="L1111" s="13">
        <f>IF(ActiveDatabase=Standby,Secondary!L1111,Primary!L1111)</f>
        <v>0</v>
      </c>
      <c r="M1111" s="7">
        <f>IF(ActiveDatabase=Standby,Secondary!M1111,Primary!M1111)</f>
        <v>0</v>
      </c>
      <c r="N1111" s="10">
        <f>IF(ActiveDatabase=Standby,Secondary!N1111,Primary!N1111)</f>
        <v>0</v>
      </c>
      <c r="O1111" s="10">
        <f>IF(ActiveDatabase=Standby,Secondary!O1111,Primary!O1111)</f>
        <v>0</v>
      </c>
      <c r="P1111" s="10">
        <f>IF(ActiveDatabase=Standby,Secondary!P1111,Primary!P1111)</f>
        <v>0</v>
      </c>
      <c r="Q1111" s="6">
        <f>IF(ActiveDatabase=Standby,Secondary!Q1111,Primary!Q1111)</f>
        <v>0</v>
      </c>
      <c r="R1111" s="18">
        <f>IF(ActiveDatabase=Standby,Secondary!R1111,Primary!R1111)</f>
        <v>0</v>
      </c>
      <c r="S1111" s="19">
        <f>IF(ActiveDatabase=Standby,Secondary!S1111,Primary!S1111)</f>
        <v>0</v>
      </c>
      <c r="T1111" s="10">
        <f>IF(ActiveDatabase=Standby,Secondary!T1111,Primary!T1111)</f>
        <v>0</v>
      </c>
      <c r="U1111" s="10">
        <f>IF(ActiveDatabase=Standby,Secondary!U1111,Primary!U1111)</f>
        <v>0</v>
      </c>
      <c r="V1111" s="10">
        <f>IF(ActiveDatabase=Standby,Secondary!V1111,Primary!V1111)</f>
        <v>0</v>
      </c>
      <c r="W1111" s="6">
        <f>IF(ActiveDatabase=Standby,Secondary!W1111,Primary!W1111)</f>
        <v>0</v>
      </c>
      <c r="X1111" s="6">
        <f>IF(ActiveDatabase=Standby,Secondary!X1111,Primary!X1111)</f>
        <v>0</v>
      </c>
      <c r="Y1111" s="7">
        <f>IF(ActiveDatabase=Standby,Secondary!Y1111,Primary!Y1769)</f>
        <v>0</v>
      </c>
      <c r="Z1111" s="7">
        <f>IF(ActiveDatabase=Standby,Secondary!Z1111,Primary!Z1769)</f>
        <v>0</v>
      </c>
      <c r="AA1111" s="7">
        <f>IF(ActiveDatabase=Standby,Secondary!AA1111,Primary!AA1769)</f>
        <v>0</v>
      </c>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7"/>
      <c r="BD1111" s="7"/>
      <c r="BE1111" s="7"/>
      <c r="BF1111" s="7"/>
      <c r="BG1111" s="7"/>
    </row>
    <row r="1112" customHeight="1" spans="1:59">
      <c r="A1112" s="9">
        <f>IF(ActiveDatabase=Standby,Secondary!A1112,Primary!A1112)</f>
        <v>0</v>
      </c>
      <c r="B1112" s="5">
        <f>IF(ActiveDatabase=Standby,Secondary!B1112,Primary!B1112)</f>
        <v>0</v>
      </c>
      <c r="C1112" s="5">
        <f>IF(ActiveDatabase=Standby,Secondary!C1112,Primary!C1112)</f>
        <v>0</v>
      </c>
      <c r="D1112" s="5">
        <f>IF(ActiveDatabase=Standby,Secondary!D1112,Primary!D1112)</f>
        <v>0</v>
      </c>
      <c r="E1112" s="6">
        <f>IF(ActiveDatabase=Standby,Secondary!E1112,Primary!E1112)</f>
        <v>0</v>
      </c>
      <c r="F1112" s="10">
        <f>IF(ActiveDatabase=Standby,Secondary!F1112,Primary!F1112)</f>
        <v>0</v>
      </c>
      <c r="G1112" s="10">
        <f>IF(ActiveDatabase=Standby,Secondary!G1112,Primary!G1112)</f>
        <v>0</v>
      </c>
      <c r="H1112" s="10">
        <f>IF(ActiveDatabase=Standby,Secondary!H1112,Primary!H1112)</f>
        <v>0</v>
      </c>
      <c r="I1112" s="13">
        <f>IF(ActiveDatabase=Standby,Secondary!I1112,Primary!I1112)</f>
        <v>0</v>
      </c>
      <c r="J1112" s="13">
        <f>IF(ActiveDatabase=Standby,Secondary!J1112,Primary!J1112)</f>
        <v>0</v>
      </c>
      <c r="K1112" s="13">
        <f>IF(ActiveDatabase=Standby,Secondary!K1112,Primary!K1112)</f>
        <v>0</v>
      </c>
      <c r="L1112" s="13">
        <f>IF(ActiveDatabase=Standby,Secondary!L1112,Primary!L1112)</f>
        <v>0</v>
      </c>
      <c r="M1112" s="7">
        <f>IF(ActiveDatabase=Standby,Secondary!M1112,Primary!M1112)</f>
        <v>0</v>
      </c>
      <c r="N1112" s="10">
        <f>IF(ActiveDatabase=Standby,Secondary!N1112,Primary!N1112)</f>
        <v>0</v>
      </c>
      <c r="O1112" s="10">
        <f>IF(ActiveDatabase=Standby,Secondary!O1112,Primary!O1112)</f>
        <v>0</v>
      </c>
      <c r="P1112" s="10">
        <f>IF(ActiveDatabase=Standby,Secondary!P1112,Primary!P1112)</f>
        <v>0</v>
      </c>
      <c r="Q1112" s="6">
        <f>IF(ActiveDatabase=Standby,Secondary!Q1112,Primary!Q1112)</f>
        <v>0</v>
      </c>
      <c r="R1112" s="18">
        <f>IF(ActiveDatabase=Standby,Secondary!R1112,Primary!R1112)</f>
        <v>0</v>
      </c>
      <c r="S1112" s="19">
        <f>IF(ActiveDatabase=Standby,Secondary!S1112,Primary!S1112)</f>
        <v>0</v>
      </c>
      <c r="T1112" s="10">
        <f>IF(ActiveDatabase=Standby,Secondary!T1112,Primary!T1112)</f>
        <v>0</v>
      </c>
      <c r="U1112" s="10">
        <f>IF(ActiveDatabase=Standby,Secondary!U1112,Primary!U1112)</f>
        <v>0</v>
      </c>
      <c r="V1112" s="10">
        <f>IF(ActiveDatabase=Standby,Secondary!V1112,Primary!V1112)</f>
        <v>0</v>
      </c>
      <c r="W1112" s="6">
        <f>IF(ActiveDatabase=Standby,Secondary!W1112,Primary!W1112)</f>
        <v>0</v>
      </c>
      <c r="X1112" s="6">
        <f>IF(ActiveDatabase=Standby,Secondary!X1112,Primary!X1112)</f>
        <v>0</v>
      </c>
      <c r="Y1112" s="7">
        <f>IF(ActiveDatabase=Standby,Secondary!Y1112,Primary!Y1770)</f>
        <v>0</v>
      </c>
      <c r="Z1112" s="7">
        <f>IF(ActiveDatabase=Standby,Secondary!Z1112,Primary!Z1770)</f>
        <v>0</v>
      </c>
      <c r="AA1112" s="7">
        <f>IF(ActiveDatabase=Standby,Secondary!AA1112,Primary!AA1770)</f>
        <v>0</v>
      </c>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row>
    <row r="1113" customHeight="1" spans="1:59">
      <c r="A1113" s="9">
        <f>IF(ActiveDatabase=Standby,Secondary!A1113,Primary!A1113)</f>
        <v>0</v>
      </c>
      <c r="B1113" s="5">
        <f>IF(ActiveDatabase=Standby,Secondary!B1113,Primary!B1113)</f>
        <v>0</v>
      </c>
      <c r="C1113" s="5">
        <f>IF(ActiveDatabase=Standby,Secondary!C1113,Primary!C1113)</f>
        <v>0</v>
      </c>
      <c r="D1113" s="5">
        <f>IF(ActiveDatabase=Standby,Secondary!D1113,Primary!D1113)</f>
        <v>0</v>
      </c>
      <c r="E1113" s="6">
        <f>IF(ActiveDatabase=Standby,Secondary!E1113,Primary!E1113)</f>
        <v>0</v>
      </c>
      <c r="F1113" s="10">
        <f>IF(ActiveDatabase=Standby,Secondary!F1113,Primary!F1113)</f>
        <v>0</v>
      </c>
      <c r="G1113" s="10">
        <f>IF(ActiveDatabase=Standby,Secondary!G1113,Primary!G1113)</f>
        <v>0</v>
      </c>
      <c r="H1113" s="10">
        <f>IF(ActiveDatabase=Standby,Secondary!H1113,Primary!H1113)</f>
        <v>0</v>
      </c>
      <c r="I1113" s="13">
        <f>IF(ActiveDatabase=Standby,Secondary!I1113,Primary!I1113)</f>
        <v>0</v>
      </c>
      <c r="J1113" s="13">
        <f>IF(ActiveDatabase=Standby,Secondary!J1113,Primary!J1113)</f>
        <v>0</v>
      </c>
      <c r="K1113" s="13">
        <f>IF(ActiveDatabase=Standby,Secondary!K1113,Primary!K1113)</f>
        <v>0</v>
      </c>
      <c r="L1113" s="13">
        <f>IF(ActiveDatabase=Standby,Secondary!L1113,Primary!L1113)</f>
        <v>0</v>
      </c>
      <c r="M1113" s="7">
        <f>IF(ActiveDatabase=Standby,Secondary!M1113,Primary!M1113)</f>
        <v>0</v>
      </c>
      <c r="N1113" s="10">
        <f>IF(ActiveDatabase=Standby,Secondary!N1113,Primary!N1113)</f>
        <v>0</v>
      </c>
      <c r="O1113" s="10">
        <f>IF(ActiveDatabase=Standby,Secondary!O1113,Primary!O1113)</f>
        <v>0</v>
      </c>
      <c r="P1113" s="10">
        <f>IF(ActiveDatabase=Standby,Secondary!P1113,Primary!P1113)</f>
        <v>0</v>
      </c>
      <c r="Q1113" s="6">
        <f>IF(ActiveDatabase=Standby,Secondary!Q1113,Primary!Q1113)</f>
        <v>0</v>
      </c>
      <c r="R1113" s="18">
        <f>IF(ActiveDatabase=Standby,Secondary!R1113,Primary!R1113)</f>
        <v>0</v>
      </c>
      <c r="S1113" s="19">
        <f>IF(ActiveDatabase=Standby,Secondary!S1113,Primary!S1113)</f>
        <v>0</v>
      </c>
      <c r="T1113" s="10">
        <f>IF(ActiveDatabase=Standby,Secondary!T1113,Primary!T1113)</f>
        <v>0</v>
      </c>
      <c r="U1113" s="10">
        <f>IF(ActiveDatabase=Standby,Secondary!U1113,Primary!U1113)</f>
        <v>0</v>
      </c>
      <c r="V1113" s="10">
        <f>IF(ActiveDatabase=Standby,Secondary!V1113,Primary!V1113)</f>
        <v>0</v>
      </c>
      <c r="W1113" s="6">
        <f>IF(ActiveDatabase=Standby,Secondary!W1113,Primary!W1113)</f>
        <v>0</v>
      </c>
      <c r="X1113" s="6">
        <f>IF(ActiveDatabase=Standby,Secondary!X1113,Primary!X1113)</f>
        <v>0</v>
      </c>
      <c r="Y1113" s="7">
        <f>IF(ActiveDatabase=Standby,Secondary!Y1113,Primary!Y1771)</f>
        <v>0</v>
      </c>
      <c r="Z1113" s="7">
        <f>IF(ActiveDatabase=Standby,Secondary!Z1113,Primary!Z1771)</f>
        <v>0</v>
      </c>
      <c r="AA1113" s="7">
        <f>IF(ActiveDatabase=Standby,Secondary!AA1113,Primary!AA1771)</f>
        <v>0</v>
      </c>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7"/>
      <c r="BD1113" s="7"/>
      <c r="BE1113" s="7"/>
      <c r="BF1113" s="7"/>
      <c r="BG1113" s="7"/>
    </row>
    <row r="1114" customHeight="1" spans="1:59">
      <c r="A1114" s="9">
        <f>IF(ActiveDatabase=Standby,Secondary!A1114,Primary!A1114)</f>
        <v>0</v>
      </c>
      <c r="B1114" s="5">
        <f>IF(ActiveDatabase=Standby,Secondary!B1114,Primary!B1114)</f>
        <v>0</v>
      </c>
      <c r="C1114" s="5">
        <f>IF(ActiveDatabase=Standby,Secondary!C1114,Primary!C1114)</f>
        <v>0</v>
      </c>
      <c r="D1114" s="5">
        <f>IF(ActiveDatabase=Standby,Secondary!D1114,Primary!D1114)</f>
        <v>0</v>
      </c>
      <c r="E1114" s="6">
        <f>IF(ActiveDatabase=Standby,Secondary!E1114,Primary!E1114)</f>
        <v>0</v>
      </c>
      <c r="F1114" s="10">
        <f>IF(ActiveDatabase=Standby,Secondary!F1114,Primary!F1114)</f>
        <v>0</v>
      </c>
      <c r="G1114" s="10">
        <f>IF(ActiveDatabase=Standby,Secondary!G1114,Primary!G1114)</f>
        <v>0</v>
      </c>
      <c r="H1114" s="10">
        <f>IF(ActiveDatabase=Standby,Secondary!H1114,Primary!H1114)</f>
        <v>0</v>
      </c>
      <c r="I1114" s="13">
        <f>IF(ActiveDatabase=Standby,Secondary!I1114,Primary!I1114)</f>
        <v>0</v>
      </c>
      <c r="J1114" s="13">
        <f>IF(ActiveDatabase=Standby,Secondary!J1114,Primary!J1114)</f>
        <v>0</v>
      </c>
      <c r="K1114" s="13">
        <f>IF(ActiveDatabase=Standby,Secondary!K1114,Primary!K1114)</f>
        <v>0</v>
      </c>
      <c r="L1114" s="13">
        <f>IF(ActiveDatabase=Standby,Secondary!L1114,Primary!L1114)</f>
        <v>0</v>
      </c>
      <c r="M1114" s="7">
        <f>IF(ActiveDatabase=Standby,Secondary!M1114,Primary!M1114)</f>
        <v>0</v>
      </c>
      <c r="N1114" s="10">
        <f>IF(ActiveDatabase=Standby,Secondary!N1114,Primary!N1114)</f>
        <v>0</v>
      </c>
      <c r="O1114" s="10">
        <f>IF(ActiveDatabase=Standby,Secondary!O1114,Primary!O1114)</f>
        <v>0</v>
      </c>
      <c r="P1114" s="10">
        <f>IF(ActiveDatabase=Standby,Secondary!P1114,Primary!P1114)</f>
        <v>0</v>
      </c>
      <c r="Q1114" s="6">
        <f>IF(ActiveDatabase=Standby,Secondary!Q1114,Primary!Q1114)</f>
        <v>0</v>
      </c>
      <c r="R1114" s="18">
        <f>IF(ActiveDatabase=Standby,Secondary!R1114,Primary!R1114)</f>
        <v>0</v>
      </c>
      <c r="S1114" s="19">
        <f>IF(ActiveDatabase=Standby,Secondary!S1114,Primary!S1114)</f>
        <v>0</v>
      </c>
      <c r="T1114" s="10">
        <f>IF(ActiveDatabase=Standby,Secondary!T1114,Primary!T1114)</f>
        <v>0</v>
      </c>
      <c r="U1114" s="10">
        <f>IF(ActiveDatabase=Standby,Secondary!U1114,Primary!U1114)</f>
        <v>0</v>
      </c>
      <c r="V1114" s="10">
        <f>IF(ActiveDatabase=Standby,Secondary!V1114,Primary!V1114)</f>
        <v>0</v>
      </c>
      <c r="W1114" s="6">
        <f>IF(ActiveDatabase=Standby,Secondary!W1114,Primary!W1114)</f>
        <v>0</v>
      </c>
      <c r="X1114" s="6">
        <f>IF(ActiveDatabase=Standby,Secondary!X1114,Primary!X1114)</f>
        <v>0</v>
      </c>
      <c r="Y1114" s="7">
        <f>IF(ActiveDatabase=Standby,Secondary!Y1114,Primary!Y1772)</f>
        <v>0</v>
      </c>
      <c r="Z1114" s="7">
        <f>IF(ActiveDatabase=Standby,Secondary!Z1114,Primary!Z1772)</f>
        <v>0</v>
      </c>
      <c r="AA1114" s="7">
        <f>IF(ActiveDatabase=Standby,Secondary!AA1114,Primary!AA1772)</f>
        <v>0</v>
      </c>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7"/>
      <c r="BD1114" s="7"/>
      <c r="BE1114" s="7"/>
      <c r="BF1114" s="7"/>
      <c r="BG1114" s="7"/>
    </row>
    <row r="1115" customHeight="1" spans="1:59">
      <c r="A1115" s="9">
        <f>IF(ActiveDatabase=Standby,Secondary!A1115,Primary!A1115)</f>
        <v>0</v>
      </c>
      <c r="B1115" s="5">
        <f>IF(ActiveDatabase=Standby,Secondary!B1115,Primary!B1115)</f>
        <v>0</v>
      </c>
      <c r="C1115" s="5">
        <f>IF(ActiveDatabase=Standby,Secondary!C1115,Primary!C1115)</f>
        <v>0</v>
      </c>
      <c r="D1115" s="5">
        <f>IF(ActiveDatabase=Standby,Secondary!D1115,Primary!D1115)</f>
        <v>0</v>
      </c>
      <c r="E1115" s="6">
        <f>IF(ActiveDatabase=Standby,Secondary!E1115,Primary!E1115)</f>
        <v>0</v>
      </c>
      <c r="F1115" s="10">
        <f>IF(ActiveDatabase=Standby,Secondary!F1115,Primary!F1115)</f>
        <v>0</v>
      </c>
      <c r="G1115" s="10">
        <f>IF(ActiveDatabase=Standby,Secondary!G1115,Primary!G1115)</f>
        <v>0</v>
      </c>
      <c r="H1115" s="10">
        <f>IF(ActiveDatabase=Standby,Secondary!H1115,Primary!H1115)</f>
        <v>0</v>
      </c>
      <c r="I1115" s="13">
        <f>IF(ActiveDatabase=Standby,Secondary!I1115,Primary!I1115)</f>
        <v>0</v>
      </c>
      <c r="J1115" s="13">
        <f>IF(ActiveDatabase=Standby,Secondary!J1115,Primary!J1115)</f>
        <v>0</v>
      </c>
      <c r="K1115" s="13">
        <f>IF(ActiveDatabase=Standby,Secondary!K1115,Primary!K1115)</f>
        <v>0</v>
      </c>
      <c r="L1115" s="13">
        <f>IF(ActiveDatabase=Standby,Secondary!L1115,Primary!L1115)</f>
        <v>0</v>
      </c>
      <c r="M1115" s="7">
        <f>IF(ActiveDatabase=Standby,Secondary!M1115,Primary!M1115)</f>
        <v>0</v>
      </c>
      <c r="N1115" s="10">
        <f>IF(ActiveDatabase=Standby,Secondary!N1115,Primary!N1115)</f>
        <v>0</v>
      </c>
      <c r="O1115" s="10">
        <f>IF(ActiveDatabase=Standby,Secondary!O1115,Primary!O1115)</f>
        <v>0</v>
      </c>
      <c r="P1115" s="10">
        <f>IF(ActiveDatabase=Standby,Secondary!P1115,Primary!P1115)</f>
        <v>0</v>
      </c>
      <c r="Q1115" s="6">
        <f>IF(ActiveDatabase=Standby,Secondary!Q1115,Primary!Q1115)</f>
        <v>0</v>
      </c>
      <c r="R1115" s="18">
        <f>IF(ActiveDatabase=Standby,Secondary!R1115,Primary!R1115)</f>
        <v>0</v>
      </c>
      <c r="S1115" s="19">
        <f>IF(ActiveDatabase=Standby,Secondary!S1115,Primary!S1115)</f>
        <v>0</v>
      </c>
      <c r="T1115" s="10">
        <f>IF(ActiveDatabase=Standby,Secondary!T1115,Primary!T1115)</f>
        <v>0</v>
      </c>
      <c r="U1115" s="10">
        <f>IF(ActiveDatabase=Standby,Secondary!U1115,Primary!U1115)</f>
        <v>0</v>
      </c>
      <c r="V1115" s="10">
        <f>IF(ActiveDatabase=Standby,Secondary!V1115,Primary!V1115)</f>
        <v>0</v>
      </c>
      <c r="W1115" s="6">
        <f>IF(ActiveDatabase=Standby,Secondary!W1115,Primary!W1115)</f>
        <v>0</v>
      </c>
      <c r="X1115" s="6">
        <f>IF(ActiveDatabase=Standby,Secondary!X1115,Primary!X1115)</f>
        <v>0</v>
      </c>
      <c r="Y1115" s="7">
        <f>IF(ActiveDatabase=Standby,Secondary!Y1115,Primary!Y1773)</f>
        <v>0</v>
      </c>
      <c r="Z1115" s="7">
        <f>IF(ActiveDatabase=Standby,Secondary!Z1115,Primary!Z1773)</f>
        <v>0</v>
      </c>
      <c r="AA1115" s="7">
        <f>IF(ActiveDatabase=Standby,Secondary!AA1115,Primary!AA1773)</f>
        <v>0</v>
      </c>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c r="AY1115" s="7"/>
      <c r="AZ1115" s="7"/>
      <c r="BA1115" s="7"/>
      <c r="BB1115" s="7"/>
      <c r="BC1115" s="7"/>
      <c r="BD1115" s="7"/>
      <c r="BE1115" s="7"/>
      <c r="BF1115" s="7"/>
      <c r="BG1115" s="7"/>
    </row>
    <row r="1116" customHeight="1" spans="1:59">
      <c r="A1116" s="9">
        <f>IF(ActiveDatabase=Standby,Secondary!A1116,Primary!A1116)</f>
        <v>0</v>
      </c>
      <c r="B1116" s="5">
        <f>IF(ActiveDatabase=Standby,Secondary!B1116,Primary!B1116)</f>
        <v>0</v>
      </c>
      <c r="C1116" s="5">
        <f>IF(ActiveDatabase=Standby,Secondary!C1116,Primary!C1116)</f>
        <v>0</v>
      </c>
      <c r="D1116" s="5">
        <f>IF(ActiveDatabase=Standby,Secondary!D1116,Primary!D1116)</f>
        <v>0</v>
      </c>
      <c r="E1116" s="6">
        <f>IF(ActiveDatabase=Standby,Secondary!E1116,Primary!E1116)</f>
        <v>0</v>
      </c>
      <c r="F1116" s="10">
        <f>IF(ActiveDatabase=Standby,Secondary!F1116,Primary!F1116)</f>
        <v>0</v>
      </c>
      <c r="G1116" s="10">
        <f>IF(ActiveDatabase=Standby,Secondary!G1116,Primary!G1116)</f>
        <v>0</v>
      </c>
      <c r="H1116" s="10">
        <f>IF(ActiveDatabase=Standby,Secondary!H1116,Primary!H1116)</f>
        <v>0</v>
      </c>
      <c r="I1116" s="13">
        <f>IF(ActiveDatabase=Standby,Secondary!I1116,Primary!I1116)</f>
        <v>0</v>
      </c>
      <c r="J1116" s="13">
        <f>IF(ActiveDatabase=Standby,Secondary!J1116,Primary!J1116)</f>
        <v>0</v>
      </c>
      <c r="K1116" s="13">
        <f>IF(ActiveDatabase=Standby,Secondary!K1116,Primary!K1116)</f>
        <v>0</v>
      </c>
      <c r="L1116" s="13">
        <f>IF(ActiveDatabase=Standby,Secondary!L1116,Primary!L1116)</f>
        <v>0</v>
      </c>
      <c r="M1116" s="7">
        <f>IF(ActiveDatabase=Standby,Secondary!M1116,Primary!M1116)</f>
        <v>0</v>
      </c>
      <c r="N1116" s="10">
        <f>IF(ActiveDatabase=Standby,Secondary!N1116,Primary!N1116)</f>
        <v>0</v>
      </c>
      <c r="O1116" s="10">
        <f>IF(ActiveDatabase=Standby,Secondary!O1116,Primary!O1116)</f>
        <v>0</v>
      </c>
      <c r="P1116" s="10">
        <f>IF(ActiveDatabase=Standby,Secondary!P1116,Primary!P1116)</f>
        <v>0</v>
      </c>
      <c r="Q1116" s="6">
        <f>IF(ActiveDatabase=Standby,Secondary!Q1116,Primary!Q1116)</f>
        <v>0</v>
      </c>
      <c r="R1116" s="18">
        <f>IF(ActiveDatabase=Standby,Secondary!R1116,Primary!R1116)</f>
        <v>0</v>
      </c>
      <c r="S1116" s="19">
        <f>IF(ActiveDatabase=Standby,Secondary!S1116,Primary!S1116)</f>
        <v>0</v>
      </c>
      <c r="T1116" s="10">
        <f>IF(ActiveDatabase=Standby,Secondary!T1116,Primary!T1116)</f>
        <v>0</v>
      </c>
      <c r="U1116" s="10">
        <f>IF(ActiveDatabase=Standby,Secondary!U1116,Primary!U1116)</f>
        <v>0</v>
      </c>
      <c r="V1116" s="10">
        <f>IF(ActiveDatabase=Standby,Secondary!V1116,Primary!V1116)</f>
        <v>0</v>
      </c>
      <c r="W1116" s="6">
        <f>IF(ActiveDatabase=Standby,Secondary!W1116,Primary!W1116)</f>
        <v>0</v>
      </c>
      <c r="X1116" s="6">
        <f>IF(ActiveDatabase=Standby,Secondary!X1116,Primary!X1116)</f>
        <v>0</v>
      </c>
      <c r="Y1116" s="7">
        <f>IF(ActiveDatabase=Standby,Secondary!Y1116,Primary!Y1774)</f>
        <v>0</v>
      </c>
      <c r="Z1116" s="7">
        <f>IF(ActiveDatabase=Standby,Secondary!Z1116,Primary!Z1774)</f>
        <v>0</v>
      </c>
      <c r="AA1116" s="7">
        <f>IF(ActiveDatabase=Standby,Secondary!AA1116,Primary!AA1774)</f>
        <v>0</v>
      </c>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row>
    <row r="1117" customHeight="1" spans="1:59">
      <c r="A1117" s="9">
        <f>IF(ActiveDatabase=Standby,Secondary!A1117,Primary!A1117)</f>
        <v>0</v>
      </c>
      <c r="B1117" s="5">
        <f>IF(ActiveDatabase=Standby,Secondary!B1117,Primary!B1117)</f>
        <v>0</v>
      </c>
      <c r="C1117" s="5">
        <f>IF(ActiveDatabase=Standby,Secondary!C1117,Primary!C1117)</f>
        <v>0</v>
      </c>
      <c r="D1117" s="5">
        <f>IF(ActiveDatabase=Standby,Secondary!D1117,Primary!D1117)</f>
        <v>0</v>
      </c>
      <c r="E1117" s="6">
        <f>IF(ActiveDatabase=Standby,Secondary!E1117,Primary!E1117)</f>
        <v>0</v>
      </c>
      <c r="F1117" s="10">
        <f>IF(ActiveDatabase=Standby,Secondary!F1117,Primary!F1117)</f>
        <v>0</v>
      </c>
      <c r="G1117" s="10">
        <f>IF(ActiveDatabase=Standby,Secondary!G1117,Primary!G1117)</f>
        <v>0</v>
      </c>
      <c r="H1117" s="10">
        <f>IF(ActiveDatabase=Standby,Secondary!H1117,Primary!H1117)</f>
        <v>0</v>
      </c>
      <c r="I1117" s="13">
        <f>IF(ActiveDatabase=Standby,Secondary!I1117,Primary!I1117)</f>
        <v>0</v>
      </c>
      <c r="J1117" s="13">
        <f>IF(ActiveDatabase=Standby,Secondary!J1117,Primary!J1117)</f>
        <v>0</v>
      </c>
      <c r="K1117" s="13">
        <f>IF(ActiveDatabase=Standby,Secondary!K1117,Primary!K1117)</f>
        <v>0</v>
      </c>
      <c r="L1117" s="13">
        <f>IF(ActiveDatabase=Standby,Secondary!L1117,Primary!L1117)</f>
        <v>0</v>
      </c>
      <c r="M1117" s="7">
        <f>IF(ActiveDatabase=Standby,Secondary!M1117,Primary!M1117)</f>
        <v>0</v>
      </c>
      <c r="N1117" s="10">
        <f>IF(ActiveDatabase=Standby,Secondary!N1117,Primary!N1117)</f>
        <v>0</v>
      </c>
      <c r="O1117" s="10">
        <f>IF(ActiveDatabase=Standby,Secondary!O1117,Primary!O1117)</f>
        <v>0</v>
      </c>
      <c r="P1117" s="10">
        <f>IF(ActiveDatabase=Standby,Secondary!P1117,Primary!P1117)</f>
        <v>0</v>
      </c>
      <c r="Q1117" s="6">
        <f>IF(ActiveDatabase=Standby,Secondary!Q1117,Primary!Q1117)</f>
        <v>0</v>
      </c>
      <c r="R1117" s="18">
        <f>IF(ActiveDatabase=Standby,Secondary!R1117,Primary!R1117)</f>
        <v>0</v>
      </c>
      <c r="S1117" s="19">
        <f>IF(ActiveDatabase=Standby,Secondary!S1117,Primary!S1117)</f>
        <v>0</v>
      </c>
      <c r="T1117" s="10">
        <f>IF(ActiveDatabase=Standby,Secondary!T1117,Primary!T1117)</f>
        <v>0</v>
      </c>
      <c r="U1117" s="10">
        <f>IF(ActiveDatabase=Standby,Secondary!U1117,Primary!U1117)</f>
        <v>0</v>
      </c>
      <c r="V1117" s="10">
        <f>IF(ActiveDatabase=Standby,Secondary!V1117,Primary!V1117)</f>
        <v>0</v>
      </c>
      <c r="W1117" s="6">
        <f>IF(ActiveDatabase=Standby,Secondary!W1117,Primary!W1117)</f>
        <v>0</v>
      </c>
      <c r="X1117" s="6">
        <f>IF(ActiveDatabase=Standby,Secondary!X1117,Primary!X1117)</f>
        <v>0</v>
      </c>
      <c r="Y1117" s="7">
        <f>IF(ActiveDatabase=Standby,Secondary!Y1117,Primary!Y1775)</f>
        <v>0</v>
      </c>
      <c r="Z1117" s="7">
        <f>IF(ActiveDatabase=Standby,Secondary!Z1117,Primary!Z1775)</f>
        <v>0</v>
      </c>
      <c r="AA1117" s="7">
        <f>IF(ActiveDatabase=Standby,Secondary!AA1117,Primary!AA1775)</f>
        <v>0</v>
      </c>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7"/>
      <c r="BD1117" s="7"/>
      <c r="BE1117" s="7"/>
      <c r="BF1117" s="7"/>
      <c r="BG1117" s="7"/>
    </row>
    <row r="1118" customHeight="1" spans="1:59">
      <c r="A1118" s="9">
        <f>IF(ActiveDatabase=Standby,Secondary!A1118,Primary!A1118)</f>
        <v>0</v>
      </c>
      <c r="B1118" s="5">
        <f>IF(ActiveDatabase=Standby,Secondary!B1118,Primary!B1118)</f>
        <v>0</v>
      </c>
      <c r="C1118" s="5">
        <f>IF(ActiveDatabase=Standby,Secondary!C1118,Primary!C1118)</f>
        <v>0</v>
      </c>
      <c r="D1118" s="5">
        <f>IF(ActiveDatabase=Standby,Secondary!D1118,Primary!D1118)</f>
        <v>0</v>
      </c>
      <c r="E1118" s="6">
        <f>IF(ActiveDatabase=Standby,Secondary!E1118,Primary!E1118)</f>
        <v>0</v>
      </c>
      <c r="F1118" s="10">
        <f>IF(ActiveDatabase=Standby,Secondary!F1118,Primary!F1118)</f>
        <v>0</v>
      </c>
      <c r="G1118" s="10">
        <f>IF(ActiveDatabase=Standby,Secondary!G1118,Primary!G1118)</f>
        <v>0</v>
      </c>
      <c r="H1118" s="10">
        <f>IF(ActiveDatabase=Standby,Secondary!H1118,Primary!H1118)</f>
        <v>0</v>
      </c>
      <c r="I1118" s="13">
        <f>IF(ActiveDatabase=Standby,Secondary!I1118,Primary!I1118)</f>
        <v>0</v>
      </c>
      <c r="J1118" s="13">
        <f>IF(ActiveDatabase=Standby,Secondary!J1118,Primary!J1118)</f>
        <v>0</v>
      </c>
      <c r="K1118" s="13">
        <f>IF(ActiveDatabase=Standby,Secondary!K1118,Primary!K1118)</f>
        <v>0</v>
      </c>
      <c r="L1118" s="13">
        <f>IF(ActiveDatabase=Standby,Secondary!L1118,Primary!L1118)</f>
        <v>0</v>
      </c>
      <c r="M1118" s="7">
        <f>IF(ActiveDatabase=Standby,Secondary!M1118,Primary!M1118)</f>
        <v>0</v>
      </c>
      <c r="N1118" s="10">
        <f>IF(ActiveDatabase=Standby,Secondary!N1118,Primary!N1118)</f>
        <v>0</v>
      </c>
      <c r="O1118" s="10">
        <f>IF(ActiveDatabase=Standby,Secondary!O1118,Primary!O1118)</f>
        <v>0</v>
      </c>
      <c r="P1118" s="10">
        <f>IF(ActiveDatabase=Standby,Secondary!P1118,Primary!P1118)</f>
        <v>0</v>
      </c>
      <c r="Q1118" s="6">
        <f>IF(ActiveDatabase=Standby,Secondary!Q1118,Primary!Q1118)</f>
        <v>0</v>
      </c>
      <c r="R1118" s="18">
        <f>IF(ActiveDatabase=Standby,Secondary!R1118,Primary!R1118)</f>
        <v>0</v>
      </c>
      <c r="S1118" s="19">
        <f>IF(ActiveDatabase=Standby,Secondary!S1118,Primary!S1118)</f>
        <v>0</v>
      </c>
      <c r="T1118" s="10">
        <f>IF(ActiveDatabase=Standby,Secondary!T1118,Primary!T1118)</f>
        <v>0</v>
      </c>
      <c r="U1118" s="10">
        <f>IF(ActiveDatabase=Standby,Secondary!U1118,Primary!U1118)</f>
        <v>0</v>
      </c>
      <c r="V1118" s="10">
        <f>IF(ActiveDatabase=Standby,Secondary!V1118,Primary!V1118)</f>
        <v>0</v>
      </c>
      <c r="W1118" s="6">
        <f>IF(ActiveDatabase=Standby,Secondary!W1118,Primary!W1118)</f>
        <v>0</v>
      </c>
      <c r="X1118" s="6">
        <f>IF(ActiveDatabase=Standby,Secondary!X1118,Primary!X1118)</f>
        <v>0</v>
      </c>
      <c r="Y1118" s="7">
        <f>IF(ActiveDatabase=Standby,Secondary!Y1118,Primary!Y1776)</f>
        <v>0</v>
      </c>
      <c r="Z1118" s="7">
        <f>IF(ActiveDatabase=Standby,Secondary!Z1118,Primary!Z1776)</f>
        <v>0</v>
      </c>
      <c r="AA1118" s="7">
        <f>IF(ActiveDatabase=Standby,Secondary!AA1118,Primary!AA1776)</f>
        <v>0</v>
      </c>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row>
    <row r="1119" customHeight="1" spans="1:59">
      <c r="A1119" s="9">
        <f>IF(ActiveDatabase=Standby,Secondary!A1119,Primary!A1119)</f>
        <v>0</v>
      </c>
      <c r="B1119" s="5">
        <f>IF(ActiveDatabase=Standby,Secondary!B1119,Primary!B1119)</f>
        <v>0</v>
      </c>
      <c r="C1119" s="5">
        <f>IF(ActiveDatabase=Standby,Secondary!C1119,Primary!C1119)</f>
        <v>0</v>
      </c>
      <c r="D1119" s="5">
        <f>IF(ActiveDatabase=Standby,Secondary!D1119,Primary!D1119)</f>
        <v>0</v>
      </c>
      <c r="E1119" s="6">
        <f>IF(ActiveDatabase=Standby,Secondary!E1119,Primary!E1119)</f>
        <v>0</v>
      </c>
      <c r="F1119" s="10">
        <f>IF(ActiveDatabase=Standby,Secondary!F1119,Primary!F1119)</f>
        <v>0</v>
      </c>
      <c r="G1119" s="10">
        <f>IF(ActiveDatabase=Standby,Secondary!G1119,Primary!G1119)</f>
        <v>0</v>
      </c>
      <c r="H1119" s="10">
        <f>IF(ActiveDatabase=Standby,Secondary!H1119,Primary!H1119)</f>
        <v>0</v>
      </c>
      <c r="I1119" s="13">
        <f>IF(ActiveDatabase=Standby,Secondary!I1119,Primary!I1119)</f>
        <v>0</v>
      </c>
      <c r="J1119" s="13">
        <f>IF(ActiveDatabase=Standby,Secondary!J1119,Primary!J1119)</f>
        <v>0</v>
      </c>
      <c r="K1119" s="13">
        <f>IF(ActiveDatabase=Standby,Secondary!K1119,Primary!K1119)</f>
        <v>0</v>
      </c>
      <c r="L1119" s="13">
        <f>IF(ActiveDatabase=Standby,Secondary!L1119,Primary!L1119)</f>
        <v>0</v>
      </c>
      <c r="M1119" s="7">
        <f>IF(ActiveDatabase=Standby,Secondary!M1119,Primary!M1119)</f>
        <v>0</v>
      </c>
      <c r="N1119" s="10">
        <f>IF(ActiveDatabase=Standby,Secondary!N1119,Primary!N1119)</f>
        <v>0</v>
      </c>
      <c r="O1119" s="10">
        <f>IF(ActiveDatabase=Standby,Secondary!O1119,Primary!O1119)</f>
        <v>0</v>
      </c>
      <c r="P1119" s="10">
        <f>IF(ActiveDatabase=Standby,Secondary!P1119,Primary!P1119)</f>
        <v>0</v>
      </c>
      <c r="Q1119" s="6">
        <f>IF(ActiveDatabase=Standby,Secondary!Q1119,Primary!Q1119)</f>
        <v>0</v>
      </c>
      <c r="R1119" s="18">
        <f>IF(ActiveDatabase=Standby,Secondary!R1119,Primary!R1119)</f>
        <v>0</v>
      </c>
      <c r="S1119" s="19">
        <f>IF(ActiveDatabase=Standby,Secondary!S1119,Primary!S1119)</f>
        <v>0</v>
      </c>
      <c r="T1119" s="10">
        <f>IF(ActiveDatabase=Standby,Secondary!T1119,Primary!T1119)</f>
        <v>0</v>
      </c>
      <c r="U1119" s="10">
        <f>IF(ActiveDatabase=Standby,Secondary!U1119,Primary!U1119)</f>
        <v>0</v>
      </c>
      <c r="V1119" s="10">
        <f>IF(ActiveDatabase=Standby,Secondary!V1119,Primary!V1119)</f>
        <v>0</v>
      </c>
      <c r="W1119" s="6">
        <f>IF(ActiveDatabase=Standby,Secondary!W1119,Primary!W1119)</f>
        <v>0</v>
      </c>
      <c r="X1119" s="6">
        <f>IF(ActiveDatabase=Standby,Secondary!X1119,Primary!X1119)</f>
        <v>0</v>
      </c>
      <c r="Y1119" s="7">
        <f>IF(ActiveDatabase=Standby,Secondary!Y1119,Primary!Y1777)</f>
        <v>0</v>
      </c>
      <c r="Z1119" s="7">
        <f>IF(ActiveDatabase=Standby,Secondary!Z1119,Primary!Z1777)</f>
        <v>0</v>
      </c>
      <c r="AA1119" s="7">
        <f>IF(ActiveDatabase=Standby,Secondary!AA1119,Primary!AA1777)</f>
        <v>0</v>
      </c>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7"/>
      <c r="BD1119" s="7"/>
      <c r="BE1119" s="7"/>
      <c r="BF1119" s="7"/>
      <c r="BG1119" s="7"/>
    </row>
    <row r="1120" customHeight="1" spans="1:59">
      <c r="A1120" s="9">
        <f>IF(ActiveDatabase=Standby,Secondary!A1120,Primary!A1120)</f>
        <v>0</v>
      </c>
      <c r="B1120" s="5">
        <f>IF(ActiveDatabase=Standby,Secondary!B1120,Primary!B1120)</f>
        <v>0</v>
      </c>
      <c r="C1120" s="5">
        <f>IF(ActiveDatabase=Standby,Secondary!C1120,Primary!C1120)</f>
        <v>0</v>
      </c>
      <c r="D1120" s="5">
        <f>IF(ActiveDatabase=Standby,Secondary!D1120,Primary!D1120)</f>
        <v>0</v>
      </c>
      <c r="E1120" s="6">
        <f>IF(ActiveDatabase=Standby,Secondary!E1120,Primary!E1120)</f>
        <v>0</v>
      </c>
      <c r="F1120" s="10">
        <f>IF(ActiveDatabase=Standby,Secondary!F1120,Primary!F1120)</f>
        <v>0</v>
      </c>
      <c r="G1120" s="10">
        <f>IF(ActiveDatabase=Standby,Secondary!G1120,Primary!G1120)</f>
        <v>0</v>
      </c>
      <c r="H1120" s="10">
        <f>IF(ActiveDatabase=Standby,Secondary!H1120,Primary!H1120)</f>
        <v>0</v>
      </c>
      <c r="I1120" s="13">
        <f>IF(ActiveDatabase=Standby,Secondary!I1120,Primary!I1120)</f>
        <v>0</v>
      </c>
      <c r="J1120" s="13">
        <f>IF(ActiveDatabase=Standby,Secondary!J1120,Primary!J1120)</f>
        <v>0</v>
      </c>
      <c r="K1120" s="13">
        <f>IF(ActiveDatabase=Standby,Secondary!K1120,Primary!K1120)</f>
        <v>0</v>
      </c>
      <c r="L1120" s="13">
        <f>IF(ActiveDatabase=Standby,Secondary!L1120,Primary!L1120)</f>
        <v>0</v>
      </c>
      <c r="M1120" s="7">
        <f>IF(ActiveDatabase=Standby,Secondary!M1120,Primary!M1120)</f>
        <v>0</v>
      </c>
      <c r="N1120" s="10">
        <f>IF(ActiveDatabase=Standby,Secondary!N1120,Primary!N1120)</f>
        <v>0</v>
      </c>
      <c r="O1120" s="10">
        <f>IF(ActiveDatabase=Standby,Secondary!O1120,Primary!O1120)</f>
        <v>0</v>
      </c>
      <c r="P1120" s="10">
        <f>IF(ActiveDatabase=Standby,Secondary!P1120,Primary!P1120)</f>
        <v>0</v>
      </c>
      <c r="Q1120" s="6">
        <f>IF(ActiveDatabase=Standby,Secondary!Q1120,Primary!Q1120)</f>
        <v>0</v>
      </c>
      <c r="R1120" s="18">
        <f>IF(ActiveDatabase=Standby,Secondary!R1120,Primary!R1120)</f>
        <v>0</v>
      </c>
      <c r="S1120" s="19">
        <f>IF(ActiveDatabase=Standby,Secondary!S1120,Primary!S1120)</f>
        <v>0</v>
      </c>
      <c r="T1120" s="10">
        <f>IF(ActiveDatabase=Standby,Secondary!T1120,Primary!T1120)</f>
        <v>0</v>
      </c>
      <c r="U1120" s="10">
        <f>IF(ActiveDatabase=Standby,Secondary!U1120,Primary!U1120)</f>
        <v>0</v>
      </c>
      <c r="V1120" s="10">
        <f>IF(ActiveDatabase=Standby,Secondary!V1120,Primary!V1120)</f>
        <v>0</v>
      </c>
      <c r="W1120" s="6">
        <f>IF(ActiveDatabase=Standby,Secondary!W1120,Primary!W1120)</f>
        <v>0</v>
      </c>
      <c r="X1120" s="6">
        <f>IF(ActiveDatabase=Standby,Secondary!X1120,Primary!X1120)</f>
        <v>0</v>
      </c>
      <c r="Y1120" s="7">
        <f>IF(ActiveDatabase=Standby,Secondary!Y1120,Primary!Y1778)</f>
        <v>0</v>
      </c>
      <c r="Z1120" s="7">
        <f>IF(ActiveDatabase=Standby,Secondary!Z1120,Primary!Z1778)</f>
        <v>0</v>
      </c>
      <c r="AA1120" s="7">
        <f>IF(ActiveDatabase=Standby,Secondary!AA1120,Primary!AA1778)</f>
        <v>0</v>
      </c>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row>
    <row r="1121" customHeight="1" spans="1:59">
      <c r="A1121" s="9">
        <f>IF(ActiveDatabase=Standby,Secondary!A1121,Primary!A1121)</f>
        <v>0</v>
      </c>
      <c r="B1121" s="5">
        <f>IF(ActiveDatabase=Standby,Secondary!B1121,Primary!B1121)</f>
        <v>0</v>
      </c>
      <c r="C1121" s="5">
        <f>IF(ActiveDatabase=Standby,Secondary!C1121,Primary!C1121)</f>
        <v>0</v>
      </c>
      <c r="D1121" s="5">
        <f>IF(ActiveDatabase=Standby,Secondary!D1121,Primary!D1121)</f>
        <v>0</v>
      </c>
      <c r="E1121" s="6">
        <f>IF(ActiveDatabase=Standby,Secondary!E1121,Primary!E1121)</f>
        <v>0</v>
      </c>
      <c r="F1121" s="10">
        <f>IF(ActiveDatabase=Standby,Secondary!F1121,Primary!F1121)</f>
        <v>0</v>
      </c>
      <c r="G1121" s="10">
        <f>IF(ActiveDatabase=Standby,Secondary!G1121,Primary!G1121)</f>
        <v>0</v>
      </c>
      <c r="H1121" s="10">
        <f>IF(ActiveDatabase=Standby,Secondary!H1121,Primary!H1121)</f>
        <v>0</v>
      </c>
      <c r="I1121" s="13">
        <f>IF(ActiveDatabase=Standby,Secondary!I1121,Primary!I1121)</f>
        <v>0</v>
      </c>
      <c r="J1121" s="13">
        <f>IF(ActiveDatabase=Standby,Secondary!J1121,Primary!J1121)</f>
        <v>0</v>
      </c>
      <c r="K1121" s="13">
        <f>IF(ActiveDatabase=Standby,Secondary!K1121,Primary!K1121)</f>
        <v>0</v>
      </c>
      <c r="L1121" s="13">
        <f>IF(ActiveDatabase=Standby,Secondary!L1121,Primary!L1121)</f>
        <v>0</v>
      </c>
      <c r="M1121" s="7">
        <f>IF(ActiveDatabase=Standby,Secondary!M1121,Primary!M1121)</f>
        <v>0</v>
      </c>
      <c r="N1121" s="10">
        <f>IF(ActiveDatabase=Standby,Secondary!N1121,Primary!N1121)</f>
        <v>0</v>
      </c>
      <c r="O1121" s="10">
        <f>IF(ActiveDatabase=Standby,Secondary!O1121,Primary!O1121)</f>
        <v>0</v>
      </c>
      <c r="P1121" s="10">
        <f>IF(ActiveDatabase=Standby,Secondary!P1121,Primary!P1121)</f>
        <v>0</v>
      </c>
      <c r="Q1121" s="6">
        <f>IF(ActiveDatabase=Standby,Secondary!Q1121,Primary!Q1121)</f>
        <v>0</v>
      </c>
      <c r="R1121" s="18">
        <f>IF(ActiveDatabase=Standby,Secondary!R1121,Primary!R1121)</f>
        <v>0</v>
      </c>
      <c r="S1121" s="19">
        <f>IF(ActiveDatabase=Standby,Secondary!S1121,Primary!S1121)</f>
        <v>0</v>
      </c>
      <c r="T1121" s="10">
        <f>IF(ActiveDatabase=Standby,Secondary!T1121,Primary!T1121)</f>
        <v>0</v>
      </c>
      <c r="U1121" s="10">
        <f>IF(ActiveDatabase=Standby,Secondary!U1121,Primary!U1121)</f>
        <v>0</v>
      </c>
      <c r="V1121" s="10">
        <f>IF(ActiveDatabase=Standby,Secondary!V1121,Primary!V1121)</f>
        <v>0</v>
      </c>
      <c r="W1121" s="6">
        <f>IF(ActiveDatabase=Standby,Secondary!W1121,Primary!W1121)</f>
        <v>0</v>
      </c>
      <c r="X1121" s="6">
        <f>IF(ActiveDatabase=Standby,Secondary!X1121,Primary!X1121)</f>
        <v>0</v>
      </c>
      <c r="Y1121" s="7">
        <f>IF(ActiveDatabase=Standby,Secondary!Y1121,Primary!Y1779)</f>
        <v>0</v>
      </c>
      <c r="Z1121" s="7">
        <f>IF(ActiveDatabase=Standby,Secondary!Z1121,Primary!Z1779)</f>
        <v>0</v>
      </c>
      <c r="AA1121" s="7">
        <f>IF(ActiveDatabase=Standby,Secondary!AA1121,Primary!AA1779)</f>
        <v>0</v>
      </c>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7"/>
      <c r="AZ1121" s="7"/>
      <c r="BA1121" s="7"/>
      <c r="BB1121" s="7"/>
      <c r="BC1121" s="7"/>
      <c r="BD1121" s="7"/>
      <c r="BE1121" s="7"/>
      <c r="BF1121" s="7"/>
      <c r="BG1121" s="7"/>
    </row>
    <row r="1122" customHeight="1" spans="1:59">
      <c r="A1122" s="9">
        <f>IF(ActiveDatabase=Standby,Secondary!A1122,Primary!A1122)</f>
        <v>0</v>
      </c>
      <c r="B1122" s="5">
        <f>IF(ActiveDatabase=Standby,Secondary!B1122,Primary!B1122)</f>
        <v>0</v>
      </c>
      <c r="C1122" s="5">
        <f>IF(ActiveDatabase=Standby,Secondary!C1122,Primary!C1122)</f>
        <v>0</v>
      </c>
      <c r="D1122" s="5">
        <f>IF(ActiveDatabase=Standby,Secondary!D1122,Primary!D1122)</f>
        <v>0</v>
      </c>
      <c r="E1122" s="6">
        <f>IF(ActiveDatabase=Standby,Secondary!E1122,Primary!E1122)</f>
        <v>0</v>
      </c>
      <c r="F1122" s="10">
        <f>IF(ActiveDatabase=Standby,Secondary!F1122,Primary!F1122)</f>
        <v>0</v>
      </c>
      <c r="G1122" s="10">
        <f>IF(ActiveDatabase=Standby,Secondary!G1122,Primary!G1122)</f>
        <v>0</v>
      </c>
      <c r="H1122" s="10">
        <f>IF(ActiveDatabase=Standby,Secondary!H1122,Primary!H1122)</f>
        <v>0</v>
      </c>
      <c r="I1122" s="13">
        <f>IF(ActiveDatabase=Standby,Secondary!I1122,Primary!I1122)</f>
        <v>0</v>
      </c>
      <c r="J1122" s="13">
        <f>IF(ActiveDatabase=Standby,Secondary!J1122,Primary!J1122)</f>
        <v>0</v>
      </c>
      <c r="K1122" s="13">
        <f>IF(ActiveDatabase=Standby,Secondary!K1122,Primary!K1122)</f>
        <v>0</v>
      </c>
      <c r="L1122" s="13">
        <f>IF(ActiveDatabase=Standby,Secondary!L1122,Primary!L1122)</f>
        <v>0</v>
      </c>
      <c r="M1122" s="7">
        <f>IF(ActiveDatabase=Standby,Secondary!M1122,Primary!M1122)</f>
        <v>0</v>
      </c>
      <c r="N1122" s="10">
        <f>IF(ActiveDatabase=Standby,Secondary!N1122,Primary!N1122)</f>
        <v>0</v>
      </c>
      <c r="O1122" s="10">
        <f>IF(ActiveDatabase=Standby,Secondary!O1122,Primary!O1122)</f>
        <v>0</v>
      </c>
      <c r="P1122" s="10">
        <f>IF(ActiveDatabase=Standby,Secondary!P1122,Primary!P1122)</f>
        <v>0</v>
      </c>
      <c r="Q1122" s="6">
        <f>IF(ActiveDatabase=Standby,Secondary!Q1122,Primary!Q1122)</f>
        <v>0</v>
      </c>
      <c r="R1122" s="18">
        <f>IF(ActiveDatabase=Standby,Secondary!R1122,Primary!R1122)</f>
        <v>0</v>
      </c>
      <c r="S1122" s="19">
        <f>IF(ActiveDatabase=Standby,Secondary!S1122,Primary!S1122)</f>
        <v>0</v>
      </c>
      <c r="T1122" s="10">
        <f>IF(ActiveDatabase=Standby,Secondary!T1122,Primary!T1122)</f>
        <v>0</v>
      </c>
      <c r="U1122" s="10">
        <f>IF(ActiveDatabase=Standby,Secondary!U1122,Primary!U1122)</f>
        <v>0</v>
      </c>
      <c r="V1122" s="10">
        <f>IF(ActiveDatabase=Standby,Secondary!V1122,Primary!V1122)</f>
        <v>0</v>
      </c>
      <c r="W1122" s="6">
        <f>IF(ActiveDatabase=Standby,Secondary!W1122,Primary!W1122)</f>
        <v>0</v>
      </c>
      <c r="X1122" s="6">
        <f>IF(ActiveDatabase=Standby,Secondary!X1122,Primary!X1122)</f>
        <v>0</v>
      </c>
      <c r="Y1122" s="7">
        <f>IF(ActiveDatabase=Standby,Secondary!Y1122,Primary!Y1780)</f>
        <v>0</v>
      </c>
      <c r="Z1122" s="7">
        <f>IF(ActiveDatabase=Standby,Secondary!Z1122,Primary!Z1780)</f>
        <v>0</v>
      </c>
      <c r="AA1122" s="7">
        <f>IF(ActiveDatabase=Standby,Secondary!AA1122,Primary!AA1780)</f>
        <v>0</v>
      </c>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row>
    <row r="1123" customHeight="1" spans="1:59">
      <c r="A1123" s="9">
        <f>IF(ActiveDatabase=Standby,Secondary!A1123,Primary!A1123)</f>
        <v>0</v>
      </c>
      <c r="B1123" s="5">
        <f>IF(ActiveDatabase=Standby,Secondary!B1123,Primary!B1123)</f>
        <v>0</v>
      </c>
      <c r="C1123" s="5">
        <f>IF(ActiveDatabase=Standby,Secondary!C1123,Primary!C1123)</f>
        <v>0</v>
      </c>
      <c r="D1123" s="5">
        <f>IF(ActiveDatabase=Standby,Secondary!D1123,Primary!D1123)</f>
        <v>0</v>
      </c>
      <c r="E1123" s="6">
        <f>IF(ActiveDatabase=Standby,Secondary!E1123,Primary!E1123)</f>
        <v>0</v>
      </c>
      <c r="F1123" s="10">
        <f>IF(ActiveDatabase=Standby,Secondary!F1123,Primary!F1123)</f>
        <v>0</v>
      </c>
      <c r="G1123" s="10">
        <f>IF(ActiveDatabase=Standby,Secondary!G1123,Primary!G1123)</f>
        <v>0</v>
      </c>
      <c r="H1123" s="10">
        <f>IF(ActiveDatabase=Standby,Secondary!H1123,Primary!H1123)</f>
        <v>0</v>
      </c>
      <c r="I1123" s="13">
        <f>IF(ActiveDatabase=Standby,Secondary!I1123,Primary!I1123)</f>
        <v>0</v>
      </c>
      <c r="J1123" s="13">
        <f>IF(ActiveDatabase=Standby,Secondary!J1123,Primary!J1123)</f>
        <v>0</v>
      </c>
      <c r="K1123" s="13">
        <f>IF(ActiveDatabase=Standby,Secondary!K1123,Primary!K1123)</f>
        <v>0</v>
      </c>
      <c r="L1123" s="13">
        <f>IF(ActiveDatabase=Standby,Secondary!L1123,Primary!L1123)</f>
        <v>0</v>
      </c>
      <c r="M1123" s="7">
        <f>IF(ActiveDatabase=Standby,Secondary!M1123,Primary!M1123)</f>
        <v>0</v>
      </c>
      <c r="N1123" s="10">
        <f>IF(ActiveDatabase=Standby,Secondary!N1123,Primary!N1123)</f>
        <v>0</v>
      </c>
      <c r="O1123" s="10">
        <f>IF(ActiveDatabase=Standby,Secondary!O1123,Primary!O1123)</f>
        <v>0</v>
      </c>
      <c r="P1123" s="10">
        <f>IF(ActiveDatabase=Standby,Secondary!P1123,Primary!P1123)</f>
        <v>0</v>
      </c>
      <c r="Q1123" s="6">
        <f>IF(ActiveDatabase=Standby,Secondary!Q1123,Primary!Q1123)</f>
        <v>0</v>
      </c>
      <c r="R1123" s="18">
        <f>IF(ActiveDatabase=Standby,Secondary!R1123,Primary!R1123)</f>
        <v>0</v>
      </c>
      <c r="S1123" s="19">
        <f>IF(ActiveDatabase=Standby,Secondary!S1123,Primary!S1123)</f>
        <v>0</v>
      </c>
      <c r="T1123" s="10">
        <f>IF(ActiveDatabase=Standby,Secondary!T1123,Primary!T1123)</f>
        <v>0</v>
      </c>
      <c r="U1123" s="10">
        <f>IF(ActiveDatabase=Standby,Secondary!U1123,Primary!U1123)</f>
        <v>0</v>
      </c>
      <c r="V1123" s="10">
        <f>IF(ActiveDatabase=Standby,Secondary!V1123,Primary!V1123)</f>
        <v>0</v>
      </c>
      <c r="W1123" s="6">
        <f>IF(ActiveDatabase=Standby,Secondary!W1123,Primary!W1123)</f>
        <v>0</v>
      </c>
      <c r="X1123" s="6">
        <f>IF(ActiveDatabase=Standby,Secondary!X1123,Primary!X1123)</f>
        <v>0</v>
      </c>
      <c r="Y1123" s="7">
        <f>IF(ActiveDatabase=Standby,Secondary!Y1123,Primary!Y1781)</f>
        <v>0</v>
      </c>
      <c r="Z1123" s="7">
        <f>IF(ActiveDatabase=Standby,Secondary!Z1123,Primary!Z1781)</f>
        <v>0</v>
      </c>
      <c r="AA1123" s="7">
        <f>IF(ActiveDatabase=Standby,Secondary!AA1123,Primary!AA1781)</f>
        <v>0</v>
      </c>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row>
    <row r="1124" customHeight="1" spans="1:59">
      <c r="A1124" s="9">
        <f>IF(ActiveDatabase=Standby,Secondary!A1124,Primary!A1124)</f>
        <v>0</v>
      </c>
      <c r="B1124" s="5">
        <f>IF(ActiveDatabase=Standby,Secondary!B1124,Primary!B1124)</f>
        <v>0</v>
      </c>
      <c r="C1124" s="5">
        <f>IF(ActiveDatabase=Standby,Secondary!C1124,Primary!C1124)</f>
        <v>0</v>
      </c>
      <c r="D1124" s="5">
        <f>IF(ActiveDatabase=Standby,Secondary!D1124,Primary!D1124)</f>
        <v>0</v>
      </c>
      <c r="E1124" s="6">
        <f>IF(ActiveDatabase=Standby,Secondary!E1124,Primary!E1124)</f>
        <v>0</v>
      </c>
      <c r="F1124" s="10">
        <f>IF(ActiveDatabase=Standby,Secondary!F1124,Primary!F1124)</f>
        <v>0</v>
      </c>
      <c r="G1124" s="10">
        <f>IF(ActiveDatabase=Standby,Secondary!G1124,Primary!G1124)</f>
        <v>0</v>
      </c>
      <c r="H1124" s="10">
        <f>IF(ActiveDatabase=Standby,Secondary!H1124,Primary!H1124)</f>
        <v>0</v>
      </c>
      <c r="I1124" s="13">
        <f>IF(ActiveDatabase=Standby,Secondary!I1124,Primary!I1124)</f>
        <v>0</v>
      </c>
      <c r="J1124" s="13">
        <f>IF(ActiveDatabase=Standby,Secondary!J1124,Primary!J1124)</f>
        <v>0</v>
      </c>
      <c r="K1124" s="13">
        <f>IF(ActiveDatabase=Standby,Secondary!K1124,Primary!K1124)</f>
        <v>0</v>
      </c>
      <c r="L1124" s="13">
        <f>IF(ActiveDatabase=Standby,Secondary!L1124,Primary!L1124)</f>
        <v>0</v>
      </c>
      <c r="M1124" s="7">
        <f>IF(ActiveDatabase=Standby,Secondary!M1124,Primary!M1124)</f>
        <v>0</v>
      </c>
      <c r="N1124" s="10">
        <f>IF(ActiveDatabase=Standby,Secondary!N1124,Primary!N1124)</f>
        <v>0</v>
      </c>
      <c r="O1124" s="10">
        <f>IF(ActiveDatabase=Standby,Secondary!O1124,Primary!O1124)</f>
        <v>0</v>
      </c>
      <c r="P1124" s="10">
        <f>IF(ActiveDatabase=Standby,Secondary!P1124,Primary!P1124)</f>
        <v>0</v>
      </c>
      <c r="Q1124" s="6">
        <f>IF(ActiveDatabase=Standby,Secondary!Q1124,Primary!Q1124)</f>
        <v>0</v>
      </c>
      <c r="R1124" s="18">
        <f>IF(ActiveDatabase=Standby,Secondary!R1124,Primary!R1124)</f>
        <v>0</v>
      </c>
      <c r="S1124" s="19">
        <f>IF(ActiveDatabase=Standby,Secondary!S1124,Primary!S1124)</f>
        <v>0</v>
      </c>
      <c r="T1124" s="10">
        <f>IF(ActiveDatabase=Standby,Secondary!T1124,Primary!T1124)</f>
        <v>0</v>
      </c>
      <c r="U1124" s="10">
        <f>IF(ActiveDatabase=Standby,Secondary!U1124,Primary!U1124)</f>
        <v>0</v>
      </c>
      <c r="V1124" s="10">
        <f>IF(ActiveDatabase=Standby,Secondary!V1124,Primary!V1124)</f>
        <v>0</v>
      </c>
      <c r="W1124" s="6">
        <f>IF(ActiveDatabase=Standby,Secondary!W1124,Primary!W1124)</f>
        <v>0</v>
      </c>
      <c r="X1124" s="6">
        <f>IF(ActiveDatabase=Standby,Secondary!X1124,Primary!X1124)</f>
        <v>0</v>
      </c>
      <c r="Y1124" s="7">
        <f>IF(ActiveDatabase=Standby,Secondary!Y1124,Primary!Y1782)</f>
        <v>0</v>
      </c>
      <c r="Z1124" s="7">
        <f>IF(ActiveDatabase=Standby,Secondary!Z1124,Primary!Z1782)</f>
        <v>0</v>
      </c>
      <c r="AA1124" s="7">
        <f>IF(ActiveDatabase=Standby,Secondary!AA1124,Primary!AA1782)</f>
        <v>0</v>
      </c>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row>
    <row r="1125" customHeight="1" spans="1:59">
      <c r="A1125" s="9">
        <f>IF(ActiveDatabase=Standby,Secondary!A1125,Primary!A1125)</f>
        <v>0</v>
      </c>
      <c r="B1125" s="5">
        <f>IF(ActiveDatabase=Standby,Secondary!B1125,Primary!B1125)</f>
        <v>0</v>
      </c>
      <c r="C1125" s="5">
        <f>IF(ActiveDatabase=Standby,Secondary!C1125,Primary!C1125)</f>
        <v>0</v>
      </c>
      <c r="D1125" s="5">
        <f>IF(ActiveDatabase=Standby,Secondary!D1125,Primary!D1125)</f>
        <v>0</v>
      </c>
      <c r="E1125" s="6">
        <f>IF(ActiveDatabase=Standby,Secondary!E1125,Primary!E1125)</f>
        <v>0</v>
      </c>
      <c r="F1125" s="10">
        <f>IF(ActiveDatabase=Standby,Secondary!F1125,Primary!F1125)</f>
        <v>0</v>
      </c>
      <c r="G1125" s="10">
        <f>IF(ActiveDatabase=Standby,Secondary!G1125,Primary!G1125)</f>
        <v>0</v>
      </c>
      <c r="H1125" s="10">
        <f>IF(ActiveDatabase=Standby,Secondary!H1125,Primary!H1125)</f>
        <v>0</v>
      </c>
      <c r="I1125" s="13">
        <f>IF(ActiveDatabase=Standby,Secondary!I1125,Primary!I1125)</f>
        <v>0</v>
      </c>
      <c r="J1125" s="13">
        <f>IF(ActiveDatabase=Standby,Secondary!J1125,Primary!J1125)</f>
        <v>0</v>
      </c>
      <c r="K1125" s="13">
        <f>IF(ActiveDatabase=Standby,Secondary!K1125,Primary!K1125)</f>
        <v>0</v>
      </c>
      <c r="L1125" s="13">
        <f>IF(ActiveDatabase=Standby,Secondary!L1125,Primary!L1125)</f>
        <v>0</v>
      </c>
      <c r="M1125" s="7">
        <f>IF(ActiveDatabase=Standby,Secondary!M1125,Primary!M1125)</f>
        <v>0</v>
      </c>
      <c r="N1125" s="10">
        <f>IF(ActiveDatabase=Standby,Secondary!N1125,Primary!N1125)</f>
        <v>0</v>
      </c>
      <c r="O1125" s="10">
        <f>IF(ActiveDatabase=Standby,Secondary!O1125,Primary!O1125)</f>
        <v>0</v>
      </c>
      <c r="P1125" s="10">
        <f>IF(ActiveDatabase=Standby,Secondary!P1125,Primary!P1125)</f>
        <v>0</v>
      </c>
      <c r="Q1125" s="6">
        <f>IF(ActiveDatabase=Standby,Secondary!Q1125,Primary!Q1125)</f>
        <v>0</v>
      </c>
      <c r="R1125" s="18">
        <f>IF(ActiveDatabase=Standby,Secondary!R1125,Primary!R1125)</f>
        <v>0</v>
      </c>
      <c r="S1125" s="19">
        <f>IF(ActiveDatabase=Standby,Secondary!S1125,Primary!S1125)</f>
        <v>0</v>
      </c>
      <c r="T1125" s="10">
        <f>IF(ActiveDatabase=Standby,Secondary!T1125,Primary!T1125)</f>
        <v>0</v>
      </c>
      <c r="U1125" s="10">
        <f>IF(ActiveDatabase=Standby,Secondary!U1125,Primary!U1125)</f>
        <v>0</v>
      </c>
      <c r="V1125" s="10">
        <f>IF(ActiveDatabase=Standby,Secondary!V1125,Primary!V1125)</f>
        <v>0</v>
      </c>
      <c r="W1125" s="6">
        <f>IF(ActiveDatabase=Standby,Secondary!W1125,Primary!W1125)</f>
        <v>0</v>
      </c>
      <c r="X1125" s="6">
        <f>IF(ActiveDatabase=Standby,Secondary!X1125,Primary!X1125)</f>
        <v>0</v>
      </c>
      <c r="Y1125" s="7">
        <f>IF(ActiveDatabase=Standby,Secondary!Y1125,Primary!Y1783)</f>
        <v>0</v>
      </c>
      <c r="Z1125" s="7">
        <f>IF(ActiveDatabase=Standby,Secondary!Z1125,Primary!Z1783)</f>
        <v>0</v>
      </c>
      <c r="AA1125" s="7">
        <f>IF(ActiveDatabase=Standby,Secondary!AA1125,Primary!AA1783)</f>
        <v>0</v>
      </c>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c r="AY1125" s="7"/>
      <c r="AZ1125" s="7"/>
      <c r="BA1125" s="7"/>
      <c r="BB1125" s="7"/>
      <c r="BC1125" s="7"/>
      <c r="BD1125" s="7"/>
      <c r="BE1125" s="7"/>
      <c r="BF1125" s="7"/>
      <c r="BG1125" s="7"/>
    </row>
    <row r="1126" customHeight="1" spans="1:59">
      <c r="A1126" s="9">
        <f>IF(ActiveDatabase=Standby,Secondary!A1126,Primary!A1126)</f>
        <v>0</v>
      </c>
      <c r="B1126" s="5">
        <f>IF(ActiveDatabase=Standby,Secondary!B1126,Primary!B1126)</f>
        <v>0</v>
      </c>
      <c r="C1126" s="5">
        <f>IF(ActiveDatabase=Standby,Secondary!C1126,Primary!C1126)</f>
        <v>0</v>
      </c>
      <c r="D1126" s="5">
        <f>IF(ActiveDatabase=Standby,Secondary!D1126,Primary!D1126)</f>
        <v>0</v>
      </c>
      <c r="E1126" s="6">
        <f>IF(ActiveDatabase=Standby,Secondary!E1126,Primary!E1126)</f>
        <v>0</v>
      </c>
      <c r="F1126" s="10">
        <f>IF(ActiveDatabase=Standby,Secondary!F1126,Primary!F1126)</f>
        <v>0</v>
      </c>
      <c r="G1126" s="10">
        <f>IF(ActiveDatabase=Standby,Secondary!G1126,Primary!G1126)</f>
        <v>0</v>
      </c>
      <c r="H1126" s="10">
        <f>IF(ActiveDatabase=Standby,Secondary!H1126,Primary!H1126)</f>
        <v>0</v>
      </c>
      <c r="I1126" s="13">
        <f>IF(ActiveDatabase=Standby,Secondary!I1126,Primary!I1126)</f>
        <v>0</v>
      </c>
      <c r="J1126" s="13">
        <f>IF(ActiveDatabase=Standby,Secondary!J1126,Primary!J1126)</f>
        <v>0</v>
      </c>
      <c r="K1126" s="13">
        <f>IF(ActiveDatabase=Standby,Secondary!K1126,Primary!K1126)</f>
        <v>0</v>
      </c>
      <c r="L1126" s="13">
        <f>IF(ActiveDatabase=Standby,Secondary!L1126,Primary!L1126)</f>
        <v>0</v>
      </c>
      <c r="M1126" s="7">
        <f>IF(ActiveDatabase=Standby,Secondary!M1126,Primary!M1126)</f>
        <v>0</v>
      </c>
      <c r="N1126" s="10">
        <f>IF(ActiveDatabase=Standby,Secondary!N1126,Primary!N1126)</f>
        <v>0</v>
      </c>
      <c r="O1126" s="10">
        <f>IF(ActiveDatabase=Standby,Secondary!O1126,Primary!O1126)</f>
        <v>0</v>
      </c>
      <c r="P1126" s="10">
        <f>IF(ActiveDatabase=Standby,Secondary!P1126,Primary!P1126)</f>
        <v>0</v>
      </c>
      <c r="Q1126" s="6">
        <f>IF(ActiveDatabase=Standby,Secondary!Q1126,Primary!Q1126)</f>
        <v>0</v>
      </c>
      <c r="R1126" s="18">
        <f>IF(ActiveDatabase=Standby,Secondary!R1126,Primary!R1126)</f>
        <v>0</v>
      </c>
      <c r="S1126" s="19">
        <f>IF(ActiveDatabase=Standby,Secondary!S1126,Primary!S1126)</f>
        <v>0</v>
      </c>
      <c r="T1126" s="10">
        <f>IF(ActiveDatabase=Standby,Secondary!T1126,Primary!T1126)</f>
        <v>0</v>
      </c>
      <c r="U1126" s="10">
        <f>IF(ActiveDatabase=Standby,Secondary!U1126,Primary!U1126)</f>
        <v>0</v>
      </c>
      <c r="V1126" s="10">
        <f>IF(ActiveDatabase=Standby,Secondary!V1126,Primary!V1126)</f>
        <v>0</v>
      </c>
      <c r="W1126" s="6">
        <f>IF(ActiveDatabase=Standby,Secondary!W1126,Primary!W1126)</f>
        <v>0</v>
      </c>
      <c r="X1126" s="6">
        <f>IF(ActiveDatabase=Standby,Secondary!X1126,Primary!X1126)</f>
        <v>0</v>
      </c>
      <c r="Y1126" s="7">
        <f>IF(ActiveDatabase=Standby,Secondary!Y1126,Primary!Y1784)</f>
        <v>0</v>
      </c>
      <c r="Z1126" s="7">
        <f>IF(ActiveDatabase=Standby,Secondary!Z1126,Primary!Z1784)</f>
        <v>0</v>
      </c>
      <c r="AA1126" s="7">
        <f>IF(ActiveDatabase=Standby,Secondary!AA1126,Primary!AA1784)</f>
        <v>0</v>
      </c>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row>
    <row r="1127" customHeight="1" spans="1:59">
      <c r="A1127" s="9">
        <f>IF(ActiveDatabase=Standby,Secondary!A1127,Primary!A1127)</f>
        <v>0</v>
      </c>
      <c r="B1127" s="5">
        <f>IF(ActiveDatabase=Standby,Secondary!B1127,Primary!B1127)</f>
        <v>0</v>
      </c>
      <c r="C1127" s="5">
        <f>IF(ActiveDatabase=Standby,Secondary!C1127,Primary!C1127)</f>
        <v>0</v>
      </c>
      <c r="D1127" s="5">
        <f>IF(ActiveDatabase=Standby,Secondary!D1127,Primary!D1127)</f>
        <v>0</v>
      </c>
      <c r="E1127" s="6">
        <f>IF(ActiveDatabase=Standby,Secondary!E1127,Primary!E1127)</f>
        <v>0</v>
      </c>
      <c r="F1127" s="10">
        <f>IF(ActiveDatabase=Standby,Secondary!F1127,Primary!F1127)</f>
        <v>0</v>
      </c>
      <c r="G1127" s="10">
        <f>IF(ActiveDatabase=Standby,Secondary!G1127,Primary!G1127)</f>
        <v>0</v>
      </c>
      <c r="H1127" s="10">
        <f>IF(ActiveDatabase=Standby,Secondary!H1127,Primary!H1127)</f>
        <v>0</v>
      </c>
      <c r="I1127" s="13">
        <f>IF(ActiveDatabase=Standby,Secondary!I1127,Primary!I1127)</f>
        <v>0</v>
      </c>
      <c r="J1127" s="13">
        <f>IF(ActiveDatabase=Standby,Secondary!J1127,Primary!J1127)</f>
        <v>0</v>
      </c>
      <c r="K1127" s="13">
        <f>IF(ActiveDatabase=Standby,Secondary!K1127,Primary!K1127)</f>
        <v>0</v>
      </c>
      <c r="L1127" s="13">
        <f>IF(ActiveDatabase=Standby,Secondary!L1127,Primary!L1127)</f>
        <v>0</v>
      </c>
      <c r="M1127" s="7">
        <f>IF(ActiveDatabase=Standby,Secondary!M1127,Primary!M1127)</f>
        <v>0</v>
      </c>
      <c r="N1127" s="10">
        <f>IF(ActiveDatabase=Standby,Secondary!N1127,Primary!N1127)</f>
        <v>0</v>
      </c>
      <c r="O1127" s="10">
        <f>IF(ActiveDatabase=Standby,Secondary!O1127,Primary!O1127)</f>
        <v>0</v>
      </c>
      <c r="P1127" s="10">
        <f>IF(ActiveDatabase=Standby,Secondary!P1127,Primary!P1127)</f>
        <v>0</v>
      </c>
      <c r="Q1127" s="6">
        <f>IF(ActiveDatabase=Standby,Secondary!Q1127,Primary!Q1127)</f>
        <v>0</v>
      </c>
      <c r="R1127" s="18">
        <f>IF(ActiveDatabase=Standby,Secondary!R1127,Primary!R1127)</f>
        <v>0</v>
      </c>
      <c r="S1127" s="19">
        <f>IF(ActiveDatabase=Standby,Secondary!S1127,Primary!S1127)</f>
        <v>0</v>
      </c>
      <c r="T1127" s="10">
        <f>IF(ActiveDatabase=Standby,Secondary!T1127,Primary!T1127)</f>
        <v>0</v>
      </c>
      <c r="U1127" s="10">
        <f>IF(ActiveDatabase=Standby,Secondary!U1127,Primary!U1127)</f>
        <v>0</v>
      </c>
      <c r="V1127" s="10">
        <f>IF(ActiveDatabase=Standby,Secondary!V1127,Primary!V1127)</f>
        <v>0</v>
      </c>
      <c r="W1127" s="6">
        <f>IF(ActiveDatabase=Standby,Secondary!W1127,Primary!W1127)</f>
        <v>0</v>
      </c>
      <c r="X1127" s="6">
        <f>IF(ActiveDatabase=Standby,Secondary!X1127,Primary!X1127)</f>
        <v>0</v>
      </c>
      <c r="Y1127" s="7">
        <f>IF(ActiveDatabase=Standby,Secondary!Y1127,Primary!Y1785)</f>
        <v>0</v>
      </c>
      <c r="Z1127" s="7">
        <f>IF(ActiveDatabase=Standby,Secondary!Z1127,Primary!Z1785)</f>
        <v>0</v>
      </c>
      <c r="AA1127" s="7">
        <f>IF(ActiveDatabase=Standby,Secondary!AA1127,Primary!AA1785)</f>
        <v>0</v>
      </c>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c r="AY1127" s="7"/>
      <c r="AZ1127" s="7"/>
      <c r="BA1127" s="7"/>
      <c r="BB1127" s="7"/>
      <c r="BC1127" s="7"/>
      <c r="BD1127" s="7"/>
      <c r="BE1127" s="7"/>
      <c r="BF1127" s="7"/>
      <c r="BG1127" s="7"/>
    </row>
    <row r="1128" customHeight="1" spans="1:59">
      <c r="A1128" s="9">
        <f>IF(ActiveDatabase=Standby,Secondary!A1128,Primary!A1128)</f>
        <v>0</v>
      </c>
      <c r="B1128" s="5">
        <f>IF(ActiveDatabase=Standby,Secondary!B1128,Primary!B1128)</f>
        <v>0</v>
      </c>
      <c r="C1128" s="5">
        <f>IF(ActiveDatabase=Standby,Secondary!C1128,Primary!C1128)</f>
        <v>0</v>
      </c>
      <c r="D1128" s="5">
        <f>IF(ActiveDatabase=Standby,Secondary!D1128,Primary!D1128)</f>
        <v>0</v>
      </c>
      <c r="E1128" s="6">
        <f>IF(ActiveDatabase=Standby,Secondary!E1128,Primary!E1128)</f>
        <v>0</v>
      </c>
      <c r="F1128" s="10">
        <f>IF(ActiveDatabase=Standby,Secondary!F1128,Primary!F1128)</f>
        <v>0</v>
      </c>
      <c r="G1128" s="10">
        <f>IF(ActiveDatabase=Standby,Secondary!G1128,Primary!G1128)</f>
        <v>0</v>
      </c>
      <c r="H1128" s="10">
        <f>IF(ActiveDatabase=Standby,Secondary!H1128,Primary!H1128)</f>
        <v>0</v>
      </c>
      <c r="I1128" s="13">
        <f>IF(ActiveDatabase=Standby,Secondary!I1128,Primary!I1128)</f>
        <v>0</v>
      </c>
      <c r="J1128" s="13">
        <f>IF(ActiveDatabase=Standby,Secondary!J1128,Primary!J1128)</f>
        <v>0</v>
      </c>
      <c r="K1128" s="13">
        <f>IF(ActiveDatabase=Standby,Secondary!K1128,Primary!K1128)</f>
        <v>0</v>
      </c>
      <c r="L1128" s="13">
        <f>IF(ActiveDatabase=Standby,Secondary!L1128,Primary!L1128)</f>
        <v>0</v>
      </c>
      <c r="M1128" s="7">
        <f>IF(ActiveDatabase=Standby,Secondary!M1128,Primary!M1128)</f>
        <v>0</v>
      </c>
      <c r="N1128" s="10">
        <f>IF(ActiveDatabase=Standby,Secondary!N1128,Primary!N1128)</f>
        <v>0</v>
      </c>
      <c r="O1128" s="10">
        <f>IF(ActiveDatabase=Standby,Secondary!O1128,Primary!O1128)</f>
        <v>0</v>
      </c>
      <c r="P1128" s="10">
        <f>IF(ActiveDatabase=Standby,Secondary!P1128,Primary!P1128)</f>
        <v>0</v>
      </c>
      <c r="Q1128" s="6">
        <f>IF(ActiveDatabase=Standby,Secondary!Q1128,Primary!Q1128)</f>
        <v>0</v>
      </c>
      <c r="R1128" s="18">
        <f>IF(ActiveDatabase=Standby,Secondary!R1128,Primary!R1128)</f>
        <v>0</v>
      </c>
      <c r="S1128" s="19">
        <f>IF(ActiveDatabase=Standby,Secondary!S1128,Primary!S1128)</f>
        <v>0</v>
      </c>
      <c r="T1128" s="10">
        <f>IF(ActiveDatabase=Standby,Secondary!T1128,Primary!T1128)</f>
        <v>0</v>
      </c>
      <c r="U1128" s="10">
        <f>IF(ActiveDatabase=Standby,Secondary!U1128,Primary!U1128)</f>
        <v>0</v>
      </c>
      <c r="V1128" s="10">
        <f>IF(ActiveDatabase=Standby,Secondary!V1128,Primary!V1128)</f>
        <v>0</v>
      </c>
      <c r="W1128" s="6">
        <f>IF(ActiveDatabase=Standby,Secondary!W1128,Primary!W1128)</f>
        <v>0</v>
      </c>
      <c r="X1128" s="6">
        <f>IF(ActiveDatabase=Standby,Secondary!X1128,Primary!X1128)</f>
        <v>0</v>
      </c>
      <c r="Y1128" s="7">
        <f>IF(ActiveDatabase=Standby,Secondary!Y1128,Primary!Y1786)</f>
        <v>0</v>
      </c>
      <c r="Z1128" s="7">
        <f>IF(ActiveDatabase=Standby,Secondary!Z1128,Primary!Z1786)</f>
        <v>0</v>
      </c>
      <c r="AA1128" s="7">
        <f>IF(ActiveDatabase=Standby,Secondary!AA1128,Primary!AA1786)</f>
        <v>0</v>
      </c>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7"/>
      <c r="BD1128" s="7"/>
      <c r="BE1128" s="7"/>
      <c r="BF1128" s="7"/>
      <c r="BG1128" s="7"/>
    </row>
    <row r="1129" customHeight="1" spans="1:59">
      <c r="A1129" s="9">
        <f>IF(ActiveDatabase=Standby,Secondary!A1129,Primary!A1129)</f>
        <v>0</v>
      </c>
      <c r="B1129" s="5">
        <f>IF(ActiveDatabase=Standby,Secondary!B1129,Primary!B1129)</f>
        <v>0</v>
      </c>
      <c r="C1129" s="5">
        <f>IF(ActiveDatabase=Standby,Secondary!C1129,Primary!C1129)</f>
        <v>0</v>
      </c>
      <c r="D1129" s="5">
        <f>IF(ActiveDatabase=Standby,Secondary!D1129,Primary!D1129)</f>
        <v>0</v>
      </c>
      <c r="E1129" s="6">
        <f>IF(ActiveDatabase=Standby,Secondary!E1129,Primary!E1129)</f>
        <v>0</v>
      </c>
      <c r="F1129" s="10">
        <f>IF(ActiveDatabase=Standby,Secondary!F1129,Primary!F1129)</f>
        <v>0</v>
      </c>
      <c r="G1129" s="10">
        <f>IF(ActiveDatabase=Standby,Secondary!G1129,Primary!G1129)</f>
        <v>0</v>
      </c>
      <c r="H1129" s="10">
        <f>IF(ActiveDatabase=Standby,Secondary!H1129,Primary!H1129)</f>
        <v>0</v>
      </c>
      <c r="I1129" s="13">
        <f>IF(ActiveDatabase=Standby,Secondary!I1129,Primary!I1129)</f>
        <v>0</v>
      </c>
      <c r="J1129" s="13">
        <f>IF(ActiveDatabase=Standby,Secondary!J1129,Primary!J1129)</f>
        <v>0</v>
      </c>
      <c r="K1129" s="13">
        <f>IF(ActiveDatabase=Standby,Secondary!K1129,Primary!K1129)</f>
        <v>0</v>
      </c>
      <c r="L1129" s="13">
        <f>IF(ActiveDatabase=Standby,Secondary!L1129,Primary!L1129)</f>
        <v>0</v>
      </c>
      <c r="M1129" s="7">
        <f>IF(ActiveDatabase=Standby,Secondary!M1129,Primary!M1129)</f>
        <v>0</v>
      </c>
      <c r="N1129" s="10">
        <f>IF(ActiveDatabase=Standby,Secondary!N1129,Primary!N1129)</f>
        <v>0</v>
      </c>
      <c r="O1129" s="10">
        <f>IF(ActiveDatabase=Standby,Secondary!O1129,Primary!O1129)</f>
        <v>0</v>
      </c>
      <c r="P1129" s="10">
        <f>IF(ActiveDatabase=Standby,Secondary!P1129,Primary!P1129)</f>
        <v>0</v>
      </c>
      <c r="Q1129" s="6">
        <f>IF(ActiveDatabase=Standby,Secondary!Q1129,Primary!Q1129)</f>
        <v>0</v>
      </c>
      <c r="R1129" s="18">
        <f>IF(ActiveDatabase=Standby,Secondary!R1129,Primary!R1129)</f>
        <v>0</v>
      </c>
      <c r="S1129" s="19">
        <f>IF(ActiveDatabase=Standby,Secondary!S1129,Primary!S1129)</f>
        <v>0</v>
      </c>
      <c r="T1129" s="10">
        <f>IF(ActiveDatabase=Standby,Secondary!T1129,Primary!T1129)</f>
        <v>0</v>
      </c>
      <c r="U1129" s="10">
        <f>IF(ActiveDatabase=Standby,Secondary!U1129,Primary!U1129)</f>
        <v>0</v>
      </c>
      <c r="V1129" s="10">
        <f>IF(ActiveDatabase=Standby,Secondary!V1129,Primary!V1129)</f>
        <v>0</v>
      </c>
      <c r="W1129" s="6">
        <f>IF(ActiveDatabase=Standby,Secondary!W1129,Primary!W1129)</f>
        <v>0</v>
      </c>
      <c r="X1129" s="6">
        <f>IF(ActiveDatabase=Standby,Secondary!X1129,Primary!X1129)</f>
        <v>0</v>
      </c>
      <c r="Y1129" s="7">
        <f>IF(ActiveDatabase=Standby,Secondary!Y1129,Primary!Y1787)</f>
        <v>0</v>
      </c>
      <c r="Z1129" s="7">
        <f>IF(ActiveDatabase=Standby,Secondary!Z1129,Primary!Z1787)</f>
        <v>0</v>
      </c>
      <c r="AA1129" s="7">
        <f>IF(ActiveDatabase=Standby,Secondary!AA1129,Primary!AA1787)</f>
        <v>0</v>
      </c>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row>
    <row r="1130" customHeight="1" spans="1:59">
      <c r="A1130" s="9">
        <f>IF(ActiveDatabase=Standby,Secondary!A1130,Primary!A1130)</f>
        <v>0</v>
      </c>
      <c r="B1130" s="5">
        <f>IF(ActiveDatabase=Standby,Secondary!B1130,Primary!B1130)</f>
        <v>0</v>
      </c>
      <c r="C1130" s="5">
        <f>IF(ActiveDatabase=Standby,Secondary!C1130,Primary!C1130)</f>
        <v>0</v>
      </c>
      <c r="D1130" s="5">
        <f>IF(ActiveDatabase=Standby,Secondary!D1130,Primary!D1130)</f>
        <v>0</v>
      </c>
      <c r="E1130" s="6">
        <f>IF(ActiveDatabase=Standby,Secondary!E1130,Primary!E1130)</f>
        <v>0</v>
      </c>
      <c r="F1130" s="10">
        <f>IF(ActiveDatabase=Standby,Secondary!F1130,Primary!F1130)</f>
        <v>0</v>
      </c>
      <c r="G1130" s="10">
        <f>IF(ActiveDatabase=Standby,Secondary!G1130,Primary!G1130)</f>
        <v>0</v>
      </c>
      <c r="H1130" s="10">
        <f>IF(ActiveDatabase=Standby,Secondary!H1130,Primary!H1130)</f>
        <v>0</v>
      </c>
      <c r="I1130" s="13">
        <f>IF(ActiveDatabase=Standby,Secondary!I1130,Primary!I1130)</f>
        <v>0</v>
      </c>
      <c r="J1130" s="13">
        <f>IF(ActiveDatabase=Standby,Secondary!J1130,Primary!J1130)</f>
        <v>0</v>
      </c>
      <c r="K1130" s="13">
        <f>IF(ActiveDatabase=Standby,Secondary!K1130,Primary!K1130)</f>
        <v>0</v>
      </c>
      <c r="L1130" s="13">
        <f>IF(ActiveDatabase=Standby,Secondary!L1130,Primary!L1130)</f>
        <v>0</v>
      </c>
      <c r="M1130" s="7">
        <f>IF(ActiveDatabase=Standby,Secondary!M1130,Primary!M1130)</f>
        <v>0</v>
      </c>
      <c r="N1130" s="10">
        <f>IF(ActiveDatabase=Standby,Secondary!N1130,Primary!N1130)</f>
        <v>0</v>
      </c>
      <c r="O1130" s="10">
        <f>IF(ActiveDatabase=Standby,Secondary!O1130,Primary!O1130)</f>
        <v>0</v>
      </c>
      <c r="P1130" s="10">
        <f>IF(ActiveDatabase=Standby,Secondary!P1130,Primary!P1130)</f>
        <v>0</v>
      </c>
      <c r="Q1130" s="6">
        <f>IF(ActiveDatabase=Standby,Secondary!Q1130,Primary!Q1130)</f>
        <v>0</v>
      </c>
      <c r="R1130" s="18">
        <f>IF(ActiveDatabase=Standby,Secondary!R1130,Primary!R1130)</f>
        <v>0</v>
      </c>
      <c r="S1130" s="19">
        <f>IF(ActiveDatabase=Standby,Secondary!S1130,Primary!S1130)</f>
        <v>0</v>
      </c>
      <c r="T1130" s="10">
        <f>IF(ActiveDatabase=Standby,Secondary!T1130,Primary!T1130)</f>
        <v>0</v>
      </c>
      <c r="U1130" s="10">
        <f>IF(ActiveDatabase=Standby,Secondary!U1130,Primary!U1130)</f>
        <v>0</v>
      </c>
      <c r="V1130" s="10">
        <f>IF(ActiveDatabase=Standby,Secondary!V1130,Primary!V1130)</f>
        <v>0</v>
      </c>
      <c r="W1130" s="6">
        <f>IF(ActiveDatabase=Standby,Secondary!W1130,Primary!W1130)</f>
        <v>0</v>
      </c>
      <c r="X1130" s="6">
        <f>IF(ActiveDatabase=Standby,Secondary!X1130,Primary!X1130)</f>
        <v>0</v>
      </c>
      <c r="Y1130" s="7">
        <f>IF(ActiveDatabase=Standby,Secondary!Y1130,Primary!Y1788)</f>
        <v>0</v>
      </c>
      <c r="Z1130" s="7">
        <f>IF(ActiveDatabase=Standby,Secondary!Z1130,Primary!Z1788)</f>
        <v>0</v>
      </c>
      <c r="AA1130" s="7">
        <f>IF(ActiveDatabase=Standby,Secondary!AA1130,Primary!AA1788)</f>
        <v>0</v>
      </c>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row>
    <row r="1131" customHeight="1" spans="1:59">
      <c r="A1131" s="9">
        <f>IF(ActiveDatabase=Standby,Secondary!A1131,Primary!A1131)</f>
        <v>0</v>
      </c>
      <c r="B1131" s="5">
        <f>IF(ActiveDatabase=Standby,Secondary!B1131,Primary!B1131)</f>
        <v>0</v>
      </c>
      <c r="C1131" s="5">
        <f>IF(ActiveDatabase=Standby,Secondary!C1131,Primary!C1131)</f>
        <v>0</v>
      </c>
      <c r="D1131" s="5">
        <f>IF(ActiveDatabase=Standby,Secondary!D1131,Primary!D1131)</f>
        <v>0</v>
      </c>
      <c r="E1131" s="6">
        <f>IF(ActiveDatabase=Standby,Secondary!E1131,Primary!E1131)</f>
        <v>0</v>
      </c>
      <c r="F1131" s="10">
        <f>IF(ActiveDatabase=Standby,Secondary!F1131,Primary!F1131)</f>
        <v>0</v>
      </c>
      <c r="G1131" s="10">
        <f>IF(ActiveDatabase=Standby,Secondary!G1131,Primary!G1131)</f>
        <v>0</v>
      </c>
      <c r="H1131" s="10">
        <f>IF(ActiveDatabase=Standby,Secondary!H1131,Primary!H1131)</f>
        <v>0</v>
      </c>
      <c r="I1131" s="13">
        <f>IF(ActiveDatabase=Standby,Secondary!I1131,Primary!I1131)</f>
        <v>0</v>
      </c>
      <c r="J1131" s="13">
        <f>IF(ActiveDatabase=Standby,Secondary!J1131,Primary!J1131)</f>
        <v>0</v>
      </c>
      <c r="K1131" s="13">
        <f>IF(ActiveDatabase=Standby,Secondary!K1131,Primary!K1131)</f>
        <v>0</v>
      </c>
      <c r="L1131" s="13">
        <f>IF(ActiveDatabase=Standby,Secondary!L1131,Primary!L1131)</f>
        <v>0</v>
      </c>
      <c r="M1131" s="7">
        <f>IF(ActiveDatabase=Standby,Secondary!M1131,Primary!M1131)</f>
        <v>0</v>
      </c>
      <c r="N1131" s="10">
        <f>IF(ActiveDatabase=Standby,Secondary!N1131,Primary!N1131)</f>
        <v>0</v>
      </c>
      <c r="O1131" s="10">
        <f>IF(ActiveDatabase=Standby,Secondary!O1131,Primary!O1131)</f>
        <v>0</v>
      </c>
      <c r="P1131" s="10">
        <f>IF(ActiveDatabase=Standby,Secondary!P1131,Primary!P1131)</f>
        <v>0</v>
      </c>
      <c r="Q1131" s="6">
        <f>IF(ActiveDatabase=Standby,Secondary!Q1131,Primary!Q1131)</f>
        <v>0</v>
      </c>
      <c r="R1131" s="18">
        <f>IF(ActiveDatabase=Standby,Secondary!R1131,Primary!R1131)</f>
        <v>0</v>
      </c>
      <c r="S1131" s="19">
        <f>IF(ActiveDatabase=Standby,Secondary!S1131,Primary!S1131)</f>
        <v>0</v>
      </c>
      <c r="T1131" s="10">
        <f>IF(ActiveDatabase=Standby,Secondary!T1131,Primary!T1131)</f>
        <v>0</v>
      </c>
      <c r="U1131" s="10">
        <f>IF(ActiveDatabase=Standby,Secondary!U1131,Primary!U1131)</f>
        <v>0</v>
      </c>
      <c r="V1131" s="10">
        <f>IF(ActiveDatabase=Standby,Secondary!V1131,Primary!V1131)</f>
        <v>0</v>
      </c>
      <c r="W1131" s="6">
        <f>IF(ActiveDatabase=Standby,Secondary!W1131,Primary!W1131)</f>
        <v>0</v>
      </c>
      <c r="X1131" s="6">
        <f>IF(ActiveDatabase=Standby,Secondary!X1131,Primary!X1131)</f>
        <v>0</v>
      </c>
      <c r="Y1131" s="7">
        <f>IF(ActiveDatabase=Standby,Secondary!Y1131,Primary!Y1789)</f>
        <v>0</v>
      </c>
      <c r="Z1131" s="7">
        <f>IF(ActiveDatabase=Standby,Secondary!Z1131,Primary!Z1789)</f>
        <v>0</v>
      </c>
      <c r="AA1131" s="7">
        <f>IF(ActiveDatabase=Standby,Secondary!AA1131,Primary!AA1789)</f>
        <v>0</v>
      </c>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row>
    <row r="1132" customHeight="1" spans="1:59">
      <c r="A1132" s="9">
        <f>IF(ActiveDatabase=Standby,Secondary!A1132,Primary!A1132)</f>
        <v>0</v>
      </c>
      <c r="B1132" s="5">
        <f>IF(ActiveDatabase=Standby,Secondary!B1132,Primary!B1132)</f>
        <v>0</v>
      </c>
      <c r="C1132" s="5">
        <f>IF(ActiveDatabase=Standby,Secondary!C1132,Primary!C1132)</f>
        <v>0</v>
      </c>
      <c r="D1132" s="5">
        <f>IF(ActiveDatabase=Standby,Secondary!D1132,Primary!D1132)</f>
        <v>0</v>
      </c>
      <c r="E1132" s="6">
        <f>IF(ActiveDatabase=Standby,Secondary!E1132,Primary!E1132)</f>
        <v>0</v>
      </c>
      <c r="F1132" s="10">
        <f>IF(ActiveDatabase=Standby,Secondary!F1132,Primary!F1132)</f>
        <v>0</v>
      </c>
      <c r="G1132" s="10">
        <f>IF(ActiveDatabase=Standby,Secondary!G1132,Primary!G1132)</f>
        <v>0</v>
      </c>
      <c r="H1132" s="10">
        <f>IF(ActiveDatabase=Standby,Secondary!H1132,Primary!H1132)</f>
        <v>0</v>
      </c>
      <c r="I1132" s="13">
        <f>IF(ActiveDatabase=Standby,Secondary!I1132,Primary!I1132)</f>
        <v>0</v>
      </c>
      <c r="J1132" s="13">
        <f>IF(ActiveDatabase=Standby,Secondary!J1132,Primary!J1132)</f>
        <v>0</v>
      </c>
      <c r="K1132" s="13">
        <f>IF(ActiveDatabase=Standby,Secondary!K1132,Primary!K1132)</f>
        <v>0</v>
      </c>
      <c r="L1132" s="13">
        <f>IF(ActiveDatabase=Standby,Secondary!L1132,Primary!L1132)</f>
        <v>0</v>
      </c>
      <c r="M1132" s="7">
        <f>IF(ActiveDatabase=Standby,Secondary!M1132,Primary!M1132)</f>
        <v>0</v>
      </c>
      <c r="N1132" s="10">
        <f>IF(ActiveDatabase=Standby,Secondary!N1132,Primary!N1132)</f>
        <v>0</v>
      </c>
      <c r="O1132" s="10">
        <f>IF(ActiveDatabase=Standby,Secondary!O1132,Primary!O1132)</f>
        <v>0</v>
      </c>
      <c r="P1132" s="10">
        <f>IF(ActiveDatabase=Standby,Secondary!P1132,Primary!P1132)</f>
        <v>0</v>
      </c>
      <c r="Q1132" s="6">
        <f>IF(ActiveDatabase=Standby,Secondary!Q1132,Primary!Q1132)</f>
        <v>0</v>
      </c>
      <c r="R1132" s="18">
        <f>IF(ActiveDatabase=Standby,Secondary!R1132,Primary!R1132)</f>
        <v>0</v>
      </c>
      <c r="S1132" s="19">
        <f>IF(ActiveDatabase=Standby,Secondary!S1132,Primary!S1132)</f>
        <v>0</v>
      </c>
      <c r="T1132" s="10">
        <f>IF(ActiveDatabase=Standby,Secondary!T1132,Primary!T1132)</f>
        <v>0</v>
      </c>
      <c r="U1132" s="10">
        <f>IF(ActiveDatabase=Standby,Secondary!U1132,Primary!U1132)</f>
        <v>0</v>
      </c>
      <c r="V1132" s="10">
        <f>IF(ActiveDatabase=Standby,Secondary!V1132,Primary!V1132)</f>
        <v>0</v>
      </c>
      <c r="W1132" s="6">
        <f>IF(ActiveDatabase=Standby,Secondary!W1132,Primary!W1132)</f>
        <v>0</v>
      </c>
      <c r="X1132" s="6">
        <f>IF(ActiveDatabase=Standby,Secondary!X1132,Primary!X1132)</f>
        <v>0</v>
      </c>
      <c r="Y1132" s="7">
        <f>IF(ActiveDatabase=Standby,Secondary!Y1132,Primary!Y1790)</f>
        <v>0</v>
      </c>
      <c r="Z1132" s="7">
        <f>IF(ActiveDatabase=Standby,Secondary!Z1132,Primary!Z1790)</f>
        <v>0</v>
      </c>
      <c r="AA1132" s="7">
        <f>IF(ActiveDatabase=Standby,Secondary!AA1132,Primary!AA1790)</f>
        <v>0</v>
      </c>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row>
    <row r="1133" customHeight="1" spans="1:59">
      <c r="A1133" s="9">
        <f>IF(ActiveDatabase=Standby,Secondary!A1133,Primary!A1133)</f>
        <v>0</v>
      </c>
      <c r="B1133" s="5">
        <f>IF(ActiveDatabase=Standby,Secondary!B1133,Primary!B1133)</f>
        <v>0</v>
      </c>
      <c r="C1133" s="5">
        <f>IF(ActiveDatabase=Standby,Secondary!C1133,Primary!C1133)</f>
        <v>0</v>
      </c>
      <c r="D1133" s="5">
        <f>IF(ActiveDatabase=Standby,Secondary!D1133,Primary!D1133)</f>
        <v>0</v>
      </c>
      <c r="E1133" s="6">
        <f>IF(ActiveDatabase=Standby,Secondary!E1133,Primary!E1133)</f>
        <v>0</v>
      </c>
      <c r="F1133" s="10">
        <f>IF(ActiveDatabase=Standby,Secondary!F1133,Primary!F1133)</f>
        <v>0</v>
      </c>
      <c r="G1133" s="10">
        <f>IF(ActiveDatabase=Standby,Secondary!G1133,Primary!G1133)</f>
        <v>0</v>
      </c>
      <c r="H1133" s="10">
        <f>IF(ActiveDatabase=Standby,Secondary!H1133,Primary!H1133)</f>
        <v>0</v>
      </c>
      <c r="I1133" s="13">
        <f>IF(ActiveDatabase=Standby,Secondary!I1133,Primary!I1133)</f>
        <v>0</v>
      </c>
      <c r="J1133" s="13">
        <f>IF(ActiveDatabase=Standby,Secondary!J1133,Primary!J1133)</f>
        <v>0</v>
      </c>
      <c r="K1133" s="13">
        <f>IF(ActiveDatabase=Standby,Secondary!K1133,Primary!K1133)</f>
        <v>0</v>
      </c>
      <c r="L1133" s="13">
        <f>IF(ActiveDatabase=Standby,Secondary!L1133,Primary!L1133)</f>
        <v>0</v>
      </c>
      <c r="M1133" s="7">
        <f>IF(ActiveDatabase=Standby,Secondary!M1133,Primary!M1133)</f>
        <v>0</v>
      </c>
      <c r="N1133" s="10">
        <f>IF(ActiveDatabase=Standby,Secondary!N1133,Primary!N1133)</f>
        <v>0</v>
      </c>
      <c r="O1133" s="10">
        <f>IF(ActiveDatabase=Standby,Secondary!O1133,Primary!O1133)</f>
        <v>0</v>
      </c>
      <c r="P1133" s="10">
        <f>IF(ActiveDatabase=Standby,Secondary!P1133,Primary!P1133)</f>
        <v>0</v>
      </c>
      <c r="Q1133" s="6">
        <f>IF(ActiveDatabase=Standby,Secondary!Q1133,Primary!Q1133)</f>
        <v>0</v>
      </c>
      <c r="R1133" s="18">
        <f>IF(ActiveDatabase=Standby,Secondary!R1133,Primary!R1133)</f>
        <v>0</v>
      </c>
      <c r="S1133" s="19">
        <f>IF(ActiveDatabase=Standby,Secondary!S1133,Primary!S1133)</f>
        <v>0</v>
      </c>
      <c r="T1133" s="10">
        <f>IF(ActiveDatabase=Standby,Secondary!T1133,Primary!T1133)</f>
        <v>0</v>
      </c>
      <c r="U1133" s="10">
        <f>IF(ActiveDatabase=Standby,Secondary!U1133,Primary!U1133)</f>
        <v>0</v>
      </c>
      <c r="V1133" s="10">
        <f>IF(ActiveDatabase=Standby,Secondary!V1133,Primary!V1133)</f>
        <v>0</v>
      </c>
      <c r="W1133" s="6">
        <f>IF(ActiveDatabase=Standby,Secondary!W1133,Primary!W1133)</f>
        <v>0</v>
      </c>
      <c r="X1133" s="6">
        <f>IF(ActiveDatabase=Standby,Secondary!X1133,Primary!X1133)</f>
        <v>0</v>
      </c>
      <c r="Y1133" s="7">
        <f>IF(ActiveDatabase=Standby,Secondary!Y1133,Primary!Y1791)</f>
        <v>0</v>
      </c>
      <c r="Z1133" s="7">
        <f>IF(ActiveDatabase=Standby,Secondary!Z1133,Primary!Z1791)</f>
        <v>0</v>
      </c>
      <c r="AA1133" s="7">
        <f>IF(ActiveDatabase=Standby,Secondary!AA1133,Primary!AA1791)</f>
        <v>0</v>
      </c>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7"/>
      <c r="BD1133" s="7"/>
      <c r="BE1133" s="7"/>
      <c r="BF1133" s="7"/>
      <c r="BG1133" s="7"/>
    </row>
    <row r="1134" customHeight="1" spans="1:59">
      <c r="A1134" s="9">
        <f>IF(ActiveDatabase=Standby,Secondary!A1134,Primary!A1134)</f>
        <v>0</v>
      </c>
      <c r="B1134" s="5">
        <f>IF(ActiveDatabase=Standby,Secondary!B1134,Primary!B1134)</f>
        <v>0</v>
      </c>
      <c r="C1134" s="5">
        <f>IF(ActiveDatabase=Standby,Secondary!C1134,Primary!C1134)</f>
        <v>0</v>
      </c>
      <c r="D1134" s="5">
        <f>IF(ActiveDatabase=Standby,Secondary!D1134,Primary!D1134)</f>
        <v>0</v>
      </c>
      <c r="E1134" s="6">
        <f>IF(ActiveDatabase=Standby,Secondary!E1134,Primary!E1134)</f>
        <v>0</v>
      </c>
      <c r="F1134" s="10">
        <f>IF(ActiveDatabase=Standby,Secondary!F1134,Primary!F1134)</f>
        <v>0</v>
      </c>
      <c r="G1134" s="10">
        <f>IF(ActiveDatabase=Standby,Secondary!G1134,Primary!G1134)</f>
        <v>0</v>
      </c>
      <c r="H1134" s="10">
        <f>IF(ActiveDatabase=Standby,Secondary!H1134,Primary!H1134)</f>
        <v>0</v>
      </c>
      <c r="I1134" s="13">
        <f>IF(ActiveDatabase=Standby,Secondary!I1134,Primary!I1134)</f>
        <v>0</v>
      </c>
      <c r="J1134" s="13">
        <f>IF(ActiveDatabase=Standby,Secondary!J1134,Primary!J1134)</f>
        <v>0</v>
      </c>
      <c r="K1134" s="13">
        <f>IF(ActiveDatabase=Standby,Secondary!K1134,Primary!K1134)</f>
        <v>0</v>
      </c>
      <c r="L1134" s="13">
        <f>IF(ActiveDatabase=Standby,Secondary!L1134,Primary!L1134)</f>
        <v>0</v>
      </c>
      <c r="M1134" s="7">
        <f>IF(ActiveDatabase=Standby,Secondary!M1134,Primary!M1134)</f>
        <v>0</v>
      </c>
      <c r="N1134" s="10">
        <f>IF(ActiveDatabase=Standby,Secondary!N1134,Primary!N1134)</f>
        <v>0</v>
      </c>
      <c r="O1134" s="10">
        <f>IF(ActiveDatabase=Standby,Secondary!O1134,Primary!O1134)</f>
        <v>0</v>
      </c>
      <c r="P1134" s="10">
        <f>IF(ActiveDatabase=Standby,Secondary!P1134,Primary!P1134)</f>
        <v>0</v>
      </c>
      <c r="Q1134" s="6">
        <f>IF(ActiveDatabase=Standby,Secondary!Q1134,Primary!Q1134)</f>
        <v>0</v>
      </c>
      <c r="R1134" s="18">
        <f>IF(ActiveDatabase=Standby,Secondary!R1134,Primary!R1134)</f>
        <v>0</v>
      </c>
      <c r="S1134" s="19">
        <f>IF(ActiveDatabase=Standby,Secondary!S1134,Primary!S1134)</f>
        <v>0</v>
      </c>
      <c r="T1134" s="10">
        <f>IF(ActiveDatabase=Standby,Secondary!T1134,Primary!T1134)</f>
        <v>0</v>
      </c>
      <c r="U1134" s="10">
        <f>IF(ActiveDatabase=Standby,Secondary!U1134,Primary!U1134)</f>
        <v>0</v>
      </c>
      <c r="V1134" s="10">
        <f>IF(ActiveDatabase=Standby,Secondary!V1134,Primary!V1134)</f>
        <v>0</v>
      </c>
      <c r="W1134" s="6">
        <f>IF(ActiveDatabase=Standby,Secondary!W1134,Primary!W1134)</f>
        <v>0</v>
      </c>
      <c r="X1134" s="6">
        <f>IF(ActiveDatabase=Standby,Secondary!X1134,Primary!X1134)</f>
        <v>0</v>
      </c>
      <c r="Y1134" s="7">
        <f>IF(ActiveDatabase=Standby,Secondary!Y1134,Primary!Y1792)</f>
        <v>0</v>
      </c>
      <c r="Z1134" s="7">
        <f>IF(ActiveDatabase=Standby,Secondary!Z1134,Primary!Z1792)</f>
        <v>0</v>
      </c>
      <c r="AA1134" s="7">
        <f>IF(ActiveDatabase=Standby,Secondary!AA1134,Primary!AA1792)</f>
        <v>0</v>
      </c>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row>
    <row r="1135" customHeight="1" spans="1:59">
      <c r="A1135" s="9">
        <f>IF(ActiveDatabase=Standby,Secondary!A1135,Primary!A1135)</f>
        <v>0</v>
      </c>
      <c r="B1135" s="5">
        <f>IF(ActiveDatabase=Standby,Secondary!B1135,Primary!B1135)</f>
        <v>0</v>
      </c>
      <c r="C1135" s="5">
        <f>IF(ActiveDatabase=Standby,Secondary!C1135,Primary!C1135)</f>
        <v>0</v>
      </c>
      <c r="D1135" s="5">
        <f>IF(ActiveDatabase=Standby,Secondary!D1135,Primary!D1135)</f>
        <v>0</v>
      </c>
      <c r="E1135" s="6">
        <f>IF(ActiveDatabase=Standby,Secondary!E1135,Primary!E1135)</f>
        <v>0</v>
      </c>
      <c r="F1135" s="10">
        <f>IF(ActiveDatabase=Standby,Secondary!F1135,Primary!F1135)</f>
        <v>0</v>
      </c>
      <c r="G1135" s="10">
        <f>IF(ActiveDatabase=Standby,Secondary!G1135,Primary!G1135)</f>
        <v>0</v>
      </c>
      <c r="H1135" s="10">
        <f>IF(ActiveDatabase=Standby,Secondary!H1135,Primary!H1135)</f>
        <v>0</v>
      </c>
      <c r="I1135" s="13">
        <f>IF(ActiveDatabase=Standby,Secondary!I1135,Primary!I1135)</f>
        <v>0</v>
      </c>
      <c r="J1135" s="13">
        <f>IF(ActiveDatabase=Standby,Secondary!J1135,Primary!J1135)</f>
        <v>0</v>
      </c>
      <c r="K1135" s="13">
        <f>IF(ActiveDatabase=Standby,Secondary!K1135,Primary!K1135)</f>
        <v>0</v>
      </c>
      <c r="L1135" s="13">
        <f>IF(ActiveDatabase=Standby,Secondary!L1135,Primary!L1135)</f>
        <v>0</v>
      </c>
      <c r="M1135" s="7">
        <f>IF(ActiveDatabase=Standby,Secondary!M1135,Primary!M1135)</f>
        <v>0</v>
      </c>
      <c r="N1135" s="10">
        <f>IF(ActiveDatabase=Standby,Secondary!N1135,Primary!N1135)</f>
        <v>0</v>
      </c>
      <c r="O1135" s="10">
        <f>IF(ActiveDatabase=Standby,Secondary!O1135,Primary!O1135)</f>
        <v>0</v>
      </c>
      <c r="P1135" s="10">
        <f>IF(ActiveDatabase=Standby,Secondary!P1135,Primary!P1135)</f>
        <v>0</v>
      </c>
      <c r="Q1135" s="6">
        <f>IF(ActiveDatabase=Standby,Secondary!Q1135,Primary!Q1135)</f>
        <v>0</v>
      </c>
      <c r="R1135" s="18">
        <f>IF(ActiveDatabase=Standby,Secondary!R1135,Primary!R1135)</f>
        <v>0</v>
      </c>
      <c r="S1135" s="19">
        <f>IF(ActiveDatabase=Standby,Secondary!S1135,Primary!S1135)</f>
        <v>0</v>
      </c>
      <c r="T1135" s="10">
        <f>IF(ActiveDatabase=Standby,Secondary!T1135,Primary!T1135)</f>
        <v>0</v>
      </c>
      <c r="U1135" s="10">
        <f>IF(ActiveDatabase=Standby,Secondary!U1135,Primary!U1135)</f>
        <v>0</v>
      </c>
      <c r="V1135" s="10">
        <f>IF(ActiveDatabase=Standby,Secondary!V1135,Primary!V1135)</f>
        <v>0</v>
      </c>
      <c r="W1135" s="6">
        <f>IF(ActiveDatabase=Standby,Secondary!W1135,Primary!W1135)</f>
        <v>0</v>
      </c>
      <c r="X1135" s="6">
        <f>IF(ActiveDatabase=Standby,Secondary!X1135,Primary!X1135)</f>
        <v>0</v>
      </c>
      <c r="Y1135" s="7">
        <f>IF(ActiveDatabase=Standby,Secondary!Y1135,Primary!Y1793)</f>
        <v>0</v>
      </c>
      <c r="Z1135" s="7">
        <f>IF(ActiveDatabase=Standby,Secondary!Z1135,Primary!Z1793)</f>
        <v>0</v>
      </c>
      <c r="AA1135" s="7">
        <f>IF(ActiveDatabase=Standby,Secondary!AA1135,Primary!AA1793)</f>
        <v>0</v>
      </c>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7"/>
      <c r="BD1135" s="7"/>
      <c r="BE1135" s="7"/>
      <c r="BF1135" s="7"/>
      <c r="BG1135" s="7"/>
    </row>
    <row r="1136" customHeight="1" spans="1:59">
      <c r="A1136" s="9">
        <f>IF(ActiveDatabase=Standby,Secondary!A1136,Primary!A1136)</f>
        <v>0</v>
      </c>
      <c r="B1136" s="5">
        <f>IF(ActiveDatabase=Standby,Secondary!B1136,Primary!B1136)</f>
        <v>0</v>
      </c>
      <c r="C1136" s="5">
        <f>IF(ActiveDatabase=Standby,Secondary!C1136,Primary!C1136)</f>
        <v>0</v>
      </c>
      <c r="D1136" s="5">
        <f>IF(ActiveDatabase=Standby,Secondary!D1136,Primary!D1136)</f>
        <v>0</v>
      </c>
      <c r="E1136" s="6">
        <f>IF(ActiveDatabase=Standby,Secondary!E1136,Primary!E1136)</f>
        <v>0</v>
      </c>
      <c r="F1136" s="10">
        <f>IF(ActiveDatabase=Standby,Secondary!F1136,Primary!F1136)</f>
        <v>0</v>
      </c>
      <c r="G1136" s="10">
        <f>IF(ActiveDatabase=Standby,Secondary!G1136,Primary!G1136)</f>
        <v>0</v>
      </c>
      <c r="H1136" s="10">
        <f>IF(ActiveDatabase=Standby,Secondary!H1136,Primary!H1136)</f>
        <v>0</v>
      </c>
      <c r="I1136" s="13">
        <f>IF(ActiveDatabase=Standby,Secondary!I1136,Primary!I1136)</f>
        <v>0</v>
      </c>
      <c r="J1136" s="13">
        <f>IF(ActiveDatabase=Standby,Secondary!J1136,Primary!J1136)</f>
        <v>0</v>
      </c>
      <c r="K1136" s="13">
        <f>IF(ActiveDatabase=Standby,Secondary!K1136,Primary!K1136)</f>
        <v>0</v>
      </c>
      <c r="L1136" s="13">
        <f>IF(ActiveDatabase=Standby,Secondary!L1136,Primary!L1136)</f>
        <v>0</v>
      </c>
      <c r="M1136" s="7">
        <f>IF(ActiveDatabase=Standby,Secondary!M1136,Primary!M1136)</f>
        <v>0</v>
      </c>
      <c r="N1136" s="10">
        <f>IF(ActiveDatabase=Standby,Secondary!N1136,Primary!N1136)</f>
        <v>0</v>
      </c>
      <c r="O1136" s="10">
        <f>IF(ActiveDatabase=Standby,Secondary!O1136,Primary!O1136)</f>
        <v>0</v>
      </c>
      <c r="P1136" s="10">
        <f>IF(ActiveDatabase=Standby,Secondary!P1136,Primary!P1136)</f>
        <v>0</v>
      </c>
      <c r="Q1136" s="6">
        <f>IF(ActiveDatabase=Standby,Secondary!Q1136,Primary!Q1136)</f>
        <v>0</v>
      </c>
      <c r="R1136" s="18">
        <f>IF(ActiveDatabase=Standby,Secondary!R1136,Primary!R1136)</f>
        <v>0</v>
      </c>
      <c r="S1136" s="19">
        <f>IF(ActiveDatabase=Standby,Secondary!S1136,Primary!S1136)</f>
        <v>0</v>
      </c>
      <c r="T1136" s="10">
        <f>IF(ActiveDatabase=Standby,Secondary!T1136,Primary!T1136)</f>
        <v>0</v>
      </c>
      <c r="U1136" s="10">
        <f>IF(ActiveDatabase=Standby,Secondary!U1136,Primary!U1136)</f>
        <v>0</v>
      </c>
      <c r="V1136" s="10">
        <f>IF(ActiveDatabase=Standby,Secondary!V1136,Primary!V1136)</f>
        <v>0</v>
      </c>
      <c r="W1136" s="6">
        <f>IF(ActiveDatabase=Standby,Secondary!W1136,Primary!W1136)</f>
        <v>0</v>
      </c>
      <c r="X1136" s="6">
        <f>IF(ActiveDatabase=Standby,Secondary!X1136,Primary!X1136)</f>
        <v>0</v>
      </c>
      <c r="Y1136" s="7">
        <f>IF(ActiveDatabase=Standby,Secondary!Y1136,Primary!Y1794)</f>
        <v>0</v>
      </c>
      <c r="Z1136" s="7">
        <f>IF(ActiveDatabase=Standby,Secondary!Z1136,Primary!Z1794)</f>
        <v>0</v>
      </c>
      <c r="AA1136" s="7">
        <f>IF(ActiveDatabase=Standby,Secondary!AA1136,Primary!AA1794)</f>
        <v>0</v>
      </c>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row>
    <row r="1137" customHeight="1" spans="1:59">
      <c r="A1137" s="9">
        <f>IF(ActiveDatabase=Standby,Secondary!A1137,Primary!A1137)</f>
        <v>0</v>
      </c>
      <c r="B1137" s="5">
        <f>IF(ActiveDatabase=Standby,Secondary!B1137,Primary!B1137)</f>
        <v>0</v>
      </c>
      <c r="C1137" s="5">
        <f>IF(ActiveDatabase=Standby,Secondary!C1137,Primary!C1137)</f>
        <v>0</v>
      </c>
      <c r="D1137" s="5">
        <f>IF(ActiveDatabase=Standby,Secondary!D1137,Primary!D1137)</f>
        <v>0</v>
      </c>
      <c r="E1137" s="6">
        <f>IF(ActiveDatabase=Standby,Secondary!E1137,Primary!E1137)</f>
        <v>0</v>
      </c>
      <c r="F1137" s="10">
        <f>IF(ActiveDatabase=Standby,Secondary!F1137,Primary!F1137)</f>
        <v>0</v>
      </c>
      <c r="G1137" s="10">
        <f>IF(ActiveDatabase=Standby,Secondary!G1137,Primary!G1137)</f>
        <v>0</v>
      </c>
      <c r="H1137" s="10">
        <f>IF(ActiveDatabase=Standby,Secondary!H1137,Primary!H1137)</f>
        <v>0</v>
      </c>
      <c r="I1137" s="13">
        <f>IF(ActiveDatabase=Standby,Secondary!I1137,Primary!I1137)</f>
        <v>0</v>
      </c>
      <c r="J1137" s="13">
        <f>IF(ActiveDatabase=Standby,Secondary!J1137,Primary!J1137)</f>
        <v>0</v>
      </c>
      <c r="K1137" s="13">
        <f>IF(ActiveDatabase=Standby,Secondary!K1137,Primary!K1137)</f>
        <v>0</v>
      </c>
      <c r="L1137" s="13">
        <f>IF(ActiveDatabase=Standby,Secondary!L1137,Primary!L1137)</f>
        <v>0</v>
      </c>
      <c r="M1137" s="7">
        <f>IF(ActiveDatabase=Standby,Secondary!M1137,Primary!M1137)</f>
        <v>0</v>
      </c>
      <c r="N1137" s="10">
        <f>IF(ActiveDatabase=Standby,Secondary!N1137,Primary!N1137)</f>
        <v>0</v>
      </c>
      <c r="O1137" s="10">
        <f>IF(ActiveDatabase=Standby,Secondary!O1137,Primary!O1137)</f>
        <v>0</v>
      </c>
      <c r="P1137" s="10">
        <f>IF(ActiveDatabase=Standby,Secondary!P1137,Primary!P1137)</f>
        <v>0</v>
      </c>
      <c r="Q1137" s="6">
        <f>IF(ActiveDatabase=Standby,Secondary!Q1137,Primary!Q1137)</f>
        <v>0</v>
      </c>
      <c r="R1137" s="18">
        <f>IF(ActiveDatabase=Standby,Secondary!R1137,Primary!R1137)</f>
        <v>0</v>
      </c>
      <c r="S1137" s="19">
        <f>IF(ActiveDatabase=Standby,Secondary!S1137,Primary!S1137)</f>
        <v>0</v>
      </c>
      <c r="T1137" s="10">
        <f>IF(ActiveDatabase=Standby,Secondary!T1137,Primary!T1137)</f>
        <v>0</v>
      </c>
      <c r="U1137" s="10">
        <f>IF(ActiveDatabase=Standby,Secondary!U1137,Primary!U1137)</f>
        <v>0</v>
      </c>
      <c r="V1137" s="10">
        <f>IF(ActiveDatabase=Standby,Secondary!V1137,Primary!V1137)</f>
        <v>0</v>
      </c>
      <c r="W1137" s="6">
        <f>IF(ActiveDatabase=Standby,Secondary!W1137,Primary!W1137)</f>
        <v>0</v>
      </c>
      <c r="X1137" s="6">
        <f>IF(ActiveDatabase=Standby,Secondary!X1137,Primary!X1137)</f>
        <v>0</v>
      </c>
      <c r="Y1137" s="7">
        <f>IF(ActiveDatabase=Standby,Secondary!Y1137,Primary!Y1795)</f>
        <v>0</v>
      </c>
      <c r="Z1137" s="7">
        <f>IF(ActiveDatabase=Standby,Secondary!Z1137,Primary!Z1795)</f>
        <v>0</v>
      </c>
      <c r="AA1137" s="7">
        <f>IF(ActiveDatabase=Standby,Secondary!AA1137,Primary!AA1795)</f>
        <v>0</v>
      </c>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7"/>
      <c r="BB1137" s="7"/>
      <c r="BC1137" s="7"/>
      <c r="BD1137" s="7"/>
      <c r="BE1137" s="7"/>
      <c r="BF1137" s="7"/>
      <c r="BG1137" s="7"/>
    </row>
    <row r="1138" customHeight="1" spans="1:59">
      <c r="A1138" s="9">
        <f>IF(ActiveDatabase=Standby,Secondary!A1138,Primary!A1138)</f>
        <v>0</v>
      </c>
      <c r="B1138" s="5">
        <f>IF(ActiveDatabase=Standby,Secondary!B1138,Primary!B1138)</f>
        <v>0</v>
      </c>
      <c r="C1138" s="5">
        <f>IF(ActiveDatabase=Standby,Secondary!C1138,Primary!C1138)</f>
        <v>0</v>
      </c>
      <c r="D1138" s="5">
        <f>IF(ActiveDatabase=Standby,Secondary!D1138,Primary!D1138)</f>
        <v>0</v>
      </c>
      <c r="E1138" s="6">
        <f>IF(ActiveDatabase=Standby,Secondary!E1138,Primary!E1138)</f>
        <v>0</v>
      </c>
      <c r="F1138" s="10">
        <f>IF(ActiveDatabase=Standby,Secondary!F1138,Primary!F1138)</f>
        <v>0</v>
      </c>
      <c r="G1138" s="10">
        <f>IF(ActiveDatabase=Standby,Secondary!G1138,Primary!G1138)</f>
        <v>0</v>
      </c>
      <c r="H1138" s="10">
        <f>IF(ActiveDatabase=Standby,Secondary!H1138,Primary!H1138)</f>
        <v>0</v>
      </c>
      <c r="I1138" s="13">
        <f>IF(ActiveDatabase=Standby,Secondary!I1138,Primary!I1138)</f>
        <v>0</v>
      </c>
      <c r="J1138" s="13">
        <f>IF(ActiveDatabase=Standby,Secondary!J1138,Primary!J1138)</f>
        <v>0</v>
      </c>
      <c r="K1138" s="13">
        <f>IF(ActiveDatabase=Standby,Secondary!K1138,Primary!K1138)</f>
        <v>0</v>
      </c>
      <c r="L1138" s="13">
        <f>IF(ActiveDatabase=Standby,Secondary!L1138,Primary!L1138)</f>
        <v>0</v>
      </c>
      <c r="M1138" s="7">
        <f>IF(ActiveDatabase=Standby,Secondary!M1138,Primary!M1138)</f>
        <v>0</v>
      </c>
      <c r="N1138" s="10">
        <f>IF(ActiveDatabase=Standby,Secondary!N1138,Primary!N1138)</f>
        <v>0</v>
      </c>
      <c r="O1138" s="10">
        <f>IF(ActiveDatabase=Standby,Secondary!O1138,Primary!O1138)</f>
        <v>0</v>
      </c>
      <c r="P1138" s="10">
        <f>IF(ActiveDatabase=Standby,Secondary!P1138,Primary!P1138)</f>
        <v>0</v>
      </c>
      <c r="Q1138" s="6">
        <f>IF(ActiveDatabase=Standby,Secondary!Q1138,Primary!Q1138)</f>
        <v>0</v>
      </c>
      <c r="R1138" s="18">
        <f>IF(ActiveDatabase=Standby,Secondary!R1138,Primary!R1138)</f>
        <v>0</v>
      </c>
      <c r="S1138" s="19">
        <f>IF(ActiveDatabase=Standby,Secondary!S1138,Primary!S1138)</f>
        <v>0</v>
      </c>
      <c r="T1138" s="10">
        <f>IF(ActiveDatabase=Standby,Secondary!T1138,Primary!T1138)</f>
        <v>0</v>
      </c>
      <c r="U1138" s="10">
        <f>IF(ActiveDatabase=Standby,Secondary!U1138,Primary!U1138)</f>
        <v>0</v>
      </c>
      <c r="V1138" s="10">
        <f>IF(ActiveDatabase=Standby,Secondary!V1138,Primary!V1138)</f>
        <v>0</v>
      </c>
      <c r="W1138" s="6">
        <f>IF(ActiveDatabase=Standby,Secondary!W1138,Primary!W1138)</f>
        <v>0</v>
      </c>
      <c r="X1138" s="6">
        <f>IF(ActiveDatabase=Standby,Secondary!X1138,Primary!X1138)</f>
        <v>0</v>
      </c>
      <c r="Y1138" s="7">
        <f>IF(ActiveDatabase=Standby,Secondary!Y1138,Primary!Y1796)</f>
        <v>0</v>
      </c>
      <c r="Z1138" s="7">
        <f>IF(ActiveDatabase=Standby,Secondary!Z1138,Primary!Z1796)</f>
        <v>0</v>
      </c>
      <c r="AA1138" s="7">
        <f>IF(ActiveDatabase=Standby,Secondary!AA1138,Primary!AA1796)</f>
        <v>0</v>
      </c>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row>
    <row r="1139" customHeight="1" spans="1:59">
      <c r="A1139" s="9">
        <f>IF(ActiveDatabase=Standby,Secondary!A1139,Primary!A1139)</f>
        <v>0</v>
      </c>
      <c r="B1139" s="5">
        <f>IF(ActiveDatabase=Standby,Secondary!B1139,Primary!B1139)</f>
        <v>0</v>
      </c>
      <c r="C1139" s="5">
        <f>IF(ActiveDatabase=Standby,Secondary!C1139,Primary!C1139)</f>
        <v>0</v>
      </c>
      <c r="D1139" s="5">
        <f>IF(ActiveDatabase=Standby,Secondary!D1139,Primary!D1139)</f>
        <v>0</v>
      </c>
      <c r="E1139" s="6">
        <f>IF(ActiveDatabase=Standby,Secondary!E1139,Primary!E1139)</f>
        <v>0</v>
      </c>
      <c r="F1139" s="10">
        <f>IF(ActiveDatabase=Standby,Secondary!F1139,Primary!F1139)</f>
        <v>0</v>
      </c>
      <c r="G1139" s="10">
        <f>IF(ActiveDatabase=Standby,Secondary!G1139,Primary!G1139)</f>
        <v>0</v>
      </c>
      <c r="H1139" s="10">
        <f>IF(ActiveDatabase=Standby,Secondary!H1139,Primary!H1139)</f>
        <v>0</v>
      </c>
      <c r="I1139" s="13">
        <f>IF(ActiveDatabase=Standby,Secondary!I1139,Primary!I1139)</f>
        <v>0</v>
      </c>
      <c r="J1139" s="13">
        <f>IF(ActiveDatabase=Standby,Secondary!J1139,Primary!J1139)</f>
        <v>0</v>
      </c>
      <c r="K1139" s="13">
        <f>IF(ActiveDatabase=Standby,Secondary!K1139,Primary!K1139)</f>
        <v>0</v>
      </c>
      <c r="L1139" s="13">
        <f>IF(ActiveDatabase=Standby,Secondary!L1139,Primary!L1139)</f>
        <v>0</v>
      </c>
      <c r="M1139" s="7">
        <f>IF(ActiveDatabase=Standby,Secondary!M1139,Primary!M1139)</f>
        <v>0</v>
      </c>
      <c r="N1139" s="10">
        <f>IF(ActiveDatabase=Standby,Secondary!N1139,Primary!N1139)</f>
        <v>0</v>
      </c>
      <c r="O1139" s="10">
        <f>IF(ActiveDatabase=Standby,Secondary!O1139,Primary!O1139)</f>
        <v>0</v>
      </c>
      <c r="P1139" s="10">
        <f>IF(ActiveDatabase=Standby,Secondary!P1139,Primary!P1139)</f>
        <v>0</v>
      </c>
      <c r="Q1139" s="6">
        <f>IF(ActiveDatabase=Standby,Secondary!Q1139,Primary!Q1139)</f>
        <v>0</v>
      </c>
      <c r="R1139" s="18">
        <f>IF(ActiveDatabase=Standby,Secondary!R1139,Primary!R1139)</f>
        <v>0</v>
      </c>
      <c r="S1139" s="19">
        <f>IF(ActiveDatabase=Standby,Secondary!S1139,Primary!S1139)</f>
        <v>0</v>
      </c>
      <c r="T1139" s="10">
        <f>IF(ActiveDatabase=Standby,Secondary!T1139,Primary!T1139)</f>
        <v>0</v>
      </c>
      <c r="U1139" s="10">
        <f>IF(ActiveDatabase=Standby,Secondary!U1139,Primary!U1139)</f>
        <v>0</v>
      </c>
      <c r="V1139" s="10">
        <f>IF(ActiveDatabase=Standby,Secondary!V1139,Primary!V1139)</f>
        <v>0</v>
      </c>
      <c r="W1139" s="6">
        <f>IF(ActiveDatabase=Standby,Secondary!W1139,Primary!W1139)</f>
        <v>0</v>
      </c>
      <c r="X1139" s="6">
        <f>IF(ActiveDatabase=Standby,Secondary!X1139,Primary!X1139)</f>
        <v>0</v>
      </c>
      <c r="Y1139" s="7">
        <f>IF(ActiveDatabase=Standby,Secondary!Y1139,Primary!Y1797)</f>
        <v>0</v>
      </c>
      <c r="Z1139" s="7">
        <f>IF(ActiveDatabase=Standby,Secondary!Z1139,Primary!Z1797)</f>
        <v>0</v>
      </c>
      <c r="AA1139" s="7">
        <f>IF(ActiveDatabase=Standby,Secondary!AA1139,Primary!AA1797)</f>
        <v>0</v>
      </c>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row>
    <row r="1140" customHeight="1" spans="1:59">
      <c r="A1140" s="9">
        <f>IF(ActiveDatabase=Standby,Secondary!A1140,Primary!A1140)</f>
        <v>0</v>
      </c>
      <c r="B1140" s="5">
        <f>IF(ActiveDatabase=Standby,Secondary!B1140,Primary!B1140)</f>
        <v>0</v>
      </c>
      <c r="C1140" s="5">
        <f>IF(ActiveDatabase=Standby,Secondary!C1140,Primary!C1140)</f>
        <v>0</v>
      </c>
      <c r="D1140" s="5">
        <f>IF(ActiveDatabase=Standby,Secondary!D1140,Primary!D1140)</f>
        <v>0</v>
      </c>
      <c r="E1140" s="6">
        <f>IF(ActiveDatabase=Standby,Secondary!E1140,Primary!E1140)</f>
        <v>0</v>
      </c>
      <c r="F1140" s="10">
        <f>IF(ActiveDatabase=Standby,Secondary!F1140,Primary!F1140)</f>
        <v>0</v>
      </c>
      <c r="G1140" s="10">
        <f>IF(ActiveDatabase=Standby,Secondary!G1140,Primary!G1140)</f>
        <v>0</v>
      </c>
      <c r="H1140" s="10">
        <f>IF(ActiveDatabase=Standby,Secondary!H1140,Primary!H1140)</f>
        <v>0</v>
      </c>
      <c r="I1140" s="13">
        <f>IF(ActiveDatabase=Standby,Secondary!I1140,Primary!I1140)</f>
        <v>0</v>
      </c>
      <c r="J1140" s="13">
        <f>IF(ActiveDatabase=Standby,Secondary!J1140,Primary!J1140)</f>
        <v>0</v>
      </c>
      <c r="K1140" s="13">
        <f>IF(ActiveDatabase=Standby,Secondary!K1140,Primary!K1140)</f>
        <v>0</v>
      </c>
      <c r="L1140" s="13">
        <f>IF(ActiveDatabase=Standby,Secondary!L1140,Primary!L1140)</f>
        <v>0</v>
      </c>
      <c r="M1140" s="7">
        <f>IF(ActiveDatabase=Standby,Secondary!M1140,Primary!M1140)</f>
        <v>0</v>
      </c>
      <c r="N1140" s="10">
        <f>IF(ActiveDatabase=Standby,Secondary!N1140,Primary!N1140)</f>
        <v>0</v>
      </c>
      <c r="O1140" s="10">
        <f>IF(ActiveDatabase=Standby,Secondary!O1140,Primary!O1140)</f>
        <v>0</v>
      </c>
      <c r="P1140" s="10">
        <f>IF(ActiveDatabase=Standby,Secondary!P1140,Primary!P1140)</f>
        <v>0</v>
      </c>
      <c r="Q1140" s="6">
        <f>IF(ActiveDatabase=Standby,Secondary!Q1140,Primary!Q1140)</f>
        <v>0</v>
      </c>
      <c r="R1140" s="18">
        <f>IF(ActiveDatabase=Standby,Secondary!R1140,Primary!R1140)</f>
        <v>0</v>
      </c>
      <c r="S1140" s="19">
        <f>IF(ActiveDatabase=Standby,Secondary!S1140,Primary!S1140)</f>
        <v>0</v>
      </c>
      <c r="T1140" s="10">
        <f>IF(ActiveDatabase=Standby,Secondary!T1140,Primary!T1140)</f>
        <v>0</v>
      </c>
      <c r="U1140" s="10">
        <f>IF(ActiveDatabase=Standby,Secondary!U1140,Primary!U1140)</f>
        <v>0</v>
      </c>
      <c r="V1140" s="10">
        <f>IF(ActiveDatabase=Standby,Secondary!V1140,Primary!V1140)</f>
        <v>0</v>
      </c>
      <c r="W1140" s="6">
        <f>IF(ActiveDatabase=Standby,Secondary!W1140,Primary!W1140)</f>
        <v>0</v>
      </c>
      <c r="X1140" s="6">
        <f>IF(ActiveDatabase=Standby,Secondary!X1140,Primary!X1140)</f>
        <v>0</v>
      </c>
      <c r="Y1140" s="7">
        <f>IF(ActiveDatabase=Standby,Secondary!Y1140,Primary!Y1798)</f>
        <v>0</v>
      </c>
      <c r="Z1140" s="7">
        <f>IF(ActiveDatabase=Standby,Secondary!Z1140,Primary!Z1798)</f>
        <v>0</v>
      </c>
      <c r="AA1140" s="7">
        <f>IF(ActiveDatabase=Standby,Secondary!AA1140,Primary!AA1798)</f>
        <v>0</v>
      </c>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row>
    <row r="1141" customHeight="1" spans="1:59">
      <c r="A1141" s="9">
        <f>IF(ActiveDatabase=Standby,Secondary!A1141,Primary!A1141)</f>
        <v>0</v>
      </c>
      <c r="B1141" s="5">
        <f>IF(ActiveDatabase=Standby,Secondary!B1141,Primary!B1141)</f>
        <v>0</v>
      </c>
      <c r="C1141" s="5">
        <f>IF(ActiveDatabase=Standby,Secondary!C1141,Primary!C1141)</f>
        <v>0</v>
      </c>
      <c r="D1141" s="5">
        <f>IF(ActiveDatabase=Standby,Secondary!D1141,Primary!D1141)</f>
        <v>0</v>
      </c>
      <c r="E1141" s="6">
        <f>IF(ActiveDatabase=Standby,Secondary!E1141,Primary!E1141)</f>
        <v>0</v>
      </c>
      <c r="F1141" s="10">
        <f>IF(ActiveDatabase=Standby,Secondary!F1141,Primary!F1141)</f>
        <v>0</v>
      </c>
      <c r="G1141" s="10">
        <f>IF(ActiveDatabase=Standby,Secondary!G1141,Primary!G1141)</f>
        <v>0</v>
      </c>
      <c r="H1141" s="10">
        <f>IF(ActiveDatabase=Standby,Secondary!H1141,Primary!H1141)</f>
        <v>0</v>
      </c>
      <c r="I1141" s="13">
        <f>IF(ActiveDatabase=Standby,Secondary!I1141,Primary!I1141)</f>
        <v>0</v>
      </c>
      <c r="J1141" s="13">
        <f>IF(ActiveDatabase=Standby,Secondary!J1141,Primary!J1141)</f>
        <v>0</v>
      </c>
      <c r="K1141" s="13">
        <f>IF(ActiveDatabase=Standby,Secondary!K1141,Primary!K1141)</f>
        <v>0</v>
      </c>
      <c r="L1141" s="13">
        <f>IF(ActiveDatabase=Standby,Secondary!L1141,Primary!L1141)</f>
        <v>0</v>
      </c>
      <c r="M1141" s="7">
        <f>IF(ActiveDatabase=Standby,Secondary!M1141,Primary!M1141)</f>
        <v>0</v>
      </c>
      <c r="N1141" s="10">
        <f>IF(ActiveDatabase=Standby,Secondary!N1141,Primary!N1141)</f>
        <v>0</v>
      </c>
      <c r="O1141" s="10">
        <f>IF(ActiveDatabase=Standby,Secondary!O1141,Primary!O1141)</f>
        <v>0</v>
      </c>
      <c r="P1141" s="10">
        <f>IF(ActiveDatabase=Standby,Secondary!P1141,Primary!P1141)</f>
        <v>0</v>
      </c>
      <c r="Q1141" s="6">
        <f>IF(ActiveDatabase=Standby,Secondary!Q1141,Primary!Q1141)</f>
        <v>0</v>
      </c>
      <c r="R1141" s="18">
        <f>IF(ActiveDatabase=Standby,Secondary!R1141,Primary!R1141)</f>
        <v>0</v>
      </c>
      <c r="S1141" s="19">
        <f>IF(ActiveDatabase=Standby,Secondary!S1141,Primary!S1141)</f>
        <v>0</v>
      </c>
      <c r="T1141" s="10">
        <f>IF(ActiveDatabase=Standby,Secondary!T1141,Primary!T1141)</f>
        <v>0</v>
      </c>
      <c r="U1141" s="10">
        <f>IF(ActiveDatabase=Standby,Secondary!U1141,Primary!U1141)</f>
        <v>0</v>
      </c>
      <c r="V1141" s="10">
        <f>IF(ActiveDatabase=Standby,Secondary!V1141,Primary!V1141)</f>
        <v>0</v>
      </c>
      <c r="W1141" s="6">
        <f>IF(ActiveDatabase=Standby,Secondary!W1141,Primary!W1141)</f>
        <v>0</v>
      </c>
      <c r="X1141" s="6">
        <f>IF(ActiveDatabase=Standby,Secondary!X1141,Primary!X1141)</f>
        <v>0</v>
      </c>
      <c r="Y1141" s="7">
        <f>IF(ActiveDatabase=Standby,Secondary!Y1141,Primary!Y1799)</f>
        <v>0</v>
      </c>
      <c r="Z1141" s="7">
        <f>IF(ActiveDatabase=Standby,Secondary!Z1141,Primary!Z1799)</f>
        <v>0</v>
      </c>
      <c r="AA1141" s="7">
        <f>IF(ActiveDatabase=Standby,Secondary!AA1141,Primary!AA1799)</f>
        <v>0</v>
      </c>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c r="AY1141" s="7"/>
      <c r="AZ1141" s="7"/>
      <c r="BA1141" s="7"/>
      <c r="BB1141" s="7"/>
      <c r="BC1141" s="7"/>
      <c r="BD1141" s="7"/>
      <c r="BE1141" s="7"/>
      <c r="BF1141" s="7"/>
      <c r="BG1141" s="7"/>
    </row>
    <row r="1142" customHeight="1" spans="1:59">
      <c r="A1142" s="9">
        <f>IF(ActiveDatabase=Standby,Secondary!A1142,Primary!A1142)</f>
        <v>0</v>
      </c>
      <c r="B1142" s="5">
        <f>IF(ActiveDatabase=Standby,Secondary!B1142,Primary!B1142)</f>
        <v>0</v>
      </c>
      <c r="C1142" s="5">
        <f>IF(ActiveDatabase=Standby,Secondary!C1142,Primary!C1142)</f>
        <v>0</v>
      </c>
      <c r="D1142" s="5">
        <f>IF(ActiveDatabase=Standby,Secondary!D1142,Primary!D1142)</f>
        <v>0</v>
      </c>
      <c r="E1142" s="6">
        <f>IF(ActiveDatabase=Standby,Secondary!E1142,Primary!E1142)</f>
        <v>0</v>
      </c>
      <c r="F1142" s="10">
        <f>IF(ActiveDatabase=Standby,Secondary!F1142,Primary!F1142)</f>
        <v>0</v>
      </c>
      <c r="G1142" s="10">
        <f>IF(ActiveDatabase=Standby,Secondary!G1142,Primary!G1142)</f>
        <v>0</v>
      </c>
      <c r="H1142" s="10">
        <f>IF(ActiveDatabase=Standby,Secondary!H1142,Primary!H1142)</f>
        <v>0</v>
      </c>
      <c r="I1142" s="13">
        <f>IF(ActiveDatabase=Standby,Secondary!I1142,Primary!I1142)</f>
        <v>0</v>
      </c>
      <c r="J1142" s="13">
        <f>IF(ActiveDatabase=Standby,Secondary!J1142,Primary!J1142)</f>
        <v>0</v>
      </c>
      <c r="K1142" s="13">
        <f>IF(ActiveDatabase=Standby,Secondary!K1142,Primary!K1142)</f>
        <v>0</v>
      </c>
      <c r="L1142" s="13">
        <f>IF(ActiveDatabase=Standby,Secondary!L1142,Primary!L1142)</f>
        <v>0</v>
      </c>
      <c r="M1142" s="7">
        <f>IF(ActiveDatabase=Standby,Secondary!M1142,Primary!M1142)</f>
        <v>0</v>
      </c>
      <c r="N1142" s="10">
        <f>IF(ActiveDatabase=Standby,Secondary!N1142,Primary!N1142)</f>
        <v>0</v>
      </c>
      <c r="O1142" s="10">
        <f>IF(ActiveDatabase=Standby,Secondary!O1142,Primary!O1142)</f>
        <v>0</v>
      </c>
      <c r="P1142" s="10">
        <f>IF(ActiveDatabase=Standby,Secondary!P1142,Primary!P1142)</f>
        <v>0</v>
      </c>
      <c r="Q1142" s="6">
        <f>IF(ActiveDatabase=Standby,Secondary!Q1142,Primary!Q1142)</f>
        <v>0</v>
      </c>
      <c r="R1142" s="18">
        <f>IF(ActiveDatabase=Standby,Secondary!R1142,Primary!R1142)</f>
        <v>0</v>
      </c>
      <c r="S1142" s="19">
        <f>IF(ActiveDatabase=Standby,Secondary!S1142,Primary!S1142)</f>
        <v>0</v>
      </c>
      <c r="T1142" s="10">
        <f>IF(ActiveDatabase=Standby,Secondary!T1142,Primary!T1142)</f>
        <v>0</v>
      </c>
      <c r="U1142" s="10">
        <f>IF(ActiveDatabase=Standby,Secondary!U1142,Primary!U1142)</f>
        <v>0</v>
      </c>
      <c r="V1142" s="10">
        <f>IF(ActiveDatabase=Standby,Secondary!V1142,Primary!V1142)</f>
        <v>0</v>
      </c>
      <c r="W1142" s="6">
        <f>IF(ActiveDatabase=Standby,Secondary!W1142,Primary!W1142)</f>
        <v>0</v>
      </c>
      <c r="X1142" s="6">
        <f>IF(ActiveDatabase=Standby,Secondary!X1142,Primary!X1142)</f>
        <v>0</v>
      </c>
      <c r="Y1142" s="7">
        <f>IF(ActiveDatabase=Standby,Secondary!Y1142,Primary!Y1800)</f>
        <v>0</v>
      </c>
      <c r="Z1142" s="7">
        <f>IF(ActiveDatabase=Standby,Secondary!Z1142,Primary!Z1800)</f>
        <v>0</v>
      </c>
      <c r="AA1142" s="7">
        <f>IF(ActiveDatabase=Standby,Secondary!AA1142,Primary!AA1800)</f>
        <v>0</v>
      </c>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7"/>
      <c r="BD1142" s="7"/>
      <c r="BE1142" s="7"/>
      <c r="BF1142" s="7"/>
      <c r="BG1142" s="7"/>
    </row>
    <row r="1143" customHeight="1" spans="1:59">
      <c r="A1143" s="9">
        <f>IF(ActiveDatabase=Standby,Secondary!A1143,Primary!A1143)</f>
        <v>0</v>
      </c>
      <c r="B1143" s="5">
        <f>IF(ActiveDatabase=Standby,Secondary!B1143,Primary!B1143)</f>
        <v>0</v>
      </c>
      <c r="C1143" s="5">
        <f>IF(ActiveDatabase=Standby,Secondary!C1143,Primary!C1143)</f>
        <v>0</v>
      </c>
      <c r="D1143" s="5">
        <f>IF(ActiveDatabase=Standby,Secondary!D1143,Primary!D1143)</f>
        <v>0</v>
      </c>
      <c r="E1143" s="6">
        <f>IF(ActiveDatabase=Standby,Secondary!E1143,Primary!E1143)</f>
        <v>0</v>
      </c>
      <c r="F1143" s="10">
        <f>IF(ActiveDatabase=Standby,Secondary!F1143,Primary!F1143)</f>
        <v>0</v>
      </c>
      <c r="G1143" s="10">
        <f>IF(ActiveDatabase=Standby,Secondary!G1143,Primary!G1143)</f>
        <v>0</v>
      </c>
      <c r="H1143" s="10">
        <f>IF(ActiveDatabase=Standby,Secondary!H1143,Primary!H1143)</f>
        <v>0</v>
      </c>
      <c r="I1143" s="13">
        <f>IF(ActiveDatabase=Standby,Secondary!I1143,Primary!I1143)</f>
        <v>0</v>
      </c>
      <c r="J1143" s="13">
        <f>IF(ActiveDatabase=Standby,Secondary!J1143,Primary!J1143)</f>
        <v>0</v>
      </c>
      <c r="K1143" s="13">
        <f>IF(ActiveDatabase=Standby,Secondary!K1143,Primary!K1143)</f>
        <v>0</v>
      </c>
      <c r="L1143" s="13">
        <f>IF(ActiveDatabase=Standby,Secondary!L1143,Primary!L1143)</f>
        <v>0</v>
      </c>
      <c r="M1143" s="7">
        <f>IF(ActiveDatabase=Standby,Secondary!M1143,Primary!M1143)</f>
        <v>0</v>
      </c>
      <c r="N1143" s="10">
        <f>IF(ActiveDatabase=Standby,Secondary!N1143,Primary!N1143)</f>
        <v>0</v>
      </c>
      <c r="O1143" s="10">
        <f>IF(ActiveDatabase=Standby,Secondary!O1143,Primary!O1143)</f>
        <v>0</v>
      </c>
      <c r="P1143" s="10">
        <f>IF(ActiveDatabase=Standby,Secondary!P1143,Primary!P1143)</f>
        <v>0</v>
      </c>
      <c r="Q1143" s="6">
        <f>IF(ActiveDatabase=Standby,Secondary!Q1143,Primary!Q1143)</f>
        <v>0</v>
      </c>
      <c r="R1143" s="18">
        <f>IF(ActiveDatabase=Standby,Secondary!R1143,Primary!R1143)</f>
        <v>0</v>
      </c>
      <c r="S1143" s="19">
        <f>IF(ActiveDatabase=Standby,Secondary!S1143,Primary!S1143)</f>
        <v>0</v>
      </c>
      <c r="T1143" s="10">
        <f>IF(ActiveDatabase=Standby,Secondary!T1143,Primary!T1143)</f>
        <v>0</v>
      </c>
      <c r="U1143" s="10">
        <f>IF(ActiveDatabase=Standby,Secondary!U1143,Primary!U1143)</f>
        <v>0</v>
      </c>
      <c r="V1143" s="10">
        <f>IF(ActiveDatabase=Standby,Secondary!V1143,Primary!V1143)</f>
        <v>0</v>
      </c>
      <c r="W1143" s="6">
        <f>IF(ActiveDatabase=Standby,Secondary!W1143,Primary!W1143)</f>
        <v>0</v>
      </c>
      <c r="X1143" s="6">
        <f>IF(ActiveDatabase=Standby,Secondary!X1143,Primary!X1143)</f>
        <v>0</v>
      </c>
      <c r="Y1143" s="7">
        <f>IF(ActiveDatabase=Standby,Secondary!Y1143,Primary!Y1801)</f>
        <v>0</v>
      </c>
      <c r="Z1143" s="7">
        <f>IF(ActiveDatabase=Standby,Secondary!Z1143,Primary!Z1801)</f>
        <v>0</v>
      </c>
      <c r="AA1143" s="7">
        <f>IF(ActiveDatabase=Standby,Secondary!AA1143,Primary!AA1801)</f>
        <v>0</v>
      </c>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7"/>
      <c r="BD1143" s="7"/>
      <c r="BE1143" s="7"/>
      <c r="BF1143" s="7"/>
      <c r="BG1143" s="7"/>
    </row>
    <row r="1144" customHeight="1" spans="1:59">
      <c r="A1144" s="9">
        <f>IF(ActiveDatabase=Standby,Secondary!A1144,Primary!A1144)</f>
        <v>0</v>
      </c>
      <c r="B1144" s="5">
        <f>IF(ActiveDatabase=Standby,Secondary!B1144,Primary!B1144)</f>
        <v>0</v>
      </c>
      <c r="C1144" s="5">
        <f>IF(ActiveDatabase=Standby,Secondary!C1144,Primary!C1144)</f>
        <v>0</v>
      </c>
      <c r="D1144" s="5">
        <f>IF(ActiveDatabase=Standby,Secondary!D1144,Primary!D1144)</f>
        <v>0</v>
      </c>
      <c r="E1144" s="6">
        <f>IF(ActiveDatabase=Standby,Secondary!E1144,Primary!E1144)</f>
        <v>0</v>
      </c>
      <c r="F1144" s="10">
        <f>IF(ActiveDatabase=Standby,Secondary!F1144,Primary!F1144)</f>
        <v>0</v>
      </c>
      <c r="G1144" s="10">
        <f>IF(ActiveDatabase=Standby,Secondary!G1144,Primary!G1144)</f>
        <v>0</v>
      </c>
      <c r="H1144" s="10">
        <f>IF(ActiveDatabase=Standby,Secondary!H1144,Primary!H1144)</f>
        <v>0</v>
      </c>
      <c r="I1144" s="13">
        <f>IF(ActiveDatabase=Standby,Secondary!I1144,Primary!I1144)</f>
        <v>0</v>
      </c>
      <c r="J1144" s="13">
        <f>IF(ActiveDatabase=Standby,Secondary!J1144,Primary!J1144)</f>
        <v>0</v>
      </c>
      <c r="K1144" s="13">
        <f>IF(ActiveDatabase=Standby,Secondary!K1144,Primary!K1144)</f>
        <v>0</v>
      </c>
      <c r="L1144" s="13">
        <f>IF(ActiveDatabase=Standby,Secondary!L1144,Primary!L1144)</f>
        <v>0</v>
      </c>
      <c r="M1144" s="7">
        <f>IF(ActiveDatabase=Standby,Secondary!M1144,Primary!M1144)</f>
        <v>0</v>
      </c>
      <c r="N1144" s="10">
        <f>IF(ActiveDatabase=Standby,Secondary!N1144,Primary!N1144)</f>
        <v>0</v>
      </c>
      <c r="O1144" s="10">
        <f>IF(ActiveDatabase=Standby,Secondary!O1144,Primary!O1144)</f>
        <v>0</v>
      </c>
      <c r="P1144" s="10">
        <f>IF(ActiveDatabase=Standby,Secondary!P1144,Primary!P1144)</f>
        <v>0</v>
      </c>
      <c r="Q1144" s="6">
        <f>IF(ActiveDatabase=Standby,Secondary!Q1144,Primary!Q1144)</f>
        <v>0</v>
      </c>
      <c r="R1144" s="18">
        <f>IF(ActiveDatabase=Standby,Secondary!R1144,Primary!R1144)</f>
        <v>0</v>
      </c>
      <c r="S1144" s="19">
        <f>IF(ActiveDatabase=Standby,Secondary!S1144,Primary!S1144)</f>
        <v>0</v>
      </c>
      <c r="T1144" s="10">
        <f>IF(ActiveDatabase=Standby,Secondary!T1144,Primary!T1144)</f>
        <v>0</v>
      </c>
      <c r="U1144" s="10">
        <f>IF(ActiveDatabase=Standby,Secondary!U1144,Primary!U1144)</f>
        <v>0</v>
      </c>
      <c r="V1144" s="10">
        <f>IF(ActiveDatabase=Standby,Secondary!V1144,Primary!V1144)</f>
        <v>0</v>
      </c>
      <c r="W1144" s="6">
        <f>IF(ActiveDatabase=Standby,Secondary!W1144,Primary!W1144)</f>
        <v>0</v>
      </c>
      <c r="X1144" s="6">
        <f>IF(ActiveDatabase=Standby,Secondary!X1144,Primary!X1144)</f>
        <v>0</v>
      </c>
      <c r="Y1144" s="7">
        <f>IF(ActiveDatabase=Standby,Secondary!Y1144,Primary!Y1802)</f>
        <v>0</v>
      </c>
      <c r="Z1144" s="7">
        <f>IF(ActiveDatabase=Standby,Secondary!Z1144,Primary!Z1802)</f>
        <v>0</v>
      </c>
      <c r="AA1144" s="7">
        <f>IF(ActiveDatabase=Standby,Secondary!AA1144,Primary!AA1802)</f>
        <v>0</v>
      </c>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row>
    <row r="1145" customHeight="1" spans="1:59">
      <c r="A1145" s="9">
        <f>IF(ActiveDatabase=Standby,Secondary!A1145,Primary!A1145)</f>
        <v>0</v>
      </c>
      <c r="B1145" s="5">
        <f>IF(ActiveDatabase=Standby,Secondary!B1145,Primary!B1145)</f>
        <v>0</v>
      </c>
      <c r="C1145" s="5">
        <f>IF(ActiveDatabase=Standby,Secondary!C1145,Primary!C1145)</f>
        <v>0</v>
      </c>
      <c r="D1145" s="5">
        <f>IF(ActiveDatabase=Standby,Secondary!D1145,Primary!D1145)</f>
        <v>0</v>
      </c>
      <c r="E1145" s="6">
        <f>IF(ActiveDatabase=Standby,Secondary!E1145,Primary!E1145)</f>
        <v>0</v>
      </c>
      <c r="F1145" s="10">
        <f>IF(ActiveDatabase=Standby,Secondary!F1145,Primary!F1145)</f>
        <v>0</v>
      </c>
      <c r="G1145" s="10">
        <f>IF(ActiveDatabase=Standby,Secondary!G1145,Primary!G1145)</f>
        <v>0</v>
      </c>
      <c r="H1145" s="10">
        <f>IF(ActiveDatabase=Standby,Secondary!H1145,Primary!H1145)</f>
        <v>0</v>
      </c>
      <c r="I1145" s="13">
        <f>IF(ActiveDatabase=Standby,Secondary!I1145,Primary!I1145)</f>
        <v>0</v>
      </c>
      <c r="J1145" s="13">
        <f>IF(ActiveDatabase=Standby,Secondary!J1145,Primary!J1145)</f>
        <v>0</v>
      </c>
      <c r="K1145" s="13">
        <f>IF(ActiveDatabase=Standby,Secondary!K1145,Primary!K1145)</f>
        <v>0</v>
      </c>
      <c r="L1145" s="13">
        <f>IF(ActiveDatabase=Standby,Secondary!L1145,Primary!L1145)</f>
        <v>0</v>
      </c>
      <c r="M1145" s="7">
        <f>IF(ActiveDatabase=Standby,Secondary!M1145,Primary!M1145)</f>
        <v>0</v>
      </c>
      <c r="N1145" s="10">
        <f>IF(ActiveDatabase=Standby,Secondary!N1145,Primary!N1145)</f>
        <v>0</v>
      </c>
      <c r="O1145" s="10">
        <f>IF(ActiveDatabase=Standby,Secondary!O1145,Primary!O1145)</f>
        <v>0</v>
      </c>
      <c r="P1145" s="10">
        <f>IF(ActiveDatabase=Standby,Secondary!P1145,Primary!P1145)</f>
        <v>0</v>
      </c>
      <c r="Q1145" s="6">
        <f>IF(ActiveDatabase=Standby,Secondary!Q1145,Primary!Q1145)</f>
        <v>0</v>
      </c>
      <c r="R1145" s="18">
        <f>IF(ActiveDatabase=Standby,Secondary!R1145,Primary!R1145)</f>
        <v>0</v>
      </c>
      <c r="S1145" s="19">
        <f>IF(ActiveDatabase=Standby,Secondary!S1145,Primary!S1145)</f>
        <v>0</v>
      </c>
      <c r="T1145" s="10">
        <f>IF(ActiveDatabase=Standby,Secondary!T1145,Primary!T1145)</f>
        <v>0</v>
      </c>
      <c r="U1145" s="10">
        <f>IF(ActiveDatabase=Standby,Secondary!U1145,Primary!U1145)</f>
        <v>0</v>
      </c>
      <c r="V1145" s="10">
        <f>IF(ActiveDatabase=Standby,Secondary!V1145,Primary!V1145)</f>
        <v>0</v>
      </c>
      <c r="W1145" s="6">
        <f>IF(ActiveDatabase=Standby,Secondary!W1145,Primary!W1145)</f>
        <v>0</v>
      </c>
      <c r="X1145" s="6">
        <f>IF(ActiveDatabase=Standby,Secondary!X1145,Primary!X1145)</f>
        <v>0</v>
      </c>
      <c r="Y1145" s="7">
        <f>IF(ActiveDatabase=Standby,Secondary!Y1145,Primary!Y1803)</f>
        <v>0</v>
      </c>
      <c r="Z1145" s="7">
        <f>IF(ActiveDatabase=Standby,Secondary!Z1145,Primary!Z1803)</f>
        <v>0</v>
      </c>
      <c r="AA1145" s="7">
        <f>IF(ActiveDatabase=Standby,Secondary!AA1145,Primary!AA1803)</f>
        <v>0</v>
      </c>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row>
    <row r="1146" customHeight="1" spans="1:59">
      <c r="A1146" s="9">
        <f>IF(ActiveDatabase=Standby,Secondary!A1146,Primary!A1146)</f>
        <v>0</v>
      </c>
      <c r="B1146" s="5">
        <f>IF(ActiveDatabase=Standby,Secondary!B1146,Primary!B1146)</f>
        <v>0</v>
      </c>
      <c r="C1146" s="5">
        <f>IF(ActiveDatabase=Standby,Secondary!C1146,Primary!C1146)</f>
        <v>0</v>
      </c>
      <c r="D1146" s="5">
        <f>IF(ActiveDatabase=Standby,Secondary!D1146,Primary!D1146)</f>
        <v>0</v>
      </c>
      <c r="E1146" s="6">
        <f>IF(ActiveDatabase=Standby,Secondary!E1146,Primary!E1146)</f>
        <v>0</v>
      </c>
      <c r="F1146" s="10">
        <f>IF(ActiveDatabase=Standby,Secondary!F1146,Primary!F1146)</f>
        <v>0</v>
      </c>
      <c r="G1146" s="10">
        <f>IF(ActiveDatabase=Standby,Secondary!G1146,Primary!G1146)</f>
        <v>0</v>
      </c>
      <c r="H1146" s="10">
        <f>IF(ActiveDatabase=Standby,Secondary!H1146,Primary!H1146)</f>
        <v>0</v>
      </c>
      <c r="I1146" s="13">
        <f>IF(ActiveDatabase=Standby,Secondary!I1146,Primary!I1146)</f>
        <v>0</v>
      </c>
      <c r="J1146" s="13">
        <f>IF(ActiveDatabase=Standby,Secondary!J1146,Primary!J1146)</f>
        <v>0</v>
      </c>
      <c r="K1146" s="13">
        <f>IF(ActiveDatabase=Standby,Secondary!K1146,Primary!K1146)</f>
        <v>0</v>
      </c>
      <c r="L1146" s="13">
        <f>IF(ActiveDatabase=Standby,Secondary!L1146,Primary!L1146)</f>
        <v>0</v>
      </c>
      <c r="M1146" s="7">
        <f>IF(ActiveDatabase=Standby,Secondary!M1146,Primary!M1146)</f>
        <v>0</v>
      </c>
      <c r="N1146" s="10">
        <f>IF(ActiveDatabase=Standby,Secondary!N1146,Primary!N1146)</f>
        <v>0</v>
      </c>
      <c r="O1146" s="10">
        <f>IF(ActiveDatabase=Standby,Secondary!O1146,Primary!O1146)</f>
        <v>0</v>
      </c>
      <c r="P1146" s="10">
        <f>IF(ActiveDatabase=Standby,Secondary!P1146,Primary!P1146)</f>
        <v>0</v>
      </c>
      <c r="Q1146" s="6">
        <f>IF(ActiveDatabase=Standby,Secondary!Q1146,Primary!Q1146)</f>
        <v>0</v>
      </c>
      <c r="R1146" s="18">
        <f>IF(ActiveDatabase=Standby,Secondary!R1146,Primary!R1146)</f>
        <v>0</v>
      </c>
      <c r="S1146" s="19">
        <f>IF(ActiveDatabase=Standby,Secondary!S1146,Primary!S1146)</f>
        <v>0</v>
      </c>
      <c r="T1146" s="10">
        <f>IF(ActiveDatabase=Standby,Secondary!T1146,Primary!T1146)</f>
        <v>0</v>
      </c>
      <c r="U1146" s="10">
        <f>IF(ActiveDatabase=Standby,Secondary!U1146,Primary!U1146)</f>
        <v>0</v>
      </c>
      <c r="V1146" s="10">
        <f>IF(ActiveDatabase=Standby,Secondary!V1146,Primary!V1146)</f>
        <v>0</v>
      </c>
      <c r="W1146" s="6">
        <f>IF(ActiveDatabase=Standby,Secondary!W1146,Primary!W1146)</f>
        <v>0</v>
      </c>
      <c r="X1146" s="6">
        <f>IF(ActiveDatabase=Standby,Secondary!X1146,Primary!X1146)</f>
        <v>0</v>
      </c>
      <c r="Y1146" s="7">
        <f>IF(ActiveDatabase=Standby,Secondary!Y1146,Primary!Y1804)</f>
        <v>0</v>
      </c>
      <c r="Z1146" s="7">
        <f>IF(ActiveDatabase=Standby,Secondary!Z1146,Primary!Z1804)</f>
        <v>0</v>
      </c>
      <c r="AA1146" s="7">
        <f>IF(ActiveDatabase=Standby,Secondary!AA1146,Primary!AA1804)</f>
        <v>0</v>
      </c>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row>
    <row r="1147" customHeight="1" spans="1:59">
      <c r="A1147" s="9">
        <f>IF(ActiveDatabase=Standby,Secondary!A1147,Primary!A1147)</f>
        <v>0</v>
      </c>
      <c r="B1147" s="5">
        <f>IF(ActiveDatabase=Standby,Secondary!B1147,Primary!B1147)</f>
        <v>0</v>
      </c>
      <c r="C1147" s="5">
        <f>IF(ActiveDatabase=Standby,Secondary!C1147,Primary!C1147)</f>
        <v>0</v>
      </c>
      <c r="D1147" s="5">
        <f>IF(ActiveDatabase=Standby,Secondary!D1147,Primary!D1147)</f>
        <v>0</v>
      </c>
      <c r="E1147" s="6">
        <f>IF(ActiveDatabase=Standby,Secondary!E1147,Primary!E1147)</f>
        <v>0</v>
      </c>
      <c r="F1147" s="10">
        <f>IF(ActiveDatabase=Standby,Secondary!F1147,Primary!F1147)</f>
        <v>0</v>
      </c>
      <c r="G1147" s="10">
        <f>IF(ActiveDatabase=Standby,Secondary!G1147,Primary!G1147)</f>
        <v>0</v>
      </c>
      <c r="H1147" s="10">
        <f>IF(ActiveDatabase=Standby,Secondary!H1147,Primary!H1147)</f>
        <v>0</v>
      </c>
      <c r="I1147" s="13">
        <f>IF(ActiveDatabase=Standby,Secondary!I1147,Primary!I1147)</f>
        <v>0</v>
      </c>
      <c r="J1147" s="13">
        <f>IF(ActiveDatabase=Standby,Secondary!J1147,Primary!J1147)</f>
        <v>0</v>
      </c>
      <c r="K1147" s="13">
        <f>IF(ActiveDatabase=Standby,Secondary!K1147,Primary!K1147)</f>
        <v>0</v>
      </c>
      <c r="L1147" s="13">
        <f>IF(ActiveDatabase=Standby,Secondary!L1147,Primary!L1147)</f>
        <v>0</v>
      </c>
      <c r="M1147" s="7">
        <f>IF(ActiveDatabase=Standby,Secondary!M1147,Primary!M1147)</f>
        <v>0</v>
      </c>
      <c r="N1147" s="10">
        <f>IF(ActiveDatabase=Standby,Secondary!N1147,Primary!N1147)</f>
        <v>0</v>
      </c>
      <c r="O1147" s="10">
        <f>IF(ActiveDatabase=Standby,Secondary!O1147,Primary!O1147)</f>
        <v>0</v>
      </c>
      <c r="P1147" s="10">
        <f>IF(ActiveDatabase=Standby,Secondary!P1147,Primary!P1147)</f>
        <v>0</v>
      </c>
      <c r="Q1147" s="6">
        <f>IF(ActiveDatabase=Standby,Secondary!Q1147,Primary!Q1147)</f>
        <v>0</v>
      </c>
      <c r="R1147" s="18">
        <f>IF(ActiveDatabase=Standby,Secondary!R1147,Primary!R1147)</f>
        <v>0</v>
      </c>
      <c r="S1147" s="19">
        <f>IF(ActiveDatabase=Standby,Secondary!S1147,Primary!S1147)</f>
        <v>0</v>
      </c>
      <c r="T1147" s="10">
        <f>IF(ActiveDatabase=Standby,Secondary!T1147,Primary!T1147)</f>
        <v>0</v>
      </c>
      <c r="U1147" s="10">
        <f>IF(ActiveDatabase=Standby,Secondary!U1147,Primary!U1147)</f>
        <v>0</v>
      </c>
      <c r="V1147" s="10">
        <f>IF(ActiveDatabase=Standby,Secondary!V1147,Primary!V1147)</f>
        <v>0</v>
      </c>
      <c r="W1147" s="6">
        <f>IF(ActiveDatabase=Standby,Secondary!W1147,Primary!W1147)</f>
        <v>0</v>
      </c>
      <c r="X1147" s="6">
        <f>IF(ActiveDatabase=Standby,Secondary!X1147,Primary!X1147)</f>
        <v>0</v>
      </c>
      <c r="Y1147" s="7">
        <f>IF(ActiveDatabase=Standby,Secondary!Y1147,Primary!Y1805)</f>
        <v>0</v>
      </c>
      <c r="Z1147" s="7">
        <f>IF(ActiveDatabase=Standby,Secondary!Z1147,Primary!Z1805)</f>
        <v>0</v>
      </c>
      <c r="AA1147" s="7">
        <f>IF(ActiveDatabase=Standby,Secondary!AA1147,Primary!AA1805)</f>
        <v>0</v>
      </c>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row>
    <row r="1148" customHeight="1" spans="1:59">
      <c r="A1148" s="9">
        <f>IF(ActiveDatabase=Standby,Secondary!A1148,Primary!A1148)</f>
        <v>0</v>
      </c>
      <c r="B1148" s="5">
        <f>IF(ActiveDatabase=Standby,Secondary!B1148,Primary!B1148)</f>
        <v>0</v>
      </c>
      <c r="C1148" s="5">
        <f>IF(ActiveDatabase=Standby,Secondary!C1148,Primary!C1148)</f>
        <v>0</v>
      </c>
      <c r="D1148" s="5">
        <f>IF(ActiveDatabase=Standby,Secondary!D1148,Primary!D1148)</f>
        <v>0</v>
      </c>
      <c r="E1148" s="6">
        <f>IF(ActiveDatabase=Standby,Secondary!E1148,Primary!E1148)</f>
        <v>0</v>
      </c>
      <c r="F1148" s="10">
        <f>IF(ActiveDatabase=Standby,Secondary!F1148,Primary!F1148)</f>
        <v>0</v>
      </c>
      <c r="G1148" s="10">
        <f>IF(ActiveDatabase=Standby,Secondary!G1148,Primary!G1148)</f>
        <v>0</v>
      </c>
      <c r="H1148" s="10">
        <f>IF(ActiveDatabase=Standby,Secondary!H1148,Primary!H1148)</f>
        <v>0</v>
      </c>
      <c r="I1148" s="13">
        <f>IF(ActiveDatabase=Standby,Secondary!I1148,Primary!I1148)</f>
        <v>0</v>
      </c>
      <c r="J1148" s="13">
        <f>IF(ActiveDatabase=Standby,Secondary!J1148,Primary!J1148)</f>
        <v>0</v>
      </c>
      <c r="K1148" s="13">
        <f>IF(ActiveDatabase=Standby,Secondary!K1148,Primary!K1148)</f>
        <v>0</v>
      </c>
      <c r="L1148" s="13">
        <f>IF(ActiveDatabase=Standby,Secondary!L1148,Primary!L1148)</f>
        <v>0</v>
      </c>
      <c r="M1148" s="7">
        <f>IF(ActiveDatabase=Standby,Secondary!M1148,Primary!M1148)</f>
        <v>0</v>
      </c>
      <c r="N1148" s="10">
        <f>IF(ActiveDatabase=Standby,Secondary!N1148,Primary!N1148)</f>
        <v>0</v>
      </c>
      <c r="O1148" s="10">
        <f>IF(ActiveDatabase=Standby,Secondary!O1148,Primary!O1148)</f>
        <v>0</v>
      </c>
      <c r="P1148" s="10">
        <f>IF(ActiveDatabase=Standby,Secondary!P1148,Primary!P1148)</f>
        <v>0</v>
      </c>
      <c r="Q1148" s="6">
        <f>IF(ActiveDatabase=Standby,Secondary!Q1148,Primary!Q1148)</f>
        <v>0</v>
      </c>
      <c r="R1148" s="18">
        <f>IF(ActiveDatabase=Standby,Secondary!R1148,Primary!R1148)</f>
        <v>0</v>
      </c>
      <c r="S1148" s="19">
        <f>IF(ActiveDatabase=Standby,Secondary!S1148,Primary!S1148)</f>
        <v>0</v>
      </c>
      <c r="T1148" s="10">
        <f>IF(ActiveDatabase=Standby,Secondary!T1148,Primary!T1148)</f>
        <v>0</v>
      </c>
      <c r="U1148" s="10">
        <f>IF(ActiveDatabase=Standby,Secondary!U1148,Primary!U1148)</f>
        <v>0</v>
      </c>
      <c r="V1148" s="10">
        <f>IF(ActiveDatabase=Standby,Secondary!V1148,Primary!V1148)</f>
        <v>0</v>
      </c>
      <c r="W1148" s="6">
        <f>IF(ActiveDatabase=Standby,Secondary!W1148,Primary!W1148)</f>
        <v>0</v>
      </c>
      <c r="X1148" s="6">
        <f>IF(ActiveDatabase=Standby,Secondary!X1148,Primary!X1148)</f>
        <v>0</v>
      </c>
      <c r="Y1148" s="7">
        <f>IF(ActiveDatabase=Standby,Secondary!Y1148,Primary!Y1806)</f>
        <v>0</v>
      </c>
      <c r="Z1148" s="7">
        <f>IF(ActiveDatabase=Standby,Secondary!Z1148,Primary!Z1806)</f>
        <v>0</v>
      </c>
      <c r="AA1148" s="7">
        <f>IF(ActiveDatabase=Standby,Secondary!AA1148,Primary!AA1806)</f>
        <v>0</v>
      </c>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row>
    <row r="1149" customHeight="1" spans="1:59">
      <c r="A1149" s="9">
        <f>IF(ActiveDatabase=Standby,Secondary!A1149,Primary!A1149)</f>
        <v>0</v>
      </c>
      <c r="B1149" s="5">
        <f>IF(ActiveDatabase=Standby,Secondary!B1149,Primary!B1149)</f>
        <v>0</v>
      </c>
      <c r="C1149" s="5">
        <f>IF(ActiveDatabase=Standby,Secondary!C1149,Primary!C1149)</f>
        <v>0</v>
      </c>
      <c r="D1149" s="5">
        <f>IF(ActiveDatabase=Standby,Secondary!D1149,Primary!D1149)</f>
        <v>0</v>
      </c>
      <c r="E1149" s="6">
        <f>IF(ActiveDatabase=Standby,Secondary!E1149,Primary!E1149)</f>
        <v>0</v>
      </c>
      <c r="F1149" s="10">
        <f>IF(ActiveDatabase=Standby,Secondary!F1149,Primary!F1149)</f>
        <v>0</v>
      </c>
      <c r="G1149" s="10">
        <f>IF(ActiveDatabase=Standby,Secondary!G1149,Primary!G1149)</f>
        <v>0</v>
      </c>
      <c r="H1149" s="10">
        <f>IF(ActiveDatabase=Standby,Secondary!H1149,Primary!H1149)</f>
        <v>0</v>
      </c>
      <c r="I1149" s="13">
        <f>IF(ActiveDatabase=Standby,Secondary!I1149,Primary!I1149)</f>
        <v>0</v>
      </c>
      <c r="J1149" s="13">
        <f>IF(ActiveDatabase=Standby,Secondary!J1149,Primary!J1149)</f>
        <v>0</v>
      </c>
      <c r="K1149" s="13">
        <f>IF(ActiveDatabase=Standby,Secondary!K1149,Primary!K1149)</f>
        <v>0</v>
      </c>
      <c r="L1149" s="13">
        <f>IF(ActiveDatabase=Standby,Secondary!L1149,Primary!L1149)</f>
        <v>0</v>
      </c>
      <c r="M1149" s="7">
        <f>IF(ActiveDatabase=Standby,Secondary!M1149,Primary!M1149)</f>
        <v>0</v>
      </c>
      <c r="N1149" s="10">
        <f>IF(ActiveDatabase=Standby,Secondary!N1149,Primary!N1149)</f>
        <v>0</v>
      </c>
      <c r="O1149" s="10">
        <f>IF(ActiveDatabase=Standby,Secondary!O1149,Primary!O1149)</f>
        <v>0</v>
      </c>
      <c r="P1149" s="10">
        <f>IF(ActiveDatabase=Standby,Secondary!P1149,Primary!P1149)</f>
        <v>0</v>
      </c>
      <c r="Q1149" s="6">
        <f>IF(ActiveDatabase=Standby,Secondary!Q1149,Primary!Q1149)</f>
        <v>0</v>
      </c>
      <c r="R1149" s="18">
        <f>IF(ActiveDatabase=Standby,Secondary!R1149,Primary!R1149)</f>
        <v>0</v>
      </c>
      <c r="S1149" s="19">
        <f>IF(ActiveDatabase=Standby,Secondary!S1149,Primary!S1149)</f>
        <v>0</v>
      </c>
      <c r="T1149" s="10">
        <f>IF(ActiveDatabase=Standby,Secondary!T1149,Primary!T1149)</f>
        <v>0</v>
      </c>
      <c r="U1149" s="10">
        <f>IF(ActiveDatabase=Standby,Secondary!U1149,Primary!U1149)</f>
        <v>0</v>
      </c>
      <c r="V1149" s="10">
        <f>IF(ActiveDatabase=Standby,Secondary!V1149,Primary!V1149)</f>
        <v>0</v>
      </c>
      <c r="W1149" s="6">
        <f>IF(ActiveDatabase=Standby,Secondary!W1149,Primary!W1149)</f>
        <v>0</v>
      </c>
      <c r="X1149" s="6">
        <f>IF(ActiveDatabase=Standby,Secondary!X1149,Primary!X1149)</f>
        <v>0</v>
      </c>
      <c r="Y1149" s="7">
        <f>IF(ActiveDatabase=Standby,Secondary!Y1149,Primary!Y1807)</f>
        <v>0</v>
      </c>
      <c r="Z1149" s="7">
        <f>IF(ActiveDatabase=Standby,Secondary!Z1149,Primary!Z1807)</f>
        <v>0</v>
      </c>
      <c r="AA1149" s="7">
        <f>IF(ActiveDatabase=Standby,Secondary!AA1149,Primary!AA1807)</f>
        <v>0</v>
      </c>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7"/>
      <c r="BD1149" s="7"/>
      <c r="BE1149" s="7"/>
      <c r="BF1149" s="7"/>
      <c r="BG1149" s="7"/>
    </row>
    <row r="1150" customHeight="1" spans="1:59">
      <c r="A1150" s="9">
        <f>IF(ActiveDatabase=Standby,Secondary!A1150,Primary!A1150)</f>
        <v>0</v>
      </c>
      <c r="B1150" s="5">
        <f>IF(ActiveDatabase=Standby,Secondary!B1150,Primary!B1150)</f>
        <v>0</v>
      </c>
      <c r="C1150" s="5">
        <f>IF(ActiveDatabase=Standby,Secondary!C1150,Primary!C1150)</f>
        <v>0</v>
      </c>
      <c r="D1150" s="5">
        <f>IF(ActiveDatabase=Standby,Secondary!D1150,Primary!D1150)</f>
        <v>0</v>
      </c>
      <c r="E1150" s="6">
        <f>IF(ActiveDatabase=Standby,Secondary!E1150,Primary!E1150)</f>
        <v>0</v>
      </c>
      <c r="F1150" s="10">
        <f>IF(ActiveDatabase=Standby,Secondary!F1150,Primary!F1150)</f>
        <v>0</v>
      </c>
      <c r="G1150" s="10">
        <f>IF(ActiveDatabase=Standby,Secondary!G1150,Primary!G1150)</f>
        <v>0</v>
      </c>
      <c r="H1150" s="10">
        <f>IF(ActiveDatabase=Standby,Secondary!H1150,Primary!H1150)</f>
        <v>0</v>
      </c>
      <c r="I1150" s="13">
        <f>IF(ActiveDatabase=Standby,Secondary!I1150,Primary!I1150)</f>
        <v>0</v>
      </c>
      <c r="J1150" s="13">
        <f>IF(ActiveDatabase=Standby,Secondary!J1150,Primary!J1150)</f>
        <v>0</v>
      </c>
      <c r="K1150" s="13">
        <f>IF(ActiveDatabase=Standby,Secondary!K1150,Primary!K1150)</f>
        <v>0</v>
      </c>
      <c r="L1150" s="13">
        <f>IF(ActiveDatabase=Standby,Secondary!L1150,Primary!L1150)</f>
        <v>0</v>
      </c>
      <c r="M1150" s="7">
        <f>IF(ActiveDatabase=Standby,Secondary!M1150,Primary!M1150)</f>
        <v>0</v>
      </c>
      <c r="N1150" s="10">
        <f>IF(ActiveDatabase=Standby,Secondary!N1150,Primary!N1150)</f>
        <v>0</v>
      </c>
      <c r="O1150" s="10">
        <f>IF(ActiveDatabase=Standby,Secondary!O1150,Primary!O1150)</f>
        <v>0</v>
      </c>
      <c r="P1150" s="10">
        <f>IF(ActiveDatabase=Standby,Secondary!P1150,Primary!P1150)</f>
        <v>0</v>
      </c>
      <c r="Q1150" s="6">
        <f>IF(ActiveDatabase=Standby,Secondary!Q1150,Primary!Q1150)</f>
        <v>0</v>
      </c>
      <c r="R1150" s="18">
        <f>IF(ActiveDatabase=Standby,Secondary!R1150,Primary!R1150)</f>
        <v>0</v>
      </c>
      <c r="S1150" s="19">
        <f>IF(ActiveDatabase=Standby,Secondary!S1150,Primary!S1150)</f>
        <v>0</v>
      </c>
      <c r="T1150" s="10">
        <f>IF(ActiveDatabase=Standby,Secondary!T1150,Primary!T1150)</f>
        <v>0</v>
      </c>
      <c r="U1150" s="10">
        <f>IF(ActiveDatabase=Standby,Secondary!U1150,Primary!U1150)</f>
        <v>0</v>
      </c>
      <c r="V1150" s="10">
        <f>IF(ActiveDatabase=Standby,Secondary!V1150,Primary!V1150)</f>
        <v>0</v>
      </c>
      <c r="W1150" s="6">
        <f>IF(ActiveDatabase=Standby,Secondary!W1150,Primary!W1150)</f>
        <v>0</v>
      </c>
      <c r="X1150" s="6">
        <f>IF(ActiveDatabase=Standby,Secondary!X1150,Primary!X1150)</f>
        <v>0</v>
      </c>
      <c r="Y1150" s="7">
        <f>IF(ActiveDatabase=Standby,Secondary!Y1150,Primary!Y1808)</f>
        <v>0</v>
      </c>
      <c r="Z1150" s="7">
        <f>IF(ActiveDatabase=Standby,Secondary!Z1150,Primary!Z1808)</f>
        <v>0</v>
      </c>
      <c r="AA1150" s="7">
        <f>IF(ActiveDatabase=Standby,Secondary!AA1150,Primary!AA1808)</f>
        <v>0</v>
      </c>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7"/>
      <c r="AX1150" s="7"/>
      <c r="AY1150" s="7"/>
      <c r="AZ1150" s="7"/>
      <c r="BA1150" s="7"/>
      <c r="BB1150" s="7"/>
      <c r="BC1150" s="7"/>
      <c r="BD1150" s="7"/>
      <c r="BE1150" s="7"/>
      <c r="BF1150" s="7"/>
      <c r="BG1150" s="7"/>
    </row>
    <row r="1151" customHeight="1" spans="1:59">
      <c r="A1151" s="9">
        <f>IF(ActiveDatabase=Standby,Secondary!A1151,Primary!A1151)</f>
        <v>0</v>
      </c>
      <c r="B1151" s="5">
        <f>IF(ActiveDatabase=Standby,Secondary!B1151,Primary!B1151)</f>
        <v>0</v>
      </c>
      <c r="C1151" s="5">
        <f>IF(ActiveDatabase=Standby,Secondary!C1151,Primary!C1151)</f>
        <v>0</v>
      </c>
      <c r="D1151" s="5">
        <f>IF(ActiveDatabase=Standby,Secondary!D1151,Primary!D1151)</f>
        <v>0</v>
      </c>
      <c r="E1151" s="6">
        <f>IF(ActiveDatabase=Standby,Secondary!E1151,Primary!E1151)</f>
        <v>0</v>
      </c>
      <c r="F1151" s="10">
        <f>IF(ActiveDatabase=Standby,Secondary!F1151,Primary!F1151)</f>
        <v>0</v>
      </c>
      <c r="G1151" s="10">
        <f>IF(ActiveDatabase=Standby,Secondary!G1151,Primary!G1151)</f>
        <v>0</v>
      </c>
      <c r="H1151" s="10">
        <f>IF(ActiveDatabase=Standby,Secondary!H1151,Primary!H1151)</f>
        <v>0</v>
      </c>
      <c r="I1151" s="13">
        <f>IF(ActiveDatabase=Standby,Secondary!I1151,Primary!I1151)</f>
        <v>0</v>
      </c>
      <c r="J1151" s="13">
        <f>IF(ActiveDatabase=Standby,Secondary!J1151,Primary!J1151)</f>
        <v>0</v>
      </c>
      <c r="K1151" s="13">
        <f>IF(ActiveDatabase=Standby,Secondary!K1151,Primary!K1151)</f>
        <v>0</v>
      </c>
      <c r="L1151" s="13">
        <f>IF(ActiveDatabase=Standby,Secondary!L1151,Primary!L1151)</f>
        <v>0</v>
      </c>
      <c r="M1151" s="7">
        <f>IF(ActiveDatabase=Standby,Secondary!M1151,Primary!M1151)</f>
        <v>0</v>
      </c>
      <c r="N1151" s="10">
        <f>IF(ActiveDatabase=Standby,Secondary!N1151,Primary!N1151)</f>
        <v>0</v>
      </c>
      <c r="O1151" s="10">
        <f>IF(ActiveDatabase=Standby,Secondary!O1151,Primary!O1151)</f>
        <v>0</v>
      </c>
      <c r="P1151" s="10">
        <f>IF(ActiveDatabase=Standby,Secondary!P1151,Primary!P1151)</f>
        <v>0</v>
      </c>
      <c r="Q1151" s="6">
        <f>IF(ActiveDatabase=Standby,Secondary!Q1151,Primary!Q1151)</f>
        <v>0</v>
      </c>
      <c r="R1151" s="18">
        <f>IF(ActiveDatabase=Standby,Secondary!R1151,Primary!R1151)</f>
        <v>0</v>
      </c>
      <c r="S1151" s="19">
        <f>IF(ActiveDatabase=Standby,Secondary!S1151,Primary!S1151)</f>
        <v>0</v>
      </c>
      <c r="T1151" s="10">
        <f>IF(ActiveDatabase=Standby,Secondary!T1151,Primary!T1151)</f>
        <v>0</v>
      </c>
      <c r="U1151" s="10">
        <f>IF(ActiveDatabase=Standby,Secondary!U1151,Primary!U1151)</f>
        <v>0</v>
      </c>
      <c r="V1151" s="10">
        <f>IF(ActiveDatabase=Standby,Secondary!V1151,Primary!V1151)</f>
        <v>0</v>
      </c>
      <c r="W1151" s="6">
        <f>IF(ActiveDatabase=Standby,Secondary!W1151,Primary!W1151)</f>
        <v>0</v>
      </c>
      <c r="X1151" s="6">
        <f>IF(ActiveDatabase=Standby,Secondary!X1151,Primary!X1151)</f>
        <v>0</v>
      </c>
      <c r="Y1151" s="7">
        <f>IF(ActiveDatabase=Standby,Secondary!Y1151,Primary!Y1809)</f>
        <v>0</v>
      </c>
      <c r="Z1151" s="7">
        <f>IF(ActiveDatabase=Standby,Secondary!Z1151,Primary!Z1809)</f>
        <v>0</v>
      </c>
      <c r="AA1151" s="7">
        <f>IF(ActiveDatabase=Standby,Secondary!AA1151,Primary!AA1809)</f>
        <v>0</v>
      </c>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7"/>
      <c r="AX1151" s="7"/>
      <c r="AY1151" s="7"/>
      <c r="AZ1151" s="7"/>
      <c r="BA1151" s="7"/>
      <c r="BB1151" s="7"/>
      <c r="BC1151" s="7"/>
      <c r="BD1151" s="7"/>
      <c r="BE1151" s="7"/>
      <c r="BF1151" s="7"/>
      <c r="BG1151" s="7"/>
    </row>
    <row r="1152" customHeight="1" spans="1:59">
      <c r="A1152" s="9">
        <f>IF(ActiveDatabase=Standby,Secondary!A1152,Primary!A1152)</f>
        <v>0</v>
      </c>
      <c r="B1152" s="5">
        <f>IF(ActiveDatabase=Standby,Secondary!B1152,Primary!B1152)</f>
        <v>0</v>
      </c>
      <c r="C1152" s="5">
        <f>IF(ActiveDatabase=Standby,Secondary!C1152,Primary!C1152)</f>
        <v>0</v>
      </c>
      <c r="D1152" s="5">
        <f>IF(ActiveDatabase=Standby,Secondary!D1152,Primary!D1152)</f>
        <v>0</v>
      </c>
      <c r="E1152" s="6">
        <f>IF(ActiveDatabase=Standby,Secondary!E1152,Primary!E1152)</f>
        <v>0</v>
      </c>
      <c r="F1152" s="10">
        <f>IF(ActiveDatabase=Standby,Secondary!F1152,Primary!F1152)</f>
        <v>0</v>
      </c>
      <c r="G1152" s="10">
        <f>IF(ActiveDatabase=Standby,Secondary!G1152,Primary!G1152)</f>
        <v>0</v>
      </c>
      <c r="H1152" s="10">
        <f>IF(ActiveDatabase=Standby,Secondary!H1152,Primary!H1152)</f>
        <v>0</v>
      </c>
      <c r="I1152" s="13">
        <f>IF(ActiveDatabase=Standby,Secondary!I1152,Primary!I1152)</f>
        <v>0</v>
      </c>
      <c r="J1152" s="13">
        <f>IF(ActiveDatabase=Standby,Secondary!J1152,Primary!J1152)</f>
        <v>0</v>
      </c>
      <c r="K1152" s="13">
        <f>IF(ActiveDatabase=Standby,Secondary!K1152,Primary!K1152)</f>
        <v>0</v>
      </c>
      <c r="L1152" s="13">
        <f>IF(ActiveDatabase=Standby,Secondary!L1152,Primary!L1152)</f>
        <v>0</v>
      </c>
      <c r="M1152" s="7">
        <f>IF(ActiveDatabase=Standby,Secondary!M1152,Primary!M1152)</f>
        <v>0</v>
      </c>
      <c r="N1152" s="10">
        <f>IF(ActiveDatabase=Standby,Secondary!N1152,Primary!N1152)</f>
        <v>0</v>
      </c>
      <c r="O1152" s="10">
        <f>IF(ActiveDatabase=Standby,Secondary!O1152,Primary!O1152)</f>
        <v>0</v>
      </c>
      <c r="P1152" s="10">
        <f>IF(ActiveDatabase=Standby,Secondary!P1152,Primary!P1152)</f>
        <v>0</v>
      </c>
      <c r="Q1152" s="6">
        <f>IF(ActiveDatabase=Standby,Secondary!Q1152,Primary!Q1152)</f>
        <v>0</v>
      </c>
      <c r="R1152" s="18">
        <f>IF(ActiveDatabase=Standby,Secondary!R1152,Primary!R1152)</f>
        <v>0</v>
      </c>
      <c r="S1152" s="19">
        <f>IF(ActiveDatabase=Standby,Secondary!S1152,Primary!S1152)</f>
        <v>0</v>
      </c>
      <c r="T1152" s="10">
        <f>IF(ActiveDatabase=Standby,Secondary!T1152,Primary!T1152)</f>
        <v>0</v>
      </c>
      <c r="U1152" s="10">
        <f>IF(ActiveDatabase=Standby,Secondary!U1152,Primary!U1152)</f>
        <v>0</v>
      </c>
      <c r="V1152" s="10">
        <f>IF(ActiveDatabase=Standby,Secondary!V1152,Primary!V1152)</f>
        <v>0</v>
      </c>
      <c r="W1152" s="6">
        <f>IF(ActiveDatabase=Standby,Secondary!W1152,Primary!W1152)</f>
        <v>0</v>
      </c>
      <c r="X1152" s="6">
        <f>IF(ActiveDatabase=Standby,Secondary!X1152,Primary!X1152)</f>
        <v>0</v>
      </c>
      <c r="Y1152" s="7">
        <f>IF(ActiveDatabase=Standby,Secondary!Y1152,Primary!Y1810)</f>
        <v>0</v>
      </c>
      <c r="Z1152" s="7">
        <f>IF(ActiveDatabase=Standby,Secondary!Z1152,Primary!Z1810)</f>
        <v>0</v>
      </c>
      <c r="AA1152" s="7">
        <f>IF(ActiveDatabase=Standby,Secondary!AA1152,Primary!AA1810)</f>
        <v>0</v>
      </c>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7"/>
      <c r="AX1152" s="7"/>
      <c r="AY1152" s="7"/>
      <c r="AZ1152" s="7"/>
      <c r="BA1152" s="7"/>
      <c r="BB1152" s="7"/>
      <c r="BC1152" s="7"/>
      <c r="BD1152" s="7"/>
      <c r="BE1152" s="7"/>
      <c r="BF1152" s="7"/>
      <c r="BG1152" s="7"/>
    </row>
    <row r="1153" customHeight="1" spans="1:59">
      <c r="A1153" s="9">
        <f>IF(ActiveDatabase=Standby,Secondary!A1153,Primary!A1153)</f>
        <v>0</v>
      </c>
      <c r="B1153" s="5">
        <f>IF(ActiveDatabase=Standby,Secondary!B1153,Primary!B1153)</f>
        <v>0</v>
      </c>
      <c r="C1153" s="5">
        <f>IF(ActiveDatabase=Standby,Secondary!C1153,Primary!C1153)</f>
        <v>0</v>
      </c>
      <c r="D1153" s="5">
        <f>IF(ActiveDatabase=Standby,Secondary!D1153,Primary!D1153)</f>
        <v>0</v>
      </c>
      <c r="E1153" s="6">
        <f>IF(ActiveDatabase=Standby,Secondary!E1153,Primary!E1153)</f>
        <v>0</v>
      </c>
      <c r="F1153" s="10">
        <f>IF(ActiveDatabase=Standby,Secondary!F1153,Primary!F1153)</f>
        <v>0</v>
      </c>
      <c r="G1153" s="10">
        <f>IF(ActiveDatabase=Standby,Secondary!G1153,Primary!G1153)</f>
        <v>0</v>
      </c>
      <c r="H1153" s="10">
        <f>IF(ActiveDatabase=Standby,Secondary!H1153,Primary!H1153)</f>
        <v>0</v>
      </c>
      <c r="I1153" s="13">
        <f>IF(ActiveDatabase=Standby,Secondary!I1153,Primary!I1153)</f>
        <v>0</v>
      </c>
      <c r="J1153" s="13">
        <f>IF(ActiveDatabase=Standby,Secondary!J1153,Primary!J1153)</f>
        <v>0</v>
      </c>
      <c r="K1153" s="13">
        <f>IF(ActiveDatabase=Standby,Secondary!K1153,Primary!K1153)</f>
        <v>0</v>
      </c>
      <c r="L1153" s="13">
        <f>IF(ActiveDatabase=Standby,Secondary!L1153,Primary!L1153)</f>
        <v>0</v>
      </c>
      <c r="M1153" s="7">
        <f>IF(ActiveDatabase=Standby,Secondary!M1153,Primary!M1153)</f>
        <v>0</v>
      </c>
      <c r="N1153" s="10">
        <f>IF(ActiveDatabase=Standby,Secondary!N1153,Primary!N1153)</f>
        <v>0</v>
      </c>
      <c r="O1153" s="10">
        <f>IF(ActiveDatabase=Standby,Secondary!O1153,Primary!O1153)</f>
        <v>0</v>
      </c>
      <c r="P1153" s="10">
        <f>IF(ActiveDatabase=Standby,Secondary!P1153,Primary!P1153)</f>
        <v>0</v>
      </c>
      <c r="Q1153" s="6">
        <f>IF(ActiveDatabase=Standby,Secondary!Q1153,Primary!Q1153)</f>
        <v>0</v>
      </c>
      <c r="R1153" s="18">
        <f>IF(ActiveDatabase=Standby,Secondary!R1153,Primary!R1153)</f>
        <v>0</v>
      </c>
      <c r="S1153" s="19">
        <f>IF(ActiveDatabase=Standby,Secondary!S1153,Primary!S1153)</f>
        <v>0</v>
      </c>
      <c r="T1153" s="10">
        <f>IF(ActiveDatabase=Standby,Secondary!T1153,Primary!T1153)</f>
        <v>0</v>
      </c>
      <c r="U1153" s="10">
        <f>IF(ActiveDatabase=Standby,Secondary!U1153,Primary!U1153)</f>
        <v>0</v>
      </c>
      <c r="V1153" s="10">
        <f>IF(ActiveDatabase=Standby,Secondary!V1153,Primary!V1153)</f>
        <v>0</v>
      </c>
      <c r="W1153" s="6">
        <f>IF(ActiveDatabase=Standby,Secondary!W1153,Primary!W1153)</f>
        <v>0</v>
      </c>
      <c r="X1153" s="6">
        <f>IF(ActiveDatabase=Standby,Secondary!X1153,Primary!X1153)</f>
        <v>0</v>
      </c>
      <c r="Y1153" s="7">
        <f>IF(ActiveDatabase=Standby,Secondary!Y1153,Primary!Y1811)</f>
        <v>0</v>
      </c>
      <c r="Z1153" s="7">
        <f>IF(ActiveDatabase=Standby,Secondary!Z1153,Primary!Z1811)</f>
        <v>0</v>
      </c>
      <c r="AA1153" s="7">
        <f>IF(ActiveDatabase=Standby,Secondary!AA1153,Primary!AA1811)</f>
        <v>0</v>
      </c>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7"/>
      <c r="AX1153" s="7"/>
      <c r="AY1153" s="7"/>
      <c r="AZ1153" s="7"/>
      <c r="BA1153" s="7"/>
      <c r="BB1153" s="7"/>
      <c r="BC1153" s="7"/>
      <c r="BD1153" s="7"/>
      <c r="BE1153" s="7"/>
      <c r="BF1153" s="7"/>
      <c r="BG1153" s="7"/>
    </row>
    <row r="1154" customHeight="1" spans="1:59">
      <c r="A1154" s="9">
        <f>IF(ActiveDatabase=Standby,Secondary!A1154,Primary!A1154)</f>
        <v>0</v>
      </c>
      <c r="B1154" s="5">
        <f>IF(ActiveDatabase=Standby,Secondary!B1154,Primary!B1154)</f>
        <v>0</v>
      </c>
      <c r="C1154" s="5">
        <f>IF(ActiveDatabase=Standby,Secondary!C1154,Primary!C1154)</f>
        <v>0</v>
      </c>
      <c r="D1154" s="5">
        <f>IF(ActiveDatabase=Standby,Secondary!D1154,Primary!D1154)</f>
        <v>0</v>
      </c>
      <c r="E1154" s="6">
        <f>IF(ActiveDatabase=Standby,Secondary!E1154,Primary!E1154)</f>
        <v>0</v>
      </c>
      <c r="F1154" s="10">
        <f>IF(ActiveDatabase=Standby,Secondary!F1154,Primary!F1154)</f>
        <v>0</v>
      </c>
      <c r="G1154" s="10">
        <f>IF(ActiveDatabase=Standby,Secondary!G1154,Primary!G1154)</f>
        <v>0</v>
      </c>
      <c r="H1154" s="10">
        <f>IF(ActiveDatabase=Standby,Secondary!H1154,Primary!H1154)</f>
        <v>0</v>
      </c>
      <c r="I1154" s="13">
        <f>IF(ActiveDatabase=Standby,Secondary!I1154,Primary!I1154)</f>
        <v>0</v>
      </c>
      <c r="J1154" s="13">
        <f>IF(ActiveDatabase=Standby,Secondary!J1154,Primary!J1154)</f>
        <v>0</v>
      </c>
      <c r="K1154" s="13">
        <f>IF(ActiveDatabase=Standby,Secondary!K1154,Primary!K1154)</f>
        <v>0</v>
      </c>
      <c r="L1154" s="13">
        <f>IF(ActiveDatabase=Standby,Secondary!L1154,Primary!L1154)</f>
        <v>0</v>
      </c>
      <c r="M1154" s="7">
        <f>IF(ActiveDatabase=Standby,Secondary!M1154,Primary!M1154)</f>
        <v>0</v>
      </c>
      <c r="N1154" s="10">
        <f>IF(ActiveDatabase=Standby,Secondary!N1154,Primary!N1154)</f>
        <v>0</v>
      </c>
      <c r="O1154" s="10">
        <f>IF(ActiveDatabase=Standby,Secondary!O1154,Primary!O1154)</f>
        <v>0</v>
      </c>
      <c r="P1154" s="10">
        <f>IF(ActiveDatabase=Standby,Secondary!P1154,Primary!P1154)</f>
        <v>0</v>
      </c>
      <c r="Q1154" s="6">
        <f>IF(ActiveDatabase=Standby,Secondary!Q1154,Primary!Q1154)</f>
        <v>0</v>
      </c>
      <c r="R1154" s="18">
        <f>IF(ActiveDatabase=Standby,Secondary!R1154,Primary!R1154)</f>
        <v>0</v>
      </c>
      <c r="S1154" s="19">
        <f>IF(ActiveDatabase=Standby,Secondary!S1154,Primary!S1154)</f>
        <v>0</v>
      </c>
      <c r="T1154" s="10">
        <f>IF(ActiveDatabase=Standby,Secondary!T1154,Primary!T1154)</f>
        <v>0</v>
      </c>
      <c r="U1154" s="10">
        <f>IF(ActiveDatabase=Standby,Secondary!U1154,Primary!U1154)</f>
        <v>0</v>
      </c>
      <c r="V1154" s="10">
        <f>IF(ActiveDatabase=Standby,Secondary!V1154,Primary!V1154)</f>
        <v>0</v>
      </c>
      <c r="W1154" s="6">
        <f>IF(ActiveDatabase=Standby,Secondary!W1154,Primary!W1154)</f>
        <v>0</v>
      </c>
      <c r="X1154" s="6">
        <f>IF(ActiveDatabase=Standby,Secondary!X1154,Primary!X1154)</f>
        <v>0</v>
      </c>
      <c r="Y1154" s="7">
        <f>IF(ActiveDatabase=Standby,Secondary!Y1154,Primary!Y1812)</f>
        <v>0</v>
      </c>
      <c r="Z1154" s="7">
        <f>IF(ActiveDatabase=Standby,Secondary!Z1154,Primary!Z1812)</f>
        <v>0</v>
      </c>
      <c r="AA1154" s="7">
        <f>IF(ActiveDatabase=Standby,Secondary!AA1154,Primary!AA1812)</f>
        <v>0</v>
      </c>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row>
    <row r="1155" customHeight="1" spans="1:59">
      <c r="A1155" s="9">
        <f>IF(ActiveDatabase=Standby,Secondary!A1155,Primary!A1155)</f>
        <v>0</v>
      </c>
      <c r="B1155" s="5">
        <f>IF(ActiveDatabase=Standby,Secondary!B1155,Primary!B1155)</f>
        <v>0</v>
      </c>
      <c r="C1155" s="5">
        <f>IF(ActiveDatabase=Standby,Secondary!C1155,Primary!C1155)</f>
        <v>0</v>
      </c>
      <c r="D1155" s="5">
        <f>IF(ActiveDatabase=Standby,Secondary!D1155,Primary!D1155)</f>
        <v>0</v>
      </c>
      <c r="E1155" s="6">
        <f>IF(ActiveDatabase=Standby,Secondary!E1155,Primary!E1155)</f>
        <v>0</v>
      </c>
      <c r="F1155" s="10">
        <f>IF(ActiveDatabase=Standby,Secondary!F1155,Primary!F1155)</f>
        <v>0</v>
      </c>
      <c r="G1155" s="10">
        <f>IF(ActiveDatabase=Standby,Secondary!G1155,Primary!G1155)</f>
        <v>0</v>
      </c>
      <c r="H1155" s="10">
        <f>IF(ActiveDatabase=Standby,Secondary!H1155,Primary!H1155)</f>
        <v>0</v>
      </c>
      <c r="I1155" s="13">
        <f>IF(ActiveDatabase=Standby,Secondary!I1155,Primary!I1155)</f>
        <v>0</v>
      </c>
      <c r="J1155" s="13">
        <f>IF(ActiveDatabase=Standby,Secondary!J1155,Primary!J1155)</f>
        <v>0</v>
      </c>
      <c r="K1155" s="13">
        <f>IF(ActiveDatabase=Standby,Secondary!K1155,Primary!K1155)</f>
        <v>0</v>
      </c>
      <c r="L1155" s="13">
        <f>IF(ActiveDatabase=Standby,Secondary!L1155,Primary!L1155)</f>
        <v>0</v>
      </c>
      <c r="M1155" s="7">
        <f>IF(ActiveDatabase=Standby,Secondary!M1155,Primary!M1155)</f>
        <v>0</v>
      </c>
      <c r="N1155" s="10">
        <f>IF(ActiveDatabase=Standby,Secondary!N1155,Primary!N1155)</f>
        <v>0</v>
      </c>
      <c r="O1155" s="10">
        <f>IF(ActiveDatabase=Standby,Secondary!O1155,Primary!O1155)</f>
        <v>0</v>
      </c>
      <c r="P1155" s="10">
        <f>IF(ActiveDatabase=Standby,Secondary!P1155,Primary!P1155)</f>
        <v>0</v>
      </c>
      <c r="Q1155" s="6">
        <f>IF(ActiveDatabase=Standby,Secondary!Q1155,Primary!Q1155)</f>
        <v>0</v>
      </c>
      <c r="R1155" s="18">
        <f>IF(ActiveDatabase=Standby,Secondary!R1155,Primary!R1155)</f>
        <v>0</v>
      </c>
      <c r="S1155" s="19">
        <f>IF(ActiveDatabase=Standby,Secondary!S1155,Primary!S1155)</f>
        <v>0</v>
      </c>
      <c r="T1155" s="10">
        <f>IF(ActiveDatabase=Standby,Secondary!T1155,Primary!T1155)</f>
        <v>0</v>
      </c>
      <c r="U1155" s="10">
        <f>IF(ActiveDatabase=Standby,Secondary!U1155,Primary!U1155)</f>
        <v>0</v>
      </c>
      <c r="V1155" s="10">
        <f>IF(ActiveDatabase=Standby,Secondary!V1155,Primary!V1155)</f>
        <v>0</v>
      </c>
      <c r="W1155" s="6">
        <f>IF(ActiveDatabase=Standby,Secondary!W1155,Primary!W1155)</f>
        <v>0</v>
      </c>
      <c r="X1155" s="6">
        <f>IF(ActiveDatabase=Standby,Secondary!X1155,Primary!X1155)</f>
        <v>0</v>
      </c>
      <c r="Y1155" s="7">
        <f>IF(ActiveDatabase=Standby,Secondary!Y1155,Primary!Y1813)</f>
        <v>0</v>
      </c>
      <c r="Z1155" s="7">
        <f>IF(ActiveDatabase=Standby,Secondary!Z1155,Primary!Z1813)</f>
        <v>0</v>
      </c>
      <c r="AA1155" s="7">
        <f>IF(ActiveDatabase=Standby,Secondary!AA1155,Primary!AA1813)</f>
        <v>0</v>
      </c>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7"/>
      <c r="AX1155" s="7"/>
      <c r="AY1155" s="7"/>
      <c r="AZ1155" s="7"/>
      <c r="BA1155" s="7"/>
      <c r="BB1155" s="7"/>
      <c r="BC1155" s="7"/>
      <c r="BD1155" s="7"/>
      <c r="BE1155" s="7"/>
      <c r="BF1155" s="7"/>
      <c r="BG1155" s="7"/>
    </row>
    <row r="1156" customHeight="1" spans="1:59">
      <c r="A1156" s="9">
        <f>IF(ActiveDatabase=Standby,Secondary!A1156,Primary!A1156)</f>
        <v>0</v>
      </c>
      <c r="B1156" s="5">
        <f>IF(ActiveDatabase=Standby,Secondary!B1156,Primary!B1156)</f>
        <v>0</v>
      </c>
      <c r="C1156" s="5">
        <f>IF(ActiveDatabase=Standby,Secondary!C1156,Primary!C1156)</f>
        <v>0</v>
      </c>
      <c r="D1156" s="5">
        <f>IF(ActiveDatabase=Standby,Secondary!D1156,Primary!D1156)</f>
        <v>0</v>
      </c>
      <c r="E1156" s="6">
        <f>IF(ActiveDatabase=Standby,Secondary!E1156,Primary!E1156)</f>
        <v>0</v>
      </c>
      <c r="F1156" s="10">
        <f>IF(ActiveDatabase=Standby,Secondary!F1156,Primary!F1156)</f>
        <v>0</v>
      </c>
      <c r="G1156" s="10">
        <f>IF(ActiveDatabase=Standby,Secondary!G1156,Primary!G1156)</f>
        <v>0</v>
      </c>
      <c r="H1156" s="10">
        <f>IF(ActiveDatabase=Standby,Secondary!H1156,Primary!H1156)</f>
        <v>0</v>
      </c>
      <c r="I1156" s="13">
        <f>IF(ActiveDatabase=Standby,Secondary!I1156,Primary!I1156)</f>
        <v>0</v>
      </c>
      <c r="J1156" s="13">
        <f>IF(ActiveDatabase=Standby,Secondary!J1156,Primary!J1156)</f>
        <v>0</v>
      </c>
      <c r="K1156" s="13">
        <f>IF(ActiveDatabase=Standby,Secondary!K1156,Primary!K1156)</f>
        <v>0</v>
      </c>
      <c r="L1156" s="13">
        <f>IF(ActiveDatabase=Standby,Secondary!L1156,Primary!L1156)</f>
        <v>0</v>
      </c>
      <c r="M1156" s="7">
        <f>IF(ActiveDatabase=Standby,Secondary!M1156,Primary!M1156)</f>
        <v>0</v>
      </c>
      <c r="N1156" s="10">
        <f>IF(ActiveDatabase=Standby,Secondary!N1156,Primary!N1156)</f>
        <v>0</v>
      </c>
      <c r="O1156" s="10">
        <f>IF(ActiveDatabase=Standby,Secondary!O1156,Primary!O1156)</f>
        <v>0</v>
      </c>
      <c r="P1156" s="10">
        <f>IF(ActiveDatabase=Standby,Secondary!P1156,Primary!P1156)</f>
        <v>0</v>
      </c>
      <c r="Q1156" s="6">
        <f>IF(ActiveDatabase=Standby,Secondary!Q1156,Primary!Q1156)</f>
        <v>0</v>
      </c>
      <c r="R1156" s="18">
        <f>IF(ActiveDatabase=Standby,Secondary!R1156,Primary!R1156)</f>
        <v>0</v>
      </c>
      <c r="S1156" s="19">
        <f>IF(ActiveDatabase=Standby,Secondary!S1156,Primary!S1156)</f>
        <v>0</v>
      </c>
      <c r="T1156" s="10">
        <f>IF(ActiveDatabase=Standby,Secondary!T1156,Primary!T1156)</f>
        <v>0</v>
      </c>
      <c r="U1156" s="10">
        <f>IF(ActiveDatabase=Standby,Secondary!U1156,Primary!U1156)</f>
        <v>0</v>
      </c>
      <c r="V1156" s="10">
        <f>IF(ActiveDatabase=Standby,Secondary!V1156,Primary!V1156)</f>
        <v>0</v>
      </c>
      <c r="W1156" s="6">
        <f>IF(ActiveDatabase=Standby,Secondary!W1156,Primary!W1156)</f>
        <v>0</v>
      </c>
      <c r="X1156" s="6">
        <f>IF(ActiveDatabase=Standby,Secondary!X1156,Primary!X1156)</f>
        <v>0</v>
      </c>
      <c r="Y1156" s="7">
        <f>IF(ActiveDatabase=Standby,Secondary!Y1156,Primary!Y1814)</f>
        <v>0</v>
      </c>
      <c r="Z1156" s="7">
        <f>IF(ActiveDatabase=Standby,Secondary!Z1156,Primary!Z1814)</f>
        <v>0</v>
      </c>
      <c r="AA1156" s="7">
        <f>IF(ActiveDatabase=Standby,Secondary!AA1156,Primary!AA1814)</f>
        <v>0</v>
      </c>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row>
    <row r="1157" customHeight="1" spans="1:59">
      <c r="A1157" s="9">
        <f>IF(ActiveDatabase=Standby,Secondary!A1157,Primary!A1157)</f>
        <v>0</v>
      </c>
      <c r="B1157" s="5">
        <f>IF(ActiveDatabase=Standby,Secondary!B1157,Primary!B1157)</f>
        <v>0</v>
      </c>
      <c r="C1157" s="5">
        <f>IF(ActiveDatabase=Standby,Secondary!C1157,Primary!C1157)</f>
        <v>0</v>
      </c>
      <c r="D1157" s="5">
        <f>IF(ActiveDatabase=Standby,Secondary!D1157,Primary!D1157)</f>
        <v>0</v>
      </c>
      <c r="E1157" s="6">
        <f>IF(ActiveDatabase=Standby,Secondary!E1157,Primary!E1157)</f>
        <v>0</v>
      </c>
      <c r="F1157" s="10">
        <f>IF(ActiveDatabase=Standby,Secondary!F1157,Primary!F1157)</f>
        <v>0</v>
      </c>
      <c r="G1157" s="10">
        <f>IF(ActiveDatabase=Standby,Secondary!G1157,Primary!G1157)</f>
        <v>0</v>
      </c>
      <c r="H1157" s="10">
        <f>IF(ActiveDatabase=Standby,Secondary!H1157,Primary!H1157)</f>
        <v>0</v>
      </c>
      <c r="I1157" s="13">
        <f>IF(ActiveDatabase=Standby,Secondary!I1157,Primary!I1157)</f>
        <v>0</v>
      </c>
      <c r="J1157" s="13">
        <f>IF(ActiveDatabase=Standby,Secondary!J1157,Primary!J1157)</f>
        <v>0</v>
      </c>
      <c r="K1157" s="13">
        <f>IF(ActiveDatabase=Standby,Secondary!K1157,Primary!K1157)</f>
        <v>0</v>
      </c>
      <c r="L1157" s="13">
        <f>IF(ActiveDatabase=Standby,Secondary!L1157,Primary!L1157)</f>
        <v>0</v>
      </c>
      <c r="M1157" s="7">
        <f>IF(ActiveDatabase=Standby,Secondary!M1157,Primary!M1157)</f>
        <v>0</v>
      </c>
      <c r="N1157" s="10">
        <f>IF(ActiveDatabase=Standby,Secondary!N1157,Primary!N1157)</f>
        <v>0</v>
      </c>
      <c r="O1157" s="10">
        <f>IF(ActiveDatabase=Standby,Secondary!O1157,Primary!O1157)</f>
        <v>0</v>
      </c>
      <c r="P1157" s="10">
        <f>IF(ActiveDatabase=Standby,Secondary!P1157,Primary!P1157)</f>
        <v>0</v>
      </c>
      <c r="Q1157" s="6">
        <f>IF(ActiveDatabase=Standby,Secondary!Q1157,Primary!Q1157)</f>
        <v>0</v>
      </c>
      <c r="R1157" s="18">
        <f>IF(ActiveDatabase=Standby,Secondary!R1157,Primary!R1157)</f>
        <v>0</v>
      </c>
      <c r="S1157" s="19">
        <f>IF(ActiveDatabase=Standby,Secondary!S1157,Primary!S1157)</f>
        <v>0</v>
      </c>
      <c r="T1157" s="10">
        <f>IF(ActiveDatabase=Standby,Secondary!T1157,Primary!T1157)</f>
        <v>0</v>
      </c>
      <c r="U1157" s="10">
        <f>IF(ActiveDatabase=Standby,Secondary!U1157,Primary!U1157)</f>
        <v>0</v>
      </c>
      <c r="V1157" s="10">
        <f>IF(ActiveDatabase=Standby,Secondary!V1157,Primary!V1157)</f>
        <v>0</v>
      </c>
      <c r="W1157" s="6">
        <f>IF(ActiveDatabase=Standby,Secondary!W1157,Primary!W1157)</f>
        <v>0</v>
      </c>
      <c r="X1157" s="6">
        <f>IF(ActiveDatabase=Standby,Secondary!X1157,Primary!X1157)</f>
        <v>0</v>
      </c>
      <c r="Y1157" s="7">
        <f>IF(ActiveDatabase=Standby,Secondary!Y1157,Primary!Y1815)</f>
        <v>0</v>
      </c>
      <c r="Z1157" s="7">
        <f>IF(ActiveDatabase=Standby,Secondary!Z1157,Primary!Z1815)</f>
        <v>0</v>
      </c>
      <c r="AA1157" s="7">
        <f>IF(ActiveDatabase=Standby,Secondary!AA1157,Primary!AA1815)</f>
        <v>0</v>
      </c>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c r="AX1157" s="7"/>
      <c r="AY1157" s="7"/>
      <c r="AZ1157" s="7"/>
      <c r="BA1157" s="7"/>
      <c r="BB1157" s="7"/>
      <c r="BC1157" s="7"/>
      <c r="BD1157" s="7"/>
      <c r="BE1157" s="7"/>
      <c r="BF1157" s="7"/>
      <c r="BG1157" s="7"/>
    </row>
    <row r="1158" customHeight="1" spans="1:59">
      <c r="A1158" s="9">
        <f>IF(ActiveDatabase=Standby,Secondary!A1158,Primary!A1158)</f>
        <v>0</v>
      </c>
      <c r="B1158" s="5">
        <f>IF(ActiveDatabase=Standby,Secondary!B1158,Primary!B1158)</f>
        <v>0</v>
      </c>
      <c r="C1158" s="5">
        <f>IF(ActiveDatabase=Standby,Secondary!C1158,Primary!C1158)</f>
        <v>0</v>
      </c>
      <c r="D1158" s="5">
        <f>IF(ActiveDatabase=Standby,Secondary!D1158,Primary!D1158)</f>
        <v>0</v>
      </c>
      <c r="E1158" s="6">
        <f>IF(ActiveDatabase=Standby,Secondary!E1158,Primary!E1158)</f>
        <v>0</v>
      </c>
      <c r="F1158" s="10">
        <f>IF(ActiveDatabase=Standby,Secondary!F1158,Primary!F1158)</f>
        <v>0</v>
      </c>
      <c r="G1158" s="10">
        <f>IF(ActiveDatabase=Standby,Secondary!G1158,Primary!G1158)</f>
        <v>0</v>
      </c>
      <c r="H1158" s="10">
        <f>IF(ActiveDatabase=Standby,Secondary!H1158,Primary!H1158)</f>
        <v>0</v>
      </c>
      <c r="I1158" s="13">
        <f>IF(ActiveDatabase=Standby,Secondary!I1158,Primary!I1158)</f>
        <v>0</v>
      </c>
      <c r="J1158" s="13">
        <f>IF(ActiveDatabase=Standby,Secondary!J1158,Primary!J1158)</f>
        <v>0</v>
      </c>
      <c r="K1158" s="13">
        <f>IF(ActiveDatabase=Standby,Secondary!K1158,Primary!K1158)</f>
        <v>0</v>
      </c>
      <c r="L1158" s="13">
        <f>IF(ActiveDatabase=Standby,Secondary!L1158,Primary!L1158)</f>
        <v>0</v>
      </c>
      <c r="M1158" s="7">
        <f>IF(ActiveDatabase=Standby,Secondary!M1158,Primary!M1158)</f>
        <v>0</v>
      </c>
      <c r="N1158" s="10">
        <f>IF(ActiveDatabase=Standby,Secondary!N1158,Primary!N1158)</f>
        <v>0</v>
      </c>
      <c r="O1158" s="10">
        <f>IF(ActiveDatabase=Standby,Secondary!O1158,Primary!O1158)</f>
        <v>0</v>
      </c>
      <c r="P1158" s="10">
        <f>IF(ActiveDatabase=Standby,Secondary!P1158,Primary!P1158)</f>
        <v>0</v>
      </c>
      <c r="Q1158" s="6">
        <f>IF(ActiveDatabase=Standby,Secondary!Q1158,Primary!Q1158)</f>
        <v>0</v>
      </c>
      <c r="R1158" s="18">
        <f>IF(ActiveDatabase=Standby,Secondary!R1158,Primary!R1158)</f>
        <v>0</v>
      </c>
      <c r="S1158" s="19">
        <f>IF(ActiveDatabase=Standby,Secondary!S1158,Primary!S1158)</f>
        <v>0</v>
      </c>
      <c r="T1158" s="10">
        <f>IF(ActiveDatabase=Standby,Secondary!T1158,Primary!T1158)</f>
        <v>0</v>
      </c>
      <c r="U1158" s="10">
        <f>IF(ActiveDatabase=Standby,Secondary!U1158,Primary!U1158)</f>
        <v>0</v>
      </c>
      <c r="V1158" s="10">
        <f>IF(ActiveDatabase=Standby,Secondary!V1158,Primary!V1158)</f>
        <v>0</v>
      </c>
      <c r="W1158" s="6">
        <f>IF(ActiveDatabase=Standby,Secondary!W1158,Primary!W1158)</f>
        <v>0</v>
      </c>
      <c r="X1158" s="6">
        <f>IF(ActiveDatabase=Standby,Secondary!X1158,Primary!X1158)</f>
        <v>0</v>
      </c>
      <c r="Y1158" s="7">
        <f>IF(ActiveDatabase=Standby,Secondary!Y1158,Primary!Y1816)</f>
        <v>0</v>
      </c>
      <c r="Z1158" s="7">
        <f>IF(ActiveDatabase=Standby,Secondary!Z1158,Primary!Z1816)</f>
        <v>0</v>
      </c>
      <c r="AA1158" s="7">
        <f>IF(ActiveDatabase=Standby,Secondary!AA1158,Primary!AA1816)</f>
        <v>0</v>
      </c>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row>
    <row r="1159" customHeight="1" spans="1:59">
      <c r="A1159" s="9">
        <f>IF(ActiveDatabase=Standby,Secondary!A1159,Primary!A1159)</f>
        <v>0</v>
      </c>
      <c r="B1159" s="5">
        <f>IF(ActiveDatabase=Standby,Secondary!B1159,Primary!B1159)</f>
        <v>0</v>
      </c>
      <c r="C1159" s="5">
        <f>IF(ActiveDatabase=Standby,Secondary!C1159,Primary!C1159)</f>
        <v>0</v>
      </c>
      <c r="D1159" s="5">
        <f>IF(ActiveDatabase=Standby,Secondary!D1159,Primary!D1159)</f>
        <v>0</v>
      </c>
      <c r="E1159" s="6">
        <f>IF(ActiveDatabase=Standby,Secondary!E1159,Primary!E1159)</f>
        <v>0</v>
      </c>
      <c r="F1159" s="10">
        <f>IF(ActiveDatabase=Standby,Secondary!F1159,Primary!F1159)</f>
        <v>0</v>
      </c>
      <c r="G1159" s="10">
        <f>IF(ActiveDatabase=Standby,Secondary!G1159,Primary!G1159)</f>
        <v>0</v>
      </c>
      <c r="H1159" s="10">
        <f>IF(ActiveDatabase=Standby,Secondary!H1159,Primary!H1159)</f>
        <v>0</v>
      </c>
      <c r="I1159" s="13">
        <f>IF(ActiveDatabase=Standby,Secondary!I1159,Primary!I1159)</f>
        <v>0</v>
      </c>
      <c r="J1159" s="13">
        <f>IF(ActiveDatabase=Standby,Secondary!J1159,Primary!J1159)</f>
        <v>0</v>
      </c>
      <c r="K1159" s="13">
        <f>IF(ActiveDatabase=Standby,Secondary!K1159,Primary!K1159)</f>
        <v>0</v>
      </c>
      <c r="L1159" s="13">
        <f>IF(ActiveDatabase=Standby,Secondary!L1159,Primary!L1159)</f>
        <v>0</v>
      </c>
      <c r="M1159" s="7">
        <f>IF(ActiveDatabase=Standby,Secondary!M1159,Primary!M1159)</f>
        <v>0</v>
      </c>
      <c r="N1159" s="10">
        <f>IF(ActiveDatabase=Standby,Secondary!N1159,Primary!N1159)</f>
        <v>0</v>
      </c>
      <c r="O1159" s="10">
        <f>IF(ActiveDatabase=Standby,Secondary!O1159,Primary!O1159)</f>
        <v>0</v>
      </c>
      <c r="P1159" s="10">
        <f>IF(ActiveDatabase=Standby,Secondary!P1159,Primary!P1159)</f>
        <v>0</v>
      </c>
      <c r="Q1159" s="6">
        <f>IF(ActiveDatabase=Standby,Secondary!Q1159,Primary!Q1159)</f>
        <v>0</v>
      </c>
      <c r="R1159" s="18">
        <f>IF(ActiveDatabase=Standby,Secondary!R1159,Primary!R1159)</f>
        <v>0</v>
      </c>
      <c r="S1159" s="19">
        <f>IF(ActiveDatabase=Standby,Secondary!S1159,Primary!S1159)</f>
        <v>0</v>
      </c>
      <c r="T1159" s="10">
        <f>IF(ActiveDatabase=Standby,Secondary!T1159,Primary!T1159)</f>
        <v>0</v>
      </c>
      <c r="U1159" s="10">
        <f>IF(ActiveDatabase=Standby,Secondary!U1159,Primary!U1159)</f>
        <v>0</v>
      </c>
      <c r="V1159" s="10">
        <f>IF(ActiveDatabase=Standby,Secondary!V1159,Primary!V1159)</f>
        <v>0</v>
      </c>
      <c r="W1159" s="6">
        <f>IF(ActiveDatabase=Standby,Secondary!W1159,Primary!W1159)</f>
        <v>0</v>
      </c>
      <c r="X1159" s="6">
        <f>IF(ActiveDatabase=Standby,Secondary!X1159,Primary!X1159)</f>
        <v>0</v>
      </c>
      <c r="Y1159" s="7">
        <f>IF(ActiveDatabase=Standby,Secondary!Y1159,Primary!Y1817)</f>
        <v>0</v>
      </c>
      <c r="Z1159" s="7">
        <f>IF(ActiveDatabase=Standby,Secondary!Z1159,Primary!Z1817)</f>
        <v>0</v>
      </c>
      <c r="AA1159" s="7">
        <f>IF(ActiveDatabase=Standby,Secondary!AA1159,Primary!AA1817)</f>
        <v>0</v>
      </c>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c r="AX1159" s="7"/>
      <c r="AY1159" s="7"/>
      <c r="AZ1159" s="7"/>
      <c r="BA1159" s="7"/>
      <c r="BB1159" s="7"/>
      <c r="BC1159" s="7"/>
      <c r="BD1159" s="7"/>
      <c r="BE1159" s="7"/>
      <c r="BF1159" s="7"/>
      <c r="BG1159" s="7"/>
    </row>
    <row r="1160" customHeight="1" spans="1:59">
      <c r="A1160" s="9">
        <f>IF(ActiveDatabase=Standby,Secondary!A1160,Primary!A1160)</f>
        <v>0</v>
      </c>
      <c r="B1160" s="5">
        <f>IF(ActiveDatabase=Standby,Secondary!B1160,Primary!B1160)</f>
        <v>0</v>
      </c>
      <c r="C1160" s="5">
        <f>IF(ActiveDatabase=Standby,Secondary!C1160,Primary!C1160)</f>
        <v>0</v>
      </c>
      <c r="D1160" s="5">
        <f>IF(ActiveDatabase=Standby,Secondary!D1160,Primary!D1160)</f>
        <v>0</v>
      </c>
      <c r="E1160" s="6">
        <f>IF(ActiveDatabase=Standby,Secondary!E1160,Primary!E1160)</f>
        <v>0</v>
      </c>
      <c r="F1160" s="10">
        <f>IF(ActiveDatabase=Standby,Secondary!F1160,Primary!F1160)</f>
        <v>0</v>
      </c>
      <c r="G1160" s="10">
        <f>IF(ActiveDatabase=Standby,Secondary!G1160,Primary!G1160)</f>
        <v>0</v>
      </c>
      <c r="H1160" s="10">
        <f>IF(ActiveDatabase=Standby,Secondary!H1160,Primary!H1160)</f>
        <v>0</v>
      </c>
      <c r="I1160" s="13">
        <f>IF(ActiveDatabase=Standby,Secondary!I1160,Primary!I1160)</f>
        <v>0</v>
      </c>
      <c r="J1160" s="13">
        <f>IF(ActiveDatabase=Standby,Secondary!J1160,Primary!J1160)</f>
        <v>0</v>
      </c>
      <c r="K1160" s="13">
        <f>IF(ActiveDatabase=Standby,Secondary!K1160,Primary!K1160)</f>
        <v>0</v>
      </c>
      <c r="L1160" s="13">
        <f>IF(ActiveDatabase=Standby,Secondary!L1160,Primary!L1160)</f>
        <v>0</v>
      </c>
      <c r="M1160" s="7">
        <f>IF(ActiveDatabase=Standby,Secondary!M1160,Primary!M1160)</f>
        <v>0</v>
      </c>
      <c r="N1160" s="10">
        <f>IF(ActiveDatabase=Standby,Secondary!N1160,Primary!N1160)</f>
        <v>0</v>
      </c>
      <c r="O1160" s="10">
        <f>IF(ActiveDatabase=Standby,Secondary!O1160,Primary!O1160)</f>
        <v>0</v>
      </c>
      <c r="P1160" s="10">
        <f>IF(ActiveDatabase=Standby,Secondary!P1160,Primary!P1160)</f>
        <v>0</v>
      </c>
      <c r="Q1160" s="6">
        <f>IF(ActiveDatabase=Standby,Secondary!Q1160,Primary!Q1160)</f>
        <v>0</v>
      </c>
      <c r="R1160" s="18">
        <f>IF(ActiveDatabase=Standby,Secondary!R1160,Primary!R1160)</f>
        <v>0</v>
      </c>
      <c r="S1160" s="19">
        <f>IF(ActiveDatabase=Standby,Secondary!S1160,Primary!S1160)</f>
        <v>0</v>
      </c>
      <c r="T1160" s="10">
        <f>IF(ActiveDatabase=Standby,Secondary!T1160,Primary!T1160)</f>
        <v>0</v>
      </c>
      <c r="U1160" s="10">
        <f>IF(ActiveDatabase=Standby,Secondary!U1160,Primary!U1160)</f>
        <v>0</v>
      </c>
      <c r="V1160" s="10">
        <f>IF(ActiveDatabase=Standby,Secondary!V1160,Primary!V1160)</f>
        <v>0</v>
      </c>
      <c r="W1160" s="6">
        <f>IF(ActiveDatabase=Standby,Secondary!W1160,Primary!W1160)</f>
        <v>0</v>
      </c>
      <c r="X1160" s="6">
        <f>IF(ActiveDatabase=Standby,Secondary!X1160,Primary!X1160)</f>
        <v>0</v>
      </c>
      <c r="Y1160" s="7">
        <f>IF(ActiveDatabase=Standby,Secondary!Y1160,Primary!Y1818)</f>
        <v>0</v>
      </c>
      <c r="Z1160" s="7">
        <f>IF(ActiveDatabase=Standby,Secondary!Z1160,Primary!Z1818)</f>
        <v>0</v>
      </c>
      <c r="AA1160" s="7">
        <f>IF(ActiveDatabase=Standby,Secondary!AA1160,Primary!AA1818)</f>
        <v>0</v>
      </c>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c r="AX1160" s="7"/>
      <c r="AY1160" s="7"/>
      <c r="AZ1160" s="7"/>
      <c r="BA1160" s="7"/>
      <c r="BB1160" s="7"/>
      <c r="BC1160" s="7"/>
      <c r="BD1160" s="7"/>
      <c r="BE1160" s="7"/>
      <c r="BF1160" s="7"/>
      <c r="BG1160" s="7"/>
    </row>
    <row r="1161" customHeight="1" spans="1:59">
      <c r="A1161" s="9">
        <f>IF(ActiveDatabase=Standby,Secondary!A1161,Primary!A1161)</f>
        <v>0</v>
      </c>
      <c r="B1161" s="5">
        <f>IF(ActiveDatabase=Standby,Secondary!B1161,Primary!B1161)</f>
        <v>0</v>
      </c>
      <c r="C1161" s="5">
        <f>IF(ActiveDatabase=Standby,Secondary!C1161,Primary!C1161)</f>
        <v>0</v>
      </c>
      <c r="D1161" s="5">
        <f>IF(ActiveDatabase=Standby,Secondary!D1161,Primary!D1161)</f>
        <v>0</v>
      </c>
      <c r="E1161" s="6">
        <f>IF(ActiveDatabase=Standby,Secondary!E1161,Primary!E1161)</f>
        <v>0</v>
      </c>
      <c r="F1161" s="10">
        <f>IF(ActiveDatabase=Standby,Secondary!F1161,Primary!F1161)</f>
        <v>0</v>
      </c>
      <c r="G1161" s="10">
        <f>IF(ActiveDatabase=Standby,Secondary!G1161,Primary!G1161)</f>
        <v>0</v>
      </c>
      <c r="H1161" s="10">
        <f>IF(ActiveDatabase=Standby,Secondary!H1161,Primary!H1161)</f>
        <v>0</v>
      </c>
      <c r="I1161" s="13">
        <f>IF(ActiveDatabase=Standby,Secondary!I1161,Primary!I1161)</f>
        <v>0</v>
      </c>
      <c r="J1161" s="13">
        <f>IF(ActiveDatabase=Standby,Secondary!J1161,Primary!J1161)</f>
        <v>0</v>
      </c>
      <c r="K1161" s="13">
        <f>IF(ActiveDatabase=Standby,Secondary!K1161,Primary!K1161)</f>
        <v>0</v>
      </c>
      <c r="L1161" s="13">
        <f>IF(ActiveDatabase=Standby,Secondary!L1161,Primary!L1161)</f>
        <v>0</v>
      </c>
      <c r="M1161" s="7">
        <f>IF(ActiveDatabase=Standby,Secondary!M1161,Primary!M1161)</f>
        <v>0</v>
      </c>
      <c r="N1161" s="10">
        <f>IF(ActiveDatabase=Standby,Secondary!N1161,Primary!N1161)</f>
        <v>0</v>
      </c>
      <c r="O1161" s="10">
        <f>IF(ActiveDatabase=Standby,Secondary!O1161,Primary!O1161)</f>
        <v>0</v>
      </c>
      <c r="P1161" s="10">
        <f>IF(ActiveDatabase=Standby,Secondary!P1161,Primary!P1161)</f>
        <v>0</v>
      </c>
      <c r="Q1161" s="6">
        <f>IF(ActiveDatabase=Standby,Secondary!Q1161,Primary!Q1161)</f>
        <v>0</v>
      </c>
      <c r="R1161" s="18">
        <f>IF(ActiveDatabase=Standby,Secondary!R1161,Primary!R1161)</f>
        <v>0</v>
      </c>
      <c r="S1161" s="19">
        <f>IF(ActiveDatabase=Standby,Secondary!S1161,Primary!S1161)</f>
        <v>0</v>
      </c>
      <c r="T1161" s="10">
        <f>IF(ActiveDatabase=Standby,Secondary!T1161,Primary!T1161)</f>
        <v>0</v>
      </c>
      <c r="U1161" s="10">
        <f>IF(ActiveDatabase=Standby,Secondary!U1161,Primary!U1161)</f>
        <v>0</v>
      </c>
      <c r="V1161" s="10">
        <f>IF(ActiveDatabase=Standby,Secondary!V1161,Primary!V1161)</f>
        <v>0</v>
      </c>
      <c r="W1161" s="6">
        <f>IF(ActiveDatabase=Standby,Secondary!W1161,Primary!W1161)</f>
        <v>0</v>
      </c>
      <c r="X1161" s="6">
        <f>IF(ActiveDatabase=Standby,Secondary!X1161,Primary!X1161)</f>
        <v>0</v>
      </c>
      <c r="Y1161" s="7">
        <f>IF(ActiveDatabase=Standby,Secondary!Y1161,Primary!Y1819)</f>
        <v>0</v>
      </c>
      <c r="Z1161" s="7">
        <f>IF(ActiveDatabase=Standby,Secondary!Z1161,Primary!Z1819)</f>
        <v>0</v>
      </c>
      <c r="AA1161" s="7">
        <f>IF(ActiveDatabase=Standby,Secondary!AA1161,Primary!AA1819)</f>
        <v>0</v>
      </c>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row>
    <row r="1162" customHeight="1" spans="1:59">
      <c r="A1162" s="9">
        <f>IF(ActiveDatabase=Standby,Secondary!A1162,Primary!A1162)</f>
        <v>0</v>
      </c>
      <c r="B1162" s="5">
        <f>IF(ActiveDatabase=Standby,Secondary!B1162,Primary!B1162)</f>
        <v>0</v>
      </c>
      <c r="C1162" s="5">
        <f>IF(ActiveDatabase=Standby,Secondary!C1162,Primary!C1162)</f>
        <v>0</v>
      </c>
      <c r="D1162" s="5">
        <f>IF(ActiveDatabase=Standby,Secondary!D1162,Primary!D1162)</f>
        <v>0</v>
      </c>
      <c r="E1162" s="6">
        <f>IF(ActiveDatabase=Standby,Secondary!E1162,Primary!E1162)</f>
        <v>0</v>
      </c>
      <c r="F1162" s="10">
        <f>IF(ActiveDatabase=Standby,Secondary!F1162,Primary!F1162)</f>
        <v>0</v>
      </c>
      <c r="G1162" s="10">
        <f>IF(ActiveDatabase=Standby,Secondary!G1162,Primary!G1162)</f>
        <v>0</v>
      </c>
      <c r="H1162" s="10">
        <f>IF(ActiveDatabase=Standby,Secondary!H1162,Primary!H1162)</f>
        <v>0</v>
      </c>
      <c r="I1162" s="13">
        <f>IF(ActiveDatabase=Standby,Secondary!I1162,Primary!I1162)</f>
        <v>0</v>
      </c>
      <c r="J1162" s="13">
        <f>IF(ActiveDatabase=Standby,Secondary!J1162,Primary!J1162)</f>
        <v>0</v>
      </c>
      <c r="K1162" s="13">
        <f>IF(ActiveDatabase=Standby,Secondary!K1162,Primary!K1162)</f>
        <v>0</v>
      </c>
      <c r="L1162" s="13">
        <f>IF(ActiveDatabase=Standby,Secondary!L1162,Primary!L1162)</f>
        <v>0</v>
      </c>
      <c r="M1162" s="7">
        <f>IF(ActiveDatabase=Standby,Secondary!M1162,Primary!M1162)</f>
        <v>0</v>
      </c>
      <c r="N1162" s="10">
        <f>IF(ActiveDatabase=Standby,Secondary!N1162,Primary!N1162)</f>
        <v>0</v>
      </c>
      <c r="O1162" s="10">
        <f>IF(ActiveDatabase=Standby,Secondary!O1162,Primary!O1162)</f>
        <v>0</v>
      </c>
      <c r="P1162" s="10">
        <f>IF(ActiveDatabase=Standby,Secondary!P1162,Primary!P1162)</f>
        <v>0</v>
      </c>
      <c r="Q1162" s="6">
        <f>IF(ActiveDatabase=Standby,Secondary!Q1162,Primary!Q1162)</f>
        <v>0</v>
      </c>
      <c r="R1162" s="18">
        <f>IF(ActiveDatabase=Standby,Secondary!R1162,Primary!R1162)</f>
        <v>0</v>
      </c>
      <c r="S1162" s="19">
        <f>IF(ActiveDatabase=Standby,Secondary!S1162,Primary!S1162)</f>
        <v>0</v>
      </c>
      <c r="T1162" s="10">
        <f>IF(ActiveDatabase=Standby,Secondary!T1162,Primary!T1162)</f>
        <v>0</v>
      </c>
      <c r="U1162" s="10">
        <f>IF(ActiveDatabase=Standby,Secondary!U1162,Primary!U1162)</f>
        <v>0</v>
      </c>
      <c r="V1162" s="10">
        <f>IF(ActiveDatabase=Standby,Secondary!V1162,Primary!V1162)</f>
        <v>0</v>
      </c>
      <c r="W1162" s="6">
        <f>IF(ActiveDatabase=Standby,Secondary!W1162,Primary!W1162)</f>
        <v>0</v>
      </c>
      <c r="X1162" s="6">
        <f>IF(ActiveDatabase=Standby,Secondary!X1162,Primary!X1162)</f>
        <v>0</v>
      </c>
      <c r="Y1162" s="7">
        <f>IF(ActiveDatabase=Standby,Secondary!Y1162,Primary!Y1820)</f>
        <v>0</v>
      </c>
      <c r="Z1162" s="7">
        <f>IF(ActiveDatabase=Standby,Secondary!Z1162,Primary!Z1820)</f>
        <v>0</v>
      </c>
      <c r="AA1162" s="7">
        <f>IF(ActiveDatabase=Standby,Secondary!AA1162,Primary!AA1820)</f>
        <v>0</v>
      </c>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row>
    <row r="1163" customHeight="1" spans="1:59">
      <c r="A1163" s="9">
        <f>IF(ActiveDatabase=Standby,Secondary!A1163,Primary!A1163)</f>
        <v>0</v>
      </c>
      <c r="B1163" s="5">
        <f>IF(ActiveDatabase=Standby,Secondary!B1163,Primary!B1163)</f>
        <v>0</v>
      </c>
      <c r="C1163" s="5">
        <f>IF(ActiveDatabase=Standby,Secondary!C1163,Primary!C1163)</f>
        <v>0</v>
      </c>
      <c r="D1163" s="5">
        <f>IF(ActiveDatabase=Standby,Secondary!D1163,Primary!D1163)</f>
        <v>0</v>
      </c>
      <c r="E1163" s="6">
        <f>IF(ActiveDatabase=Standby,Secondary!E1163,Primary!E1163)</f>
        <v>0</v>
      </c>
      <c r="F1163" s="10">
        <f>IF(ActiveDatabase=Standby,Secondary!F1163,Primary!F1163)</f>
        <v>0</v>
      </c>
      <c r="G1163" s="10">
        <f>IF(ActiveDatabase=Standby,Secondary!G1163,Primary!G1163)</f>
        <v>0</v>
      </c>
      <c r="H1163" s="10">
        <f>IF(ActiveDatabase=Standby,Secondary!H1163,Primary!H1163)</f>
        <v>0</v>
      </c>
      <c r="I1163" s="13">
        <f>IF(ActiveDatabase=Standby,Secondary!I1163,Primary!I1163)</f>
        <v>0</v>
      </c>
      <c r="J1163" s="13">
        <f>IF(ActiveDatabase=Standby,Secondary!J1163,Primary!J1163)</f>
        <v>0</v>
      </c>
      <c r="K1163" s="13">
        <f>IF(ActiveDatabase=Standby,Secondary!K1163,Primary!K1163)</f>
        <v>0</v>
      </c>
      <c r="L1163" s="13">
        <f>IF(ActiveDatabase=Standby,Secondary!L1163,Primary!L1163)</f>
        <v>0</v>
      </c>
      <c r="M1163" s="7">
        <f>IF(ActiveDatabase=Standby,Secondary!M1163,Primary!M1163)</f>
        <v>0</v>
      </c>
      <c r="N1163" s="10">
        <f>IF(ActiveDatabase=Standby,Secondary!N1163,Primary!N1163)</f>
        <v>0</v>
      </c>
      <c r="O1163" s="10">
        <f>IF(ActiveDatabase=Standby,Secondary!O1163,Primary!O1163)</f>
        <v>0</v>
      </c>
      <c r="P1163" s="10">
        <f>IF(ActiveDatabase=Standby,Secondary!P1163,Primary!P1163)</f>
        <v>0</v>
      </c>
      <c r="Q1163" s="6">
        <f>IF(ActiveDatabase=Standby,Secondary!Q1163,Primary!Q1163)</f>
        <v>0</v>
      </c>
      <c r="R1163" s="18">
        <f>IF(ActiveDatabase=Standby,Secondary!R1163,Primary!R1163)</f>
        <v>0</v>
      </c>
      <c r="S1163" s="19">
        <f>IF(ActiveDatabase=Standby,Secondary!S1163,Primary!S1163)</f>
        <v>0</v>
      </c>
      <c r="T1163" s="10">
        <f>IF(ActiveDatabase=Standby,Secondary!T1163,Primary!T1163)</f>
        <v>0</v>
      </c>
      <c r="U1163" s="10">
        <f>IF(ActiveDatabase=Standby,Secondary!U1163,Primary!U1163)</f>
        <v>0</v>
      </c>
      <c r="V1163" s="10">
        <f>IF(ActiveDatabase=Standby,Secondary!V1163,Primary!V1163)</f>
        <v>0</v>
      </c>
      <c r="W1163" s="6">
        <f>IF(ActiveDatabase=Standby,Secondary!W1163,Primary!W1163)</f>
        <v>0</v>
      </c>
      <c r="X1163" s="6">
        <f>IF(ActiveDatabase=Standby,Secondary!X1163,Primary!X1163)</f>
        <v>0</v>
      </c>
      <c r="Y1163" s="7">
        <f>IF(ActiveDatabase=Standby,Secondary!Y1163,Primary!Y1821)</f>
        <v>0</v>
      </c>
      <c r="Z1163" s="7">
        <f>IF(ActiveDatabase=Standby,Secondary!Z1163,Primary!Z1821)</f>
        <v>0</v>
      </c>
      <c r="AA1163" s="7">
        <f>IF(ActiveDatabase=Standby,Secondary!AA1163,Primary!AA1821)</f>
        <v>0</v>
      </c>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row>
    <row r="1164" customHeight="1" spans="1:59">
      <c r="A1164" s="9">
        <f>IF(ActiveDatabase=Standby,Secondary!A1164,Primary!A1164)</f>
        <v>0</v>
      </c>
      <c r="B1164" s="5">
        <f>IF(ActiveDatabase=Standby,Secondary!B1164,Primary!B1164)</f>
        <v>0</v>
      </c>
      <c r="C1164" s="5">
        <f>IF(ActiveDatabase=Standby,Secondary!C1164,Primary!C1164)</f>
        <v>0</v>
      </c>
      <c r="D1164" s="5">
        <f>IF(ActiveDatabase=Standby,Secondary!D1164,Primary!D1164)</f>
        <v>0</v>
      </c>
      <c r="E1164" s="6">
        <f>IF(ActiveDatabase=Standby,Secondary!E1164,Primary!E1164)</f>
        <v>0</v>
      </c>
      <c r="F1164" s="10">
        <f>IF(ActiveDatabase=Standby,Secondary!F1164,Primary!F1164)</f>
        <v>0</v>
      </c>
      <c r="G1164" s="10">
        <f>IF(ActiveDatabase=Standby,Secondary!G1164,Primary!G1164)</f>
        <v>0</v>
      </c>
      <c r="H1164" s="10">
        <f>IF(ActiveDatabase=Standby,Secondary!H1164,Primary!H1164)</f>
        <v>0</v>
      </c>
      <c r="I1164" s="13">
        <f>IF(ActiveDatabase=Standby,Secondary!I1164,Primary!I1164)</f>
        <v>0</v>
      </c>
      <c r="J1164" s="13">
        <f>IF(ActiveDatabase=Standby,Secondary!J1164,Primary!J1164)</f>
        <v>0</v>
      </c>
      <c r="K1164" s="13">
        <f>IF(ActiveDatabase=Standby,Secondary!K1164,Primary!K1164)</f>
        <v>0</v>
      </c>
      <c r="L1164" s="13">
        <f>IF(ActiveDatabase=Standby,Secondary!L1164,Primary!L1164)</f>
        <v>0</v>
      </c>
      <c r="M1164" s="7">
        <f>IF(ActiveDatabase=Standby,Secondary!M1164,Primary!M1164)</f>
        <v>0</v>
      </c>
      <c r="N1164" s="10">
        <f>IF(ActiveDatabase=Standby,Secondary!N1164,Primary!N1164)</f>
        <v>0</v>
      </c>
      <c r="O1164" s="10">
        <f>IF(ActiveDatabase=Standby,Secondary!O1164,Primary!O1164)</f>
        <v>0</v>
      </c>
      <c r="P1164" s="10">
        <f>IF(ActiveDatabase=Standby,Secondary!P1164,Primary!P1164)</f>
        <v>0</v>
      </c>
      <c r="Q1164" s="6">
        <f>IF(ActiveDatabase=Standby,Secondary!Q1164,Primary!Q1164)</f>
        <v>0</v>
      </c>
      <c r="R1164" s="18">
        <f>IF(ActiveDatabase=Standby,Secondary!R1164,Primary!R1164)</f>
        <v>0</v>
      </c>
      <c r="S1164" s="19">
        <f>IF(ActiveDatabase=Standby,Secondary!S1164,Primary!S1164)</f>
        <v>0</v>
      </c>
      <c r="T1164" s="10">
        <f>IF(ActiveDatabase=Standby,Secondary!T1164,Primary!T1164)</f>
        <v>0</v>
      </c>
      <c r="U1164" s="10">
        <f>IF(ActiveDatabase=Standby,Secondary!U1164,Primary!U1164)</f>
        <v>0</v>
      </c>
      <c r="V1164" s="10">
        <f>IF(ActiveDatabase=Standby,Secondary!V1164,Primary!V1164)</f>
        <v>0</v>
      </c>
      <c r="W1164" s="6">
        <f>IF(ActiveDatabase=Standby,Secondary!W1164,Primary!W1164)</f>
        <v>0</v>
      </c>
      <c r="X1164" s="6">
        <f>IF(ActiveDatabase=Standby,Secondary!X1164,Primary!X1164)</f>
        <v>0</v>
      </c>
      <c r="Y1164" s="7">
        <f>IF(ActiveDatabase=Standby,Secondary!Y1164,Primary!Y1822)</f>
        <v>0</v>
      </c>
      <c r="Z1164" s="7">
        <f>IF(ActiveDatabase=Standby,Secondary!Z1164,Primary!Z1822)</f>
        <v>0</v>
      </c>
      <c r="AA1164" s="7">
        <f>IF(ActiveDatabase=Standby,Secondary!AA1164,Primary!AA1822)</f>
        <v>0</v>
      </c>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row>
    <row r="1165" customHeight="1" spans="1:59">
      <c r="A1165" s="9">
        <f>IF(ActiveDatabase=Standby,Secondary!A1165,Primary!A1165)</f>
        <v>0</v>
      </c>
      <c r="B1165" s="5">
        <f>IF(ActiveDatabase=Standby,Secondary!B1165,Primary!B1165)</f>
        <v>0</v>
      </c>
      <c r="C1165" s="5">
        <f>IF(ActiveDatabase=Standby,Secondary!C1165,Primary!C1165)</f>
        <v>0</v>
      </c>
      <c r="D1165" s="5">
        <f>IF(ActiveDatabase=Standby,Secondary!D1165,Primary!D1165)</f>
        <v>0</v>
      </c>
      <c r="E1165" s="6">
        <f>IF(ActiveDatabase=Standby,Secondary!E1165,Primary!E1165)</f>
        <v>0</v>
      </c>
      <c r="F1165" s="10">
        <f>IF(ActiveDatabase=Standby,Secondary!F1165,Primary!F1165)</f>
        <v>0</v>
      </c>
      <c r="G1165" s="10">
        <f>IF(ActiveDatabase=Standby,Secondary!G1165,Primary!G1165)</f>
        <v>0</v>
      </c>
      <c r="H1165" s="10">
        <f>IF(ActiveDatabase=Standby,Secondary!H1165,Primary!H1165)</f>
        <v>0</v>
      </c>
      <c r="I1165" s="13">
        <f>IF(ActiveDatabase=Standby,Secondary!I1165,Primary!I1165)</f>
        <v>0</v>
      </c>
      <c r="J1165" s="13">
        <f>IF(ActiveDatabase=Standby,Secondary!J1165,Primary!J1165)</f>
        <v>0</v>
      </c>
      <c r="K1165" s="13">
        <f>IF(ActiveDatabase=Standby,Secondary!K1165,Primary!K1165)</f>
        <v>0</v>
      </c>
      <c r="L1165" s="13">
        <f>IF(ActiveDatabase=Standby,Secondary!L1165,Primary!L1165)</f>
        <v>0</v>
      </c>
      <c r="M1165" s="7">
        <f>IF(ActiveDatabase=Standby,Secondary!M1165,Primary!M1165)</f>
        <v>0</v>
      </c>
      <c r="N1165" s="10">
        <f>IF(ActiveDatabase=Standby,Secondary!N1165,Primary!N1165)</f>
        <v>0</v>
      </c>
      <c r="O1165" s="10">
        <f>IF(ActiveDatabase=Standby,Secondary!O1165,Primary!O1165)</f>
        <v>0</v>
      </c>
      <c r="P1165" s="10">
        <f>IF(ActiveDatabase=Standby,Secondary!P1165,Primary!P1165)</f>
        <v>0</v>
      </c>
      <c r="Q1165" s="6">
        <f>IF(ActiveDatabase=Standby,Secondary!Q1165,Primary!Q1165)</f>
        <v>0</v>
      </c>
      <c r="R1165" s="18">
        <f>IF(ActiveDatabase=Standby,Secondary!R1165,Primary!R1165)</f>
        <v>0</v>
      </c>
      <c r="S1165" s="19">
        <f>IF(ActiveDatabase=Standby,Secondary!S1165,Primary!S1165)</f>
        <v>0</v>
      </c>
      <c r="T1165" s="10">
        <f>IF(ActiveDatabase=Standby,Secondary!T1165,Primary!T1165)</f>
        <v>0</v>
      </c>
      <c r="U1165" s="10">
        <f>IF(ActiveDatabase=Standby,Secondary!U1165,Primary!U1165)</f>
        <v>0</v>
      </c>
      <c r="V1165" s="10">
        <f>IF(ActiveDatabase=Standby,Secondary!V1165,Primary!V1165)</f>
        <v>0</v>
      </c>
      <c r="W1165" s="6">
        <f>IF(ActiveDatabase=Standby,Secondary!W1165,Primary!W1165)</f>
        <v>0</v>
      </c>
      <c r="X1165" s="6">
        <f>IF(ActiveDatabase=Standby,Secondary!X1165,Primary!X1165)</f>
        <v>0</v>
      </c>
      <c r="Y1165" s="7">
        <f>IF(ActiveDatabase=Standby,Secondary!Y1165,Primary!Y1823)</f>
        <v>0</v>
      </c>
      <c r="Z1165" s="7">
        <f>IF(ActiveDatabase=Standby,Secondary!Z1165,Primary!Z1823)</f>
        <v>0</v>
      </c>
      <c r="AA1165" s="7">
        <f>IF(ActiveDatabase=Standby,Secondary!AA1165,Primary!AA1823)</f>
        <v>0</v>
      </c>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7"/>
      <c r="BB1165" s="7"/>
      <c r="BC1165" s="7"/>
      <c r="BD1165" s="7"/>
      <c r="BE1165" s="7"/>
      <c r="BF1165" s="7"/>
      <c r="BG1165" s="7"/>
    </row>
    <row r="1166" customHeight="1" spans="1:59">
      <c r="A1166" s="9">
        <f>IF(ActiveDatabase=Standby,Secondary!A1166,Primary!A1166)</f>
        <v>0</v>
      </c>
      <c r="B1166" s="5">
        <f>IF(ActiveDatabase=Standby,Secondary!B1166,Primary!B1166)</f>
        <v>0</v>
      </c>
      <c r="C1166" s="5">
        <f>IF(ActiveDatabase=Standby,Secondary!C1166,Primary!C1166)</f>
        <v>0</v>
      </c>
      <c r="D1166" s="5">
        <f>IF(ActiveDatabase=Standby,Secondary!D1166,Primary!D1166)</f>
        <v>0</v>
      </c>
      <c r="E1166" s="6">
        <f>IF(ActiveDatabase=Standby,Secondary!E1166,Primary!E1166)</f>
        <v>0</v>
      </c>
      <c r="F1166" s="10">
        <f>IF(ActiveDatabase=Standby,Secondary!F1166,Primary!F1166)</f>
        <v>0</v>
      </c>
      <c r="G1166" s="10">
        <f>IF(ActiveDatabase=Standby,Secondary!G1166,Primary!G1166)</f>
        <v>0</v>
      </c>
      <c r="H1166" s="10">
        <f>IF(ActiveDatabase=Standby,Secondary!H1166,Primary!H1166)</f>
        <v>0</v>
      </c>
      <c r="I1166" s="13">
        <f>IF(ActiveDatabase=Standby,Secondary!I1166,Primary!I1166)</f>
        <v>0</v>
      </c>
      <c r="J1166" s="13">
        <f>IF(ActiveDatabase=Standby,Secondary!J1166,Primary!J1166)</f>
        <v>0</v>
      </c>
      <c r="K1166" s="13">
        <f>IF(ActiveDatabase=Standby,Secondary!K1166,Primary!K1166)</f>
        <v>0</v>
      </c>
      <c r="L1166" s="13">
        <f>IF(ActiveDatabase=Standby,Secondary!L1166,Primary!L1166)</f>
        <v>0</v>
      </c>
      <c r="M1166" s="7">
        <f>IF(ActiveDatabase=Standby,Secondary!M1166,Primary!M1166)</f>
        <v>0</v>
      </c>
      <c r="N1166" s="10">
        <f>IF(ActiveDatabase=Standby,Secondary!N1166,Primary!N1166)</f>
        <v>0</v>
      </c>
      <c r="O1166" s="10">
        <f>IF(ActiveDatabase=Standby,Secondary!O1166,Primary!O1166)</f>
        <v>0</v>
      </c>
      <c r="P1166" s="10">
        <f>IF(ActiveDatabase=Standby,Secondary!P1166,Primary!P1166)</f>
        <v>0</v>
      </c>
      <c r="Q1166" s="6">
        <f>IF(ActiveDatabase=Standby,Secondary!Q1166,Primary!Q1166)</f>
        <v>0</v>
      </c>
      <c r="R1166" s="18">
        <f>IF(ActiveDatabase=Standby,Secondary!R1166,Primary!R1166)</f>
        <v>0</v>
      </c>
      <c r="S1166" s="19">
        <f>IF(ActiveDatabase=Standby,Secondary!S1166,Primary!S1166)</f>
        <v>0</v>
      </c>
      <c r="T1166" s="10">
        <f>IF(ActiveDatabase=Standby,Secondary!T1166,Primary!T1166)</f>
        <v>0</v>
      </c>
      <c r="U1166" s="10">
        <f>IF(ActiveDatabase=Standby,Secondary!U1166,Primary!U1166)</f>
        <v>0</v>
      </c>
      <c r="V1166" s="10">
        <f>IF(ActiveDatabase=Standby,Secondary!V1166,Primary!V1166)</f>
        <v>0</v>
      </c>
      <c r="W1166" s="6">
        <f>IF(ActiveDatabase=Standby,Secondary!W1166,Primary!W1166)</f>
        <v>0</v>
      </c>
      <c r="X1166" s="6">
        <f>IF(ActiveDatabase=Standby,Secondary!X1166,Primary!X1166)</f>
        <v>0</v>
      </c>
      <c r="Y1166" s="7">
        <f>IF(ActiveDatabase=Standby,Secondary!Y1166,Primary!Y1824)</f>
        <v>0</v>
      </c>
      <c r="Z1166" s="7">
        <f>IF(ActiveDatabase=Standby,Secondary!Z1166,Primary!Z1824)</f>
        <v>0</v>
      </c>
      <c r="AA1166" s="7">
        <f>IF(ActiveDatabase=Standby,Secondary!AA1166,Primary!AA1824)</f>
        <v>0</v>
      </c>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row>
    <row r="1167" customHeight="1" spans="1:59">
      <c r="A1167" s="9">
        <f>IF(ActiveDatabase=Standby,Secondary!A1167,Primary!A1167)</f>
        <v>0</v>
      </c>
      <c r="B1167" s="5">
        <f>IF(ActiveDatabase=Standby,Secondary!B1167,Primary!B1167)</f>
        <v>0</v>
      </c>
      <c r="C1167" s="5">
        <f>IF(ActiveDatabase=Standby,Secondary!C1167,Primary!C1167)</f>
        <v>0</v>
      </c>
      <c r="D1167" s="5">
        <f>IF(ActiveDatabase=Standby,Secondary!D1167,Primary!D1167)</f>
        <v>0</v>
      </c>
      <c r="E1167" s="6">
        <f>IF(ActiveDatabase=Standby,Secondary!E1167,Primary!E1167)</f>
        <v>0</v>
      </c>
      <c r="F1167" s="10">
        <f>IF(ActiveDatabase=Standby,Secondary!F1167,Primary!F1167)</f>
        <v>0</v>
      </c>
      <c r="G1167" s="10">
        <f>IF(ActiveDatabase=Standby,Secondary!G1167,Primary!G1167)</f>
        <v>0</v>
      </c>
      <c r="H1167" s="10">
        <f>IF(ActiveDatabase=Standby,Secondary!H1167,Primary!H1167)</f>
        <v>0</v>
      </c>
      <c r="I1167" s="13">
        <f>IF(ActiveDatabase=Standby,Secondary!I1167,Primary!I1167)</f>
        <v>0</v>
      </c>
      <c r="J1167" s="13">
        <f>IF(ActiveDatabase=Standby,Secondary!J1167,Primary!J1167)</f>
        <v>0</v>
      </c>
      <c r="K1167" s="13">
        <f>IF(ActiveDatabase=Standby,Secondary!K1167,Primary!K1167)</f>
        <v>0</v>
      </c>
      <c r="L1167" s="13">
        <f>IF(ActiveDatabase=Standby,Secondary!L1167,Primary!L1167)</f>
        <v>0</v>
      </c>
      <c r="M1167" s="7">
        <f>IF(ActiveDatabase=Standby,Secondary!M1167,Primary!M1167)</f>
        <v>0</v>
      </c>
      <c r="N1167" s="10">
        <f>IF(ActiveDatabase=Standby,Secondary!N1167,Primary!N1167)</f>
        <v>0</v>
      </c>
      <c r="O1167" s="10">
        <f>IF(ActiveDatabase=Standby,Secondary!O1167,Primary!O1167)</f>
        <v>0</v>
      </c>
      <c r="P1167" s="10">
        <f>IF(ActiveDatabase=Standby,Secondary!P1167,Primary!P1167)</f>
        <v>0</v>
      </c>
      <c r="Q1167" s="6">
        <f>IF(ActiveDatabase=Standby,Secondary!Q1167,Primary!Q1167)</f>
        <v>0</v>
      </c>
      <c r="R1167" s="18">
        <f>IF(ActiveDatabase=Standby,Secondary!R1167,Primary!R1167)</f>
        <v>0</v>
      </c>
      <c r="S1167" s="19">
        <f>IF(ActiveDatabase=Standby,Secondary!S1167,Primary!S1167)</f>
        <v>0</v>
      </c>
      <c r="T1167" s="10">
        <f>IF(ActiveDatabase=Standby,Secondary!T1167,Primary!T1167)</f>
        <v>0</v>
      </c>
      <c r="U1167" s="10">
        <f>IF(ActiveDatabase=Standby,Secondary!U1167,Primary!U1167)</f>
        <v>0</v>
      </c>
      <c r="V1167" s="10">
        <f>IF(ActiveDatabase=Standby,Secondary!V1167,Primary!V1167)</f>
        <v>0</v>
      </c>
      <c r="W1167" s="6">
        <f>IF(ActiveDatabase=Standby,Secondary!W1167,Primary!W1167)</f>
        <v>0</v>
      </c>
      <c r="X1167" s="6">
        <f>IF(ActiveDatabase=Standby,Secondary!X1167,Primary!X1167)</f>
        <v>0</v>
      </c>
      <c r="Y1167" s="7">
        <f>IF(ActiveDatabase=Standby,Secondary!Y1167,Primary!Y1825)</f>
        <v>0</v>
      </c>
      <c r="Z1167" s="7">
        <f>IF(ActiveDatabase=Standby,Secondary!Z1167,Primary!Z1825)</f>
        <v>0</v>
      </c>
      <c r="AA1167" s="7">
        <f>IF(ActiveDatabase=Standby,Secondary!AA1167,Primary!AA1825)</f>
        <v>0</v>
      </c>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7"/>
      <c r="BD1167" s="7"/>
      <c r="BE1167" s="7"/>
      <c r="BF1167" s="7"/>
      <c r="BG1167" s="7"/>
    </row>
    <row r="1168" customHeight="1" spans="1:59">
      <c r="A1168" s="9">
        <f>IF(ActiveDatabase=Standby,Secondary!A1168,Primary!A1168)</f>
        <v>0</v>
      </c>
      <c r="B1168" s="5">
        <f>IF(ActiveDatabase=Standby,Secondary!B1168,Primary!B1168)</f>
        <v>0</v>
      </c>
      <c r="C1168" s="5">
        <f>IF(ActiveDatabase=Standby,Secondary!C1168,Primary!C1168)</f>
        <v>0</v>
      </c>
      <c r="D1168" s="5">
        <f>IF(ActiveDatabase=Standby,Secondary!D1168,Primary!D1168)</f>
        <v>0</v>
      </c>
      <c r="E1168" s="6">
        <f>IF(ActiveDatabase=Standby,Secondary!E1168,Primary!E1168)</f>
        <v>0</v>
      </c>
      <c r="F1168" s="10">
        <f>IF(ActiveDatabase=Standby,Secondary!F1168,Primary!F1168)</f>
        <v>0</v>
      </c>
      <c r="G1168" s="10">
        <f>IF(ActiveDatabase=Standby,Secondary!G1168,Primary!G1168)</f>
        <v>0</v>
      </c>
      <c r="H1168" s="10">
        <f>IF(ActiveDatabase=Standby,Secondary!H1168,Primary!H1168)</f>
        <v>0</v>
      </c>
      <c r="I1168" s="13">
        <f>IF(ActiveDatabase=Standby,Secondary!I1168,Primary!I1168)</f>
        <v>0</v>
      </c>
      <c r="J1168" s="13">
        <f>IF(ActiveDatabase=Standby,Secondary!J1168,Primary!J1168)</f>
        <v>0</v>
      </c>
      <c r="K1168" s="13">
        <f>IF(ActiveDatabase=Standby,Secondary!K1168,Primary!K1168)</f>
        <v>0</v>
      </c>
      <c r="L1168" s="13">
        <f>IF(ActiveDatabase=Standby,Secondary!L1168,Primary!L1168)</f>
        <v>0</v>
      </c>
      <c r="M1168" s="7">
        <f>IF(ActiveDatabase=Standby,Secondary!M1168,Primary!M1168)</f>
        <v>0</v>
      </c>
      <c r="N1168" s="10">
        <f>IF(ActiveDatabase=Standby,Secondary!N1168,Primary!N1168)</f>
        <v>0</v>
      </c>
      <c r="O1168" s="10">
        <f>IF(ActiveDatabase=Standby,Secondary!O1168,Primary!O1168)</f>
        <v>0</v>
      </c>
      <c r="P1168" s="10">
        <f>IF(ActiveDatabase=Standby,Secondary!P1168,Primary!P1168)</f>
        <v>0</v>
      </c>
      <c r="Q1168" s="6">
        <f>IF(ActiveDatabase=Standby,Secondary!Q1168,Primary!Q1168)</f>
        <v>0</v>
      </c>
      <c r="R1168" s="18">
        <f>IF(ActiveDatabase=Standby,Secondary!R1168,Primary!R1168)</f>
        <v>0</v>
      </c>
      <c r="S1168" s="19">
        <f>IF(ActiveDatabase=Standby,Secondary!S1168,Primary!S1168)</f>
        <v>0</v>
      </c>
      <c r="T1168" s="10">
        <f>IF(ActiveDatabase=Standby,Secondary!T1168,Primary!T1168)</f>
        <v>0</v>
      </c>
      <c r="U1168" s="10">
        <f>IF(ActiveDatabase=Standby,Secondary!U1168,Primary!U1168)</f>
        <v>0</v>
      </c>
      <c r="V1168" s="10">
        <f>IF(ActiveDatabase=Standby,Secondary!V1168,Primary!V1168)</f>
        <v>0</v>
      </c>
      <c r="W1168" s="6">
        <f>IF(ActiveDatabase=Standby,Secondary!W1168,Primary!W1168)</f>
        <v>0</v>
      </c>
      <c r="X1168" s="6">
        <f>IF(ActiveDatabase=Standby,Secondary!X1168,Primary!X1168)</f>
        <v>0</v>
      </c>
      <c r="Y1168" s="7">
        <f>IF(ActiveDatabase=Standby,Secondary!Y1168,Primary!Y1826)</f>
        <v>0</v>
      </c>
      <c r="Z1168" s="7">
        <f>IF(ActiveDatabase=Standby,Secondary!Z1168,Primary!Z1826)</f>
        <v>0</v>
      </c>
      <c r="AA1168" s="7">
        <f>IF(ActiveDatabase=Standby,Secondary!AA1168,Primary!AA1826)</f>
        <v>0</v>
      </c>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row>
    <row r="1169" customHeight="1" spans="1:59">
      <c r="A1169" s="9">
        <f>IF(ActiveDatabase=Standby,Secondary!A1169,Primary!A1169)</f>
        <v>0</v>
      </c>
      <c r="B1169" s="5">
        <f>IF(ActiveDatabase=Standby,Secondary!B1169,Primary!B1169)</f>
        <v>0</v>
      </c>
      <c r="C1169" s="5">
        <f>IF(ActiveDatabase=Standby,Secondary!C1169,Primary!C1169)</f>
        <v>0</v>
      </c>
      <c r="D1169" s="5">
        <f>IF(ActiveDatabase=Standby,Secondary!D1169,Primary!D1169)</f>
        <v>0</v>
      </c>
      <c r="E1169" s="6">
        <f>IF(ActiveDatabase=Standby,Secondary!E1169,Primary!E1169)</f>
        <v>0</v>
      </c>
      <c r="F1169" s="10">
        <f>IF(ActiveDatabase=Standby,Secondary!F1169,Primary!F1169)</f>
        <v>0</v>
      </c>
      <c r="G1169" s="10">
        <f>IF(ActiveDatabase=Standby,Secondary!G1169,Primary!G1169)</f>
        <v>0</v>
      </c>
      <c r="H1169" s="10">
        <f>IF(ActiveDatabase=Standby,Secondary!H1169,Primary!H1169)</f>
        <v>0</v>
      </c>
      <c r="I1169" s="13">
        <f>IF(ActiveDatabase=Standby,Secondary!I1169,Primary!I1169)</f>
        <v>0</v>
      </c>
      <c r="J1169" s="13">
        <f>IF(ActiveDatabase=Standby,Secondary!J1169,Primary!J1169)</f>
        <v>0</v>
      </c>
      <c r="K1169" s="13">
        <f>IF(ActiveDatabase=Standby,Secondary!K1169,Primary!K1169)</f>
        <v>0</v>
      </c>
      <c r="L1169" s="13">
        <f>IF(ActiveDatabase=Standby,Secondary!L1169,Primary!L1169)</f>
        <v>0</v>
      </c>
      <c r="M1169" s="7">
        <f>IF(ActiveDatabase=Standby,Secondary!M1169,Primary!M1169)</f>
        <v>0</v>
      </c>
      <c r="N1169" s="10">
        <f>IF(ActiveDatabase=Standby,Secondary!N1169,Primary!N1169)</f>
        <v>0</v>
      </c>
      <c r="O1169" s="10">
        <f>IF(ActiveDatabase=Standby,Secondary!O1169,Primary!O1169)</f>
        <v>0</v>
      </c>
      <c r="P1169" s="10">
        <f>IF(ActiveDatabase=Standby,Secondary!P1169,Primary!P1169)</f>
        <v>0</v>
      </c>
      <c r="Q1169" s="6">
        <f>IF(ActiveDatabase=Standby,Secondary!Q1169,Primary!Q1169)</f>
        <v>0</v>
      </c>
      <c r="R1169" s="18">
        <f>IF(ActiveDatabase=Standby,Secondary!R1169,Primary!R1169)</f>
        <v>0</v>
      </c>
      <c r="S1169" s="19">
        <f>IF(ActiveDatabase=Standby,Secondary!S1169,Primary!S1169)</f>
        <v>0</v>
      </c>
      <c r="T1169" s="10">
        <f>IF(ActiveDatabase=Standby,Secondary!T1169,Primary!T1169)</f>
        <v>0</v>
      </c>
      <c r="U1169" s="10">
        <f>IF(ActiveDatabase=Standby,Secondary!U1169,Primary!U1169)</f>
        <v>0</v>
      </c>
      <c r="V1169" s="10">
        <f>IF(ActiveDatabase=Standby,Secondary!V1169,Primary!V1169)</f>
        <v>0</v>
      </c>
      <c r="W1169" s="6">
        <f>IF(ActiveDatabase=Standby,Secondary!W1169,Primary!W1169)</f>
        <v>0</v>
      </c>
      <c r="X1169" s="6">
        <f>IF(ActiveDatabase=Standby,Secondary!X1169,Primary!X1169)</f>
        <v>0</v>
      </c>
      <c r="Y1169" s="7">
        <f>IF(ActiveDatabase=Standby,Secondary!Y1169,Primary!Y1827)</f>
        <v>0</v>
      </c>
      <c r="Z1169" s="7">
        <f>IF(ActiveDatabase=Standby,Secondary!Z1169,Primary!Z1827)</f>
        <v>0</v>
      </c>
      <c r="AA1169" s="7">
        <f>IF(ActiveDatabase=Standby,Secondary!AA1169,Primary!AA1827)</f>
        <v>0</v>
      </c>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7"/>
      <c r="BD1169" s="7"/>
      <c r="BE1169" s="7"/>
      <c r="BF1169" s="7"/>
      <c r="BG1169" s="7"/>
    </row>
    <row r="1170" customHeight="1" spans="1:59">
      <c r="A1170" s="9">
        <f>IF(ActiveDatabase=Standby,Secondary!A1170,Primary!A1170)</f>
        <v>0</v>
      </c>
      <c r="B1170" s="5">
        <f>IF(ActiveDatabase=Standby,Secondary!B1170,Primary!B1170)</f>
        <v>0</v>
      </c>
      <c r="C1170" s="5">
        <f>IF(ActiveDatabase=Standby,Secondary!C1170,Primary!C1170)</f>
        <v>0</v>
      </c>
      <c r="D1170" s="5">
        <f>IF(ActiveDatabase=Standby,Secondary!D1170,Primary!D1170)</f>
        <v>0</v>
      </c>
      <c r="E1170" s="6">
        <f>IF(ActiveDatabase=Standby,Secondary!E1170,Primary!E1170)</f>
        <v>0</v>
      </c>
      <c r="F1170" s="10">
        <f>IF(ActiveDatabase=Standby,Secondary!F1170,Primary!F1170)</f>
        <v>0</v>
      </c>
      <c r="G1170" s="10">
        <f>IF(ActiveDatabase=Standby,Secondary!G1170,Primary!G1170)</f>
        <v>0</v>
      </c>
      <c r="H1170" s="10">
        <f>IF(ActiveDatabase=Standby,Secondary!H1170,Primary!H1170)</f>
        <v>0</v>
      </c>
      <c r="I1170" s="13">
        <f>IF(ActiveDatabase=Standby,Secondary!I1170,Primary!I1170)</f>
        <v>0</v>
      </c>
      <c r="J1170" s="13">
        <f>IF(ActiveDatabase=Standby,Secondary!J1170,Primary!J1170)</f>
        <v>0</v>
      </c>
      <c r="K1170" s="13">
        <f>IF(ActiveDatabase=Standby,Secondary!K1170,Primary!K1170)</f>
        <v>0</v>
      </c>
      <c r="L1170" s="13">
        <f>IF(ActiveDatabase=Standby,Secondary!L1170,Primary!L1170)</f>
        <v>0</v>
      </c>
      <c r="M1170" s="7">
        <f>IF(ActiveDatabase=Standby,Secondary!M1170,Primary!M1170)</f>
        <v>0</v>
      </c>
      <c r="N1170" s="10">
        <f>IF(ActiveDatabase=Standby,Secondary!N1170,Primary!N1170)</f>
        <v>0</v>
      </c>
      <c r="O1170" s="10">
        <f>IF(ActiveDatabase=Standby,Secondary!O1170,Primary!O1170)</f>
        <v>0</v>
      </c>
      <c r="P1170" s="10">
        <f>IF(ActiveDatabase=Standby,Secondary!P1170,Primary!P1170)</f>
        <v>0</v>
      </c>
      <c r="Q1170" s="6">
        <f>IF(ActiveDatabase=Standby,Secondary!Q1170,Primary!Q1170)</f>
        <v>0</v>
      </c>
      <c r="R1170" s="18">
        <f>IF(ActiveDatabase=Standby,Secondary!R1170,Primary!R1170)</f>
        <v>0</v>
      </c>
      <c r="S1170" s="19">
        <f>IF(ActiveDatabase=Standby,Secondary!S1170,Primary!S1170)</f>
        <v>0</v>
      </c>
      <c r="T1170" s="10">
        <f>IF(ActiveDatabase=Standby,Secondary!T1170,Primary!T1170)</f>
        <v>0</v>
      </c>
      <c r="U1170" s="10">
        <f>IF(ActiveDatabase=Standby,Secondary!U1170,Primary!U1170)</f>
        <v>0</v>
      </c>
      <c r="V1170" s="10">
        <f>IF(ActiveDatabase=Standby,Secondary!V1170,Primary!V1170)</f>
        <v>0</v>
      </c>
      <c r="W1170" s="6">
        <f>IF(ActiveDatabase=Standby,Secondary!W1170,Primary!W1170)</f>
        <v>0</v>
      </c>
      <c r="X1170" s="6">
        <f>IF(ActiveDatabase=Standby,Secondary!X1170,Primary!X1170)</f>
        <v>0</v>
      </c>
      <c r="Y1170" s="7">
        <f>IF(ActiveDatabase=Standby,Secondary!Y1170,Primary!Y1828)</f>
        <v>0</v>
      </c>
      <c r="Z1170" s="7">
        <f>IF(ActiveDatabase=Standby,Secondary!Z1170,Primary!Z1828)</f>
        <v>0</v>
      </c>
      <c r="AA1170" s="7">
        <f>IF(ActiveDatabase=Standby,Secondary!AA1170,Primary!AA1828)</f>
        <v>0</v>
      </c>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7"/>
      <c r="BB1170" s="7"/>
      <c r="BC1170" s="7"/>
      <c r="BD1170" s="7"/>
      <c r="BE1170" s="7"/>
      <c r="BF1170" s="7"/>
      <c r="BG1170" s="7"/>
    </row>
    <row r="1171" customHeight="1" spans="1:59">
      <c r="A1171" s="9">
        <f>IF(ActiveDatabase=Standby,Secondary!A1171,Primary!A1171)</f>
        <v>0</v>
      </c>
      <c r="B1171" s="5">
        <f>IF(ActiveDatabase=Standby,Secondary!B1171,Primary!B1171)</f>
        <v>0</v>
      </c>
      <c r="C1171" s="5">
        <f>IF(ActiveDatabase=Standby,Secondary!C1171,Primary!C1171)</f>
        <v>0</v>
      </c>
      <c r="D1171" s="5">
        <f>IF(ActiveDatabase=Standby,Secondary!D1171,Primary!D1171)</f>
        <v>0</v>
      </c>
      <c r="E1171" s="6">
        <f>IF(ActiveDatabase=Standby,Secondary!E1171,Primary!E1171)</f>
        <v>0</v>
      </c>
      <c r="F1171" s="10">
        <f>IF(ActiveDatabase=Standby,Secondary!F1171,Primary!F1171)</f>
        <v>0</v>
      </c>
      <c r="G1171" s="10">
        <f>IF(ActiveDatabase=Standby,Secondary!G1171,Primary!G1171)</f>
        <v>0</v>
      </c>
      <c r="H1171" s="10">
        <f>IF(ActiveDatabase=Standby,Secondary!H1171,Primary!H1171)</f>
        <v>0</v>
      </c>
      <c r="I1171" s="13">
        <f>IF(ActiveDatabase=Standby,Secondary!I1171,Primary!I1171)</f>
        <v>0</v>
      </c>
      <c r="J1171" s="13">
        <f>IF(ActiveDatabase=Standby,Secondary!J1171,Primary!J1171)</f>
        <v>0</v>
      </c>
      <c r="K1171" s="13">
        <f>IF(ActiveDatabase=Standby,Secondary!K1171,Primary!K1171)</f>
        <v>0</v>
      </c>
      <c r="L1171" s="13">
        <f>IF(ActiveDatabase=Standby,Secondary!L1171,Primary!L1171)</f>
        <v>0</v>
      </c>
      <c r="M1171" s="7">
        <f>IF(ActiveDatabase=Standby,Secondary!M1171,Primary!M1171)</f>
        <v>0</v>
      </c>
      <c r="N1171" s="10">
        <f>IF(ActiveDatabase=Standby,Secondary!N1171,Primary!N1171)</f>
        <v>0</v>
      </c>
      <c r="O1171" s="10">
        <f>IF(ActiveDatabase=Standby,Secondary!O1171,Primary!O1171)</f>
        <v>0</v>
      </c>
      <c r="P1171" s="10">
        <f>IF(ActiveDatabase=Standby,Secondary!P1171,Primary!P1171)</f>
        <v>0</v>
      </c>
      <c r="Q1171" s="6">
        <f>IF(ActiveDatabase=Standby,Secondary!Q1171,Primary!Q1171)</f>
        <v>0</v>
      </c>
      <c r="R1171" s="18">
        <f>IF(ActiveDatabase=Standby,Secondary!R1171,Primary!R1171)</f>
        <v>0</v>
      </c>
      <c r="S1171" s="19">
        <f>IF(ActiveDatabase=Standby,Secondary!S1171,Primary!S1171)</f>
        <v>0</v>
      </c>
      <c r="T1171" s="10">
        <f>IF(ActiveDatabase=Standby,Secondary!T1171,Primary!T1171)</f>
        <v>0</v>
      </c>
      <c r="U1171" s="10">
        <f>IF(ActiveDatabase=Standby,Secondary!U1171,Primary!U1171)</f>
        <v>0</v>
      </c>
      <c r="V1171" s="10">
        <f>IF(ActiveDatabase=Standby,Secondary!V1171,Primary!V1171)</f>
        <v>0</v>
      </c>
      <c r="W1171" s="6">
        <f>IF(ActiveDatabase=Standby,Secondary!W1171,Primary!W1171)</f>
        <v>0</v>
      </c>
      <c r="X1171" s="6">
        <f>IF(ActiveDatabase=Standby,Secondary!X1171,Primary!X1171)</f>
        <v>0</v>
      </c>
      <c r="Y1171" s="7">
        <f>IF(ActiveDatabase=Standby,Secondary!Y1171,Primary!Y1829)</f>
        <v>0</v>
      </c>
      <c r="Z1171" s="7">
        <f>IF(ActiveDatabase=Standby,Secondary!Z1171,Primary!Z1829)</f>
        <v>0</v>
      </c>
      <c r="AA1171" s="7">
        <f>IF(ActiveDatabase=Standby,Secondary!AA1171,Primary!AA1829)</f>
        <v>0</v>
      </c>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row>
    <row r="1172" customHeight="1" spans="1:59">
      <c r="A1172" s="9">
        <f>IF(ActiveDatabase=Standby,Secondary!A1172,Primary!A1172)</f>
        <v>0</v>
      </c>
      <c r="B1172" s="5">
        <f>IF(ActiveDatabase=Standby,Secondary!B1172,Primary!B1172)</f>
        <v>0</v>
      </c>
      <c r="C1172" s="5">
        <f>IF(ActiveDatabase=Standby,Secondary!C1172,Primary!C1172)</f>
        <v>0</v>
      </c>
      <c r="D1172" s="5">
        <f>IF(ActiveDatabase=Standby,Secondary!D1172,Primary!D1172)</f>
        <v>0</v>
      </c>
      <c r="E1172" s="6">
        <f>IF(ActiveDatabase=Standby,Secondary!E1172,Primary!E1172)</f>
        <v>0</v>
      </c>
      <c r="F1172" s="10">
        <f>IF(ActiveDatabase=Standby,Secondary!F1172,Primary!F1172)</f>
        <v>0</v>
      </c>
      <c r="G1172" s="10">
        <f>IF(ActiveDatabase=Standby,Secondary!G1172,Primary!G1172)</f>
        <v>0</v>
      </c>
      <c r="H1172" s="10">
        <f>IF(ActiveDatabase=Standby,Secondary!H1172,Primary!H1172)</f>
        <v>0</v>
      </c>
      <c r="I1172" s="13">
        <f>IF(ActiveDatabase=Standby,Secondary!I1172,Primary!I1172)</f>
        <v>0</v>
      </c>
      <c r="J1172" s="13">
        <f>IF(ActiveDatabase=Standby,Secondary!J1172,Primary!J1172)</f>
        <v>0</v>
      </c>
      <c r="K1172" s="13">
        <f>IF(ActiveDatabase=Standby,Secondary!K1172,Primary!K1172)</f>
        <v>0</v>
      </c>
      <c r="L1172" s="13">
        <f>IF(ActiveDatabase=Standby,Secondary!L1172,Primary!L1172)</f>
        <v>0</v>
      </c>
      <c r="M1172" s="7">
        <f>IF(ActiveDatabase=Standby,Secondary!M1172,Primary!M1172)</f>
        <v>0</v>
      </c>
      <c r="N1172" s="10">
        <f>IF(ActiveDatabase=Standby,Secondary!N1172,Primary!N1172)</f>
        <v>0</v>
      </c>
      <c r="O1172" s="10">
        <f>IF(ActiveDatabase=Standby,Secondary!O1172,Primary!O1172)</f>
        <v>0</v>
      </c>
      <c r="P1172" s="10">
        <f>IF(ActiveDatabase=Standby,Secondary!P1172,Primary!P1172)</f>
        <v>0</v>
      </c>
      <c r="Q1172" s="6">
        <f>IF(ActiveDatabase=Standby,Secondary!Q1172,Primary!Q1172)</f>
        <v>0</v>
      </c>
      <c r="R1172" s="18">
        <f>IF(ActiveDatabase=Standby,Secondary!R1172,Primary!R1172)</f>
        <v>0</v>
      </c>
      <c r="S1172" s="19">
        <f>IF(ActiveDatabase=Standby,Secondary!S1172,Primary!S1172)</f>
        <v>0</v>
      </c>
      <c r="T1172" s="10">
        <f>IF(ActiveDatabase=Standby,Secondary!T1172,Primary!T1172)</f>
        <v>0</v>
      </c>
      <c r="U1172" s="10">
        <f>IF(ActiveDatabase=Standby,Secondary!U1172,Primary!U1172)</f>
        <v>0</v>
      </c>
      <c r="V1172" s="10">
        <f>IF(ActiveDatabase=Standby,Secondary!V1172,Primary!V1172)</f>
        <v>0</v>
      </c>
      <c r="W1172" s="6">
        <f>IF(ActiveDatabase=Standby,Secondary!W1172,Primary!W1172)</f>
        <v>0</v>
      </c>
      <c r="X1172" s="6">
        <f>IF(ActiveDatabase=Standby,Secondary!X1172,Primary!X1172)</f>
        <v>0</v>
      </c>
      <c r="Y1172" s="7">
        <f>IF(ActiveDatabase=Standby,Secondary!Y1172,Primary!Y1830)</f>
        <v>0</v>
      </c>
      <c r="Z1172" s="7">
        <f>IF(ActiveDatabase=Standby,Secondary!Z1172,Primary!Z1830)</f>
        <v>0</v>
      </c>
      <c r="AA1172" s="7">
        <f>IF(ActiveDatabase=Standby,Secondary!AA1172,Primary!AA1830)</f>
        <v>0</v>
      </c>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row>
    <row r="1173" customHeight="1" spans="1:59">
      <c r="A1173" s="9">
        <f>IF(ActiveDatabase=Standby,Secondary!A1173,Primary!A1173)</f>
        <v>0</v>
      </c>
      <c r="B1173" s="5">
        <f>IF(ActiveDatabase=Standby,Secondary!B1173,Primary!B1173)</f>
        <v>0</v>
      </c>
      <c r="C1173" s="5">
        <f>IF(ActiveDatabase=Standby,Secondary!C1173,Primary!C1173)</f>
        <v>0</v>
      </c>
      <c r="D1173" s="5">
        <f>IF(ActiveDatabase=Standby,Secondary!D1173,Primary!D1173)</f>
        <v>0</v>
      </c>
      <c r="E1173" s="6">
        <f>IF(ActiveDatabase=Standby,Secondary!E1173,Primary!E1173)</f>
        <v>0</v>
      </c>
      <c r="F1173" s="10">
        <f>IF(ActiveDatabase=Standby,Secondary!F1173,Primary!F1173)</f>
        <v>0</v>
      </c>
      <c r="G1173" s="10">
        <f>IF(ActiveDatabase=Standby,Secondary!G1173,Primary!G1173)</f>
        <v>0</v>
      </c>
      <c r="H1173" s="10">
        <f>IF(ActiveDatabase=Standby,Secondary!H1173,Primary!H1173)</f>
        <v>0</v>
      </c>
      <c r="I1173" s="13">
        <f>IF(ActiveDatabase=Standby,Secondary!I1173,Primary!I1173)</f>
        <v>0</v>
      </c>
      <c r="J1173" s="13">
        <f>IF(ActiveDatabase=Standby,Secondary!J1173,Primary!J1173)</f>
        <v>0</v>
      </c>
      <c r="K1173" s="13">
        <f>IF(ActiveDatabase=Standby,Secondary!K1173,Primary!K1173)</f>
        <v>0</v>
      </c>
      <c r="L1173" s="13">
        <f>IF(ActiveDatabase=Standby,Secondary!L1173,Primary!L1173)</f>
        <v>0</v>
      </c>
      <c r="M1173" s="7">
        <f>IF(ActiveDatabase=Standby,Secondary!M1173,Primary!M1173)</f>
        <v>0</v>
      </c>
      <c r="N1173" s="10">
        <f>IF(ActiveDatabase=Standby,Secondary!N1173,Primary!N1173)</f>
        <v>0</v>
      </c>
      <c r="O1173" s="10">
        <f>IF(ActiveDatabase=Standby,Secondary!O1173,Primary!O1173)</f>
        <v>0</v>
      </c>
      <c r="P1173" s="10">
        <f>IF(ActiveDatabase=Standby,Secondary!P1173,Primary!P1173)</f>
        <v>0</v>
      </c>
      <c r="Q1173" s="6">
        <f>IF(ActiveDatabase=Standby,Secondary!Q1173,Primary!Q1173)</f>
        <v>0</v>
      </c>
      <c r="R1173" s="18">
        <f>IF(ActiveDatabase=Standby,Secondary!R1173,Primary!R1173)</f>
        <v>0</v>
      </c>
      <c r="S1173" s="19">
        <f>IF(ActiveDatabase=Standby,Secondary!S1173,Primary!S1173)</f>
        <v>0</v>
      </c>
      <c r="T1173" s="10">
        <f>IF(ActiveDatabase=Standby,Secondary!T1173,Primary!T1173)</f>
        <v>0</v>
      </c>
      <c r="U1173" s="10">
        <f>IF(ActiveDatabase=Standby,Secondary!U1173,Primary!U1173)</f>
        <v>0</v>
      </c>
      <c r="V1173" s="10">
        <f>IF(ActiveDatabase=Standby,Secondary!V1173,Primary!V1173)</f>
        <v>0</v>
      </c>
      <c r="W1173" s="6">
        <f>IF(ActiveDatabase=Standby,Secondary!W1173,Primary!W1173)</f>
        <v>0</v>
      </c>
      <c r="X1173" s="6">
        <f>IF(ActiveDatabase=Standby,Secondary!X1173,Primary!X1173)</f>
        <v>0</v>
      </c>
      <c r="Y1173" s="7">
        <f>IF(ActiveDatabase=Standby,Secondary!Y1173,Primary!Y1831)</f>
        <v>0</v>
      </c>
      <c r="Z1173" s="7">
        <f>IF(ActiveDatabase=Standby,Secondary!Z1173,Primary!Z1831)</f>
        <v>0</v>
      </c>
      <c r="AA1173" s="7">
        <f>IF(ActiveDatabase=Standby,Secondary!AA1173,Primary!AA1831)</f>
        <v>0</v>
      </c>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row>
    <row r="1174" customHeight="1" spans="1:59">
      <c r="A1174" s="9">
        <f>IF(ActiveDatabase=Standby,Secondary!A1174,Primary!A1174)</f>
        <v>0</v>
      </c>
      <c r="B1174" s="5">
        <f>IF(ActiveDatabase=Standby,Secondary!B1174,Primary!B1174)</f>
        <v>0</v>
      </c>
      <c r="C1174" s="5">
        <f>IF(ActiveDatabase=Standby,Secondary!C1174,Primary!C1174)</f>
        <v>0</v>
      </c>
      <c r="D1174" s="5">
        <f>IF(ActiveDatabase=Standby,Secondary!D1174,Primary!D1174)</f>
        <v>0</v>
      </c>
      <c r="E1174" s="6">
        <f>IF(ActiveDatabase=Standby,Secondary!E1174,Primary!E1174)</f>
        <v>0</v>
      </c>
      <c r="F1174" s="10">
        <f>IF(ActiveDatabase=Standby,Secondary!F1174,Primary!F1174)</f>
        <v>0</v>
      </c>
      <c r="G1174" s="10">
        <f>IF(ActiveDatabase=Standby,Secondary!G1174,Primary!G1174)</f>
        <v>0</v>
      </c>
      <c r="H1174" s="10">
        <f>IF(ActiveDatabase=Standby,Secondary!H1174,Primary!H1174)</f>
        <v>0</v>
      </c>
      <c r="I1174" s="13">
        <f>IF(ActiveDatabase=Standby,Secondary!I1174,Primary!I1174)</f>
        <v>0</v>
      </c>
      <c r="J1174" s="13">
        <f>IF(ActiveDatabase=Standby,Secondary!J1174,Primary!J1174)</f>
        <v>0</v>
      </c>
      <c r="K1174" s="13">
        <f>IF(ActiveDatabase=Standby,Secondary!K1174,Primary!K1174)</f>
        <v>0</v>
      </c>
      <c r="L1174" s="13">
        <f>IF(ActiveDatabase=Standby,Secondary!L1174,Primary!L1174)</f>
        <v>0</v>
      </c>
      <c r="M1174" s="7">
        <f>IF(ActiveDatabase=Standby,Secondary!M1174,Primary!M1174)</f>
        <v>0</v>
      </c>
      <c r="N1174" s="10">
        <f>IF(ActiveDatabase=Standby,Secondary!N1174,Primary!N1174)</f>
        <v>0</v>
      </c>
      <c r="O1174" s="10">
        <f>IF(ActiveDatabase=Standby,Secondary!O1174,Primary!O1174)</f>
        <v>0</v>
      </c>
      <c r="P1174" s="10">
        <f>IF(ActiveDatabase=Standby,Secondary!P1174,Primary!P1174)</f>
        <v>0</v>
      </c>
      <c r="Q1174" s="6">
        <f>IF(ActiveDatabase=Standby,Secondary!Q1174,Primary!Q1174)</f>
        <v>0</v>
      </c>
      <c r="R1174" s="18">
        <f>IF(ActiveDatabase=Standby,Secondary!R1174,Primary!R1174)</f>
        <v>0</v>
      </c>
      <c r="S1174" s="19">
        <f>IF(ActiveDatabase=Standby,Secondary!S1174,Primary!S1174)</f>
        <v>0</v>
      </c>
      <c r="T1174" s="10">
        <f>IF(ActiveDatabase=Standby,Secondary!T1174,Primary!T1174)</f>
        <v>0</v>
      </c>
      <c r="U1174" s="10">
        <f>IF(ActiveDatabase=Standby,Secondary!U1174,Primary!U1174)</f>
        <v>0</v>
      </c>
      <c r="V1174" s="10">
        <f>IF(ActiveDatabase=Standby,Secondary!V1174,Primary!V1174)</f>
        <v>0</v>
      </c>
      <c r="W1174" s="6">
        <f>IF(ActiveDatabase=Standby,Secondary!W1174,Primary!W1174)</f>
        <v>0</v>
      </c>
      <c r="X1174" s="6">
        <f>IF(ActiveDatabase=Standby,Secondary!X1174,Primary!X1174)</f>
        <v>0</v>
      </c>
      <c r="Y1174" s="7">
        <f>IF(ActiveDatabase=Standby,Secondary!Y1174,Primary!Y1832)</f>
        <v>0</v>
      </c>
      <c r="Z1174" s="7">
        <f>IF(ActiveDatabase=Standby,Secondary!Z1174,Primary!Z1832)</f>
        <v>0</v>
      </c>
      <c r="AA1174" s="7">
        <f>IF(ActiveDatabase=Standby,Secondary!AA1174,Primary!AA1832)</f>
        <v>0</v>
      </c>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row>
    <row r="1175" customHeight="1" spans="1:59">
      <c r="A1175" s="9">
        <f>IF(ActiveDatabase=Standby,Secondary!A1175,Primary!A1175)</f>
        <v>0</v>
      </c>
      <c r="B1175" s="5">
        <f>IF(ActiveDatabase=Standby,Secondary!B1175,Primary!B1175)</f>
        <v>0</v>
      </c>
      <c r="C1175" s="5">
        <f>IF(ActiveDatabase=Standby,Secondary!C1175,Primary!C1175)</f>
        <v>0</v>
      </c>
      <c r="D1175" s="5">
        <f>IF(ActiveDatabase=Standby,Secondary!D1175,Primary!D1175)</f>
        <v>0</v>
      </c>
      <c r="E1175" s="6">
        <f>IF(ActiveDatabase=Standby,Secondary!E1175,Primary!E1175)</f>
        <v>0</v>
      </c>
      <c r="F1175" s="10">
        <f>IF(ActiveDatabase=Standby,Secondary!F1175,Primary!F1175)</f>
        <v>0</v>
      </c>
      <c r="G1175" s="10">
        <f>IF(ActiveDatabase=Standby,Secondary!G1175,Primary!G1175)</f>
        <v>0</v>
      </c>
      <c r="H1175" s="10">
        <f>IF(ActiveDatabase=Standby,Secondary!H1175,Primary!H1175)</f>
        <v>0</v>
      </c>
      <c r="I1175" s="13">
        <f>IF(ActiveDatabase=Standby,Secondary!I1175,Primary!I1175)</f>
        <v>0</v>
      </c>
      <c r="J1175" s="13">
        <f>IF(ActiveDatabase=Standby,Secondary!J1175,Primary!J1175)</f>
        <v>0</v>
      </c>
      <c r="K1175" s="13">
        <f>IF(ActiveDatabase=Standby,Secondary!K1175,Primary!K1175)</f>
        <v>0</v>
      </c>
      <c r="L1175" s="13">
        <f>IF(ActiveDatabase=Standby,Secondary!L1175,Primary!L1175)</f>
        <v>0</v>
      </c>
      <c r="M1175" s="7">
        <f>IF(ActiveDatabase=Standby,Secondary!M1175,Primary!M1175)</f>
        <v>0</v>
      </c>
      <c r="N1175" s="10">
        <f>IF(ActiveDatabase=Standby,Secondary!N1175,Primary!N1175)</f>
        <v>0</v>
      </c>
      <c r="O1175" s="10">
        <f>IF(ActiveDatabase=Standby,Secondary!O1175,Primary!O1175)</f>
        <v>0</v>
      </c>
      <c r="P1175" s="10">
        <f>IF(ActiveDatabase=Standby,Secondary!P1175,Primary!P1175)</f>
        <v>0</v>
      </c>
      <c r="Q1175" s="6">
        <f>IF(ActiveDatabase=Standby,Secondary!Q1175,Primary!Q1175)</f>
        <v>0</v>
      </c>
      <c r="R1175" s="18">
        <f>IF(ActiveDatabase=Standby,Secondary!R1175,Primary!R1175)</f>
        <v>0</v>
      </c>
      <c r="S1175" s="19">
        <f>IF(ActiveDatabase=Standby,Secondary!S1175,Primary!S1175)</f>
        <v>0</v>
      </c>
      <c r="T1175" s="10">
        <f>IF(ActiveDatabase=Standby,Secondary!T1175,Primary!T1175)</f>
        <v>0</v>
      </c>
      <c r="U1175" s="10">
        <f>IF(ActiveDatabase=Standby,Secondary!U1175,Primary!U1175)</f>
        <v>0</v>
      </c>
      <c r="V1175" s="10">
        <f>IF(ActiveDatabase=Standby,Secondary!V1175,Primary!V1175)</f>
        <v>0</v>
      </c>
      <c r="W1175" s="6">
        <f>IF(ActiveDatabase=Standby,Secondary!W1175,Primary!W1175)</f>
        <v>0</v>
      </c>
      <c r="X1175" s="6">
        <f>IF(ActiveDatabase=Standby,Secondary!X1175,Primary!X1175)</f>
        <v>0</v>
      </c>
      <c r="Y1175" s="7">
        <f>IF(ActiveDatabase=Standby,Secondary!Y1175,Primary!Y1833)</f>
        <v>0</v>
      </c>
      <c r="Z1175" s="7">
        <f>IF(ActiveDatabase=Standby,Secondary!Z1175,Primary!Z1833)</f>
        <v>0</v>
      </c>
      <c r="AA1175" s="7">
        <f>IF(ActiveDatabase=Standby,Secondary!AA1175,Primary!AA1833)</f>
        <v>0</v>
      </c>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row>
    <row r="1176" customHeight="1" spans="1:59">
      <c r="A1176" s="9">
        <f>IF(ActiveDatabase=Standby,Secondary!A1176,Primary!A1176)</f>
        <v>0</v>
      </c>
      <c r="B1176" s="5">
        <f>IF(ActiveDatabase=Standby,Secondary!B1176,Primary!B1176)</f>
        <v>0</v>
      </c>
      <c r="C1176" s="5">
        <f>IF(ActiveDatabase=Standby,Secondary!C1176,Primary!C1176)</f>
        <v>0</v>
      </c>
      <c r="D1176" s="5">
        <f>IF(ActiveDatabase=Standby,Secondary!D1176,Primary!D1176)</f>
        <v>0</v>
      </c>
      <c r="E1176" s="6">
        <f>IF(ActiveDatabase=Standby,Secondary!E1176,Primary!E1176)</f>
        <v>0</v>
      </c>
      <c r="F1176" s="10">
        <f>IF(ActiveDatabase=Standby,Secondary!F1176,Primary!F1176)</f>
        <v>0</v>
      </c>
      <c r="G1176" s="10">
        <f>IF(ActiveDatabase=Standby,Secondary!G1176,Primary!G1176)</f>
        <v>0</v>
      </c>
      <c r="H1176" s="10">
        <f>IF(ActiveDatabase=Standby,Secondary!H1176,Primary!H1176)</f>
        <v>0</v>
      </c>
      <c r="I1176" s="13">
        <f>IF(ActiveDatabase=Standby,Secondary!I1176,Primary!I1176)</f>
        <v>0</v>
      </c>
      <c r="J1176" s="13">
        <f>IF(ActiveDatabase=Standby,Secondary!J1176,Primary!J1176)</f>
        <v>0</v>
      </c>
      <c r="K1176" s="13">
        <f>IF(ActiveDatabase=Standby,Secondary!K1176,Primary!K1176)</f>
        <v>0</v>
      </c>
      <c r="L1176" s="13">
        <f>IF(ActiveDatabase=Standby,Secondary!L1176,Primary!L1176)</f>
        <v>0</v>
      </c>
      <c r="M1176" s="7">
        <f>IF(ActiveDatabase=Standby,Secondary!M1176,Primary!M1176)</f>
        <v>0</v>
      </c>
      <c r="N1176" s="10">
        <f>IF(ActiveDatabase=Standby,Secondary!N1176,Primary!N1176)</f>
        <v>0</v>
      </c>
      <c r="O1176" s="10">
        <f>IF(ActiveDatabase=Standby,Secondary!O1176,Primary!O1176)</f>
        <v>0</v>
      </c>
      <c r="P1176" s="10">
        <f>IF(ActiveDatabase=Standby,Secondary!P1176,Primary!P1176)</f>
        <v>0</v>
      </c>
      <c r="Q1176" s="6">
        <f>IF(ActiveDatabase=Standby,Secondary!Q1176,Primary!Q1176)</f>
        <v>0</v>
      </c>
      <c r="R1176" s="18">
        <f>IF(ActiveDatabase=Standby,Secondary!R1176,Primary!R1176)</f>
        <v>0</v>
      </c>
      <c r="S1176" s="19">
        <f>IF(ActiveDatabase=Standby,Secondary!S1176,Primary!S1176)</f>
        <v>0</v>
      </c>
      <c r="T1176" s="10">
        <f>IF(ActiveDatabase=Standby,Secondary!T1176,Primary!T1176)</f>
        <v>0</v>
      </c>
      <c r="U1176" s="10">
        <f>IF(ActiveDatabase=Standby,Secondary!U1176,Primary!U1176)</f>
        <v>0</v>
      </c>
      <c r="V1176" s="10">
        <f>IF(ActiveDatabase=Standby,Secondary!V1176,Primary!V1176)</f>
        <v>0</v>
      </c>
      <c r="W1176" s="6">
        <f>IF(ActiveDatabase=Standby,Secondary!W1176,Primary!W1176)</f>
        <v>0</v>
      </c>
      <c r="X1176" s="6">
        <f>IF(ActiveDatabase=Standby,Secondary!X1176,Primary!X1176)</f>
        <v>0</v>
      </c>
      <c r="Y1176" s="7">
        <f>IF(ActiveDatabase=Standby,Secondary!Y1176,Primary!Y1834)</f>
        <v>0</v>
      </c>
      <c r="Z1176" s="7">
        <f>IF(ActiveDatabase=Standby,Secondary!Z1176,Primary!Z1834)</f>
        <v>0</v>
      </c>
      <c r="AA1176" s="7">
        <f>IF(ActiveDatabase=Standby,Secondary!AA1176,Primary!AA1834)</f>
        <v>0</v>
      </c>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row>
    <row r="1177" customHeight="1" spans="1:59">
      <c r="A1177" s="9">
        <f>IF(ActiveDatabase=Standby,Secondary!A1177,Primary!A1177)</f>
        <v>0</v>
      </c>
      <c r="B1177" s="5">
        <f>IF(ActiveDatabase=Standby,Secondary!B1177,Primary!B1177)</f>
        <v>0</v>
      </c>
      <c r="C1177" s="5">
        <f>IF(ActiveDatabase=Standby,Secondary!C1177,Primary!C1177)</f>
        <v>0</v>
      </c>
      <c r="D1177" s="5">
        <f>IF(ActiveDatabase=Standby,Secondary!D1177,Primary!D1177)</f>
        <v>0</v>
      </c>
      <c r="E1177" s="6">
        <f>IF(ActiveDatabase=Standby,Secondary!E1177,Primary!E1177)</f>
        <v>0</v>
      </c>
      <c r="F1177" s="10">
        <f>IF(ActiveDatabase=Standby,Secondary!F1177,Primary!F1177)</f>
        <v>0</v>
      </c>
      <c r="G1177" s="10">
        <f>IF(ActiveDatabase=Standby,Secondary!G1177,Primary!G1177)</f>
        <v>0</v>
      </c>
      <c r="H1177" s="10">
        <f>IF(ActiveDatabase=Standby,Secondary!H1177,Primary!H1177)</f>
        <v>0</v>
      </c>
      <c r="I1177" s="13">
        <f>IF(ActiveDatabase=Standby,Secondary!I1177,Primary!I1177)</f>
        <v>0</v>
      </c>
      <c r="J1177" s="13">
        <f>IF(ActiveDatabase=Standby,Secondary!J1177,Primary!J1177)</f>
        <v>0</v>
      </c>
      <c r="K1177" s="13">
        <f>IF(ActiveDatabase=Standby,Secondary!K1177,Primary!K1177)</f>
        <v>0</v>
      </c>
      <c r="L1177" s="13">
        <f>IF(ActiveDatabase=Standby,Secondary!L1177,Primary!L1177)</f>
        <v>0</v>
      </c>
      <c r="M1177" s="7">
        <f>IF(ActiveDatabase=Standby,Secondary!M1177,Primary!M1177)</f>
        <v>0</v>
      </c>
      <c r="N1177" s="10">
        <f>IF(ActiveDatabase=Standby,Secondary!N1177,Primary!N1177)</f>
        <v>0</v>
      </c>
      <c r="O1177" s="10">
        <f>IF(ActiveDatabase=Standby,Secondary!O1177,Primary!O1177)</f>
        <v>0</v>
      </c>
      <c r="P1177" s="10">
        <f>IF(ActiveDatabase=Standby,Secondary!P1177,Primary!P1177)</f>
        <v>0</v>
      </c>
      <c r="Q1177" s="6">
        <f>IF(ActiveDatabase=Standby,Secondary!Q1177,Primary!Q1177)</f>
        <v>0</v>
      </c>
      <c r="R1177" s="18">
        <f>IF(ActiveDatabase=Standby,Secondary!R1177,Primary!R1177)</f>
        <v>0</v>
      </c>
      <c r="S1177" s="19">
        <f>IF(ActiveDatabase=Standby,Secondary!S1177,Primary!S1177)</f>
        <v>0</v>
      </c>
      <c r="T1177" s="10">
        <f>IF(ActiveDatabase=Standby,Secondary!T1177,Primary!T1177)</f>
        <v>0</v>
      </c>
      <c r="U1177" s="10">
        <f>IF(ActiveDatabase=Standby,Secondary!U1177,Primary!U1177)</f>
        <v>0</v>
      </c>
      <c r="V1177" s="10">
        <f>IF(ActiveDatabase=Standby,Secondary!V1177,Primary!V1177)</f>
        <v>0</v>
      </c>
      <c r="W1177" s="6">
        <f>IF(ActiveDatabase=Standby,Secondary!W1177,Primary!W1177)</f>
        <v>0</v>
      </c>
      <c r="X1177" s="6">
        <f>IF(ActiveDatabase=Standby,Secondary!X1177,Primary!X1177)</f>
        <v>0</v>
      </c>
      <c r="Y1177" s="7">
        <f>IF(ActiveDatabase=Standby,Secondary!Y1177,Primary!Y1835)</f>
        <v>0</v>
      </c>
      <c r="Z1177" s="7">
        <f>IF(ActiveDatabase=Standby,Secondary!Z1177,Primary!Z1835)</f>
        <v>0</v>
      </c>
      <c r="AA1177" s="7">
        <f>IF(ActiveDatabase=Standby,Secondary!AA1177,Primary!AA1835)</f>
        <v>0</v>
      </c>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row>
    <row r="1178" customHeight="1" spans="1:59">
      <c r="A1178" s="9">
        <f>IF(ActiveDatabase=Standby,Secondary!A1178,Primary!A1178)</f>
        <v>0</v>
      </c>
      <c r="B1178" s="5">
        <f>IF(ActiveDatabase=Standby,Secondary!B1178,Primary!B1178)</f>
        <v>0</v>
      </c>
      <c r="C1178" s="5">
        <f>IF(ActiveDatabase=Standby,Secondary!C1178,Primary!C1178)</f>
        <v>0</v>
      </c>
      <c r="D1178" s="5">
        <f>IF(ActiveDatabase=Standby,Secondary!D1178,Primary!D1178)</f>
        <v>0</v>
      </c>
      <c r="E1178" s="6">
        <f>IF(ActiveDatabase=Standby,Secondary!E1178,Primary!E1178)</f>
        <v>0</v>
      </c>
      <c r="F1178" s="10">
        <f>IF(ActiveDatabase=Standby,Secondary!F1178,Primary!F1178)</f>
        <v>0</v>
      </c>
      <c r="G1178" s="10">
        <f>IF(ActiveDatabase=Standby,Secondary!G1178,Primary!G1178)</f>
        <v>0</v>
      </c>
      <c r="H1178" s="10">
        <f>IF(ActiveDatabase=Standby,Secondary!H1178,Primary!H1178)</f>
        <v>0</v>
      </c>
      <c r="I1178" s="13">
        <f>IF(ActiveDatabase=Standby,Secondary!I1178,Primary!I1178)</f>
        <v>0</v>
      </c>
      <c r="J1178" s="13">
        <f>IF(ActiveDatabase=Standby,Secondary!J1178,Primary!J1178)</f>
        <v>0</v>
      </c>
      <c r="K1178" s="13">
        <f>IF(ActiveDatabase=Standby,Secondary!K1178,Primary!K1178)</f>
        <v>0</v>
      </c>
      <c r="L1178" s="13">
        <f>IF(ActiveDatabase=Standby,Secondary!L1178,Primary!L1178)</f>
        <v>0</v>
      </c>
      <c r="M1178" s="7">
        <f>IF(ActiveDatabase=Standby,Secondary!M1178,Primary!M1178)</f>
        <v>0</v>
      </c>
      <c r="N1178" s="10">
        <f>IF(ActiveDatabase=Standby,Secondary!N1178,Primary!N1178)</f>
        <v>0</v>
      </c>
      <c r="O1178" s="10">
        <f>IF(ActiveDatabase=Standby,Secondary!O1178,Primary!O1178)</f>
        <v>0</v>
      </c>
      <c r="P1178" s="10">
        <f>IF(ActiveDatabase=Standby,Secondary!P1178,Primary!P1178)</f>
        <v>0</v>
      </c>
      <c r="Q1178" s="6">
        <f>IF(ActiveDatabase=Standby,Secondary!Q1178,Primary!Q1178)</f>
        <v>0</v>
      </c>
      <c r="R1178" s="18">
        <f>IF(ActiveDatabase=Standby,Secondary!R1178,Primary!R1178)</f>
        <v>0</v>
      </c>
      <c r="S1178" s="19">
        <f>IF(ActiveDatabase=Standby,Secondary!S1178,Primary!S1178)</f>
        <v>0</v>
      </c>
      <c r="T1178" s="10">
        <f>IF(ActiveDatabase=Standby,Secondary!T1178,Primary!T1178)</f>
        <v>0</v>
      </c>
      <c r="U1178" s="10">
        <f>IF(ActiveDatabase=Standby,Secondary!U1178,Primary!U1178)</f>
        <v>0</v>
      </c>
      <c r="V1178" s="10">
        <f>IF(ActiveDatabase=Standby,Secondary!V1178,Primary!V1178)</f>
        <v>0</v>
      </c>
      <c r="W1178" s="6">
        <f>IF(ActiveDatabase=Standby,Secondary!W1178,Primary!W1178)</f>
        <v>0</v>
      </c>
      <c r="X1178" s="6">
        <f>IF(ActiveDatabase=Standby,Secondary!X1178,Primary!X1178)</f>
        <v>0</v>
      </c>
      <c r="Y1178" s="7">
        <f>IF(ActiveDatabase=Standby,Secondary!Y1178,Primary!Y1836)</f>
        <v>0</v>
      </c>
      <c r="Z1178" s="7">
        <f>IF(ActiveDatabase=Standby,Secondary!Z1178,Primary!Z1836)</f>
        <v>0</v>
      </c>
      <c r="AA1178" s="7">
        <f>IF(ActiveDatabase=Standby,Secondary!AA1178,Primary!AA1836)</f>
        <v>0</v>
      </c>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row>
    <row r="1179" customHeight="1" spans="1:59">
      <c r="A1179" s="9">
        <f>IF(ActiveDatabase=Standby,Secondary!A1179,Primary!A1179)</f>
        <v>0</v>
      </c>
      <c r="B1179" s="5">
        <f>IF(ActiveDatabase=Standby,Secondary!B1179,Primary!B1179)</f>
        <v>0</v>
      </c>
      <c r="C1179" s="5">
        <f>IF(ActiveDatabase=Standby,Secondary!C1179,Primary!C1179)</f>
        <v>0</v>
      </c>
      <c r="D1179" s="5">
        <f>IF(ActiveDatabase=Standby,Secondary!D1179,Primary!D1179)</f>
        <v>0</v>
      </c>
      <c r="E1179" s="6">
        <f>IF(ActiveDatabase=Standby,Secondary!E1179,Primary!E1179)</f>
        <v>0</v>
      </c>
      <c r="F1179" s="10">
        <f>IF(ActiveDatabase=Standby,Secondary!F1179,Primary!F1179)</f>
        <v>0</v>
      </c>
      <c r="G1179" s="10">
        <f>IF(ActiveDatabase=Standby,Secondary!G1179,Primary!G1179)</f>
        <v>0</v>
      </c>
      <c r="H1179" s="10">
        <f>IF(ActiveDatabase=Standby,Secondary!H1179,Primary!H1179)</f>
        <v>0</v>
      </c>
      <c r="I1179" s="13">
        <f>IF(ActiveDatabase=Standby,Secondary!I1179,Primary!I1179)</f>
        <v>0</v>
      </c>
      <c r="J1179" s="13">
        <f>IF(ActiveDatabase=Standby,Secondary!J1179,Primary!J1179)</f>
        <v>0</v>
      </c>
      <c r="K1179" s="13">
        <f>IF(ActiveDatabase=Standby,Secondary!K1179,Primary!K1179)</f>
        <v>0</v>
      </c>
      <c r="L1179" s="13">
        <f>IF(ActiveDatabase=Standby,Secondary!L1179,Primary!L1179)</f>
        <v>0</v>
      </c>
      <c r="M1179" s="7">
        <f>IF(ActiveDatabase=Standby,Secondary!M1179,Primary!M1179)</f>
        <v>0</v>
      </c>
      <c r="N1179" s="10">
        <f>IF(ActiveDatabase=Standby,Secondary!N1179,Primary!N1179)</f>
        <v>0</v>
      </c>
      <c r="O1179" s="10">
        <f>IF(ActiveDatabase=Standby,Secondary!O1179,Primary!O1179)</f>
        <v>0</v>
      </c>
      <c r="P1179" s="10">
        <f>IF(ActiveDatabase=Standby,Secondary!P1179,Primary!P1179)</f>
        <v>0</v>
      </c>
      <c r="Q1179" s="6">
        <f>IF(ActiveDatabase=Standby,Secondary!Q1179,Primary!Q1179)</f>
        <v>0</v>
      </c>
      <c r="R1179" s="18">
        <f>IF(ActiveDatabase=Standby,Secondary!R1179,Primary!R1179)</f>
        <v>0</v>
      </c>
      <c r="S1179" s="19">
        <f>IF(ActiveDatabase=Standby,Secondary!S1179,Primary!S1179)</f>
        <v>0</v>
      </c>
      <c r="T1179" s="10">
        <f>IF(ActiveDatabase=Standby,Secondary!T1179,Primary!T1179)</f>
        <v>0</v>
      </c>
      <c r="U1179" s="10">
        <f>IF(ActiveDatabase=Standby,Secondary!U1179,Primary!U1179)</f>
        <v>0</v>
      </c>
      <c r="V1179" s="10">
        <f>IF(ActiveDatabase=Standby,Secondary!V1179,Primary!V1179)</f>
        <v>0</v>
      </c>
      <c r="W1179" s="6">
        <f>IF(ActiveDatabase=Standby,Secondary!W1179,Primary!W1179)</f>
        <v>0</v>
      </c>
      <c r="X1179" s="6">
        <f>IF(ActiveDatabase=Standby,Secondary!X1179,Primary!X1179)</f>
        <v>0</v>
      </c>
      <c r="Y1179" s="7">
        <f>IF(ActiveDatabase=Standby,Secondary!Y1179,Primary!Y1837)</f>
        <v>0</v>
      </c>
      <c r="Z1179" s="7">
        <f>IF(ActiveDatabase=Standby,Secondary!Z1179,Primary!Z1837)</f>
        <v>0</v>
      </c>
      <c r="AA1179" s="7">
        <f>IF(ActiveDatabase=Standby,Secondary!AA1179,Primary!AA1837)</f>
        <v>0</v>
      </c>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7"/>
      <c r="BB1179" s="7"/>
      <c r="BC1179" s="7"/>
      <c r="BD1179" s="7"/>
      <c r="BE1179" s="7"/>
      <c r="BF1179" s="7"/>
      <c r="BG1179" s="7"/>
    </row>
    <row r="1180" customHeight="1" spans="1:59">
      <c r="A1180" s="9">
        <f>IF(ActiveDatabase=Standby,Secondary!A1180,Primary!A1180)</f>
        <v>0</v>
      </c>
      <c r="B1180" s="5">
        <f>IF(ActiveDatabase=Standby,Secondary!B1180,Primary!B1180)</f>
        <v>0</v>
      </c>
      <c r="C1180" s="5">
        <f>IF(ActiveDatabase=Standby,Secondary!C1180,Primary!C1180)</f>
        <v>0</v>
      </c>
      <c r="D1180" s="5">
        <f>IF(ActiveDatabase=Standby,Secondary!D1180,Primary!D1180)</f>
        <v>0</v>
      </c>
      <c r="E1180" s="6">
        <f>IF(ActiveDatabase=Standby,Secondary!E1180,Primary!E1180)</f>
        <v>0</v>
      </c>
      <c r="F1180" s="10">
        <f>IF(ActiveDatabase=Standby,Secondary!F1180,Primary!F1180)</f>
        <v>0</v>
      </c>
      <c r="G1180" s="10">
        <f>IF(ActiveDatabase=Standby,Secondary!G1180,Primary!G1180)</f>
        <v>0</v>
      </c>
      <c r="H1180" s="10">
        <f>IF(ActiveDatabase=Standby,Secondary!H1180,Primary!H1180)</f>
        <v>0</v>
      </c>
      <c r="I1180" s="13">
        <f>IF(ActiveDatabase=Standby,Secondary!I1180,Primary!I1180)</f>
        <v>0</v>
      </c>
      <c r="J1180" s="13">
        <f>IF(ActiveDatabase=Standby,Secondary!J1180,Primary!J1180)</f>
        <v>0</v>
      </c>
      <c r="K1180" s="13">
        <f>IF(ActiveDatabase=Standby,Secondary!K1180,Primary!K1180)</f>
        <v>0</v>
      </c>
      <c r="L1180" s="13">
        <f>IF(ActiveDatabase=Standby,Secondary!L1180,Primary!L1180)</f>
        <v>0</v>
      </c>
      <c r="M1180" s="7">
        <f>IF(ActiveDatabase=Standby,Secondary!M1180,Primary!M1180)</f>
        <v>0</v>
      </c>
      <c r="N1180" s="10">
        <f>IF(ActiveDatabase=Standby,Secondary!N1180,Primary!N1180)</f>
        <v>0</v>
      </c>
      <c r="O1180" s="10">
        <f>IF(ActiveDatabase=Standby,Secondary!O1180,Primary!O1180)</f>
        <v>0</v>
      </c>
      <c r="P1180" s="10">
        <f>IF(ActiveDatabase=Standby,Secondary!P1180,Primary!P1180)</f>
        <v>0</v>
      </c>
      <c r="Q1180" s="6">
        <f>IF(ActiveDatabase=Standby,Secondary!Q1180,Primary!Q1180)</f>
        <v>0</v>
      </c>
      <c r="R1180" s="18">
        <f>IF(ActiveDatabase=Standby,Secondary!R1180,Primary!R1180)</f>
        <v>0</v>
      </c>
      <c r="S1180" s="19">
        <f>IF(ActiveDatabase=Standby,Secondary!S1180,Primary!S1180)</f>
        <v>0</v>
      </c>
      <c r="T1180" s="10">
        <f>IF(ActiveDatabase=Standby,Secondary!T1180,Primary!T1180)</f>
        <v>0</v>
      </c>
      <c r="U1180" s="10">
        <f>IF(ActiveDatabase=Standby,Secondary!U1180,Primary!U1180)</f>
        <v>0</v>
      </c>
      <c r="V1180" s="10">
        <f>IF(ActiveDatabase=Standby,Secondary!V1180,Primary!V1180)</f>
        <v>0</v>
      </c>
      <c r="W1180" s="6">
        <f>IF(ActiveDatabase=Standby,Secondary!W1180,Primary!W1180)</f>
        <v>0</v>
      </c>
      <c r="X1180" s="6">
        <f>IF(ActiveDatabase=Standby,Secondary!X1180,Primary!X1180)</f>
        <v>0</v>
      </c>
      <c r="Y1180" s="7">
        <f>IF(ActiveDatabase=Standby,Secondary!Y1180,Primary!Y1838)</f>
        <v>0</v>
      </c>
      <c r="Z1180" s="7">
        <f>IF(ActiveDatabase=Standby,Secondary!Z1180,Primary!Z1838)</f>
        <v>0</v>
      </c>
      <c r="AA1180" s="7">
        <f>IF(ActiveDatabase=Standby,Secondary!AA1180,Primary!AA1838)</f>
        <v>0</v>
      </c>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7"/>
      <c r="BD1180" s="7"/>
      <c r="BE1180" s="7"/>
      <c r="BF1180" s="7"/>
      <c r="BG1180" s="7"/>
    </row>
    <row r="1181" customHeight="1" spans="1:59">
      <c r="A1181" s="9">
        <f>IF(ActiveDatabase=Standby,Secondary!A1181,Primary!A1181)</f>
        <v>0</v>
      </c>
      <c r="B1181" s="5">
        <f>IF(ActiveDatabase=Standby,Secondary!B1181,Primary!B1181)</f>
        <v>0</v>
      </c>
      <c r="C1181" s="5">
        <f>IF(ActiveDatabase=Standby,Secondary!C1181,Primary!C1181)</f>
        <v>0</v>
      </c>
      <c r="D1181" s="5">
        <f>IF(ActiveDatabase=Standby,Secondary!D1181,Primary!D1181)</f>
        <v>0</v>
      </c>
      <c r="E1181" s="6">
        <f>IF(ActiveDatabase=Standby,Secondary!E1181,Primary!E1181)</f>
        <v>0</v>
      </c>
      <c r="F1181" s="10">
        <f>IF(ActiveDatabase=Standby,Secondary!F1181,Primary!F1181)</f>
        <v>0</v>
      </c>
      <c r="G1181" s="10">
        <f>IF(ActiveDatabase=Standby,Secondary!G1181,Primary!G1181)</f>
        <v>0</v>
      </c>
      <c r="H1181" s="10">
        <f>IF(ActiveDatabase=Standby,Secondary!H1181,Primary!H1181)</f>
        <v>0</v>
      </c>
      <c r="I1181" s="13">
        <f>IF(ActiveDatabase=Standby,Secondary!I1181,Primary!I1181)</f>
        <v>0</v>
      </c>
      <c r="J1181" s="13">
        <f>IF(ActiveDatabase=Standby,Secondary!J1181,Primary!J1181)</f>
        <v>0</v>
      </c>
      <c r="K1181" s="13">
        <f>IF(ActiveDatabase=Standby,Secondary!K1181,Primary!K1181)</f>
        <v>0</v>
      </c>
      <c r="L1181" s="13">
        <f>IF(ActiveDatabase=Standby,Secondary!L1181,Primary!L1181)</f>
        <v>0</v>
      </c>
      <c r="M1181" s="7">
        <f>IF(ActiveDatabase=Standby,Secondary!M1181,Primary!M1181)</f>
        <v>0</v>
      </c>
      <c r="N1181" s="10">
        <f>IF(ActiveDatabase=Standby,Secondary!N1181,Primary!N1181)</f>
        <v>0</v>
      </c>
      <c r="O1181" s="10">
        <f>IF(ActiveDatabase=Standby,Secondary!O1181,Primary!O1181)</f>
        <v>0</v>
      </c>
      <c r="P1181" s="10">
        <f>IF(ActiveDatabase=Standby,Secondary!P1181,Primary!P1181)</f>
        <v>0</v>
      </c>
      <c r="Q1181" s="6">
        <f>IF(ActiveDatabase=Standby,Secondary!Q1181,Primary!Q1181)</f>
        <v>0</v>
      </c>
      <c r="R1181" s="18">
        <f>IF(ActiveDatabase=Standby,Secondary!R1181,Primary!R1181)</f>
        <v>0</v>
      </c>
      <c r="S1181" s="19">
        <f>IF(ActiveDatabase=Standby,Secondary!S1181,Primary!S1181)</f>
        <v>0</v>
      </c>
      <c r="T1181" s="10">
        <f>IF(ActiveDatabase=Standby,Secondary!T1181,Primary!T1181)</f>
        <v>0</v>
      </c>
      <c r="U1181" s="10">
        <f>IF(ActiveDatabase=Standby,Secondary!U1181,Primary!U1181)</f>
        <v>0</v>
      </c>
      <c r="V1181" s="10">
        <f>IF(ActiveDatabase=Standby,Secondary!V1181,Primary!V1181)</f>
        <v>0</v>
      </c>
      <c r="W1181" s="6">
        <f>IF(ActiveDatabase=Standby,Secondary!W1181,Primary!W1181)</f>
        <v>0</v>
      </c>
      <c r="X1181" s="6">
        <f>IF(ActiveDatabase=Standby,Secondary!X1181,Primary!X1181)</f>
        <v>0</v>
      </c>
      <c r="Y1181" s="7">
        <f>IF(ActiveDatabase=Standby,Secondary!Y1181,Primary!Y1839)</f>
        <v>0</v>
      </c>
      <c r="Z1181" s="7">
        <f>IF(ActiveDatabase=Standby,Secondary!Z1181,Primary!Z1839)</f>
        <v>0</v>
      </c>
      <c r="AA1181" s="7">
        <f>IF(ActiveDatabase=Standby,Secondary!AA1181,Primary!AA1839)</f>
        <v>0</v>
      </c>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7"/>
      <c r="BB1181" s="7"/>
      <c r="BC1181" s="7"/>
      <c r="BD1181" s="7"/>
      <c r="BE1181" s="7"/>
      <c r="BF1181" s="7"/>
      <c r="BG1181" s="7"/>
    </row>
    <row r="1182" customHeight="1" spans="1:59">
      <c r="A1182" s="9">
        <f>IF(ActiveDatabase=Standby,Secondary!A1182,Primary!A1182)</f>
        <v>0</v>
      </c>
      <c r="B1182" s="5">
        <f>IF(ActiveDatabase=Standby,Secondary!B1182,Primary!B1182)</f>
        <v>0</v>
      </c>
      <c r="C1182" s="5">
        <f>IF(ActiveDatabase=Standby,Secondary!C1182,Primary!C1182)</f>
        <v>0</v>
      </c>
      <c r="D1182" s="5">
        <f>IF(ActiveDatabase=Standby,Secondary!D1182,Primary!D1182)</f>
        <v>0</v>
      </c>
      <c r="E1182" s="6">
        <f>IF(ActiveDatabase=Standby,Secondary!E1182,Primary!E1182)</f>
        <v>0</v>
      </c>
      <c r="F1182" s="10">
        <f>IF(ActiveDatabase=Standby,Secondary!F1182,Primary!F1182)</f>
        <v>0</v>
      </c>
      <c r="G1182" s="10">
        <f>IF(ActiveDatabase=Standby,Secondary!G1182,Primary!G1182)</f>
        <v>0</v>
      </c>
      <c r="H1182" s="10">
        <f>IF(ActiveDatabase=Standby,Secondary!H1182,Primary!H1182)</f>
        <v>0</v>
      </c>
      <c r="I1182" s="13">
        <f>IF(ActiveDatabase=Standby,Secondary!I1182,Primary!I1182)</f>
        <v>0</v>
      </c>
      <c r="J1182" s="13">
        <f>IF(ActiveDatabase=Standby,Secondary!J1182,Primary!J1182)</f>
        <v>0</v>
      </c>
      <c r="K1182" s="13">
        <f>IF(ActiveDatabase=Standby,Secondary!K1182,Primary!K1182)</f>
        <v>0</v>
      </c>
      <c r="L1182" s="13">
        <f>IF(ActiveDatabase=Standby,Secondary!L1182,Primary!L1182)</f>
        <v>0</v>
      </c>
      <c r="M1182" s="7">
        <f>IF(ActiveDatabase=Standby,Secondary!M1182,Primary!M1182)</f>
        <v>0</v>
      </c>
      <c r="N1182" s="10">
        <f>IF(ActiveDatabase=Standby,Secondary!N1182,Primary!N1182)</f>
        <v>0</v>
      </c>
      <c r="O1182" s="10">
        <f>IF(ActiveDatabase=Standby,Secondary!O1182,Primary!O1182)</f>
        <v>0</v>
      </c>
      <c r="P1182" s="10">
        <f>IF(ActiveDatabase=Standby,Secondary!P1182,Primary!P1182)</f>
        <v>0</v>
      </c>
      <c r="Q1182" s="6">
        <f>IF(ActiveDatabase=Standby,Secondary!Q1182,Primary!Q1182)</f>
        <v>0</v>
      </c>
      <c r="R1182" s="18">
        <f>IF(ActiveDatabase=Standby,Secondary!R1182,Primary!R1182)</f>
        <v>0</v>
      </c>
      <c r="S1182" s="19">
        <f>IF(ActiveDatabase=Standby,Secondary!S1182,Primary!S1182)</f>
        <v>0</v>
      </c>
      <c r="T1182" s="10">
        <f>IF(ActiveDatabase=Standby,Secondary!T1182,Primary!T1182)</f>
        <v>0</v>
      </c>
      <c r="U1182" s="10">
        <f>IF(ActiveDatabase=Standby,Secondary!U1182,Primary!U1182)</f>
        <v>0</v>
      </c>
      <c r="V1182" s="10">
        <f>IF(ActiveDatabase=Standby,Secondary!V1182,Primary!V1182)</f>
        <v>0</v>
      </c>
      <c r="W1182" s="6">
        <f>IF(ActiveDatabase=Standby,Secondary!W1182,Primary!W1182)</f>
        <v>0</v>
      </c>
      <c r="X1182" s="6">
        <f>IF(ActiveDatabase=Standby,Secondary!X1182,Primary!X1182)</f>
        <v>0</v>
      </c>
      <c r="Y1182" s="7">
        <f>IF(ActiveDatabase=Standby,Secondary!Y1182,Primary!Y1840)</f>
        <v>0</v>
      </c>
      <c r="Z1182" s="7">
        <f>IF(ActiveDatabase=Standby,Secondary!Z1182,Primary!Z1840)</f>
        <v>0</v>
      </c>
      <c r="AA1182" s="7">
        <f>IF(ActiveDatabase=Standby,Secondary!AA1182,Primary!AA1840)</f>
        <v>0</v>
      </c>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7"/>
      <c r="BD1182" s="7"/>
      <c r="BE1182" s="7"/>
      <c r="BF1182" s="7"/>
      <c r="BG1182" s="7"/>
    </row>
    <row r="1183" customHeight="1" spans="1:59">
      <c r="A1183" s="9">
        <f>IF(ActiveDatabase=Standby,Secondary!A1183,Primary!A1183)</f>
        <v>0</v>
      </c>
      <c r="B1183" s="5">
        <f>IF(ActiveDatabase=Standby,Secondary!B1183,Primary!B1183)</f>
        <v>0</v>
      </c>
      <c r="C1183" s="5">
        <f>IF(ActiveDatabase=Standby,Secondary!C1183,Primary!C1183)</f>
        <v>0</v>
      </c>
      <c r="D1183" s="5">
        <f>IF(ActiveDatabase=Standby,Secondary!D1183,Primary!D1183)</f>
        <v>0</v>
      </c>
      <c r="E1183" s="6">
        <f>IF(ActiveDatabase=Standby,Secondary!E1183,Primary!E1183)</f>
        <v>0</v>
      </c>
      <c r="F1183" s="10">
        <f>IF(ActiveDatabase=Standby,Secondary!F1183,Primary!F1183)</f>
        <v>0</v>
      </c>
      <c r="G1183" s="10">
        <f>IF(ActiveDatabase=Standby,Secondary!G1183,Primary!G1183)</f>
        <v>0</v>
      </c>
      <c r="H1183" s="10">
        <f>IF(ActiveDatabase=Standby,Secondary!H1183,Primary!H1183)</f>
        <v>0</v>
      </c>
      <c r="I1183" s="13">
        <f>IF(ActiveDatabase=Standby,Secondary!I1183,Primary!I1183)</f>
        <v>0</v>
      </c>
      <c r="J1183" s="13">
        <f>IF(ActiveDatabase=Standby,Secondary!J1183,Primary!J1183)</f>
        <v>0</v>
      </c>
      <c r="K1183" s="13">
        <f>IF(ActiveDatabase=Standby,Secondary!K1183,Primary!K1183)</f>
        <v>0</v>
      </c>
      <c r="L1183" s="13">
        <f>IF(ActiveDatabase=Standby,Secondary!L1183,Primary!L1183)</f>
        <v>0</v>
      </c>
      <c r="M1183" s="7">
        <f>IF(ActiveDatabase=Standby,Secondary!M1183,Primary!M1183)</f>
        <v>0</v>
      </c>
      <c r="N1183" s="10">
        <f>IF(ActiveDatabase=Standby,Secondary!N1183,Primary!N1183)</f>
        <v>0</v>
      </c>
      <c r="O1183" s="10">
        <f>IF(ActiveDatabase=Standby,Secondary!O1183,Primary!O1183)</f>
        <v>0</v>
      </c>
      <c r="P1183" s="10">
        <f>IF(ActiveDatabase=Standby,Secondary!P1183,Primary!P1183)</f>
        <v>0</v>
      </c>
      <c r="Q1183" s="6">
        <f>IF(ActiveDatabase=Standby,Secondary!Q1183,Primary!Q1183)</f>
        <v>0</v>
      </c>
      <c r="R1183" s="18">
        <f>IF(ActiveDatabase=Standby,Secondary!R1183,Primary!R1183)</f>
        <v>0</v>
      </c>
      <c r="S1183" s="19">
        <f>IF(ActiveDatabase=Standby,Secondary!S1183,Primary!S1183)</f>
        <v>0</v>
      </c>
      <c r="T1183" s="10">
        <f>IF(ActiveDatabase=Standby,Secondary!T1183,Primary!T1183)</f>
        <v>0</v>
      </c>
      <c r="U1183" s="10">
        <f>IF(ActiveDatabase=Standby,Secondary!U1183,Primary!U1183)</f>
        <v>0</v>
      </c>
      <c r="V1183" s="10">
        <f>IF(ActiveDatabase=Standby,Secondary!V1183,Primary!V1183)</f>
        <v>0</v>
      </c>
      <c r="W1183" s="6">
        <f>IF(ActiveDatabase=Standby,Secondary!W1183,Primary!W1183)</f>
        <v>0</v>
      </c>
      <c r="X1183" s="6">
        <f>IF(ActiveDatabase=Standby,Secondary!X1183,Primary!X1183)</f>
        <v>0</v>
      </c>
      <c r="Y1183" s="7">
        <f>IF(ActiveDatabase=Standby,Secondary!Y1183,Primary!Y1841)</f>
        <v>0</v>
      </c>
      <c r="Z1183" s="7">
        <f>IF(ActiveDatabase=Standby,Secondary!Z1183,Primary!Z1841)</f>
        <v>0</v>
      </c>
      <c r="AA1183" s="7">
        <f>IF(ActiveDatabase=Standby,Secondary!AA1183,Primary!AA1841)</f>
        <v>0</v>
      </c>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row>
    <row r="1184" customHeight="1" spans="1:59">
      <c r="A1184" s="9">
        <f>IF(ActiveDatabase=Standby,Secondary!A1184,Primary!A1184)</f>
        <v>0</v>
      </c>
      <c r="B1184" s="5">
        <f>IF(ActiveDatabase=Standby,Secondary!B1184,Primary!B1184)</f>
        <v>0</v>
      </c>
      <c r="C1184" s="5">
        <f>IF(ActiveDatabase=Standby,Secondary!C1184,Primary!C1184)</f>
        <v>0</v>
      </c>
      <c r="D1184" s="5">
        <f>IF(ActiveDatabase=Standby,Secondary!D1184,Primary!D1184)</f>
        <v>0</v>
      </c>
      <c r="E1184" s="6">
        <f>IF(ActiveDatabase=Standby,Secondary!E1184,Primary!E1184)</f>
        <v>0</v>
      </c>
      <c r="F1184" s="10">
        <f>IF(ActiveDatabase=Standby,Secondary!F1184,Primary!F1184)</f>
        <v>0</v>
      </c>
      <c r="G1184" s="10">
        <f>IF(ActiveDatabase=Standby,Secondary!G1184,Primary!G1184)</f>
        <v>0</v>
      </c>
      <c r="H1184" s="10">
        <f>IF(ActiveDatabase=Standby,Secondary!H1184,Primary!H1184)</f>
        <v>0</v>
      </c>
      <c r="I1184" s="13">
        <f>IF(ActiveDatabase=Standby,Secondary!I1184,Primary!I1184)</f>
        <v>0</v>
      </c>
      <c r="J1184" s="13">
        <f>IF(ActiveDatabase=Standby,Secondary!J1184,Primary!J1184)</f>
        <v>0</v>
      </c>
      <c r="K1184" s="13">
        <f>IF(ActiveDatabase=Standby,Secondary!K1184,Primary!K1184)</f>
        <v>0</v>
      </c>
      <c r="L1184" s="13">
        <f>IF(ActiveDatabase=Standby,Secondary!L1184,Primary!L1184)</f>
        <v>0</v>
      </c>
      <c r="M1184" s="7">
        <f>IF(ActiveDatabase=Standby,Secondary!M1184,Primary!M1184)</f>
        <v>0</v>
      </c>
      <c r="N1184" s="10">
        <f>IF(ActiveDatabase=Standby,Secondary!N1184,Primary!N1184)</f>
        <v>0</v>
      </c>
      <c r="O1184" s="10">
        <f>IF(ActiveDatabase=Standby,Secondary!O1184,Primary!O1184)</f>
        <v>0</v>
      </c>
      <c r="P1184" s="10">
        <f>IF(ActiveDatabase=Standby,Secondary!P1184,Primary!P1184)</f>
        <v>0</v>
      </c>
      <c r="Q1184" s="6">
        <f>IF(ActiveDatabase=Standby,Secondary!Q1184,Primary!Q1184)</f>
        <v>0</v>
      </c>
      <c r="R1184" s="18">
        <f>IF(ActiveDatabase=Standby,Secondary!R1184,Primary!R1184)</f>
        <v>0</v>
      </c>
      <c r="S1184" s="19">
        <f>IF(ActiveDatabase=Standby,Secondary!S1184,Primary!S1184)</f>
        <v>0</v>
      </c>
      <c r="T1184" s="10">
        <f>IF(ActiveDatabase=Standby,Secondary!T1184,Primary!T1184)</f>
        <v>0</v>
      </c>
      <c r="U1184" s="10">
        <f>IF(ActiveDatabase=Standby,Secondary!U1184,Primary!U1184)</f>
        <v>0</v>
      </c>
      <c r="V1184" s="10">
        <f>IF(ActiveDatabase=Standby,Secondary!V1184,Primary!V1184)</f>
        <v>0</v>
      </c>
      <c r="W1184" s="6">
        <f>IF(ActiveDatabase=Standby,Secondary!W1184,Primary!W1184)</f>
        <v>0</v>
      </c>
      <c r="X1184" s="6">
        <f>IF(ActiveDatabase=Standby,Secondary!X1184,Primary!X1184)</f>
        <v>0</v>
      </c>
      <c r="Y1184" s="7">
        <f>IF(ActiveDatabase=Standby,Secondary!Y1184,Primary!Y1842)</f>
        <v>0</v>
      </c>
      <c r="Z1184" s="7">
        <f>IF(ActiveDatabase=Standby,Secondary!Z1184,Primary!Z1842)</f>
        <v>0</v>
      </c>
      <c r="AA1184" s="7">
        <f>IF(ActiveDatabase=Standby,Secondary!AA1184,Primary!AA1842)</f>
        <v>0</v>
      </c>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row>
    <row r="1185" customHeight="1" spans="1:59">
      <c r="A1185" s="9">
        <f>IF(ActiveDatabase=Standby,Secondary!A1185,Primary!A1185)</f>
        <v>0</v>
      </c>
      <c r="B1185" s="5">
        <f>IF(ActiveDatabase=Standby,Secondary!B1185,Primary!B1185)</f>
        <v>0</v>
      </c>
      <c r="C1185" s="5">
        <f>IF(ActiveDatabase=Standby,Secondary!C1185,Primary!C1185)</f>
        <v>0</v>
      </c>
      <c r="D1185" s="5">
        <f>IF(ActiveDatabase=Standby,Secondary!D1185,Primary!D1185)</f>
        <v>0</v>
      </c>
      <c r="E1185" s="6">
        <f>IF(ActiveDatabase=Standby,Secondary!E1185,Primary!E1185)</f>
        <v>0</v>
      </c>
      <c r="F1185" s="10">
        <f>IF(ActiveDatabase=Standby,Secondary!F1185,Primary!F1185)</f>
        <v>0</v>
      </c>
      <c r="G1185" s="10">
        <f>IF(ActiveDatabase=Standby,Secondary!G1185,Primary!G1185)</f>
        <v>0</v>
      </c>
      <c r="H1185" s="10">
        <f>IF(ActiveDatabase=Standby,Secondary!H1185,Primary!H1185)</f>
        <v>0</v>
      </c>
      <c r="I1185" s="13">
        <f>IF(ActiveDatabase=Standby,Secondary!I1185,Primary!I1185)</f>
        <v>0</v>
      </c>
      <c r="J1185" s="13">
        <f>IF(ActiveDatabase=Standby,Secondary!J1185,Primary!J1185)</f>
        <v>0</v>
      </c>
      <c r="K1185" s="13">
        <f>IF(ActiveDatabase=Standby,Secondary!K1185,Primary!K1185)</f>
        <v>0</v>
      </c>
      <c r="L1185" s="13">
        <f>IF(ActiveDatabase=Standby,Secondary!L1185,Primary!L1185)</f>
        <v>0</v>
      </c>
      <c r="M1185" s="7">
        <f>IF(ActiveDatabase=Standby,Secondary!M1185,Primary!M1185)</f>
        <v>0</v>
      </c>
      <c r="N1185" s="10">
        <f>IF(ActiveDatabase=Standby,Secondary!N1185,Primary!N1185)</f>
        <v>0</v>
      </c>
      <c r="O1185" s="10">
        <f>IF(ActiveDatabase=Standby,Secondary!O1185,Primary!O1185)</f>
        <v>0</v>
      </c>
      <c r="P1185" s="10">
        <f>IF(ActiveDatabase=Standby,Secondary!P1185,Primary!P1185)</f>
        <v>0</v>
      </c>
      <c r="Q1185" s="6">
        <f>IF(ActiveDatabase=Standby,Secondary!Q1185,Primary!Q1185)</f>
        <v>0</v>
      </c>
      <c r="R1185" s="18">
        <f>IF(ActiveDatabase=Standby,Secondary!R1185,Primary!R1185)</f>
        <v>0</v>
      </c>
      <c r="S1185" s="19">
        <f>IF(ActiveDatabase=Standby,Secondary!S1185,Primary!S1185)</f>
        <v>0</v>
      </c>
      <c r="T1185" s="10">
        <f>IF(ActiveDatabase=Standby,Secondary!T1185,Primary!T1185)</f>
        <v>0</v>
      </c>
      <c r="U1185" s="10">
        <f>IF(ActiveDatabase=Standby,Secondary!U1185,Primary!U1185)</f>
        <v>0</v>
      </c>
      <c r="V1185" s="10">
        <f>IF(ActiveDatabase=Standby,Secondary!V1185,Primary!V1185)</f>
        <v>0</v>
      </c>
      <c r="W1185" s="6">
        <f>IF(ActiveDatabase=Standby,Secondary!W1185,Primary!W1185)</f>
        <v>0</v>
      </c>
      <c r="X1185" s="6">
        <f>IF(ActiveDatabase=Standby,Secondary!X1185,Primary!X1185)</f>
        <v>0</v>
      </c>
      <c r="Y1185" s="7">
        <f>IF(ActiveDatabase=Standby,Secondary!Y1185,Primary!Y1843)</f>
        <v>0</v>
      </c>
      <c r="Z1185" s="7">
        <f>IF(ActiveDatabase=Standby,Secondary!Z1185,Primary!Z1843)</f>
        <v>0</v>
      </c>
      <c r="AA1185" s="7">
        <f>IF(ActiveDatabase=Standby,Secondary!AA1185,Primary!AA1843)</f>
        <v>0</v>
      </c>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row>
    <row r="1186" customHeight="1" spans="1:59">
      <c r="A1186" s="9">
        <f>IF(ActiveDatabase=Standby,Secondary!A1186,Primary!A1186)</f>
        <v>0</v>
      </c>
      <c r="B1186" s="5">
        <f>IF(ActiveDatabase=Standby,Secondary!B1186,Primary!B1186)</f>
        <v>0</v>
      </c>
      <c r="C1186" s="5">
        <f>IF(ActiveDatabase=Standby,Secondary!C1186,Primary!C1186)</f>
        <v>0</v>
      </c>
      <c r="D1186" s="5">
        <f>IF(ActiveDatabase=Standby,Secondary!D1186,Primary!D1186)</f>
        <v>0</v>
      </c>
      <c r="E1186" s="6">
        <f>IF(ActiveDatabase=Standby,Secondary!E1186,Primary!E1186)</f>
        <v>0</v>
      </c>
      <c r="F1186" s="10">
        <f>IF(ActiveDatabase=Standby,Secondary!F1186,Primary!F1186)</f>
        <v>0</v>
      </c>
      <c r="G1186" s="10">
        <f>IF(ActiveDatabase=Standby,Secondary!G1186,Primary!G1186)</f>
        <v>0</v>
      </c>
      <c r="H1186" s="10">
        <f>IF(ActiveDatabase=Standby,Secondary!H1186,Primary!H1186)</f>
        <v>0</v>
      </c>
      <c r="I1186" s="13">
        <f>IF(ActiveDatabase=Standby,Secondary!I1186,Primary!I1186)</f>
        <v>0</v>
      </c>
      <c r="J1186" s="13">
        <f>IF(ActiveDatabase=Standby,Secondary!J1186,Primary!J1186)</f>
        <v>0</v>
      </c>
      <c r="K1186" s="13">
        <f>IF(ActiveDatabase=Standby,Secondary!K1186,Primary!K1186)</f>
        <v>0</v>
      </c>
      <c r="L1186" s="13">
        <f>IF(ActiveDatabase=Standby,Secondary!L1186,Primary!L1186)</f>
        <v>0</v>
      </c>
      <c r="M1186" s="7">
        <f>IF(ActiveDatabase=Standby,Secondary!M1186,Primary!M1186)</f>
        <v>0</v>
      </c>
      <c r="N1186" s="10">
        <f>IF(ActiveDatabase=Standby,Secondary!N1186,Primary!N1186)</f>
        <v>0</v>
      </c>
      <c r="O1186" s="10">
        <f>IF(ActiveDatabase=Standby,Secondary!O1186,Primary!O1186)</f>
        <v>0</v>
      </c>
      <c r="P1186" s="10">
        <f>IF(ActiveDatabase=Standby,Secondary!P1186,Primary!P1186)</f>
        <v>0</v>
      </c>
      <c r="Q1186" s="6">
        <f>IF(ActiveDatabase=Standby,Secondary!Q1186,Primary!Q1186)</f>
        <v>0</v>
      </c>
      <c r="R1186" s="18">
        <f>IF(ActiveDatabase=Standby,Secondary!R1186,Primary!R1186)</f>
        <v>0</v>
      </c>
      <c r="S1186" s="19">
        <f>IF(ActiveDatabase=Standby,Secondary!S1186,Primary!S1186)</f>
        <v>0</v>
      </c>
      <c r="T1186" s="10">
        <f>IF(ActiveDatabase=Standby,Secondary!T1186,Primary!T1186)</f>
        <v>0</v>
      </c>
      <c r="U1186" s="10">
        <f>IF(ActiveDatabase=Standby,Secondary!U1186,Primary!U1186)</f>
        <v>0</v>
      </c>
      <c r="V1186" s="10">
        <f>IF(ActiveDatabase=Standby,Secondary!V1186,Primary!V1186)</f>
        <v>0</v>
      </c>
      <c r="W1186" s="6">
        <f>IF(ActiveDatabase=Standby,Secondary!W1186,Primary!W1186)</f>
        <v>0</v>
      </c>
      <c r="X1186" s="6">
        <f>IF(ActiveDatabase=Standby,Secondary!X1186,Primary!X1186)</f>
        <v>0</v>
      </c>
      <c r="Y1186" s="7">
        <f>IF(ActiveDatabase=Standby,Secondary!Y1186,Primary!Y1844)</f>
        <v>0</v>
      </c>
      <c r="Z1186" s="7">
        <f>IF(ActiveDatabase=Standby,Secondary!Z1186,Primary!Z1844)</f>
        <v>0</v>
      </c>
      <c r="AA1186" s="7">
        <f>IF(ActiveDatabase=Standby,Secondary!AA1186,Primary!AA1844)</f>
        <v>0</v>
      </c>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row>
    <row r="1187" customHeight="1" spans="1:59">
      <c r="A1187" s="9">
        <f>IF(ActiveDatabase=Standby,Secondary!A1187,Primary!A1187)</f>
        <v>0</v>
      </c>
      <c r="B1187" s="5">
        <f>IF(ActiveDatabase=Standby,Secondary!B1187,Primary!B1187)</f>
        <v>0</v>
      </c>
      <c r="C1187" s="5">
        <f>IF(ActiveDatabase=Standby,Secondary!C1187,Primary!C1187)</f>
        <v>0</v>
      </c>
      <c r="D1187" s="5">
        <f>IF(ActiveDatabase=Standby,Secondary!D1187,Primary!D1187)</f>
        <v>0</v>
      </c>
      <c r="E1187" s="6">
        <f>IF(ActiveDatabase=Standby,Secondary!E1187,Primary!E1187)</f>
        <v>0</v>
      </c>
      <c r="F1187" s="10">
        <f>IF(ActiveDatabase=Standby,Secondary!F1187,Primary!F1187)</f>
        <v>0</v>
      </c>
      <c r="G1187" s="10">
        <f>IF(ActiveDatabase=Standby,Secondary!G1187,Primary!G1187)</f>
        <v>0</v>
      </c>
      <c r="H1187" s="10">
        <f>IF(ActiveDatabase=Standby,Secondary!H1187,Primary!H1187)</f>
        <v>0</v>
      </c>
      <c r="I1187" s="13">
        <f>IF(ActiveDatabase=Standby,Secondary!I1187,Primary!I1187)</f>
        <v>0</v>
      </c>
      <c r="J1187" s="13">
        <f>IF(ActiveDatabase=Standby,Secondary!J1187,Primary!J1187)</f>
        <v>0</v>
      </c>
      <c r="K1187" s="13">
        <f>IF(ActiveDatabase=Standby,Secondary!K1187,Primary!K1187)</f>
        <v>0</v>
      </c>
      <c r="L1187" s="13">
        <f>IF(ActiveDatabase=Standby,Secondary!L1187,Primary!L1187)</f>
        <v>0</v>
      </c>
      <c r="M1187" s="7">
        <f>IF(ActiveDatabase=Standby,Secondary!M1187,Primary!M1187)</f>
        <v>0</v>
      </c>
      <c r="N1187" s="10">
        <f>IF(ActiveDatabase=Standby,Secondary!N1187,Primary!N1187)</f>
        <v>0</v>
      </c>
      <c r="O1187" s="10">
        <f>IF(ActiveDatabase=Standby,Secondary!O1187,Primary!O1187)</f>
        <v>0</v>
      </c>
      <c r="P1187" s="10">
        <f>IF(ActiveDatabase=Standby,Secondary!P1187,Primary!P1187)</f>
        <v>0</v>
      </c>
      <c r="Q1187" s="6">
        <f>IF(ActiveDatabase=Standby,Secondary!Q1187,Primary!Q1187)</f>
        <v>0</v>
      </c>
      <c r="R1187" s="18">
        <f>IF(ActiveDatabase=Standby,Secondary!R1187,Primary!R1187)</f>
        <v>0</v>
      </c>
      <c r="S1187" s="19">
        <f>IF(ActiveDatabase=Standby,Secondary!S1187,Primary!S1187)</f>
        <v>0</v>
      </c>
      <c r="T1187" s="10">
        <f>IF(ActiveDatabase=Standby,Secondary!T1187,Primary!T1187)</f>
        <v>0</v>
      </c>
      <c r="U1187" s="10">
        <f>IF(ActiveDatabase=Standby,Secondary!U1187,Primary!U1187)</f>
        <v>0</v>
      </c>
      <c r="V1187" s="10">
        <f>IF(ActiveDatabase=Standby,Secondary!V1187,Primary!V1187)</f>
        <v>0</v>
      </c>
      <c r="W1187" s="6">
        <f>IF(ActiveDatabase=Standby,Secondary!W1187,Primary!W1187)</f>
        <v>0</v>
      </c>
      <c r="X1187" s="6">
        <f>IF(ActiveDatabase=Standby,Secondary!X1187,Primary!X1187)</f>
        <v>0</v>
      </c>
      <c r="Y1187" s="7">
        <f>IF(ActiveDatabase=Standby,Secondary!Y1187,Primary!Y1845)</f>
        <v>0</v>
      </c>
      <c r="Z1187" s="7">
        <f>IF(ActiveDatabase=Standby,Secondary!Z1187,Primary!Z1845)</f>
        <v>0</v>
      </c>
      <c r="AA1187" s="7">
        <f>IF(ActiveDatabase=Standby,Secondary!AA1187,Primary!AA1845)</f>
        <v>0</v>
      </c>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7"/>
      <c r="BD1187" s="7"/>
      <c r="BE1187" s="7"/>
      <c r="BF1187" s="7"/>
      <c r="BG1187" s="7"/>
    </row>
    <row r="1188" customHeight="1" spans="1:59">
      <c r="A1188" s="9">
        <f>IF(ActiveDatabase=Standby,Secondary!A1188,Primary!A1188)</f>
        <v>0</v>
      </c>
      <c r="B1188" s="5">
        <f>IF(ActiveDatabase=Standby,Secondary!B1188,Primary!B1188)</f>
        <v>0</v>
      </c>
      <c r="C1188" s="5">
        <f>IF(ActiveDatabase=Standby,Secondary!C1188,Primary!C1188)</f>
        <v>0</v>
      </c>
      <c r="D1188" s="5">
        <f>IF(ActiveDatabase=Standby,Secondary!D1188,Primary!D1188)</f>
        <v>0</v>
      </c>
      <c r="E1188" s="6">
        <f>IF(ActiveDatabase=Standby,Secondary!E1188,Primary!E1188)</f>
        <v>0</v>
      </c>
      <c r="F1188" s="10">
        <f>IF(ActiveDatabase=Standby,Secondary!F1188,Primary!F1188)</f>
        <v>0</v>
      </c>
      <c r="G1188" s="10">
        <f>IF(ActiveDatabase=Standby,Secondary!G1188,Primary!G1188)</f>
        <v>0</v>
      </c>
      <c r="H1188" s="10">
        <f>IF(ActiveDatabase=Standby,Secondary!H1188,Primary!H1188)</f>
        <v>0</v>
      </c>
      <c r="I1188" s="13">
        <f>IF(ActiveDatabase=Standby,Secondary!I1188,Primary!I1188)</f>
        <v>0</v>
      </c>
      <c r="J1188" s="13">
        <f>IF(ActiveDatabase=Standby,Secondary!J1188,Primary!J1188)</f>
        <v>0</v>
      </c>
      <c r="K1188" s="13">
        <f>IF(ActiveDatabase=Standby,Secondary!K1188,Primary!K1188)</f>
        <v>0</v>
      </c>
      <c r="L1188" s="13">
        <f>IF(ActiveDatabase=Standby,Secondary!L1188,Primary!L1188)</f>
        <v>0</v>
      </c>
      <c r="M1188" s="7">
        <f>IF(ActiveDatabase=Standby,Secondary!M1188,Primary!M1188)</f>
        <v>0</v>
      </c>
      <c r="N1188" s="10">
        <f>IF(ActiveDatabase=Standby,Secondary!N1188,Primary!N1188)</f>
        <v>0</v>
      </c>
      <c r="O1188" s="10">
        <f>IF(ActiveDatabase=Standby,Secondary!O1188,Primary!O1188)</f>
        <v>0</v>
      </c>
      <c r="P1188" s="10">
        <f>IF(ActiveDatabase=Standby,Secondary!P1188,Primary!P1188)</f>
        <v>0</v>
      </c>
      <c r="Q1188" s="6">
        <f>IF(ActiveDatabase=Standby,Secondary!Q1188,Primary!Q1188)</f>
        <v>0</v>
      </c>
      <c r="R1188" s="18">
        <f>IF(ActiveDatabase=Standby,Secondary!R1188,Primary!R1188)</f>
        <v>0</v>
      </c>
      <c r="S1188" s="19">
        <f>IF(ActiveDatabase=Standby,Secondary!S1188,Primary!S1188)</f>
        <v>0</v>
      </c>
      <c r="T1188" s="10">
        <f>IF(ActiveDatabase=Standby,Secondary!T1188,Primary!T1188)</f>
        <v>0</v>
      </c>
      <c r="U1188" s="10">
        <f>IF(ActiveDatabase=Standby,Secondary!U1188,Primary!U1188)</f>
        <v>0</v>
      </c>
      <c r="V1188" s="10">
        <f>IF(ActiveDatabase=Standby,Secondary!V1188,Primary!V1188)</f>
        <v>0</v>
      </c>
      <c r="W1188" s="6">
        <f>IF(ActiveDatabase=Standby,Secondary!W1188,Primary!W1188)</f>
        <v>0</v>
      </c>
      <c r="X1188" s="6">
        <f>IF(ActiveDatabase=Standby,Secondary!X1188,Primary!X1188)</f>
        <v>0</v>
      </c>
      <c r="Y1188" s="7">
        <f>IF(ActiveDatabase=Standby,Secondary!Y1188,Primary!Y1846)</f>
        <v>0</v>
      </c>
      <c r="Z1188" s="7">
        <f>IF(ActiveDatabase=Standby,Secondary!Z1188,Primary!Z1846)</f>
        <v>0</v>
      </c>
      <c r="AA1188" s="7">
        <f>IF(ActiveDatabase=Standby,Secondary!AA1188,Primary!AA1846)</f>
        <v>0</v>
      </c>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row>
    <row r="1189" customHeight="1" spans="1:59">
      <c r="A1189" s="9">
        <f>IF(ActiveDatabase=Standby,Secondary!A1189,Primary!A1189)</f>
        <v>0</v>
      </c>
      <c r="B1189" s="5">
        <f>IF(ActiveDatabase=Standby,Secondary!B1189,Primary!B1189)</f>
        <v>0</v>
      </c>
      <c r="C1189" s="5">
        <f>IF(ActiveDatabase=Standby,Secondary!C1189,Primary!C1189)</f>
        <v>0</v>
      </c>
      <c r="D1189" s="5">
        <f>IF(ActiveDatabase=Standby,Secondary!D1189,Primary!D1189)</f>
        <v>0</v>
      </c>
      <c r="E1189" s="6">
        <f>IF(ActiveDatabase=Standby,Secondary!E1189,Primary!E1189)</f>
        <v>0</v>
      </c>
      <c r="F1189" s="10">
        <f>IF(ActiveDatabase=Standby,Secondary!F1189,Primary!F1189)</f>
        <v>0</v>
      </c>
      <c r="G1189" s="10">
        <f>IF(ActiveDatabase=Standby,Secondary!G1189,Primary!G1189)</f>
        <v>0</v>
      </c>
      <c r="H1189" s="10">
        <f>IF(ActiveDatabase=Standby,Secondary!H1189,Primary!H1189)</f>
        <v>0</v>
      </c>
      <c r="I1189" s="13">
        <f>IF(ActiveDatabase=Standby,Secondary!I1189,Primary!I1189)</f>
        <v>0</v>
      </c>
      <c r="J1189" s="13">
        <f>IF(ActiveDatabase=Standby,Secondary!J1189,Primary!J1189)</f>
        <v>0</v>
      </c>
      <c r="K1189" s="13">
        <f>IF(ActiveDatabase=Standby,Secondary!K1189,Primary!K1189)</f>
        <v>0</v>
      </c>
      <c r="L1189" s="13">
        <f>IF(ActiveDatabase=Standby,Secondary!L1189,Primary!L1189)</f>
        <v>0</v>
      </c>
      <c r="M1189" s="7">
        <f>IF(ActiveDatabase=Standby,Secondary!M1189,Primary!M1189)</f>
        <v>0</v>
      </c>
      <c r="N1189" s="10">
        <f>IF(ActiveDatabase=Standby,Secondary!N1189,Primary!N1189)</f>
        <v>0</v>
      </c>
      <c r="O1189" s="10">
        <f>IF(ActiveDatabase=Standby,Secondary!O1189,Primary!O1189)</f>
        <v>0</v>
      </c>
      <c r="P1189" s="10">
        <f>IF(ActiveDatabase=Standby,Secondary!P1189,Primary!P1189)</f>
        <v>0</v>
      </c>
      <c r="Q1189" s="6">
        <f>IF(ActiveDatabase=Standby,Secondary!Q1189,Primary!Q1189)</f>
        <v>0</v>
      </c>
      <c r="R1189" s="18">
        <f>IF(ActiveDatabase=Standby,Secondary!R1189,Primary!R1189)</f>
        <v>0</v>
      </c>
      <c r="S1189" s="19">
        <f>IF(ActiveDatabase=Standby,Secondary!S1189,Primary!S1189)</f>
        <v>0</v>
      </c>
      <c r="T1189" s="10">
        <f>IF(ActiveDatabase=Standby,Secondary!T1189,Primary!T1189)</f>
        <v>0</v>
      </c>
      <c r="U1189" s="10">
        <f>IF(ActiveDatabase=Standby,Secondary!U1189,Primary!U1189)</f>
        <v>0</v>
      </c>
      <c r="V1189" s="10">
        <f>IF(ActiveDatabase=Standby,Secondary!V1189,Primary!V1189)</f>
        <v>0</v>
      </c>
      <c r="W1189" s="6">
        <f>IF(ActiveDatabase=Standby,Secondary!W1189,Primary!W1189)</f>
        <v>0</v>
      </c>
      <c r="X1189" s="6">
        <f>IF(ActiveDatabase=Standby,Secondary!X1189,Primary!X1189)</f>
        <v>0</v>
      </c>
      <c r="Y1189" s="7">
        <f>IF(ActiveDatabase=Standby,Secondary!Y1189,Primary!Y1847)</f>
        <v>0</v>
      </c>
      <c r="Z1189" s="7">
        <f>IF(ActiveDatabase=Standby,Secondary!Z1189,Primary!Z1847)</f>
        <v>0</v>
      </c>
      <c r="AA1189" s="7">
        <f>IF(ActiveDatabase=Standby,Secondary!AA1189,Primary!AA1847)</f>
        <v>0</v>
      </c>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c r="AX1189" s="7"/>
      <c r="AY1189" s="7"/>
      <c r="AZ1189" s="7"/>
      <c r="BA1189" s="7"/>
      <c r="BB1189" s="7"/>
      <c r="BC1189" s="7"/>
      <c r="BD1189" s="7"/>
      <c r="BE1189" s="7"/>
      <c r="BF1189" s="7"/>
      <c r="BG1189" s="7"/>
    </row>
    <row r="1190" customHeight="1" spans="1:59">
      <c r="A1190" s="9">
        <f>IF(ActiveDatabase=Standby,Secondary!A1190,Primary!A1190)</f>
        <v>0</v>
      </c>
      <c r="B1190" s="5">
        <f>IF(ActiveDatabase=Standby,Secondary!B1190,Primary!B1190)</f>
        <v>0</v>
      </c>
      <c r="C1190" s="5">
        <f>IF(ActiveDatabase=Standby,Secondary!C1190,Primary!C1190)</f>
        <v>0</v>
      </c>
      <c r="D1190" s="5">
        <f>IF(ActiveDatabase=Standby,Secondary!D1190,Primary!D1190)</f>
        <v>0</v>
      </c>
      <c r="E1190" s="6">
        <f>IF(ActiveDatabase=Standby,Secondary!E1190,Primary!E1190)</f>
        <v>0</v>
      </c>
      <c r="F1190" s="10">
        <f>IF(ActiveDatabase=Standby,Secondary!F1190,Primary!F1190)</f>
        <v>0</v>
      </c>
      <c r="G1190" s="10">
        <f>IF(ActiveDatabase=Standby,Secondary!G1190,Primary!G1190)</f>
        <v>0</v>
      </c>
      <c r="H1190" s="10">
        <f>IF(ActiveDatabase=Standby,Secondary!H1190,Primary!H1190)</f>
        <v>0</v>
      </c>
      <c r="I1190" s="13">
        <f>IF(ActiveDatabase=Standby,Secondary!I1190,Primary!I1190)</f>
        <v>0</v>
      </c>
      <c r="J1190" s="13">
        <f>IF(ActiveDatabase=Standby,Secondary!J1190,Primary!J1190)</f>
        <v>0</v>
      </c>
      <c r="K1190" s="13">
        <f>IF(ActiveDatabase=Standby,Secondary!K1190,Primary!K1190)</f>
        <v>0</v>
      </c>
      <c r="L1190" s="13">
        <f>IF(ActiveDatabase=Standby,Secondary!L1190,Primary!L1190)</f>
        <v>0</v>
      </c>
      <c r="M1190" s="7">
        <f>IF(ActiveDatabase=Standby,Secondary!M1190,Primary!M1190)</f>
        <v>0</v>
      </c>
      <c r="N1190" s="10">
        <f>IF(ActiveDatabase=Standby,Secondary!N1190,Primary!N1190)</f>
        <v>0</v>
      </c>
      <c r="O1190" s="10">
        <f>IF(ActiveDatabase=Standby,Secondary!O1190,Primary!O1190)</f>
        <v>0</v>
      </c>
      <c r="P1190" s="10">
        <f>IF(ActiveDatabase=Standby,Secondary!P1190,Primary!P1190)</f>
        <v>0</v>
      </c>
      <c r="Q1190" s="6">
        <f>IF(ActiveDatabase=Standby,Secondary!Q1190,Primary!Q1190)</f>
        <v>0</v>
      </c>
      <c r="R1190" s="18">
        <f>IF(ActiveDatabase=Standby,Secondary!R1190,Primary!R1190)</f>
        <v>0</v>
      </c>
      <c r="S1190" s="19">
        <f>IF(ActiveDatabase=Standby,Secondary!S1190,Primary!S1190)</f>
        <v>0</v>
      </c>
      <c r="T1190" s="10">
        <f>IF(ActiveDatabase=Standby,Secondary!T1190,Primary!T1190)</f>
        <v>0</v>
      </c>
      <c r="U1190" s="10">
        <f>IF(ActiveDatabase=Standby,Secondary!U1190,Primary!U1190)</f>
        <v>0</v>
      </c>
      <c r="V1190" s="10">
        <f>IF(ActiveDatabase=Standby,Secondary!V1190,Primary!V1190)</f>
        <v>0</v>
      </c>
      <c r="W1190" s="6">
        <f>IF(ActiveDatabase=Standby,Secondary!W1190,Primary!W1190)</f>
        <v>0</v>
      </c>
      <c r="X1190" s="6">
        <f>IF(ActiveDatabase=Standby,Secondary!X1190,Primary!X1190)</f>
        <v>0</v>
      </c>
      <c r="Y1190" s="7">
        <f>IF(ActiveDatabase=Standby,Secondary!Y1190,Primary!Y1848)</f>
        <v>0</v>
      </c>
      <c r="Z1190" s="7">
        <f>IF(ActiveDatabase=Standby,Secondary!Z1190,Primary!Z1848)</f>
        <v>0</v>
      </c>
      <c r="AA1190" s="7">
        <f>IF(ActiveDatabase=Standby,Secondary!AA1190,Primary!AA1848)</f>
        <v>0</v>
      </c>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7"/>
      <c r="BD1190" s="7"/>
      <c r="BE1190" s="7"/>
      <c r="BF1190" s="7"/>
      <c r="BG1190" s="7"/>
    </row>
    <row r="1191" customHeight="1" spans="1:59">
      <c r="A1191" s="9">
        <f>IF(ActiveDatabase=Standby,Secondary!A1191,Primary!A1191)</f>
        <v>0</v>
      </c>
      <c r="B1191" s="5">
        <f>IF(ActiveDatabase=Standby,Secondary!B1191,Primary!B1191)</f>
        <v>0</v>
      </c>
      <c r="C1191" s="5">
        <f>IF(ActiveDatabase=Standby,Secondary!C1191,Primary!C1191)</f>
        <v>0</v>
      </c>
      <c r="D1191" s="5">
        <f>IF(ActiveDatabase=Standby,Secondary!D1191,Primary!D1191)</f>
        <v>0</v>
      </c>
      <c r="E1191" s="6">
        <f>IF(ActiveDatabase=Standby,Secondary!E1191,Primary!E1191)</f>
        <v>0</v>
      </c>
      <c r="F1191" s="10">
        <f>IF(ActiveDatabase=Standby,Secondary!F1191,Primary!F1191)</f>
        <v>0</v>
      </c>
      <c r="G1191" s="10">
        <f>IF(ActiveDatabase=Standby,Secondary!G1191,Primary!G1191)</f>
        <v>0</v>
      </c>
      <c r="H1191" s="10">
        <f>IF(ActiveDatabase=Standby,Secondary!H1191,Primary!H1191)</f>
        <v>0</v>
      </c>
      <c r="I1191" s="13">
        <f>IF(ActiveDatabase=Standby,Secondary!I1191,Primary!I1191)</f>
        <v>0</v>
      </c>
      <c r="J1191" s="13">
        <f>IF(ActiveDatabase=Standby,Secondary!J1191,Primary!J1191)</f>
        <v>0</v>
      </c>
      <c r="K1191" s="13">
        <f>IF(ActiveDatabase=Standby,Secondary!K1191,Primary!K1191)</f>
        <v>0</v>
      </c>
      <c r="L1191" s="13">
        <f>IF(ActiveDatabase=Standby,Secondary!L1191,Primary!L1191)</f>
        <v>0</v>
      </c>
      <c r="M1191" s="7">
        <f>IF(ActiveDatabase=Standby,Secondary!M1191,Primary!M1191)</f>
        <v>0</v>
      </c>
      <c r="N1191" s="10">
        <f>IF(ActiveDatabase=Standby,Secondary!N1191,Primary!N1191)</f>
        <v>0</v>
      </c>
      <c r="O1191" s="10">
        <f>IF(ActiveDatabase=Standby,Secondary!O1191,Primary!O1191)</f>
        <v>0</v>
      </c>
      <c r="P1191" s="10">
        <f>IF(ActiveDatabase=Standby,Secondary!P1191,Primary!P1191)</f>
        <v>0</v>
      </c>
      <c r="Q1191" s="6">
        <f>IF(ActiveDatabase=Standby,Secondary!Q1191,Primary!Q1191)</f>
        <v>0</v>
      </c>
      <c r="R1191" s="18">
        <f>IF(ActiveDatabase=Standby,Secondary!R1191,Primary!R1191)</f>
        <v>0</v>
      </c>
      <c r="S1191" s="19">
        <f>IF(ActiveDatabase=Standby,Secondary!S1191,Primary!S1191)</f>
        <v>0</v>
      </c>
      <c r="T1191" s="10">
        <f>IF(ActiveDatabase=Standby,Secondary!T1191,Primary!T1191)</f>
        <v>0</v>
      </c>
      <c r="U1191" s="10">
        <f>IF(ActiveDatabase=Standby,Secondary!U1191,Primary!U1191)</f>
        <v>0</v>
      </c>
      <c r="V1191" s="10">
        <f>IF(ActiveDatabase=Standby,Secondary!V1191,Primary!V1191)</f>
        <v>0</v>
      </c>
      <c r="W1191" s="6">
        <f>IF(ActiveDatabase=Standby,Secondary!W1191,Primary!W1191)</f>
        <v>0</v>
      </c>
      <c r="X1191" s="6">
        <f>IF(ActiveDatabase=Standby,Secondary!X1191,Primary!X1191)</f>
        <v>0</v>
      </c>
      <c r="Y1191" s="7">
        <f>IF(ActiveDatabase=Standby,Secondary!Y1191,Primary!Y1849)</f>
        <v>0</v>
      </c>
      <c r="Z1191" s="7">
        <f>IF(ActiveDatabase=Standby,Secondary!Z1191,Primary!Z1849)</f>
        <v>0</v>
      </c>
      <c r="AA1191" s="7">
        <f>IF(ActiveDatabase=Standby,Secondary!AA1191,Primary!AA1849)</f>
        <v>0</v>
      </c>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row>
    <row r="1192" customHeight="1" spans="1:59">
      <c r="A1192" s="9">
        <f>IF(ActiveDatabase=Standby,Secondary!A1192,Primary!A1192)</f>
        <v>0</v>
      </c>
      <c r="B1192" s="5">
        <f>IF(ActiveDatabase=Standby,Secondary!B1192,Primary!B1192)</f>
        <v>0</v>
      </c>
      <c r="C1192" s="5">
        <f>IF(ActiveDatabase=Standby,Secondary!C1192,Primary!C1192)</f>
        <v>0</v>
      </c>
      <c r="D1192" s="5">
        <f>IF(ActiveDatabase=Standby,Secondary!D1192,Primary!D1192)</f>
        <v>0</v>
      </c>
      <c r="E1192" s="6">
        <f>IF(ActiveDatabase=Standby,Secondary!E1192,Primary!E1192)</f>
        <v>0</v>
      </c>
      <c r="F1192" s="10">
        <f>IF(ActiveDatabase=Standby,Secondary!F1192,Primary!F1192)</f>
        <v>0</v>
      </c>
      <c r="G1192" s="10">
        <f>IF(ActiveDatabase=Standby,Secondary!G1192,Primary!G1192)</f>
        <v>0</v>
      </c>
      <c r="H1192" s="10">
        <f>IF(ActiveDatabase=Standby,Secondary!H1192,Primary!H1192)</f>
        <v>0</v>
      </c>
      <c r="I1192" s="13">
        <f>IF(ActiveDatabase=Standby,Secondary!I1192,Primary!I1192)</f>
        <v>0</v>
      </c>
      <c r="J1192" s="13">
        <f>IF(ActiveDatabase=Standby,Secondary!J1192,Primary!J1192)</f>
        <v>0</v>
      </c>
      <c r="K1192" s="13">
        <f>IF(ActiveDatabase=Standby,Secondary!K1192,Primary!K1192)</f>
        <v>0</v>
      </c>
      <c r="L1192" s="13">
        <f>IF(ActiveDatabase=Standby,Secondary!L1192,Primary!L1192)</f>
        <v>0</v>
      </c>
      <c r="M1192" s="7">
        <f>IF(ActiveDatabase=Standby,Secondary!M1192,Primary!M1192)</f>
        <v>0</v>
      </c>
      <c r="N1192" s="10">
        <f>IF(ActiveDatabase=Standby,Secondary!N1192,Primary!N1192)</f>
        <v>0</v>
      </c>
      <c r="O1192" s="10">
        <f>IF(ActiveDatabase=Standby,Secondary!O1192,Primary!O1192)</f>
        <v>0</v>
      </c>
      <c r="P1192" s="10">
        <f>IF(ActiveDatabase=Standby,Secondary!P1192,Primary!P1192)</f>
        <v>0</v>
      </c>
      <c r="Q1192" s="6">
        <f>IF(ActiveDatabase=Standby,Secondary!Q1192,Primary!Q1192)</f>
        <v>0</v>
      </c>
      <c r="R1192" s="18">
        <f>IF(ActiveDatabase=Standby,Secondary!R1192,Primary!R1192)</f>
        <v>0</v>
      </c>
      <c r="S1192" s="19">
        <f>IF(ActiveDatabase=Standby,Secondary!S1192,Primary!S1192)</f>
        <v>0</v>
      </c>
      <c r="T1192" s="10">
        <f>IF(ActiveDatabase=Standby,Secondary!T1192,Primary!T1192)</f>
        <v>0</v>
      </c>
      <c r="U1192" s="10">
        <f>IF(ActiveDatabase=Standby,Secondary!U1192,Primary!U1192)</f>
        <v>0</v>
      </c>
      <c r="V1192" s="10">
        <f>IF(ActiveDatabase=Standby,Secondary!V1192,Primary!V1192)</f>
        <v>0</v>
      </c>
      <c r="W1192" s="6">
        <f>IF(ActiveDatabase=Standby,Secondary!W1192,Primary!W1192)</f>
        <v>0</v>
      </c>
      <c r="X1192" s="6">
        <f>IF(ActiveDatabase=Standby,Secondary!X1192,Primary!X1192)</f>
        <v>0</v>
      </c>
      <c r="Y1192" s="7">
        <f>IF(ActiveDatabase=Standby,Secondary!Y1192,Primary!Y1850)</f>
        <v>0</v>
      </c>
      <c r="Z1192" s="7">
        <f>IF(ActiveDatabase=Standby,Secondary!Z1192,Primary!Z1850)</f>
        <v>0</v>
      </c>
      <c r="AA1192" s="7">
        <f>IF(ActiveDatabase=Standby,Secondary!AA1192,Primary!AA1850)</f>
        <v>0</v>
      </c>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7"/>
      <c r="BD1192" s="7"/>
      <c r="BE1192" s="7"/>
      <c r="BF1192" s="7"/>
      <c r="BG1192" s="7"/>
    </row>
    <row r="1193" customHeight="1" spans="1:59">
      <c r="A1193" s="9">
        <f>IF(ActiveDatabase=Standby,Secondary!A1193,Primary!A1851)</f>
        <v>0</v>
      </c>
      <c r="B1193" s="5">
        <f>IF(ActiveDatabase=Standby,Secondary!B1193,Primary!B1851)</f>
        <v>0</v>
      </c>
      <c r="C1193" s="5">
        <f>IF(ActiveDatabase=Standby,Secondary!C1193,Primary!C1851)</f>
        <v>0</v>
      </c>
      <c r="D1193" s="5">
        <f>IF(ActiveDatabase=Standby,Secondary!D1193,Primary!D1851)</f>
        <v>0</v>
      </c>
      <c r="E1193" s="7">
        <f>IF(ActiveDatabase=Standby,Secondary!E1193,Primary!E1851)</f>
        <v>0</v>
      </c>
      <c r="F1193" s="8">
        <f>IF(ActiveDatabase=Standby,Secondary!F1193,Primary!F1851)</f>
        <v>0</v>
      </c>
      <c r="G1193" s="8">
        <f>IF(ActiveDatabase=Standby,Secondary!G1193,Primary!G1851)</f>
        <v>0</v>
      </c>
      <c r="H1193" s="8">
        <f>IF(ActiveDatabase=Standby,Secondary!H1193,Primary!H1851)</f>
        <v>0</v>
      </c>
      <c r="I1193" s="14">
        <f>IF(ActiveDatabase=Standby,Secondary!I1193,Primary!I1851)</f>
        <v>0</v>
      </c>
      <c r="J1193" s="14">
        <f>IF(ActiveDatabase=Standby,Secondary!J1193,Primary!J1851)</f>
        <v>0</v>
      </c>
      <c r="K1193" s="14">
        <f>IF(ActiveDatabase=Standby,Secondary!K1193,Primary!K1851)</f>
        <v>0</v>
      </c>
      <c r="L1193" s="14">
        <f>IF(ActiveDatabase=Standby,Secondary!L1193,Primary!L1851)</f>
        <v>0</v>
      </c>
      <c r="M1193" s="7">
        <f>IF(ActiveDatabase=Standby,Secondary!M1193,Primary!M1851)</f>
        <v>0</v>
      </c>
      <c r="N1193" s="8">
        <f>IF(ActiveDatabase=Standby,Secondary!N1193,Primary!N1851)</f>
        <v>0</v>
      </c>
      <c r="O1193" s="8">
        <f>IF(ActiveDatabase=Standby,Secondary!O1193,Primary!O1851)</f>
        <v>0</v>
      </c>
      <c r="P1193" s="8">
        <f>IF(ActiveDatabase=Standby,Secondary!P1193,Primary!P1851)</f>
        <v>0</v>
      </c>
      <c r="Q1193" s="7">
        <f>IF(ActiveDatabase=Standby,Secondary!Q1193,Primary!Q1851)</f>
        <v>0</v>
      </c>
      <c r="R1193" s="16">
        <f>IF(ActiveDatabase=Standby,Secondary!R1193,Primary!R1851)</f>
        <v>0</v>
      </c>
      <c r="S1193" s="17">
        <f>IF(ActiveDatabase=Standby,Secondary!S1193,Primary!S1851)</f>
        <v>0</v>
      </c>
      <c r="T1193" s="8">
        <f>IF(ActiveDatabase=Standby,Secondary!T1193,Primary!T1851)</f>
        <v>0</v>
      </c>
      <c r="U1193" s="8">
        <f>IF(ActiveDatabase=Standby,Secondary!U1193,Primary!U1851)</f>
        <v>0</v>
      </c>
      <c r="V1193" s="8">
        <f>IF(ActiveDatabase=Standby,Secondary!V1193,Primary!V1851)</f>
        <v>0</v>
      </c>
      <c r="W1193" s="7">
        <f>IF(ActiveDatabase=Standby,Secondary!W1193,Primary!W1851)</f>
        <v>0</v>
      </c>
      <c r="X1193" s="7">
        <f>IF(ActiveDatabase=Standby,Secondary!X1193,Primary!X1851)</f>
        <v>0</v>
      </c>
      <c r="Y1193" s="7">
        <f>IF(ActiveDatabase=Standby,Secondary!Y1193,Primary!Y1851)</f>
        <v>0</v>
      </c>
      <c r="Z1193" s="7">
        <f>IF(ActiveDatabase=Standby,Secondary!Z1193,Primary!Z1851)</f>
        <v>0</v>
      </c>
      <c r="AA1193" s="7">
        <f>IF(ActiveDatabase=Standby,Secondary!AA1193,Primary!AA1851)</f>
        <v>0</v>
      </c>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row>
    <row r="1194" customHeight="1" spans="1:59">
      <c r="A1194" s="9">
        <f>IF(ActiveDatabase=Standby,Secondary!A1194,Primary!A1852)</f>
        <v>0</v>
      </c>
      <c r="B1194" s="5">
        <f>IF(ActiveDatabase=Standby,Secondary!B1194,Primary!B1852)</f>
        <v>0</v>
      </c>
      <c r="C1194" s="5">
        <f>IF(ActiveDatabase=Standby,Secondary!C1194,Primary!C1852)</f>
        <v>0</v>
      </c>
      <c r="D1194" s="5">
        <f>IF(ActiveDatabase=Standby,Secondary!D1194,Primary!D1852)</f>
        <v>0</v>
      </c>
      <c r="E1194" s="7">
        <f>IF(ActiveDatabase=Standby,Secondary!E1194,Primary!E1852)</f>
        <v>0</v>
      </c>
      <c r="F1194" s="8">
        <f>IF(ActiveDatabase=Standby,Secondary!F1194,Primary!F1852)</f>
        <v>0</v>
      </c>
      <c r="G1194" s="8">
        <f>IF(ActiveDatabase=Standby,Secondary!G1194,Primary!G1852)</f>
        <v>0</v>
      </c>
      <c r="H1194" s="8">
        <f>IF(ActiveDatabase=Standby,Secondary!H1194,Primary!H1852)</f>
        <v>0</v>
      </c>
      <c r="I1194" s="14">
        <f>IF(ActiveDatabase=Standby,Secondary!I1194,Primary!I1852)</f>
        <v>0</v>
      </c>
      <c r="J1194" s="14">
        <f>IF(ActiveDatabase=Standby,Secondary!J1194,Primary!J1852)</f>
        <v>0</v>
      </c>
      <c r="K1194" s="14">
        <f>IF(ActiveDatabase=Standby,Secondary!K1194,Primary!K1852)</f>
        <v>0</v>
      </c>
      <c r="L1194" s="14">
        <f>IF(ActiveDatabase=Standby,Secondary!L1194,Primary!L1852)</f>
        <v>0</v>
      </c>
      <c r="M1194" s="7">
        <f>IF(ActiveDatabase=Standby,Secondary!M1194,Primary!M1852)</f>
        <v>0</v>
      </c>
      <c r="N1194" s="8">
        <f>IF(ActiveDatabase=Standby,Secondary!N1194,Primary!N1852)</f>
        <v>0</v>
      </c>
      <c r="O1194" s="8">
        <f>IF(ActiveDatabase=Standby,Secondary!O1194,Primary!O1852)</f>
        <v>0</v>
      </c>
      <c r="P1194" s="8">
        <f>IF(ActiveDatabase=Standby,Secondary!P1194,Primary!P1852)</f>
        <v>0</v>
      </c>
      <c r="Q1194" s="7">
        <f>IF(ActiveDatabase=Standby,Secondary!Q1194,Primary!Q1852)</f>
        <v>0</v>
      </c>
      <c r="R1194" s="16">
        <f>IF(ActiveDatabase=Standby,Secondary!R1194,Primary!R1852)</f>
        <v>0</v>
      </c>
      <c r="S1194" s="17">
        <f>IF(ActiveDatabase=Standby,Secondary!S1194,Primary!S1852)</f>
        <v>0</v>
      </c>
      <c r="T1194" s="8">
        <f>IF(ActiveDatabase=Standby,Secondary!T1194,Primary!T1852)</f>
        <v>0</v>
      </c>
      <c r="U1194" s="8">
        <f>IF(ActiveDatabase=Standby,Secondary!U1194,Primary!U1852)</f>
        <v>0</v>
      </c>
      <c r="V1194" s="8">
        <f>IF(ActiveDatabase=Standby,Secondary!V1194,Primary!V1852)</f>
        <v>0</v>
      </c>
      <c r="W1194" s="7">
        <f>IF(ActiveDatabase=Standby,Secondary!W1194,Primary!W1852)</f>
        <v>0</v>
      </c>
      <c r="X1194" s="7">
        <f>IF(ActiveDatabase=Standby,Secondary!X1194,Primary!X1852)</f>
        <v>0</v>
      </c>
      <c r="Y1194" s="7">
        <f>IF(ActiveDatabase=Standby,Secondary!Y1194,Primary!Y1852)</f>
        <v>0</v>
      </c>
      <c r="Z1194" s="7">
        <f>IF(ActiveDatabase=Standby,Secondary!Z1194,Primary!Z1852)</f>
        <v>0</v>
      </c>
      <c r="AA1194" s="7">
        <f>IF(ActiveDatabase=Standby,Secondary!AA1194,Primary!AA1852)</f>
        <v>0</v>
      </c>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7"/>
      <c r="BD1194" s="7"/>
      <c r="BE1194" s="7"/>
      <c r="BF1194" s="7"/>
      <c r="BG1194" s="7"/>
    </row>
    <row r="1195" customHeight="1" spans="1:59">
      <c r="A1195" s="9">
        <f>IF(ActiveDatabase=Standby,Secondary!A1195,Primary!A1853)</f>
        <v>0</v>
      </c>
      <c r="B1195" s="5">
        <f>IF(ActiveDatabase=Standby,Secondary!B1195,Primary!B1853)</f>
        <v>0</v>
      </c>
      <c r="C1195" s="5">
        <f>IF(ActiveDatabase=Standby,Secondary!C1195,Primary!C1853)</f>
        <v>0</v>
      </c>
      <c r="D1195" s="5">
        <f>IF(ActiveDatabase=Standby,Secondary!D1195,Primary!D1853)</f>
        <v>0</v>
      </c>
      <c r="E1195" s="7">
        <f>IF(ActiveDatabase=Standby,Secondary!E1195,Primary!E1853)</f>
        <v>0</v>
      </c>
      <c r="F1195" s="8">
        <f>IF(ActiveDatabase=Standby,Secondary!F1195,Primary!F1853)</f>
        <v>0</v>
      </c>
      <c r="G1195" s="8">
        <f>IF(ActiveDatabase=Standby,Secondary!G1195,Primary!G1853)</f>
        <v>0</v>
      </c>
      <c r="H1195" s="8">
        <f>IF(ActiveDatabase=Standby,Secondary!H1195,Primary!H1853)</f>
        <v>0</v>
      </c>
      <c r="I1195" s="14">
        <f>IF(ActiveDatabase=Standby,Secondary!I1195,Primary!I1853)</f>
        <v>0</v>
      </c>
      <c r="J1195" s="14">
        <f>IF(ActiveDatabase=Standby,Secondary!J1195,Primary!J1853)</f>
        <v>0</v>
      </c>
      <c r="K1195" s="14">
        <f>IF(ActiveDatabase=Standby,Secondary!K1195,Primary!K1853)</f>
        <v>0</v>
      </c>
      <c r="L1195" s="14">
        <f>IF(ActiveDatabase=Standby,Secondary!L1195,Primary!L1853)</f>
        <v>0</v>
      </c>
      <c r="M1195" s="7">
        <f>IF(ActiveDatabase=Standby,Secondary!M1195,Primary!M1853)</f>
        <v>0</v>
      </c>
      <c r="N1195" s="8">
        <f>IF(ActiveDatabase=Standby,Secondary!N1195,Primary!N1853)</f>
        <v>0</v>
      </c>
      <c r="O1195" s="8">
        <f>IF(ActiveDatabase=Standby,Secondary!O1195,Primary!O1853)</f>
        <v>0</v>
      </c>
      <c r="P1195" s="8">
        <f>IF(ActiveDatabase=Standby,Secondary!P1195,Primary!P1853)</f>
        <v>0</v>
      </c>
      <c r="Q1195" s="7">
        <f>IF(ActiveDatabase=Standby,Secondary!Q1195,Primary!Q1853)</f>
        <v>0</v>
      </c>
      <c r="R1195" s="16">
        <f>IF(ActiveDatabase=Standby,Secondary!R1195,Primary!R1853)</f>
        <v>0</v>
      </c>
      <c r="S1195" s="17">
        <f>IF(ActiveDatabase=Standby,Secondary!S1195,Primary!S1853)</f>
        <v>0</v>
      </c>
      <c r="T1195" s="8">
        <f>IF(ActiveDatabase=Standby,Secondary!T1195,Primary!T1853)</f>
        <v>0</v>
      </c>
      <c r="U1195" s="8">
        <f>IF(ActiveDatabase=Standby,Secondary!U1195,Primary!U1853)</f>
        <v>0</v>
      </c>
      <c r="V1195" s="8">
        <f>IF(ActiveDatabase=Standby,Secondary!V1195,Primary!V1853)</f>
        <v>0</v>
      </c>
      <c r="W1195" s="7">
        <f>IF(ActiveDatabase=Standby,Secondary!W1195,Primary!W1853)</f>
        <v>0</v>
      </c>
      <c r="X1195" s="7">
        <f>IF(ActiveDatabase=Standby,Secondary!X1195,Primary!X1853)</f>
        <v>0</v>
      </c>
      <c r="Y1195" s="7">
        <f>IF(ActiveDatabase=Standby,Secondary!Y1195,Primary!Y1853)</f>
        <v>0</v>
      </c>
      <c r="Z1195" s="7">
        <f>IF(ActiveDatabase=Standby,Secondary!Z1195,Primary!Z1853)</f>
        <v>0</v>
      </c>
      <c r="AA1195" s="7">
        <f>IF(ActiveDatabase=Standby,Secondary!AA1195,Primary!AA1853)</f>
        <v>0</v>
      </c>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row>
    <row r="1196" customHeight="1" spans="1:59">
      <c r="A1196" s="9">
        <f>IF(ActiveDatabase=Standby,Secondary!A1196,Primary!A1854)</f>
        <v>0</v>
      </c>
      <c r="B1196" s="5">
        <f>IF(ActiveDatabase=Standby,Secondary!B1196,Primary!B1854)</f>
        <v>0</v>
      </c>
      <c r="C1196" s="5">
        <f>IF(ActiveDatabase=Standby,Secondary!C1196,Primary!C1854)</f>
        <v>0</v>
      </c>
      <c r="D1196" s="5">
        <f>IF(ActiveDatabase=Standby,Secondary!D1196,Primary!D1854)</f>
        <v>0</v>
      </c>
      <c r="E1196" s="7">
        <f>IF(ActiveDatabase=Standby,Secondary!E1196,Primary!E1854)</f>
        <v>0</v>
      </c>
      <c r="F1196" s="8">
        <f>IF(ActiveDatabase=Standby,Secondary!F1196,Primary!F1854)</f>
        <v>0</v>
      </c>
      <c r="G1196" s="8">
        <f>IF(ActiveDatabase=Standby,Secondary!G1196,Primary!G1854)</f>
        <v>0</v>
      </c>
      <c r="H1196" s="8">
        <f>IF(ActiveDatabase=Standby,Secondary!H1196,Primary!H1854)</f>
        <v>0</v>
      </c>
      <c r="I1196" s="14">
        <f>IF(ActiveDatabase=Standby,Secondary!I1196,Primary!I1854)</f>
        <v>0</v>
      </c>
      <c r="J1196" s="14">
        <f>IF(ActiveDatabase=Standby,Secondary!J1196,Primary!J1854)</f>
        <v>0</v>
      </c>
      <c r="K1196" s="14">
        <f>IF(ActiveDatabase=Standby,Secondary!K1196,Primary!K1854)</f>
        <v>0</v>
      </c>
      <c r="L1196" s="14">
        <f>IF(ActiveDatabase=Standby,Secondary!L1196,Primary!L1854)</f>
        <v>0</v>
      </c>
      <c r="M1196" s="7">
        <f>IF(ActiveDatabase=Standby,Secondary!M1196,Primary!M1854)</f>
        <v>0</v>
      </c>
      <c r="N1196" s="8">
        <f>IF(ActiveDatabase=Standby,Secondary!N1196,Primary!N1854)</f>
        <v>0</v>
      </c>
      <c r="O1196" s="8">
        <f>IF(ActiveDatabase=Standby,Secondary!O1196,Primary!O1854)</f>
        <v>0</v>
      </c>
      <c r="P1196" s="8">
        <f>IF(ActiveDatabase=Standby,Secondary!P1196,Primary!P1854)</f>
        <v>0</v>
      </c>
      <c r="Q1196" s="7">
        <f>IF(ActiveDatabase=Standby,Secondary!Q1196,Primary!Q1854)</f>
        <v>0</v>
      </c>
      <c r="R1196" s="16">
        <f>IF(ActiveDatabase=Standby,Secondary!R1196,Primary!R1854)</f>
        <v>0</v>
      </c>
      <c r="S1196" s="17">
        <f>IF(ActiveDatabase=Standby,Secondary!S1196,Primary!S1854)</f>
        <v>0</v>
      </c>
      <c r="T1196" s="8">
        <f>IF(ActiveDatabase=Standby,Secondary!T1196,Primary!T1854)</f>
        <v>0</v>
      </c>
      <c r="U1196" s="8">
        <f>IF(ActiveDatabase=Standby,Secondary!U1196,Primary!U1854)</f>
        <v>0</v>
      </c>
      <c r="V1196" s="8">
        <f>IF(ActiveDatabase=Standby,Secondary!V1196,Primary!V1854)</f>
        <v>0</v>
      </c>
      <c r="W1196" s="7">
        <f>IF(ActiveDatabase=Standby,Secondary!W1196,Primary!W1854)</f>
        <v>0</v>
      </c>
      <c r="X1196" s="7">
        <f>IF(ActiveDatabase=Standby,Secondary!X1196,Primary!X1854)</f>
        <v>0</v>
      </c>
      <c r="Y1196" s="7">
        <f>IF(ActiveDatabase=Standby,Secondary!Y1196,Primary!Y1854)</f>
        <v>0</v>
      </c>
      <c r="Z1196" s="7">
        <f>IF(ActiveDatabase=Standby,Secondary!Z1196,Primary!Z1854)</f>
        <v>0</v>
      </c>
      <c r="AA1196" s="7">
        <f>IF(ActiveDatabase=Standby,Secondary!AA1196,Primary!AA1854)</f>
        <v>0</v>
      </c>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7"/>
      <c r="BD1196" s="7"/>
      <c r="BE1196" s="7"/>
      <c r="BF1196" s="7"/>
      <c r="BG1196" s="7"/>
    </row>
    <row r="1197" customHeight="1" spans="1:59">
      <c r="A1197" s="9">
        <f>IF(ActiveDatabase=Standby,Secondary!A1197,Primary!A1855)</f>
        <v>0</v>
      </c>
      <c r="B1197" s="5">
        <f>IF(ActiveDatabase=Standby,Secondary!B1197,Primary!B1855)</f>
        <v>0</v>
      </c>
      <c r="C1197" s="5">
        <f>IF(ActiveDatabase=Standby,Secondary!C1197,Primary!C1855)</f>
        <v>0</v>
      </c>
      <c r="D1197" s="5">
        <f>IF(ActiveDatabase=Standby,Secondary!D1197,Primary!D1855)</f>
        <v>0</v>
      </c>
      <c r="E1197" s="7">
        <f>IF(ActiveDatabase=Standby,Secondary!E1197,Primary!E1855)</f>
        <v>0</v>
      </c>
      <c r="F1197" s="8">
        <f>IF(ActiveDatabase=Standby,Secondary!F1197,Primary!F1855)</f>
        <v>0</v>
      </c>
      <c r="G1197" s="8">
        <f>IF(ActiveDatabase=Standby,Secondary!G1197,Primary!G1855)</f>
        <v>0</v>
      </c>
      <c r="H1197" s="8">
        <f>IF(ActiveDatabase=Standby,Secondary!H1197,Primary!H1855)</f>
        <v>0</v>
      </c>
      <c r="I1197" s="14">
        <f>IF(ActiveDatabase=Standby,Secondary!I1197,Primary!I1855)</f>
        <v>0</v>
      </c>
      <c r="J1197" s="14">
        <f>IF(ActiveDatabase=Standby,Secondary!J1197,Primary!J1855)</f>
        <v>0</v>
      </c>
      <c r="K1197" s="14">
        <f>IF(ActiveDatabase=Standby,Secondary!K1197,Primary!K1855)</f>
        <v>0</v>
      </c>
      <c r="L1197" s="14">
        <f>IF(ActiveDatabase=Standby,Secondary!L1197,Primary!L1855)</f>
        <v>0</v>
      </c>
      <c r="M1197" s="7">
        <f>IF(ActiveDatabase=Standby,Secondary!M1197,Primary!M1855)</f>
        <v>0</v>
      </c>
      <c r="N1197" s="8">
        <f>IF(ActiveDatabase=Standby,Secondary!N1197,Primary!N1855)</f>
        <v>0</v>
      </c>
      <c r="O1197" s="8">
        <f>IF(ActiveDatabase=Standby,Secondary!O1197,Primary!O1855)</f>
        <v>0</v>
      </c>
      <c r="P1197" s="8">
        <f>IF(ActiveDatabase=Standby,Secondary!P1197,Primary!P1855)</f>
        <v>0</v>
      </c>
      <c r="Q1197" s="7">
        <f>IF(ActiveDatabase=Standby,Secondary!Q1197,Primary!Q1855)</f>
        <v>0</v>
      </c>
      <c r="R1197" s="16">
        <f>IF(ActiveDatabase=Standby,Secondary!R1197,Primary!R1855)</f>
        <v>0</v>
      </c>
      <c r="S1197" s="17">
        <f>IF(ActiveDatabase=Standby,Secondary!S1197,Primary!S1855)</f>
        <v>0</v>
      </c>
      <c r="T1197" s="8">
        <f>IF(ActiveDatabase=Standby,Secondary!T1197,Primary!T1855)</f>
        <v>0</v>
      </c>
      <c r="U1197" s="8">
        <f>IF(ActiveDatabase=Standby,Secondary!U1197,Primary!U1855)</f>
        <v>0</v>
      </c>
      <c r="V1197" s="8">
        <f>IF(ActiveDatabase=Standby,Secondary!V1197,Primary!V1855)</f>
        <v>0</v>
      </c>
      <c r="W1197" s="7">
        <f>IF(ActiveDatabase=Standby,Secondary!W1197,Primary!W1855)</f>
        <v>0</v>
      </c>
      <c r="X1197" s="7">
        <f>IF(ActiveDatabase=Standby,Secondary!X1197,Primary!X1855)</f>
        <v>0</v>
      </c>
      <c r="Y1197" s="7">
        <f>IF(ActiveDatabase=Standby,Secondary!Y1197,Primary!Y1855)</f>
        <v>0</v>
      </c>
      <c r="Z1197" s="7">
        <f>IF(ActiveDatabase=Standby,Secondary!Z1197,Primary!Z1855)</f>
        <v>0</v>
      </c>
      <c r="AA1197" s="7">
        <f>IF(ActiveDatabase=Standby,Secondary!AA1197,Primary!AA1855)</f>
        <v>0</v>
      </c>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c r="AX1197" s="7"/>
      <c r="AY1197" s="7"/>
      <c r="AZ1197" s="7"/>
      <c r="BA1197" s="7"/>
      <c r="BB1197" s="7"/>
      <c r="BC1197" s="7"/>
      <c r="BD1197" s="7"/>
      <c r="BE1197" s="7"/>
      <c r="BF1197" s="7"/>
      <c r="BG1197" s="7"/>
    </row>
    <row r="1198" customHeight="1" spans="1:59">
      <c r="A1198" s="9">
        <f>IF(ActiveDatabase=Standby,Secondary!A1198,Primary!A1856)</f>
        <v>0</v>
      </c>
      <c r="B1198" s="5">
        <f>IF(ActiveDatabase=Standby,Secondary!B1198,Primary!B1856)</f>
        <v>0</v>
      </c>
      <c r="C1198" s="5">
        <f>IF(ActiveDatabase=Standby,Secondary!C1198,Primary!C1856)</f>
        <v>0</v>
      </c>
      <c r="D1198" s="5">
        <f>IF(ActiveDatabase=Standby,Secondary!D1198,Primary!D1856)</f>
        <v>0</v>
      </c>
      <c r="E1198" s="7">
        <f>IF(ActiveDatabase=Standby,Secondary!E1198,Primary!E1856)</f>
        <v>0</v>
      </c>
      <c r="F1198" s="8">
        <f>IF(ActiveDatabase=Standby,Secondary!F1198,Primary!F1856)</f>
        <v>0</v>
      </c>
      <c r="G1198" s="8">
        <f>IF(ActiveDatabase=Standby,Secondary!G1198,Primary!G1856)</f>
        <v>0</v>
      </c>
      <c r="H1198" s="8">
        <f>IF(ActiveDatabase=Standby,Secondary!H1198,Primary!H1856)</f>
        <v>0</v>
      </c>
      <c r="I1198" s="14">
        <f>IF(ActiveDatabase=Standby,Secondary!I1198,Primary!I1856)</f>
        <v>0</v>
      </c>
      <c r="J1198" s="14">
        <f>IF(ActiveDatabase=Standby,Secondary!J1198,Primary!J1856)</f>
        <v>0</v>
      </c>
      <c r="K1198" s="14">
        <f>IF(ActiveDatabase=Standby,Secondary!K1198,Primary!K1856)</f>
        <v>0</v>
      </c>
      <c r="L1198" s="14">
        <f>IF(ActiveDatabase=Standby,Secondary!L1198,Primary!L1856)</f>
        <v>0</v>
      </c>
      <c r="M1198" s="7">
        <f>IF(ActiveDatabase=Standby,Secondary!M1198,Primary!M1856)</f>
        <v>0</v>
      </c>
      <c r="N1198" s="8">
        <f>IF(ActiveDatabase=Standby,Secondary!N1198,Primary!N1856)</f>
        <v>0</v>
      </c>
      <c r="O1198" s="8">
        <f>IF(ActiveDatabase=Standby,Secondary!O1198,Primary!O1856)</f>
        <v>0</v>
      </c>
      <c r="P1198" s="8">
        <f>IF(ActiveDatabase=Standby,Secondary!P1198,Primary!P1856)</f>
        <v>0</v>
      </c>
      <c r="Q1198" s="7">
        <f>IF(ActiveDatabase=Standby,Secondary!Q1198,Primary!Q1856)</f>
        <v>0</v>
      </c>
      <c r="R1198" s="16">
        <f>IF(ActiveDatabase=Standby,Secondary!R1198,Primary!R1856)</f>
        <v>0</v>
      </c>
      <c r="S1198" s="17">
        <f>IF(ActiveDatabase=Standby,Secondary!S1198,Primary!S1856)</f>
        <v>0</v>
      </c>
      <c r="T1198" s="8">
        <f>IF(ActiveDatabase=Standby,Secondary!T1198,Primary!T1856)</f>
        <v>0</v>
      </c>
      <c r="U1198" s="8">
        <f>IF(ActiveDatabase=Standby,Secondary!U1198,Primary!U1856)</f>
        <v>0</v>
      </c>
      <c r="V1198" s="8">
        <f>IF(ActiveDatabase=Standby,Secondary!V1198,Primary!V1856)</f>
        <v>0</v>
      </c>
      <c r="W1198" s="7">
        <f>IF(ActiveDatabase=Standby,Secondary!W1198,Primary!W1856)</f>
        <v>0</v>
      </c>
      <c r="X1198" s="7">
        <f>IF(ActiveDatabase=Standby,Secondary!X1198,Primary!X1856)</f>
        <v>0</v>
      </c>
      <c r="Y1198" s="7">
        <f>IF(ActiveDatabase=Standby,Secondary!Y1198,Primary!Y1856)</f>
        <v>0</v>
      </c>
      <c r="Z1198" s="7">
        <f>IF(ActiveDatabase=Standby,Secondary!Z1198,Primary!Z1856)</f>
        <v>0</v>
      </c>
      <c r="AA1198" s="7">
        <f>IF(ActiveDatabase=Standby,Secondary!AA1198,Primary!AA1856)</f>
        <v>0</v>
      </c>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7"/>
      <c r="BD1198" s="7"/>
      <c r="BE1198" s="7"/>
      <c r="BF1198" s="7"/>
      <c r="BG1198" s="7"/>
    </row>
    <row r="1199" customHeight="1" spans="1:59">
      <c r="A1199" s="9">
        <f>IF(ActiveDatabase=Standby,Secondary!A1199,Primary!A1857)</f>
        <v>0</v>
      </c>
      <c r="B1199" s="5">
        <f>IF(ActiveDatabase=Standby,Secondary!B1199,Primary!B1857)</f>
        <v>0</v>
      </c>
      <c r="C1199" s="5">
        <f>IF(ActiveDatabase=Standby,Secondary!C1199,Primary!C1857)</f>
        <v>0</v>
      </c>
      <c r="D1199" s="5">
        <f>IF(ActiveDatabase=Standby,Secondary!D1199,Primary!D1857)</f>
        <v>0</v>
      </c>
      <c r="E1199" s="7">
        <f>IF(ActiveDatabase=Standby,Secondary!E1199,Primary!E1857)</f>
        <v>0</v>
      </c>
      <c r="F1199" s="8">
        <f>IF(ActiveDatabase=Standby,Secondary!F1199,Primary!F1857)</f>
        <v>0</v>
      </c>
      <c r="G1199" s="8">
        <f>IF(ActiveDatabase=Standby,Secondary!G1199,Primary!G1857)</f>
        <v>0</v>
      </c>
      <c r="H1199" s="8">
        <f>IF(ActiveDatabase=Standby,Secondary!H1199,Primary!H1857)</f>
        <v>0</v>
      </c>
      <c r="I1199" s="14">
        <f>IF(ActiveDatabase=Standby,Secondary!I1199,Primary!I1857)</f>
        <v>0</v>
      </c>
      <c r="J1199" s="14">
        <f>IF(ActiveDatabase=Standby,Secondary!J1199,Primary!J1857)</f>
        <v>0</v>
      </c>
      <c r="K1199" s="14">
        <f>IF(ActiveDatabase=Standby,Secondary!K1199,Primary!K1857)</f>
        <v>0</v>
      </c>
      <c r="L1199" s="14">
        <f>IF(ActiveDatabase=Standby,Secondary!L1199,Primary!L1857)</f>
        <v>0</v>
      </c>
      <c r="M1199" s="7">
        <f>IF(ActiveDatabase=Standby,Secondary!M1199,Primary!M1857)</f>
        <v>0</v>
      </c>
      <c r="N1199" s="8">
        <f>IF(ActiveDatabase=Standby,Secondary!N1199,Primary!N1857)</f>
        <v>0</v>
      </c>
      <c r="O1199" s="8">
        <f>IF(ActiveDatabase=Standby,Secondary!O1199,Primary!O1857)</f>
        <v>0</v>
      </c>
      <c r="P1199" s="8">
        <f>IF(ActiveDatabase=Standby,Secondary!P1199,Primary!P1857)</f>
        <v>0</v>
      </c>
      <c r="Q1199" s="7">
        <f>IF(ActiveDatabase=Standby,Secondary!Q1199,Primary!Q1857)</f>
        <v>0</v>
      </c>
      <c r="R1199" s="16">
        <f>IF(ActiveDatabase=Standby,Secondary!R1199,Primary!R1857)</f>
        <v>0</v>
      </c>
      <c r="S1199" s="17">
        <f>IF(ActiveDatabase=Standby,Secondary!S1199,Primary!S1857)</f>
        <v>0</v>
      </c>
      <c r="T1199" s="8">
        <f>IF(ActiveDatabase=Standby,Secondary!T1199,Primary!T1857)</f>
        <v>0</v>
      </c>
      <c r="U1199" s="8">
        <f>IF(ActiveDatabase=Standby,Secondary!U1199,Primary!U1857)</f>
        <v>0</v>
      </c>
      <c r="V1199" s="8">
        <f>IF(ActiveDatabase=Standby,Secondary!V1199,Primary!V1857)</f>
        <v>0</v>
      </c>
      <c r="W1199" s="7">
        <f>IF(ActiveDatabase=Standby,Secondary!W1199,Primary!W1857)</f>
        <v>0</v>
      </c>
      <c r="X1199" s="7">
        <f>IF(ActiveDatabase=Standby,Secondary!X1199,Primary!X1857)</f>
        <v>0</v>
      </c>
      <c r="Y1199" s="7">
        <f>IF(ActiveDatabase=Standby,Secondary!Y1199,Primary!Y1857)</f>
        <v>0</v>
      </c>
      <c r="Z1199" s="7">
        <f>IF(ActiveDatabase=Standby,Secondary!Z1199,Primary!Z1857)</f>
        <v>0</v>
      </c>
      <c r="AA1199" s="7">
        <f>IF(ActiveDatabase=Standby,Secondary!AA1199,Primary!AA1857)</f>
        <v>0</v>
      </c>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7"/>
      <c r="BD1199" s="7"/>
      <c r="BE1199" s="7"/>
      <c r="BF1199" s="7"/>
      <c r="BG1199" s="7"/>
    </row>
    <row r="1200" customHeight="1" spans="1:59">
      <c r="A1200" s="9">
        <f>IF(ActiveDatabase=Standby,Secondary!A1200,Primary!A1858)</f>
        <v>0</v>
      </c>
      <c r="B1200" s="5">
        <f>IF(ActiveDatabase=Standby,Secondary!B1200,Primary!B1858)</f>
        <v>0</v>
      </c>
      <c r="C1200" s="5">
        <f>IF(ActiveDatabase=Standby,Secondary!C1200,Primary!C1858)</f>
        <v>0</v>
      </c>
      <c r="D1200" s="5">
        <f>IF(ActiveDatabase=Standby,Secondary!D1200,Primary!D1858)</f>
        <v>0</v>
      </c>
      <c r="E1200" s="7">
        <f>IF(ActiveDatabase=Standby,Secondary!E1200,Primary!E1858)</f>
        <v>0</v>
      </c>
      <c r="F1200" s="8">
        <f>IF(ActiveDatabase=Standby,Secondary!F1200,Primary!F1858)</f>
        <v>0</v>
      </c>
      <c r="G1200" s="8">
        <f>IF(ActiveDatabase=Standby,Secondary!G1200,Primary!G1858)</f>
        <v>0</v>
      </c>
      <c r="H1200" s="8">
        <f>IF(ActiveDatabase=Standby,Secondary!H1200,Primary!H1858)</f>
        <v>0</v>
      </c>
      <c r="I1200" s="14">
        <f>IF(ActiveDatabase=Standby,Secondary!I1200,Primary!I1858)</f>
        <v>0</v>
      </c>
      <c r="J1200" s="14">
        <f>IF(ActiveDatabase=Standby,Secondary!J1200,Primary!J1858)</f>
        <v>0</v>
      </c>
      <c r="K1200" s="14">
        <f>IF(ActiveDatabase=Standby,Secondary!K1200,Primary!K1858)</f>
        <v>0</v>
      </c>
      <c r="L1200" s="14">
        <f>IF(ActiveDatabase=Standby,Secondary!L1200,Primary!L1858)</f>
        <v>0</v>
      </c>
      <c r="M1200" s="7">
        <f>IF(ActiveDatabase=Standby,Secondary!M1200,Primary!M1858)</f>
        <v>0</v>
      </c>
      <c r="N1200" s="8">
        <f>IF(ActiveDatabase=Standby,Secondary!N1200,Primary!N1858)</f>
        <v>0</v>
      </c>
      <c r="O1200" s="8">
        <f>IF(ActiveDatabase=Standby,Secondary!O1200,Primary!O1858)</f>
        <v>0</v>
      </c>
      <c r="P1200" s="8">
        <f>IF(ActiveDatabase=Standby,Secondary!P1200,Primary!P1858)</f>
        <v>0</v>
      </c>
      <c r="Q1200" s="7">
        <f>IF(ActiveDatabase=Standby,Secondary!Q1200,Primary!Q1858)</f>
        <v>0</v>
      </c>
      <c r="R1200" s="16">
        <f>IF(ActiveDatabase=Standby,Secondary!R1200,Primary!R1858)</f>
        <v>0</v>
      </c>
      <c r="S1200" s="17">
        <f>IF(ActiveDatabase=Standby,Secondary!S1200,Primary!S1858)</f>
        <v>0</v>
      </c>
      <c r="T1200" s="8">
        <f>IF(ActiveDatabase=Standby,Secondary!T1200,Primary!T1858)</f>
        <v>0</v>
      </c>
      <c r="U1200" s="8">
        <f>IF(ActiveDatabase=Standby,Secondary!U1200,Primary!U1858)</f>
        <v>0</v>
      </c>
      <c r="V1200" s="8">
        <f>IF(ActiveDatabase=Standby,Secondary!V1200,Primary!V1858)</f>
        <v>0</v>
      </c>
      <c r="W1200" s="7">
        <f>IF(ActiveDatabase=Standby,Secondary!W1200,Primary!W1858)</f>
        <v>0</v>
      </c>
      <c r="X1200" s="7">
        <f>IF(ActiveDatabase=Standby,Secondary!X1200,Primary!X1858)</f>
        <v>0</v>
      </c>
      <c r="Y1200" s="7">
        <f>IF(ActiveDatabase=Standby,Secondary!Y1200,Primary!Y1858)</f>
        <v>0</v>
      </c>
      <c r="Z1200" s="7">
        <f>IF(ActiveDatabase=Standby,Secondary!Z1200,Primary!Z1858)</f>
        <v>0</v>
      </c>
      <c r="AA1200" s="7">
        <f>IF(ActiveDatabase=Standby,Secondary!AA1200,Primary!AA1858)</f>
        <v>0</v>
      </c>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7"/>
      <c r="BD1200" s="7"/>
      <c r="BE1200" s="7"/>
      <c r="BF1200" s="7"/>
      <c r="BG1200" s="7"/>
    </row>
    <row r="1201" customHeight="1" spans="1:59">
      <c r="A1201" s="9">
        <f>IF(ActiveDatabase=Standby,Secondary!A1201,Primary!A1859)</f>
        <v>0</v>
      </c>
      <c r="B1201" s="5">
        <f>IF(ActiveDatabase=Standby,Secondary!B1201,Primary!B1859)</f>
        <v>0</v>
      </c>
      <c r="C1201" s="5">
        <f>IF(ActiveDatabase=Standby,Secondary!C1201,Primary!C1859)</f>
        <v>0</v>
      </c>
      <c r="D1201" s="5">
        <f>IF(ActiveDatabase=Standby,Secondary!D1201,Primary!D1859)</f>
        <v>0</v>
      </c>
      <c r="E1201" s="7">
        <f>IF(ActiveDatabase=Standby,Secondary!E1201,Primary!E1859)</f>
        <v>0</v>
      </c>
      <c r="F1201" s="8">
        <f>IF(ActiveDatabase=Standby,Secondary!F1201,Primary!F1859)</f>
        <v>0</v>
      </c>
      <c r="G1201" s="8">
        <f>IF(ActiveDatabase=Standby,Secondary!G1201,Primary!G1859)</f>
        <v>0</v>
      </c>
      <c r="H1201" s="8">
        <f>IF(ActiveDatabase=Standby,Secondary!H1201,Primary!H1859)</f>
        <v>0</v>
      </c>
      <c r="I1201" s="14">
        <f>IF(ActiveDatabase=Standby,Secondary!I1201,Primary!I1859)</f>
        <v>0</v>
      </c>
      <c r="J1201" s="14">
        <f>IF(ActiveDatabase=Standby,Secondary!J1201,Primary!J1859)</f>
        <v>0</v>
      </c>
      <c r="K1201" s="14">
        <f>IF(ActiveDatabase=Standby,Secondary!K1201,Primary!K1859)</f>
        <v>0</v>
      </c>
      <c r="L1201" s="14">
        <f>IF(ActiveDatabase=Standby,Secondary!L1201,Primary!L1859)</f>
        <v>0</v>
      </c>
      <c r="M1201" s="7">
        <f>IF(ActiveDatabase=Standby,Secondary!M1201,Primary!M1859)</f>
        <v>0</v>
      </c>
      <c r="N1201" s="8">
        <f>IF(ActiveDatabase=Standby,Secondary!N1201,Primary!N1859)</f>
        <v>0</v>
      </c>
      <c r="O1201" s="8">
        <f>IF(ActiveDatabase=Standby,Secondary!O1201,Primary!O1859)</f>
        <v>0</v>
      </c>
      <c r="P1201" s="8">
        <f>IF(ActiveDatabase=Standby,Secondary!P1201,Primary!P1859)</f>
        <v>0</v>
      </c>
      <c r="Q1201" s="7">
        <f>IF(ActiveDatabase=Standby,Secondary!Q1201,Primary!Q1859)</f>
        <v>0</v>
      </c>
      <c r="R1201" s="16">
        <f>IF(ActiveDatabase=Standby,Secondary!R1201,Primary!R1859)</f>
        <v>0</v>
      </c>
      <c r="S1201" s="17">
        <f>IF(ActiveDatabase=Standby,Secondary!S1201,Primary!S1859)</f>
        <v>0</v>
      </c>
      <c r="T1201" s="8">
        <f>IF(ActiveDatabase=Standby,Secondary!T1201,Primary!T1859)</f>
        <v>0</v>
      </c>
      <c r="U1201" s="8">
        <f>IF(ActiveDatabase=Standby,Secondary!U1201,Primary!U1859)</f>
        <v>0</v>
      </c>
      <c r="V1201" s="8">
        <f>IF(ActiveDatabase=Standby,Secondary!V1201,Primary!V1859)</f>
        <v>0</v>
      </c>
      <c r="W1201" s="7">
        <f>IF(ActiveDatabase=Standby,Secondary!W1201,Primary!W1859)</f>
        <v>0</v>
      </c>
      <c r="X1201" s="7">
        <f>IF(ActiveDatabase=Standby,Secondary!X1201,Primary!X1859)</f>
        <v>0</v>
      </c>
      <c r="Y1201" s="7">
        <f>IF(ActiveDatabase=Standby,Secondary!Y1201,Primary!Y1859)</f>
        <v>0</v>
      </c>
      <c r="Z1201" s="7">
        <f>IF(ActiveDatabase=Standby,Secondary!Z1201,Primary!Z1859)</f>
        <v>0</v>
      </c>
      <c r="AA1201" s="7">
        <f>IF(ActiveDatabase=Standby,Secondary!AA1201,Primary!AA1859)</f>
        <v>0</v>
      </c>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7"/>
      <c r="BD1201" s="7"/>
      <c r="BE1201" s="7"/>
      <c r="BF1201" s="7"/>
      <c r="BG1201" s="7"/>
    </row>
    <row r="1202" customHeight="1" spans="1:59">
      <c r="A1202" s="9">
        <f>IF(ActiveDatabase=Standby,Secondary!A1202,Primary!A1860)</f>
        <v>0</v>
      </c>
      <c r="B1202" s="5">
        <f>IF(ActiveDatabase=Standby,Secondary!B1202,Primary!B1860)</f>
        <v>0</v>
      </c>
      <c r="C1202" s="5">
        <f>IF(ActiveDatabase=Standby,Secondary!C1202,Primary!C1860)</f>
        <v>0</v>
      </c>
      <c r="D1202" s="5">
        <f>IF(ActiveDatabase=Standby,Secondary!D1202,Primary!D1860)</f>
        <v>0</v>
      </c>
      <c r="E1202" s="7">
        <f>IF(ActiveDatabase=Standby,Secondary!E1202,Primary!E1860)</f>
        <v>0</v>
      </c>
      <c r="F1202" s="8">
        <f>IF(ActiveDatabase=Standby,Secondary!F1202,Primary!F1860)</f>
        <v>0</v>
      </c>
      <c r="G1202" s="8">
        <f>IF(ActiveDatabase=Standby,Secondary!G1202,Primary!G1860)</f>
        <v>0</v>
      </c>
      <c r="H1202" s="8">
        <f>IF(ActiveDatabase=Standby,Secondary!H1202,Primary!H1860)</f>
        <v>0</v>
      </c>
      <c r="I1202" s="14">
        <f>IF(ActiveDatabase=Standby,Secondary!I1202,Primary!I1860)</f>
        <v>0</v>
      </c>
      <c r="J1202" s="14">
        <f>IF(ActiveDatabase=Standby,Secondary!J1202,Primary!J1860)</f>
        <v>0</v>
      </c>
      <c r="K1202" s="14">
        <f>IF(ActiveDatabase=Standby,Secondary!K1202,Primary!K1860)</f>
        <v>0</v>
      </c>
      <c r="L1202" s="14">
        <f>IF(ActiveDatabase=Standby,Secondary!L1202,Primary!L1860)</f>
        <v>0</v>
      </c>
      <c r="M1202" s="7">
        <f>IF(ActiveDatabase=Standby,Secondary!M1202,Primary!M1860)</f>
        <v>0</v>
      </c>
      <c r="N1202" s="8">
        <f>IF(ActiveDatabase=Standby,Secondary!N1202,Primary!N1860)</f>
        <v>0</v>
      </c>
      <c r="O1202" s="8">
        <f>IF(ActiveDatabase=Standby,Secondary!O1202,Primary!O1860)</f>
        <v>0</v>
      </c>
      <c r="P1202" s="8">
        <f>IF(ActiveDatabase=Standby,Secondary!P1202,Primary!P1860)</f>
        <v>0</v>
      </c>
      <c r="Q1202" s="7">
        <f>IF(ActiveDatabase=Standby,Secondary!Q1202,Primary!Q1860)</f>
        <v>0</v>
      </c>
      <c r="R1202" s="16">
        <f>IF(ActiveDatabase=Standby,Secondary!R1202,Primary!R1860)</f>
        <v>0</v>
      </c>
      <c r="S1202" s="17">
        <f>IF(ActiveDatabase=Standby,Secondary!S1202,Primary!S1860)</f>
        <v>0</v>
      </c>
      <c r="T1202" s="8">
        <f>IF(ActiveDatabase=Standby,Secondary!T1202,Primary!T1860)</f>
        <v>0</v>
      </c>
      <c r="U1202" s="8">
        <f>IF(ActiveDatabase=Standby,Secondary!U1202,Primary!U1860)</f>
        <v>0</v>
      </c>
      <c r="V1202" s="8">
        <f>IF(ActiveDatabase=Standby,Secondary!V1202,Primary!V1860)</f>
        <v>0</v>
      </c>
      <c r="W1202" s="7">
        <f>IF(ActiveDatabase=Standby,Secondary!W1202,Primary!W1860)</f>
        <v>0</v>
      </c>
      <c r="X1202" s="7">
        <f>IF(ActiveDatabase=Standby,Secondary!X1202,Primary!X1860)</f>
        <v>0</v>
      </c>
      <c r="Y1202" s="7">
        <f>IF(ActiveDatabase=Standby,Secondary!Y1202,Primary!Y1860)</f>
        <v>0</v>
      </c>
      <c r="Z1202" s="7">
        <f>IF(ActiveDatabase=Standby,Secondary!Z1202,Primary!Z1860)</f>
        <v>0</v>
      </c>
      <c r="AA1202" s="7">
        <f>IF(ActiveDatabase=Standby,Secondary!AA1202,Primary!AA1860)</f>
        <v>0</v>
      </c>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c r="AX1202" s="7"/>
      <c r="AY1202" s="7"/>
      <c r="AZ1202" s="7"/>
      <c r="BA1202" s="7"/>
      <c r="BB1202" s="7"/>
      <c r="BC1202" s="7"/>
      <c r="BD1202" s="7"/>
      <c r="BE1202" s="7"/>
      <c r="BF1202" s="7"/>
      <c r="BG1202" s="7"/>
    </row>
    <row r="1203" customHeight="1" spans="1:59">
      <c r="A1203" s="9">
        <f>IF(ActiveDatabase=Standby,Secondary!A1203,Primary!A1861)</f>
        <v>0</v>
      </c>
      <c r="B1203" s="5">
        <f>IF(ActiveDatabase=Standby,Secondary!B1203,Primary!B1861)</f>
        <v>0</v>
      </c>
      <c r="C1203" s="5">
        <f>IF(ActiveDatabase=Standby,Secondary!C1203,Primary!C1861)</f>
        <v>0</v>
      </c>
      <c r="D1203" s="5">
        <f>IF(ActiveDatabase=Standby,Secondary!D1203,Primary!D1861)</f>
        <v>0</v>
      </c>
      <c r="E1203" s="7">
        <f>IF(ActiveDatabase=Standby,Secondary!E1203,Primary!E1861)</f>
        <v>0</v>
      </c>
      <c r="F1203" s="8">
        <f>IF(ActiveDatabase=Standby,Secondary!F1203,Primary!F1861)</f>
        <v>0</v>
      </c>
      <c r="G1203" s="8">
        <f>IF(ActiveDatabase=Standby,Secondary!G1203,Primary!G1861)</f>
        <v>0</v>
      </c>
      <c r="H1203" s="8">
        <f>IF(ActiveDatabase=Standby,Secondary!H1203,Primary!H1861)</f>
        <v>0</v>
      </c>
      <c r="I1203" s="14">
        <f>IF(ActiveDatabase=Standby,Secondary!I1203,Primary!I1861)</f>
        <v>0</v>
      </c>
      <c r="J1203" s="14">
        <f>IF(ActiveDatabase=Standby,Secondary!J1203,Primary!J1861)</f>
        <v>0</v>
      </c>
      <c r="K1203" s="14">
        <f>IF(ActiveDatabase=Standby,Secondary!K1203,Primary!K1861)</f>
        <v>0</v>
      </c>
      <c r="L1203" s="14">
        <f>IF(ActiveDatabase=Standby,Secondary!L1203,Primary!L1861)</f>
        <v>0</v>
      </c>
      <c r="M1203" s="7">
        <f>IF(ActiveDatabase=Standby,Secondary!M1203,Primary!M1861)</f>
        <v>0</v>
      </c>
      <c r="N1203" s="8">
        <f>IF(ActiveDatabase=Standby,Secondary!N1203,Primary!N1861)</f>
        <v>0</v>
      </c>
      <c r="O1203" s="8">
        <f>IF(ActiveDatabase=Standby,Secondary!O1203,Primary!O1861)</f>
        <v>0</v>
      </c>
      <c r="P1203" s="8">
        <f>IF(ActiveDatabase=Standby,Secondary!P1203,Primary!P1861)</f>
        <v>0</v>
      </c>
      <c r="Q1203" s="7">
        <f>IF(ActiveDatabase=Standby,Secondary!Q1203,Primary!Q1861)</f>
        <v>0</v>
      </c>
      <c r="R1203" s="16">
        <f>IF(ActiveDatabase=Standby,Secondary!R1203,Primary!R1861)</f>
        <v>0</v>
      </c>
      <c r="S1203" s="17">
        <f>IF(ActiveDatabase=Standby,Secondary!S1203,Primary!S1861)</f>
        <v>0</v>
      </c>
      <c r="T1203" s="8">
        <f>IF(ActiveDatabase=Standby,Secondary!T1203,Primary!T1861)</f>
        <v>0</v>
      </c>
      <c r="U1203" s="8">
        <f>IF(ActiveDatabase=Standby,Secondary!U1203,Primary!U1861)</f>
        <v>0</v>
      </c>
      <c r="V1203" s="8">
        <f>IF(ActiveDatabase=Standby,Secondary!V1203,Primary!V1861)</f>
        <v>0</v>
      </c>
      <c r="W1203" s="7">
        <f>IF(ActiveDatabase=Standby,Secondary!W1203,Primary!W1861)</f>
        <v>0</v>
      </c>
      <c r="X1203" s="7">
        <f>IF(ActiveDatabase=Standby,Secondary!X1203,Primary!X1861)</f>
        <v>0</v>
      </c>
      <c r="Y1203" s="7">
        <f>IF(ActiveDatabase=Standby,Secondary!Y1203,Primary!Y1861)</f>
        <v>0</v>
      </c>
      <c r="Z1203" s="7">
        <f>IF(ActiveDatabase=Standby,Secondary!Z1203,Primary!Z1861)</f>
        <v>0</v>
      </c>
      <c r="AA1203" s="7">
        <f>IF(ActiveDatabase=Standby,Secondary!AA1203,Primary!AA1861)</f>
        <v>0</v>
      </c>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c r="AX1203" s="7"/>
      <c r="AY1203" s="7"/>
      <c r="AZ1203" s="7"/>
      <c r="BA1203" s="7"/>
      <c r="BB1203" s="7"/>
      <c r="BC1203" s="7"/>
      <c r="BD1203" s="7"/>
      <c r="BE1203" s="7"/>
      <c r="BF1203" s="7"/>
      <c r="BG1203" s="7"/>
    </row>
    <row r="1204" customHeight="1" spans="1:59">
      <c r="A1204" s="9">
        <f>IF(ActiveDatabase=Standby,Secondary!A1204,Primary!A1862)</f>
        <v>0</v>
      </c>
      <c r="B1204" s="5">
        <f>IF(ActiveDatabase=Standby,Secondary!B1204,Primary!B1862)</f>
        <v>0</v>
      </c>
      <c r="C1204" s="5">
        <f>IF(ActiveDatabase=Standby,Secondary!C1204,Primary!C1862)</f>
        <v>0</v>
      </c>
      <c r="D1204" s="5">
        <f>IF(ActiveDatabase=Standby,Secondary!D1204,Primary!D1862)</f>
        <v>0</v>
      </c>
      <c r="E1204" s="7">
        <f>IF(ActiveDatabase=Standby,Secondary!E1204,Primary!E1862)</f>
        <v>0</v>
      </c>
      <c r="F1204" s="8">
        <f>IF(ActiveDatabase=Standby,Secondary!F1204,Primary!F1862)</f>
        <v>0</v>
      </c>
      <c r="G1204" s="8">
        <f>IF(ActiveDatabase=Standby,Secondary!G1204,Primary!G1862)</f>
        <v>0</v>
      </c>
      <c r="H1204" s="8">
        <f>IF(ActiveDatabase=Standby,Secondary!H1204,Primary!H1862)</f>
        <v>0</v>
      </c>
      <c r="I1204" s="14">
        <f>IF(ActiveDatabase=Standby,Secondary!I1204,Primary!I1862)</f>
        <v>0</v>
      </c>
      <c r="J1204" s="14">
        <f>IF(ActiveDatabase=Standby,Secondary!J1204,Primary!J1862)</f>
        <v>0</v>
      </c>
      <c r="K1204" s="14">
        <f>IF(ActiveDatabase=Standby,Secondary!K1204,Primary!K1862)</f>
        <v>0</v>
      </c>
      <c r="L1204" s="14">
        <f>IF(ActiveDatabase=Standby,Secondary!L1204,Primary!L1862)</f>
        <v>0</v>
      </c>
      <c r="M1204" s="7">
        <f>IF(ActiveDatabase=Standby,Secondary!M1204,Primary!M1862)</f>
        <v>0</v>
      </c>
      <c r="N1204" s="8">
        <f>IF(ActiveDatabase=Standby,Secondary!N1204,Primary!N1862)</f>
        <v>0</v>
      </c>
      <c r="O1204" s="8">
        <f>IF(ActiveDatabase=Standby,Secondary!O1204,Primary!O1862)</f>
        <v>0</v>
      </c>
      <c r="P1204" s="8">
        <f>IF(ActiveDatabase=Standby,Secondary!P1204,Primary!P1862)</f>
        <v>0</v>
      </c>
      <c r="Q1204" s="7">
        <f>IF(ActiveDatabase=Standby,Secondary!Q1204,Primary!Q1862)</f>
        <v>0</v>
      </c>
      <c r="R1204" s="16">
        <f>IF(ActiveDatabase=Standby,Secondary!R1204,Primary!R1862)</f>
        <v>0</v>
      </c>
      <c r="S1204" s="17">
        <f>IF(ActiveDatabase=Standby,Secondary!S1204,Primary!S1862)</f>
        <v>0</v>
      </c>
      <c r="T1204" s="8">
        <f>IF(ActiveDatabase=Standby,Secondary!T1204,Primary!T1862)</f>
        <v>0</v>
      </c>
      <c r="U1204" s="8">
        <f>IF(ActiveDatabase=Standby,Secondary!U1204,Primary!U1862)</f>
        <v>0</v>
      </c>
      <c r="V1204" s="8">
        <f>IF(ActiveDatabase=Standby,Secondary!V1204,Primary!V1862)</f>
        <v>0</v>
      </c>
      <c r="W1204" s="7">
        <f>IF(ActiveDatabase=Standby,Secondary!W1204,Primary!W1862)</f>
        <v>0</v>
      </c>
      <c r="X1204" s="7">
        <f>IF(ActiveDatabase=Standby,Secondary!X1204,Primary!X1862)</f>
        <v>0</v>
      </c>
      <c r="Y1204" s="7">
        <f>IF(ActiveDatabase=Standby,Secondary!Y1204,Primary!Y1862)</f>
        <v>0</v>
      </c>
      <c r="Z1204" s="7">
        <f>IF(ActiveDatabase=Standby,Secondary!Z1204,Primary!Z1862)</f>
        <v>0</v>
      </c>
      <c r="AA1204" s="7">
        <f>IF(ActiveDatabase=Standby,Secondary!AA1204,Primary!AA1862)</f>
        <v>0</v>
      </c>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c r="AX1204" s="7"/>
      <c r="AY1204" s="7"/>
      <c r="AZ1204" s="7"/>
      <c r="BA1204" s="7"/>
      <c r="BB1204" s="7"/>
      <c r="BC1204" s="7"/>
      <c r="BD1204" s="7"/>
      <c r="BE1204" s="7"/>
      <c r="BF1204" s="7"/>
      <c r="BG1204" s="7"/>
    </row>
    <row r="1205" customHeight="1" spans="1:59">
      <c r="A1205" s="9">
        <f>IF(ActiveDatabase=Standby,Secondary!A1205,Primary!A1863)</f>
        <v>0</v>
      </c>
      <c r="B1205" s="5">
        <f>IF(ActiveDatabase=Standby,Secondary!B1205,Primary!B1863)</f>
        <v>0</v>
      </c>
      <c r="C1205" s="5">
        <f>IF(ActiveDatabase=Standby,Secondary!C1205,Primary!C1863)</f>
        <v>0</v>
      </c>
      <c r="D1205" s="5">
        <f>IF(ActiveDatabase=Standby,Secondary!D1205,Primary!D1863)</f>
        <v>0</v>
      </c>
      <c r="E1205" s="7">
        <f>IF(ActiveDatabase=Standby,Secondary!E1205,Primary!E1863)</f>
        <v>0</v>
      </c>
      <c r="F1205" s="8">
        <f>IF(ActiveDatabase=Standby,Secondary!F1205,Primary!F1863)</f>
        <v>0</v>
      </c>
      <c r="G1205" s="8">
        <f>IF(ActiveDatabase=Standby,Secondary!G1205,Primary!G1863)</f>
        <v>0</v>
      </c>
      <c r="H1205" s="8">
        <f>IF(ActiveDatabase=Standby,Secondary!H1205,Primary!H1863)</f>
        <v>0</v>
      </c>
      <c r="I1205" s="14">
        <f>IF(ActiveDatabase=Standby,Secondary!I1205,Primary!I1863)</f>
        <v>0</v>
      </c>
      <c r="J1205" s="14">
        <f>IF(ActiveDatabase=Standby,Secondary!J1205,Primary!J1863)</f>
        <v>0</v>
      </c>
      <c r="K1205" s="14">
        <f>IF(ActiveDatabase=Standby,Secondary!K1205,Primary!K1863)</f>
        <v>0</v>
      </c>
      <c r="L1205" s="14">
        <f>IF(ActiveDatabase=Standby,Secondary!L1205,Primary!L1863)</f>
        <v>0</v>
      </c>
      <c r="M1205" s="7">
        <f>IF(ActiveDatabase=Standby,Secondary!M1205,Primary!M1863)</f>
        <v>0</v>
      </c>
      <c r="N1205" s="8">
        <f>IF(ActiveDatabase=Standby,Secondary!N1205,Primary!N1863)</f>
        <v>0</v>
      </c>
      <c r="O1205" s="8">
        <f>IF(ActiveDatabase=Standby,Secondary!O1205,Primary!O1863)</f>
        <v>0</v>
      </c>
      <c r="P1205" s="8">
        <f>IF(ActiveDatabase=Standby,Secondary!P1205,Primary!P1863)</f>
        <v>0</v>
      </c>
      <c r="Q1205" s="7">
        <f>IF(ActiveDatabase=Standby,Secondary!Q1205,Primary!Q1863)</f>
        <v>0</v>
      </c>
      <c r="R1205" s="16">
        <f>IF(ActiveDatabase=Standby,Secondary!R1205,Primary!R1863)</f>
        <v>0</v>
      </c>
      <c r="S1205" s="17">
        <f>IF(ActiveDatabase=Standby,Secondary!S1205,Primary!S1863)</f>
        <v>0</v>
      </c>
      <c r="T1205" s="8">
        <f>IF(ActiveDatabase=Standby,Secondary!T1205,Primary!T1863)</f>
        <v>0</v>
      </c>
      <c r="U1205" s="8">
        <f>IF(ActiveDatabase=Standby,Secondary!U1205,Primary!U1863)</f>
        <v>0</v>
      </c>
      <c r="V1205" s="8">
        <f>IF(ActiveDatabase=Standby,Secondary!V1205,Primary!V1863)</f>
        <v>0</v>
      </c>
      <c r="W1205" s="7">
        <f>IF(ActiveDatabase=Standby,Secondary!W1205,Primary!W1863)</f>
        <v>0</v>
      </c>
      <c r="X1205" s="7">
        <f>IF(ActiveDatabase=Standby,Secondary!X1205,Primary!X1863)</f>
        <v>0</v>
      </c>
      <c r="Y1205" s="7">
        <f>IF(ActiveDatabase=Standby,Secondary!Y1205,Primary!Y1863)</f>
        <v>0</v>
      </c>
      <c r="Z1205" s="7">
        <f>IF(ActiveDatabase=Standby,Secondary!Z1205,Primary!Z1863)</f>
        <v>0</v>
      </c>
      <c r="AA1205" s="7">
        <f>IF(ActiveDatabase=Standby,Secondary!AA1205,Primary!AA1863)</f>
        <v>0</v>
      </c>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c r="AX1205" s="7"/>
      <c r="AY1205" s="7"/>
      <c r="AZ1205" s="7"/>
      <c r="BA1205" s="7"/>
      <c r="BB1205" s="7"/>
      <c r="BC1205" s="7"/>
      <c r="BD1205" s="7"/>
      <c r="BE1205" s="7"/>
      <c r="BF1205" s="7"/>
      <c r="BG1205" s="7"/>
    </row>
    <row r="1206" customHeight="1" spans="1:59">
      <c r="A1206" s="9">
        <f>IF(ActiveDatabase=Standby,Secondary!A1206,Primary!A1864)</f>
        <v>0</v>
      </c>
      <c r="B1206" s="5">
        <f>IF(ActiveDatabase=Standby,Secondary!B1206,Primary!B1864)</f>
        <v>0</v>
      </c>
      <c r="C1206" s="5">
        <f>IF(ActiveDatabase=Standby,Secondary!C1206,Primary!C1864)</f>
        <v>0</v>
      </c>
      <c r="D1206" s="5">
        <f>IF(ActiveDatabase=Standby,Secondary!D1206,Primary!D1864)</f>
        <v>0</v>
      </c>
      <c r="E1206" s="7">
        <f>IF(ActiveDatabase=Standby,Secondary!E1206,Primary!E1864)</f>
        <v>0</v>
      </c>
      <c r="F1206" s="8">
        <f>IF(ActiveDatabase=Standby,Secondary!F1206,Primary!F1864)</f>
        <v>0</v>
      </c>
      <c r="G1206" s="8">
        <f>IF(ActiveDatabase=Standby,Secondary!G1206,Primary!G1864)</f>
        <v>0</v>
      </c>
      <c r="H1206" s="8">
        <f>IF(ActiveDatabase=Standby,Secondary!H1206,Primary!H1864)</f>
        <v>0</v>
      </c>
      <c r="I1206" s="14">
        <f>IF(ActiveDatabase=Standby,Secondary!I1206,Primary!I1864)</f>
        <v>0</v>
      </c>
      <c r="J1206" s="14">
        <f>IF(ActiveDatabase=Standby,Secondary!J1206,Primary!J1864)</f>
        <v>0</v>
      </c>
      <c r="K1206" s="14">
        <f>IF(ActiveDatabase=Standby,Secondary!K1206,Primary!K1864)</f>
        <v>0</v>
      </c>
      <c r="L1206" s="14">
        <f>IF(ActiveDatabase=Standby,Secondary!L1206,Primary!L1864)</f>
        <v>0</v>
      </c>
      <c r="M1206" s="7">
        <f>IF(ActiveDatabase=Standby,Secondary!M1206,Primary!M1864)</f>
        <v>0</v>
      </c>
      <c r="N1206" s="8">
        <f>IF(ActiveDatabase=Standby,Secondary!N1206,Primary!N1864)</f>
        <v>0</v>
      </c>
      <c r="O1206" s="8">
        <f>IF(ActiveDatabase=Standby,Secondary!O1206,Primary!O1864)</f>
        <v>0</v>
      </c>
      <c r="P1206" s="8">
        <f>IF(ActiveDatabase=Standby,Secondary!P1206,Primary!P1864)</f>
        <v>0</v>
      </c>
      <c r="Q1206" s="7">
        <f>IF(ActiveDatabase=Standby,Secondary!Q1206,Primary!Q1864)</f>
        <v>0</v>
      </c>
      <c r="R1206" s="16">
        <f>IF(ActiveDatabase=Standby,Secondary!R1206,Primary!R1864)</f>
        <v>0</v>
      </c>
      <c r="S1206" s="17">
        <f>IF(ActiveDatabase=Standby,Secondary!S1206,Primary!S1864)</f>
        <v>0</v>
      </c>
      <c r="T1206" s="8">
        <f>IF(ActiveDatabase=Standby,Secondary!T1206,Primary!T1864)</f>
        <v>0</v>
      </c>
      <c r="U1206" s="8">
        <f>IF(ActiveDatabase=Standby,Secondary!U1206,Primary!U1864)</f>
        <v>0</v>
      </c>
      <c r="V1206" s="8">
        <f>IF(ActiveDatabase=Standby,Secondary!V1206,Primary!V1864)</f>
        <v>0</v>
      </c>
      <c r="W1206" s="7">
        <f>IF(ActiveDatabase=Standby,Secondary!W1206,Primary!W1864)</f>
        <v>0</v>
      </c>
      <c r="X1206" s="7">
        <f>IF(ActiveDatabase=Standby,Secondary!X1206,Primary!X1864)</f>
        <v>0</v>
      </c>
      <c r="Y1206" s="7">
        <f>IF(ActiveDatabase=Standby,Secondary!Y1206,Primary!Y1864)</f>
        <v>0</v>
      </c>
      <c r="Z1206" s="7">
        <f>IF(ActiveDatabase=Standby,Secondary!Z1206,Primary!Z1864)</f>
        <v>0</v>
      </c>
      <c r="AA1206" s="7">
        <f>IF(ActiveDatabase=Standby,Secondary!AA1206,Primary!AA1864)</f>
        <v>0</v>
      </c>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c r="AX1206" s="7"/>
      <c r="AY1206" s="7"/>
      <c r="AZ1206" s="7"/>
      <c r="BA1206" s="7"/>
      <c r="BB1206" s="7"/>
      <c r="BC1206" s="7"/>
      <c r="BD1206" s="7"/>
      <c r="BE1206" s="7"/>
      <c r="BF1206" s="7"/>
      <c r="BG1206" s="7"/>
    </row>
    <row r="1207" customHeight="1" spans="1:59">
      <c r="A1207" s="9">
        <f>IF(ActiveDatabase=Standby,Secondary!A1207,Primary!A1865)</f>
        <v>0</v>
      </c>
      <c r="B1207" s="5">
        <f>IF(ActiveDatabase=Standby,Secondary!B1207,Primary!B1865)</f>
        <v>0</v>
      </c>
      <c r="C1207" s="5">
        <f>IF(ActiveDatabase=Standby,Secondary!C1207,Primary!C1865)</f>
        <v>0</v>
      </c>
      <c r="D1207" s="5">
        <f>IF(ActiveDatabase=Standby,Secondary!D1207,Primary!D1865)</f>
        <v>0</v>
      </c>
      <c r="E1207" s="7">
        <f>IF(ActiveDatabase=Standby,Secondary!E1207,Primary!E1865)</f>
        <v>0</v>
      </c>
      <c r="F1207" s="8">
        <f>IF(ActiveDatabase=Standby,Secondary!F1207,Primary!F1865)</f>
        <v>0</v>
      </c>
      <c r="G1207" s="8">
        <f>IF(ActiveDatabase=Standby,Secondary!G1207,Primary!G1865)</f>
        <v>0</v>
      </c>
      <c r="H1207" s="8">
        <f>IF(ActiveDatabase=Standby,Secondary!H1207,Primary!H1865)</f>
        <v>0</v>
      </c>
      <c r="I1207" s="14">
        <f>IF(ActiveDatabase=Standby,Secondary!I1207,Primary!I1865)</f>
        <v>0</v>
      </c>
      <c r="J1207" s="14">
        <f>IF(ActiveDatabase=Standby,Secondary!J1207,Primary!J1865)</f>
        <v>0</v>
      </c>
      <c r="K1207" s="14">
        <f>IF(ActiveDatabase=Standby,Secondary!K1207,Primary!K1865)</f>
        <v>0</v>
      </c>
      <c r="L1207" s="14">
        <f>IF(ActiveDatabase=Standby,Secondary!L1207,Primary!L1865)</f>
        <v>0</v>
      </c>
      <c r="M1207" s="7">
        <f>IF(ActiveDatabase=Standby,Secondary!M1207,Primary!M1865)</f>
        <v>0</v>
      </c>
      <c r="N1207" s="8">
        <f>IF(ActiveDatabase=Standby,Secondary!N1207,Primary!N1865)</f>
        <v>0</v>
      </c>
      <c r="O1207" s="8">
        <f>IF(ActiveDatabase=Standby,Secondary!O1207,Primary!O1865)</f>
        <v>0</v>
      </c>
      <c r="P1207" s="8">
        <f>IF(ActiveDatabase=Standby,Secondary!P1207,Primary!P1865)</f>
        <v>0</v>
      </c>
      <c r="Q1207" s="7">
        <f>IF(ActiveDatabase=Standby,Secondary!Q1207,Primary!Q1865)</f>
        <v>0</v>
      </c>
      <c r="R1207" s="16">
        <f>IF(ActiveDatabase=Standby,Secondary!R1207,Primary!R1865)</f>
        <v>0</v>
      </c>
      <c r="S1207" s="17">
        <f>IF(ActiveDatabase=Standby,Secondary!S1207,Primary!S1865)</f>
        <v>0</v>
      </c>
      <c r="T1207" s="8">
        <f>IF(ActiveDatabase=Standby,Secondary!T1207,Primary!T1865)</f>
        <v>0</v>
      </c>
      <c r="U1207" s="8">
        <f>IF(ActiveDatabase=Standby,Secondary!U1207,Primary!U1865)</f>
        <v>0</v>
      </c>
      <c r="V1207" s="8">
        <f>IF(ActiveDatabase=Standby,Secondary!V1207,Primary!V1865)</f>
        <v>0</v>
      </c>
      <c r="W1207" s="7">
        <f>IF(ActiveDatabase=Standby,Secondary!W1207,Primary!W1865)</f>
        <v>0</v>
      </c>
      <c r="X1207" s="7">
        <f>IF(ActiveDatabase=Standby,Secondary!X1207,Primary!X1865)</f>
        <v>0</v>
      </c>
      <c r="Y1207" s="7">
        <f>IF(ActiveDatabase=Standby,Secondary!Y1207,Primary!Y1865)</f>
        <v>0</v>
      </c>
      <c r="Z1207" s="7">
        <f>IF(ActiveDatabase=Standby,Secondary!Z1207,Primary!Z1865)</f>
        <v>0</v>
      </c>
      <c r="AA1207" s="7">
        <f>IF(ActiveDatabase=Standby,Secondary!AA1207,Primary!AA1865)</f>
        <v>0</v>
      </c>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c r="AX1207" s="7"/>
      <c r="AY1207" s="7"/>
      <c r="AZ1207" s="7"/>
      <c r="BA1207" s="7"/>
      <c r="BB1207" s="7"/>
      <c r="BC1207" s="7"/>
      <c r="BD1207" s="7"/>
      <c r="BE1207" s="7"/>
      <c r="BF1207" s="7"/>
      <c r="BG1207" s="7"/>
    </row>
    <row r="1208" customHeight="1" spans="1:59">
      <c r="A1208" s="9">
        <f>IF(ActiveDatabase=Standby,Secondary!A1208,Primary!A1866)</f>
        <v>0</v>
      </c>
      <c r="B1208" s="5">
        <f>IF(ActiveDatabase=Standby,Secondary!B1208,Primary!B1866)</f>
        <v>0</v>
      </c>
      <c r="C1208" s="5">
        <f>IF(ActiveDatabase=Standby,Secondary!C1208,Primary!C1866)</f>
        <v>0</v>
      </c>
      <c r="D1208" s="5">
        <f>IF(ActiveDatabase=Standby,Secondary!D1208,Primary!D1866)</f>
        <v>0</v>
      </c>
      <c r="E1208" s="7">
        <f>IF(ActiveDatabase=Standby,Secondary!E1208,Primary!E1866)</f>
        <v>0</v>
      </c>
      <c r="F1208" s="8">
        <f>IF(ActiveDatabase=Standby,Secondary!F1208,Primary!F1866)</f>
        <v>0</v>
      </c>
      <c r="G1208" s="8">
        <f>IF(ActiveDatabase=Standby,Secondary!G1208,Primary!G1866)</f>
        <v>0</v>
      </c>
      <c r="H1208" s="8">
        <f>IF(ActiveDatabase=Standby,Secondary!H1208,Primary!H1866)</f>
        <v>0</v>
      </c>
      <c r="I1208" s="14">
        <f>IF(ActiveDatabase=Standby,Secondary!I1208,Primary!I1866)</f>
        <v>0</v>
      </c>
      <c r="J1208" s="14">
        <f>IF(ActiveDatabase=Standby,Secondary!J1208,Primary!J1866)</f>
        <v>0</v>
      </c>
      <c r="K1208" s="14">
        <f>IF(ActiveDatabase=Standby,Secondary!K1208,Primary!K1866)</f>
        <v>0</v>
      </c>
      <c r="L1208" s="14">
        <f>IF(ActiveDatabase=Standby,Secondary!L1208,Primary!L1866)</f>
        <v>0</v>
      </c>
      <c r="M1208" s="7">
        <f>IF(ActiveDatabase=Standby,Secondary!M1208,Primary!M1866)</f>
        <v>0</v>
      </c>
      <c r="N1208" s="8">
        <f>IF(ActiveDatabase=Standby,Secondary!N1208,Primary!N1866)</f>
        <v>0</v>
      </c>
      <c r="O1208" s="8">
        <f>IF(ActiveDatabase=Standby,Secondary!O1208,Primary!O1866)</f>
        <v>0</v>
      </c>
      <c r="P1208" s="8">
        <f>IF(ActiveDatabase=Standby,Secondary!P1208,Primary!P1866)</f>
        <v>0</v>
      </c>
      <c r="Q1208" s="7">
        <f>IF(ActiveDatabase=Standby,Secondary!Q1208,Primary!Q1866)</f>
        <v>0</v>
      </c>
      <c r="R1208" s="16">
        <f>IF(ActiveDatabase=Standby,Secondary!R1208,Primary!R1866)</f>
        <v>0</v>
      </c>
      <c r="S1208" s="17">
        <f>IF(ActiveDatabase=Standby,Secondary!S1208,Primary!S1866)</f>
        <v>0</v>
      </c>
      <c r="T1208" s="8">
        <f>IF(ActiveDatabase=Standby,Secondary!T1208,Primary!T1866)</f>
        <v>0</v>
      </c>
      <c r="U1208" s="8">
        <f>IF(ActiveDatabase=Standby,Secondary!U1208,Primary!U1866)</f>
        <v>0</v>
      </c>
      <c r="V1208" s="8">
        <f>IF(ActiveDatabase=Standby,Secondary!V1208,Primary!V1866)</f>
        <v>0</v>
      </c>
      <c r="W1208" s="7">
        <f>IF(ActiveDatabase=Standby,Secondary!W1208,Primary!W1866)</f>
        <v>0</v>
      </c>
      <c r="X1208" s="7">
        <f>IF(ActiveDatabase=Standby,Secondary!X1208,Primary!X1866)</f>
        <v>0</v>
      </c>
      <c r="Y1208" s="7">
        <f>IF(ActiveDatabase=Standby,Secondary!Y1208,Primary!Y1866)</f>
        <v>0</v>
      </c>
      <c r="Z1208" s="7">
        <f>IF(ActiveDatabase=Standby,Secondary!Z1208,Primary!Z1866)</f>
        <v>0</v>
      </c>
      <c r="AA1208" s="7">
        <f>IF(ActiveDatabase=Standby,Secondary!AA1208,Primary!AA1866)</f>
        <v>0</v>
      </c>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7"/>
      <c r="BD1208" s="7"/>
      <c r="BE1208" s="7"/>
      <c r="BF1208" s="7"/>
      <c r="BG1208" s="7"/>
    </row>
    <row r="1209" customHeight="1" spans="1:59">
      <c r="A1209" s="9">
        <f>IF(ActiveDatabase=Standby,Secondary!A1209,Primary!A1867)</f>
        <v>0</v>
      </c>
      <c r="B1209" s="5">
        <f>IF(ActiveDatabase=Standby,Secondary!B1209,Primary!B1867)</f>
        <v>0</v>
      </c>
      <c r="C1209" s="5">
        <f>IF(ActiveDatabase=Standby,Secondary!C1209,Primary!C1867)</f>
        <v>0</v>
      </c>
      <c r="D1209" s="5">
        <f>IF(ActiveDatabase=Standby,Secondary!D1209,Primary!D1867)</f>
        <v>0</v>
      </c>
      <c r="E1209" s="7">
        <f>IF(ActiveDatabase=Standby,Secondary!E1209,Primary!E1867)</f>
        <v>0</v>
      </c>
      <c r="F1209" s="8">
        <f>IF(ActiveDatabase=Standby,Secondary!F1209,Primary!F1867)</f>
        <v>0</v>
      </c>
      <c r="G1209" s="8">
        <f>IF(ActiveDatabase=Standby,Secondary!G1209,Primary!G1867)</f>
        <v>0</v>
      </c>
      <c r="H1209" s="8">
        <f>IF(ActiveDatabase=Standby,Secondary!H1209,Primary!H1867)</f>
        <v>0</v>
      </c>
      <c r="I1209" s="14">
        <f>IF(ActiveDatabase=Standby,Secondary!I1209,Primary!I1867)</f>
        <v>0</v>
      </c>
      <c r="J1209" s="14">
        <f>IF(ActiveDatabase=Standby,Secondary!J1209,Primary!J1867)</f>
        <v>0</v>
      </c>
      <c r="K1209" s="14">
        <f>IF(ActiveDatabase=Standby,Secondary!K1209,Primary!K1867)</f>
        <v>0</v>
      </c>
      <c r="L1209" s="14">
        <f>IF(ActiveDatabase=Standby,Secondary!L1209,Primary!L1867)</f>
        <v>0</v>
      </c>
      <c r="M1209" s="7">
        <f>IF(ActiveDatabase=Standby,Secondary!M1209,Primary!M1867)</f>
        <v>0</v>
      </c>
      <c r="N1209" s="8">
        <f>IF(ActiveDatabase=Standby,Secondary!N1209,Primary!N1867)</f>
        <v>0</v>
      </c>
      <c r="O1209" s="8">
        <f>IF(ActiveDatabase=Standby,Secondary!O1209,Primary!O1867)</f>
        <v>0</v>
      </c>
      <c r="P1209" s="8">
        <f>IF(ActiveDatabase=Standby,Secondary!P1209,Primary!P1867)</f>
        <v>0</v>
      </c>
      <c r="Q1209" s="7">
        <f>IF(ActiveDatabase=Standby,Secondary!Q1209,Primary!Q1867)</f>
        <v>0</v>
      </c>
      <c r="R1209" s="16">
        <f>IF(ActiveDatabase=Standby,Secondary!R1209,Primary!R1867)</f>
        <v>0</v>
      </c>
      <c r="S1209" s="17">
        <f>IF(ActiveDatabase=Standby,Secondary!S1209,Primary!S1867)</f>
        <v>0</v>
      </c>
      <c r="T1209" s="8">
        <f>IF(ActiveDatabase=Standby,Secondary!T1209,Primary!T1867)</f>
        <v>0</v>
      </c>
      <c r="U1209" s="8">
        <f>IF(ActiveDatabase=Standby,Secondary!U1209,Primary!U1867)</f>
        <v>0</v>
      </c>
      <c r="V1209" s="8">
        <f>IF(ActiveDatabase=Standby,Secondary!V1209,Primary!V1867)</f>
        <v>0</v>
      </c>
      <c r="W1209" s="7">
        <f>IF(ActiveDatabase=Standby,Secondary!W1209,Primary!W1867)</f>
        <v>0</v>
      </c>
      <c r="X1209" s="7">
        <f>IF(ActiveDatabase=Standby,Secondary!X1209,Primary!X1867)</f>
        <v>0</v>
      </c>
      <c r="Y1209" s="7">
        <f>IF(ActiveDatabase=Standby,Secondary!Y1209,Primary!Y1867)</f>
        <v>0</v>
      </c>
      <c r="Z1209" s="7">
        <f>IF(ActiveDatabase=Standby,Secondary!Z1209,Primary!Z1867)</f>
        <v>0</v>
      </c>
      <c r="AA1209" s="7">
        <f>IF(ActiveDatabase=Standby,Secondary!AA1209,Primary!AA1867)</f>
        <v>0</v>
      </c>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row>
    <row r="1210" customHeight="1" spans="1:59">
      <c r="A1210" s="9">
        <f>IF(ActiveDatabase=Standby,Secondary!A1210,Primary!A1868)</f>
        <v>0</v>
      </c>
      <c r="B1210" s="5">
        <f>IF(ActiveDatabase=Standby,Secondary!B1210,Primary!B1868)</f>
        <v>0</v>
      </c>
      <c r="C1210" s="5">
        <f>IF(ActiveDatabase=Standby,Secondary!C1210,Primary!C1868)</f>
        <v>0</v>
      </c>
      <c r="D1210" s="5">
        <f>IF(ActiveDatabase=Standby,Secondary!D1210,Primary!D1868)</f>
        <v>0</v>
      </c>
      <c r="E1210" s="7">
        <f>IF(ActiveDatabase=Standby,Secondary!E1210,Primary!E1868)</f>
        <v>0</v>
      </c>
      <c r="F1210" s="8">
        <f>IF(ActiveDatabase=Standby,Secondary!F1210,Primary!F1868)</f>
        <v>0</v>
      </c>
      <c r="G1210" s="8">
        <f>IF(ActiveDatabase=Standby,Secondary!G1210,Primary!G1868)</f>
        <v>0</v>
      </c>
      <c r="H1210" s="8">
        <f>IF(ActiveDatabase=Standby,Secondary!H1210,Primary!H1868)</f>
        <v>0</v>
      </c>
      <c r="I1210" s="14">
        <f>IF(ActiveDatabase=Standby,Secondary!I1210,Primary!I1868)</f>
        <v>0</v>
      </c>
      <c r="J1210" s="14">
        <f>IF(ActiveDatabase=Standby,Secondary!J1210,Primary!J1868)</f>
        <v>0</v>
      </c>
      <c r="K1210" s="14">
        <f>IF(ActiveDatabase=Standby,Secondary!K1210,Primary!K1868)</f>
        <v>0</v>
      </c>
      <c r="L1210" s="14">
        <f>IF(ActiveDatabase=Standby,Secondary!L1210,Primary!L1868)</f>
        <v>0</v>
      </c>
      <c r="M1210" s="7">
        <f>IF(ActiveDatabase=Standby,Secondary!M1210,Primary!M1868)</f>
        <v>0</v>
      </c>
      <c r="N1210" s="8">
        <f>IF(ActiveDatabase=Standby,Secondary!N1210,Primary!N1868)</f>
        <v>0</v>
      </c>
      <c r="O1210" s="8">
        <f>IF(ActiveDatabase=Standby,Secondary!O1210,Primary!O1868)</f>
        <v>0</v>
      </c>
      <c r="P1210" s="8">
        <f>IF(ActiveDatabase=Standby,Secondary!P1210,Primary!P1868)</f>
        <v>0</v>
      </c>
      <c r="Q1210" s="7">
        <f>IF(ActiveDatabase=Standby,Secondary!Q1210,Primary!Q1868)</f>
        <v>0</v>
      </c>
      <c r="R1210" s="16">
        <f>IF(ActiveDatabase=Standby,Secondary!R1210,Primary!R1868)</f>
        <v>0</v>
      </c>
      <c r="S1210" s="17">
        <f>IF(ActiveDatabase=Standby,Secondary!S1210,Primary!S1868)</f>
        <v>0</v>
      </c>
      <c r="T1210" s="8">
        <f>IF(ActiveDatabase=Standby,Secondary!T1210,Primary!T1868)</f>
        <v>0</v>
      </c>
      <c r="U1210" s="8">
        <f>IF(ActiveDatabase=Standby,Secondary!U1210,Primary!U1868)</f>
        <v>0</v>
      </c>
      <c r="V1210" s="8">
        <f>IF(ActiveDatabase=Standby,Secondary!V1210,Primary!V1868)</f>
        <v>0</v>
      </c>
      <c r="W1210" s="7">
        <f>IF(ActiveDatabase=Standby,Secondary!W1210,Primary!W1868)</f>
        <v>0</v>
      </c>
      <c r="X1210" s="7">
        <f>IF(ActiveDatabase=Standby,Secondary!X1210,Primary!X1868)</f>
        <v>0</v>
      </c>
      <c r="Y1210" s="7">
        <f>IF(ActiveDatabase=Standby,Secondary!Y1210,Primary!Y1868)</f>
        <v>0</v>
      </c>
      <c r="Z1210" s="7">
        <f>IF(ActiveDatabase=Standby,Secondary!Z1210,Primary!Z1868)</f>
        <v>0</v>
      </c>
      <c r="AA1210" s="7">
        <f>IF(ActiveDatabase=Standby,Secondary!AA1210,Primary!AA1868)</f>
        <v>0</v>
      </c>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c r="AX1210" s="7"/>
      <c r="AY1210" s="7"/>
      <c r="AZ1210" s="7"/>
      <c r="BA1210" s="7"/>
      <c r="BB1210" s="7"/>
      <c r="BC1210" s="7"/>
      <c r="BD1210" s="7"/>
      <c r="BE1210" s="7"/>
      <c r="BF1210" s="7"/>
      <c r="BG1210" s="7"/>
    </row>
    <row r="1211" customHeight="1" spans="1:59">
      <c r="A1211" s="9">
        <f>IF(ActiveDatabase=Standby,Secondary!A1211,Primary!A1869)</f>
        <v>0</v>
      </c>
      <c r="B1211" s="5">
        <f>IF(ActiveDatabase=Standby,Secondary!B1211,Primary!B1869)</f>
        <v>0</v>
      </c>
      <c r="C1211" s="5">
        <f>IF(ActiveDatabase=Standby,Secondary!C1211,Primary!C1869)</f>
        <v>0</v>
      </c>
      <c r="D1211" s="5">
        <f>IF(ActiveDatabase=Standby,Secondary!D1211,Primary!D1869)</f>
        <v>0</v>
      </c>
      <c r="E1211" s="7">
        <f>IF(ActiveDatabase=Standby,Secondary!E1211,Primary!E1869)</f>
        <v>0</v>
      </c>
      <c r="F1211" s="8">
        <f>IF(ActiveDatabase=Standby,Secondary!F1211,Primary!F1869)</f>
        <v>0</v>
      </c>
      <c r="G1211" s="8">
        <f>IF(ActiveDatabase=Standby,Secondary!G1211,Primary!G1869)</f>
        <v>0</v>
      </c>
      <c r="H1211" s="8">
        <f>IF(ActiveDatabase=Standby,Secondary!H1211,Primary!H1869)</f>
        <v>0</v>
      </c>
      <c r="I1211" s="14">
        <f>IF(ActiveDatabase=Standby,Secondary!I1211,Primary!I1869)</f>
        <v>0</v>
      </c>
      <c r="J1211" s="14">
        <f>IF(ActiveDatabase=Standby,Secondary!J1211,Primary!J1869)</f>
        <v>0</v>
      </c>
      <c r="K1211" s="14">
        <f>IF(ActiveDatabase=Standby,Secondary!K1211,Primary!K1869)</f>
        <v>0</v>
      </c>
      <c r="L1211" s="14">
        <f>IF(ActiveDatabase=Standby,Secondary!L1211,Primary!L1869)</f>
        <v>0</v>
      </c>
      <c r="M1211" s="7">
        <f>IF(ActiveDatabase=Standby,Secondary!M1211,Primary!M1869)</f>
        <v>0</v>
      </c>
      <c r="N1211" s="8">
        <f>IF(ActiveDatabase=Standby,Secondary!N1211,Primary!N1869)</f>
        <v>0</v>
      </c>
      <c r="O1211" s="8">
        <f>IF(ActiveDatabase=Standby,Secondary!O1211,Primary!O1869)</f>
        <v>0</v>
      </c>
      <c r="P1211" s="8">
        <f>IF(ActiveDatabase=Standby,Secondary!P1211,Primary!P1869)</f>
        <v>0</v>
      </c>
      <c r="Q1211" s="7">
        <f>IF(ActiveDatabase=Standby,Secondary!Q1211,Primary!Q1869)</f>
        <v>0</v>
      </c>
      <c r="R1211" s="16">
        <f>IF(ActiveDatabase=Standby,Secondary!R1211,Primary!R1869)</f>
        <v>0</v>
      </c>
      <c r="S1211" s="17">
        <f>IF(ActiveDatabase=Standby,Secondary!S1211,Primary!S1869)</f>
        <v>0</v>
      </c>
      <c r="T1211" s="8">
        <f>IF(ActiveDatabase=Standby,Secondary!T1211,Primary!T1869)</f>
        <v>0</v>
      </c>
      <c r="U1211" s="8">
        <f>IF(ActiveDatabase=Standby,Secondary!U1211,Primary!U1869)</f>
        <v>0</v>
      </c>
      <c r="V1211" s="8">
        <f>IF(ActiveDatabase=Standby,Secondary!V1211,Primary!V1869)</f>
        <v>0</v>
      </c>
      <c r="W1211" s="7">
        <f>IF(ActiveDatabase=Standby,Secondary!W1211,Primary!W1869)</f>
        <v>0</v>
      </c>
      <c r="X1211" s="7">
        <f>IF(ActiveDatabase=Standby,Secondary!X1211,Primary!X1869)</f>
        <v>0</v>
      </c>
      <c r="Y1211" s="7">
        <f>IF(ActiveDatabase=Standby,Secondary!Y1211,Primary!Y1869)</f>
        <v>0</v>
      </c>
      <c r="Z1211" s="7">
        <f>IF(ActiveDatabase=Standby,Secondary!Z1211,Primary!Z1869)</f>
        <v>0</v>
      </c>
      <c r="AA1211" s="7">
        <f>IF(ActiveDatabase=Standby,Secondary!AA1211,Primary!AA1869)</f>
        <v>0</v>
      </c>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7"/>
      <c r="BD1211" s="7"/>
      <c r="BE1211" s="7"/>
      <c r="BF1211" s="7"/>
      <c r="BG1211" s="7"/>
    </row>
    <row r="1212" customHeight="1" spans="1:59">
      <c r="A1212" s="9">
        <f>IF(ActiveDatabase=Standby,Secondary!A1212,Primary!A1870)</f>
        <v>0</v>
      </c>
      <c r="B1212" s="5">
        <f>IF(ActiveDatabase=Standby,Secondary!B1212,Primary!B1870)</f>
        <v>0</v>
      </c>
      <c r="C1212" s="5">
        <f>IF(ActiveDatabase=Standby,Secondary!C1212,Primary!C1870)</f>
        <v>0</v>
      </c>
      <c r="D1212" s="5">
        <f>IF(ActiveDatabase=Standby,Secondary!D1212,Primary!D1870)</f>
        <v>0</v>
      </c>
      <c r="E1212" s="7">
        <f>IF(ActiveDatabase=Standby,Secondary!E1212,Primary!E1870)</f>
        <v>0</v>
      </c>
      <c r="F1212" s="8">
        <f>IF(ActiveDatabase=Standby,Secondary!F1212,Primary!F1870)</f>
        <v>0</v>
      </c>
      <c r="G1212" s="8">
        <f>IF(ActiveDatabase=Standby,Secondary!G1212,Primary!G1870)</f>
        <v>0</v>
      </c>
      <c r="H1212" s="8">
        <f>IF(ActiveDatabase=Standby,Secondary!H1212,Primary!H1870)</f>
        <v>0</v>
      </c>
      <c r="I1212" s="14">
        <f>IF(ActiveDatabase=Standby,Secondary!I1212,Primary!I1870)</f>
        <v>0</v>
      </c>
      <c r="J1212" s="14">
        <f>IF(ActiveDatabase=Standby,Secondary!J1212,Primary!J1870)</f>
        <v>0</v>
      </c>
      <c r="K1212" s="14">
        <f>IF(ActiveDatabase=Standby,Secondary!K1212,Primary!K1870)</f>
        <v>0</v>
      </c>
      <c r="L1212" s="14">
        <f>IF(ActiveDatabase=Standby,Secondary!L1212,Primary!L1870)</f>
        <v>0</v>
      </c>
      <c r="M1212" s="7">
        <f>IF(ActiveDatabase=Standby,Secondary!M1212,Primary!M1870)</f>
        <v>0</v>
      </c>
      <c r="N1212" s="8">
        <f>IF(ActiveDatabase=Standby,Secondary!N1212,Primary!N1870)</f>
        <v>0</v>
      </c>
      <c r="O1212" s="8">
        <f>IF(ActiveDatabase=Standby,Secondary!O1212,Primary!O1870)</f>
        <v>0</v>
      </c>
      <c r="P1212" s="8">
        <f>IF(ActiveDatabase=Standby,Secondary!P1212,Primary!P1870)</f>
        <v>0</v>
      </c>
      <c r="Q1212" s="7">
        <f>IF(ActiveDatabase=Standby,Secondary!Q1212,Primary!Q1870)</f>
        <v>0</v>
      </c>
      <c r="R1212" s="16">
        <f>IF(ActiveDatabase=Standby,Secondary!R1212,Primary!R1870)</f>
        <v>0</v>
      </c>
      <c r="S1212" s="17">
        <f>IF(ActiveDatabase=Standby,Secondary!S1212,Primary!S1870)</f>
        <v>0</v>
      </c>
      <c r="T1212" s="8">
        <f>IF(ActiveDatabase=Standby,Secondary!T1212,Primary!T1870)</f>
        <v>0</v>
      </c>
      <c r="U1212" s="8">
        <f>IF(ActiveDatabase=Standby,Secondary!U1212,Primary!U1870)</f>
        <v>0</v>
      </c>
      <c r="V1212" s="8">
        <f>IF(ActiveDatabase=Standby,Secondary!V1212,Primary!V1870)</f>
        <v>0</v>
      </c>
      <c r="W1212" s="7">
        <f>IF(ActiveDatabase=Standby,Secondary!W1212,Primary!W1870)</f>
        <v>0</v>
      </c>
      <c r="X1212" s="7">
        <f>IF(ActiveDatabase=Standby,Secondary!X1212,Primary!X1870)</f>
        <v>0</v>
      </c>
      <c r="Y1212" s="7">
        <f>IF(ActiveDatabase=Standby,Secondary!Y1212,Primary!Y1870)</f>
        <v>0</v>
      </c>
      <c r="Z1212" s="7">
        <f>IF(ActiveDatabase=Standby,Secondary!Z1212,Primary!Z1870)</f>
        <v>0</v>
      </c>
      <c r="AA1212" s="7">
        <f>IF(ActiveDatabase=Standby,Secondary!AA1212,Primary!AA1870)</f>
        <v>0</v>
      </c>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7"/>
      <c r="BD1212" s="7"/>
      <c r="BE1212" s="7"/>
      <c r="BF1212" s="7"/>
      <c r="BG1212" s="7"/>
    </row>
    <row r="1213" customHeight="1" spans="1:59">
      <c r="A1213" s="9">
        <f>IF(ActiveDatabase=Standby,Secondary!A1213,Primary!A1871)</f>
        <v>0</v>
      </c>
      <c r="B1213" s="5">
        <f>IF(ActiveDatabase=Standby,Secondary!B1213,Primary!B1871)</f>
        <v>0</v>
      </c>
      <c r="C1213" s="5">
        <f>IF(ActiveDatabase=Standby,Secondary!C1213,Primary!C1871)</f>
        <v>0</v>
      </c>
      <c r="D1213" s="5">
        <f>IF(ActiveDatabase=Standby,Secondary!D1213,Primary!D1871)</f>
        <v>0</v>
      </c>
      <c r="E1213" s="7">
        <f>IF(ActiveDatabase=Standby,Secondary!E1213,Primary!E1871)</f>
        <v>0</v>
      </c>
      <c r="F1213" s="8">
        <f>IF(ActiveDatabase=Standby,Secondary!F1213,Primary!F1871)</f>
        <v>0</v>
      </c>
      <c r="G1213" s="8">
        <f>IF(ActiveDatabase=Standby,Secondary!G1213,Primary!G1871)</f>
        <v>0</v>
      </c>
      <c r="H1213" s="8">
        <f>IF(ActiveDatabase=Standby,Secondary!H1213,Primary!H1871)</f>
        <v>0</v>
      </c>
      <c r="I1213" s="14">
        <f>IF(ActiveDatabase=Standby,Secondary!I1213,Primary!I1871)</f>
        <v>0</v>
      </c>
      <c r="J1213" s="14">
        <f>IF(ActiveDatabase=Standby,Secondary!J1213,Primary!J1871)</f>
        <v>0</v>
      </c>
      <c r="K1213" s="14">
        <f>IF(ActiveDatabase=Standby,Secondary!K1213,Primary!K1871)</f>
        <v>0</v>
      </c>
      <c r="L1213" s="14">
        <f>IF(ActiveDatabase=Standby,Secondary!L1213,Primary!L1871)</f>
        <v>0</v>
      </c>
      <c r="M1213" s="7">
        <f>IF(ActiveDatabase=Standby,Secondary!M1213,Primary!M1871)</f>
        <v>0</v>
      </c>
      <c r="N1213" s="8">
        <f>IF(ActiveDatabase=Standby,Secondary!N1213,Primary!N1871)</f>
        <v>0</v>
      </c>
      <c r="O1213" s="8">
        <f>IF(ActiveDatabase=Standby,Secondary!O1213,Primary!O1871)</f>
        <v>0</v>
      </c>
      <c r="P1213" s="8">
        <f>IF(ActiveDatabase=Standby,Secondary!P1213,Primary!P1871)</f>
        <v>0</v>
      </c>
      <c r="Q1213" s="7">
        <f>IF(ActiveDatabase=Standby,Secondary!Q1213,Primary!Q1871)</f>
        <v>0</v>
      </c>
      <c r="R1213" s="16">
        <f>IF(ActiveDatabase=Standby,Secondary!R1213,Primary!R1871)</f>
        <v>0</v>
      </c>
      <c r="S1213" s="17">
        <f>IF(ActiveDatabase=Standby,Secondary!S1213,Primary!S1871)</f>
        <v>0</v>
      </c>
      <c r="T1213" s="8">
        <f>IF(ActiveDatabase=Standby,Secondary!T1213,Primary!T1871)</f>
        <v>0</v>
      </c>
      <c r="U1213" s="8">
        <f>IF(ActiveDatabase=Standby,Secondary!U1213,Primary!U1871)</f>
        <v>0</v>
      </c>
      <c r="V1213" s="8">
        <f>IF(ActiveDatabase=Standby,Secondary!V1213,Primary!V1871)</f>
        <v>0</v>
      </c>
      <c r="W1213" s="7">
        <f>IF(ActiveDatabase=Standby,Secondary!W1213,Primary!W1871)</f>
        <v>0</v>
      </c>
      <c r="X1213" s="7">
        <f>IF(ActiveDatabase=Standby,Secondary!X1213,Primary!X1871)</f>
        <v>0</v>
      </c>
      <c r="Y1213" s="7">
        <f>IF(ActiveDatabase=Standby,Secondary!Y1213,Primary!Y1871)</f>
        <v>0</v>
      </c>
      <c r="Z1213" s="7">
        <f>IF(ActiveDatabase=Standby,Secondary!Z1213,Primary!Z1871)</f>
        <v>0</v>
      </c>
      <c r="AA1213" s="7">
        <f>IF(ActiveDatabase=Standby,Secondary!AA1213,Primary!AA1871)</f>
        <v>0</v>
      </c>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c r="AX1213" s="7"/>
      <c r="AY1213" s="7"/>
      <c r="AZ1213" s="7"/>
      <c r="BA1213" s="7"/>
      <c r="BB1213" s="7"/>
      <c r="BC1213" s="7"/>
      <c r="BD1213" s="7"/>
      <c r="BE1213" s="7"/>
      <c r="BF1213" s="7"/>
      <c r="BG1213" s="7"/>
    </row>
    <row r="1214" customHeight="1" spans="1:59">
      <c r="A1214" s="9">
        <f>IF(ActiveDatabase=Standby,Secondary!A1214,Primary!A1872)</f>
        <v>0</v>
      </c>
      <c r="B1214" s="5">
        <f>IF(ActiveDatabase=Standby,Secondary!B1214,Primary!B1872)</f>
        <v>0</v>
      </c>
      <c r="C1214" s="5">
        <f>IF(ActiveDatabase=Standby,Secondary!C1214,Primary!C1872)</f>
        <v>0</v>
      </c>
      <c r="D1214" s="5">
        <f>IF(ActiveDatabase=Standby,Secondary!D1214,Primary!D1872)</f>
        <v>0</v>
      </c>
      <c r="E1214" s="7">
        <f>IF(ActiveDatabase=Standby,Secondary!E1214,Primary!E1872)</f>
        <v>0</v>
      </c>
      <c r="F1214" s="8">
        <f>IF(ActiveDatabase=Standby,Secondary!F1214,Primary!F1872)</f>
        <v>0</v>
      </c>
      <c r="G1214" s="8">
        <f>IF(ActiveDatabase=Standby,Secondary!G1214,Primary!G1872)</f>
        <v>0</v>
      </c>
      <c r="H1214" s="8">
        <f>IF(ActiveDatabase=Standby,Secondary!H1214,Primary!H1872)</f>
        <v>0</v>
      </c>
      <c r="I1214" s="14">
        <f>IF(ActiveDatabase=Standby,Secondary!I1214,Primary!I1872)</f>
        <v>0</v>
      </c>
      <c r="J1214" s="14">
        <f>IF(ActiveDatabase=Standby,Secondary!J1214,Primary!J1872)</f>
        <v>0</v>
      </c>
      <c r="K1214" s="14">
        <f>IF(ActiveDatabase=Standby,Secondary!K1214,Primary!K1872)</f>
        <v>0</v>
      </c>
      <c r="L1214" s="14">
        <f>IF(ActiveDatabase=Standby,Secondary!L1214,Primary!L1872)</f>
        <v>0</v>
      </c>
      <c r="M1214" s="7">
        <f>IF(ActiveDatabase=Standby,Secondary!M1214,Primary!M1872)</f>
        <v>0</v>
      </c>
      <c r="N1214" s="8">
        <f>IF(ActiveDatabase=Standby,Secondary!N1214,Primary!N1872)</f>
        <v>0</v>
      </c>
      <c r="O1214" s="8">
        <f>IF(ActiveDatabase=Standby,Secondary!O1214,Primary!O1872)</f>
        <v>0</v>
      </c>
      <c r="P1214" s="8">
        <f>IF(ActiveDatabase=Standby,Secondary!P1214,Primary!P1872)</f>
        <v>0</v>
      </c>
      <c r="Q1214" s="7">
        <f>IF(ActiveDatabase=Standby,Secondary!Q1214,Primary!Q1872)</f>
        <v>0</v>
      </c>
      <c r="R1214" s="16">
        <f>IF(ActiveDatabase=Standby,Secondary!R1214,Primary!R1872)</f>
        <v>0</v>
      </c>
      <c r="S1214" s="17">
        <f>IF(ActiveDatabase=Standby,Secondary!S1214,Primary!S1872)</f>
        <v>0</v>
      </c>
      <c r="T1214" s="8">
        <f>IF(ActiveDatabase=Standby,Secondary!T1214,Primary!T1872)</f>
        <v>0</v>
      </c>
      <c r="U1214" s="8">
        <f>IF(ActiveDatabase=Standby,Secondary!U1214,Primary!U1872)</f>
        <v>0</v>
      </c>
      <c r="V1214" s="8">
        <f>IF(ActiveDatabase=Standby,Secondary!V1214,Primary!V1872)</f>
        <v>0</v>
      </c>
      <c r="W1214" s="7">
        <f>IF(ActiveDatabase=Standby,Secondary!W1214,Primary!W1872)</f>
        <v>0</v>
      </c>
      <c r="X1214" s="7">
        <f>IF(ActiveDatabase=Standby,Secondary!X1214,Primary!X1872)</f>
        <v>0</v>
      </c>
      <c r="Y1214" s="7">
        <f>IF(ActiveDatabase=Standby,Secondary!Y1214,Primary!Y1872)</f>
        <v>0</v>
      </c>
      <c r="Z1214" s="7">
        <f>IF(ActiveDatabase=Standby,Secondary!Z1214,Primary!Z1872)</f>
        <v>0</v>
      </c>
      <c r="AA1214" s="7">
        <f>IF(ActiveDatabase=Standby,Secondary!AA1214,Primary!AA1872)</f>
        <v>0</v>
      </c>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c r="AX1214" s="7"/>
      <c r="AY1214" s="7"/>
      <c r="AZ1214" s="7"/>
      <c r="BA1214" s="7"/>
      <c r="BB1214" s="7"/>
      <c r="BC1214" s="7"/>
      <c r="BD1214" s="7"/>
      <c r="BE1214" s="7"/>
      <c r="BF1214" s="7"/>
      <c r="BG1214" s="7"/>
    </row>
    <row r="1215" customHeight="1" spans="1:59">
      <c r="A1215" s="9">
        <f>IF(ActiveDatabase=Standby,Secondary!A1215,Primary!A1873)</f>
        <v>0</v>
      </c>
      <c r="B1215" s="5">
        <f>IF(ActiveDatabase=Standby,Secondary!B1215,Primary!B1873)</f>
        <v>0</v>
      </c>
      <c r="C1215" s="5">
        <f>IF(ActiveDatabase=Standby,Secondary!C1215,Primary!C1873)</f>
        <v>0</v>
      </c>
      <c r="D1215" s="5">
        <f>IF(ActiveDatabase=Standby,Secondary!D1215,Primary!D1873)</f>
        <v>0</v>
      </c>
      <c r="E1215" s="7">
        <f>IF(ActiveDatabase=Standby,Secondary!E1215,Primary!E1873)</f>
        <v>0</v>
      </c>
      <c r="F1215" s="8">
        <f>IF(ActiveDatabase=Standby,Secondary!F1215,Primary!F1873)</f>
        <v>0</v>
      </c>
      <c r="G1215" s="8">
        <f>IF(ActiveDatabase=Standby,Secondary!G1215,Primary!G1873)</f>
        <v>0</v>
      </c>
      <c r="H1215" s="8">
        <f>IF(ActiveDatabase=Standby,Secondary!H1215,Primary!H1873)</f>
        <v>0</v>
      </c>
      <c r="I1215" s="14">
        <f>IF(ActiveDatabase=Standby,Secondary!I1215,Primary!I1873)</f>
        <v>0</v>
      </c>
      <c r="J1215" s="14">
        <f>IF(ActiveDatabase=Standby,Secondary!J1215,Primary!J1873)</f>
        <v>0</v>
      </c>
      <c r="K1215" s="14">
        <f>IF(ActiveDatabase=Standby,Secondary!K1215,Primary!K1873)</f>
        <v>0</v>
      </c>
      <c r="L1215" s="14">
        <f>IF(ActiveDatabase=Standby,Secondary!L1215,Primary!L1873)</f>
        <v>0</v>
      </c>
      <c r="M1215" s="7">
        <f>IF(ActiveDatabase=Standby,Secondary!M1215,Primary!M1873)</f>
        <v>0</v>
      </c>
      <c r="N1215" s="8">
        <f>IF(ActiveDatabase=Standby,Secondary!N1215,Primary!N1873)</f>
        <v>0</v>
      </c>
      <c r="O1215" s="8">
        <f>IF(ActiveDatabase=Standby,Secondary!O1215,Primary!O1873)</f>
        <v>0</v>
      </c>
      <c r="P1215" s="8">
        <f>IF(ActiveDatabase=Standby,Secondary!P1215,Primary!P1873)</f>
        <v>0</v>
      </c>
      <c r="Q1215" s="7">
        <f>IF(ActiveDatabase=Standby,Secondary!Q1215,Primary!Q1873)</f>
        <v>0</v>
      </c>
      <c r="R1215" s="16">
        <f>IF(ActiveDatabase=Standby,Secondary!R1215,Primary!R1873)</f>
        <v>0</v>
      </c>
      <c r="S1215" s="17">
        <f>IF(ActiveDatabase=Standby,Secondary!S1215,Primary!S1873)</f>
        <v>0</v>
      </c>
      <c r="T1215" s="8">
        <f>IF(ActiveDatabase=Standby,Secondary!T1215,Primary!T1873)</f>
        <v>0</v>
      </c>
      <c r="U1215" s="8">
        <f>IF(ActiveDatabase=Standby,Secondary!U1215,Primary!U1873)</f>
        <v>0</v>
      </c>
      <c r="V1215" s="8">
        <f>IF(ActiveDatabase=Standby,Secondary!V1215,Primary!V1873)</f>
        <v>0</v>
      </c>
      <c r="W1215" s="7">
        <f>IF(ActiveDatabase=Standby,Secondary!W1215,Primary!W1873)</f>
        <v>0</v>
      </c>
      <c r="X1215" s="7">
        <f>IF(ActiveDatabase=Standby,Secondary!X1215,Primary!X1873)</f>
        <v>0</v>
      </c>
      <c r="Y1215" s="7">
        <f>IF(ActiveDatabase=Standby,Secondary!Y1215,Primary!Y1873)</f>
        <v>0</v>
      </c>
      <c r="Z1215" s="7">
        <f>IF(ActiveDatabase=Standby,Secondary!Z1215,Primary!Z1873)</f>
        <v>0</v>
      </c>
      <c r="AA1215" s="7">
        <f>IF(ActiveDatabase=Standby,Secondary!AA1215,Primary!AA1873)</f>
        <v>0</v>
      </c>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c r="AX1215" s="7"/>
      <c r="AY1215" s="7"/>
      <c r="AZ1215" s="7"/>
      <c r="BA1215" s="7"/>
      <c r="BB1215" s="7"/>
      <c r="BC1215" s="7"/>
      <c r="BD1215" s="7"/>
      <c r="BE1215" s="7"/>
      <c r="BF1215" s="7"/>
      <c r="BG1215" s="7"/>
    </row>
    <row r="1216" customHeight="1" spans="1:59">
      <c r="A1216" s="9">
        <f>IF(ActiveDatabase=Standby,Secondary!A1216,Primary!A1874)</f>
        <v>0</v>
      </c>
      <c r="B1216" s="5">
        <f>IF(ActiveDatabase=Standby,Secondary!B1216,Primary!B1874)</f>
        <v>0</v>
      </c>
      <c r="C1216" s="5">
        <f>IF(ActiveDatabase=Standby,Secondary!C1216,Primary!C1874)</f>
        <v>0</v>
      </c>
      <c r="D1216" s="5">
        <f>IF(ActiveDatabase=Standby,Secondary!D1216,Primary!D1874)</f>
        <v>0</v>
      </c>
      <c r="E1216" s="7">
        <f>IF(ActiveDatabase=Standby,Secondary!E1216,Primary!E1874)</f>
        <v>0</v>
      </c>
      <c r="F1216" s="8">
        <f>IF(ActiveDatabase=Standby,Secondary!F1216,Primary!F1874)</f>
        <v>0</v>
      </c>
      <c r="G1216" s="8">
        <f>IF(ActiveDatabase=Standby,Secondary!G1216,Primary!G1874)</f>
        <v>0</v>
      </c>
      <c r="H1216" s="8">
        <f>IF(ActiveDatabase=Standby,Secondary!H1216,Primary!H1874)</f>
        <v>0</v>
      </c>
      <c r="I1216" s="14">
        <f>IF(ActiveDatabase=Standby,Secondary!I1216,Primary!I1874)</f>
        <v>0</v>
      </c>
      <c r="J1216" s="14">
        <f>IF(ActiveDatabase=Standby,Secondary!J1216,Primary!J1874)</f>
        <v>0</v>
      </c>
      <c r="K1216" s="14">
        <f>IF(ActiveDatabase=Standby,Secondary!K1216,Primary!K1874)</f>
        <v>0</v>
      </c>
      <c r="L1216" s="14">
        <f>IF(ActiveDatabase=Standby,Secondary!L1216,Primary!L1874)</f>
        <v>0</v>
      </c>
      <c r="M1216" s="7">
        <f>IF(ActiveDatabase=Standby,Secondary!M1216,Primary!M1874)</f>
        <v>0</v>
      </c>
      <c r="N1216" s="8">
        <f>IF(ActiveDatabase=Standby,Secondary!N1216,Primary!N1874)</f>
        <v>0</v>
      </c>
      <c r="O1216" s="8">
        <f>IF(ActiveDatabase=Standby,Secondary!O1216,Primary!O1874)</f>
        <v>0</v>
      </c>
      <c r="P1216" s="8">
        <f>IF(ActiveDatabase=Standby,Secondary!P1216,Primary!P1874)</f>
        <v>0</v>
      </c>
      <c r="Q1216" s="7">
        <f>IF(ActiveDatabase=Standby,Secondary!Q1216,Primary!Q1874)</f>
        <v>0</v>
      </c>
      <c r="R1216" s="16">
        <f>IF(ActiveDatabase=Standby,Secondary!R1216,Primary!R1874)</f>
        <v>0</v>
      </c>
      <c r="S1216" s="17">
        <f>IF(ActiveDatabase=Standby,Secondary!S1216,Primary!S1874)</f>
        <v>0</v>
      </c>
      <c r="T1216" s="8">
        <f>IF(ActiveDatabase=Standby,Secondary!T1216,Primary!T1874)</f>
        <v>0</v>
      </c>
      <c r="U1216" s="8">
        <f>IF(ActiveDatabase=Standby,Secondary!U1216,Primary!U1874)</f>
        <v>0</v>
      </c>
      <c r="V1216" s="8">
        <f>IF(ActiveDatabase=Standby,Secondary!V1216,Primary!V1874)</f>
        <v>0</v>
      </c>
      <c r="W1216" s="7">
        <f>IF(ActiveDatabase=Standby,Secondary!W1216,Primary!W1874)</f>
        <v>0</v>
      </c>
      <c r="X1216" s="7">
        <f>IF(ActiveDatabase=Standby,Secondary!X1216,Primary!X1874)</f>
        <v>0</v>
      </c>
      <c r="Y1216" s="7">
        <f>IF(ActiveDatabase=Standby,Secondary!Y1216,Primary!Y1874)</f>
        <v>0</v>
      </c>
      <c r="Z1216" s="7">
        <f>IF(ActiveDatabase=Standby,Secondary!Z1216,Primary!Z1874)</f>
        <v>0</v>
      </c>
      <c r="AA1216" s="7">
        <f>IF(ActiveDatabase=Standby,Secondary!AA1216,Primary!AA1874)</f>
        <v>0</v>
      </c>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7"/>
      <c r="BD1216" s="7"/>
      <c r="BE1216" s="7"/>
      <c r="BF1216" s="7"/>
      <c r="BG1216" s="7"/>
    </row>
    <row r="1217" customHeight="1" spans="1:59">
      <c r="A1217" s="9">
        <f>IF(ActiveDatabase=Standby,Secondary!A1217,Primary!A1875)</f>
        <v>0</v>
      </c>
      <c r="B1217" s="5">
        <f>IF(ActiveDatabase=Standby,Secondary!B1217,Primary!B1875)</f>
        <v>0</v>
      </c>
      <c r="C1217" s="5">
        <f>IF(ActiveDatabase=Standby,Secondary!C1217,Primary!C1875)</f>
        <v>0</v>
      </c>
      <c r="D1217" s="5">
        <f>IF(ActiveDatabase=Standby,Secondary!D1217,Primary!D1875)</f>
        <v>0</v>
      </c>
      <c r="E1217" s="7">
        <f>IF(ActiveDatabase=Standby,Secondary!E1217,Primary!E1875)</f>
        <v>0</v>
      </c>
      <c r="F1217" s="8">
        <f>IF(ActiveDatabase=Standby,Secondary!F1217,Primary!F1875)</f>
        <v>0</v>
      </c>
      <c r="G1217" s="8">
        <f>IF(ActiveDatabase=Standby,Secondary!G1217,Primary!G1875)</f>
        <v>0</v>
      </c>
      <c r="H1217" s="8">
        <f>IF(ActiveDatabase=Standby,Secondary!H1217,Primary!H1875)</f>
        <v>0</v>
      </c>
      <c r="I1217" s="14">
        <f>IF(ActiveDatabase=Standby,Secondary!I1217,Primary!I1875)</f>
        <v>0</v>
      </c>
      <c r="J1217" s="14">
        <f>IF(ActiveDatabase=Standby,Secondary!J1217,Primary!J1875)</f>
        <v>0</v>
      </c>
      <c r="K1217" s="14">
        <f>IF(ActiveDatabase=Standby,Secondary!K1217,Primary!K1875)</f>
        <v>0</v>
      </c>
      <c r="L1217" s="14">
        <f>IF(ActiveDatabase=Standby,Secondary!L1217,Primary!L1875)</f>
        <v>0</v>
      </c>
      <c r="M1217" s="7">
        <f>IF(ActiveDatabase=Standby,Secondary!M1217,Primary!M1875)</f>
        <v>0</v>
      </c>
      <c r="N1217" s="8">
        <f>IF(ActiveDatabase=Standby,Secondary!N1217,Primary!N1875)</f>
        <v>0</v>
      </c>
      <c r="O1217" s="8">
        <f>IF(ActiveDatabase=Standby,Secondary!O1217,Primary!O1875)</f>
        <v>0</v>
      </c>
      <c r="P1217" s="8">
        <f>IF(ActiveDatabase=Standby,Secondary!P1217,Primary!P1875)</f>
        <v>0</v>
      </c>
      <c r="Q1217" s="7">
        <f>IF(ActiveDatabase=Standby,Secondary!Q1217,Primary!Q1875)</f>
        <v>0</v>
      </c>
      <c r="R1217" s="16">
        <f>IF(ActiveDatabase=Standby,Secondary!R1217,Primary!R1875)</f>
        <v>0</v>
      </c>
      <c r="S1217" s="17">
        <f>IF(ActiveDatabase=Standby,Secondary!S1217,Primary!S1875)</f>
        <v>0</v>
      </c>
      <c r="T1217" s="8">
        <f>IF(ActiveDatabase=Standby,Secondary!T1217,Primary!T1875)</f>
        <v>0</v>
      </c>
      <c r="U1217" s="8">
        <f>IF(ActiveDatabase=Standby,Secondary!U1217,Primary!U1875)</f>
        <v>0</v>
      </c>
      <c r="V1217" s="8">
        <f>IF(ActiveDatabase=Standby,Secondary!V1217,Primary!V1875)</f>
        <v>0</v>
      </c>
      <c r="W1217" s="7">
        <f>IF(ActiveDatabase=Standby,Secondary!W1217,Primary!W1875)</f>
        <v>0</v>
      </c>
      <c r="X1217" s="7">
        <f>IF(ActiveDatabase=Standby,Secondary!X1217,Primary!X1875)</f>
        <v>0</v>
      </c>
      <c r="Y1217" s="7">
        <f>IF(ActiveDatabase=Standby,Secondary!Y1217,Primary!Y1875)</f>
        <v>0</v>
      </c>
      <c r="Z1217" s="7">
        <f>IF(ActiveDatabase=Standby,Secondary!Z1217,Primary!Z1875)</f>
        <v>0</v>
      </c>
      <c r="AA1217" s="7">
        <f>IF(ActiveDatabase=Standby,Secondary!AA1217,Primary!AA1875)</f>
        <v>0</v>
      </c>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c r="AX1217" s="7"/>
      <c r="AY1217" s="7"/>
      <c r="AZ1217" s="7"/>
      <c r="BA1217" s="7"/>
      <c r="BB1217" s="7"/>
      <c r="BC1217" s="7"/>
      <c r="BD1217" s="7"/>
      <c r="BE1217" s="7"/>
      <c r="BF1217" s="7"/>
      <c r="BG1217" s="7"/>
    </row>
    <row r="1218" customHeight="1" spans="1:59">
      <c r="A1218" s="9">
        <f>IF(ActiveDatabase=Standby,Secondary!A1218,Primary!A1876)</f>
        <v>0</v>
      </c>
      <c r="B1218" s="5">
        <f>IF(ActiveDatabase=Standby,Secondary!B1218,Primary!B1876)</f>
        <v>0</v>
      </c>
      <c r="C1218" s="5">
        <f>IF(ActiveDatabase=Standby,Secondary!C1218,Primary!C1876)</f>
        <v>0</v>
      </c>
      <c r="D1218" s="5">
        <f>IF(ActiveDatabase=Standby,Secondary!D1218,Primary!D1876)</f>
        <v>0</v>
      </c>
      <c r="E1218" s="7">
        <f>IF(ActiveDatabase=Standby,Secondary!E1218,Primary!E1876)</f>
        <v>0</v>
      </c>
      <c r="F1218" s="8">
        <f>IF(ActiveDatabase=Standby,Secondary!F1218,Primary!F1876)</f>
        <v>0</v>
      </c>
      <c r="G1218" s="8">
        <f>IF(ActiveDatabase=Standby,Secondary!G1218,Primary!G1876)</f>
        <v>0</v>
      </c>
      <c r="H1218" s="8">
        <f>IF(ActiveDatabase=Standby,Secondary!H1218,Primary!H1876)</f>
        <v>0</v>
      </c>
      <c r="I1218" s="14">
        <f>IF(ActiveDatabase=Standby,Secondary!I1218,Primary!I1876)</f>
        <v>0</v>
      </c>
      <c r="J1218" s="14">
        <f>IF(ActiveDatabase=Standby,Secondary!J1218,Primary!J1876)</f>
        <v>0</v>
      </c>
      <c r="K1218" s="14">
        <f>IF(ActiveDatabase=Standby,Secondary!K1218,Primary!K1876)</f>
        <v>0</v>
      </c>
      <c r="L1218" s="14">
        <f>IF(ActiveDatabase=Standby,Secondary!L1218,Primary!L1876)</f>
        <v>0</v>
      </c>
      <c r="M1218" s="7">
        <f>IF(ActiveDatabase=Standby,Secondary!M1218,Primary!M1876)</f>
        <v>0</v>
      </c>
      <c r="N1218" s="8">
        <f>IF(ActiveDatabase=Standby,Secondary!N1218,Primary!N1876)</f>
        <v>0</v>
      </c>
      <c r="O1218" s="8">
        <f>IF(ActiveDatabase=Standby,Secondary!O1218,Primary!O1876)</f>
        <v>0</v>
      </c>
      <c r="P1218" s="8">
        <f>IF(ActiveDatabase=Standby,Secondary!P1218,Primary!P1876)</f>
        <v>0</v>
      </c>
      <c r="Q1218" s="7">
        <f>IF(ActiveDatabase=Standby,Secondary!Q1218,Primary!Q1876)</f>
        <v>0</v>
      </c>
      <c r="R1218" s="16">
        <f>IF(ActiveDatabase=Standby,Secondary!R1218,Primary!R1876)</f>
        <v>0</v>
      </c>
      <c r="S1218" s="17">
        <f>IF(ActiveDatabase=Standby,Secondary!S1218,Primary!S1876)</f>
        <v>0</v>
      </c>
      <c r="T1218" s="8">
        <f>IF(ActiveDatabase=Standby,Secondary!T1218,Primary!T1876)</f>
        <v>0</v>
      </c>
      <c r="U1218" s="8">
        <f>IF(ActiveDatabase=Standby,Secondary!U1218,Primary!U1876)</f>
        <v>0</v>
      </c>
      <c r="V1218" s="8">
        <f>IF(ActiveDatabase=Standby,Secondary!V1218,Primary!V1876)</f>
        <v>0</v>
      </c>
      <c r="W1218" s="7">
        <f>IF(ActiveDatabase=Standby,Secondary!W1218,Primary!W1876)</f>
        <v>0</v>
      </c>
      <c r="X1218" s="7">
        <f>IF(ActiveDatabase=Standby,Secondary!X1218,Primary!X1876)</f>
        <v>0</v>
      </c>
      <c r="Y1218" s="7">
        <f>IF(ActiveDatabase=Standby,Secondary!Y1218,Primary!Y1876)</f>
        <v>0</v>
      </c>
      <c r="Z1218" s="7">
        <f>IF(ActiveDatabase=Standby,Secondary!Z1218,Primary!Z1876)</f>
        <v>0</v>
      </c>
      <c r="AA1218" s="7">
        <f>IF(ActiveDatabase=Standby,Secondary!AA1218,Primary!AA1876)</f>
        <v>0</v>
      </c>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7"/>
      <c r="BD1218" s="7"/>
      <c r="BE1218" s="7"/>
      <c r="BF1218" s="7"/>
      <c r="BG1218" s="7"/>
    </row>
    <row r="1219" customHeight="1" spans="1:59">
      <c r="A1219" s="9">
        <f>IF(ActiveDatabase=Standby,Secondary!A1219,Primary!A1877)</f>
        <v>0</v>
      </c>
      <c r="B1219" s="5">
        <f>IF(ActiveDatabase=Standby,Secondary!B1219,Primary!B1877)</f>
        <v>0</v>
      </c>
      <c r="C1219" s="5">
        <f>IF(ActiveDatabase=Standby,Secondary!C1219,Primary!C1877)</f>
        <v>0</v>
      </c>
      <c r="D1219" s="5">
        <f>IF(ActiveDatabase=Standby,Secondary!D1219,Primary!D1877)</f>
        <v>0</v>
      </c>
      <c r="E1219" s="7">
        <f>IF(ActiveDatabase=Standby,Secondary!E1219,Primary!E1877)</f>
        <v>0</v>
      </c>
      <c r="F1219" s="8">
        <f>IF(ActiveDatabase=Standby,Secondary!F1219,Primary!F1877)</f>
        <v>0</v>
      </c>
      <c r="G1219" s="8">
        <f>IF(ActiveDatabase=Standby,Secondary!G1219,Primary!G1877)</f>
        <v>0</v>
      </c>
      <c r="H1219" s="8">
        <f>IF(ActiveDatabase=Standby,Secondary!H1219,Primary!H1877)</f>
        <v>0</v>
      </c>
      <c r="I1219" s="14">
        <f>IF(ActiveDatabase=Standby,Secondary!I1219,Primary!I1877)</f>
        <v>0</v>
      </c>
      <c r="J1219" s="14">
        <f>IF(ActiveDatabase=Standby,Secondary!J1219,Primary!J1877)</f>
        <v>0</v>
      </c>
      <c r="K1219" s="14">
        <f>IF(ActiveDatabase=Standby,Secondary!K1219,Primary!K1877)</f>
        <v>0</v>
      </c>
      <c r="L1219" s="14">
        <f>IF(ActiveDatabase=Standby,Secondary!L1219,Primary!L1877)</f>
        <v>0</v>
      </c>
      <c r="M1219" s="7">
        <f>IF(ActiveDatabase=Standby,Secondary!M1219,Primary!M1877)</f>
        <v>0</v>
      </c>
      <c r="N1219" s="8">
        <f>IF(ActiveDatabase=Standby,Secondary!N1219,Primary!N1877)</f>
        <v>0</v>
      </c>
      <c r="O1219" s="8">
        <f>IF(ActiveDatabase=Standby,Secondary!O1219,Primary!O1877)</f>
        <v>0</v>
      </c>
      <c r="P1219" s="8">
        <f>IF(ActiveDatabase=Standby,Secondary!P1219,Primary!P1877)</f>
        <v>0</v>
      </c>
      <c r="Q1219" s="7">
        <f>IF(ActiveDatabase=Standby,Secondary!Q1219,Primary!Q1877)</f>
        <v>0</v>
      </c>
      <c r="R1219" s="16">
        <f>IF(ActiveDatabase=Standby,Secondary!R1219,Primary!R1877)</f>
        <v>0</v>
      </c>
      <c r="S1219" s="17">
        <f>IF(ActiveDatabase=Standby,Secondary!S1219,Primary!S1877)</f>
        <v>0</v>
      </c>
      <c r="T1219" s="8">
        <f>IF(ActiveDatabase=Standby,Secondary!T1219,Primary!T1877)</f>
        <v>0</v>
      </c>
      <c r="U1219" s="8">
        <f>IF(ActiveDatabase=Standby,Secondary!U1219,Primary!U1877)</f>
        <v>0</v>
      </c>
      <c r="V1219" s="8">
        <f>IF(ActiveDatabase=Standby,Secondary!V1219,Primary!V1877)</f>
        <v>0</v>
      </c>
      <c r="W1219" s="7">
        <f>IF(ActiveDatabase=Standby,Secondary!W1219,Primary!W1877)</f>
        <v>0</v>
      </c>
      <c r="X1219" s="7">
        <f>IF(ActiveDatabase=Standby,Secondary!X1219,Primary!X1877)</f>
        <v>0</v>
      </c>
      <c r="Y1219" s="7">
        <f>IF(ActiveDatabase=Standby,Secondary!Y1219,Primary!Y1877)</f>
        <v>0</v>
      </c>
      <c r="Z1219" s="7">
        <f>IF(ActiveDatabase=Standby,Secondary!Z1219,Primary!Z1877)</f>
        <v>0</v>
      </c>
      <c r="AA1219" s="7">
        <f>IF(ActiveDatabase=Standby,Secondary!AA1219,Primary!AA1877)</f>
        <v>0</v>
      </c>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7"/>
      <c r="BD1219" s="7"/>
      <c r="BE1219" s="7"/>
      <c r="BF1219" s="7"/>
      <c r="BG1219" s="7"/>
    </row>
    <row r="1220" customHeight="1" spans="1:59">
      <c r="A1220" s="9">
        <f>IF(ActiveDatabase=Standby,Secondary!A1220,Primary!A1878)</f>
        <v>0</v>
      </c>
      <c r="B1220" s="5">
        <f>IF(ActiveDatabase=Standby,Secondary!B1220,Primary!B1878)</f>
        <v>0</v>
      </c>
      <c r="C1220" s="5">
        <f>IF(ActiveDatabase=Standby,Secondary!C1220,Primary!C1878)</f>
        <v>0</v>
      </c>
      <c r="D1220" s="5">
        <f>IF(ActiveDatabase=Standby,Secondary!D1220,Primary!D1878)</f>
        <v>0</v>
      </c>
      <c r="E1220" s="7">
        <f>IF(ActiveDatabase=Standby,Secondary!E1220,Primary!E1878)</f>
        <v>0</v>
      </c>
      <c r="F1220" s="8">
        <f>IF(ActiveDatabase=Standby,Secondary!F1220,Primary!F1878)</f>
        <v>0</v>
      </c>
      <c r="G1220" s="8">
        <f>IF(ActiveDatabase=Standby,Secondary!G1220,Primary!G1878)</f>
        <v>0</v>
      </c>
      <c r="H1220" s="8">
        <f>IF(ActiveDatabase=Standby,Secondary!H1220,Primary!H1878)</f>
        <v>0</v>
      </c>
      <c r="I1220" s="14">
        <f>IF(ActiveDatabase=Standby,Secondary!I1220,Primary!I1878)</f>
        <v>0</v>
      </c>
      <c r="J1220" s="14">
        <f>IF(ActiveDatabase=Standby,Secondary!J1220,Primary!J1878)</f>
        <v>0</v>
      </c>
      <c r="K1220" s="14">
        <f>IF(ActiveDatabase=Standby,Secondary!K1220,Primary!K1878)</f>
        <v>0</v>
      </c>
      <c r="L1220" s="14">
        <f>IF(ActiveDatabase=Standby,Secondary!L1220,Primary!L1878)</f>
        <v>0</v>
      </c>
      <c r="M1220" s="7">
        <f>IF(ActiveDatabase=Standby,Secondary!M1220,Primary!M1878)</f>
        <v>0</v>
      </c>
      <c r="N1220" s="8">
        <f>IF(ActiveDatabase=Standby,Secondary!N1220,Primary!N1878)</f>
        <v>0</v>
      </c>
      <c r="O1220" s="8">
        <f>IF(ActiveDatabase=Standby,Secondary!O1220,Primary!O1878)</f>
        <v>0</v>
      </c>
      <c r="P1220" s="8">
        <f>IF(ActiveDatabase=Standby,Secondary!P1220,Primary!P1878)</f>
        <v>0</v>
      </c>
      <c r="Q1220" s="7">
        <f>IF(ActiveDatabase=Standby,Secondary!Q1220,Primary!Q1878)</f>
        <v>0</v>
      </c>
      <c r="R1220" s="16">
        <f>IF(ActiveDatabase=Standby,Secondary!R1220,Primary!R1878)</f>
        <v>0</v>
      </c>
      <c r="S1220" s="17">
        <f>IF(ActiveDatabase=Standby,Secondary!S1220,Primary!S1878)</f>
        <v>0</v>
      </c>
      <c r="T1220" s="8">
        <f>IF(ActiveDatabase=Standby,Secondary!T1220,Primary!T1878)</f>
        <v>0</v>
      </c>
      <c r="U1220" s="8">
        <f>IF(ActiveDatabase=Standby,Secondary!U1220,Primary!U1878)</f>
        <v>0</v>
      </c>
      <c r="V1220" s="8">
        <f>IF(ActiveDatabase=Standby,Secondary!V1220,Primary!V1878)</f>
        <v>0</v>
      </c>
      <c r="W1220" s="7">
        <f>IF(ActiveDatabase=Standby,Secondary!W1220,Primary!W1878)</f>
        <v>0</v>
      </c>
      <c r="X1220" s="7">
        <f>IF(ActiveDatabase=Standby,Secondary!X1220,Primary!X1878)</f>
        <v>0</v>
      </c>
      <c r="Y1220" s="7">
        <f>IF(ActiveDatabase=Standby,Secondary!Y1220,Primary!Y1878)</f>
        <v>0</v>
      </c>
      <c r="Z1220" s="7">
        <f>IF(ActiveDatabase=Standby,Secondary!Z1220,Primary!Z1878)</f>
        <v>0</v>
      </c>
      <c r="AA1220" s="7">
        <f>IF(ActiveDatabase=Standby,Secondary!AA1220,Primary!AA1878)</f>
        <v>0</v>
      </c>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7"/>
      <c r="BD1220" s="7"/>
      <c r="BE1220" s="7"/>
      <c r="BF1220" s="7"/>
      <c r="BG1220" s="7"/>
    </row>
    <row r="1221" customHeight="1" spans="1:59">
      <c r="A1221" s="9">
        <f>IF(ActiveDatabase=Standby,Secondary!A1221,Primary!A1879)</f>
        <v>0</v>
      </c>
      <c r="B1221" s="5">
        <f>IF(ActiveDatabase=Standby,Secondary!B1221,Primary!B1879)</f>
        <v>0</v>
      </c>
      <c r="C1221" s="5">
        <f>IF(ActiveDatabase=Standby,Secondary!C1221,Primary!C1879)</f>
        <v>0</v>
      </c>
      <c r="D1221" s="5">
        <f>IF(ActiveDatabase=Standby,Secondary!D1221,Primary!D1879)</f>
        <v>0</v>
      </c>
      <c r="E1221" s="7">
        <f>IF(ActiveDatabase=Standby,Secondary!E1221,Primary!E1879)</f>
        <v>0</v>
      </c>
      <c r="F1221" s="8">
        <f>IF(ActiveDatabase=Standby,Secondary!F1221,Primary!F1879)</f>
        <v>0</v>
      </c>
      <c r="G1221" s="8">
        <f>IF(ActiveDatabase=Standby,Secondary!G1221,Primary!G1879)</f>
        <v>0</v>
      </c>
      <c r="H1221" s="8">
        <f>IF(ActiveDatabase=Standby,Secondary!H1221,Primary!H1879)</f>
        <v>0</v>
      </c>
      <c r="I1221" s="14">
        <f>IF(ActiveDatabase=Standby,Secondary!I1221,Primary!I1879)</f>
        <v>0</v>
      </c>
      <c r="J1221" s="14">
        <f>IF(ActiveDatabase=Standby,Secondary!J1221,Primary!J1879)</f>
        <v>0</v>
      </c>
      <c r="K1221" s="14">
        <f>IF(ActiveDatabase=Standby,Secondary!K1221,Primary!K1879)</f>
        <v>0</v>
      </c>
      <c r="L1221" s="14">
        <f>IF(ActiveDatabase=Standby,Secondary!L1221,Primary!L1879)</f>
        <v>0</v>
      </c>
      <c r="M1221" s="7">
        <f>IF(ActiveDatabase=Standby,Secondary!M1221,Primary!M1879)</f>
        <v>0</v>
      </c>
      <c r="N1221" s="8">
        <f>IF(ActiveDatabase=Standby,Secondary!N1221,Primary!N1879)</f>
        <v>0</v>
      </c>
      <c r="O1221" s="8">
        <f>IF(ActiveDatabase=Standby,Secondary!O1221,Primary!O1879)</f>
        <v>0</v>
      </c>
      <c r="P1221" s="8">
        <f>IF(ActiveDatabase=Standby,Secondary!P1221,Primary!P1879)</f>
        <v>0</v>
      </c>
      <c r="Q1221" s="7">
        <f>IF(ActiveDatabase=Standby,Secondary!Q1221,Primary!Q1879)</f>
        <v>0</v>
      </c>
      <c r="R1221" s="16">
        <f>IF(ActiveDatabase=Standby,Secondary!R1221,Primary!R1879)</f>
        <v>0</v>
      </c>
      <c r="S1221" s="17">
        <f>IF(ActiveDatabase=Standby,Secondary!S1221,Primary!S1879)</f>
        <v>0</v>
      </c>
      <c r="T1221" s="8">
        <f>IF(ActiveDatabase=Standby,Secondary!T1221,Primary!T1879)</f>
        <v>0</v>
      </c>
      <c r="U1221" s="8">
        <f>IF(ActiveDatabase=Standby,Secondary!U1221,Primary!U1879)</f>
        <v>0</v>
      </c>
      <c r="V1221" s="8">
        <f>IF(ActiveDatabase=Standby,Secondary!V1221,Primary!V1879)</f>
        <v>0</v>
      </c>
      <c r="W1221" s="7">
        <f>IF(ActiveDatabase=Standby,Secondary!W1221,Primary!W1879)</f>
        <v>0</v>
      </c>
      <c r="X1221" s="7">
        <f>IF(ActiveDatabase=Standby,Secondary!X1221,Primary!X1879)</f>
        <v>0</v>
      </c>
      <c r="Y1221" s="7">
        <f>IF(ActiveDatabase=Standby,Secondary!Y1221,Primary!Y1879)</f>
        <v>0</v>
      </c>
      <c r="Z1221" s="7">
        <f>IF(ActiveDatabase=Standby,Secondary!Z1221,Primary!Z1879)</f>
        <v>0</v>
      </c>
      <c r="AA1221" s="7">
        <f>IF(ActiveDatabase=Standby,Secondary!AA1221,Primary!AA1879)</f>
        <v>0</v>
      </c>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7"/>
      <c r="BD1221" s="7"/>
      <c r="BE1221" s="7"/>
      <c r="BF1221" s="7"/>
      <c r="BG1221" s="7"/>
    </row>
    <row r="1222" customHeight="1" spans="1:59">
      <c r="A1222" s="9">
        <f>IF(ActiveDatabase=Standby,Secondary!A1222,Primary!A1880)</f>
        <v>0</v>
      </c>
      <c r="B1222" s="5">
        <f>IF(ActiveDatabase=Standby,Secondary!B1222,Primary!B1880)</f>
        <v>0</v>
      </c>
      <c r="C1222" s="5">
        <f>IF(ActiveDatabase=Standby,Secondary!C1222,Primary!C1880)</f>
        <v>0</v>
      </c>
      <c r="D1222" s="5">
        <f>IF(ActiveDatabase=Standby,Secondary!D1222,Primary!D1880)</f>
        <v>0</v>
      </c>
      <c r="E1222" s="7">
        <f>IF(ActiveDatabase=Standby,Secondary!E1222,Primary!E1880)</f>
        <v>0</v>
      </c>
      <c r="F1222" s="8">
        <f>IF(ActiveDatabase=Standby,Secondary!F1222,Primary!F1880)</f>
        <v>0</v>
      </c>
      <c r="G1222" s="8">
        <f>IF(ActiveDatabase=Standby,Secondary!G1222,Primary!G1880)</f>
        <v>0</v>
      </c>
      <c r="H1222" s="8">
        <f>IF(ActiveDatabase=Standby,Secondary!H1222,Primary!H1880)</f>
        <v>0</v>
      </c>
      <c r="I1222" s="14">
        <f>IF(ActiveDatabase=Standby,Secondary!I1222,Primary!I1880)</f>
        <v>0</v>
      </c>
      <c r="J1222" s="14">
        <f>IF(ActiveDatabase=Standby,Secondary!J1222,Primary!J1880)</f>
        <v>0</v>
      </c>
      <c r="K1222" s="14">
        <f>IF(ActiveDatabase=Standby,Secondary!K1222,Primary!K1880)</f>
        <v>0</v>
      </c>
      <c r="L1222" s="14">
        <f>IF(ActiveDatabase=Standby,Secondary!L1222,Primary!L1880)</f>
        <v>0</v>
      </c>
      <c r="M1222" s="7">
        <f>IF(ActiveDatabase=Standby,Secondary!M1222,Primary!M1880)</f>
        <v>0</v>
      </c>
      <c r="N1222" s="8">
        <f>IF(ActiveDatabase=Standby,Secondary!N1222,Primary!N1880)</f>
        <v>0</v>
      </c>
      <c r="O1222" s="8">
        <f>IF(ActiveDatabase=Standby,Secondary!O1222,Primary!O1880)</f>
        <v>0</v>
      </c>
      <c r="P1222" s="8">
        <f>IF(ActiveDatabase=Standby,Secondary!P1222,Primary!P1880)</f>
        <v>0</v>
      </c>
      <c r="Q1222" s="7">
        <f>IF(ActiveDatabase=Standby,Secondary!Q1222,Primary!Q1880)</f>
        <v>0</v>
      </c>
      <c r="R1222" s="16">
        <f>IF(ActiveDatabase=Standby,Secondary!R1222,Primary!R1880)</f>
        <v>0</v>
      </c>
      <c r="S1222" s="17">
        <f>IF(ActiveDatabase=Standby,Secondary!S1222,Primary!S1880)</f>
        <v>0</v>
      </c>
      <c r="T1222" s="8">
        <f>IF(ActiveDatabase=Standby,Secondary!T1222,Primary!T1880)</f>
        <v>0</v>
      </c>
      <c r="U1222" s="8">
        <f>IF(ActiveDatabase=Standby,Secondary!U1222,Primary!U1880)</f>
        <v>0</v>
      </c>
      <c r="V1222" s="8">
        <f>IF(ActiveDatabase=Standby,Secondary!V1222,Primary!V1880)</f>
        <v>0</v>
      </c>
      <c r="W1222" s="7">
        <f>IF(ActiveDatabase=Standby,Secondary!W1222,Primary!W1880)</f>
        <v>0</v>
      </c>
      <c r="X1222" s="7">
        <f>IF(ActiveDatabase=Standby,Secondary!X1222,Primary!X1880)</f>
        <v>0</v>
      </c>
      <c r="Y1222" s="7">
        <f>IF(ActiveDatabase=Standby,Secondary!Y1222,Primary!Y1880)</f>
        <v>0</v>
      </c>
      <c r="Z1222" s="7">
        <f>IF(ActiveDatabase=Standby,Secondary!Z1222,Primary!Z1880)</f>
        <v>0</v>
      </c>
      <c r="AA1222" s="7">
        <f>IF(ActiveDatabase=Standby,Secondary!AA1222,Primary!AA1880)</f>
        <v>0</v>
      </c>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c r="AX1222" s="7"/>
      <c r="AY1222" s="7"/>
      <c r="AZ1222" s="7"/>
      <c r="BA1222" s="7"/>
      <c r="BB1222" s="7"/>
      <c r="BC1222" s="7"/>
      <c r="BD1222" s="7"/>
      <c r="BE1222" s="7"/>
      <c r="BF1222" s="7"/>
      <c r="BG1222" s="7"/>
    </row>
    <row r="1223" customHeight="1" spans="1:59">
      <c r="A1223" s="9">
        <f>IF(ActiveDatabase=Standby,Secondary!A1223,Primary!A1881)</f>
        <v>0</v>
      </c>
      <c r="B1223" s="5">
        <f>IF(ActiveDatabase=Standby,Secondary!B1223,Primary!B1881)</f>
        <v>0</v>
      </c>
      <c r="C1223" s="5">
        <f>IF(ActiveDatabase=Standby,Secondary!C1223,Primary!C1881)</f>
        <v>0</v>
      </c>
      <c r="D1223" s="5">
        <f>IF(ActiveDatabase=Standby,Secondary!D1223,Primary!D1881)</f>
        <v>0</v>
      </c>
      <c r="E1223" s="7">
        <f>IF(ActiveDatabase=Standby,Secondary!E1223,Primary!E1881)</f>
        <v>0</v>
      </c>
      <c r="F1223" s="8">
        <f>IF(ActiveDatabase=Standby,Secondary!F1223,Primary!F1881)</f>
        <v>0</v>
      </c>
      <c r="G1223" s="8">
        <f>IF(ActiveDatabase=Standby,Secondary!G1223,Primary!G1881)</f>
        <v>0</v>
      </c>
      <c r="H1223" s="8">
        <f>IF(ActiveDatabase=Standby,Secondary!H1223,Primary!H1881)</f>
        <v>0</v>
      </c>
      <c r="I1223" s="14">
        <f>IF(ActiveDatabase=Standby,Secondary!I1223,Primary!I1881)</f>
        <v>0</v>
      </c>
      <c r="J1223" s="14">
        <f>IF(ActiveDatabase=Standby,Secondary!J1223,Primary!J1881)</f>
        <v>0</v>
      </c>
      <c r="K1223" s="14">
        <f>IF(ActiveDatabase=Standby,Secondary!K1223,Primary!K1881)</f>
        <v>0</v>
      </c>
      <c r="L1223" s="14">
        <f>IF(ActiveDatabase=Standby,Secondary!L1223,Primary!L1881)</f>
        <v>0</v>
      </c>
      <c r="M1223" s="7">
        <f>IF(ActiveDatabase=Standby,Secondary!M1223,Primary!M1881)</f>
        <v>0</v>
      </c>
      <c r="N1223" s="8">
        <f>IF(ActiveDatabase=Standby,Secondary!N1223,Primary!N1881)</f>
        <v>0</v>
      </c>
      <c r="O1223" s="8">
        <f>IF(ActiveDatabase=Standby,Secondary!O1223,Primary!O1881)</f>
        <v>0</v>
      </c>
      <c r="P1223" s="8">
        <f>IF(ActiveDatabase=Standby,Secondary!P1223,Primary!P1881)</f>
        <v>0</v>
      </c>
      <c r="Q1223" s="7">
        <f>IF(ActiveDatabase=Standby,Secondary!Q1223,Primary!Q1881)</f>
        <v>0</v>
      </c>
      <c r="R1223" s="16">
        <f>IF(ActiveDatabase=Standby,Secondary!R1223,Primary!R1881)</f>
        <v>0</v>
      </c>
      <c r="S1223" s="17">
        <f>IF(ActiveDatabase=Standby,Secondary!S1223,Primary!S1881)</f>
        <v>0</v>
      </c>
      <c r="T1223" s="8">
        <f>IF(ActiveDatabase=Standby,Secondary!T1223,Primary!T1881)</f>
        <v>0</v>
      </c>
      <c r="U1223" s="8">
        <f>IF(ActiveDatabase=Standby,Secondary!U1223,Primary!U1881)</f>
        <v>0</v>
      </c>
      <c r="V1223" s="8">
        <f>IF(ActiveDatabase=Standby,Secondary!V1223,Primary!V1881)</f>
        <v>0</v>
      </c>
      <c r="W1223" s="7">
        <f>IF(ActiveDatabase=Standby,Secondary!W1223,Primary!W1881)</f>
        <v>0</v>
      </c>
      <c r="X1223" s="7">
        <f>IF(ActiveDatabase=Standby,Secondary!X1223,Primary!X1881)</f>
        <v>0</v>
      </c>
      <c r="Y1223" s="7">
        <f>IF(ActiveDatabase=Standby,Secondary!Y1223,Primary!Y1881)</f>
        <v>0</v>
      </c>
      <c r="Z1223" s="7">
        <f>IF(ActiveDatabase=Standby,Secondary!Z1223,Primary!Z1881)</f>
        <v>0</v>
      </c>
      <c r="AA1223" s="7">
        <f>IF(ActiveDatabase=Standby,Secondary!AA1223,Primary!AA1881)</f>
        <v>0</v>
      </c>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7"/>
      <c r="BD1223" s="7"/>
      <c r="BE1223" s="7"/>
      <c r="BF1223" s="7"/>
      <c r="BG1223" s="7"/>
    </row>
    <row r="1224" customHeight="1" spans="1:59">
      <c r="A1224" s="9">
        <f>IF(ActiveDatabase=Standby,Secondary!A1224,Primary!A1882)</f>
        <v>0</v>
      </c>
      <c r="B1224" s="5">
        <f>IF(ActiveDatabase=Standby,Secondary!B1224,Primary!B1882)</f>
        <v>0</v>
      </c>
      <c r="C1224" s="5">
        <f>IF(ActiveDatabase=Standby,Secondary!C1224,Primary!C1882)</f>
        <v>0</v>
      </c>
      <c r="D1224" s="5">
        <f>IF(ActiveDatabase=Standby,Secondary!D1224,Primary!D1882)</f>
        <v>0</v>
      </c>
      <c r="E1224" s="7">
        <f>IF(ActiveDatabase=Standby,Secondary!E1224,Primary!E1882)</f>
        <v>0</v>
      </c>
      <c r="F1224" s="8">
        <f>IF(ActiveDatabase=Standby,Secondary!F1224,Primary!F1882)</f>
        <v>0</v>
      </c>
      <c r="G1224" s="8">
        <f>IF(ActiveDatabase=Standby,Secondary!G1224,Primary!G1882)</f>
        <v>0</v>
      </c>
      <c r="H1224" s="8">
        <f>IF(ActiveDatabase=Standby,Secondary!H1224,Primary!H1882)</f>
        <v>0</v>
      </c>
      <c r="I1224" s="14">
        <f>IF(ActiveDatabase=Standby,Secondary!I1224,Primary!I1882)</f>
        <v>0</v>
      </c>
      <c r="J1224" s="14">
        <f>IF(ActiveDatabase=Standby,Secondary!J1224,Primary!J1882)</f>
        <v>0</v>
      </c>
      <c r="K1224" s="14">
        <f>IF(ActiveDatabase=Standby,Secondary!K1224,Primary!K1882)</f>
        <v>0</v>
      </c>
      <c r="L1224" s="14">
        <f>IF(ActiveDatabase=Standby,Secondary!L1224,Primary!L1882)</f>
        <v>0</v>
      </c>
      <c r="M1224" s="7">
        <f>IF(ActiveDatabase=Standby,Secondary!M1224,Primary!M1882)</f>
        <v>0</v>
      </c>
      <c r="N1224" s="8">
        <f>IF(ActiveDatabase=Standby,Secondary!N1224,Primary!N1882)</f>
        <v>0</v>
      </c>
      <c r="O1224" s="8">
        <f>IF(ActiveDatabase=Standby,Secondary!O1224,Primary!O1882)</f>
        <v>0</v>
      </c>
      <c r="P1224" s="8">
        <f>IF(ActiveDatabase=Standby,Secondary!P1224,Primary!P1882)</f>
        <v>0</v>
      </c>
      <c r="Q1224" s="7">
        <f>IF(ActiveDatabase=Standby,Secondary!Q1224,Primary!Q1882)</f>
        <v>0</v>
      </c>
      <c r="R1224" s="16">
        <f>IF(ActiveDatabase=Standby,Secondary!R1224,Primary!R1882)</f>
        <v>0</v>
      </c>
      <c r="S1224" s="17">
        <f>IF(ActiveDatabase=Standby,Secondary!S1224,Primary!S1882)</f>
        <v>0</v>
      </c>
      <c r="T1224" s="8">
        <f>IF(ActiveDatabase=Standby,Secondary!T1224,Primary!T1882)</f>
        <v>0</v>
      </c>
      <c r="U1224" s="8">
        <f>IF(ActiveDatabase=Standby,Secondary!U1224,Primary!U1882)</f>
        <v>0</v>
      </c>
      <c r="V1224" s="8">
        <f>IF(ActiveDatabase=Standby,Secondary!V1224,Primary!V1882)</f>
        <v>0</v>
      </c>
      <c r="W1224" s="7">
        <f>IF(ActiveDatabase=Standby,Secondary!W1224,Primary!W1882)</f>
        <v>0</v>
      </c>
      <c r="X1224" s="7">
        <f>IF(ActiveDatabase=Standby,Secondary!X1224,Primary!X1882)</f>
        <v>0</v>
      </c>
      <c r="Y1224" s="7">
        <f>IF(ActiveDatabase=Standby,Secondary!Y1224,Primary!Y1882)</f>
        <v>0</v>
      </c>
      <c r="Z1224" s="7">
        <f>IF(ActiveDatabase=Standby,Secondary!Z1224,Primary!Z1882)</f>
        <v>0</v>
      </c>
      <c r="AA1224" s="7">
        <f>IF(ActiveDatabase=Standby,Secondary!AA1224,Primary!AA1882)</f>
        <v>0</v>
      </c>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c r="AX1224" s="7"/>
      <c r="AY1224" s="7"/>
      <c r="AZ1224" s="7"/>
      <c r="BA1224" s="7"/>
      <c r="BB1224" s="7"/>
      <c r="BC1224" s="7"/>
      <c r="BD1224" s="7"/>
      <c r="BE1224" s="7"/>
      <c r="BF1224" s="7"/>
      <c r="BG1224" s="7"/>
    </row>
    <row r="1225" customHeight="1" spans="1:59">
      <c r="A1225" s="9">
        <f>IF(ActiveDatabase=Standby,Secondary!A1225,Primary!A1883)</f>
        <v>0</v>
      </c>
      <c r="B1225" s="5">
        <f>IF(ActiveDatabase=Standby,Secondary!B1225,Primary!B1883)</f>
        <v>0</v>
      </c>
      <c r="C1225" s="5">
        <f>IF(ActiveDatabase=Standby,Secondary!C1225,Primary!C1883)</f>
        <v>0</v>
      </c>
      <c r="D1225" s="5">
        <f>IF(ActiveDatabase=Standby,Secondary!D1225,Primary!D1883)</f>
        <v>0</v>
      </c>
      <c r="E1225" s="7">
        <f>IF(ActiveDatabase=Standby,Secondary!E1225,Primary!E1883)</f>
        <v>0</v>
      </c>
      <c r="F1225" s="8">
        <f>IF(ActiveDatabase=Standby,Secondary!F1225,Primary!F1883)</f>
        <v>0</v>
      </c>
      <c r="G1225" s="8">
        <f>IF(ActiveDatabase=Standby,Secondary!G1225,Primary!G1883)</f>
        <v>0</v>
      </c>
      <c r="H1225" s="8">
        <f>IF(ActiveDatabase=Standby,Secondary!H1225,Primary!H1883)</f>
        <v>0</v>
      </c>
      <c r="I1225" s="14">
        <f>IF(ActiveDatabase=Standby,Secondary!I1225,Primary!I1883)</f>
        <v>0</v>
      </c>
      <c r="J1225" s="14">
        <f>IF(ActiveDatabase=Standby,Secondary!J1225,Primary!J1883)</f>
        <v>0</v>
      </c>
      <c r="K1225" s="14">
        <f>IF(ActiveDatabase=Standby,Secondary!K1225,Primary!K1883)</f>
        <v>0</v>
      </c>
      <c r="L1225" s="14">
        <f>IF(ActiveDatabase=Standby,Secondary!L1225,Primary!L1883)</f>
        <v>0</v>
      </c>
      <c r="M1225" s="7">
        <f>IF(ActiveDatabase=Standby,Secondary!M1225,Primary!M1883)</f>
        <v>0</v>
      </c>
      <c r="N1225" s="8">
        <f>IF(ActiveDatabase=Standby,Secondary!N1225,Primary!N1883)</f>
        <v>0</v>
      </c>
      <c r="O1225" s="8">
        <f>IF(ActiveDatabase=Standby,Secondary!O1225,Primary!O1883)</f>
        <v>0</v>
      </c>
      <c r="P1225" s="8">
        <f>IF(ActiveDatabase=Standby,Secondary!P1225,Primary!P1883)</f>
        <v>0</v>
      </c>
      <c r="Q1225" s="7">
        <f>IF(ActiveDatabase=Standby,Secondary!Q1225,Primary!Q1883)</f>
        <v>0</v>
      </c>
      <c r="R1225" s="16">
        <f>IF(ActiveDatabase=Standby,Secondary!R1225,Primary!R1883)</f>
        <v>0</v>
      </c>
      <c r="S1225" s="17">
        <f>IF(ActiveDatabase=Standby,Secondary!S1225,Primary!S1883)</f>
        <v>0</v>
      </c>
      <c r="T1225" s="8">
        <f>IF(ActiveDatabase=Standby,Secondary!T1225,Primary!T1883)</f>
        <v>0</v>
      </c>
      <c r="U1225" s="8">
        <f>IF(ActiveDatabase=Standby,Secondary!U1225,Primary!U1883)</f>
        <v>0</v>
      </c>
      <c r="V1225" s="8">
        <f>IF(ActiveDatabase=Standby,Secondary!V1225,Primary!V1883)</f>
        <v>0</v>
      </c>
      <c r="W1225" s="7">
        <f>IF(ActiveDatabase=Standby,Secondary!W1225,Primary!W1883)</f>
        <v>0</v>
      </c>
      <c r="X1225" s="7">
        <f>IF(ActiveDatabase=Standby,Secondary!X1225,Primary!X1883)</f>
        <v>0</v>
      </c>
      <c r="Y1225" s="7">
        <f>IF(ActiveDatabase=Standby,Secondary!Y1225,Primary!Y1883)</f>
        <v>0</v>
      </c>
      <c r="Z1225" s="7">
        <f>IF(ActiveDatabase=Standby,Secondary!Z1225,Primary!Z1883)</f>
        <v>0</v>
      </c>
      <c r="AA1225" s="7">
        <f>IF(ActiveDatabase=Standby,Secondary!AA1225,Primary!AA1883)</f>
        <v>0</v>
      </c>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c r="AX1225" s="7"/>
      <c r="AY1225" s="7"/>
      <c r="AZ1225" s="7"/>
      <c r="BA1225" s="7"/>
      <c r="BB1225" s="7"/>
      <c r="BC1225" s="7"/>
      <c r="BD1225" s="7"/>
      <c r="BE1225" s="7"/>
      <c r="BF1225" s="7"/>
      <c r="BG1225" s="7"/>
    </row>
    <row r="1226" customHeight="1" spans="1:59">
      <c r="A1226" s="9">
        <f>IF(ActiveDatabase=Standby,Secondary!A1226,Primary!A1884)</f>
        <v>0</v>
      </c>
      <c r="B1226" s="5">
        <f>IF(ActiveDatabase=Standby,Secondary!B1226,Primary!B1884)</f>
        <v>0</v>
      </c>
      <c r="C1226" s="5">
        <f>IF(ActiveDatabase=Standby,Secondary!C1226,Primary!C1884)</f>
        <v>0</v>
      </c>
      <c r="D1226" s="5">
        <f>IF(ActiveDatabase=Standby,Secondary!D1226,Primary!D1884)</f>
        <v>0</v>
      </c>
      <c r="E1226" s="7">
        <f>IF(ActiveDatabase=Standby,Secondary!E1226,Primary!E1884)</f>
        <v>0</v>
      </c>
      <c r="F1226" s="8">
        <f>IF(ActiveDatabase=Standby,Secondary!F1226,Primary!F1884)</f>
        <v>0</v>
      </c>
      <c r="G1226" s="8">
        <f>IF(ActiveDatabase=Standby,Secondary!G1226,Primary!G1884)</f>
        <v>0</v>
      </c>
      <c r="H1226" s="8">
        <f>IF(ActiveDatabase=Standby,Secondary!H1226,Primary!H1884)</f>
        <v>0</v>
      </c>
      <c r="I1226" s="14">
        <f>IF(ActiveDatabase=Standby,Secondary!I1226,Primary!I1884)</f>
        <v>0</v>
      </c>
      <c r="J1226" s="14">
        <f>IF(ActiveDatabase=Standby,Secondary!J1226,Primary!J1884)</f>
        <v>0</v>
      </c>
      <c r="K1226" s="14">
        <f>IF(ActiveDatabase=Standby,Secondary!K1226,Primary!K1884)</f>
        <v>0</v>
      </c>
      <c r="L1226" s="14">
        <f>IF(ActiveDatabase=Standby,Secondary!L1226,Primary!L1884)</f>
        <v>0</v>
      </c>
      <c r="M1226" s="7">
        <f>IF(ActiveDatabase=Standby,Secondary!M1226,Primary!M1884)</f>
        <v>0</v>
      </c>
      <c r="N1226" s="8">
        <f>IF(ActiveDatabase=Standby,Secondary!N1226,Primary!N1884)</f>
        <v>0</v>
      </c>
      <c r="O1226" s="8">
        <f>IF(ActiveDatabase=Standby,Secondary!O1226,Primary!O1884)</f>
        <v>0</v>
      </c>
      <c r="P1226" s="8">
        <f>IF(ActiveDatabase=Standby,Secondary!P1226,Primary!P1884)</f>
        <v>0</v>
      </c>
      <c r="Q1226" s="7">
        <f>IF(ActiveDatabase=Standby,Secondary!Q1226,Primary!Q1884)</f>
        <v>0</v>
      </c>
      <c r="R1226" s="16">
        <f>IF(ActiveDatabase=Standby,Secondary!R1226,Primary!R1884)</f>
        <v>0</v>
      </c>
      <c r="S1226" s="17">
        <f>IF(ActiveDatabase=Standby,Secondary!S1226,Primary!S1884)</f>
        <v>0</v>
      </c>
      <c r="T1226" s="8">
        <f>IF(ActiveDatabase=Standby,Secondary!T1226,Primary!T1884)</f>
        <v>0</v>
      </c>
      <c r="U1226" s="8">
        <f>IF(ActiveDatabase=Standby,Secondary!U1226,Primary!U1884)</f>
        <v>0</v>
      </c>
      <c r="V1226" s="8">
        <f>IF(ActiveDatabase=Standby,Secondary!V1226,Primary!V1884)</f>
        <v>0</v>
      </c>
      <c r="W1226" s="7">
        <f>IF(ActiveDatabase=Standby,Secondary!W1226,Primary!W1884)</f>
        <v>0</v>
      </c>
      <c r="X1226" s="7">
        <f>IF(ActiveDatabase=Standby,Secondary!X1226,Primary!X1884)</f>
        <v>0</v>
      </c>
      <c r="Y1226" s="7">
        <f>IF(ActiveDatabase=Standby,Secondary!Y1226,Primary!Y1884)</f>
        <v>0</v>
      </c>
      <c r="Z1226" s="7">
        <f>IF(ActiveDatabase=Standby,Secondary!Z1226,Primary!Z1884)</f>
        <v>0</v>
      </c>
      <c r="AA1226" s="7">
        <f>IF(ActiveDatabase=Standby,Secondary!AA1226,Primary!AA1884)</f>
        <v>0</v>
      </c>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c r="AX1226" s="7"/>
      <c r="AY1226" s="7"/>
      <c r="AZ1226" s="7"/>
      <c r="BA1226" s="7"/>
      <c r="BB1226" s="7"/>
      <c r="BC1226" s="7"/>
      <c r="BD1226" s="7"/>
      <c r="BE1226" s="7"/>
      <c r="BF1226" s="7"/>
      <c r="BG1226" s="7"/>
    </row>
    <row r="1227" customHeight="1" spans="1:59">
      <c r="A1227" s="9">
        <f>IF(ActiveDatabase=Standby,Secondary!A1227,Primary!A1885)</f>
        <v>0</v>
      </c>
      <c r="B1227" s="5">
        <f>IF(ActiveDatabase=Standby,Secondary!B1227,Primary!B1885)</f>
        <v>0</v>
      </c>
      <c r="C1227" s="5">
        <f>IF(ActiveDatabase=Standby,Secondary!C1227,Primary!C1885)</f>
        <v>0</v>
      </c>
      <c r="D1227" s="5">
        <f>IF(ActiveDatabase=Standby,Secondary!D1227,Primary!D1885)</f>
        <v>0</v>
      </c>
      <c r="E1227" s="7">
        <f>IF(ActiveDatabase=Standby,Secondary!E1227,Primary!E1885)</f>
        <v>0</v>
      </c>
      <c r="F1227" s="8">
        <f>IF(ActiveDatabase=Standby,Secondary!F1227,Primary!F1885)</f>
        <v>0</v>
      </c>
      <c r="G1227" s="8">
        <f>IF(ActiveDatabase=Standby,Secondary!G1227,Primary!G1885)</f>
        <v>0</v>
      </c>
      <c r="H1227" s="8">
        <f>IF(ActiveDatabase=Standby,Secondary!H1227,Primary!H1885)</f>
        <v>0</v>
      </c>
      <c r="I1227" s="14">
        <f>IF(ActiveDatabase=Standby,Secondary!I1227,Primary!I1885)</f>
        <v>0</v>
      </c>
      <c r="J1227" s="14">
        <f>IF(ActiveDatabase=Standby,Secondary!J1227,Primary!J1885)</f>
        <v>0</v>
      </c>
      <c r="K1227" s="14">
        <f>IF(ActiveDatabase=Standby,Secondary!K1227,Primary!K1885)</f>
        <v>0</v>
      </c>
      <c r="L1227" s="14">
        <f>IF(ActiveDatabase=Standby,Secondary!L1227,Primary!L1885)</f>
        <v>0</v>
      </c>
      <c r="M1227" s="7">
        <f>IF(ActiveDatabase=Standby,Secondary!M1227,Primary!M1885)</f>
        <v>0</v>
      </c>
      <c r="N1227" s="8">
        <f>IF(ActiveDatabase=Standby,Secondary!N1227,Primary!N1885)</f>
        <v>0</v>
      </c>
      <c r="O1227" s="8">
        <f>IF(ActiveDatabase=Standby,Secondary!O1227,Primary!O1885)</f>
        <v>0</v>
      </c>
      <c r="P1227" s="8">
        <f>IF(ActiveDatabase=Standby,Secondary!P1227,Primary!P1885)</f>
        <v>0</v>
      </c>
      <c r="Q1227" s="7">
        <f>IF(ActiveDatabase=Standby,Secondary!Q1227,Primary!Q1885)</f>
        <v>0</v>
      </c>
      <c r="R1227" s="16">
        <f>IF(ActiveDatabase=Standby,Secondary!R1227,Primary!R1885)</f>
        <v>0</v>
      </c>
      <c r="S1227" s="17">
        <f>IF(ActiveDatabase=Standby,Secondary!S1227,Primary!S1885)</f>
        <v>0</v>
      </c>
      <c r="T1227" s="8">
        <f>IF(ActiveDatabase=Standby,Secondary!T1227,Primary!T1885)</f>
        <v>0</v>
      </c>
      <c r="U1227" s="8">
        <f>IF(ActiveDatabase=Standby,Secondary!U1227,Primary!U1885)</f>
        <v>0</v>
      </c>
      <c r="V1227" s="8">
        <f>IF(ActiveDatabase=Standby,Secondary!V1227,Primary!V1885)</f>
        <v>0</v>
      </c>
      <c r="W1227" s="7">
        <f>IF(ActiveDatabase=Standby,Secondary!W1227,Primary!W1885)</f>
        <v>0</v>
      </c>
      <c r="X1227" s="7">
        <f>IF(ActiveDatabase=Standby,Secondary!X1227,Primary!X1885)</f>
        <v>0</v>
      </c>
      <c r="Y1227" s="7">
        <f>IF(ActiveDatabase=Standby,Secondary!Y1227,Primary!Y1885)</f>
        <v>0</v>
      </c>
      <c r="Z1227" s="7">
        <f>IF(ActiveDatabase=Standby,Secondary!Z1227,Primary!Z1885)</f>
        <v>0</v>
      </c>
      <c r="AA1227" s="7">
        <f>IF(ActiveDatabase=Standby,Secondary!AA1227,Primary!AA1885)</f>
        <v>0</v>
      </c>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c r="AX1227" s="7"/>
      <c r="AY1227" s="7"/>
      <c r="AZ1227" s="7"/>
      <c r="BA1227" s="7"/>
      <c r="BB1227" s="7"/>
      <c r="BC1227" s="7"/>
      <c r="BD1227" s="7"/>
      <c r="BE1227" s="7"/>
      <c r="BF1227" s="7"/>
      <c r="BG1227" s="7"/>
    </row>
    <row r="1228" customHeight="1" spans="1:59">
      <c r="A1228" s="9">
        <f>IF(ActiveDatabase=Standby,Secondary!A1228,Primary!A1886)</f>
        <v>0</v>
      </c>
      <c r="B1228" s="5">
        <f>IF(ActiveDatabase=Standby,Secondary!B1228,Primary!B1886)</f>
        <v>0</v>
      </c>
      <c r="C1228" s="5">
        <f>IF(ActiveDatabase=Standby,Secondary!C1228,Primary!C1886)</f>
        <v>0</v>
      </c>
      <c r="D1228" s="5">
        <f>IF(ActiveDatabase=Standby,Secondary!D1228,Primary!D1886)</f>
        <v>0</v>
      </c>
      <c r="E1228" s="7">
        <f>IF(ActiveDatabase=Standby,Secondary!E1228,Primary!E1886)</f>
        <v>0</v>
      </c>
      <c r="F1228" s="8">
        <f>IF(ActiveDatabase=Standby,Secondary!F1228,Primary!F1886)</f>
        <v>0</v>
      </c>
      <c r="G1228" s="8">
        <f>IF(ActiveDatabase=Standby,Secondary!G1228,Primary!G1886)</f>
        <v>0</v>
      </c>
      <c r="H1228" s="8">
        <f>IF(ActiveDatabase=Standby,Secondary!H1228,Primary!H1886)</f>
        <v>0</v>
      </c>
      <c r="I1228" s="14">
        <f>IF(ActiveDatabase=Standby,Secondary!I1228,Primary!I1886)</f>
        <v>0</v>
      </c>
      <c r="J1228" s="14">
        <f>IF(ActiveDatabase=Standby,Secondary!J1228,Primary!J1886)</f>
        <v>0</v>
      </c>
      <c r="K1228" s="14">
        <f>IF(ActiveDatabase=Standby,Secondary!K1228,Primary!K1886)</f>
        <v>0</v>
      </c>
      <c r="L1228" s="14">
        <f>IF(ActiveDatabase=Standby,Secondary!L1228,Primary!L1886)</f>
        <v>0</v>
      </c>
      <c r="M1228" s="7">
        <f>IF(ActiveDatabase=Standby,Secondary!M1228,Primary!M1886)</f>
        <v>0</v>
      </c>
      <c r="N1228" s="8">
        <f>IF(ActiveDatabase=Standby,Secondary!N1228,Primary!N1886)</f>
        <v>0</v>
      </c>
      <c r="O1228" s="8">
        <f>IF(ActiveDatabase=Standby,Secondary!O1228,Primary!O1886)</f>
        <v>0</v>
      </c>
      <c r="P1228" s="8">
        <f>IF(ActiveDatabase=Standby,Secondary!P1228,Primary!P1886)</f>
        <v>0</v>
      </c>
      <c r="Q1228" s="7">
        <f>IF(ActiveDatabase=Standby,Secondary!Q1228,Primary!Q1886)</f>
        <v>0</v>
      </c>
      <c r="R1228" s="16">
        <f>IF(ActiveDatabase=Standby,Secondary!R1228,Primary!R1886)</f>
        <v>0</v>
      </c>
      <c r="S1228" s="17">
        <f>IF(ActiveDatabase=Standby,Secondary!S1228,Primary!S1886)</f>
        <v>0</v>
      </c>
      <c r="T1228" s="8">
        <f>IF(ActiveDatabase=Standby,Secondary!T1228,Primary!T1886)</f>
        <v>0</v>
      </c>
      <c r="U1228" s="8">
        <f>IF(ActiveDatabase=Standby,Secondary!U1228,Primary!U1886)</f>
        <v>0</v>
      </c>
      <c r="V1228" s="8">
        <f>IF(ActiveDatabase=Standby,Secondary!V1228,Primary!V1886)</f>
        <v>0</v>
      </c>
      <c r="W1228" s="7">
        <f>IF(ActiveDatabase=Standby,Secondary!W1228,Primary!W1886)</f>
        <v>0</v>
      </c>
      <c r="X1228" s="7">
        <f>IF(ActiveDatabase=Standby,Secondary!X1228,Primary!X1886)</f>
        <v>0</v>
      </c>
      <c r="Y1228" s="7">
        <f>IF(ActiveDatabase=Standby,Secondary!Y1228,Primary!Y1886)</f>
        <v>0</v>
      </c>
      <c r="Z1228" s="7">
        <f>IF(ActiveDatabase=Standby,Secondary!Z1228,Primary!Z1886)</f>
        <v>0</v>
      </c>
      <c r="AA1228" s="7">
        <f>IF(ActiveDatabase=Standby,Secondary!AA1228,Primary!AA1886)</f>
        <v>0</v>
      </c>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c r="AX1228" s="7"/>
      <c r="AY1228" s="7"/>
      <c r="AZ1228" s="7"/>
      <c r="BA1228" s="7"/>
      <c r="BB1228" s="7"/>
      <c r="BC1228" s="7"/>
      <c r="BD1228" s="7"/>
      <c r="BE1228" s="7"/>
      <c r="BF1228" s="7"/>
      <c r="BG1228" s="7"/>
    </row>
    <row r="1229" customHeight="1" spans="1:59">
      <c r="A1229" s="9">
        <f>IF(ActiveDatabase=Standby,Secondary!A1229,Primary!A1887)</f>
        <v>0</v>
      </c>
      <c r="B1229" s="5">
        <f>IF(ActiveDatabase=Standby,Secondary!B1229,Primary!B1887)</f>
        <v>0</v>
      </c>
      <c r="C1229" s="5">
        <f>IF(ActiveDatabase=Standby,Secondary!C1229,Primary!C1887)</f>
        <v>0</v>
      </c>
      <c r="D1229" s="5">
        <f>IF(ActiveDatabase=Standby,Secondary!D1229,Primary!D1887)</f>
        <v>0</v>
      </c>
      <c r="E1229" s="7">
        <f>IF(ActiveDatabase=Standby,Secondary!E1229,Primary!E1887)</f>
        <v>0</v>
      </c>
      <c r="F1229" s="8">
        <f>IF(ActiveDatabase=Standby,Secondary!F1229,Primary!F1887)</f>
        <v>0</v>
      </c>
      <c r="G1229" s="8">
        <f>IF(ActiveDatabase=Standby,Secondary!G1229,Primary!G1887)</f>
        <v>0</v>
      </c>
      <c r="H1229" s="8">
        <f>IF(ActiveDatabase=Standby,Secondary!H1229,Primary!H1887)</f>
        <v>0</v>
      </c>
      <c r="I1229" s="14">
        <f>IF(ActiveDatabase=Standby,Secondary!I1229,Primary!I1887)</f>
        <v>0</v>
      </c>
      <c r="J1229" s="14">
        <f>IF(ActiveDatabase=Standby,Secondary!J1229,Primary!J1887)</f>
        <v>0</v>
      </c>
      <c r="K1229" s="14">
        <f>IF(ActiveDatabase=Standby,Secondary!K1229,Primary!K1887)</f>
        <v>0</v>
      </c>
      <c r="L1229" s="14">
        <f>IF(ActiveDatabase=Standby,Secondary!L1229,Primary!L1887)</f>
        <v>0</v>
      </c>
      <c r="M1229" s="7">
        <f>IF(ActiveDatabase=Standby,Secondary!M1229,Primary!M1887)</f>
        <v>0</v>
      </c>
      <c r="N1229" s="8">
        <f>IF(ActiveDatabase=Standby,Secondary!N1229,Primary!N1887)</f>
        <v>0</v>
      </c>
      <c r="O1229" s="8">
        <f>IF(ActiveDatabase=Standby,Secondary!O1229,Primary!O1887)</f>
        <v>0</v>
      </c>
      <c r="P1229" s="8">
        <f>IF(ActiveDatabase=Standby,Secondary!P1229,Primary!P1887)</f>
        <v>0</v>
      </c>
      <c r="Q1229" s="7">
        <f>IF(ActiveDatabase=Standby,Secondary!Q1229,Primary!Q1887)</f>
        <v>0</v>
      </c>
      <c r="R1229" s="16">
        <f>IF(ActiveDatabase=Standby,Secondary!R1229,Primary!R1887)</f>
        <v>0</v>
      </c>
      <c r="S1229" s="17">
        <f>IF(ActiveDatabase=Standby,Secondary!S1229,Primary!S1887)</f>
        <v>0</v>
      </c>
      <c r="T1229" s="8">
        <f>IF(ActiveDatabase=Standby,Secondary!T1229,Primary!T1887)</f>
        <v>0</v>
      </c>
      <c r="U1229" s="8">
        <f>IF(ActiveDatabase=Standby,Secondary!U1229,Primary!U1887)</f>
        <v>0</v>
      </c>
      <c r="V1229" s="8">
        <f>IF(ActiveDatabase=Standby,Secondary!V1229,Primary!V1887)</f>
        <v>0</v>
      </c>
      <c r="W1229" s="7">
        <f>IF(ActiveDatabase=Standby,Secondary!W1229,Primary!W1887)</f>
        <v>0</v>
      </c>
      <c r="X1229" s="7">
        <f>IF(ActiveDatabase=Standby,Secondary!X1229,Primary!X1887)</f>
        <v>0</v>
      </c>
      <c r="Y1229" s="7">
        <f>IF(ActiveDatabase=Standby,Secondary!Y1229,Primary!Y1887)</f>
        <v>0</v>
      </c>
      <c r="Z1229" s="7">
        <f>IF(ActiveDatabase=Standby,Secondary!Z1229,Primary!Z1887)</f>
        <v>0</v>
      </c>
      <c r="AA1229" s="7">
        <f>IF(ActiveDatabase=Standby,Secondary!AA1229,Primary!AA1887)</f>
        <v>0</v>
      </c>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c r="AX1229" s="7"/>
      <c r="AY1229" s="7"/>
      <c r="AZ1229" s="7"/>
      <c r="BA1229" s="7"/>
      <c r="BB1229" s="7"/>
      <c r="BC1229" s="7"/>
      <c r="BD1229" s="7"/>
      <c r="BE1229" s="7"/>
      <c r="BF1229" s="7"/>
      <c r="BG1229" s="7"/>
    </row>
    <row r="1230" customHeight="1" spans="1:59">
      <c r="A1230" s="9">
        <f>IF(ActiveDatabase=Standby,Secondary!A1230,Primary!A1888)</f>
        <v>0</v>
      </c>
      <c r="B1230" s="5">
        <f>IF(ActiveDatabase=Standby,Secondary!B1230,Primary!B1888)</f>
        <v>0</v>
      </c>
      <c r="C1230" s="5">
        <f>IF(ActiveDatabase=Standby,Secondary!C1230,Primary!C1888)</f>
        <v>0</v>
      </c>
      <c r="D1230" s="5">
        <f>IF(ActiveDatabase=Standby,Secondary!D1230,Primary!D1888)</f>
        <v>0</v>
      </c>
      <c r="E1230" s="7">
        <f>IF(ActiveDatabase=Standby,Secondary!E1230,Primary!E1888)</f>
        <v>0</v>
      </c>
      <c r="F1230" s="8">
        <f>IF(ActiveDatabase=Standby,Secondary!F1230,Primary!F1888)</f>
        <v>0</v>
      </c>
      <c r="G1230" s="8">
        <f>IF(ActiveDatabase=Standby,Secondary!G1230,Primary!G1888)</f>
        <v>0</v>
      </c>
      <c r="H1230" s="8">
        <f>IF(ActiveDatabase=Standby,Secondary!H1230,Primary!H1888)</f>
        <v>0</v>
      </c>
      <c r="I1230" s="14">
        <f>IF(ActiveDatabase=Standby,Secondary!I1230,Primary!I1888)</f>
        <v>0</v>
      </c>
      <c r="J1230" s="14">
        <f>IF(ActiveDatabase=Standby,Secondary!J1230,Primary!J1888)</f>
        <v>0</v>
      </c>
      <c r="K1230" s="14">
        <f>IF(ActiveDatabase=Standby,Secondary!K1230,Primary!K1888)</f>
        <v>0</v>
      </c>
      <c r="L1230" s="14">
        <f>IF(ActiveDatabase=Standby,Secondary!L1230,Primary!L1888)</f>
        <v>0</v>
      </c>
      <c r="M1230" s="7">
        <f>IF(ActiveDatabase=Standby,Secondary!M1230,Primary!M1888)</f>
        <v>0</v>
      </c>
      <c r="N1230" s="8">
        <f>IF(ActiveDatabase=Standby,Secondary!N1230,Primary!N1888)</f>
        <v>0</v>
      </c>
      <c r="O1230" s="8">
        <f>IF(ActiveDatabase=Standby,Secondary!O1230,Primary!O1888)</f>
        <v>0</v>
      </c>
      <c r="P1230" s="8">
        <f>IF(ActiveDatabase=Standby,Secondary!P1230,Primary!P1888)</f>
        <v>0</v>
      </c>
      <c r="Q1230" s="7">
        <f>IF(ActiveDatabase=Standby,Secondary!Q1230,Primary!Q1888)</f>
        <v>0</v>
      </c>
      <c r="R1230" s="16">
        <f>IF(ActiveDatabase=Standby,Secondary!R1230,Primary!R1888)</f>
        <v>0</v>
      </c>
      <c r="S1230" s="17">
        <f>IF(ActiveDatabase=Standby,Secondary!S1230,Primary!S1888)</f>
        <v>0</v>
      </c>
      <c r="T1230" s="8">
        <f>IF(ActiveDatabase=Standby,Secondary!T1230,Primary!T1888)</f>
        <v>0</v>
      </c>
      <c r="U1230" s="8">
        <f>IF(ActiveDatabase=Standby,Secondary!U1230,Primary!U1888)</f>
        <v>0</v>
      </c>
      <c r="V1230" s="8">
        <f>IF(ActiveDatabase=Standby,Secondary!V1230,Primary!V1888)</f>
        <v>0</v>
      </c>
      <c r="W1230" s="7">
        <f>IF(ActiveDatabase=Standby,Secondary!W1230,Primary!W1888)</f>
        <v>0</v>
      </c>
      <c r="X1230" s="7">
        <f>IF(ActiveDatabase=Standby,Secondary!X1230,Primary!X1888)</f>
        <v>0</v>
      </c>
      <c r="Y1230" s="7">
        <f>IF(ActiveDatabase=Standby,Secondary!Y1230,Primary!Y1888)</f>
        <v>0</v>
      </c>
      <c r="Z1230" s="7">
        <f>IF(ActiveDatabase=Standby,Secondary!Z1230,Primary!Z1888)</f>
        <v>0</v>
      </c>
      <c r="AA1230" s="7">
        <f>IF(ActiveDatabase=Standby,Secondary!AA1230,Primary!AA1888)</f>
        <v>0</v>
      </c>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c r="AX1230" s="7"/>
      <c r="AY1230" s="7"/>
      <c r="AZ1230" s="7"/>
      <c r="BA1230" s="7"/>
      <c r="BB1230" s="7"/>
      <c r="BC1230" s="7"/>
      <c r="BD1230" s="7"/>
      <c r="BE1230" s="7"/>
      <c r="BF1230" s="7"/>
      <c r="BG1230" s="7"/>
    </row>
    <row r="1231" customHeight="1" spans="1:59">
      <c r="A1231" s="9">
        <f>IF(ActiveDatabase=Standby,Secondary!A1231,Primary!A1889)</f>
        <v>0</v>
      </c>
      <c r="B1231" s="5">
        <f>IF(ActiveDatabase=Standby,Secondary!B1231,Primary!B1889)</f>
        <v>0</v>
      </c>
      <c r="C1231" s="5">
        <f>IF(ActiveDatabase=Standby,Secondary!C1231,Primary!C1889)</f>
        <v>0</v>
      </c>
      <c r="D1231" s="5">
        <f>IF(ActiveDatabase=Standby,Secondary!D1231,Primary!D1889)</f>
        <v>0</v>
      </c>
      <c r="E1231" s="7">
        <f>IF(ActiveDatabase=Standby,Secondary!E1231,Primary!E1889)</f>
        <v>0</v>
      </c>
      <c r="F1231" s="8">
        <f>IF(ActiveDatabase=Standby,Secondary!F1231,Primary!F1889)</f>
        <v>0</v>
      </c>
      <c r="G1231" s="8">
        <f>IF(ActiveDatabase=Standby,Secondary!G1231,Primary!G1889)</f>
        <v>0</v>
      </c>
      <c r="H1231" s="8">
        <f>IF(ActiveDatabase=Standby,Secondary!H1231,Primary!H1889)</f>
        <v>0</v>
      </c>
      <c r="I1231" s="14">
        <f>IF(ActiveDatabase=Standby,Secondary!I1231,Primary!I1889)</f>
        <v>0</v>
      </c>
      <c r="J1231" s="14">
        <f>IF(ActiveDatabase=Standby,Secondary!J1231,Primary!J1889)</f>
        <v>0</v>
      </c>
      <c r="K1231" s="14">
        <f>IF(ActiveDatabase=Standby,Secondary!K1231,Primary!K1889)</f>
        <v>0</v>
      </c>
      <c r="L1231" s="14">
        <f>IF(ActiveDatabase=Standby,Secondary!L1231,Primary!L1889)</f>
        <v>0</v>
      </c>
      <c r="M1231" s="7">
        <f>IF(ActiveDatabase=Standby,Secondary!M1231,Primary!M1889)</f>
        <v>0</v>
      </c>
      <c r="N1231" s="8">
        <f>IF(ActiveDatabase=Standby,Secondary!N1231,Primary!N1889)</f>
        <v>0</v>
      </c>
      <c r="O1231" s="8">
        <f>IF(ActiveDatabase=Standby,Secondary!O1231,Primary!O1889)</f>
        <v>0</v>
      </c>
      <c r="P1231" s="8">
        <f>IF(ActiveDatabase=Standby,Secondary!P1231,Primary!P1889)</f>
        <v>0</v>
      </c>
      <c r="Q1231" s="7">
        <f>IF(ActiveDatabase=Standby,Secondary!Q1231,Primary!Q1889)</f>
        <v>0</v>
      </c>
      <c r="R1231" s="16">
        <f>IF(ActiveDatabase=Standby,Secondary!R1231,Primary!R1889)</f>
        <v>0</v>
      </c>
      <c r="S1231" s="17">
        <f>IF(ActiveDatabase=Standby,Secondary!S1231,Primary!S1889)</f>
        <v>0</v>
      </c>
      <c r="T1231" s="8">
        <f>IF(ActiveDatabase=Standby,Secondary!T1231,Primary!T1889)</f>
        <v>0</v>
      </c>
      <c r="U1231" s="8">
        <f>IF(ActiveDatabase=Standby,Secondary!U1231,Primary!U1889)</f>
        <v>0</v>
      </c>
      <c r="V1231" s="8">
        <f>IF(ActiveDatabase=Standby,Secondary!V1231,Primary!V1889)</f>
        <v>0</v>
      </c>
      <c r="W1231" s="7">
        <f>IF(ActiveDatabase=Standby,Secondary!W1231,Primary!W1889)</f>
        <v>0</v>
      </c>
      <c r="X1231" s="7">
        <f>IF(ActiveDatabase=Standby,Secondary!X1231,Primary!X1889)</f>
        <v>0</v>
      </c>
      <c r="Y1231" s="7">
        <f>IF(ActiveDatabase=Standby,Secondary!Y1231,Primary!Y1889)</f>
        <v>0</v>
      </c>
      <c r="Z1231" s="7">
        <f>IF(ActiveDatabase=Standby,Secondary!Z1231,Primary!Z1889)</f>
        <v>0</v>
      </c>
      <c r="AA1231" s="7">
        <f>IF(ActiveDatabase=Standby,Secondary!AA1231,Primary!AA1889)</f>
        <v>0</v>
      </c>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7"/>
      <c r="BD1231" s="7"/>
      <c r="BE1231" s="7"/>
      <c r="BF1231" s="7"/>
      <c r="BG1231" s="7"/>
    </row>
    <row r="1232" customHeight="1" spans="1:59">
      <c r="A1232" s="9">
        <f>IF(ActiveDatabase=Standby,Secondary!A1232,Primary!A1890)</f>
        <v>0</v>
      </c>
      <c r="B1232" s="5">
        <f>IF(ActiveDatabase=Standby,Secondary!B1232,Primary!B1890)</f>
        <v>0</v>
      </c>
      <c r="C1232" s="5">
        <f>IF(ActiveDatabase=Standby,Secondary!C1232,Primary!C1890)</f>
        <v>0</v>
      </c>
      <c r="D1232" s="5">
        <f>IF(ActiveDatabase=Standby,Secondary!D1232,Primary!D1890)</f>
        <v>0</v>
      </c>
      <c r="E1232" s="7">
        <f>IF(ActiveDatabase=Standby,Secondary!E1232,Primary!E1890)</f>
        <v>0</v>
      </c>
      <c r="F1232" s="8">
        <f>IF(ActiveDatabase=Standby,Secondary!F1232,Primary!F1890)</f>
        <v>0</v>
      </c>
      <c r="G1232" s="8">
        <f>IF(ActiveDatabase=Standby,Secondary!G1232,Primary!G1890)</f>
        <v>0</v>
      </c>
      <c r="H1232" s="8">
        <f>IF(ActiveDatabase=Standby,Secondary!H1232,Primary!H1890)</f>
        <v>0</v>
      </c>
      <c r="I1232" s="14">
        <f>IF(ActiveDatabase=Standby,Secondary!I1232,Primary!I1890)</f>
        <v>0</v>
      </c>
      <c r="J1232" s="14">
        <f>IF(ActiveDatabase=Standby,Secondary!J1232,Primary!J1890)</f>
        <v>0</v>
      </c>
      <c r="K1232" s="14">
        <f>IF(ActiveDatabase=Standby,Secondary!K1232,Primary!K1890)</f>
        <v>0</v>
      </c>
      <c r="L1232" s="14">
        <f>IF(ActiveDatabase=Standby,Secondary!L1232,Primary!L1890)</f>
        <v>0</v>
      </c>
      <c r="M1232" s="7">
        <f>IF(ActiveDatabase=Standby,Secondary!M1232,Primary!M1890)</f>
        <v>0</v>
      </c>
      <c r="N1232" s="8">
        <f>IF(ActiveDatabase=Standby,Secondary!N1232,Primary!N1890)</f>
        <v>0</v>
      </c>
      <c r="O1232" s="8">
        <f>IF(ActiveDatabase=Standby,Secondary!O1232,Primary!O1890)</f>
        <v>0</v>
      </c>
      <c r="P1232" s="8">
        <f>IF(ActiveDatabase=Standby,Secondary!P1232,Primary!P1890)</f>
        <v>0</v>
      </c>
      <c r="Q1232" s="7">
        <f>IF(ActiveDatabase=Standby,Secondary!Q1232,Primary!Q1890)</f>
        <v>0</v>
      </c>
      <c r="R1232" s="16">
        <f>IF(ActiveDatabase=Standby,Secondary!R1232,Primary!R1890)</f>
        <v>0</v>
      </c>
      <c r="S1232" s="17">
        <f>IF(ActiveDatabase=Standby,Secondary!S1232,Primary!S1890)</f>
        <v>0</v>
      </c>
      <c r="T1232" s="8">
        <f>IF(ActiveDatabase=Standby,Secondary!T1232,Primary!T1890)</f>
        <v>0</v>
      </c>
      <c r="U1232" s="8">
        <f>IF(ActiveDatabase=Standby,Secondary!U1232,Primary!U1890)</f>
        <v>0</v>
      </c>
      <c r="V1232" s="8">
        <f>IF(ActiveDatabase=Standby,Secondary!V1232,Primary!V1890)</f>
        <v>0</v>
      </c>
      <c r="W1232" s="7">
        <f>IF(ActiveDatabase=Standby,Secondary!W1232,Primary!W1890)</f>
        <v>0</v>
      </c>
      <c r="X1232" s="7">
        <f>IF(ActiveDatabase=Standby,Secondary!X1232,Primary!X1890)</f>
        <v>0</v>
      </c>
      <c r="Y1232" s="7">
        <f>IF(ActiveDatabase=Standby,Secondary!Y1232,Primary!Y1890)</f>
        <v>0</v>
      </c>
      <c r="Z1232" s="7">
        <f>IF(ActiveDatabase=Standby,Secondary!Z1232,Primary!Z1890)</f>
        <v>0</v>
      </c>
      <c r="AA1232" s="7">
        <f>IF(ActiveDatabase=Standby,Secondary!AA1232,Primary!AA1890)</f>
        <v>0</v>
      </c>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7"/>
      <c r="BD1232" s="7"/>
      <c r="BE1232" s="7"/>
      <c r="BF1232" s="7"/>
      <c r="BG1232" s="7"/>
    </row>
    <row r="1233" customHeight="1" spans="1:59">
      <c r="A1233" s="9">
        <f>IF(ActiveDatabase=Standby,Secondary!A1233,Primary!A1891)</f>
        <v>0</v>
      </c>
      <c r="B1233" s="5">
        <f>IF(ActiveDatabase=Standby,Secondary!B1233,Primary!B1891)</f>
        <v>0</v>
      </c>
      <c r="C1233" s="5">
        <f>IF(ActiveDatabase=Standby,Secondary!C1233,Primary!C1891)</f>
        <v>0</v>
      </c>
      <c r="D1233" s="5">
        <f>IF(ActiveDatabase=Standby,Secondary!D1233,Primary!D1891)</f>
        <v>0</v>
      </c>
      <c r="E1233" s="7">
        <f>IF(ActiveDatabase=Standby,Secondary!E1233,Primary!E1891)</f>
        <v>0</v>
      </c>
      <c r="F1233" s="8">
        <f>IF(ActiveDatabase=Standby,Secondary!F1233,Primary!F1891)</f>
        <v>0</v>
      </c>
      <c r="G1233" s="8">
        <f>IF(ActiveDatabase=Standby,Secondary!G1233,Primary!G1891)</f>
        <v>0</v>
      </c>
      <c r="H1233" s="8">
        <f>IF(ActiveDatabase=Standby,Secondary!H1233,Primary!H1891)</f>
        <v>0</v>
      </c>
      <c r="I1233" s="14">
        <f>IF(ActiveDatabase=Standby,Secondary!I1233,Primary!I1891)</f>
        <v>0</v>
      </c>
      <c r="J1233" s="14">
        <f>IF(ActiveDatabase=Standby,Secondary!J1233,Primary!J1891)</f>
        <v>0</v>
      </c>
      <c r="K1233" s="14">
        <f>IF(ActiveDatabase=Standby,Secondary!K1233,Primary!K1891)</f>
        <v>0</v>
      </c>
      <c r="L1233" s="14">
        <f>IF(ActiveDatabase=Standby,Secondary!L1233,Primary!L1891)</f>
        <v>0</v>
      </c>
      <c r="M1233" s="7">
        <f>IF(ActiveDatabase=Standby,Secondary!M1233,Primary!M1891)</f>
        <v>0</v>
      </c>
      <c r="N1233" s="8">
        <f>IF(ActiveDatabase=Standby,Secondary!N1233,Primary!N1891)</f>
        <v>0</v>
      </c>
      <c r="O1233" s="8">
        <f>IF(ActiveDatabase=Standby,Secondary!O1233,Primary!O1891)</f>
        <v>0</v>
      </c>
      <c r="P1233" s="8">
        <f>IF(ActiveDatabase=Standby,Secondary!P1233,Primary!P1891)</f>
        <v>0</v>
      </c>
      <c r="Q1233" s="7">
        <f>IF(ActiveDatabase=Standby,Secondary!Q1233,Primary!Q1891)</f>
        <v>0</v>
      </c>
      <c r="R1233" s="16">
        <f>IF(ActiveDatabase=Standby,Secondary!R1233,Primary!R1891)</f>
        <v>0</v>
      </c>
      <c r="S1233" s="17">
        <f>IF(ActiveDatabase=Standby,Secondary!S1233,Primary!S1891)</f>
        <v>0</v>
      </c>
      <c r="T1233" s="8">
        <f>IF(ActiveDatabase=Standby,Secondary!T1233,Primary!T1891)</f>
        <v>0</v>
      </c>
      <c r="U1233" s="8">
        <f>IF(ActiveDatabase=Standby,Secondary!U1233,Primary!U1891)</f>
        <v>0</v>
      </c>
      <c r="V1233" s="8">
        <f>IF(ActiveDatabase=Standby,Secondary!V1233,Primary!V1891)</f>
        <v>0</v>
      </c>
      <c r="W1233" s="7">
        <f>IF(ActiveDatabase=Standby,Secondary!W1233,Primary!W1891)</f>
        <v>0</v>
      </c>
      <c r="X1233" s="7">
        <f>IF(ActiveDatabase=Standby,Secondary!X1233,Primary!X1891)</f>
        <v>0</v>
      </c>
      <c r="Y1233" s="7">
        <f>IF(ActiveDatabase=Standby,Secondary!Y1233,Primary!Y1891)</f>
        <v>0</v>
      </c>
      <c r="Z1233" s="7">
        <f>IF(ActiveDatabase=Standby,Secondary!Z1233,Primary!Z1891)</f>
        <v>0</v>
      </c>
      <c r="AA1233" s="7">
        <f>IF(ActiveDatabase=Standby,Secondary!AA1233,Primary!AA1891)</f>
        <v>0</v>
      </c>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7"/>
      <c r="BD1233" s="7"/>
      <c r="BE1233" s="7"/>
      <c r="BF1233" s="7"/>
      <c r="BG1233" s="7"/>
    </row>
    <row r="1234" customHeight="1" spans="1:59">
      <c r="A1234" s="9">
        <f>IF(ActiveDatabase=Standby,Secondary!A1234,Primary!A1892)</f>
        <v>0</v>
      </c>
      <c r="B1234" s="5">
        <f>IF(ActiveDatabase=Standby,Secondary!B1234,Primary!B1892)</f>
        <v>0</v>
      </c>
      <c r="C1234" s="5">
        <f>IF(ActiveDatabase=Standby,Secondary!C1234,Primary!C1892)</f>
        <v>0</v>
      </c>
      <c r="D1234" s="5">
        <f>IF(ActiveDatabase=Standby,Secondary!D1234,Primary!D1892)</f>
        <v>0</v>
      </c>
      <c r="E1234" s="7">
        <f>IF(ActiveDatabase=Standby,Secondary!E1234,Primary!E1892)</f>
        <v>0</v>
      </c>
      <c r="F1234" s="8">
        <f>IF(ActiveDatabase=Standby,Secondary!F1234,Primary!F1892)</f>
        <v>0</v>
      </c>
      <c r="G1234" s="8">
        <f>IF(ActiveDatabase=Standby,Secondary!G1234,Primary!G1892)</f>
        <v>0</v>
      </c>
      <c r="H1234" s="8">
        <f>IF(ActiveDatabase=Standby,Secondary!H1234,Primary!H1892)</f>
        <v>0</v>
      </c>
      <c r="I1234" s="14">
        <f>IF(ActiveDatabase=Standby,Secondary!I1234,Primary!I1892)</f>
        <v>0</v>
      </c>
      <c r="J1234" s="14">
        <f>IF(ActiveDatabase=Standby,Secondary!J1234,Primary!J1892)</f>
        <v>0</v>
      </c>
      <c r="K1234" s="14">
        <f>IF(ActiveDatabase=Standby,Secondary!K1234,Primary!K1892)</f>
        <v>0</v>
      </c>
      <c r="L1234" s="14">
        <f>IF(ActiveDatabase=Standby,Secondary!L1234,Primary!L1892)</f>
        <v>0</v>
      </c>
      <c r="M1234" s="7">
        <f>IF(ActiveDatabase=Standby,Secondary!M1234,Primary!M1892)</f>
        <v>0</v>
      </c>
      <c r="N1234" s="8">
        <f>IF(ActiveDatabase=Standby,Secondary!N1234,Primary!N1892)</f>
        <v>0</v>
      </c>
      <c r="O1234" s="8">
        <f>IF(ActiveDatabase=Standby,Secondary!O1234,Primary!O1892)</f>
        <v>0</v>
      </c>
      <c r="P1234" s="8">
        <f>IF(ActiveDatabase=Standby,Secondary!P1234,Primary!P1892)</f>
        <v>0</v>
      </c>
      <c r="Q1234" s="7">
        <f>IF(ActiveDatabase=Standby,Secondary!Q1234,Primary!Q1892)</f>
        <v>0</v>
      </c>
      <c r="R1234" s="16">
        <f>IF(ActiveDatabase=Standby,Secondary!R1234,Primary!R1892)</f>
        <v>0</v>
      </c>
      <c r="S1234" s="17">
        <f>IF(ActiveDatabase=Standby,Secondary!S1234,Primary!S1892)</f>
        <v>0</v>
      </c>
      <c r="T1234" s="8">
        <f>IF(ActiveDatabase=Standby,Secondary!T1234,Primary!T1892)</f>
        <v>0</v>
      </c>
      <c r="U1234" s="8">
        <f>IF(ActiveDatabase=Standby,Secondary!U1234,Primary!U1892)</f>
        <v>0</v>
      </c>
      <c r="V1234" s="8">
        <f>IF(ActiveDatabase=Standby,Secondary!V1234,Primary!V1892)</f>
        <v>0</v>
      </c>
      <c r="W1234" s="7">
        <f>IF(ActiveDatabase=Standby,Secondary!W1234,Primary!W1892)</f>
        <v>0</v>
      </c>
      <c r="X1234" s="7">
        <f>IF(ActiveDatabase=Standby,Secondary!X1234,Primary!X1892)</f>
        <v>0</v>
      </c>
      <c r="Y1234" s="7">
        <f>IF(ActiveDatabase=Standby,Secondary!Y1234,Primary!Y1892)</f>
        <v>0</v>
      </c>
      <c r="Z1234" s="7">
        <f>IF(ActiveDatabase=Standby,Secondary!Z1234,Primary!Z1892)</f>
        <v>0</v>
      </c>
      <c r="AA1234" s="7">
        <f>IF(ActiveDatabase=Standby,Secondary!AA1234,Primary!AA1892)</f>
        <v>0</v>
      </c>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row>
    <row r="1235" customHeight="1" spans="1:59">
      <c r="A1235" s="9">
        <f>IF(ActiveDatabase=Standby,Secondary!A1235,Primary!A1893)</f>
        <v>0</v>
      </c>
      <c r="B1235" s="5">
        <f>IF(ActiveDatabase=Standby,Secondary!B1235,Primary!B1893)</f>
        <v>0</v>
      </c>
      <c r="C1235" s="5">
        <f>IF(ActiveDatabase=Standby,Secondary!C1235,Primary!C1893)</f>
        <v>0</v>
      </c>
      <c r="D1235" s="5">
        <f>IF(ActiveDatabase=Standby,Secondary!D1235,Primary!D1893)</f>
        <v>0</v>
      </c>
      <c r="E1235" s="7">
        <f>IF(ActiveDatabase=Standby,Secondary!E1235,Primary!E1893)</f>
        <v>0</v>
      </c>
      <c r="F1235" s="8">
        <f>IF(ActiveDatabase=Standby,Secondary!F1235,Primary!F1893)</f>
        <v>0</v>
      </c>
      <c r="G1235" s="8">
        <f>IF(ActiveDatabase=Standby,Secondary!G1235,Primary!G1893)</f>
        <v>0</v>
      </c>
      <c r="H1235" s="8">
        <f>IF(ActiveDatabase=Standby,Secondary!H1235,Primary!H1893)</f>
        <v>0</v>
      </c>
      <c r="I1235" s="14">
        <f>IF(ActiveDatabase=Standby,Secondary!I1235,Primary!I1893)</f>
        <v>0</v>
      </c>
      <c r="J1235" s="14">
        <f>IF(ActiveDatabase=Standby,Secondary!J1235,Primary!J1893)</f>
        <v>0</v>
      </c>
      <c r="K1235" s="14">
        <f>IF(ActiveDatabase=Standby,Secondary!K1235,Primary!K1893)</f>
        <v>0</v>
      </c>
      <c r="L1235" s="14">
        <f>IF(ActiveDatabase=Standby,Secondary!L1235,Primary!L1893)</f>
        <v>0</v>
      </c>
      <c r="M1235" s="7">
        <f>IF(ActiveDatabase=Standby,Secondary!M1235,Primary!M1893)</f>
        <v>0</v>
      </c>
      <c r="N1235" s="8">
        <f>IF(ActiveDatabase=Standby,Secondary!N1235,Primary!N1893)</f>
        <v>0</v>
      </c>
      <c r="O1235" s="8">
        <f>IF(ActiveDatabase=Standby,Secondary!O1235,Primary!O1893)</f>
        <v>0</v>
      </c>
      <c r="P1235" s="8">
        <f>IF(ActiveDatabase=Standby,Secondary!P1235,Primary!P1893)</f>
        <v>0</v>
      </c>
      <c r="Q1235" s="7">
        <f>IF(ActiveDatabase=Standby,Secondary!Q1235,Primary!Q1893)</f>
        <v>0</v>
      </c>
      <c r="R1235" s="16">
        <f>IF(ActiveDatabase=Standby,Secondary!R1235,Primary!R1893)</f>
        <v>0</v>
      </c>
      <c r="S1235" s="17">
        <f>IF(ActiveDatabase=Standby,Secondary!S1235,Primary!S1893)</f>
        <v>0</v>
      </c>
      <c r="T1235" s="8">
        <f>IF(ActiveDatabase=Standby,Secondary!T1235,Primary!T1893)</f>
        <v>0</v>
      </c>
      <c r="U1235" s="8">
        <f>IF(ActiveDatabase=Standby,Secondary!U1235,Primary!U1893)</f>
        <v>0</v>
      </c>
      <c r="V1235" s="8">
        <f>IF(ActiveDatabase=Standby,Secondary!V1235,Primary!V1893)</f>
        <v>0</v>
      </c>
      <c r="W1235" s="7">
        <f>IF(ActiveDatabase=Standby,Secondary!W1235,Primary!W1893)</f>
        <v>0</v>
      </c>
      <c r="X1235" s="7">
        <f>IF(ActiveDatabase=Standby,Secondary!X1235,Primary!X1893)</f>
        <v>0</v>
      </c>
      <c r="Y1235" s="7">
        <f>IF(ActiveDatabase=Standby,Secondary!Y1235,Primary!Y1893)</f>
        <v>0</v>
      </c>
      <c r="Z1235" s="7">
        <f>IF(ActiveDatabase=Standby,Secondary!Z1235,Primary!Z1893)</f>
        <v>0</v>
      </c>
      <c r="AA1235" s="7">
        <f>IF(ActiveDatabase=Standby,Secondary!AA1235,Primary!AA1893)</f>
        <v>0</v>
      </c>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c r="AX1235" s="7"/>
      <c r="AY1235" s="7"/>
      <c r="AZ1235" s="7"/>
      <c r="BA1235" s="7"/>
      <c r="BB1235" s="7"/>
      <c r="BC1235" s="7"/>
      <c r="BD1235" s="7"/>
      <c r="BE1235" s="7"/>
      <c r="BF1235" s="7"/>
      <c r="BG1235" s="7"/>
    </row>
    <row r="1236" customHeight="1" spans="1:59">
      <c r="A1236" s="9">
        <f>IF(ActiveDatabase=Standby,Secondary!A1236,Primary!A1894)</f>
        <v>0</v>
      </c>
      <c r="B1236" s="5">
        <f>IF(ActiveDatabase=Standby,Secondary!B1236,Primary!B1894)</f>
        <v>0</v>
      </c>
      <c r="C1236" s="5">
        <f>IF(ActiveDatabase=Standby,Secondary!C1236,Primary!C1894)</f>
        <v>0</v>
      </c>
      <c r="D1236" s="5">
        <f>IF(ActiveDatabase=Standby,Secondary!D1236,Primary!D1894)</f>
        <v>0</v>
      </c>
      <c r="E1236" s="7">
        <f>IF(ActiveDatabase=Standby,Secondary!E1236,Primary!E1894)</f>
        <v>0</v>
      </c>
      <c r="F1236" s="8">
        <f>IF(ActiveDatabase=Standby,Secondary!F1236,Primary!F1894)</f>
        <v>0</v>
      </c>
      <c r="G1236" s="8">
        <f>IF(ActiveDatabase=Standby,Secondary!G1236,Primary!G1894)</f>
        <v>0</v>
      </c>
      <c r="H1236" s="8">
        <f>IF(ActiveDatabase=Standby,Secondary!H1236,Primary!H1894)</f>
        <v>0</v>
      </c>
      <c r="I1236" s="14">
        <f>IF(ActiveDatabase=Standby,Secondary!I1236,Primary!I1894)</f>
        <v>0</v>
      </c>
      <c r="J1236" s="14">
        <f>IF(ActiveDatabase=Standby,Secondary!J1236,Primary!J1894)</f>
        <v>0</v>
      </c>
      <c r="K1236" s="14">
        <f>IF(ActiveDatabase=Standby,Secondary!K1236,Primary!K1894)</f>
        <v>0</v>
      </c>
      <c r="L1236" s="14">
        <f>IF(ActiveDatabase=Standby,Secondary!L1236,Primary!L1894)</f>
        <v>0</v>
      </c>
      <c r="M1236" s="7">
        <f>IF(ActiveDatabase=Standby,Secondary!M1236,Primary!M1894)</f>
        <v>0</v>
      </c>
      <c r="N1236" s="8">
        <f>IF(ActiveDatabase=Standby,Secondary!N1236,Primary!N1894)</f>
        <v>0</v>
      </c>
      <c r="O1236" s="8">
        <f>IF(ActiveDatabase=Standby,Secondary!O1236,Primary!O1894)</f>
        <v>0</v>
      </c>
      <c r="P1236" s="8">
        <f>IF(ActiveDatabase=Standby,Secondary!P1236,Primary!P1894)</f>
        <v>0</v>
      </c>
      <c r="Q1236" s="7">
        <f>IF(ActiveDatabase=Standby,Secondary!Q1236,Primary!Q1894)</f>
        <v>0</v>
      </c>
      <c r="R1236" s="16">
        <f>IF(ActiveDatabase=Standby,Secondary!R1236,Primary!R1894)</f>
        <v>0</v>
      </c>
      <c r="S1236" s="17">
        <f>IF(ActiveDatabase=Standby,Secondary!S1236,Primary!S1894)</f>
        <v>0</v>
      </c>
      <c r="T1236" s="8">
        <f>IF(ActiveDatabase=Standby,Secondary!T1236,Primary!T1894)</f>
        <v>0</v>
      </c>
      <c r="U1236" s="8">
        <f>IF(ActiveDatabase=Standby,Secondary!U1236,Primary!U1894)</f>
        <v>0</v>
      </c>
      <c r="V1236" s="8">
        <f>IF(ActiveDatabase=Standby,Secondary!V1236,Primary!V1894)</f>
        <v>0</v>
      </c>
      <c r="W1236" s="7">
        <f>IF(ActiveDatabase=Standby,Secondary!W1236,Primary!W1894)</f>
        <v>0</v>
      </c>
      <c r="X1236" s="7">
        <f>IF(ActiveDatabase=Standby,Secondary!X1236,Primary!X1894)</f>
        <v>0</v>
      </c>
      <c r="Y1236" s="7">
        <f>IF(ActiveDatabase=Standby,Secondary!Y1236,Primary!Y1894)</f>
        <v>0</v>
      </c>
      <c r="Z1236" s="7">
        <f>IF(ActiveDatabase=Standby,Secondary!Z1236,Primary!Z1894)</f>
        <v>0</v>
      </c>
      <c r="AA1236" s="7">
        <f>IF(ActiveDatabase=Standby,Secondary!AA1236,Primary!AA1894)</f>
        <v>0</v>
      </c>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c r="AX1236" s="7"/>
      <c r="AY1236" s="7"/>
      <c r="AZ1236" s="7"/>
      <c r="BA1236" s="7"/>
      <c r="BB1236" s="7"/>
      <c r="BC1236" s="7"/>
      <c r="BD1236" s="7"/>
      <c r="BE1236" s="7"/>
      <c r="BF1236" s="7"/>
      <c r="BG1236" s="7"/>
    </row>
    <row r="1237" customHeight="1" spans="1:59">
      <c r="A1237" s="9">
        <f>IF(ActiveDatabase=Standby,Secondary!A1237,Primary!A1895)</f>
        <v>0</v>
      </c>
      <c r="B1237" s="5">
        <f>IF(ActiveDatabase=Standby,Secondary!B1237,Primary!B1895)</f>
        <v>0</v>
      </c>
      <c r="C1237" s="5">
        <f>IF(ActiveDatabase=Standby,Secondary!C1237,Primary!C1895)</f>
        <v>0</v>
      </c>
      <c r="D1237" s="5">
        <f>IF(ActiveDatabase=Standby,Secondary!D1237,Primary!D1895)</f>
        <v>0</v>
      </c>
      <c r="E1237" s="7">
        <f>IF(ActiveDatabase=Standby,Secondary!E1237,Primary!E1895)</f>
        <v>0</v>
      </c>
      <c r="F1237" s="8">
        <f>IF(ActiveDatabase=Standby,Secondary!F1237,Primary!F1895)</f>
        <v>0</v>
      </c>
      <c r="G1237" s="8">
        <f>IF(ActiveDatabase=Standby,Secondary!G1237,Primary!G1895)</f>
        <v>0</v>
      </c>
      <c r="H1237" s="8">
        <f>IF(ActiveDatabase=Standby,Secondary!H1237,Primary!H1895)</f>
        <v>0</v>
      </c>
      <c r="I1237" s="14">
        <f>IF(ActiveDatabase=Standby,Secondary!I1237,Primary!I1895)</f>
        <v>0</v>
      </c>
      <c r="J1237" s="14">
        <f>IF(ActiveDatabase=Standby,Secondary!J1237,Primary!J1895)</f>
        <v>0</v>
      </c>
      <c r="K1237" s="14">
        <f>IF(ActiveDatabase=Standby,Secondary!K1237,Primary!K1895)</f>
        <v>0</v>
      </c>
      <c r="L1237" s="14">
        <f>IF(ActiveDatabase=Standby,Secondary!L1237,Primary!L1895)</f>
        <v>0</v>
      </c>
      <c r="M1237" s="7">
        <f>IF(ActiveDatabase=Standby,Secondary!M1237,Primary!M1895)</f>
        <v>0</v>
      </c>
      <c r="N1237" s="8">
        <f>IF(ActiveDatabase=Standby,Secondary!N1237,Primary!N1895)</f>
        <v>0</v>
      </c>
      <c r="O1237" s="8">
        <f>IF(ActiveDatabase=Standby,Secondary!O1237,Primary!O1895)</f>
        <v>0</v>
      </c>
      <c r="P1237" s="8">
        <f>IF(ActiveDatabase=Standby,Secondary!P1237,Primary!P1895)</f>
        <v>0</v>
      </c>
      <c r="Q1237" s="7">
        <f>IF(ActiveDatabase=Standby,Secondary!Q1237,Primary!Q1895)</f>
        <v>0</v>
      </c>
      <c r="R1237" s="16">
        <f>IF(ActiveDatabase=Standby,Secondary!R1237,Primary!R1895)</f>
        <v>0</v>
      </c>
      <c r="S1237" s="17">
        <f>IF(ActiveDatabase=Standby,Secondary!S1237,Primary!S1895)</f>
        <v>0</v>
      </c>
      <c r="T1237" s="8">
        <f>IF(ActiveDatabase=Standby,Secondary!T1237,Primary!T1895)</f>
        <v>0</v>
      </c>
      <c r="U1237" s="8">
        <f>IF(ActiveDatabase=Standby,Secondary!U1237,Primary!U1895)</f>
        <v>0</v>
      </c>
      <c r="V1237" s="8">
        <f>IF(ActiveDatabase=Standby,Secondary!V1237,Primary!V1895)</f>
        <v>0</v>
      </c>
      <c r="W1237" s="7">
        <f>IF(ActiveDatabase=Standby,Secondary!W1237,Primary!W1895)</f>
        <v>0</v>
      </c>
      <c r="X1237" s="7">
        <f>IF(ActiveDatabase=Standby,Secondary!X1237,Primary!X1895)</f>
        <v>0</v>
      </c>
      <c r="Y1237" s="7">
        <f>IF(ActiveDatabase=Standby,Secondary!Y1237,Primary!Y1895)</f>
        <v>0</v>
      </c>
      <c r="Z1237" s="7">
        <f>IF(ActiveDatabase=Standby,Secondary!Z1237,Primary!Z1895)</f>
        <v>0</v>
      </c>
      <c r="AA1237" s="7">
        <f>IF(ActiveDatabase=Standby,Secondary!AA1237,Primary!AA1895)</f>
        <v>0</v>
      </c>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7"/>
      <c r="BD1237" s="7"/>
      <c r="BE1237" s="7"/>
      <c r="BF1237" s="7"/>
      <c r="BG1237" s="7"/>
    </row>
    <row r="1238" customHeight="1" spans="1:59">
      <c r="A1238" s="9">
        <f>IF(ActiveDatabase=Standby,Secondary!A1238,Primary!A1896)</f>
        <v>0</v>
      </c>
      <c r="B1238" s="5">
        <f>IF(ActiveDatabase=Standby,Secondary!B1238,Primary!B1896)</f>
        <v>0</v>
      </c>
      <c r="C1238" s="5">
        <f>IF(ActiveDatabase=Standby,Secondary!C1238,Primary!C1896)</f>
        <v>0</v>
      </c>
      <c r="D1238" s="5">
        <f>IF(ActiveDatabase=Standby,Secondary!D1238,Primary!D1896)</f>
        <v>0</v>
      </c>
      <c r="E1238" s="7">
        <f>IF(ActiveDatabase=Standby,Secondary!E1238,Primary!E1896)</f>
        <v>0</v>
      </c>
      <c r="F1238" s="8">
        <f>IF(ActiveDatabase=Standby,Secondary!F1238,Primary!F1896)</f>
        <v>0</v>
      </c>
      <c r="G1238" s="8">
        <f>IF(ActiveDatabase=Standby,Secondary!G1238,Primary!G1896)</f>
        <v>0</v>
      </c>
      <c r="H1238" s="8">
        <f>IF(ActiveDatabase=Standby,Secondary!H1238,Primary!H1896)</f>
        <v>0</v>
      </c>
      <c r="I1238" s="14">
        <f>IF(ActiveDatabase=Standby,Secondary!I1238,Primary!I1896)</f>
        <v>0</v>
      </c>
      <c r="J1238" s="14">
        <f>IF(ActiveDatabase=Standby,Secondary!J1238,Primary!J1896)</f>
        <v>0</v>
      </c>
      <c r="K1238" s="14">
        <f>IF(ActiveDatabase=Standby,Secondary!K1238,Primary!K1896)</f>
        <v>0</v>
      </c>
      <c r="L1238" s="14">
        <f>IF(ActiveDatabase=Standby,Secondary!L1238,Primary!L1896)</f>
        <v>0</v>
      </c>
      <c r="M1238" s="7">
        <f>IF(ActiveDatabase=Standby,Secondary!M1238,Primary!M1896)</f>
        <v>0</v>
      </c>
      <c r="N1238" s="8">
        <f>IF(ActiveDatabase=Standby,Secondary!N1238,Primary!N1896)</f>
        <v>0</v>
      </c>
      <c r="O1238" s="8">
        <f>IF(ActiveDatabase=Standby,Secondary!O1238,Primary!O1896)</f>
        <v>0</v>
      </c>
      <c r="P1238" s="8">
        <f>IF(ActiveDatabase=Standby,Secondary!P1238,Primary!P1896)</f>
        <v>0</v>
      </c>
      <c r="Q1238" s="7">
        <f>IF(ActiveDatabase=Standby,Secondary!Q1238,Primary!Q1896)</f>
        <v>0</v>
      </c>
      <c r="R1238" s="16">
        <f>IF(ActiveDatabase=Standby,Secondary!R1238,Primary!R1896)</f>
        <v>0</v>
      </c>
      <c r="S1238" s="17">
        <f>IF(ActiveDatabase=Standby,Secondary!S1238,Primary!S1896)</f>
        <v>0</v>
      </c>
      <c r="T1238" s="8">
        <f>IF(ActiveDatabase=Standby,Secondary!T1238,Primary!T1896)</f>
        <v>0</v>
      </c>
      <c r="U1238" s="8">
        <f>IF(ActiveDatabase=Standby,Secondary!U1238,Primary!U1896)</f>
        <v>0</v>
      </c>
      <c r="V1238" s="8">
        <f>IF(ActiveDatabase=Standby,Secondary!V1238,Primary!V1896)</f>
        <v>0</v>
      </c>
      <c r="W1238" s="7">
        <f>IF(ActiveDatabase=Standby,Secondary!W1238,Primary!W1896)</f>
        <v>0</v>
      </c>
      <c r="X1238" s="7">
        <f>IF(ActiveDatabase=Standby,Secondary!X1238,Primary!X1896)</f>
        <v>0</v>
      </c>
      <c r="Y1238" s="7">
        <f>IF(ActiveDatabase=Standby,Secondary!Y1238,Primary!Y1896)</f>
        <v>0</v>
      </c>
      <c r="Z1238" s="7">
        <f>IF(ActiveDatabase=Standby,Secondary!Z1238,Primary!Z1896)</f>
        <v>0</v>
      </c>
      <c r="AA1238" s="7">
        <f>IF(ActiveDatabase=Standby,Secondary!AA1238,Primary!AA1896)</f>
        <v>0</v>
      </c>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c r="AX1238" s="7"/>
      <c r="AY1238" s="7"/>
      <c r="AZ1238" s="7"/>
      <c r="BA1238" s="7"/>
      <c r="BB1238" s="7"/>
      <c r="BC1238" s="7"/>
      <c r="BD1238" s="7"/>
      <c r="BE1238" s="7"/>
      <c r="BF1238" s="7"/>
      <c r="BG1238" s="7"/>
    </row>
    <row r="1239" customHeight="1" spans="1:59">
      <c r="A1239" s="9">
        <f>IF(ActiveDatabase=Standby,Secondary!A1239,Primary!A1897)</f>
        <v>0</v>
      </c>
      <c r="B1239" s="5">
        <f>IF(ActiveDatabase=Standby,Secondary!B1239,Primary!B1897)</f>
        <v>0</v>
      </c>
      <c r="C1239" s="5">
        <f>IF(ActiveDatabase=Standby,Secondary!C1239,Primary!C1897)</f>
        <v>0</v>
      </c>
      <c r="D1239" s="5">
        <f>IF(ActiveDatabase=Standby,Secondary!D1239,Primary!D1897)</f>
        <v>0</v>
      </c>
      <c r="E1239" s="7">
        <f>IF(ActiveDatabase=Standby,Secondary!E1239,Primary!E1897)</f>
        <v>0</v>
      </c>
      <c r="F1239" s="8">
        <f>IF(ActiveDatabase=Standby,Secondary!F1239,Primary!F1897)</f>
        <v>0</v>
      </c>
      <c r="G1239" s="8">
        <f>IF(ActiveDatabase=Standby,Secondary!G1239,Primary!G1897)</f>
        <v>0</v>
      </c>
      <c r="H1239" s="8">
        <f>IF(ActiveDatabase=Standby,Secondary!H1239,Primary!H1897)</f>
        <v>0</v>
      </c>
      <c r="I1239" s="14">
        <f>IF(ActiveDatabase=Standby,Secondary!I1239,Primary!I1897)</f>
        <v>0</v>
      </c>
      <c r="J1239" s="14">
        <f>IF(ActiveDatabase=Standby,Secondary!J1239,Primary!J1897)</f>
        <v>0</v>
      </c>
      <c r="K1239" s="14">
        <f>IF(ActiveDatabase=Standby,Secondary!K1239,Primary!K1897)</f>
        <v>0</v>
      </c>
      <c r="L1239" s="14">
        <f>IF(ActiveDatabase=Standby,Secondary!L1239,Primary!L1897)</f>
        <v>0</v>
      </c>
      <c r="M1239" s="7">
        <f>IF(ActiveDatabase=Standby,Secondary!M1239,Primary!M1897)</f>
        <v>0</v>
      </c>
      <c r="N1239" s="8">
        <f>IF(ActiveDatabase=Standby,Secondary!N1239,Primary!N1897)</f>
        <v>0</v>
      </c>
      <c r="O1239" s="8">
        <f>IF(ActiveDatabase=Standby,Secondary!O1239,Primary!O1897)</f>
        <v>0</v>
      </c>
      <c r="P1239" s="8">
        <f>IF(ActiveDatabase=Standby,Secondary!P1239,Primary!P1897)</f>
        <v>0</v>
      </c>
      <c r="Q1239" s="7">
        <f>IF(ActiveDatabase=Standby,Secondary!Q1239,Primary!Q1897)</f>
        <v>0</v>
      </c>
      <c r="R1239" s="16">
        <f>IF(ActiveDatabase=Standby,Secondary!R1239,Primary!R1897)</f>
        <v>0</v>
      </c>
      <c r="S1239" s="17">
        <f>IF(ActiveDatabase=Standby,Secondary!S1239,Primary!S1897)</f>
        <v>0</v>
      </c>
      <c r="T1239" s="8">
        <f>IF(ActiveDatabase=Standby,Secondary!T1239,Primary!T1897)</f>
        <v>0</v>
      </c>
      <c r="U1239" s="8">
        <f>IF(ActiveDatabase=Standby,Secondary!U1239,Primary!U1897)</f>
        <v>0</v>
      </c>
      <c r="V1239" s="8">
        <f>IF(ActiveDatabase=Standby,Secondary!V1239,Primary!V1897)</f>
        <v>0</v>
      </c>
      <c r="W1239" s="7">
        <f>IF(ActiveDatabase=Standby,Secondary!W1239,Primary!W1897)</f>
        <v>0</v>
      </c>
      <c r="X1239" s="7">
        <f>IF(ActiveDatabase=Standby,Secondary!X1239,Primary!X1897)</f>
        <v>0</v>
      </c>
      <c r="Y1239" s="7">
        <f>IF(ActiveDatabase=Standby,Secondary!Y1239,Primary!Y1897)</f>
        <v>0</v>
      </c>
      <c r="Z1239" s="7">
        <f>IF(ActiveDatabase=Standby,Secondary!Z1239,Primary!Z1897)</f>
        <v>0</v>
      </c>
      <c r="AA1239" s="7">
        <f>IF(ActiveDatabase=Standby,Secondary!AA1239,Primary!AA1897)</f>
        <v>0</v>
      </c>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7"/>
      <c r="BD1239" s="7"/>
      <c r="BE1239" s="7"/>
      <c r="BF1239" s="7"/>
      <c r="BG1239" s="7"/>
    </row>
    <row r="1240" customHeight="1" spans="1:59">
      <c r="A1240" s="9">
        <f>IF(ActiveDatabase=Standby,Secondary!A1240,Primary!A1898)</f>
        <v>0</v>
      </c>
      <c r="B1240" s="5">
        <f>IF(ActiveDatabase=Standby,Secondary!B1240,Primary!B1898)</f>
        <v>0</v>
      </c>
      <c r="C1240" s="5">
        <f>IF(ActiveDatabase=Standby,Secondary!C1240,Primary!C1898)</f>
        <v>0</v>
      </c>
      <c r="D1240" s="5">
        <f>IF(ActiveDatabase=Standby,Secondary!D1240,Primary!D1898)</f>
        <v>0</v>
      </c>
      <c r="E1240" s="7">
        <f>IF(ActiveDatabase=Standby,Secondary!E1240,Primary!E1898)</f>
        <v>0</v>
      </c>
      <c r="F1240" s="8">
        <f>IF(ActiveDatabase=Standby,Secondary!F1240,Primary!F1898)</f>
        <v>0</v>
      </c>
      <c r="G1240" s="8">
        <f>IF(ActiveDatabase=Standby,Secondary!G1240,Primary!G1898)</f>
        <v>0</v>
      </c>
      <c r="H1240" s="8">
        <f>IF(ActiveDatabase=Standby,Secondary!H1240,Primary!H1898)</f>
        <v>0</v>
      </c>
      <c r="I1240" s="14">
        <f>IF(ActiveDatabase=Standby,Secondary!I1240,Primary!I1898)</f>
        <v>0</v>
      </c>
      <c r="J1240" s="14">
        <f>IF(ActiveDatabase=Standby,Secondary!J1240,Primary!J1898)</f>
        <v>0</v>
      </c>
      <c r="K1240" s="14">
        <f>IF(ActiveDatabase=Standby,Secondary!K1240,Primary!K1898)</f>
        <v>0</v>
      </c>
      <c r="L1240" s="14">
        <f>IF(ActiveDatabase=Standby,Secondary!L1240,Primary!L1898)</f>
        <v>0</v>
      </c>
      <c r="M1240" s="7">
        <f>IF(ActiveDatabase=Standby,Secondary!M1240,Primary!M1898)</f>
        <v>0</v>
      </c>
      <c r="N1240" s="8">
        <f>IF(ActiveDatabase=Standby,Secondary!N1240,Primary!N1898)</f>
        <v>0</v>
      </c>
      <c r="O1240" s="8">
        <f>IF(ActiveDatabase=Standby,Secondary!O1240,Primary!O1898)</f>
        <v>0</v>
      </c>
      <c r="P1240" s="8">
        <f>IF(ActiveDatabase=Standby,Secondary!P1240,Primary!P1898)</f>
        <v>0</v>
      </c>
      <c r="Q1240" s="7">
        <f>IF(ActiveDatabase=Standby,Secondary!Q1240,Primary!Q1898)</f>
        <v>0</v>
      </c>
      <c r="R1240" s="16">
        <f>IF(ActiveDatabase=Standby,Secondary!R1240,Primary!R1898)</f>
        <v>0</v>
      </c>
      <c r="S1240" s="17">
        <f>IF(ActiveDatabase=Standby,Secondary!S1240,Primary!S1898)</f>
        <v>0</v>
      </c>
      <c r="T1240" s="8">
        <f>IF(ActiveDatabase=Standby,Secondary!T1240,Primary!T1898)</f>
        <v>0</v>
      </c>
      <c r="U1240" s="8">
        <f>IF(ActiveDatabase=Standby,Secondary!U1240,Primary!U1898)</f>
        <v>0</v>
      </c>
      <c r="V1240" s="8">
        <f>IF(ActiveDatabase=Standby,Secondary!V1240,Primary!V1898)</f>
        <v>0</v>
      </c>
      <c r="W1240" s="7">
        <f>IF(ActiveDatabase=Standby,Secondary!W1240,Primary!W1898)</f>
        <v>0</v>
      </c>
      <c r="X1240" s="7">
        <f>IF(ActiveDatabase=Standby,Secondary!X1240,Primary!X1898)</f>
        <v>0</v>
      </c>
      <c r="Y1240" s="7">
        <f>IF(ActiveDatabase=Standby,Secondary!Y1240,Primary!Y1898)</f>
        <v>0</v>
      </c>
      <c r="Z1240" s="7">
        <f>IF(ActiveDatabase=Standby,Secondary!Z1240,Primary!Z1898)</f>
        <v>0</v>
      </c>
      <c r="AA1240" s="7">
        <f>IF(ActiveDatabase=Standby,Secondary!AA1240,Primary!AA1898)</f>
        <v>0</v>
      </c>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7"/>
      <c r="AZ1240" s="7"/>
      <c r="BA1240" s="7"/>
      <c r="BB1240" s="7"/>
      <c r="BC1240" s="7"/>
      <c r="BD1240" s="7"/>
      <c r="BE1240" s="7"/>
      <c r="BF1240" s="7"/>
      <c r="BG1240" s="7"/>
    </row>
    <row r="1241" customHeight="1" spans="1:59">
      <c r="A1241" s="9">
        <f>IF(ActiveDatabase=Standby,Secondary!A1241,Primary!A1899)</f>
        <v>0</v>
      </c>
      <c r="B1241" s="5">
        <f>IF(ActiveDatabase=Standby,Secondary!B1241,Primary!B1899)</f>
        <v>0</v>
      </c>
      <c r="C1241" s="5">
        <f>IF(ActiveDatabase=Standby,Secondary!C1241,Primary!C1899)</f>
        <v>0</v>
      </c>
      <c r="D1241" s="5">
        <f>IF(ActiveDatabase=Standby,Secondary!D1241,Primary!D1899)</f>
        <v>0</v>
      </c>
      <c r="E1241" s="7">
        <f>IF(ActiveDatabase=Standby,Secondary!E1241,Primary!E1899)</f>
        <v>0</v>
      </c>
      <c r="F1241" s="8">
        <f>IF(ActiveDatabase=Standby,Secondary!F1241,Primary!F1899)</f>
        <v>0</v>
      </c>
      <c r="G1241" s="8">
        <f>IF(ActiveDatabase=Standby,Secondary!G1241,Primary!G1899)</f>
        <v>0</v>
      </c>
      <c r="H1241" s="8">
        <f>IF(ActiveDatabase=Standby,Secondary!H1241,Primary!H1899)</f>
        <v>0</v>
      </c>
      <c r="I1241" s="14">
        <f>IF(ActiveDatabase=Standby,Secondary!I1241,Primary!I1899)</f>
        <v>0</v>
      </c>
      <c r="J1241" s="14">
        <f>IF(ActiveDatabase=Standby,Secondary!J1241,Primary!J1899)</f>
        <v>0</v>
      </c>
      <c r="K1241" s="14">
        <f>IF(ActiveDatabase=Standby,Secondary!K1241,Primary!K1899)</f>
        <v>0</v>
      </c>
      <c r="L1241" s="14">
        <f>IF(ActiveDatabase=Standby,Secondary!L1241,Primary!L1899)</f>
        <v>0</v>
      </c>
      <c r="M1241" s="7">
        <f>IF(ActiveDatabase=Standby,Secondary!M1241,Primary!M1899)</f>
        <v>0</v>
      </c>
      <c r="N1241" s="8">
        <f>IF(ActiveDatabase=Standby,Secondary!N1241,Primary!N1899)</f>
        <v>0</v>
      </c>
      <c r="O1241" s="8">
        <f>IF(ActiveDatabase=Standby,Secondary!O1241,Primary!O1899)</f>
        <v>0</v>
      </c>
      <c r="P1241" s="8">
        <f>IF(ActiveDatabase=Standby,Secondary!P1241,Primary!P1899)</f>
        <v>0</v>
      </c>
      <c r="Q1241" s="7">
        <f>IF(ActiveDatabase=Standby,Secondary!Q1241,Primary!Q1899)</f>
        <v>0</v>
      </c>
      <c r="R1241" s="16">
        <f>IF(ActiveDatabase=Standby,Secondary!R1241,Primary!R1899)</f>
        <v>0</v>
      </c>
      <c r="S1241" s="17">
        <f>IF(ActiveDatabase=Standby,Secondary!S1241,Primary!S1899)</f>
        <v>0</v>
      </c>
      <c r="T1241" s="8">
        <f>IF(ActiveDatabase=Standby,Secondary!T1241,Primary!T1899)</f>
        <v>0</v>
      </c>
      <c r="U1241" s="8">
        <f>IF(ActiveDatabase=Standby,Secondary!U1241,Primary!U1899)</f>
        <v>0</v>
      </c>
      <c r="V1241" s="8">
        <f>IF(ActiveDatabase=Standby,Secondary!V1241,Primary!V1899)</f>
        <v>0</v>
      </c>
      <c r="W1241" s="7">
        <f>IF(ActiveDatabase=Standby,Secondary!W1241,Primary!W1899)</f>
        <v>0</v>
      </c>
      <c r="X1241" s="7">
        <f>IF(ActiveDatabase=Standby,Secondary!X1241,Primary!X1899)</f>
        <v>0</v>
      </c>
      <c r="Y1241" s="7">
        <f>IF(ActiveDatabase=Standby,Secondary!Y1241,Primary!Y1899)</f>
        <v>0</v>
      </c>
      <c r="Z1241" s="7">
        <f>IF(ActiveDatabase=Standby,Secondary!Z1241,Primary!Z1899)</f>
        <v>0</v>
      </c>
      <c r="AA1241" s="7">
        <f>IF(ActiveDatabase=Standby,Secondary!AA1241,Primary!AA1899)</f>
        <v>0</v>
      </c>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row>
    <row r="1242" customHeight="1" spans="1:59">
      <c r="A1242" s="9">
        <f>IF(ActiveDatabase=Standby,Secondary!A1242,Primary!A1900)</f>
        <v>0</v>
      </c>
      <c r="B1242" s="5">
        <f>IF(ActiveDatabase=Standby,Secondary!B1242,Primary!B1900)</f>
        <v>0</v>
      </c>
      <c r="C1242" s="5">
        <f>IF(ActiveDatabase=Standby,Secondary!C1242,Primary!C1900)</f>
        <v>0</v>
      </c>
      <c r="D1242" s="5">
        <f>IF(ActiveDatabase=Standby,Secondary!D1242,Primary!D1900)</f>
        <v>0</v>
      </c>
      <c r="E1242" s="7">
        <f>IF(ActiveDatabase=Standby,Secondary!E1242,Primary!E1900)</f>
        <v>0</v>
      </c>
      <c r="F1242" s="8">
        <f>IF(ActiveDatabase=Standby,Secondary!F1242,Primary!F1900)</f>
        <v>0</v>
      </c>
      <c r="G1242" s="8">
        <f>IF(ActiveDatabase=Standby,Secondary!G1242,Primary!G1900)</f>
        <v>0</v>
      </c>
      <c r="H1242" s="8">
        <f>IF(ActiveDatabase=Standby,Secondary!H1242,Primary!H1900)</f>
        <v>0</v>
      </c>
      <c r="I1242" s="14">
        <f>IF(ActiveDatabase=Standby,Secondary!I1242,Primary!I1900)</f>
        <v>0</v>
      </c>
      <c r="J1242" s="14">
        <f>IF(ActiveDatabase=Standby,Secondary!J1242,Primary!J1900)</f>
        <v>0</v>
      </c>
      <c r="K1242" s="14">
        <f>IF(ActiveDatabase=Standby,Secondary!K1242,Primary!K1900)</f>
        <v>0</v>
      </c>
      <c r="L1242" s="14">
        <f>IF(ActiveDatabase=Standby,Secondary!L1242,Primary!L1900)</f>
        <v>0</v>
      </c>
      <c r="M1242" s="7">
        <f>IF(ActiveDatabase=Standby,Secondary!M1242,Primary!M1900)</f>
        <v>0</v>
      </c>
      <c r="N1242" s="8">
        <f>IF(ActiveDatabase=Standby,Secondary!N1242,Primary!N1900)</f>
        <v>0</v>
      </c>
      <c r="O1242" s="8">
        <f>IF(ActiveDatabase=Standby,Secondary!O1242,Primary!O1900)</f>
        <v>0</v>
      </c>
      <c r="P1242" s="8">
        <f>IF(ActiveDatabase=Standby,Secondary!P1242,Primary!P1900)</f>
        <v>0</v>
      </c>
      <c r="Q1242" s="7">
        <f>IF(ActiveDatabase=Standby,Secondary!Q1242,Primary!Q1900)</f>
        <v>0</v>
      </c>
      <c r="R1242" s="16">
        <f>IF(ActiveDatabase=Standby,Secondary!R1242,Primary!R1900)</f>
        <v>0</v>
      </c>
      <c r="S1242" s="17">
        <f>IF(ActiveDatabase=Standby,Secondary!S1242,Primary!S1900)</f>
        <v>0</v>
      </c>
      <c r="T1242" s="8">
        <f>IF(ActiveDatabase=Standby,Secondary!T1242,Primary!T1900)</f>
        <v>0</v>
      </c>
      <c r="U1242" s="8">
        <f>IF(ActiveDatabase=Standby,Secondary!U1242,Primary!U1900)</f>
        <v>0</v>
      </c>
      <c r="V1242" s="8">
        <f>IF(ActiveDatabase=Standby,Secondary!V1242,Primary!V1900)</f>
        <v>0</v>
      </c>
      <c r="W1242" s="7">
        <f>IF(ActiveDatabase=Standby,Secondary!W1242,Primary!W1900)</f>
        <v>0</v>
      </c>
      <c r="X1242" s="7">
        <f>IF(ActiveDatabase=Standby,Secondary!X1242,Primary!X1900)</f>
        <v>0</v>
      </c>
      <c r="Y1242" s="7">
        <f>IF(ActiveDatabase=Standby,Secondary!Y1242,Primary!Y1900)</f>
        <v>0</v>
      </c>
      <c r="Z1242" s="7">
        <f>IF(ActiveDatabase=Standby,Secondary!Z1242,Primary!Z1900)</f>
        <v>0</v>
      </c>
      <c r="AA1242" s="7">
        <f>IF(ActiveDatabase=Standby,Secondary!AA1242,Primary!AA1900)</f>
        <v>0</v>
      </c>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row>
    <row r="1243" customHeight="1" spans="1:59">
      <c r="A1243" s="9">
        <f>IF(ActiveDatabase=Standby,Secondary!A1243,Primary!A1901)</f>
        <v>0</v>
      </c>
      <c r="B1243" s="5">
        <f>IF(ActiveDatabase=Standby,Secondary!B1243,Primary!B1901)</f>
        <v>0</v>
      </c>
      <c r="C1243" s="5">
        <f>IF(ActiveDatabase=Standby,Secondary!C1243,Primary!C1901)</f>
        <v>0</v>
      </c>
      <c r="D1243" s="5">
        <f>IF(ActiveDatabase=Standby,Secondary!D1243,Primary!D1901)</f>
        <v>0</v>
      </c>
      <c r="E1243" s="7">
        <f>IF(ActiveDatabase=Standby,Secondary!E1243,Primary!E1901)</f>
        <v>0</v>
      </c>
      <c r="F1243" s="8">
        <f>IF(ActiveDatabase=Standby,Secondary!F1243,Primary!F1901)</f>
        <v>0</v>
      </c>
      <c r="G1243" s="8">
        <f>IF(ActiveDatabase=Standby,Secondary!G1243,Primary!G1901)</f>
        <v>0</v>
      </c>
      <c r="H1243" s="8">
        <f>IF(ActiveDatabase=Standby,Secondary!H1243,Primary!H1901)</f>
        <v>0</v>
      </c>
      <c r="I1243" s="14">
        <f>IF(ActiveDatabase=Standby,Secondary!I1243,Primary!I1901)</f>
        <v>0</v>
      </c>
      <c r="J1243" s="14">
        <f>IF(ActiveDatabase=Standby,Secondary!J1243,Primary!J1901)</f>
        <v>0</v>
      </c>
      <c r="K1243" s="14">
        <f>IF(ActiveDatabase=Standby,Secondary!K1243,Primary!K1901)</f>
        <v>0</v>
      </c>
      <c r="L1243" s="14">
        <f>IF(ActiveDatabase=Standby,Secondary!L1243,Primary!L1901)</f>
        <v>0</v>
      </c>
      <c r="M1243" s="7">
        <f>IF(ActiveDatabase=Standby,Secondary!M1243,Primary!M1901)</f>
        <v>0</v>
      </c>
      <c r="N1243" s="8">
        <f>IF(ActiveDatabase=Standby,Secondary!N1243,Primary!N1901)</f>
        <v>0</v>
      </c>
      <c r="O1243" s="8">
        <f>IF(ActiveDatabase=Standby,Secondary!O1243,Primary!O1901)</f>
        <v>0</v>
      </c>
      <c r="P1243" s="8">
        <f>IF(ActiveDatabase=Standby,Secondary!P1243,Primary!P1901)</f>
        <v>0</v>
      </c>
      <c r="Q1243" s="7">
        <f>IF(ActiveDatabase=Standby,Secondary!Q1243,Primary!Q1901)</f>
        <v>0</v>
      </c>
      <c r="R1243" s="16">
        <f>IF(ActiveDatabase=Standby,Secondary!R1243,Primary!R1901)</f>
        <v>0</v>
      </c>
      <c r="S1243" s="17">
        <f>IF(ActiveDatabase=Standby,Secondary!S1243,Primary!S1901)</f>
        <v>0</v>
      </c>
      <c r="T1243" s="8">
        <f>IF(ActiveDatabase=Standby,Secondary!T1243,Primary!T1901)</f>
        <v>0</v>
      </c>
      <c r="U1243" s="8">
        <f>IF(ActiveDatabase=Standby,Secondary!U1243,Primary!U1901)</f>
        <v>0</v>
      </c>
      <c r="V1243" s="8">
        <f>IF(ActiveDatabase=Standby,Secondary!V1243,Primary!V1901)</f>
        <v>0</v>
      </c>
      <c r="W1243" s="7">
        <f>IF(ActiveDatabase=Standby,Secondary!W1243,Primary!W1901)</f>
        <v>0</v>
      </c>
      <c r="X1243" s="7">
        <f>IF(ActiveDatabase=Standby,Secondary!X1243,Primary!X1901)</f>
        <v>0</v>
      </c>
      <c r="Y1243" s="7">
        <f>IF(ActiveDatabase=Standby,Secondary!Y1243,Primary!Y1901)</f>
        <v>0</v>
      </c>
      <c r="Z1243" s="7">
        <f>IF(ActiveDatabase=Standby,Secondary!Z1243,Primary!Z1901)</f>
        <v>0</v>
      </c>
      <c r="AA1243" s="7">
        <f>IF(ActiveDatabase=Standby,Secondary!AA1243,Primary!AA1901)</f>
        <v>0</v>
      </c>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c r="AX1243" s="7"/>
      <c r="AY1243" s="7"/>
      <c r="AZ1243" s="7"/>
      <c r="BA1243" s="7"/>
      <c r="BB1243" s="7"/>
      <c r="BC1243" s="7"/>
      <c r="BD1243" s="7"/>
      <c r="BE1243" s="7"/>
      <c r="BF1243" s="7"/>
      <c r="BG1243" s="7"/>
    </row>
    <row r="1244" customHeight="1" spans="1:59">
      <c r="A1244" s="9">
        <f>IF(ActiveDatabase=Standby,Secondary!A1244,Primary!A1902)</f>
        <v>0</v>
      </c>
      <c r="B1244" s="5">
        <f>IF(ActiveDatabase=Standby,Secondary!B1244,Primary!B1902)</f>
        <v>0</v>
      </c>
      <c r="C1244" s="5">
        <f>IF(ActiveDatabase=Standby,Secondary!C1244,Primary!C1902)</f>
        <v>0</v>
      </c>
      <c r="D1244" s="5">
        <f>IF(ActiveDatabase=Standby,Secondary!D1244,Primary!D1902)</f>
        <v>0</v>
      </c>
      <c r="E1244" s="7">
        <f>IF(ActiveDatabase=Standby,Secondary!E1244,Primary!E1902)</f>
        <v>0</v>
      </c>
      <c r="F1244" s="8">
        <f>IF(ActiveDatabase=Standby,Secondary!F1244,Primary!F1902)</f>
        <v>0</v>
      </c>
      <c r="G1244" s="8">
        <f>IF(ActiveDatabase=Standby,Secondary!G1244,Primary!G1902)</f>
        <v>0</v>
      </c>
      <c r="H1244" s="8">
        <f>IF(ActiveDatabase=Standby,Secondary!H1244,Primary!H1902)</f>
        <v>0</v>
      </c>
      <c r="I1244" s="14">
        <f>IF(ActiveDatabase=Standby,Secondary!I1244,Primary!I1902)</f>
        <v>0</v>
      </c>
      <c r="J1244" s="14">
        <f>IF(ActiveDatabase=Standby,Secondary!J1244,Primary!J1902)</f>
        <v>0</v>
      </c>
      <c r="K1244" s="14">
        <f>IF(ActiveDatabase=Standby,Secondary!K1244,Primary!K1902)</f>
        <v>0</v>
      </c>
      <c r="L1244" s="14">
        <f>IF(ActiveDatabase=Standby,Secondary!L1244,Primary!L1902)</f>
        <v>0</v>
      </c>
      <c r="M1244" s="7">
        <f>IF(ActiveDatabase=Standby,Secondary!M1244,Primary!M1902)</f>
        <v>0</v>
      </c>
      <c r="N1244" s="8">
        <f>IF(ActiveDatabase=Standby,Secondary!N1244,Primary!N1902)</f>
        <v>0</v>
      </c>
      <c r="O1244" s="8">
        <f>IF(ActiveDatabase=Standby,Secondary!O1244,Primary!O1902)</f>
        <v>0</v>
      </c>
      <c r="P1244" s="8">
        <f>IF(ActiveDatabase=Standby,Secondary!P1244,Primary!P1902)</f>
        <v>0</v>
      </c>
      <c r="Q1244" s="7">
        <f>IF(ActiveDatabase=Standby,Secondary!Q1244,Primary!Q1902)</f>
        <v>0</v>
      </c>
      <c r="R1244" s="16">
        <f>IF(ActiveDatabase=Standby,Secondary!R1244,Primary!R1902)</f>
        <v>0</v>
      </c>
      <c r="S1244" s="17">
        <f>IF(ActiveDatabase=Standby,Secondary!S1244,Primary!S1902)</f>
        <v>0</v>
      </c>
      <c r="T1244" s="8">
        <f>IF(ActiveDatabase=Standby,Secondary!T1244,Primary!T1902)</f>
        <v>0</v>
      </c>
      <c r="U1244" s="8">
        <f>IF(ActiveDatabase=Standby,Secondary!U1244,Primary!U1902)</f>
        <v>0</v>
      </c>
      <c r="V1244" s="8">
        <f>IF(ActiveDatabase=Standby,Secondary!V1244,Primary!V1902)</f>
        <v>0</v>
      </c>
      <c r="W1244" s="7">
        <f>IF(ActiveDatabase=Standby,Secondary!W1244,Primary!W1902)</f>
        <v>0</v>
      </c>
      <c r="X1244" s="7">
        <f>IF(ActiveDatabase=Standby,Secondary!X1244,Primary!X1902)</f>
        <v>0</v>
      </c>
      <c r="Y1244" s="7">
        <f>IF(ActiveDatabase=Standby,Secondary!Y1244,Primary!Y1902)</f>
        <v>0</v>
      </c>
      <c r="Z1244" s="7">
        <f>IF(ActiveDatabase=Standby,Secondary!Z1244,Primary!Z1902)</f>
        <v>0</v>
      </c>
      <c r="AA1244" s="7">
        <f>IF(ActiveDatabase=Standby,Secondary!AA1244,Primary!AA1902)</f>
        <v>0</v>
      </c>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c r="AX1244" s="7"/>
      <c r="AY1244" s="7"/>
      <c r="AZ1244" s="7"/>
      <c r="BA1244" s="7"/>
      <c r="BB1244" s="7"/>
      <c r="BC1244" s="7"/>
      <c r="BD1244" s="7"/>
      <c r="BE1244" s="7"/>
      <c r="BF1244" s="7"/>
      <c r="BG1244" s="7"/>
    </row>
    <row r="1245" customHeight="1" spans="1:59">
      <c r="A1245" s="9">
        <f>IF(ActiveDatabase=Standby,Secondary!A1245,Primary!A1903)</f>
        <v>0</v>
      </c>
      <c r="B1245" s="5">
        <f>IF(ActiveDatabase=Standby,Secondary!B1245,Primary!B1903)</f>
        <v>0</v>
      </c>
      <c r="C1245" s="5">
        <f>IF(ActiveDatabase=Standby,Secondary!C1245,Primary!C1903)</f>
        <v>0</v>
      </c>
      <c r="D1245" s="5">
        <f>IF(ActiveDatabase=Standby,Secondary!D1245,Primary!D1903)</f>
        <v>0</v>
      </c>
      <c r="E1245" s="7">
        <f>IF(ActiveDatabase=Standby,Secondary!E1245,Primary!E1903)</f>
        <v>0</v>
      </c>
      <c r="F1245" s="8">
        <f>IF(ActiveDatabase=Standby,Secondary!F1245,Primary!F1903)</f>
        <v>0</v>
      </c>
      <c r="G1245" s="8">
        <f>IF(ActiveDatabase=Standby,Secondary!G1245,Primary!G1903)</f>
        <v>0</v>
      </c>
      <c r="H1245" s="8">
        <f>IF(ActiveDatabase=Standby,Secondary!H1245,Primary!H1903)</f>
        <v>0</v>
      </c>
      <c r="I1245" s="14">
        <f>IF(ActiveDatabase=Standby,Secondary!I1245,Primary!I1903)</f>
        <v>0</v>
      </c>
      <c r="J1245" s="14">
        <f>IF(ActiveDatabase=Standby,Secondary!J1245,Primary!J1903)</f>
        <v>0</v>
      </c>
      <c r="K1245" s="14">
        <f>IF(ActiveDatabase=Standby,Secondary!K1245,Primary!K1903)</f>
        <v>0</v>
      </c>
      <c r="L1245" s="14">
        <f>IF(ActiveDatabase=Standby,Secondary!L1245,Primary!L1903)</f>
        <v>0</v>
      </c>
      <c r="M1245" s="7">
        <f>IF(ActiveDatabase=Standby,Secondary!M1245,Primary!M1903)</f>
        <v>0</v>
      </c>
      <c r="N1245" s="8">
        <f>IF(ActiveDatabase=Standby,Secondary!N1245,Primary!N1903)</f>
        <v>0</v>
      </c>
      <c r="O1245" s="8">
        <f>IF(ActiveDatabase=Standby,Secondary!O1245,Primary!O1903)</f>
        <v>0</v>
      </c>
      <c r="P1245" s="8">
        <f>IF(ActiveDatabase=Standby,Secondary!P1245,Primary!P1903)</f>
        <v>0</v>
      </c>
      <c r="Q1245" s="7">
        <f>IF(ActiveDatabase=Standby,Secondary!Q1245,Primary!Q1903)</f>
        <v>0</v>
      </c>
      <c r="R1245" s="16">
        <f>IF(ActiveDatabase=Standby,Secondary!R1245,Primary!R1903)</f>
        <v>0</v>
      </c>
      <c r="S1245" s="17">
        <f>IF(ActiveDatabase=Standby,Secondary!S1245,Primary!S1903)</f>
        <v>0</v>
      </c>
      <c r="T1245" s="8">
        <f>IF(ActiveDatabase=Standby,Secondary!T1245,Primary!T1903)</f>
        <v>0</v>
      </c>
      <c r="U1245" s="8">
        <f>IF(ActiveDatabase=Standby,Secondary!U1245,Primary!U1903)</f>
        <v>0</v>
      </c>
      <c r="V1245" s="8">
        <f>IF(ActiveDatabase=Standby,Secondary!V1245,Primary!V1903)</f>
        <v>0</v>
      </c>
      <c r="W1245" s="7">
        <f>IF(ActiveDatabase=Standby,Secondary!W1245,Primary!W1903)</f>
        <v>0</v>
      </c>
      <c r="X1245" s="7">
        <f>IF(ActiveDatabase=Standby,Secondary!X1245,Primary!X1903)</f>
        <v>0</v>
      </c>
      <c r="Y1245" s="7">
        <f>IF(ActiveDatabase=Standby,Secondary!Y1245,Primary!Y1903)</f>
        <v>0</v>
      </c>
      <c r="Z1245" s="7">
        <f>IF(ActiveDatabase=Standby,Secondary!Z1245,Primary!Z1903)</f>
        <v>0</v>
      </c>
      <c r="AA1245" s="7">
        <f>IF(ActiveDatabase=Standby,Secondary!AA1245,Primary!AA1903)</f>
        <v>0</v>
      </c>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c r="AX1245" s="7"/>
      <c r="AY1245" s="7"/>
      <c r="AZ1245" s="7"/>
      <c r="BA1245" s="7"/>
      <c r="BB1245" s="7"/>
      <c r="BC1245" s="7"/>
      <c r="BD1245" s="7"/>
      <c r="BE1245" s="7"/>
      <c r="BF1245" s="7"/>
      <c r="BG1245" s="7"/>
    </row>
    <row r="1246" customHeight="1" spans="1:59">
      <c r="A1246" s="9">
        <f>IF(ActiveDatabase=Standby,Secondary!A1246,Primary!A1904)</f>
        <v>0</v>
      </c>
      <c r="B1246" s="5">
        <f>IF(ActiveDatabase=Standby,Secondary!B1246,Primary!B1904)</f>
        <v>0</v>
      </c>
      <c r="C1246" s="5">
        <f>IF(ActiveDatabase=Standby,Secondary!C1246,Primary!C1904)</f>
        <v>0</v>
      </c>
      <c r="D1246" s="5">
        <f>IF(ActiveDatabase=Standby,Secondary!D1246,Primary!D1904)</f>
        <v>0</v>
      </c>
      <c r="E1246" s="7">
        <f>IF(ActiveDatabase=Standby,Secondary!E1246,Primary!E1904)</f>
        <v>0</v>
      </c>
      <c r="F1246" s="8">
        <f>IF(ActiveDatabase=Standby,Secondary!F1246,Primary!F1904)</f>
        <v>0</v>
      </c>
      <c r="G1246" s="8">
        <f>IF(ActiveDatabase=Standby,Secondary!G1246,Primary!G1904)</f>
        <v>0</v>
      </c>
      <c r="H1246" s="8">
        <f>IF(ActiveDatabase=Standby,Secondary!H1246,Primary!H1904)</f>
        <v>0</v>
      </c>
      <c r="I1246" s="14">
        <f>IF(ActiveDatabase=Standby,Secondary!I1246,Primary!I1904)</f>
        <v>0</v>
      </c>
      <c r="J1246" s="14">
        <f>IF(ActiveDatabase=Standby,Secondary!J1246,Primary!J1904)</f>
        <v>0</v>
      </c>
      <c r="K1246" s="14">
        <f>IF(ActiveDatabase=Standby,Secondary!K1246,Primary!K1904)</f>
        <v>0</v>
      </c>
      <c r="L1246" s="14">
        <f>IF(ActiveDatabase=Standby,Secondary!L1246,Primary!L1904)</f>
        <v>0</v>
      </c>
      <c r="M1246" s="7">
        <f>IF(ActiveDatabase=Standby,Secondary!M1246,Primary!M1904)</f>
        <v>0</v>
      </c>
      <c r="N1246" s="8">
        <f>IF(ActiveDatabase=Standby,Secondary!N1246,Primary!N1904)</f>
        <v>0</v>
      </c>
      <c r="O1246" s="8">
        <f>IF(ActiveDatabase=Standby,Secondary!O1246,Primary!O1904)</f>
        <v>0</v>
      </c>
      <c r="P1246" s="8">
        <f>IF(ActiveDatabase=Standby,Secondary!P1246,Primary!P1904)</f>
        <v>0</v>
      </c>
      <c r="Q1246" s="7">
        <f>IF(ActiveDatabase=Standby,Secondary!Q1246,Primary!Q1904)</f>
        <v>0</v>
      </c>
      <c r="R1246" s="16">
        <f>IF(ActiveDatabase=Standby,Secondary!R1246,Primary!R1904)</f>
        <v>0</v>
      </c>
      <c r="S1246" s="17">
        <f>IF(ActiveDatabase=Standby,Secondary!S1246,Primary!S1904)</f>
        <v>0</v>
      </c>
      <c r="T1246" s="8">
        <f>IF(ActiveDatabase=Standby,Secondary!T1246,Primary!T1904)</f>
        <v>0</v>
      </c>
      <c r="U1246" s="8">
        <f>IF(ActiveDatabase=Standby,Secondary!U1246,Primary!U1904)</f>
        <v>0</v>
      </c>
      <c r="V1246" s="8">
        <f>IF(ActiveDatabase=Standby,Secondary!V1246,Primary!V1904)</f>
        <v>0</v>
      </c>
      <c r="W1246" s="7">
        <f>IF(ActiveDatabase=Standby,Secondary!W1246,Primary!W1904)</f>
        <v>0</v>
      </c>
      <c r="X1246" s="7">
        <f>IF(ActiveDatabase=Standby,Secondary!X1246,Primary!X1904)</f>
        <v>0</v>
      </c>
      <c r="Y1246" s="7">
        <f>IF(ActiveDatabase=Standby,Secondary!Y1246,Primary!Y1904)</f>
        <v>0</v>
      </c>
      <c r="Z1246" s="7">
        <f>IF(ActiveDatabase=Standby,Secondary!Z1246,Primary!Z1904)</f>
        <v>0</v>
      </c>
      <c r="AA1246" s="7">
        <f>IF(ActiveDatabase=Standby,Secondary!AA1246,Primary!AA1904)</f>
        <v>0</v>
      </c>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7"/>
      <c r="AX1246" s="7"/>
      <c r="AY1246" s="7"/>
      <c r="AZ1246" s="7"/>
      <c r="BA1246" s="7"/>
      <c r="BB1246" s="7"/>
      <c r="BC1246" s="7"/>
      <c r="BD1246" s="7"/>
      <c r="BE1246" s="7"/>
      <c r="BF1246" s="7"/>
      <c r="BG1246" s="7"/>
    </row>
    <row r="1247" customHeight="1" spans="1:59">
      <c r="A1247" s="9">
        <f>IF(ActiveDatabase=Standby,Secondary!A1247,Primary!A1905)</f>
        <v>0</v>
      </c>
      <c r="B1247" s="5">
        <f>IF(ActiveDatabase=Standby,Secondary!B1247,Primary!B1905)</f>
        <v>0</v>
      </c>
      <c r="C1247" s="5">
        <f>IF(ActiveDatabase=Standby,Secondary!C1247,Primary!C1905)</f>
        <v>0</v>
      </c>
      <c r="D1247" s="5">
        <f>IF(ActiveDatabase=Standby,Secondary!D1247,Primary!D1905)</f>
        <v>0</v>
      </c>
      <c r="E1247" s="7">
        <f>IF(ActiveDatabase=Standby,Secondary!E1247,Primary!E1905)</f>
        <v>0</v>
      </c>
      <c r="F1247" s="8">
        <f>IF(ActiveDatabase=Standby,Secondary!F1247,Primary!F1905)</f>
        <v>0</v>
      </c>
      <c r="G1247" s="8">
        <f>IF(ActiveDatabase=Standby,Secondary!G1247,Primary!G1905)</f>
        <v>0</v>
      </c>
      <c r="H1247" s="8">
        <f>IF(ActiveDatabase=Standby,Secondary!H1247,Primary!H1905)</f>
        <v>0</v>
      </c>
      <c r="I1247" s="14">
        <f>IF(ActiveDatabase=Standby,Secondary!I1247,Primary!I1905)</f>
        <v>0</v>
      </c>
      <c r="J1247" s="14">
        <f>IF(ActiveDatabase=Standby,Secondary!J1247,Primary!J1905)</f>
        <v>0</v>
      </c>
      <c r="K1247" s="14">
        <f>IF(ActiveDatabase=Standby,Secondary!K1247,Primary!K1905)</f>
        <v>0</v>
      </c>
      <c r="L1247" s="14">
        <f>IF(ActiveDatabase=Standby,Secondary!L1247,Primary!L1905)</f>
        <v>0</v>
      </c>
      <c r="M1247" s="7">
        <f>IF(ActiveDatabase=Standby,Secondary!M1247,Primary!M1905)</f>
        <v>0</v>
      </c>
      <c r="N1247" s="8">
        <f>IF(ActiveDatabase=Standby,Secondary!N1247,Primary!N1905)</f>
        <v>0</v>
      </c>
      <c r="O1247" s="8">
        <f>IF(ActiveDatabase=Standby,Secondary!O1247,Primary!O1905)</f>
        <v>0</v>
      </c>
      <c r="P1247" s="8">
        <f>IF(ActiveDatabase=Standby,Secondary!P1247,Primary!P1905)</f>
        <v>0</v>
      </c>
      <c r="Q1247" s="7">
        <f>IF(ActiveDatabase=Standby,Secondary!Q1247,Primary!Q1905)</f>
        <v>0</v>
      </c>
      <c r="R1247" s="16">
        <f>IF(ActiveDatabase=Standby,Secondary!R1247,Primary!R1905)</f>
        <v>0</v>
      </c>
      <c r="S1247" s="17">
        <f>IF(ActiveDatabase=Standby,Secondary!S1247,Primary!S1905)</f>
        <v>0</v>
      </c>
      <c r="T1247" s="8">
        <f>IF(ActiveDatabase=Standby,Secondary!T1247,Primary!T1905)</f>
        <v>0</v>
      </c>
      <c r="U1247" s="8">
        <f>IF(ActiveDatabase=Standby,Secondary!U1247,Primary!U1905)</f>
        <v>0</v>
      </c>
      <c r="V1247" s="8">
        <f>IF(ActiveDatabase=Standby,Secondary!V1247,Primary!V1905)</f>
        <v>0</v>
      </c>
      <c r="W1247" s="7">
        <f>IF(ActiveDatabase=Standby,Secondary!W1247,Primary!W1905)</f>
        <v>0</v>
      </c>
      <c r="X1247" s="7">
        <f>IF(ActiveDatabase=Standby,Secondary!X1247,Primary!X1905)</f>
        <v>0</v>
      </c>
      <c r="Y1247" s="7">
        <f>IF(ActiveDatabase=Standby,Secondary!Y1247,Primary!Y1905)</f>
        <v>0</v>
      </c>
      <c r="Z1247" s="7">
        <f>IF(ActiveDatabase=Standby,Secondary!Z1247,Primary!Z1905)</f>
        <v>0</v>
      </c>
      <c r="AA1247" s="7">
        <f>IF(ActiveDatabase=Standby,Secondary!AA1247,Primary!AA1905)</f>
        <v>0</v>
      </c>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7"/>
      <c r="AX1247" s="7"/>
      <c r="AY1247" s="7"/>
      <c r="AZ1247" s="7"/>
      <c r="BA1247" s="7"/>
      <c r="BB1247" s="7"/>
      <c r="BC1247" s="7"/>
      <c r="BD1247" s="7"/>
      <c r="BE1247" s="7"/>
      <c r="BF1247" s="7"/>
      <c r="BG1247" s="7"/>
    </row>
    <row r="1248" customHeight="1" spans="1:59">
      <c r="A1248" s="9">
        <f>IF(ActiveDatabase=Standby,Secondary!A1248,Primary!A1906)</f>
        <v>0</v>
      </c>
      <c r="B1248" s="5">
        <f>IF(ActiveDatabase=Standby,Secondary!B1248,Primary!B1906)</f>
        <v>0</v>
      </c>
      <c r="C1248" s="5">
        <f>IF(ActiveDatabase=Standby,Secondary!C1248,Primary!C1906)</f>
        <v>0</v>
      </c>
      <c r="D1248" s="5">
        <f>IF(ActiveDatabase=Standby,Secondary!D1248,Primary!D1906)</f>
        <v>0</v>
      </c>
      <c r="E1248" s="7">
        <f>IF(ActiveDatabase=Standby,Secondary!E1248,Primary!E1906)</f>
        <v>0</v>
      </c>
      <c r="F1248" s="8">
        <f>IF(ActiveDatabase=Standby,Secondary!F1248,Primary!F1906)</f>
        <v>0</v>
      </c>
      <c r="G1248" s="8">
        <f>IF(ActiveDatabase=Standby,Secondary!G1248,Primary!G1906)</f>
        <v>0</v>
      </c>
      <c r="H1248" s="8">
        <f>IF(ActiveDatabase=Standby,Secondary!H1248,Primary!H1906)</f>
        <v>0</v>
      </c>
      <c r="I1248" s="14">
        <f>IF(ActiveDatabase=Standby,Secondary!I1248,Primary!I1906)</f>
        <v>0</v>
      </c>
      <c r="J1248" s="14">
        <f>IF(ActiveDatabase=Standby,Secondary!J1248,Primary!J1906)</f>
        <v>0</v>
      </c>
      <c r="K1248" s="14">
        <f>IF(ActiveDatabase=Standby,Secondary!K1248,Primary!K1906)</f>
        <v>0</v>
      </c>
      <c r="L1248" s="14">
        <f>IF(ActiveDatabase=Standby,Secondary!L1248,Primary!L1906)</f>
        <v>0</v>
      </c>
      <c r="M1248" s="7">
        <f>IF(ActiveDatabase=Standby,Secondary!M1248,Primary!M1906)</f>
        <v>0</v>
      </c>
      <c r="N1248" s="8">
        <f>IF(ActiveDatabase=Standby,Secondary!N1248,Primary!N1906)</f>
        <v>0</v>
      </c>
      <c r="O1248" s="8">
        <f>IF(ActiveDatabase=Standby,Secondary!O1248,Primary!O1906)</f>
        <v>0</v>
      </c>
      <c r="P1248" s="8">
        <f>IF(ActiveDatabase=Standby,Secondary!P1248,Primary!P1906)</f>
        <v>0</v>
      </c>
      <c r="Q1248" s="7">
        <f>IF(ActiveDatabase=Standby,Secondary!Q1248,Primary!Q1906)</f>
        <v>0</v>
      </c>
      <c r="R1248" s="16">
        <f>IF(ActiveDatabase=Standby,Secondary!R1248,Primary!R1906)</f>
        <v>0</v>
      </c>
      <c r="S1248" s="17">
        <f>IF(ActiveDatabase=Standby,Secondary!S1248,Primary!S1906)</f>
        <v>0</v>
      </c>
      <c r="T1248" s="8">
        <f>IF(ActiveDatabase=Standby,Secondary!T1248,Primary!T1906)</f>
        <v>0</v>
      </c>
      <c r="U1248" s="8">
        <f>IF(ActiveDatabase=Standby,Secondary!U1248,Primary!U1906)</f>
        <v>0</v>
      </c>
      <c r="V1248" s="8">
        <f>IF(ActiveDatabase=Standby,Secondary!V1248,Primary!V1906)</f>
        <v>0</v>
      </c>
      <c r="W1248" s="7">
        <f>IF(ActiveDatabase=Standby,Secondary!W1248,Primary!W1906)</f>
        <v>0</v>
      </c>
      <c r="X1248" s="7">
        <f>IF(ActiveDatabase=Standby,Secondary!X1248,Primary!X1906)</f>
        <v>0</v>
      </c>
      <c r="Y1248" s="7">
        <f>IF(ActiveDatabase=Standby,Secondary!Y1248,Primary!Y1906)</f>
        <v>0</v>
      </c>
      <c r="Z1248" s="7">
        <f>IF(ActiveDatabase=Standby,Secondary!Z1248,Primary!Z1906)</f>
        <v>0</v>
      </c>
      <c r="AA1248" s="7">
        <f>IF(ActiveDatabase=Standby,Secondary!AA1248,Primary!AA1906)</f>
        <v>0</v>
      </c>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c r="AX1248" s="7"/>
      <c r="AY1248" s="7"/>
      <c r="AZ1248" s="7"/>
      <c r="BA1248" s="7"/>
      <c r="BB1248" s="7"/>
      <c r="BC1248" s="7"/>
      <c r="BD1248" s="7"/>
      <c r="BE1248" s="7"/>
      <c r="BF1248" s="7"/>
      <c r="BG1248" s="7"/>
    </row>
    <row r="1249" customHeight="1" spans="1:59">
      <c r="A1249" s="9">
        <f>IF(ActiveDatabase=Standby,Secondary!A1249,Primary!A1907)</f>
        <v>0</v>
      </c>
      <c r="B1249" s="5">
        <f>IF(ActiveDatabase=Standby,Secondary!B1249,Primary!B1907)</f>
        <v>0</v>
      </c>
      <c r="C1249" s="5">
        <f>IF(ActiveDatabase=Standby,Secondary!C1249,Primary!C1907)</f>
        <v>0</v>
      </c>
      <c r="D1249" s="5">
        <f>IF(ActiveDatabase=Standby,Secondary!D1249,Primary!D1907)</f>
        <v>0</v>
      </c>
      <c r="E1249" s="7">
        <f>IF(ActiveDatabase=Standby,Secondary!E1249,Primary!E1907)</f>
        <v>0</v>
      </c>
      <c r="F1249" s="8">
        <f>IF(ActiveDatabase=Standby,Secondary!F1249,Primary!F1907)</f>
        <v>0</v>
      </c>
      <c r="G1249" s="8">
        <f>IF(ActiveDatabase=Standby,Secondary!G1249,Primary!G1907)</f>
        <v>0</v>
      </c>
      <c r="H1249" s="8">
        <f>IF(ActiveDatabase=Standby,Secondary!H1249,Primary!H1907)</f>
        <v>0</v>
      </c>
      <c r="I1249" s="14">
        <f>IF(ActiveDatabase=Standby,Secondary!I1249,Primary!I1907)</f>
        <v>0</v>
      </c>
      <c r="J1249" s="14">
        <f>IF(ActiveDatabase=Standby,Secondary!J1249,Primary!J1907)</f>
        <v>0</v>
      </c>
      <c r="K1249" s="14">
        <f>IF(ActiveDatabase=Standby,Secondary!K1249,Primary!K1907)</f>
        <v>0</v>
      </c>
      <c r="L1249" s="14">
        <f>IF(ActiveDatabase=Standby,Secondary!L1249,Primary!L1907)</f>
        <v>0</v>
      </c>
      <c r="M1249" s="7">
        <f>IF(ActiveDatabase=Standby,Secondary!M1249,Primary!M1907)</f>
        <v>0</v>
      </c>
      <c r="N1249" s="8">
        <f>IF(ActiveDatabase=Standby,Secondary!N1249,Primary!N1907)</f>
        <v>0</v>
      </c>
      <c r="O1249" s="8">
        <f>IF(ActiveDatabase=Standby,Secondary!O1249,Primary!O1907)</f>
        <v>0</v>
      </c>
      <c r="P1249" s="8">
        <f>IF(ActiveDatabase=Standby,Secondary!P1249,Primary!P1907)</f>
        <v>0</v>
      </c>
      <c r="Q1249" s="7">
        <f>IF(ActiveDatabase=Standby,Secondary!Q1249,Primary!Q1907)</f>
        <v>0</v>
      </c>
      <c r="R1249" s="16">
        <f>IF(ActiveDatabase=Standby,Secondary!R1249,Primary!R1907)</f>
        <v>0</v>
      </c>
      <c r="S1249" s="17">
        <f>IF(ActiveDatabase=Standby,Secondary!S1249,Primary!S1907)</f>
        <v>0</v>
      </c>
      <c r="T1249" s="8">
        <f>IF(ActiveDatabase=Standby,Secondary!T1249,Primary!T1907)</f>
        <v>0</v>
      </c>
      <c r="U1249" s="8">
        <f>IF(ActiveDatabase=Standby,Secondary!U1249,Primary!U1907)</f>
        <v>0</v>
      </c>
      <c r="V1249" s="8">
        <f>IF(ActiveDatabase=Standby,Secondary!V1249,Primary!V1907)</f>
        <v>0</v>
      </c>
      <c r="W1249" s="7">
        <f>IF(ActiveDatabase=Standby,Secondary!W1249,Primary!W1907)</f>
        <v>0</v>
      </c>
      <c r="X1249" s="7">
        <f>IF(ActiveDatabase=Standby,Secondary!X1249,Primary!X1907)</f>
        <v>0</v>
      </c>
      <c r="Y1249" s="7">
        <f>IF(ActiveDatabase=Standby,Secondary!Y1249,Primary!Y1907)</f>
        <v>0</v>
      </c>
      <c r="Z1249" s="7">
        <f>IF(ActiveDatabase=Standby,Secondary!Z1249,Primary!Z1907)</f>
        <v>0</v>
      </c>
      <c r="AA1249" s="7">
        <f>IF(ActiveDatabase=Standby,Secondary!AA1249,Primary!AA1907)</f>
        <v>0</v>
      </c>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c r="AX1249" s="7"/>
      <c r="AY1249" s="7"/>
      <c r="AZ1249" s="7"/>
      <c r="BA1249" s="7"/>
      <c r="BB1249" s="7"/>
      <c r="BC1249" s="7"/>
      <c r="BD1249" s="7"/>
      <c r="BE1249" s="7"/>
      <c r="BF1249" s="7"/>
      <c r="BG1249" s="7"/>
    </row>
    <row r="1250" customHeight="1" spans="1:59">
      <c r="A1250" s="9">
        <f>IF(ActiveDatabase=Standby,Secondary!A1250,Primary!A1908)</f>
        <v>0</v>
      </c>
      <c r="B1250" s="5">
        <f>IF(ActiveDatabase=Standby,Secondary!B1250,Primary!B1908)</f>
        <v>0</v>
      </c>
      <c r="C1250" s="5">
        <f>IF(ActiveDatabase=Standby,Secondary!C1250,Primary!C1908)</f>
        <v>0</v>
      </c>
      <c r="D1250" s="5">
        <f>IF(ActiveDatabase=Standby,Secondary!D1250,Primary!D1908)</f>
        <v>0</v>
      </c>
      <c r="E1250" s="7">
        <f>IF(ActiveDatabase=Standby,Secondary!E1250,Primary!E1908)</f>
        <v>0</v>
      </c>
      <c r="F1250" s="8">
        <f>IF(ActiveDatabase=Standby,Secondary!F1250,Primary!F1908)</f>
        <v>0</v>
      </c>
      <c r="G1250" s="8">
        <f>IF(ActiveDatabase=Standby,Secondary!G1250,Primary!G1908)</f>
        <v>0</v>
      </c>
      <c r="H1250" s="8">
        <f>IF(ActiveDatabase=Standby,Secondary!H1250,Primary!H1908)</f>
        <v>0</v>
      </c>
      <c r="I1250" s="14">
        <f>IF(ActiveDatabase=Standby,Secondary!I1250,Primary!I1908)</f>
        <v>0</v>
      </c>
      <c r="J1250" s="14">
        <f>IF(ActiveDatabase=Standby,Secondary!J1250,Primary!J1908)</f>
        <v>0</v>
      </c>
      <c r="K1250" s="14">
        <f>IF(ActiveDatabase=Standby,Secondary!K1250,Primary!K1908)</f>
        <v>0</v>
      </c>
      <c r="L1250" s="14">
        <f>IF(ActiveDatabase=Standby,Secondary!L1250,Primary!L1908)</f>
        <v>0</v>
      </c>
      <c r="M1250" s="7">
        <f>IF(ActiveDatabase=Standby,Secondary!M1250,Primary!M1908)</f>
        <v>0</v>
      </c>
      <c r="N1250" s="8">
        <f>IF(ActiveDatabase=Standby,Secondary!N1250,Primary!N1908)</f>
        <v>0</v>
      </c>
      <c r="O1250" s="8">
        <f>IF(ActiveDatabase=Standby,Secondary!O1250,Primary!O1908)</f>
        <v>0</v>
      </c>
      <c r="P1250" s="8">
        <f>IF(ActiveDatabase=Standby,Secondary!P1250,Primary!P1908)</f>
        <v>0</v>
      </c>
      <c r="Q1250" s="7">
        <f>IF(ActiveDatabase=Standby,Secondary!Q1250,Primary!Q1908)</f>
        <v>0</v>
      </c>
      <c r="R1250" s="16">
        <f>IF(ActiveDatabase=Standby,Secondary!R1250,Primary!R1908)</f>
        <v>0</v>
      </c>
      <c r="S1250" s="17">
        <f>IF(ActiveDatabase=Standby,Secondary!S1250,Primary!S1908)</f>
        <v>0</v>
      </c>
      <c r="T1250" s="8">
        <f>IF(ActiveDatabase=Standby,Secondary!T1250,Primary!T1908)</f>
        <v>0</v>
      </c>
      <c r="U1250" s="8">
        <f>IF(ActiveDatabase=Standby,Secondary!U1250,Primary!U1908)</f>
        <v>0</v>
      </c>
      <c r="V1250" s="8">
        <f>IF(ActiveDatabase=Standby,Secondary!V1250,Primary!V1908)</f>
        <v>0</v>
      </c>
      <c r="W1250" s="7">
        <f>IF(ActiveDatabase=Standby,Secondary!W1250,Primary!W1908)</f>
        <v>0</v>
      </c>
      <c r="X1250" s="7">
        <f>IF(ActiveDatabase=Standby,Secondary!X1250,Primary!X1908)</f>
        <v>0</v>
      </c>
      <c r="Y1250" s="7">
        <f>IF(ActiveDatabase=Standby,Secondary!Y1250,Primary!Y1908)</f>
        <v>0</v>
      </c>
      <c r="Z1250" s="7">
        <f>IF(ActiveDatabase=Standby,Secondary!Z1250,Primary!Z1908)</f>
        <v>0</v>
      </c>
      <c r="AA1250" s="7">
        <f>IF(ActiveDatabase=Standby,Secondary!AA1250,Primary!AA1908)</f>
        <v>0</v>
      </c>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c r="AX1250" s="7"/>
      <c r="AY1250" s="7"/>
      <c r="AZ1250" s="7"/>
      <c r="BA1250" s="7"/>
      <c r="BB1250" s="7"/>
      <c r="BC1250" s="7"/>
      <c r="BD1250" s="7"/>
      <c r="BE1250" s="7"/>
      <c r="BF1250" s="7"/>
      <c r="BG1250" s="7"/>
    </row>
    <row r="1251" customHeight="1" spans="1:59">
      <c r="A1251" s="9">
        <f>IF(ActiveDatabase=Standby,Secondary!A1251,Primary!A1909)</f>
        <v>0</v>
      </c>
      <c r="B1251" s="5">
        <f>IF(ActiveDatabase=Standby,Secondary!B1251,Primary!B1909)</f>
        <v>0</v>
      </c>
      <c r="C1251" s="5">
        <f>IF(ActiveDatabase=Standby,Secondary!C1251,Primary!C1909)</f>
        <v>0</v>
      </c>
      <c r="D1251" s="5">
        <f>IF(ActiveDatabase=Standby,Secondary!D1251,Primary!D1909)</f>
        <v>0</v>
      </c>
      <c r="E1251" s="7">
        <f>IF(ActiveDatabase=Standby,Secondary!E1251,Primary!E1909)</f>
        <v>0</v>
      </c>
      <c r="F1251" s="8">
        <f>IF(ActiveDatabase=Standby,Secondary!F1251,Primary!F1909)</f>
        <v>0</v>
      </c>
      <c r="G1251" s="8">
        <f>IF(ActiveDatabase=Standby,Secondary!G1251,Primary!G1909)</f>
        <v>0</v>
      </c>
      <c r="H1251" s="8">
        <f>IF(ActiveDatabase=Standby,Secondary!H1251,Primary!H1909)</f>
        <v>0</v>
      </c>
      <c r="I1251" s="14">
        <f>IF(ActiveDatabase=Standby,Secondary!I1251,Primary!I1909)</f>
        <v>0</v>
      </c>
      <c r="J1251" s="14">
        <f>IF(ActiveDatabase=Standby,Secondary!J1251,Primary!J1909)</f>
        <v>0</v>
      </c>
      <c r="K1251" s="14">
        <f>IF(ActiveDatabase=Standby,Secondary!K1251,Primary!K1909)</f>
        <v>0</v>
      </c>
      <c r="L1251" s="14">
        <f>IF(ActiveDatabase=Standby,Secondary!L1251,Primary!L1909)</f>
        <v>0</v>
      </c>
      <c r="M1251" s="7">
        <f>IF(ActiveDatabase=Standby,Secondary!M1251,Primary!M1909)</f>
        <v>0</v>
      </c>
      <c r="N1251" s="8">
        <f>IF(ActiveDatabase=Standby,Secondary!N1251,Primary!N1909)</f>
        <v>0</v>
      </c>
      <c r="O1251" s="8">
        <f>IF(ActiveDatabase=Standby,Secondary!O1251,Primary!O1909)</f>
        <v>0</v>
      </c>
      <c r="P1251" s="8">
        <f>IF(ActiveDatabase=Standby,Secondary!P1251,Primary!P1909)</f>
        <v>0</v>
      </c>
      <c r="Q1251" s="7">
        <f>IF(ActiveDatabase=Standby,Secondary!Q1251,Primary!Q1909)</f>
        <v>0</v>
      </c>
      <c r="R1251" s="16">
        <f>IF(ActiveDatabase=Standby,Secondary!R1251,Primary!R1909)</f>
        <v>0</v>
      </c>
      <c r="S1251" s="17">
        <f>IF(ActiveDatabase=Standby,Secondary!S1251,Primary!S1909)</f>
        <v>0</v>
      </c>
      <c r="T1251" s="8">
        <f>IF(ActiveDatabase=Standby,Secondary!T1251,Primary!T1909)</f>
        <v>0</v>
      </c>
      <c r="U1251" s="8">
        <f>IF(ActiveDatabase=Standby,Secondary!U1251,Primary!U1909)</f>
        <v>0</v>
      </c>
      <c r="V1251" s="8">
        <f>IF(ActiveDatabase=Standby,Secondary!V1251,Primary!V1909)</f>
        <v>0</v>
      </c>
      <c r="W1251" s="7">
        <f>IF(ActiveDatabase=Standby,Secondary!W1251,Primary!W1909)</f>
        <v>0</v>
      </c>
      <c r="X1251" s="7">
        <f>IF(ActiveDatabase=Standby,Secondary!X1251,Primary!X1909)</f>
        <v>0</v>
      </c>
      <c r="Y1251" s="7">
        <f>IF(ActiveDatabase=Standby,Secondary!Y1251,Primary!Y1909)</f>
        <v>0</v>
      </c>
      <c r="Z1251" s="7">
        <f>IF(ActiveDatabase=Standby,Secondary!Z1251,Primary!Z1909)</f>
        <v>0</v>
      </c>
      <c r="AA1251" s="7">
        <f>IF(ActiveDatabase=Standby,Secondary!AA1251,Primary!AA1909)</f>
        <v>0</v>
      </c>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7"/>
      <c r="BD1251" s="7"/>
      <c r="BE1251" s="7"/>
      <c r="BF1251" s="7"/>
      <c r="BG1251" s="7"/>
    </row>
    <row r="1252" customHeight="1" spans="1:59">
      <c r="A1252" s="9">
        <f>IF(ActiveDatabase=Standby,Secondary!A1252,Primary!A1910)</f>
        <v>0</v>
      </c>
      <c r="B1252" s="5">
        <f>IF(ActiveDatabase=Standby,Secondary!B1252,Primary!B1910)</f>
        <v>0</v>
      </c>
      <c r="C1252" s="5">
        <f>IF(ActiveDatabase=Standby,Secondary!C1252,Primary!C1910)</f>
        <v>0</v>
      </c>
      <c r="D1252" s="5">
        <f>IF(ActiveDatabase=Standby,Secondary!D1252,Primary!D1910)</f>
        <v>0</v>
      </c>
      <c r="E1252" s="7">
        <f>IF(ActiveDatabase=Standby,Secondary!E1252,Primary!E1910)</f>
        <v>0</v>
      </c>
      <c r="F1252" s="8">
        <f>IF(ActiveDatabase=Standby,Secondary!F1252,Primary!F1910)</f>
        <v>0</v>
      </c>
      <c r="G1252" s="8">
        <f>IF(ActiveDatabase=Standby,Secondary!G1252,Primary!G1910)</f>
        <v>0</v>
      </c>
      <c r="H1252" s="8">
        <f>IF(ActiveDatabase=Standby,Secondary!H1252,Primary!H1910)</f>
        <v>0</v>
      </c>
      <c r="I1252" s="14">
        <f>IF(ActiveDatabase=Standby,Secondary!I1252,Primary!I1910)</f>
        <v>0</v>
      </c>
      <c r="J1252" s="14">
        <f>IF(ActiveDatabase=Standby,Secondary!J1252,Primary!J1910)</f>
        <v>0</v>
      </c>
      <c r="K1252" s="14">
        <f>IF(ActiveDatabase=Standby,Secondary!K1252,Primary!K1910)</f>
        <v>0</v>
      </c>
      <c r="L1252" s="14">
        <f>IF(ActiveDatabase=Standby,Secondary!L1252,Primary!L1910)</f>
        <v>0</v>
      </c>
      <c r="M1252" s="7">
        <f>IF(ActiveDatabase=Standby,Secondary!M1252,Primary!M1910)</f>
        <v>0</v>
      </c>
      <c r="N1252" s="8">
        <f>IF(ActiveDatabase=Standby,Secondary!N1252,Primary!N1910)</f>
        <v>0</v>
      </c>
      <c r="O1252" s="8">
        <f>IF(ActiveDatabase=Standby,Secondary!O1252,Primary!O1910)</f>
        <v>0</v>
      </c>
      <c r="P1252" s="8">
        <f>IF(ActiveDatabase=Standby,Secondary!P1252,Primary!P1910)</f>
        <v>0</v>
      </c>
      <c r="Q1252" s="7">
        <f>IF(ActiveDatabase=Standby,Secondary!Q1252,Primary!Q1910)</f>
        <v>0</v>
      </c>
      <c r="R1252" s="16">
        <f>IF(ActiveDatabase=Standby,Secondary!R1252,Primary!R1910)</f>
        <v>0</v>
      </c>
      <c r="S1252" s="17">
        <f>IF(ActiveDatabase=Standby,Secondary!S1252,Primary!S1910)</f>
        <v>0</v>
      </c>
      <c r="T1252" s="8">
        <f>IF(ActiveDatabase=Standby,Secondary!T1252,Primary!T1910)</f>
        <v>0</v>
      </c>
      <c r="U1252" s="8">
        <f>IF(ActiveDatabase=Standby,Secondary!U1252,Primary!U1910)</f>
        <v>0</v>
      </c>
      <c r="V1252" s="8">
        <f>IF(ActiveDatabase=Standby,Secondary!V1252,Primary!V1910)</f>
        <v>0</v>
      </c>
      <c r="W1252" s="7">
        <f>IF(ActiveDatabase=Standby,Secondary!W1252,Primary!W1910)</f>
        <v>0</v>
      </c>
      <c r="X1252" s="7">
        <f>IF(ActiveDatabase=Standby,Secondary!X1252,Primary!X1910)</f>
        <v>0</v>
      </c>
      <c r="Y1252" s="7">
        <f>IF(ActiveDatabase=Standby,Secondary!Y1252,Primary!Y1910)</f>
        <v>0</v>
      </c>
      <c r="Z1252" s="7">
        <f>IF(ActiveDatabase=Standby,Secondary!Z1252,Primary!Z1910)</f>
        <v>0</v>
      </c>
      <c r="AA1252" s="7">
        <f>IF(ActiveDatabase=Standby,Secondary!AA1252,Primary!AA1910)</f>
        <v>0</v>
      </c>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c r="AX1252" s="7"/>
      <c r="AY1252" s="7"/>
      <c r="AZ1252" s="7"/>
      <c r="BA1252" s="7"/>
      <c r="BB1252" s="7"/>
      <c r="BC1252" s="7"/>
      <c r="BD1252" s="7"/>
      <c r="BE1252" s="7"/>
      <c r="BF1252" s="7"/>
      <c r="BG1252" s="7"/>
    </row>
    <row r="1253" customHeight="1" spans="1:59">
      <c r="A1253" s="9">
        <f>IF(ActiveDatabase=Standby,Secondary!A1253,Primary!A1911)</f>
        <v>0</v>
      </c>
      <c r="B1253" s="5">
        <f>IF(ActiveDatabase=Standby,Secondary!B1253,Primary!B1911)</f>
        <v>0</v>
      </c>
      <c r="C1253" s="5">
        <f>IF(ActiveDatabase=Standby,Secondary!C1253,Primary!C1911)</f>
        <v>0</v>
      </c>
      <c r="D1253" s="5">
        <f>IF(ActiveDatabase=Standby,Secondary!D1253,Primary!D1911)</f>
        <v>0</v>
      </c>
      <c r="E1253" s="7">
        <f>IF(ActiveDatabase=Standby,Secondary!E1253,Primary!E1911)</f>
        <v>0</v>
      </c>
      <c r="F1253" s="8">
        <f>IF(ActiveDatabase=Standby,Secondary!F1253,Primary!F1911)</f>
        <v>0</v>
      </c>
      <c r="G1253" s="8">
        <f>IF(ActiveDatabase=Standby,Secondary!G1253,Primary!G1911)</f>
        <v>0</v>
      </c>
      <c r="H1253" s="8">
        <f>IF(ActiveDatabase=Standby,Secondary!H1253,Primary!H1911)</f>
        <v>0</v>
      </c>
      <c r="I1253" s="14">
        <f>IF(ActiveDatabase=Standby,Secondary!I1253,Primary!I1911)</f>
        <v>0</v>
      </c>
      <c r="J1253" s="14">
        <f>IF(ActiveDatabase=Standby,Secondary!J1253,Primary!J1911)</f>
        <v>0</v>
      </c>
      <c r="K1253" s="14">
        <f>IF(ActiveDatabase=Standby,Secondary!K1253,Primary!K1911)</f>
        <v>0</v>
      </c>
      <c r="L1253" s="14">
        <f>IF(ActiveDatabase=Standby,Secondary!L1253,Primary!L1911)</f>
        <v>0</v>
      </c>
      <c r="M1253" s="7">
        <f>IF(ActiveDatabase=Standby,Secondary!M1253,Primary!M1911)</f>
        <v>0</v>
      </c>
      <c r="N1253" s="8">
        <f>IF(ActiveDatabase=Standby,Secondary!N1253,Primary!N1911)</f>
        <v>0</v>
      </c>
      <c r="O1253" s="8">
        <f>IF(ActiveDatabase=Standby,Secondary!O1253,Primary!O1911)</f>
        <v>0</v>
      </c>
      <c r="P1253" s="8">
        <f>IF(ActiveDatabase=Standby,Secondary!P1253,Primary!P1911)</f>
        <v>0</v>
      </c>
      <c r="Q1253" s="7">
        <f>IF(ActiveDatabase=Standby,Secondary!Q1253,Primary!Q1911)</f>
        <v>0</v>
      </c>
      <c r="R1253" s="16">
        <f>IF(ActiveDatabase=Standby,Secondary!R1253,Primary!R1911)</f>
        <v>0</v>
      </c>
      <c r="S1253" s="17">
        <f>IF(ActiveDatabase=Standby,Secondary!S1253,Primary!S1911)</f>
        <v>0</v>
      </c>
      <c r="T1253" s="8">
        <f>IF(ActiveDatabase=Standby,Secondary!T1253,Primary!T1911)</f>
        <v>0</v>
      </c>
      <c r="U1253" s="8">
        <f>IF(ActiveDatabase=Standby,Secondary!U1253,Primary!U1911)</f>
        <v>0</v>
      </c>
      <c r="V1253" s="8">
        <f>IF(ActiveDatabase=Standby,Secondary!V1253,Primary!V1911)</f>
        <v>0</v>
      </c>
      <c r="W1253" s="7">
        <f>IF(ActiveDatabase=Standby,Secondary!W1253,Primary!W1911)</f>
        <v>0</v>
      </c>
      <c r="X1253" s="7">
        <f>IF(ActiveDatabase=Standby,Secondary!X1253,Primary!X1911)</f>
        <v>0</v>
      </c>
      <c r="Y1253" s="7">
        <f>IF(ActiveDatabase=Standby,Secondary!Y1253,Primary!Y1911)</f>
        <v>0</v>
      </c>
      <c r="Z1253" s="7">
        <f>IF(ActiveDatabase=Standby,Secondary!Z1253,Primary!Z1911)</f>
        <v>0</v>
      </c>
      <c r="AA1253" s="7">
        <f>IF(ActiveDatabase=Standby,Secondary!AA1253,Primary!AA1911)</f>
        <v>0</v>
      </c>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c r="AX1253" s="7"/>
      <c r="AY1253" s="7"/>
      <c r="AZ1253" s="7"/>
      <c r="BA1253" s="7"/>
      <c r="BB1253" s="7"/>
      <c r="BC1253" s="7"/>
      <c r="BD1253" s="7"/>
      <c r="BE1253" s="7"/>
      <c r="BF1253" s="7"/>
      <c r="BG1253" s="7"/>
    </row>
    <row r="1254" customHeight="1" spans="1:59">
      <c r="A1254" s="9">
        <f>IF(ActiveDatabase=Standby,Secondary!A1254,Primary!A1912)</f>
        <v>0</v>
      </c>
      <c r="B1254" s="5">
        <f>IF(ActiveDatabase=Standby,Secondary!B1254,Primary!B1912)</f>
        <v>0</v>
      </c>
      <c r="C1254" s="5">
        <f>IF(ActiveDatabase=Standby,Secondary!C1254,Primary!C1912)</f>
        <v>0</v>
      </c>
      <c r="D1254" s="5">
        <f>IF(ActiveDatabase=Standby,Secondary!D1254,Primary!D1912)</f>
        <v>0</v>
      </c>
      <c r="E1254" s="7">
        <f>IF(ActiveDatabase=Standby,Secondary!E1254,Primary!E1912)</f>
        <v>0</v>
      </c>
      <c r="F1254" s="8">
        <f>IF(ActiveDatabase=Standby,Secondary!F1254,Primary!F1912)</f>
        <v>0</v>
      </c>
      <c r="G1254" s="8">
        <f>IF(ActiveDatabase=Standby,Secondary!G1254,Primary!G1912)</f>
        <v>0</v>
      </c>
      <c r="H1254" s="8">
        <f>IF(ActiveDatabase=Standby,Secondary!H1254,Primary!H1912)</f>
        <v>0</v>
      </c>
      <c r="I1254" s="14">
        <f>IF(ActiveDatabase=Standby,Secondary!I1254,Primary!I1912)</f>
        <v>0</v>
      </c>
      <c r="J1254" s="14">
        <f>IF(ActiveDatabase=Standby,Secondary!J1254,Primary!J1912)</f>
        <v>0</v>
      </c>
      <c r="K1254" s="14">
        <f>IF(ActiveDatabase=Standby,Secondary!K1254,Primary!K1912)</f>
        <v>0</v>
      </c>
      <c r="L1254" s="14">
        <f>IF(ActiveDatabase=Standby,Secondary!L1254,Primary!L1912)</f>
        <v>0</v>
      </c>
      <c r="M1254" s="7">
        <f>IF(ActiveDatabase=Standby,Secondary!M1254,Primary!M1912)</f>
        <v>0</v>
      </c>
      <c r="N1254" s="8">
        <f>IF(ActiveDatabase=Standby,Secondary!N1254,Primary!N1912)</f>
        <v>0</v>
      </c>
      <c r="O1254" s="8">
        <f>IF(ActiveDatabase=Standby,Secondary!O1254,Primary!O1912)</f>
        <v>0</v>
      </c>
      <c r="P1254" s="8">
        <f>IF(ActiveDatabase=Standby,Secondary!P1254,Primary!P1912)</f>
        <v>0</v>
      </c>
      <c r="Q1254" s="7">
        <f>IF(ActiveDatabase=Standby,Secondary!Q1254,Primary!Q1912)</f>
        <v>0</v>
      </c>
      <c r="R1254" s="16">
        <f>IF(ActiveDatabase=Standby,Secondary!R1254,Primary!R1912)</f>
        <v>0</v>
      </c>
      <c r="S1254" s="17">
        <f>IF(ActiveDatabase=Standby,Secondary!S1254,Primary!S1912)</f>
        <v>0</v>
      </c>
      <c r="T1254" s="8">
        <f>IF(ActiveDatabase=Standby,Secondary!T1254,Primary!T1912)</f>
        <v>0</v>
      </c>
      <c r="U1254" s="8">
        <f>IF(ActiveDatabase=Standby,Secondary!U1254,Primary!U1912)</f>
        <v>0</v>
      </c>
      <c r="V1254" s="8">
        <f>IF(ActiveDatabase=Standby,Secondary!V1254,Primary!V1912)</f>
        <v>0</v>
      </c>
      <c r="W1254" s="7">
        <f>IF(ActiveDatabase=Standby,Secondary!W1254,Primary!W1912)</f>
        <v>0</v>
      </c>
      <c r="X1254" s="7">
        <f>IF(ActiveDatabase=Standby,Secondary!X1254,Primary!X1912)</f>
        <v>0</v>
      </c>
      <c r="Y1254" s="7">
        <f>IF(ActiveDatabase=Standby,Secondary!Y1254,Primary!Y1912)</f>
        <v>0</v>
      </c>
      <c r="Z1254" s="7">
        <f>IF(ActiveDatabase=Standby,Secondary!Z1254,Primary!Z1912)</f>
        <v>0</v>
      </c>
      <c r="AA1254" s="7">
        <f>IF(ActiveDatabase=Standby,Secondary!AA1254,Primary!AA1912)</f>
        <v>0</v>
      </c>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c r="AX1254" s="7"/>
      <c r="AY1254" s="7"/>
      <c r="AZ1254" s="7"/>
      <c r="BA1254" s="7"/>
      <c r="BB1254" s="7"/>
      <c r="BC1254" s="7"/>
      <c r="BD1254" s="7"/>
      <c r="BE1254" s="7"/>
      <c r="BF1254" s="7"/>
      <c r="BG1254" s="7"/>
    </row>
    <row r="1255" customHeight="1" spans="1:59">
      <c r="A1255" s="9">
        <f>IF(ActiveDatabase=Standby,Secondary!A1255,Primary!A1913)</f>
        <v>0</v>
      </c>
      <c r="B1255" s="5">
        <f>IF(ActiveDatabase=Standby,Secondary!B1255,Primary!B1913)</f>
        <v>0</v>
      </c>
      <c r="C1255" s="5">
        <f>IF(ActiveDatabase=Standby,Secondary!C1255,Primary!C1913)</f>
        <v>0</v>
      </c>
      <c r="D1255" s="5">
        <f>IF(ActiveDatabase=Standby,Secondary!D1255,Primary!D1913)</f>
        <v>0</v>
      </c>
      <c r="E1255" s="7">
        <f>IF(ActiveDatabase=Standby,Secondary!E1255,Primary!E1913)</f>
        <v>0</v>
      </c>
      <c r="F1255" s="8">
        <f>IF(ActiveDatabase=Standby,Secondary!F1255,Primary!F1913)</f>
        <v>0</v>
      </c>
      <c r="G1255" s="8">
        <f>IF(ActiveDatabase=Standby,Secondary!G1255,Primary!G1913)</f>
        <v>0</v>
      </c>
      <c r="H1255" s="8">
        <f>IF(ActiveDatabase=Standby,Secondary!H1255,Primary!H1913)</f>
        <v>0</v>
      </c>
      <c r="I1255" s="14">
        <f>IF(ActiveDatabase=Standby,Secondary!I1255,Primary!I1913)</f>
        <v>0</v>
      </c>
      <c r="J1255" s="14">
        <f>IF(ActiveDatabase=Standby,Secondary!J1255,Primary!J1913)</f>
        <v>0</v>
      </c>
      <c r="K1255" s="14">
        <f>IF(ActiveDatabase=Standby,Secondary!K1255,Primary!K1913)</f>
        <v>0</v>
      </c>
      <c r="L1255" s="14">
        <f>IF(ActiveDatabase=Standby,Secondary!L1255,Primary!L1913)</f>
        <v>0</v>
      </c>
      <c r="M1255" s="7">
        <f>IF(ActiveDatabase=Standby,Secondary!M1255,Primary!M1913)</f>
        <v>0</v>
      </c>
      <c r="N1255" s="8">
        <f>IF(ActiveDatabase=Standby,Secondary!N1255,Primary!N1913)</f>
        <v>0</v>
      </c>
      <c r="O1255" s="8">
        <f>IF(ActiveDatabase=Standby,Secondary!O1255,Primary!O1913)</f>
        <v>0</v>
      </c>
      <c r="P1255" s="8">
        <f>IF(ActiveDatabase=Standby,Secondary!P1255,Primary!P1913)</f>
        <v>0</v>
      </c>
      <c r="Q1255" s="7">
        <f>IF(ActiveDatabase=Standby,Secondary!Q1255,Primary!Q1913)</f>
        <v>0</v>
      </c>
      <c r="R1255" s="16">
        <f>IF(ActiveDatabase=Standby,Secondary!R1255,Primary!R1913)</f>
        <v>0</v>
      </c>
      <c r="S1255" s="17">
        <f>IF(ActiveDatabase=Standby,Secondary!S1255,Primary!S1913)</f>
        <v>0</v>
      </c>
      <c r="T1255" s="8">
        <f>IF(ActiveDatabase=Standby,Secondary!T1255,Primary!T1913)</f>
        <v>0</v>
      </c>
      <c r="U1255" s="8">
        <f>IF(ActiveDatabase=Standby,Secondary!U1255,Primary!U1913)</f>
        <v>0</v>
      </c>
      <c r="V1255" s="8">
        <f>IF(ActiveDatabase=Standby,Secondary!V1255,Primary!V1913)</f>
        <v>0</v>
      </c>
      <c r="W1255" s="7">
        <f>IF(ActiveDatabase=Standby,Secondary!W1255,Primary!W1913)</f>
        <v>0</v>
      </c>
      <c r="X1255" s="7">
        <f>IF(ActiveDatabase=Standby,Secondary!X1255,Primary!X1913)</f>
        <v>0</v>
      </c>
      <c r="Y1255" s="7">
        <f>IF(ActiveDatabase=Standby,Secondary!Y1255,Primary!Y1913)</f>
        <v>0</v>
      </c>
      <c r="Z1255" s="7">
        <f>IF(ActiveDatabase=Standby,Secondary!Z1255,Primary!Z1913)</f>
        <v>0</v>
      </c>
      <c r="AA1255" s="7">
        <f>IF(ActiveDatabase=Standby,Secondary!AA1255,Primary!AA1913)</f>
        <v>0</v>
      </c>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c r="AX1255" s="7"/>
      <c r="AY1255" s="7"/>
      <c r="AZ1255" s="7"/>
      <c r="BA1255" s="7"/>
      <c r="BB1255" s="7"/>
      <c r="BC1255" s="7"/>
      <c r="BD1255" s="7"/>
      <c r="BE1255" s="7"/>
      <c r="BF1255" s="7"/>
      <c r="BG1255" s="7"/>
    </row>
    <row r="1256" customHeight="1" spans="1:59">
      <c r="A1256" s="9">
        <f>IF(ActiveDatabase=Standby,Secondary!A1256,Primary!A1914)</f>
        <v>0</v>
      </c>
      <c r="B1256" s="5">
        <f>IF(ActiveDatabase=Standby,Secondary!B1256,Primary!B1914)</f>
        <v>0</v>
      </c>
      <c r="C1256" s="5">
        <f>IF(ActiveDatabase=Standby,Secondary!C1256,Primary!C1914)</f>
        <v>0</v>
      </c>
      <c r="D1256" s="5">
        <f>IF(ActiveDatabase=Standby,Secondary!D1256,Primary!D1914)</f>
        <v>0</v>
      </c>
      <c r="E1256" s="7">
        <f>IF(ActiveDatabase=Standby,Secondary!E1256,Primary!E1914)</f>
        <v>0</v>
      </c>
      <c r="F1256" s="8">
        <f>IF(ActiveDatabase=Standby,Secondary!F1256,Primary!F1914)</f>
        <v>0</v>
      </c>
      <c r="G1256" s="8">
        <f>IF(ActiveDatabase=Standby,Secondary!G1256,Primary!G1914)</f>
        <v>0</v>
      </c>
      <c r="H1256" s="8">
        <f>IF(ActiveDatabase=Standby,Secondary!H1256,Primary!H1914)</f>
        <v>0</v>
      </c>
      <c r="I1256" s="14">
        <f>IF(ActiveDatabase=Standby,Secondary!I1256,Primary!I1914)</f>
        <v>0</v>
      </c>
      <c r="J1256" s="14">
        <f>IF(ActiveDatabase=Standby,Secondary!J1256,Primary!J1914)</f>
        <v>0</v>
      </c>
      <c r="K1256" s="14">
        <f>IF(ActiveDatabase=Standby,Secondary!K1256,Primary!K1914)</f>
        <v>0</v>
      </c>
      <c r="L1256" s="14">
        <f>IF(ActiveDatabase=Standby,Secondary!L1256,Primary!L1914)</f>
        <v>0</v>
      </c>
      <c r="M1256" s="7">
        <f>IF(ActiveDatabase=Standby,Secondary!M1256,Primary!M1914)</f>
        <v>0</v>
      </c>
      <c r="N1256" s="8">
        <f>IF(ActiveDatabase=Standby,Secondary!N1256,Primary!N1914)</f>
        <v>0</v>
      </c>
      <c r="O1256" s="8">
        <f>IF(ActiveDatabase=Standby,Secondary!O1256,Primary!O1914)</f>
        <v>0</v>
      </c>
      <c r="P1256" s="8">
        <f>IF(ActiveDatabase=Standby,Secondary!P1256,Primary!P1914)</f>
        <v>0</v>
      </c>
      <c r="Q1256" s="7">
        <f>IF(ActiveDatabase=Standby,Secondary!Q1256,Primary!Q1914)</f>
        <v>0</v>
      </c>
      <c r="R1256" s="16">
        <f>IF(ActiveDatabase=Standby,Secondary!R1256,Primary!R1914)</f>
        <v>0</v>
      </c>
      <c r="S1256" s="17">
        <f>IF(ActiveDatabase=Standby,Secondary!S1256,Primary!S1914)</f>
        <v>0</v>
      </c>
      <c r="T1256" s="8">
        <f>IF(ActiveDatabase=Standby,Secondary!T1256,Primary!T1914)</f>
        <v>0</v>
      </c>
      <c r="U1256" s="8">
        <f>IF(ActiveDatabase=Standby,Secondary!U1256,Primary!U1914)</f>
        <v>0</v>
      </c>
      <c r="V1256" s="8">
        <f>IF(ActiveDatabase=Standby,Secondary!V1256,Primary!V1914)</f>
        <v>0</v>
      </c>
      <c r="W1256" s="7">
        <f>IF(ActiveDatabase=Standby,Secondary!W1256,Primary!W1914)</f>
        <v>0</v>
      </c>
      <c r="X1256" s="7">
        <f>IF(ActiveDatabase=Standby,Secondary!X1256,Primary!X1914)</f>
        <v>0</v>
      </c>
      <c r="Y1256" s="7">
        <f>IF(ActiveDatabase=Standby,Secondary!Y1256,Primary!Y1914)</f>
        <v>0</v>
      </c>
      <c r="Z1256" s="7">
        <f>IF(ActiveDatabase=Standby,Secondary!Z1256,Primary!Z1914)</f>
        <v>0</v>
      </c>
      <c r="AA1256" s="7">
        <f>IF(ActiveDatabase=Standby,Secondary!AA1256,Primary!AA1914)</f>
        <v>0</v>
      </c>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c r="AX1256" s="7"/>
      <c r="AY1256" s="7"/>
      <c r="AZ1256" s="7"/>
      <c r="BA1256" s="7"/>
      <c r="BB1256" s="7"/>
      <c r="BC1256" s="7"/>
      <c r="BD1256" s="7"/>
      <c r="BE1256" s="7"/>
      <c r="BF1256" s="7"/>
      <c r="BG1256" s="7"/>
    </row>
    <row r="1257" customHeight="1" spans="1:59">
      <c r="A1257" s="9">
        <f>IF(ActiveDatabase=Standby,Secondary!A1257,Primary!A1915)</f>
        <v>0</v>
      </c>
      <c r="B1257" s="5">
        <f>IF(ActiveDatabase=Standby,Secondary!B1257,Primary!B1915)</f>
        <v>0</v>
      </c>
      <c r="C1257" s="5">
        <f>IF(ActiveDatabase=Standby,Secondary!C1257,Primary!C1915)</f>
        <v>0</v>
      </c>
      <c r="D1257" s="5">
        <f>IF(ActiveDatabase=Standby,Secondary!D1257,Primary!D1915)</f>
        <v>0</v>
      </c>
      <c r="E1257" s="7">
        <f>IF(ActiveDatabase=Standby,Secondary!E1257,Primary!E1915)</f>
        <v>0</v>
      </c>
      <c r="F1257" s="8">
        <f>IF(ActiveDatabase=Standby,Secondary!F1257,Primary!F1915)</f>
        <v>0</v>
      </c>
      <c r="G1257" s="8">
        <f>IF(ActiveDatabase=Standby,Secondary!G1257,Primary!G1915)</f>
        <v>0</v>
      </c>
      <c r="H1257" s="8">
        <f>IF(ActiveDatabase=Standby,Secondary!H1257,Primary!H1915)</f>
        <v>0</v>
      </c>
      <c r="I1257" s="14">
        <f>IF(ActiveDatabase=Standby,Secondary!I1257,Primary!I1915)</f>
        <v>0</v>
      </c>
      <c r="J1257" s="14">
        <f>IF(ActiveDatabase=Standby,Secondary!J1257,Primary!J1915)</f>
        <v>0</v>
      </c>
      <c r="K1257" s="14">
        <f>IF(ActiveDatabase=Standby,Secondary!K1257,Primary!K1915)</f>
        <v>0</v>
      </c>
      <c r="L1257" s="14">
        <f>IF(ActiveDatabase=Standby,Secondary!L1257,Primary!L1915)</f>
        <v>0</v>
      </c>
      <c r="M1257" s="7">
        <f>IF(ActiveDatabase=Standby,Secondary!M1257,Primary!M1915)</f>
        <v>0</v>
      </c>
      <c r="N1257" s="8">
        <f>IF(ActiveDatabase=Standby,Secondary!N1257,Primary!N1915)</f>
        <v>0</v>
      </c>
      <c r="O1257" s="8">
        <f>IF(ActiveDatabase=Standby,Secondary!O1257,Primary!O1915)</f>
        <v>0</v>
      </c>
      <c r="P1257" s="8">
        <f>IF(ActiveDatabase=Standby,Secondary!P1257,Primary!P1915)</f>
        <v>0</v>
      </c>
      <c r="Q1257" s="7">
        <f>IF(ActiveDatabase=Standby,Secondary!Q1257,Primary!Q1915)</f>
        <v>0</v>
      </c>
      <c r="R1257" s="16">
        <f>IF(ActiveDatabase=Standby,Secondary!R1257,Primary!R1915)</f>
        <v>0</v>
      </c>
      <c r="S1257" s="17">
        <f>IF(ActiveDatabase=Standby,Secondary!S1257,Primary!S1915)</f>
        <v>0</v>
      </c>
      <c r="T1257" s="8">
        <f>IF(ActiveDatabase=Standby,Secondary!T1257,Primary!T1915)</f>
        <v>0</v>
      </c>
      <c r="U1257" s="8">
        <f>IF(ActiveDatabase=Standby,Secondary!U1257,Primary!U1915)</f>
        <v>0</v>
      </c>
      <c r="V1257" s="8">
        <f>IF(ActiveDatabase=Standby,Secondary!V1257,Primary!V1915)</f>
        <v>0</v>
      </c>
      <c r="W1257" s="7">
        <f>IF(ActiveDatabase=Standby,Secondary!W1257,Primary!W1915)</f>
        <v>0</v>
      </c>
      <c r="X1257" s="7">
        <f>IF(ActiveDatabase=Standby,Secondary!X1257,Primary!X1915)</f>
        <v>0</v>
      </c>
      <c r="Y1257" s="7">
        <f>IF(ActiveDatabase=Standby,Secondary!Y1257,Primary!Y1915)</f>
        <v>0</v>
      </c>
      <c r="Z1257" s="7">
        <f>IF(ActiveDatabase=Standby,Secondary!Z1257,Primary!Z1915)</f>
        <v>0</v>
      </c>
      <c r="AA1257" s="7">
        <f>IF(ActiveDatabase=Standby,Secondary!AA1257,Primary!AA1915)</f>
        <v>0</v>
      </c>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c r="AX1257" s="7"/>
      <c r="AY1257" s="7"/>
      <c r="AZ1257" s="7"/>
      <c r="BA1257" s="7"/>
      <c r="BB1257" s="7"/>
      <c r="BC1257" s="7"/>
      <c r="BD1257" s="7"/>
      <c r="BE1257" s="7"/>
      <c r="BF1257" s="7"/>
      <c r="BG1257" s="7"/>
    </row>
    <row r="1258" customHeight="1" spans="1:59">
      <c r="A1258" s="9">
        <f>IF(ActiveDatabase=Standby,Secondary!A1258,Primary!A1916)</f>
        <v>0</v>
      </c>
      <c r="B1258" s="5">
        <f>IF(ActiveDatabase=Standby,Secondary!B1258,Primary!B1916)</f>
        <v>0</v>
      </c>
      <c r="C1258" s="5">
        <f>IF(ActiveDatabase=Standby,Secondary!C1258,Primary!C1916)</f>
        <v>0</v>
      </c>
      <c r="D1258" s="5">
        <f>IF(ActiveDatabase=Standby,Secondary!D1258,Primary!D1916)</f>
        <v>0</v>
      </c>
      <c r="E1258" s="7">
        <f>IF(ActiveDatabase=Standby,Secondary!E1258,Primary!E1916)</f>
        <v>0</v>
      </c>
      <c r="F1258" s="8">
        <f>IF(ActiveDatabase=Standby,Secondary!F1258,Primary!F1916)</f>
        <v>0</v>
      </c>
      <c r="G1258" s="8">
        <f>IF(ActiveDatabase=Standby,Secondary!G1258,Primary!G1916)</f>
        <v>0</v>
      </c>
      <c r="H1258" s="8">
        <f>IF(ActiveDatabase=Standby,Secondary!H1258,Primary!H1916)</f>
        <v>0</v>
      </c>
      <c r="I1258" s="14">
        <f>IF(ActiveDatabase=Standby,Secondary!I1258,Primary!I1916)</f>
        <v>0</v>
      </c>
      <c r="J1258" s="14">
        <f>IF(ActiveDatabase=Standby,Secondary!J1258,Primary!J1916)</f>
        <v>0</v>
      </c>
      <c r="K1258" s="14">
        <f>IF(ActiveDatabase=Standby,Secondary!K1258,Primary!K1916)</f>
        <v>0</v>
      </c>
      <c r="L1258" s="14">
        <f>IF(ActiveDatabase=Standby,Secondary!L1258,Primary!L1916)</f>
        <v>0</v>
      </c>
      <c r="M1258" s="7">
        <f>IF(ActiveDatabase=Standby,Secondary!M1258,Primary!M1916)</f>
        <v>0</v>
      </c>
      <c r="N1258" s="8">
        <f>IF(ActiveDatabase=Standby,Secondary!N1258,Primary!N1916)</f>
        <v>0</v>
      </c>
      <c r="O1258" s="8">
        <f>IF(ActiveDatabase=Standby,Secondary!O1258,Primary!O1916)</f>
        <v>0</v>
      </c>
      <c r="P1258" s="8">
        <f>IF(ActiveDatabase=Standby,Secondary!P1258,Primary!P1916)</f>
        <v>0</v>
      </c>
      <c r="Q1258" s="7">
        <f>IF(ActiveDatabase=Standby,Secondary!Q1258,Primary!Q1916)</f>
        <v>0</v>
      </c>
      <c r="R1258" s="16">
        <f>IF(ActiveDatabase=Standby,Secondary!R1258,Primary!R1916)</f>
        <v>0</v>
      </c>
      <c r="S1258" s="17">
        <f>IF(ActiveDatabase=Standby,Secondary!S1258,Primary!S1916)</f>
        <v>0</v>
      </c>
      <c r="T1258" s="8">
        <f>IF(ActiveDatabase=Standby,Secondary!T1258,Primary!T1916)</f>
        <v>0</v>
      </c>
      <c r="U1258" s="8">
        <f>IF(ActiveDatabase=Standby,Secondary!U1258,Primary!U1916)</f>
        <v>0</v>
      </c>
      <c r="V1258" s="8">
        <f>IF(ActiveDatabase=Standby,Secondary!V1258,Primary!V1916)</f>
        <v>0</v>
      </c>
      <c r="W1258" s="7">
        <f>IF(ActiveDatabase=Standby,Secondary!W1258,Primary!W1916)</f>
        <v>0</v>
      </c>
      <c r="X1258" s="7">
        <f>IF(ActiveDatabase=Standby,Secondary!X1258,Primary!X1916)</f>
        <v>0</v>
      </c>
      <c r="Y1258" s="7">
        <f>IF(ActiveDatabase=Standby,Secondary!Y1258,Primary!Y1916)</f>
        <v>0</v>
      </c>
      <c r="Z1258" s="7">
        <f>IF(ActiveDatabase=Standby,Secondary!Z1258,Primary!Z1916)</f>
        <v>0</v>
      </c>
      <c r="AA1258" s="7">
        <f>IF(ActiveDatabase=Standby,Secondary!AA1258,Primary!AA1916)</f>
        <v>0</v>
      </c>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c r="AX1258" s="7"/>
      <c r="AY1258" s="7"/>
      <c r="AZ1258" s="7"/>
      <c r="BA1258" s="7"/>
      <c r="BB1258" s="7"/>
      <c r="BC1258" s="7"/>
      <c r="BD1258" s="7"/>
      <c r="BE1258" s="7"/>
      <c r="BF1258" s="7"/>
      <c r="BG1258" s="7"/>
    </row>
    <row r="1259" customHeight="1" spans="1:59">
      <c r="A1259" s="9">
        <f>IF(ActiveDatabase=Standby,Secondary!A1259,Primary!A1917)</f>
        <v>0</v>
      </c>
      <c r="B1259" s="5">
        <f>IF(ActiveDatabase=Standby,Secondary!B1259,Primary!B1917)</f>
        <v>0</v>
      </c>
      <c r="C1259" s="5">
        <f>IF(ActiveDatabase=Standby,Secondary!C1259,Primary!C1917)</f>
        <v>0</v>
      </c>
      <c r="D1259" s="5">
        <f>IF(ActiveDatabase=Standby,Secondary!D1259,Primary!D1917)</f>
        <v>0</v>
      </c>
      <c r="E1259" s="7">
        <f>IF(ActiveDatabase=Standby,Secondary!E1259,Primary!E1917)</f>
        <v>0</v>
      </c>
      <c r="F1259" s="8">
        <f>IF(ActiveDatabase=Standby,Secondary!F1259,Primary!F1917)</f>
        <v>0</v>
      </c>
      <c r="G1259" s="8">
        <f>IF(ActiveDatabase=Standby,Secondary!G1259,Primary!G1917)</f>
        <v>0</v>
      </c>
      <c r="H1259" s="8">
        <f>IF(ActiveDatabase=Standby,Secondary!H1259,Primary!H1917)</f>
        <v>0</v>
      </c>
      <c r="I1259" s="14">
        <f>IF(ActiveDatabase=Standby,Secondary!I1259,Primary!I1917)</f>
        <v>0</v>
      </c>
      <c r="J1259" s="14">
        <f>IF(ActiveDatabase=Standby,Secondary!J1259,Primary!J1917)</f>
        <v>0</v>
      </c>
      <c r="K1259" s="14">
        <f>IF(ActiveDatabase=Standby,Secondary!K1259,Primary!K1917)</f>
        <v>0</v>
      </c>
      <c r="L1259" s="14">
        <f>IF(ActiveDatabase=Standby,Secondary!L1259,Primary!L1917)</f>
        <v>0</v>
      </c>
      <c r="M1259" s="7">
        <f>IF(ActiveDatabase=Standby,Secondary!M1259,Primary!M1917)</f>
        <v>0</v>
      </c>
      <c r="N1259" s="8">
        <f>IF(ActiveDatabase=Standby,Secondary!N1259,Primary!N1917)</f>
        <v>0</v>
      </c>
      <c r="O1259" s="8">
        <f>IF(ActiveDatabase=Standby,Secondary!O1259,Primary!O1917)</f>
        <v>0</v>
      </c>
      <c r="P1259" s="8">
        <f>IF(ActiveDatabase=Standby,Secondary!P1259,Primary!P1917)</f>
        <v>0</v>
      </c>
      <c r="Q1259" s="7">
        <f>IF(ActiveDatabase=Standby,Secondary!Q1259,Primary!Q1917)</f>
        <v>0</v>
      </c>
      <c r="R1259" s="16">
        <f>IF(ActiveDatabase=Standby,Secondary!R1259,Primary!R1917)</f>
        <v>0</v>
      </c>
      <c r="S1259" s="17">
        <f>IF(ActiveDatabase=Standby,Secondary!S1259,Primary!S1917)</f>
        <v>0</v>
      </c>
      <c r="T1259" s="8">
        <f>IF(ActiveDatabase=Standby,Secondary!T1259,Primary!T1917)</f>
        <v>0</v>
      </c>
      <c r="U1259" s="8">
        <f>IF(ActiveDatabase=Standby,Secondary!U1259,Primary!U1917)</f>
        <v>0</v>
      </c>
      <c r="V1259" s="8">
        <f>IF(ActiveDatabase=Standby,Secondary!V1259,Primary!V1917)</f>
        <v>0</v>
      </c>
      <c r="W1259" s="7">
        <f>IF(ActiveDatabase=Standby,Secondary!W1259,Primary!W1917)</f>
        <v>0</v>
      </c>
      <c r="X1259" s="7">
        <f>IF(ActiveDatabase=Standby,Secondary!X1259,Primary!X1917)</f>
        <v>0</v>
      </c>
      <c r="Y1259" s="7">
        <f>IF(ActiveDatabase=Standby,Secondary!Y1259,Primary!Y1917)</f>
        <v>0</v>
      </c>
      <c r="Z1259" s="7">
        <f>IF(ActiveDatabase=Standby,Secondary!Z1259,Primary!Z1917)</f>
        <v>0</v>
      </c>
      <c r="AA1259" s="7">
        <f>IF(ActiveDatabase=Standby,Secondary!AA1259,Primary!AA1917)</f>
        <v>0</v>
      </c>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c r="AX1259" s="7"/>
      <c r="AY1259" s="7"/>
      <c r="AZ1259" s="7"/>
      <c r="BA1259" s="7"/>
      <c r="BB1259" s="7"/>
      <c r="BC1259" s="7"/>
      <c r="BD1259" s="7"/>
      <c r="BE1259" s="7"/>
      <c r="BF1259" s="7"/>
      <c r="BG1259" s="7"/>
    </row>
    <row r="1260" customHeight="1" spans="1:59">
      <c r="A1260" s="9">
        <f>IF(ActiveDatabase=Standby,Secondary!A1260,Primary!A1918)</f>
        <v>0</v>
      </c>
      <c r="B1260" s="5">
        <f>IF(ActiveDatabase=Standby,Secondary!B1260,Primary!B1918)</f>
        <v>0</v>
      </c>
      <c r="C1260" s="5">
        <f>IF(ActiveDatabase=Standby,Secondary!C1260,Primary!C1918)</f>
        <v>0</v>
      </c>
      <c r="D1260" s="5">
        <f>IF(ActiveDatabase=Standby,Secondary!D1260,Primary!D1918)</f>
        <v>0</v>
      </c>
      <c r="E1260" s="7">
        <f>IF(ActiveDatabase=Standby,Secondary!E1260,Primary!E1918)</f>
        <v>0</v>
      </c>
      <c r="F1260" s="8">
        <f>IF(ActiveDatabase=Standby,Secondary!F1260,Primary!F1918)</f>
        <v>0</v>
      </c>
      <c r="G1260" s="8">
        <f>IF(ActiveDatabase=Standby,Secondary!G1260,Primary!G1918)</f>
        <v>0</v>
      </c>
      <c r="H1260" s="8">
        <f>IF(ActiveDatabase=Standby,Secondary!H1260,Primary!H1918)</f>
        <v>0</v>
      </c>
      <c r="I1260" s="14">
        <f>IF(ActiveDatabase=Standby,Secondary!I1260,Primary!I1918)</f>
        <v>0</v>
      </c>
      <c r="J1260" s="14">
        <f>IF(ActiveDatabase=Standby,Secondary!J1260,Primary!J1918)</f>
        <v>0</v>
      </c>
      <c r="K1260" s="14">
        <f>IF(ActiveDatabase=Standby,Secondary!K1260,Primary!K1918)</f>
        <v>0</v>
      </c>
      <c r="L1260" s="14">
        <f>IF(ActiveDatabase=Standby,Secondary!L1260,Primary!L1918)</f>
        <v>0</v>
      </c>
      <c r="M1260" s="7">
        <f>IF(ActiveDatabase=Standby,Secondary!M1260,Primary!M1918)</f>
        <v>0</v>
      </c>
      <c r="N1260" s="8">
        <f>IF(ActiveDatabase=Standby,Secondary!N1260,Primary!N1918)</f>
        <v>0</v>
      </c>
      <c r="O1260" s="8">
        <f>IF(ActiveDatabase=Standby,Secondary!O1260,Primary!O1918)</f>
        <v>0</v>
      </c>
      <c r="P1260" s="8">
        <f>IF(ActiveDatabase=Standby,Secondary!P1260,Primary!P1918)</f>
        <v>0</v>
      </c>
      <c r="Q1260" s="7">
        <f>IF(ActiveDatabase=Standby,Secondary!Q1260,Primary!Q1918)</f>
        <v>0</v>
      </c>
      <c r="R1260" s="16">
        <f>IF(ActiveDatabase=Standby,Secondary!R1260,Primary!R1918)</f>
        <v>0</v>
      </c>
      <c r="S1260" s="17">
        <f>IF(ActiveDatabase=Standby,Secondary!S1260,Primary!S1918)</f>
        <v>0</v>
      </c>
      <c r="T1260" s="8">
        <f>IF(ActiveDatabase=Standby,Secondary!T1260,Primary!T1918)</f>
        <v>0</v>
      </c>
      <c r="U1260" s="8">
        <f>IF(ActiveDatabase=Standby,Secondary!U1260,Primary!U1918)</f>
        <v>0</v>
      </c>
      <c r="V1260" s="8">
        <f>IF(ActiveDatabase=Standby,Secondary!V1260,Primary!V1918)</f>
        <v>0</v>
      </c>
      <c r="W1260" s="7">
        <f>IF(ActiveDatabase=Standby,Secondary!W1260,Primary!W1918)</f>
        <v>0</v>
      </c>
      <c r="X1260" s="7">
        <f>IF(ActiveDatabase=Standby,Secondary!X1260,Primary!X1918)</f>
        <v>0</v>
      </c>
      <c r="Y1260" s="7">
        <f>IF(ActiveDatabase=Standby,Secondary!Y1260,Primary!Y1918)</f>
        <v>0</v>
      </c>
      <c r="Z1260" s="7">
        <f>IF(ActiveDatabase=Standby,Secondary!Z1260,Primary!Z1918)</f>
        <v>0</v>
      </c>
      <c r="AA1260" s="7">
        <f>IF(ActiveDatabase=Standby,Secondary!AA1260,Primary!AA1918)</f>
        <v>0</v>
      </c>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c r="AX1260" s="7"/>
      <c r="AY1260" s="7"/>
      <c r="AZ1260" s="7"/>
      <c r="BA1260" s="7"/>
      <c r="BB1260" s="7"/>
      <c r="BC1260" s="7"/>
      <c r="BD1260" s="7"/>
      <c r="BE1260" s="7"/>
      <c r="BF1260" s="7"/>
      <c r="BG1260" s="7"/>
    </row>
    <row r="1261" customHeight="1" spans="1:59">
      <c r="A1261" s="9">
        <f>IF(ActiveDatabase=Standby,Secondary!A1261,Primary!A1919)</f>
        <v>0</v>
      </c>
      <c r="B1261" s="5">
        <f>IF(ActiveDatabase=Standby,Secondary!B1261,Primary!B1919)</f>
        <v>0</v>
      </c>
      <c r="C1261" s="5">
        <f>IF(ActiveDatabase=Standby,Secondary!C1261,Primary!C1919)</f>
        <v>0</v>
      </c>
      <c r="D1261" s="5">
        <f>IF(ActiveDatabase=Standby,Secondary!D1261,Primary!D1919)</f>
        <v>0</v>
      </c>
      <c r="E1261" s="7">
        <f>IF(ActiveDatabase=Standby,Secondary!E1261,Primary!E1919)</f>
        <v>0</v>
      </c>
      <c r="F1261" s="8">
        <f>IF(ActiveDatabase=Standby,Secondary!F1261,Primary!F1919)</f>
        <v>0</v>
      </c>
      <c r="G1261" s="8">
        <f>IF(ActiveDatabase=Standby,Secondary!G1261,Primary!G1919)</f>
        <v>0</v>
      </c>
      <c r="H1261" s="8">
        <f>IF(ActiveDatabase=Standby,Secondary!H1261,Primary!H1919)</f>
        <v>0</v>
      </c>
      <c r="I1261" s="14">
        <f>IF(ActiveDatabase=Standby,Secondary!I1261,Primary!I1919)</f>
        <v>0</v>
      </c>
      <c r="J1261" s="14">
        <f>IF(ActiveDatabase=Standby,Secondary!J1261,Primary!J1919)</f>
        <v>0</v>
      </c>
      <c r="K1261" s="14">
        <f>IF(ActiveDatabase=Standby,Secondary!K1261,Primary!K1919)</f>
        <v>0</v>
      </c>
      <c r="L1261" s="14">
        <f>IF(ActiveDatabase=Standby,Secondary!L1261,Primary!L1919)</f>
        <v>0</v>
      </c>
      <c r="M1261" s="7">
        <f>IF(ActiveDatabase=Standby,Secondary!M1261,Primary!M1919)</f>
        <v>0</v>
      </c>
      <c r="N1261" s="8">
        <f>IF(ActiveDatabase=Standby,Secondary!N1261,Primary!N1919)</f>
        <v>0</v>
      </c>
      <c r="O1261" s="8">
        <f>IF(ActiveDatabase=Standby,Secondary!O1261,Primary!O1919)</f>
        <v>0</v>
      </c>
      <c r="P1261" s="8">
        <f>IF(ActiveDatabase=Standby,Secondary!P1261,Primary!P1919)</f>
        <v>0</v>
      </c>
      <c r="Q1261" s="7">
        <f>IF(ActiveDatabase=Standby,Secondary!Q1261,Primary!Q1919)</f>
        <v>0</v>
      </c>
      <c r="R1261" s="16">
        <f>IF(ActiveDatabase=Standby,Secondary!R1261,Primary!R1919)</f>
        <v>0</v>
      </c>
      <c r="S1261" s="17">
        <f>IF(ActiveDatabase=Standby,Secondary!S1261,Primary!S1919)</f>
        <v>0</v>
      </c>
      <c r="T1261" s="8">
        <f>IF(ActiveDatabase=Standby,Secondary!T1261,Primary!T1919)</f>
        <v>0</v>
      </c>
      <c r="U1261" s="8">
        <f>IF(ActiveDatabase=Standby,Secondary!U1261,Primary!U1919)</f>
        <v>0</v>
      </c>
      <c r="V1261" s="8">
        <f>IF(ActiveDatabase=Standby,Secondary!V1261,Primary!V1919)</f>
        <v>0</v>
      </c>
      <c r="W1261" s="7">
        <f>IF(ActiveDatabase=Standby,Secondary!W1261,Primary!W1919)</f>
        <v>0</v>
      </c>
      <c r="X1261" s="7">
        <f>IF(ActiveDatabase=Standby,Secondary!X1261,Primary!X1919)</f>
        <v>0</v>
      </c>
      <c r="Y1261" s="7">
        <f>IF(ActiveDatabase=Standby,Secondary!Y1261,Primary!Y1919)</f>
        <v>0</v>
      </c>
      <c r="Z1261" s="7">
        <f>IF(ActiveDatabase=Standby,Secondary!Z1261,Primary!Z1919)</f>
        <v>0</v>
      </c>
      <c r="AA1261" s="7">
        <f>IF(ActiveDatabase=Standby,Secondary!AA1261,Primary!AA1919)</f>
        <v>0</v>
      </c>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c r="AX1261" s="7"/>
      <c r="AY1261" s="7"/>
      <c r="AZ1261" s="7"/>
      <c r="BA1261" s="7"/>
      <c r="BB1261" s="7"/>
      <c r="BC1261" s="7"/>
      <c r="BD1261" s="7"/>
      <c r="BE1261" s="7"/>
      <c r="BF1261" s="7"/>
      <c r="BG1261" s="7"/>
    </row>
    <row r="1262" customHeight="1" spans="1:59">
      <c r="A1262" s="9">
        <f>IF(ActiveDatabase=Standby,Secondary!A1262,Primary!A1920)</f>
        <v>0</v>
      </c>
      <c r="B1262" s="5">
        <f>IF(ActiveDatabase=Standby,Secondary!B1262,Primary!B1920)</f>
        <v>0</v>
      </c>
      <c r="C1262" s="5">
        <f>IF(ActiveDatabase=Standby,Secondary!C1262,Primary!C1920)</f>
        <v>0</v>
      </c>
      <c r="D1262" s="5">
        <f>IF(ActiveDatabase=Standby,Secondary!D1262,Primary!D1920)</f>
        <v>0</v>
      </c>
      <c r="E1262" s="7">
        <f>IF(ActiveDatabase=Standby,Secondary!E1262,Primary!E1920)</f>
        <v>0</v>
      </c>
      <c r="F1262" s="8">
        <f>IF(ActiveDatabase=Standby,Secondary!F1262,Primary!F1920)</f>
        <v>0</v>
      </c>
      <c r="G1262" s="8">
        <f>IF(ActiveDatabase=Standby,Secondary!G1262,Primary!G1920)</f>
        <v>0</v>
      </c>
      <c r="H1262" s="8">
        <f>IF(ActiveDatabase=Standby,Secondary!H1262,Primary!H1920)</f>
        <v>0</v>
      </c>
      <c r="I1262" s="14">
        <f>IF(ActiveDatabase=Standby,Secondary!I1262,Primary!I1920)</f>
        <v>0</v>
      </c>
      <c r="J1262" s="14">
        <f>IF(ActiveDatabase=Standby,Secondary!J1262,Primary!J1920)</f>
        <v>0</v>
      </c>
      <c r="K1262" s="14">
        <f>IF(ActiveDatabase=Standby,Secondary!K1262,Primary!K1920)</f>
        <v>0</v>
      </c>
      <c r="L1262" s="14">
        <f>IF(ActiveDatabase=Standby,Secondary!L1262,Primary!L1920)</f>
        <v>0</v>
      </c>
      <c r="M1262" s="7">
        <f>IF(ActiveDatabase=Standby,Secondary!M1262,Primary!M1920)</f>
        <v>0</v>
      </c>
      <c r="N1262" s="8">
        <f>IF(ActiveDatabase=Standby,Secondary!N1262,Primary!N1920)</f>
        <v>0</v>
      </c>
      <c r="O1262" s="8">
        <f>IF(ActiveDatabase=Standby,Secondary!O1262,Primary!O1920)</f>
        <v>0</v>
      </c>
      <c r="P1262" s="8">
        <f>IF(ActiveDatabase=Standby,Secondary!P1262,Primary!P1920)</f>
        <v>0</v>
      </c>
      <c r="Q1262" s="7">
        <f>IF(ActiveDatabase=Standby,Secondary!Q1262,Primary!Q1920)</f>
        <v>0</v>
      </c>
      <c r="R1262" s="16">
        <f>IF(ActiveDatabase=Standby,Secondary!R1262,Primary!R1920)</f>
        <v>0</v>
      </c>
      <c r="S1262" s="17">
        <f>IF(ActiveDatabase=Standby,Secondary!S1262,Primary!S1920)</f>
        <v>0</v>
      </c>
      <c r="T1262" s="8">
        <f>IF(ActiveDatabase=Standby,Secondary!T1262,Primary!T1920)</f>
        <v>0</v>
      </c>
      <c r="U1262" s="8">
        <f>IF(ActiveDatabase=Standby,Secondary!U1262,Primary!U1920)</f>
        <v>0</v>
      </c>
      <c r="V1262" s="8">
        <f>IF(ActiveDatabase=Standby,Secondary!V1262,Primary!V1920)</f>
        <v>0</v>
      </c>
      <c r="W1262" s="7">
        <f>IF(ActiveDatabase=Standby,Secondary!W1262,Primary!W1920)</f>
        <v>0</v>
      </c>
      <c r="X1262" s="7">
        <f>IF(ActiveDatabase=Standby,Secondary!X1262,Primary!X1920)</f>
        <v>0</v>
      </c>
      <c r="Y1262" s="7">
        <f>IF(ActiveDatabase=Standby,Secondary!Y1262,Primary!Y1920)</f>
        <v>0</v>
      </c>
      <c r="Z1262" s="7">
        <f>IF(ActiveDatabase=Standby,Secondary!Z1262,Primary!Z1920)</f>
        <v>0</v>
      </c>
      <c r="AA1262" s="7">
        <f>IF(ActiveDatabase=Standby,Secondary!AA1262,Primary!AA1920)</f>
        <v>0</v>
      </c>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c r="AX1262" s="7"/>
      <c r="AY1262" s="7"/>
      <c r="AZ1262" s="7"/>
      <c r="BA1262" s="7"/>
      <c r="BB1262" s="7"/>
      <c r="BC1262" s="7"/>
      <c r="BD1262" s="7"/>
      <c r="BE1262" s="7"/>
      <c r="BF1262" s="7"/>
      <c r="BG1262" s="7"/>
    </row>
    <row r="1263" customHeight="1" spans="1:59">
      <c r="A1263" s="9">
        <f>IF(ActiveDatabase=Standby,Secondary!A1263,Primary!A1921)</f>
        <v>0</v>
      </c>
      <c r="B1263" s="5">
        <f>IF(ActiveDatabase=Standby,Secondary!B1263,Primary!B1921)</f>
        <v>0</v>
      </c>
      <c r="C1263" s="5">
        <f>IF(ActiveDatabase=Standby,Secondary!C1263,Primary!C1921)</f>
        <v>0</v>
      </c>
      <c r="D1263" s="5">
        <f>IF(ActiveDatabase=Standby,Secondary!D1263,Primary!D1921)</f>
        <v>0</v>
      </c>
      <c r="E1263" s="7">
        <f>IF(ActiveDatabase=Standby,Secondary!E1263,Primary!E1921)</f>
        <v>0</v>
      </c>
      <c r="F1263" s="8">
        <f>IF(ActiveDatabase=Standby,Secondary!F1263,Primary!F1921)</f>
        <v>0</v>
      </c>
      <c r="G1263" s="8">
        <f>IF(ActiveDatabase=Standby,Secondary!G1263,Primary!G1921)</f>
        <v>0</v>
      </c>
      <c r="H1263" s="8">
        <f>IF(ActiveDatabase=Standby,Secondary!H1263,Primary!H1921)</f>
        <v>0</v>
      </c>
      <c r="I1263" s="14">
        <f>IF(ActiveDatabase=Standby,Secondary!I1263,Primary!I1921)</f>
        <v>0</v>
      </c>
      <c r="J1263" s="14">
        <f>IF(ActiveDatabase=Standby,Secondary!J1263,Primary!J1921)</f>
        <v>0</v>
      </c>
      <c r="K1263" s="14">
        <f>IF(ActiveDatabase=Standby,Secondary!K1263,Primary!K1921)</f>
        <v>0</v>
      </c>
      <c r="L1263" s="14">
        <f>IF(ActiveDatabase=Standby,Secondary!L1263,Primary!L1921)</f>
        <v>0</v>
      </c>
      <c r="M1263" s="7">
        <f>IF(ActiveDatabase=Standby,Secondary!M1263,Primary!M1921)</f>
        <v>0</v>
      </c>
      <c r="N1263" s="8">
        <f>IF(ActiveDatabase=Standby,Secondary!N1263,Primary!N1921)</f>
        <v>0</v>
      </c>
      <c r="O1263" s="8">
        <f>IF(ActiveDatabase=Standby,Secondary!O1263,Primary!O1921)</f>
        <v>0</v>
      </c>
      <c r="P1263" s="8">
        <f>IF(ActiveDatabase=Standby,Secondary!P1263,Primary!P1921)</f>
        <v>0</v>
      </c>
      <c r="Q1263" s="7">
        <f>IF(ActiveDatabase=Standby,Secondary!Q1263,Primary!Q1921)</f>
        <v>0</v>
      </c>
      <c r="R1263" s="16">
        <f>IF(ActiveDatabase=Standby,Secondary!R1263,Primary!R1921)</f>
        <v>0</v>
      </c>
      <c r="S1263" s="17">
        <f>IF(ActiveDatabase=Standby,Secondary!S1263,Primary!S1921)</f>
        <v>0</v>
      </c>
      <c r="T1263" s="8">
        <f>IF(ActiveDatabase=Standby,Secondary!T1263,Primary!T1921)</f>
        <v>0</v>
      </c>
      <c r="U1263" s="8">
        <f>IF(ActiveDatabase=Standby,Secondary!U1263,Primary!U1921)</f>
        <v>0</v>
      </c>
      <c r="V1263" s="8">
        <f>IF(ActiveDatabase=Standby,Secondary!V1263,Primary!V1921)</f>
        <v>0</v>
      </c>
      <c r="W1263" s="7">
        <f>IF(ActiveDatabase=Standby,Secondary!W1263,Primary!W1921)</f>
        <v>0</v>
      </c>
      <c r="X1263" s="7">
        <f>IF(ActiveDatabase=Standby,Secondary!X1263,Primary!X1921)</f>
        <v>0</v>
      </c>
      <c r="Y1263" s="7">
        <f>IF(ActiveDatabase=Standby,Secondary!Y1263,Primary!Y1921)</f>
        <v>0</v>
      </c>
      <c r="Z1263" s="7">
        <f>IF(ActiveDatabase=Standby,Secondary!Z1263,Primary!Z1921)</f>
        <v>0</v>
      </c>
      <c r="AA1263" s="7">
        <f>IF(ActiveDatabase=Standby,Secondary!AA1263,Primary!AA1921)</f>
        <v>0</v>
      </c>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7"/>
      <c r="AX1263" s="7"/>
      <c r="AY1263" s="7"/>
      <c r="AZ1263" s="7"/>
      <c r="BA1263" s="7"/>
      <c r="BB1263" s="7"/>
      <c r="BC1263" s="7"/>
      <c r="BD1263" s="7"/>
      <c r="BE1263" s="7"/>
      <c r="BF1263" s="7"/>
      <c r="BG1263" s="7"/>
    </row>
    <row r="1264" customHeight="1" spans="1:59">
      <c r="A1264" s="9">
        <f>IF(ActiveDatabase=Standby,Secondary!A1264,Primary!A1922)</f>
        <v>0</v>
      </c>
      <c r="B1264" s="5">
        <f>IF(ActiveDatabase=Standby,Secondary!B1264,Primary!B1922)</f>
        <v>0</v>
      </c>
      <c r="C1264" s="5">
        <f>IF(ActiveDatabase=Standby,Secondary!C1264,Primary!C1922)</f>
        <v>0</v>
      </c>
      <c r="D1264" s="5">
        <f>IF(ActiveDatabase=Standby,Secondary!D1264,Primary!D1922)</f>
        <v>0</v>
      </c>
      <c r="E1264" s="7">
        <f>IF(ActiveDatabase=Standby,Secondary!E1264,Primary!E1922)</f>
        <v>0</v>
      </c>
      <c r="F1264" s="8">
        <f>IF(ActiveDatabase=Standby,Secondary!F1264,Primary!F1922)</f>
        <v>0</v>
      </c>
      <c r="G1264" s="8">
        <f>IF(ActiveDatabase=Standby,Secondary!G1264,Primary!G1922)</f>
        <v>0</v>
      </c>
      <c r="H1264" s="8">
        <f>IF(ActiveDatabase=Standby,Secondary!H1264,Primary!H1922)</f>
        <v>0</v>
      </c>
      <c r="I1264" s="14">
        <f>IF(ActiveDatabase=Standby,Secondary!I1264,Primary!I1922)</f>
        <v>0</v>
      </c>
      <c r="J1264" s="14">
        <f>IF(ActiveDatabase=Standby,Secondary!J1264,Primary!J1922)</f>
        <v>0</v>
      </c>
      <c r="K1264" s="14">
        <f>IF(ActiveDatabase=Standby,Secondary!K1264,Primary!K1922)</f>
        <v>0</v>
      </c>
      <c r="L1264" s="14">
        <f>IF(ActiveDatabase=Standby,Secondary!L1264,Primary!L1922)</f>
        <v>0</v>
      </c>
      <c r="M1264" s="7">
        <f>IF(ActiveDatabase=Standby,Secondary!M1264,Primary!M1922)</f>
        <v>0</v>
      </c>
      <c r="N1264" s="8">
        <f>IF(ActiveDatabase=Standby,Secondary!N1264,Primary!N1922)</f>
        <v>0</v>
      </c>
      <c r="O1264" s="8">
        <f>IF(ActiveDatabase=Standby,Secondary!O1264,Primary!O1922)</f>
        <v>0</v>
      </c>
      <c r="P1264" s="8">
        <f>IF(ActiveDatabase=Standby,Secondary!P1264,Primary!P1922)</f>
        <v>0</v>
      </c>
      <c r="Q1264" s="7">
        <f>IF(ActiveDatabase=Standby,Secondary!Q1264,Primary!Q1922)</f>
        <v>0</v>
      </c>
      <c r="R1264" s="16">
        <f>IF(ActiveDatabase=Standby,Secondary!R1264,Primary!R1922)</f>
        <v>0</v>
      </c>
      <c r="S1264" s="17">
        <f>IF(ActiveDatabase=Standby,Secondary!S1264,Primary!S1922)</f>
        <v>0</v>
      </c>
      <c r="T1264" s="8">
        <f>IF(ActiveDatabase=Standby,Secondary!T1264,Primary!T1922)</f>
        <v>0</v>
      </c>
      <c r="U1264" s="8">
        <f>IF(ActiveDatabase=Standby,Secondary!U1264,Primary!U1922)</f>
        <v>0</v>
      </c>
      <c r="V1264" s="8">
        <f>IF(ActiveDatabase=Standby,Secondary!V1264,Primary!V1922)</f>
        <v>0</v>
      </c>
      <c r="W1264" s="7">
        <f>IF(ActiveDatabase=Standby,Secondary!W1264,Primary!W1922)</f>
        <v>0</v>
      </c>
      <c r="X1264" s="7">
        <f>IF(ActiveDatabase=Standby,Secondary!X1264,Primary!X1922)</f>
        <v>0</v>
      </c>
      <c r="Y1264" s="7">
        <f>IF(ActiveDatabase=Standby,Secondary!Y1264,Primary!Y1922)</f>
        <v>0</v>
      </c>
      <c r="Z1264" s="7">
        <f>IF(ActiveDatabase=Standby,Secondary!Z1264,Primary!Z1922)</f>
        <v>0</v>
      </c>
      <c r="AA1264" s="7">
        <f>IF(ActiveDatabase=Standby,Secondary!AA1264,Primary!AA1922)</f>
        <v>0</v>
      </c>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7"/>
      <c r="BD1264" s="7"/>
      <c r="BE1264" s="7"/>
      <c r="BF1264" s="7"/>
      <c r="BG1264" s="7"/>
    </row>
    <row r="1265" customHeight="1" spans="1:59">
      <c r="A1265" s="9">
        <f>IF(ActiveDatabase=Standby,Secondary!A1265,Primary!A1923)</f>
        <v>0</v>
      </c>
      <c r="B1265" s="5">
        <f>IF(ActiveDatabase=Standby,Secondary!B1265,Primary!B1923)</f>
        <v>0</v>
      </c>
      <c r="C1265" s="5">
        <f>IF(ActiveDatabase=Standby,Secondary!C1265,Primary!C1923)</f>
        <v>0</v>
      </c>
      <c r="D1265" s="5">
        <f>IF(ActiveDatabase=Standby,Secondary!D1265,Primary!D1923)</f>
        <v>0</v>
      </c>
      <c r="E1265" s="7">
        <f>IF(ActiveDatabase=Standby,Secondary!E1265,Primary!E1923)</f>
        <v>0</v>
      </c>
      <c r="F1265" s="8">
        <f>IF(ActiveDatabase=Standby,Secondary!F1265,Primary!F1923)</f>
        <v>0</v>
      </c>
      <c r="G1265" s="8">
        <f>IF(ActiveDatabase=Standby,Secondary!G1265,Primary!G1923)</f>
        <v>0</v>
      </c>
      <c r="H1265" s="8">
        <f>IF(ActiveDatabase=Standby,Secondary!H1265,Primary!H1923)</f>
        <v>0</v>
      </c>
      <c r="I1265" s="14">
        <f>IF(ActiveDatabase=Standby,Secondary!I1265,Primary!I1923)</f>
        <v>0</v>
      </c>
      <c r="J1265" s="14">
        <f>IF(ActiveDatabase=Standby,Secondary!J1265,Primary!J1923)</f>
        <v>0</v>
      </c>
      <c r="K1265" s="14">
        <f>IF(ActiveDatabase=Standby,Secondary!K1265,Primary!K1923)</f>
        <v>0</v>
      </c>
      <c r="L1265" s="14">
        <f>IF(ActiveDatabase=Standby,Secondary!L1265,Primary!L1923)</f>
        <v>0</v>
      </c>
      <c r="M1265" s="7">
        <f>IF(ActiveDatabase=Standby,Secondary!M1265,Primary!M1923)</f>
        <v>0</v>
      </c>
      <c r="N1265" s="8">
        <f>IF(ActiveDatabase=Standby,Secondary!N1265,Primary!N1923)</f>
        <v>0</v>
      </c>
      <c r="O1265" s="8">
        <f>IF(ActiveDatabase=Standby,Secondary!O1265,Primary!O1923)</f>
        <v>0</v>
      </c>
      <c r="P1265" s="8">
        <f>IF(ActiveDatabase=Standby,Secondary!P1265,Primary!P1923)</f>
        <v>0</v>
      </c>
      <c r="Q1265" s="7">
        <f>IF(ActiveDatabase=Standby,Secondary!Q1265,Primary!Q1923)</f>
        <v>0</v>
      </c>
      <c r="R1265" s="16">
        <f>IF(ActiveDatabase=Standby,Secondary!R1265,Primary!R1923)</f>
        <v>0</v>
      </c>
      <c r="S1265" s="17">
        <f>IF(ActiveDatabase=Standby,Secondary!S1265,Primary!S1923)</f>
        <v>0</v>
      </c>
      <c r="T1265" s="8">
        <f>IF(ActiveDatabase=Standby,Secondary!T1265,Primary!T1923)</f>
        <v>0</v>
      </c>
      <c r="U1265" s="8">
        <f>IF(ActiveDatabase=Standby,Secondary!U1265,Primary!U1923)</f>
        <v>0</v>
      </c>
      <c r="V1265" s="8">
        <f>IF(ActiveDatabase=Standby,Secondary!V1265,Primary!V1923)</f>
        <v>0</v>
      </c>
      <c r="W1265" s="7">
        <f>IF(ActiveDatabase=Standby,Secondary!W1265,Primary!W1923)</f>
        <v>0</v>
      </c>
      <c r="X1265" s="7">
        <f>IF(ActiveDatabase=Standby,Secondary!X1265,Primary!X1923)</f>
        <v>0</v>
      </c>
      <c r="Y1265" s="7">
        <f>IF(ActiveDatabase=Standby,Secondary!Y1265,Primary!Y1923)</f>
        <v>0</v>
      </c>
      <c r="Z1265" s="7">
        <f>IF(ActiveDatabase=Standby,Secondary!Z1265,Primary!Z1923)</f>
        <v>0</v>
      </c>
      <c r="AA1265" s="7">
        <f>IF(ActiveDatabase=Standby,Secondary!AA1265,Primary!AA1923)</f>
        <v>0</v>
      </c>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7"/>
      <c r="BD1265" s="7"/>
      <c r="BE1265" s="7"/>
      <c r="BF1265" s="7"/>
      <c r="BG1265" s="7"/>
    </row>
    <row r="1266" customHeight="1" spans="1:59">
      <c r="A1266" s="9">
        <f>IF(ActiveDatabase=Standby,Secondary!A1266,Primary!A1924)</f>
        <v>0</v>
      </c>
      <c r="B1266" s="5">
        <f>IF(ActiveDatabase=Standby,Secondary!B1266,Primary!B1924)</f>
        <v>0</v>
      </c>
      <c r="C1266" s="5">
        <f>IF(ActiveDatabase=Standby,Secondary!C1266,Primary!C1924)</f>
        <v>0</v>
      </c>
      <c r="D1266" s="5">
        <f>IF(ActiveDatabase=Standby,Secondary!D1266,Primary!D1924)</f>
        <v>0</v>
      </c>
      <c r="E1266" s="7">
        <f>IF(ActiveDatabase=Standby,Secondary!E1266,Primary!E1924)</f>
        <v>0</v>
      </c>
      <c r="F1266" s="8">
        <f>IF(ActiveDatabase=Standby,Secondary!F1266,Primary!F1924)</f>
        <v>0</v>
      </c>
      <c r="G1266" s="8">
        <f>IF(ActiveDatabase=Standby,Secondary!G1266,Primary!G1924)</f>
        <v>0</v>
      </c>
      <c r="H1266" s="8">
        <f>IF(ActiveDatabase=Standby,Secondary!H1266,Primary!H1924)</f>
        <v>0</v>
      </c>
      <c r="I1266" s="14">
        <f>IF(ActiveDatabase=Standby,Secondary!I1266,Primary!I1924)</f>
        <v>0</v>
      </c>
      <c r="J1266" s="14">
        <f>IF(ActiveDatabase=Standby,Secondary!J1266,Primary!J1924)</f>
        <v>0</v>
      </c>
      <c r="K1266" s="14">
        <f>IF(ActiveDatabase=Standby,Secondary!K1266,Primary!K1924)</f>
        <v>0</v>
      </c>
      <c r="L1266" s="14">
        <f>IF(ActiveDatabase=Standby,Secondary!L1266,Primary!L1924)</f>
        <v>0</v>
      </c>
      <c r="M1266" s="7">
        <f>IF(ActiveDatabase=Standby,Secondary!M1266,Primary!M1924)</f>
        <v>0</v>
      </c>
      <c r="N1266" s="8">
        <f>IF(ActiveDatabase=Standby,Secondary!N1266,Primary!N1924)</f>
        <v>0</v>
      </c>
      <c r="O1266" s="8">
        <f>IF(ActiveDatabase=Standby,Secondary!O1266,Primary!O1924)</f>
        <v>0</v>
      </c>
      <c r="P1266" s="8">
        <f>IF(ActiveDatabase=Standby,Secondary!P1266,Primary!P1924)</f>
        <v>0</v>
      </c>
      <c r="Q1266" s="7">
        <f>IF(ActiveDatabase=Standby,Secondary!Q1266,Primary!Q1924)</f>
        <v>0</v>
      </c>
      <c r="R1266" s="16">
        <f>IF(ActiveDatabase=Standby,Secondary!R1266,Primary!R1924)</f>
        <v>0</v>
      </c>
      <c r="S1266" s="17">
        <f>IF(ActiveDatabase=Standby,Secondary!S1266,Primary!S1924)</f>
        <v>0</v>
      </c>
      <c r="T1266" s="8">
        <f>IF(ActiveDatabase=Standby,Secondary!T1266,Primary!T1924)</f>
        <v>0</v>
      </c>
      <c r="U1266" s="8">
        <f>IF(ActiveDatabase=Standby,Secondary!U1266,Primary!U1924)</f>
        <v>0</v>
      </c>
      <c r="V1266" s="8">
        <f>IF(ActiveDatabase=Standby,Secondary!V1266,Primary!V1924)</f>
        <v>0</v>
      </c>
      <c r="W1266" s="7">
        <f>IF(ActiveDatabase=Standby,Secondary!W1266,Primary!W1924)</f>
        <v>0</v>
      </c>
      <c r="X1266" s="7">
        <f>IF(ActiveDatabase=Standby,Secondary!X1266,Primary!X1924)</f>
        <v>0</v>
      </c>
      <c r="Y1266" s="7">
        <f>IF(ActiveDatabase=Standby,Secondary!Y1266,Primary!Y1924)</f>
        <v>0</v>
      </c>
      <c r="Z1266" s="7">
        <f>IF(ActiveDatabase=Standby,Secondary!Z1266,Primary!Z1924)</f>
        <v>0</v>
      </c>
      <c r="AA1266" s="7">
        <f>IF(ActiveDatabase=Standby,Secondary!AA1266,Primary!AA1924)</f>
        <v>0</v>
      </c>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row>
    <row r="1267" customHeight="1" spans="1:59">
      <c r="A1267" s="9">
        <f>IF(ActiveDatabase=Standby,Secondary!A1267,Primary!A1925)</f>
        <v>0</v>
      </c>
      <c r="B1267" s="5">
        <f>IF(ActiveDatabase=Standby,Secondary!B1267,Primary!B1925)</f>
        <v>0</v>
      </c>
      <c r="C1267" s="5">
        <f>IF(ActiveDatabase=Standby,Secondary!C1267,Primary!C1925)</f>
        <v>0</v>
      </c>
      <c r="D1267" s="5">
        <f>IF(ActiveDatabase=Standby,Secondary!D1267,Primary!D1925)</f>
        <v>0</v>
      </c>
      <c r="E1267" s="7">
        <f>IF(ActiveDatabase=Standby,Secondary!E1267,Primary!E1925)</f>
        <v>0</v>
      </c>
      <c r="F1267" s="8">
        <f>IF(ActiveDatabase=Standby,Secondary!F1267,Primary!F1925)</f>
        <v>0</v>
      </c>
      <c r="G1267" s="8">
        <f>IF(ActiveDatabase=Standby,Secondary!G1267,Primary!G1925)</f>
        <v>0</v>
      </c>
      <c r="H1267" s="8">
        <f>IF(ActiveDatabase=Standby,Secondary!H1267,Primary!H1925)</f>
        <v>0</v>
      </c>
      <c r="I1267" s="14">
        <f>IF(ActiveDatabase=Standby,Secondary!I1267,Primary!I1925)</f>
        <v>0</v>
      </c>
      <c r="J1267" s="14">
        <f>IF(ActiveDatabase=Standby,Secondary!J1267,Primary!J1925)</f>
        <v>0</v>
      </c>
      <c r="K1267" s="14">
        <f>IF(ActiveDatabase=Standby,Secondary!K1267,Primary!K1925)</f>
        <v>0</v>
      </c>
      <c r="L1267" s="14">
        <f>IF(ActiveDatabase=Standby,Secondary!L1267,Primary!L1925)</f>
        <v>0</v>
      </c>
      <c r="M1267" s="7">
        <f>IF(ActiveDatabase=Standby,Secondary!M1267,Primary!M1925)</f>
        <v>0</v>
      </c>
      <c r="N1267" s="8">
        <f>IF(ActiveDatabase=Standby,Secondary!N1267,Primary!N1925)</f>
        <v>0</v>
      </c>
      <c r="O1267" s="8">
        <f>IF(ActiveDatabase=Standby,Secondary!O1267,Primary!O1925)</f>
        <v>0</v>
      </c>
      <c r="P1267" s="8">
        <f>IF(ActiveDatabase=Standby,Secondary!P1267,Primary!P1925)</f>
        <v>0</v>
      </c>
      <c r="Q1267" s="7">
        <f>IF(ActiveDatabase=Standby,Secondary!Q1267,Primary!Q1925)</f>
        <v>0</v>
      </c>
      <c r="R1267" s="16">
        <f>IF(ActiveDatabase=Standby,Secondary!R1267,Primary!R1925)</f>
        <v>0</v>
      </c>
      <c r="S1267" s="17">
        <f>IF(ActiveDatabase=Standby,Secondary!S1267,Primary!S1925)</f>
        <v>0</v>
      </c>
      <c r="T1267" s="8">
        <f>IF(ActiveDatabase=Standby,Secondary!T1267,Primary!T1925)</f>
        <v>0</v>
      </c>
      <c r="U1267" s="8">
        <f>IF(ActiveDatabase=Standby,Secondary!U1267,Primary!U1925)</f>
        <v>0</v>
      </c>
      <c r="V1267" s="8">
        <f>IF(ActiveDatabase=Standby,Secondary!V1267,Primary!V1925)</f>
        <v>0</v>
      </c>
      <c r="W1267" s="7">
        <f>IF(ActiveDatabase=Standby,Secondary!W1267,Primary!W1925)</f>
        <v>0</v>
      </c>
      <c r="X1267" s="7">
        <f>IF(ActiveDatabase=Standby,Secondary!X1267,Primary!X1925)</f>
        <v>0</v>
      </c>
      <c r="Y1267" s="7">
        <f>IF(ActiveDatabase=Standby,Secondary!Y1267,Primary!Y1925)</f>
        <v>0</v>
      </c>
      <c r="Z1267" s="7">
        <f>IF(ActiveDatabase=Standby,Secondary!Z1267,Primary!Z1925)</f>
        <v>0</v>
      </c>
      <c r="AA1267" s="7">
        <f>IF(ActiveDatabase=Standby,Secondary!AA1267,Primary!AA1925)</f>
        <v>0</v>
      </c>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7"/>
      <c r="BD1267" s="7"/>
      <c r="BE1267" s="7"/>
      <c r="BF1267" s="7"/>
      <c r="BG1267" s="7"/>
    </row>
    <row r="1268" customHeight="1" spans="1:59">
      <c r="A1268" s="9">
        <f>IF(ActiveDatabase=Standby,Secondary!A1268,Primary!A1926)</f>
        <v>0</v>
      </c>
      <c r="B1268" s="5">
        <f>IF(ActiveDatabase=Standby,Secondary!B1268,Primary!B1926)</f>
        <v>0</v>
      </c>
      <c r="C1268" s="5">
        <f>IF(ActiveDatabase=Standby,Secondary!C1268,Primary!C1926)</f>
        <v>0</v>
      </c>
      <c r="D1268" s="5">
        <f>IF(ActiveDatabase=Standby,Secondary!D1268,Primary!D1926)</f>
        <v>0</v>
      </c>
      <c r="E1268" s="7">
        <f>IF(ActiveDatabase=Standby,Secondary!E1268,Primary!E1926)</f>
        <v>0</v>
      </c>
      <c r="F1268" s="8">
        <f>IF(ActiveDatabase=Standby,Secondary!F1268,Primary!F1926)</f>
        <v>0</v>
      </c>
      <c r="G1268" s="8">
        <f>IF(ActiveDatabase=Standby,Secondary!G1268,Primary!G1926)</f>
        <v>0</v>
      </c>
      <c r="H1268" s="8">
        <f>IF(ActiveDatabase=Standby,Secondary!H1268,Primary!H1926)</f>
        <v>0</v>
      </c>
      <c r="I1268" s="14">
        <f>IF(ActiveDatabase=Standby,Secondary!I1268,Primary!I1926)</f>
        <v>0</v>
      </c>
      <c r="J1268" s="14">
        <f>IF(ActiveDatabase=Standby,Secondary!J1268,Primary!J1926)</f>
        <v>0</v>
      </c>
      <c r="K1268" s="14">
        <f>IF(ActiveDatabase=Standby,Secondary!K1268,Primary!K1926)</f>
        <v>0</v>
      </c>
      <c r="L1268" s="14">
        <f>IF(ActiveDatabase=Standby,Secondary!L1268,Primary!L1926)</f>
        <v>0</v>
      </c>
      <c r="M1268" s="7">
        <f>IF(ActiveDatabase=Standby,Secondary!M1268,Primary!M1926)</f>
        <v>0</v>
      </c>
      <c r="N1268" s="8">
        <f>IF(ActiveDatabase=Standby,Secondary!N1268,Primary!N1926)</f>
        <v>0</v>
      </c>
      <c r="O1268" s="8">
        <f>IF(ActiveDatabase=Standby,Secondary!O1268,Primary!O1926)</f>
        <v>0</v>
      </c>
      <c r="P1268" s="8">
        <f>IF(ActiveDatabase=Standby,Secondary!P1268,Primary!P1926)</f>
        <v>0</v>
      </c>
      <c r="Q1268" s="7">
        <f>IF(ActiveDatabase=Standby,Secondary!Q1268,Primary!Q1926)</f>
        <v>0</v>
      </c>
      <c r="R1268" s="16">
        <f>IF(ActiveDatabase=Standby,Secondary!R1268,Primary!R1926)</f>
        <v>0</v>
      </c>
      <c r="S1268" s="17">
        <f>IF(ActiveDatabase=Standby,Secondary!S1268,Primary!S1926)</f>
        <v>0</v>
      </c>
      <c r="T1268" s="8">
        <f>IF(ActiveDatabase=Standby,Secondary!T1268,Primary!T1926)</f>
        <v>0</v>
      </c>
      <c r="U1268" s="8">
        <f>IF(ActiveDatabase=Standby,Secondary!U1268,Primary!U1926)</f>
        <v>0</v>
      </c>
      <c r="V1268" s="8">
        <f>IF(ActiveDatabase=Standby,Secondary!V1268,Primary!V1926)</f>
        <v>0</v>
      </c>
      <c r="W1268" s="7">
        <f>IF(ActiveDatabase=Standby,Secondary!W1268,Primary!W1926)</f>
        <v>0</v>
      </c>
      <c r="X1268" s="7">
        <f>IF(ActiveDatabase=Standby,Secondary!X1268,Primary!X1926)</f>
        <v>0</v>
      </c>
      <c r="Y1268" s="7">
        <f>IF(ActiveDatabase=Standby,Secondary!Y1268,Primary!Y1926)</f>
        <v>0</v>
      </c>
      <c r="Z1268" s="7">
        <f>IF(ActiveDatabase=Standby,Secondary!Z1268,Primary!Z1926)</f>
        <v>0</v>
      </c>
      <c r="AA1268" s="7">
        <f>IF(ActiveDatabase=Standby,Secondary!AA1268,Primary!AA1926)</f>
        <v>0</v>
      </c>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7"/>
      <c r="BD1268" s="7"/>
      <c r="BE1268" s="7"/>
      <c r="BF1268" s="7"/>
      <c r="BG1268" s="7"/>
    </row>
    <row r="1269" customHeight="1" spans="1:59">
      <c r="A1269" s="9">
        <f>IF(ActiveDatabase=Standby,Secondary!A1269,Primary!A1927)</f>
        <v>0</v>
      </c>
      <c r="B1269" s="5">
        <f>IF(ActiveDatabase=Standby,Secondary!B1269,Primary!B1927)</f>
        <v>0</v>
      </c>
      <c r="C1269" s="5">
        <f>IF(ActiveDatabase=Standby,Secondary!C1269,Primary!C1927)</f>
        <v>0</v>
      </c>
      <c r="D1269" s="5">
        <f>IF(ActiveDatabase=Standby,Secondary!D1269,Primary!D1927)</f>
        <v>0</v>
      </c>
      <c r="E1269" s="7">
        <f>IF(ActiveDatabase=Standby,Secondary!E1269,Primary!E1927)</f>
        <v>0</v>
      </c>
      <c r="F1269" s="8">
        <f>IF(ActiveDatabase=Standby,Secondary!F1269,Primary!F1927)</f>
        <v>0</v>
      </c>
      <c r="G1269" s="8">
        <f>IF(ActiveDatabase=Standby,Secondary!G1269,Primary!G1927)</f>
        <v>0</v>
      </c>
      <c r="H1269" s="8">
        <f>IF(ActiveDatabase=Standby,Secondary!H1269,Primary!H1927)</f>
        <v>0</v>
      </c>
      <c r="I1269" s="14">
        <f>IF(ActiveDatabase=Standby,Secondary!I1269,Primary!I1927)</f>
        <v>0</v>
      </c>
      <c r="J1269" s="14">
        <f>IF(ActiveDatabase=Standby,Secondary!J1269,Primary!J1927)</f>
        <v>0</v>
      </c>
      <c r="K1269" s="14">
        <f>IF(ActiveDatabase=Standby,Secondary!K1269,Primary!K1927)</f>
        <v>0</v>
      </c>
      <c r="L1269" s="14">
        <f>IF(ActiveDatabase=Standby,Secondary!L1269,Primary!L1927)</f>
        <v>0</v>
      </c>
      <c r="M1269" s="7">
        <f>IF(ActiveDatabase=Standby,Secondary!M1269,Primary!M1927)</f>
        <v>0</v>
      </c>
      <c r="N1269" s="8">
        <f>IF(ActiveDatabase=Standby,Secondary!N1269,Primary!N1927)</f>
        <v>0</v>
      </c>
      <c r="O1269" s="8">
        <f>IF(ActiveDatabase=Standby,Secondary!O1269,Primary!O1927)</f>
        <v>0</v>
      </c>
      <c r="P1269" s="8">
        <f>IF(ActiveDatabase=Standby,Secondary!P1269,Primary!P1927)</f>
        <v>0</v>
      </c>
      <c r="Q1269" s="7">
        <f>IF(ActiveDatabase=Standby,Secondary!Q1269,Primary!Q1927)</f>
        <v>0</v>
      </c>
      <c r="R1269" s="16">
        <f>IF(ActiveDatabase=Standby,Secondary!R1269,Primary!R1927)</f>
        <v>0</v>
      </c>
      <c r="S1269" s="17">
        <f>IF(ActiveDatabase=Standby,Secondary!S1269,Primary!S1927)</f>
        <v>0</v>
      </c>
      <c r="T1269" s="8">
        <f>IF(ActiveDatabase=Standby,Secondary!T1269,Primary!T1927)</f>
        <v>0</v>
      </c>
      <c r="U1269" s="8">
        <f>IF(ActiveDatabase=Standby,Secondary!U1269,Primary!U1927)</f>
        <v>0</v>
      </c>
      <c r="V1269" s="8">
        <f>IF(ActiveDatabase=Standby,Secondary!V1269,Primary!V1927)</f>
        <v>0</v>
      </c>
      <c r="W1269" s="7">
        <f>IF(ActiveDatabase=Standby,Secondary!W1269,Primary!W1927)</f>
        <v>0</v>
      </c>
      <c r="X1269" s="7">
        <f>IF(ActiveDatabase=Standby,Secondary!X1269,Primary!X1927)</f>
        <v>0</v>
      </c>
      <c r="Y1269" s="7">
        <f>IF(ActiveDatabase=Standby,Secondary!Y1269,Primary!Y1927)</f>
        <v>0</v>
      </c>
      <c r="Z1269" s="7">
        <f>IF(ActiveDatabase=Standby,Secondary!Z1269,Primary!Z1927)</f>
        <v>0</v>
      </c>
      <c r="AA1269" s="7">
        <f>IF(ActiveDatabase=Standby,Secondary!AA1269,Primary!AA1927)</f>
        <v>0</v>
      </c>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c r="AX1269" s="7"/>
      <c r="AY1269" s="7"/>
      <c r="AZ1269" s="7"/>
      <c r="BA1269" s="7"/>
      <c r="BB1269" s="7"/>
      <c r="BC1269" s="7"/>
      <c r="BD1269" s="7"/>
      <c r="BE1269" s="7"/>
      <c r="BF1269" s="7"/>
      <c r="BG1269" s="7"/>
    </row>
    <row r="1270" customHeight="1" spans="1:59">
      <c r="A1270" s="9">
        <f>IF(ActiveDatabase=Standby,Secondary!A1270,Primary!A1928)</f>
        <v>0</v>
      </c>
      <c r="B1270" s="5">
        <f>IF(ActiveDatabase=Standby,Secondary!B1270,Primary!B1928)</f>
        <v>0</v>
      </c>
      <c r="C1270" s="5">
        <f>IF(ActiveDatabase=Standby,Secondary!C1270,Primary!C1928)</f>
        <v>0</v>
      </c>
      <c r="D1270" s="5">
        <f>IF(ActiveDatabase=Standby,Secondary!D1270,Primary!D1928)</f>
        <v>0</v>
      </c>
      <c r="E1270" s="7">
        <f>IF(ActiveDatabase=Standby,Secondary!E1270,Primary!E1928)</f>
        <v>0</v>
      </c>
      <c r="F1270" s="8">
        <f>IF(ActiveDatabase=Standby,Secondary!F1270,Primary!F1928)</f>
        <v>0</v>
      </c>
      <c r="G1270" s="8">
        <f>IF(ActiveDatabase=Standby,Secondary!G1270,Primary!G1928)</f>
        <v>0</v>
      </c>
      <c r="H1270" s="8">
        <f>IF(ActiveDatabase=Standby,Secondary!H1270,Primary!H1928)</f>
        <v>0</v>
      </c>
      <c r="I1270" s="14">
        <f>IF(ActiveDatabase=Standby,Secondary!I1270,Primary!I1928)</f>
        <v>0</v>
      </c>
      <c r="J1270" s="14">
        <f>IF(ActiveDatabase=Standby,Secondary!J1270,Primary!J1928)</f>
        <v>0</v>
      </c>
      <c r="K1270" s="14">
        <f>IF(ActiveDatabase=Standby,Secondary!K1270,Primary!K1928)</f>
        <v>0</v>
      </c>
      <c r="L1270" s="14">
        <f>IF(ActiveDatabase=Standby,Secondary!L1270,Primary!L1928)</f>
        <v>0</v>
      </c>
      <c r="M1270" s="7">
        <f>IF(ActiveDatabase=Standby,Secondary!M1270,Primary!M1928)</f>
        <v>0</v>
      </c>
      <c r="N1270" s="8">
        <f>IF(ActiveDatabase=Standby,Secondary!N1270,Primary!N1928)</f>
        <v>0</v>
      </c>
      <c r="O1270" s="8">
        <f>IF(ActiveDatabase=Standby,Secondary!O1270,Primary!O1928)</f>
        <v>0</v>
      </c>
      <c r="P1270" s="8">
        <f>IF(ActiveDatabase=Standby,Secondary!P1270,Primary!P1928)</f>
        <v>0</v>
      </c>
      <c r="Q1270" s="7">
        <f>IF(ActiveDatabase=Standby,Secondary!Q1270,Primary!Q1928)</f>
        <v>0</v>
      </c>
      <c r="R1270" s="16">
        <f>IF(ActiveDatabase=Standby,Secondary!R1270,Primary!R1928)</f>
        <v>0</v>
      </c>
      <c r="S1270" s="17">
        <f>IF(ActiveDatabase=Standby,Secondary!S1270,Primary!S1928)</f>
        <v>0</v>
      </c>
      <c r="T1270" s="8">
        <f>IF(ActiveDatabase=Standby,Secondary!T1270,Primary!T1928)</f>
        <v>0</v>
      </c>
      <c r="U1270" s="8">
        <f>IF(ActiveDatabase=Standby,Secondary!U1270,Primary!U1928)</f>
        <v>0</v>
      </c>
      <c r="V1270" s="8">
        <f>IF(ActiveDatabase=Standby,Secondary!V1270,Primary!V1928)</f>
        <v>0</v>
      </c>
      <c r="W1270" s="7">
        <f>IF(ActiveDatabase=Standby,Secondary!W1270,Primary!W1928)</f>
        <v>0</v>
      </c>
      <c r="X1270" s="7">
        <f>IF(ActiveDatabase=Standby,Secondary!X1270,Primary!X1928)</f>
        <v>0</v>
      </c>
      <c r="Y1270" s="7">
        <f>IF(ActiveDatabase=Standby,Secondary!Y1270,Primary!Y1928)</f>
        <v>0</v>
      </c>
      <c r="Z1270" s="7">
        <f>IF(ActiveDatabase=Standby,Secondary!Z1270,Primary!Z1928)</f>
        <v>0</v>
      </c>
      <c r="AA1270" s="7">
        <f>IF(ActiveDatabase=Standby,Secondary!AA1270,Primary!AA1928)</f>
        <v>0</v>
      </c>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c r="AX1270" s="7"/>
      <c r="AY1270" s="7"/>
      <c r="AZ1270" s="7"/>
      <c r="BA1270" s="7"/>
      <c r="BB1270" s="7"/>
      <c r="BC1270" s="7"/>
      <c r="BD1270" s="7"/>
      <c r="BE1270" s="7"/>
      <c r="BF1270" s="7"/>
      <c r="BG1270" s="7"/>
    </row>
    <row r="1271" customHeight="1" spans="1:59">
      <c r="A1271" s="9">
        <f>IF(ActiveDatabase=Standby,Secondary!A1271,Primary!A1929)</f>
        <v>0</v>
      </c>
      <c r="B1271" s="5">
        <f>IF(ActiveDatabase=Standby,Secondary!B1271,Primary!B1929)</f>
        <v>0</v>
      </c>
      <c r="C1271" s="5">
        <f>IF(ActiveDatabase=Standby,Secondary!C1271,Primary!C1929)</f>
        <v>0</v>
      </c>
      <c r="D1271" s="5">
        <f>IF(ActiveDatabase=Standby,Secondary!D1271,Primary!D1929)</f>
        <v>0</v>
      </c>
      <c r="E1271" s="7">
        <f>IF(ActiveDatabase=Standby,Secondary!E1271,Primary!E1929)</f>
        <v>0</v>
      </c>
      <c r="F1271" s="8">
        <f>IF(ActiveDatabase=Standby,Secondary!F1271,Primary!F1929)</f>
        <v>0</v>
      </c>
      <c r="G1271" s="8">
        <f>IF(ActiveDatabase=Standby,Secondary!G1271,Primary!G1929)</f>
        <v>0</v>
      </c>
      <c r="H1271" s="8">
        <f>IF(ActiveDatabase=Standby,Secondary!H1271,Primary!H1929)</f>
        <v>0</v>
      </c>
      <c r="I1271" s="14">
        <f>IF(ActiveDatabase=Standby,Secondary!I1271,Primary!I1929)</f>
        <v>0</v>
      </c>
      <c r="J1271" s="14">
        <f>IF(ActiveDatabase=Standby,Secondary!J1271,Primary!J1929)</f>
        <v>0</v>
      </c>
      <c r="K1271" s="14">
        <f>IF(ActiveDatabase=Standby,Secondary!K1271,Primary!K1929)</f>
        <v>0</v>
      </c>
      <c r="L1271" s="14">
        <f>IF(ActiveDatabase=Standby,Secondary!L1271,Primary!L1929)</f>
        <v>0</v>
      </c>
      <c r="M1271" s="7">
        <f>IF(ActiveDatabase=Standby,Secondary!M1271,Primary!M1929)</f>
        <v>0</v>
      </c>
      <c r="N1271" s="8">
        <f>IF(ActiveDatabase=Standby,Secondary!N1271,Primary!N1929)</f>
        <v>0</v>
      </c>
      <c r="O1271" s="8">
        <f>IF(ActiveDatabase=Standby,Secondary!O1271,Primary!O1929)</f>
        <v>0</v>
      </c>
      <c r="P1271" s="8">
        <f>IF(ActiveDatabase=Standby,Secondary!P1271,Primary!P1929)</f>
        <v>0</v>
      </c>
      <c r="Q1271" s="7">
        <f>IF(ActiveDatabase=Standby,Secondary!Q1271,Primary!Q1929)</f>
        <v>0</v>
      </c>
      <c r="R1271" s="16">
        <f>IF(ActiveDatabase=Standby,Secondary!R1271,Primary!R1929)</f>
        <v>0</v>
      </c>
      <c r="S1271" s="17">
        <f>IF(ActiveDatabase=Standby,Secondary!S1271,Primary!S1929)</f>
        <v>0</v>
      </c>
      <c r="T1271" s="8">
        <f>IF(ActiveDatabase=Standby,Secondary!T1271,Primary!T1929)</f>
        <v>0</v>
      </c>
      <c r="U1271" s="8">
        <f>IF(ActiveDatabase=Standby,Secondary!U1271,Primary!U1929)</f>
        <v>0</v>
      </c>
      <c r="V1271" s="8">
        <f>IF(ActiveDatabase=Standby,Secondary!V1271,Primary!V1929)</f>
        <v>0</v>
      </c>
      <c r="W1271" s="7">
        <f>IF(ActiveDatabase=Standby,Secondary!W1271,Primary!W1929)</f>
        <v>0</v>
      </c>
      <c r="X1271" s="7">
        <f>IF(ActiveDatabase=Standby,Secondary!X1271,Primary!X1929)</f>
        <v>0</v>
      </c>
      <c r="Y1271" s="7">
        <f>IF(ActiveDatabase=Standby,Secondary!Y1271,Primary!Y1929)</f>
        <v>0</v>
      </c>
      <c r="Z1271" s="7">
        <f>IF(ActiveDatabase=Standby,Secondary!Z1271,Primary!Z1929)</f>
        <v>0</v>
      </c>
      <c r="AA1271" s="7">
        <f>IF(ActiveDatabase=Standby,Secondary!AA1271,Primary!AA1929)</f>
        <v>0</v>
      </c>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c r="AX1271" s="7"/>
      <c r="AY1271" s="7"/>
      <c r="AZ1271" s="7"/>
      <c r="BA1271" s="7"/>
      <c r="BB1271" s="7"/>
      <c r="BC1271" s="7"/>
      <c r="BD1271" s="7"/>
      <c r="BE1271" s="7"/>
      <c r="BF1271" s="7"/>
      <c r="BG1271" s="7"/>
    </row>
    <row r="1272" customHeight="1" spans="1:59">
      <c r="A1272" s="9">
        <f>IF(ActiveDatabase=Standby,Secondary!A1272,Primary!A1930)</f>
        <v>0</v>
      </c>
      <c r="B1272" s="5">
        <f>IF(ActiveDatabase=Standby,Secondary!B1272,Primary!B1930)</f>
        <v>0</v>
      </c>
      <c r="C1272" s="5">
        <f>IF(ActiveDatabase=Standby,Secondary!C1272,Primary!C1930)</f>
        <v>0</v>
      </c>
      <c r="D1272" s="5">
        <f>IF(ActiveDatabase=Standby,Secondary!D1272,Primary!D1930)</f>
        <v>0</v>
      </c>
      <c r="E1272" s="7">
        <f>IF(ActiveDatabase=Standby,Secondary!E1272,Primary!E1930)</f>
        <v>0</v>
      </c>
      <c r="F1272" s="8">
        <f>IF(ActiveDatabase=Standby,Secondary!F1272,Primary!F1930)</f>
        <v>0</v>
      </c>
      <c r="G1272" s="8">
        <f>IF(ActiveDatabase=Standby,Secondary!G1272,Primary!G1930)</f>
        <v>0</v>
      </c>
      <c r="H1272" s="8">
        <f>IF(ActiveDatabase=Standby,Secondary!H1272,Primary!H1930)</f>
        <v>0</v>
      </c>
      <c r="I1272" s="14">
        <f>IF(ActiveDatabase=Standby,Secondary!I1272,Primary!I1930)</f>
        <v>0</v>
      </c>
      <c r="J1272" s="14">
        <f>IF(ActiveDatabase=Standby,Secondary!J1272,Primary!J1930)</f>
        <v>0</v>
      </c>
      <c r="K1272" s="14">
        <f>IF(ActiveDatabase=Standby,Secondary!K1272,Primary!K1930)</f>
        <v>0</v>
      </c>
      <c r="L1272" s="14">
        <f>IF(ActiveDatabase=Standby,Secondary!L1272,Primary!L1930)</f>
        <v>0</v>
      </c>
      <c r="M1272" s="7">
        <f>IF(ActiveDatabase=Standby,Secondary!M1272,Primary!M1930)</f>
        <v>0</v>
      </c>
      <c r="N1272" s="8">
        <f>IF(ActiveDatabase=Standby,Secondary!N1272,Primary!N1930)</f>
        <v>0</v>
      </c>
      <c r="O1272" s="8">
        <f>IF(ActiveDatabase=Standby,Secondary!O1272,Primary!O1930)</f>
        <v>0</v>
      </c>
      <c r="P1272" s="8">
        <f>IF(ActiveDatabase=Standby,Secondary!P1272,Primary!P1930)</f>
        <v>0</v>
      </c>
      <c r="Q1272" s="7">
        <f>IF(ActiveDatabase=Standby,Secondary!Q1272,Primary!Q1930)</f>
        <v>0</v>
      </c>
      <c r="R1272" s="16">
        <f>IF(ActiveDatabase=Standby,Secondary!R1272,Primary!R1930)</f>
        <v>0</v>
      </c>
      <c r="S1272" s="17">
        <f>IF(ActiveDatabase=Standby,Secondary!S1272,Primary!S1930)</f>
        <v>0</v>
      </c>
      <c r="T1272" s="8">
        <f>IF(ActiveDatabase=Standby,Secondary!T1272,Primary!T1930)</f>
        <v>0</v>
      </c>
      <c r="U1272" s="8">
        <f>IF(ActiveDatabase=Standby,Secondary!U1272,Primary!U1930)</f>
        <v>0</v>
      </c>
      <c r="V1272" s="8">
        <f>IF(ActiveDatabase=Standby,Secondary!V1272,Primary!V1930)</f>
        <v>0</v>
      </c>
      <c r="W1272" s="7">
        <f>IF(ActiveDatabase=Standby,Secondary!W1272,Primary!W1930)</f>
        <v>0</v>
      </c>
      <c r="X1272" s="7">
        <f>IF(ActiveDatabase=Standby,Secondary!X1272,Primary!X1930)</f>
        <v>0</v>
      </c>
      <c r="Y1272" s="7">
        <f>IF(ActiveDatabase=Standby,Secondary!Y1272,Primary!Y1930)</f>
        <v>0</v>
      </c>
      <c r="Z1272" s="7">
        <f>IF(ActiveDatabase=Standby,Secondary!Z1272,Primary!Z1930)</f>
        <v>0</v>
      </c>
      <c r="AA1272" s="7">
        <f>IF(ActiveDatabase=Standby,Secondary!AA1272,Primary!AA1930)</f>
        <v>0</v>
      </c>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c r="AX1272" s="7"/>
      <c r="AY1272" s="7"/>
      <c r="AZ1272" s="7"/>
      <c r="BA1272" s="7"/>
      <c r="BB1272" s="7"/>
      <c r="BC1272" s="7"/>
      <c r="BD1272" s="7"/>
      <c r="BE1272" s="7"/>
      <c r="BF1272" s="7"/>
      <c r="BG1272" s="7"/>
    </row>
    <row r="1273" customHeight="1" spans="1:59">
      <c r="A1273" s="9">
        <f>IF(ActiveDatabase=Standby,Secondary!A1273,Primary!A1931)</f>
        <v>0</v>
      </c>
      <c r="B1273" s="5">
        <f>IF(ActiveDatabase=Standby,Secondary!B1273,Primary!B1931)</f>
        <v>0</v>
      </c>
      <c r="C1273" s="5">
        <f>IF(ActiveDatabase=Standby,Secondary!C1273,Primary!C1931)</f>
        <v>0</v>
      </c>
      <c r="D1273" s="5">
        <f>IF(ActiveDatabase=Standby,Secondary!D1273,Primary!D1931)</f>
        <v>0</v>
      </c>
      <c r="E1273" s="7">
        <f>IF(ActiveDatabase=Standby,Secondary!E1273,Primary!E1931)</f>
        <v>0</v>
      </c>
      <c r="F1273" s="8">
        <f>IF(ActiveDatabase=Standby,Secondary!F1273,Primary!F1931)</f>
        <v>0</v>
      </c>
      <c r="G1273" s="8">
        <f>IF(ActiveDatabase=Standby,Secondary!G1273,Primary!G1931)</f>
        <v>0</v>
      </c>
      <c r="H1273" s="8">
        <f>IF(ActiveDatabase=Standby,Secondary!H1273,Primary!H1931)</f>
        <v>0</v>
      </c>
      <c r="I1273" s="14">
        <f>IF(ActiveDatabase=Standby,Secondary!I1273,Primary!I1931)</f>
        <v>0</v>
      </c>
      <c r="J1273" s="14">
        <f>IF(ActiveDatabase=Standby,Secondary!J1273,Primary!J1931)</f>
        <v>0</v>
      </c>
      <c r="K1273" s="14">
        <f>IF(ActiveDatabase=Standby,Secondary!K1273,Primary!K1931)</f>
        <v>0</v>
      </c>
      <c r="L1273" s="14">
        <f>IF(ActiveDatabase=Standby,Secondary!L1273,Primary!L1931)</f>
        <v>0</v>
      </c>
      <c r="M1273" s="7">
        <f>IF(ActiveDatabase=Standby,Secondary!M1273,Primary!M1931)</f>
        <v>0</v>
      </c>
      <c r="N1273" s="8">
        <f>IF(ActiveDatabase=Standby,Secondary!N1273,Primary!N1931)</f>
        <v>0</v>
      </c>
      <c r="O1273" s="8">
        <f>IF(ActiveDatabase=Standby,Secondary!O1273,Primary!O1931)</f>
        <v>0</v>
      </c>
      <c r="P1273" s="8">
        <f>IF(ActiveDatabase=Standby,Secondary!P1273,Primary!P1931)</f>
        <v>0</v>
      </c>
      <c r="Q1273" s="7">
        <f>IF(ActiveDatabase=Standby,Secondary!Q1273,Primary!Q1931)</f>
        <v>0</v>
      </c>
      <c r="R1273" s="16">
        <f>IF(ActiveDatabase=Standby,Secondary!R1273,Primary!R1931)</f>
        <v>0</v>
      </c>
      <c r="S1273" s="17">
        <f>IF(ActiveDatabase=Standby,Secondary!S1273,Primary!S1931)</f>
        <v>0</v>
      </c>
      <c r="T1273" s="8">
        <f>IF(ActiveDatabase=Standby,Secondary!T1273,Primary!T1931)</f>
        <v>0</v>
      </c>
      <c r="U1273" s="8">
        <f>IF(ActiveDatabase=Standby,Secondary!U1273,Primary!U1931)</f>
        <v>0</v>
      </c>
      <c r="V1273" s="8">
        <f>IF(ActiveDatabase=Standby,Secondary!V1273,Primary!V1931)</f>
        <v>0</v>
      </c>
      <c r="W1273" s="7">
        <f>IF(ActiveDatabase=Standby,Secondary!W1273,Primary!W1931)</f>
        <v>0</v>
      </c>
      <c r="X1273" s="7">
        <f>IF(ActiveDatabase=Standby,Secondary!X1273,Primary!X1931)</f>
        <v>0</v>
      </c>
      <c r="Y1273" s="7">
        <f>IF(ActiveDatabase=Standby,Secondary!Y1273,Primary!Y1931)</f>
        <v>0</v>
      </c>
      <c r="Z1273" s="7">
        <f>IF(ActiveDatabase=Standby,Secondary!Z1273,Primary!Z1931)</f>
        <v>0</v>
      </c>
      <c r="AA1273" s="7">
        <f>IF(ActiveDatabase=Standby,Secondary!AA1273,Primary!AA1931)</f>
        <v>0</v>
      </c>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7"/>
      <c r="BD1273" s="7"/>
      <c r="BE1273" s="7"/>
      <c r="BF1273" s="7"/>
      <c r="BG1273" s="7"/>
    </row>
    <row r="1274" customHeight="1" spans="1:59">
      <c r="A1274" s="9">
        <f>IF(ActiveDatabase=Standby,Secondary!A1274,Primary!A1932)</f>
        <v>0</v>
      </c>
      <c r="B1274" s="5">
        <f>IF(ActiveDatabase=Standby,Secondary!B1274,Primary!B1932)</f>
        <v>0</v>
      </c>
      <c r="C1274" s="5">
        <f>IF(ActiveDatabase=Standby,Secondary!C1274,Primary!C1932)</f>
        <v>0</v>
      </c>
      <c r="D1274" s="5">
        <f>IF(ActiveDatabase=Standby,Secondary!D1274,Primary!D1932)</f>
        <v>0</v>
      </c>
      <c r="E1274" s="7">
        <f>IF(ActiveDatabase=Standby,Secondary!E1274,Primary!E1932)</f>
        <v>0</v>
      </c>
      <c r="F1274" s="8">
        <f>IF(ActiveDatabase=Standby,Secondary!F1274,Primary!F1932)</f>
        <v>0</v>
      </c>
      <c r="G1274" s="8">
        <f>IF(ActiveDatabase=Standby,Secondary!G1274,Primary!G1932)</f>
        <v>0</v>
      </c>
      <c r="H1274" s="8">
        <f>IF(ActiveDatabase=Standby,Secondary!H1274,Primary!H1932)</f>
        <v>0</v>
      </c>
      <c r="I1274" s="14">
        <f>IF(ActiveDatabase=Standby,Secondary!I1274,Primary!I1932)</f>
        <v>0</v>
      </c>
      <c r="J1274" s="14">
        <f>IF(ActiveDatabase=Standby,Secondary!J1274,Primary!J1932)</f>
        <v>0</v>
      </c>
      <c r="K1274" s="14">
        <f>IF(ActiveDatabase=Standby,Secondary!K1274,Primary!K1932)</f>
        <v>0</v>
      </c>
      <c r="L1274" s="14">
        <f>IF(ActiveDatabase=Standby,Secondary!L1274,Primary!L1932)</f>
        <v>0</v>
      </c>
      <c r="M1274" s="7">
        <f>IF(ActiveDatabase=Standby,Secondary!M1274,Primary!M1932)</f>
        <v>0</v>
      </c>
      <c r="N1274" s="8">
        <f>IF(ActiveDatabase=Standby,Secondary!N1274,Primary!N1932)</f>
        <v>0</v>
      </c>
      <c r="O1274" s="8">
        <f>IF(ActiveDatabase=Standby,Secondary!O1274,Primary!O1932)</f>
        <v>0</v>
      </c>
      <c r="P1274" s="8">
        <f>IF(ActiveDatabase=Standby,Secondary!P1274,Primary!P1932)</f>
        <v>0</v>
      </c>
      <c r="Q1274" s="7">
        <f>IF(ActiveDatabase=Standby,Secondary!Q1274,Primary!Q1932)</f>
        <v>0</v>
      </c>
      <c r="R1274" s="16">
        <f>IF(ActiveDatabase=Standby,Secondary!R1274,Primary!R1932)</f>
        <v>0</v>
      </c>
      <c r="S1274" s="17">
        <f>IF(ActiveDatabase=Standby,Secondary!S1274,Primary!S1932)</f>
        <v>0</v>
      </c>
      <c r="T1274" s="8">
        <f>IF(ActiveDatabase=Standby,Secondary!T1274,Primary!T1932)</f>
        <v>0</v>
      </c>
      <c r="U1274" s="8">
        <f>IF(ActiveDatabase=Standby,Secondary!U1274,Primary!U1932)</f>
        <v>0</v>
      </c>
      <c r="V1274" s="8">
        <f>IF(ActiveDatabase=Standby,Secondary!V1274,Primary!V1932)</f>
        <v>0</v>
      </c>
      <c r="W1274" s="7">
        <f>IF(ActiveDatabase=Standby,Secondary!W1274,Primary!W1932)</f>
        <v>0</v>
      </c>
      <c r="X1274" s="7">
        <f>IF(ActiveDatabase=Standby,Secondary!X1274,Primary!X1932)</f>
        <v>0</v>
      </c>
      <c r="Y1274" s="7">
        <f>IF(ActiveDatabase=Standby,Secondary!Y1274,Primary!Y1932)</f>
        <v>0</v>
      </c>
      <c r="Z1274" s="7">
        <f>IF(ActiveDatabase=Standby,Secondary!Z1274,Primary!Z1932)</f>
        <v>0</v>
      </c>
      <c r="AA1274" s="7">
        <f>IF(ActiveDatabase=Standby,Secondary!AA1274,Primary!AA1932)</f>
        <v>0</v>
      </c>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c r="AX1274" s="7"/>
      <c r="AY1274" s="7"/>
      <c r="AZ1274" s="7"/>
      <c r="BA1274" s="7"/>
      <c r="BB1274" s="7"/>
      <c r="BC1274" s="7"/>
      <c r="BD1274" s="7"/>
      <c r="BE1274" s="7"/>
      <c r="BF1274" s="7"/>
      <c r="BG1274" s="7"/>
    </row>
    <row r="1275" customHeight="1" spans="1:59">
      <c r="A1275" s="9">
        <f>IF(ActiveDatabase=Standby,Secondary!A1275,Primary!A1933)</f>
        <v>0</v>
      </c>
      <c r="B1275" s="5">
        <f>IF(ActiveDatabase=Standby,Secondary!B1275,Primary!B1933)</f>
        <v>0</v>
      </c>
      <c r="C1275" s="5">
        <f>IF(ActiveDatabase=Standby,Secondary!C1275,Primary!C1933)</f>
        <v>0</v>
      </c>
      <c r="D1275" s="5">
        <f>IF(ActiveDatabase=Standby,Secondary!D1275,Primary!D1933)</f>
        <v>0</v>
      </c>
      <c r="E1275" s="7">
        <f>IF(ActiveDatabase=Standby,Secondary!E1275,Primary!E1933)</f>
        <v>0</v>
      </c>
      <c r="F1275" s="8">
        <f>IF(ActiveDatabase=Standby,Secondary!F1275,Primary!F1933)</f>
        <v>0</v>
      </c>
      <c r="G1275" s="8">
        <f>IF(ActiveDatabase=Standby,Secondary!G1275,Primary!G1933)</f>
        <v>0</v>
      </c>
      <c r="H1275" s="8">
        <f>IF(ActiveDatabase=Standby,Secondary!H1275,Primary!H1933)</f>
        <v>0</v>
      </c>
      <c r="I1275" s="14">
        <f>IF(ActiveDatabase=Standby,Secondary!I1275,Primary!I1933)</f>
        <v>0</v>
      </c>
      <c r="J1275" s="14">
        <f>IF(ActiveDatabase=Standby,Secondary!J1275,Primary!J1933)</f>
        <v>0</v>
      </c>
      <c r="K1275" s="14">
        <f>IF(ActiveDatabase=Standby,Secondary!K1275,Primary!K1933)</f>
        <v>0</v>
      </c>
      <c r="L1275" s="14">
        <f>IF(ActiveDatabase=Standby,Secondary!L1275,Primary!L1933)</f>
        <v>0</v>
      </c>
      <c r="M1275" s="7">
        <f>IF(ActiveDatabase=Standby,Secondary!M1275,Primary!M1933)</f>
        <v>0</v>
      </c>
      <c r="N1275" s="8">
        <f>IF(ActiveDatabase=Standby,Secondary!N1275,Primary!N1933)</f>
        <v>0</v>
      </c>
      <c r="O1275" s="8">
        <f>IF(ActiveDatabase=Standby,Secondary!O1275,Primary!O1933)</f>
        <v>0</v>
      </c>
      <c r="P1275" s="8">
        <f>IF(ActiveDatabase=Standby,Secondary!P1275,Primary!P1933)</f>
        <v>0</v>
      </c>
      <c r="Q1275" s="7">
        <f>IF(ActiveDatabase=Standby,Secondary!Q1275,Primary!Q1933)</f>
        <v>0</v>
      </c>
      <c r="R1275" s="16">
        <f>IF(ActiveDatabase=Standby,Secondary!R1275,Primary!R1933)</f>
        <v>0</v>
      </c>
      <c r="S1275" s="17">
        <f>IF(ActiveDatabase=Standby,Secondary!S1275,Primary!S1933)</f>
        <v>0</v>
      </c>
      <c r="T1275" s="8">
        <f>IF(ActiveDatabase=Standby,Secondary!T1275,Primary!T1933)</f>
        <v>0</v>
      </c>
      <c r="U1275" s="8">
        <f>IF(ActiveDatabase=Standby,Secondary!U1275,Primary!U1933)</f>
        <v>0</v>
      </c>
      <c r="V1275" s="8">
        <f>IF(ActiveDatabase=Standby,Secondary!V1275,Primary!V1933)</f>
        <v>0</v>
      </c>
      <c r="W1275" s="7">
        <f>IF(ActiveDatabase=Standby,Secondary!W1275,Primary!W1933)</f>
        <v>0</v>
      </c>
      <c r="X1275" s="7">
        <f>IF(ActiveDatabase=Standby,Secondary!X1275,Primary!X1933)</f>
        <v>0</v>
      </c>
      <c r="Y1275" s="7">
        <f>IF(ActiveDatabase=Standby,Secondary!Y1275,Primary!Y1933)</f>
        <v>0</v>
      </c>
      <c r="Z1275" s="7">
        <f>IF(ActiveDatabase=Standby,Secondary!Z1275,Primary!Z1933)</f>
        <v>0</v>
      </c>
      <c r="AA1275" s="7">
        <f>IF(ActiveDatabase=Standby,Secondary!AA1275,Primary!AA1933)</f>
        <v>0</v>
      </c>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c r="AX1275" s="7"/>
      <c r="AY1275" s="7"/>
      <c r="AZ1275" s="7"/>
      <c r="BA1275" s="7"/>
      <c r="BB1275" s="7"/>
      <c r="BC1275" s="7"/>
      <c r="BD1275" s="7"/>
      <c r="BE1275" s="7"/>
      <c r="BF1275" s="7"/>
      <c r="BG1275" s="7"/>
    </row>
    <row r="1276" customHeight="1" spans="1:59">
      <c r="A1276" s="9">
        <f>IF(ActiveDatabase=Standby,Secondary!A1276,Primary!A1934)</f>
        <v>0</v>
      </c>
      <c r="B1276" s="5">
        <f>IF(ActiveDatabase=Standby,Secondary!B1276,Primary!B1934)</f>
        <v>0</v>
      </c>
      <c r="C1276" s="5">
        <f>IF(ActiveDatabase=Standby,Secondary!C1276,Primary!C1934)</f>
        <v>0</v>
      </c>
      <c r="D1276" s="5">
        <f>IF(ActiveDatabase=Standby,Secondary!D1276,Primary!D1934)</f>
        <v>0</v>
      </c>
      <c r="E1276" s="7">
        <f>IF(ActiveDatabase=Standby,Secondary!E1276,Primary!E1934)</f>
        <v>0</v>
      </c>
      <c r="F1276" s="8">
        <f>IF(ActiveDatabase=Standby,Secondary!F1276,Primary!F1934)</f>
        <v>0</v>
      </c>
      <c r="G1276" s="8">
        <f>IF(ActiveDatabase=Standby,Secondary!G1276,Primary!G1934)</f>
        <v>0</v>
      </c>
      <c r="H1276" s="8">
        <f>IF(ActiveDatabase=Standby,Secondary!H1276,Primary!H1934)</f>
        <v>0</v>
      </c>
      <c r="I1276" s="14">
        <f>IF(ActiveDatabase=Standby,Secondary!I1276,Primary!I1934)</f>
        <v>0</v>
      </c>
      <c r="J1276" s="14">
        <f>IF(ActiveDatabase=Standby,Secondary!J1276,Primary!J1934)</f>
        <v>0</v>
      </c>
      <c r="K1276" s="14">
        <f>IF(ActiveDatabase=Standby,Secondary!K1276,Primary!K1934)</f>
        <v>0</v>
      </c>
      <c r="L1276" s="14">
        <f>IF(ActiveDatabase=Standby,Secondary!L1276,Primary!L1934)</f>
        <v>0</v>
      </c>
      <c r="M1276" s="7">
        <f>IF(ActiveDatabase=Standby,Secondary!M1276,Primary!M1934)</f>
        <v>0</v>
      </c>
      <c r="N1276" s="8">
        <f>IF(ActiveDatabase=Standby,Secondary!N1276,Primary!N1934)</f>
        <v>0</v>
      </c>
      <c r="O1276" s="8">
        <f>IF(ActiveDatabase=Standby,Secondary!O1276,Primary!O1934)</f>
        <v>0</v>
      </c>
      <c r="P1276" s="8">
        <f>IF(ActiveDatabase=Standby,Secondary!P1276,Primary!P1934)</f>
        <v>0</v>
      </c>
      <c r="Q1276" s="7">
        <f>IF(ActiveDatabase=Standby,Secondary!Q1276,Primary!Q1934)</f>
        <v>0</v>
      </c>
      <c r="R1276" s="16">
        <f>IF(ActiveDatabase=Standby,Secondary!R1276,Primary!R1934)</f>
        <v>0</v>
      </c>
      <c r="S1276" s="17">
        <f>IF(ActiveDatabase=Standby,Secondary!S1276,Primary!S1934)</f>
        <v>0</v>
      </c>
      <c r="T1276" s="8">
        <f>IF(ActiveDatabase=Standby,Secondary!T1276,Primary!T1934)</f>
        <v>0</v>
      </c>
      <c r="U1276" s="8">
        <f>IF(ActiveDatabase=Standby,Secondary!U1276,Primary!U1934)</f>
        <v>0</v>
      </c>
      <c r="V1276" s="8">
        <f>IF(ActiveDatabase=Standby,Secondary!V1276,Primary!V1934)</f>
        <v>0</v>
      </c>
      <c r="W1276" s="7">
        <f>IF(ActiveDatabase=Standby,Secondary!W1276,Primary!W1934)</f>
        <v>0</v>
      </c>
      <c r="X1276" s="7">
        <f>IF(ActiveDatabase=Standby,Secondary!X1276,Primary!X1934)</f>
        <v>0</v>
      </c>
      <c r="Y1276" s="7">
        <f>IF(ActiveDatabase=Standby,Secondary!Y1276,Primary!Y1934)</f>
        <v>0</v>
      </c>
      <c r="Z1276" s="7">
        <f>IF(ActiveDatabase=Standby,Secondary!Z1276,Primary!Z1934)</f>
        <v>0</v>
      </c>
      <c r="AA1276" s="7">
        <f>IF(ActiveDatabase=Standby,Secondary!AA1276,Primary!AA1934)</f>
        <v>0</v>
      </c>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c r="AX1276" s="7"/>
      <c r="AY1276" s="7"/>
      <c r="AZ1276" s="7"/>
      <c r="BA1276" s="7"/>
      <c r="BB1276" s="7"/>
      <c r="BC1276" s="7"/>
      <c r="BD1276" s="7"/>
      <c r="BE1276" s="7"/>
      <c r="BF1276" s="7"/>
      <c r="BG1276" s="7"/>
    </row>
    <row r="1277" customHeight="1" spans="1:59">
      <c r="A1277" s="9">
        <f>IF(ActiveDatabase=Standby,Secondary!A1277,Primary!A1935)</f>
        <v>0</v>
      </c>
      <c r="B1277" s="5">
        <f>IF(ActiveDatabase=Standby,Secondary!B1277,Primary!B1935)</f>
        <v>0</v>
      </c>
      <c r="C1277" s="5">
        <f>IF(ActiveDatabase=Standby,Secondary!C1277,Primary!C1935)</f>
        <v>0</v>
      </c>
      <c r="D1277" s="5">
        <f>IF(ActiveDatabase=Standby,Secondary!D1277,Primary!D1935)</f>
        <v>0</v>
      </c>
      <c r="E1277" s="7">
        <f>IF(ActiveDatabase=Standby,Secondary!E1277,Primary!E1935)</f>
        <v>0</v>
      </c>
      <c r="F1277" s="8">
        <f>IF(ActiveDatabase=Standby,Secondary!F1277,Primary!F1935)</f>
        <v>0</v>
      </c>
      <c r="G1277" s="8">
        <f>IF(ActiveDatabase=Standby,Secondary!G1277,Primary!G1935)</f>
        <v>0</v>
      </c>
      <c r="H1277" s="8">
        <f>IF(ActiveDatabase=Standby,Secondary!H1277,Primary!H1935)</f>
        <v>0</v>
      </c>
      <c r="I1277" s="14">
        <f>IF(ActiveDatabase=Standby,Secondary!I1277,Primary!I1935)</f>
        <v>0</v>
      </c>
      <c r="J1277" s="14">
        <f>IF(ActiveDatabase=Standby,Secondary!J1277,Primary!J1935)</f>
        <v>0</v>
      </c>
      <c r="K1277" s="14">
        <f>IF(ActiveDatabase=Standby,Secondary!K1277,Primary!K1935)</f>
        <v>0</v>
      </c>
      <c r="L1277" s="14">
        <f>IF(ActiveDatabase=Standby,Secondary!L1277,Primary!L1935)</f>
        <v>0</v>
      </c>
      <c r="M1277" s="7">
        <f>IF(ActiveDatabase=Standby,Secondary!M1277,Primary!M1935)</f>
        <v>0</v>
      </c>
      <c r="N1277" s="8">
        <f>IF(ActiveDatabase=Standby,Secondary!N1277,Primary!N1935)</f>
        <v>0</v>
      </c>
      <c r="O1277" s="8">
        <f>IF(ActiveDatabase=Standby,Secondary!O1277,Primary!O1935)</f>
        <v>0</v>
      </c>
      <c r="P1277" s="8">
        <f>IF(ActiveDatabase=Standby,Secondary!P1277,Primary!P1935)</f>
        <v>0</v>
      </c>
      <c r="Q1277" s="7">
        <f>IF(ActiveDatabase=Standby,Secondary!Q1277,Primary!Q1935)</f>
        <v>0</v>
      </c>
      <c r="R1277" s="16">
        <f>IF(ActiveDatabase=Standby,Secondary!R1277,Primary!R1935)</f>
        <v>0</v>
      </c>
      <c r="S1277" s="17">
        <f>IF(ActiveDatabase=Standby,Secondary!S1277,Primary!S1935)</f>
        <v>0</v>
      </c>
      <c r="T1277" s="8">
        <f>IF(ActiveDatabase=Standby,Secondary!T1277,Primary!T1935)</f>
        <v>0</v>
      </c>
      <c r="U1277" s="8">
        <f>IF(ActiveDatabase=Standby,Secondary!U1277,Primary!U1935)</f>
        <v>0</v>
      </c>
      <c r="V1277" s="8">
        <f>IF(ActiveDatabase=Standby,Secondary!V1277,Primary!V1935)</f>
        <v>0</v>
      </c>
      <c r="W1277" s="7">
        <f>IF(ActiveDatabase=Standby,Secondary!W1277,Primary!W1935)</f>
        <v>0</v>
      </c>
      <c r="X1277" s="7">
        <f>IF(ActiveDatabase=Standby,Secondary!X1277,Primary!X1935)</f>
        <v>0</v>
      </c>
      <c r="Y1277" s="7">
        <f>IF(ActiveDatabase=Standby,Secondary!Y1277,Primary!Y1935)</f>
        <v>0</v>
      </c>
      <c r="Z1277" s="7">
        <f>IF(ActiveDatabase=Standby,Secondary!Z1277,Primary!Z1935)</f>
        <v>0</v>
      </c>
      <c r="AA1277" s="7">
        <f>IF(ActiveDatabase=Standby,Secondary!AA1277,Primary!AA1935)</f>
        <v>0</v>
      </c>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c r="AX1277" s="7"/>
      <c r="AY1277" s="7"/>
      <c r="AZ1277" s="7"/>
      <c r="BA1277" s="7"/>
      <c r="BB1277" s="7"/>
      <c r="BC1277" s="7"/>
      <c r="BD1277" s="7"/>
      <c r="BE1277" s="7"/>
      <c r="BF1277" s="7"/>
      <c r="BG1277" s="7"/>
    </row>
    <row r="1278" customHeight="1" spans="1:59">
      <c r="A1278" s="9">
        <f>IF(ActiveDatabase=Standby,Secondary!A1278,Primary!A1936)</f>
        <v>0</v>
      </c>
      <c r="B1278" s="5">
        <f>IF(ActiveDatabase=Standby,Secondary!B1278,Primary!B1936)</f>
        <v>0</v>
      </c>
      <c r="C1278" s="5">
        <f>IF(ActiveDatabase=Standby,Secondary!C1278,Primary!C1936)</f>
        <v>0</v>
      </c>
      <c r="D1278" s="5">
        <f>IF(ActiveDatabase=Standby,Secondary!D1278,Primary!D1936)</f>
        <v>0</v>
      </c>
      <c r="E1278" s="7">
        <f>IF(ActiveDatabase=Standby,Secondary!E1278,Primary!E1936)</f>
        <v>0</v>
      </c>
      <c r="F1278" s="8">
        <f>IF(ActiveDatabase=Standby,Secondary!F1278,Primary!F1936)</f>
        <v>0</v>
      </c>
      <c r="G1278" s="8">
        <f>IF(ActiveDatabase=Standby,Secondary!G1278,Primary!G1936)</f>
        <v>0</v>
      </c>
      <c r="H1278" s="8">
        <f>IF(ActiveDatabase=Standby,Secondary!H1278,Primary!H1936)</f>
        <v>0</v>
      </c>
      <c r="I1278" s="14">
        <f>IF(ActiveDatabase=Standby,Secondary!I1278,Primary!I1936)</f>
        <v>0</v>
      </c>
      <c r="J1278" s="14">
        <f>IF(ActiveDatabase=Standby,Secondary!J1278,Primary!J1936)</f>
        <v>0</v>
      </c>
      <c r="K1278" s="14">
        <f>IF(ActiveDatabase=Standby,Secondary!K1278,Primary!K1936)</f>
        <v>0</v>
      </c>
      <c r="L1278" s="14">
        <f>IF(ActiveDatabase=Standby,Secondary!L1278,Primary!L1936)</f>
        <v>0</v>
      </c>
      <c r="M1278" s="7">
        <f>IF(ActiveDatabase=Standby,Secondary!M1278,Primary!M1936)</f>
        <v>0</v>
      </c>
      <c r="N1278" s="8">
        <f>IF(ActiveDatabase=Standby,Secondary!N1278,Primary!N1936)</f>
        <v>0</v>
      </c>
      <c r="O1278" s="8">
        <f>IF(ActiveDatabase=Standby,Secondary!O1278,Primary!O1936)</f>
        <v>0</v>
      </c>
      <c r="P1278" s="8">
        <f>IF(ActiveDatabase=Standby,Secondary!P1278,Primary!P1936)</f>
        <v>0</v>
      </c>
      <c r="Q1278" s="7">
        <f>IF(ActiveDatabase=Standby,Secondary!Q1278,Primary!Q1936)</f>
        <v>0</v>
      </c>
      <c r="R1278" s="16">
        <f>IF(ActiveDatabase=Standby,Secondary!R1278,Primary!R1936)</f>
        <v>0</v>
      </c>
      <c r="S1278" s="17">
        <f>IF(ActiveDatabase=Standby,Secondary!S1278,Primary!S1936)</f>
        <v>0</v>
      </c>
      <c r="T1278" s="8">
        <f>IF(ActiveDatabase=Standby,Secondary!T1278,Primary!T1936)</f>
        <v>0</v>
      </c>
      <c r="U1278" s="8">
        <f>IF(ActiveDatabase=Standby,Secondary!U1278,Primary!U1936)</f>
        <v>0</v>
      </c>
      <c r="V1278" s="8">
        <f>IF(ActiveDatabase=Standby,Secondary!V1278,Primary!V1936)</f>
        <v>0</v>
      </c>
      <c r="W1278" s="7">
        <f>IF(ActiveDatabase=Standby,Secondary!W1278,Primary!W1936)</f>
        <v>0</v>
      </c>
      <c r="X1278" s="7">
        <f>IF(ActiveDatabase=Standby,Secondary!X1278,Primary!X1936)</f>
        <v>0</v>
      </c>
      <c r="Y1278" s="7">
        <f>IF(ActiveDatabase=Standby,Secondary!Y1278,Primary!Y1936)</f>
        <v>0</v>
      </c>
      <c r="Z1278" s="7">
        <f>IF(ActiveDatabase=Standby,Secondary!Z1278,Primary!Z1936)</f>
        <v>0</v>
      </c>
      <c r="AA1278" s="7">
        <f>IF(ActiveDatabase=Standby,Secondary!AA1278,Primary!AA1936)</f>
        <v>0</v>
      </c>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c r="AX1278" s="7"/>
      <c r="AY1278" s="7"/>
      <c r="AZ1278" s="7"/>
      <c r="BA1278" s="7"/>
      <c r="BB1278" s="7"/>
      <c r="BC1278" s="7"/>
      <c r="BD1278" s="7"/>
      <c r="BE1278" s="7"/>
      <c r="BF1278" s="7"/>
      <c r="BG1278" s="7"/>
    </row>
    <row r="1279" customHeight="1" spans="1:59">
      <c r="A1279" s="9">
        <f>IF(ActiveDatabase=Standby,Secondary!A1279,Primary!A1937)</f>
        <v>0</v>
      </c>
      <c r="B1279" s="5">
        <f>IF(ActiveDatabase=Standby,Secondary!B1279,Primary!B1937)</f>
        <v>0</v>
      </c>
      <c r="C1279" s="5">
        <f>IF(ActiveDatabase=Standby,Secondary!C1279,Primary!C1937)</f>
        <v>0</v>
      </c>
      <c r="D1279" s="5">
        <f>IF(ActiveDatabase=Standby,Secondary!D1279,Primary!D1937)</f>
        <v>0</v>
      </c>
      <c r="E1279" s="7">
        <f>IF(ActiveDatabase=Standby,Secondary!E1279,Primary!E1937)</f>
        <v>0</v>
      </c>
      <c r="F1279" s="8">
        <f>IF(ActiveDatabase=Standby,Secondary!F1279,Primary!F1937)</f>
        <v>0</v>
      </c>
      <c r="G1279" s="8">
        <f>IF(ActiveDatabase=Standby,Secondary!G1279,Primary!G1937)</f>
        <v>0</v>
      </c>
      <c r="H1279" s="8">
        <f>IF(ActiveDatabase=Standby,Secondary!H1279,Primary!H1937)</f>
        <v>0</v>
      </c>
      <c r="I1279" s="14">
        <f>IF(ActiveDatabase=Standby,Secondary!I1279,Primary!I1937)</f>
        <v>0</v>
      </c>
      <c r="J1279" s="14">
        <f>IF(ActiveDatabase=Standby,Secondary!J1279,Primary!J1937)</f>
        <v>0</v>
      </c>
      <c r="K1279" s="14">
        <f>IF(ActiveDatabase=Standby,Secondary!K1279,Primary!K1937)</f>
        <v>0</v>
      </c>
      <c r="L1279" s="14">
        <f>IF(ActiveDatabase=Standby,Secondary!L1279,Primary!L1937)</f>
        <v>0</v>
      </c>
      <c r="M1279" s="7">
        <f>IF(ActiveDatabase=Standby,Secondary!M1279,Primary!M1937)</f>
        <v>0</v>
      </c>
      <c r="N1279" s="8">
        <f>IF(ActiveDatabase=Standby,Secondary!N1279,Primary!N1937)</f>
        <v>0</v>
      </c>
      <c r="O1279" s="8">
        <f>IF(ActiveDatabase=Standby,Secondary!O1279,Primary!O1937)</f>
        <v>0</v>
      </c>
      <c r="P1279" s="8">
        <f>IF(ActiveDatabase=Standby,Secondary!P1279,Primary!P1937)</f>
        <v>0</v>
      </c>
      <c r="Q1279" s="7">
        <f>IF(ActiveDatabase=Standby,Secondary!Q1279,Primary!Q1937)</f>
        <v>0</v>
      </c>
      <c r="R1279" s="16">
        <f>IF(ActiveDatabase=Standby,Secondary!R1279,Primary!R1937)</f>
        <v>0</v>
      </c>
      <c r="S1279" s="17">
        <f>IF(ActiveDatabase=Standby,Secondary!S1279,Primary!S1937)</f>
        <v>0</v>
      </c>
      <c r="T1279" s="8">
        <f>IF(ActiveDatabase=Standby,Secondary!T1279,Primary!T1937)</f>
        <v>0</v>
      </c>
      <c r="U1279" s="8">
        <f>IF(ActiveDatabase=Standby,Secondary!U1279,Primary!U1937)</f>
        <v>0</v>
      </c>
      <c r="V1279" s="8">
        <f>IF(ActiveDatabase=Standby,Secondary!V1279,Primary!V1937)</f>
        <v>0</v>
      </c>
      <c r="W1279" s="7">
        <f>IF(ActiveDatabase=Standby,Secondary!W1279,Primary!W1937)</f>
        <v>0</v>
      </c>
      <c r="X1279" s="7">
        <f>IF(ActiveDatabase=Standby,Secondary!X1279,Primary!X1937)</f>
        <v>0</v>
      </c>
      <c r="Y1279" s="7">
        <f>IF(ActiveDatabase=Standby,Secondary!Y1279,Primary!Y1937)</f>
        <v>0</v>
      </c>
      <c r="Z1279" s="7">
        <f>IF(ActiveDatabase=Standby,Secondary!Z1279,Primary!Z1937)</f>
        <v>0</v>
      </c>
      <c r="AA1279" s="7">
        <f>IF(ActiveDatabase=Standby,Secondary!AA1279,Primary!AA1937)</f>
        <v>0</v>
      </c>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row>
    <row r="1280" customHeight="1" spans="1:59">
      <c r="A1280" s="9">
        <f>IF(ActiveDatabase=Standby,Secondary!A1280,Primary!A1938)</f>
        <v>0</v>
      </c>
      <c r="B1280" s="5">
        <f>IF(ActiveDatabase=Standby,Secondary!B1280,Primary!B1938)</f>
        <v>0</v>
      </c>
      <c r="C1280" s="5">
        <f>IF(ActiveDatabase=Standby,Secondary!C1280,Primary!C1938)</f>
        <v>0</v>
      </c>
      <c r="D1280" s="5">
        <f>IF(ActiveDatabase=Standby,Secondary!D1280,Primary!D1938)</f>
        <v>0</v>
      </c>
      <c r="E1280" s="7">
        <f>IF(ActiveDatabase=Standby,Secondary!E1280,Primary!E1938)</f>
        <v>0</v>
      </c>
      <c r="F1280" s="8">
        <f>IF(ActiveDatabase=Standby,Secondary!F1280,Primary!F1938)</f>
        <v>0</v>
      </c>
      <c r="G1280" s="8">
        <f>IF(ActiveDatabase=Standby,Secondary!G1280,Primary!G1938)</f>
        <v>0</v>
      </c>
      <c r="H1280" s="8">
        <f>IF(ActiveDatabase=Standby,Secondary!H1280,Primary!H1938)</f>
        <v>0</v>
      </c>
      <c r="I1280" s="14">
        <f>IF(ActiveDatabase=Standby,Secondary!I1280,Primary!I1938)</f>
        <v>0</v>
      </c>
      <c r="J1280" s="14">
        <f>IF(ActiveDatabase=Standby,Secondary!J1280,Primary!J1938)</f>
        <v>0</v>
      </c>
      <c r="K1280" s="14">
        <f>IF(ActiveDatabase=Standby,Secondary!K1280,Primary!K1938)</f>
        <v>0</v>
      </c>
      <c r="L1280" s="14">
        <f>IF(ActiveDatabase=Standby,Secondary!L1280,Primary!L1938)</f>
        <v>0</v>
      </c>
      <c r="M1280" s="7">
        <f>IF(ActiveDatabase=Standby,Secondary!M1280,Primary!M1938)</f>
        <v>0</v>
      </c>
      <c r="N1280" s="8">
        <f>IF(ActiveDatabase=Standby,Secondary!N1280,Primary!N1938)</f>
        <v>0</v>
      </c>
      <c r="O1280" s="8">
        <f>IF(ActiveDatabase=Standby,Secondary!O1280,Primary!O1938)</f>
        <v>0</v>
      </c>
      <c r="P1280" s="8">
        <f>IF(ActiveDatabase=Standby,Secondary!P1280,Primary!P1938)</f>
        <v>0</v>
      </c>
      <c r="Q1280" s="7">
        <f>IF(ActiveDatabase=Standby,Secondary!Q1280,Primary!Q1938)</f>
        <v>0</v>
      </c>
      <c r="R1280" s="16">
        <f>IF(ActiveDatabase=Standby,Secondary!R1280,Primary!R1938)</f>
        <v>0</v>
      </c>
      <c r="S1280" s="17">
        <f>IF(ActiveDatabase=Standby,Secondary!S1280,Primary!S1938)</f>
        <v>0</v>
      </c>
      <c r="T1280" s="8">
        <f>IF(ActiveDatabase=Standby,Secondary!T1280,Primary!T1938)</f>
        <v>0</v>
      </c>
      <c r="U1280" s="8">
        <f>IF(ActiveDatabase=Standby,Secondary!U1280,Primary!U1938)</f>
        <v>0</v>
      </c>
      <c r="V1280" s="8">
        <f>IF(ActiveDatabase=Standby,Secondary!V1280,Primary!V1938)</f>
        <v>0</v>
      </c>
      <c r="W1280" s="7">
        <f>IF(ActiveDatabase=Standby,Secondary!W1280,Primary!W1938)</f>
        <v>0</v>
      </c>
      <c r="X1280" s="7">
        <f>IF(ActiveDatabase=Standby,Secondary!X1280,Primary!X1938)</f>
        <v>0</v>
      </c>
      <c r="Y1280" s="7">
        <f>IF(ActiveDatabase=Standby,Secondary!Y1280,Primary!Y1938)</f>
        <v>0</v>
      </c>
      <c r="Z1280" s="7">
        <f>IF(ActiveDatabase=Standby,Secondary!Z1280,Primary!Z1938)</f>
        <v>0</v>
      </c>
      <c r="AA1280" s="7">
        <f>IF(ActiveDatabase=Standby,Secondary!AA1280,Primary!AA1938)</f>
        <v>0</v>
      </c>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7"/>
      <c r="BD1280" s="7"/>
      <c r="BE1280" s="7"/>
      <c r="BF1280" s="7"/>
      <c r="BG1280" s="7"/>
    </row>
    <row r="1281" customHeight="1" spans="1:59">
      <c r="A1281" s="9">
        <f>IF(ActiveDatabase=Standby,Secondary!A1281,Primary!A1939)</f>
        <v>0</v>
      </c>
      <c r="B1281" s="5">
        <f>IF(ActiveDatabase=Standby,Secondary!B1281,Primary!B1939)</f>
        <v>0</v>
      </c>
      <c r="C1281" s="5">
        <f>IF(ActiveDatabase=Standby,Secondary!C1281,Primary!C1939)</f>
        <v>0</v>
      </c>
      <c r="D1281" s="5">
        <f>IF(ActiveDatabase=Standby,Secondary!D1281,Primary!D1939)</f>
        <v>0</v>
      </c>
      <c r="E1281" s="7">
        <f>IF(ActiveDatabase=Standby,Secondary!E1281,Primary!E1939)</f>
        <v>0</v>
      </c>
      <c r="F1281" s="8">
        <f>IF(ActiveDatabase=Standby,Secondary!F1281,Primary!F1939)</f>
        <v>0</v>
      </c>
      <c r="G1281" s="8">
        <f>IF(ActiveDatabase=Standby,Secondary!G1281,Primary!G1939)</f>
        <v>0</v>
      </c>
      <c r="H1281" s="8">
        <f>IF(ActiveDatabase=Standby,Secondary!H1281,Primary!H1939)</f>
        <v>0</v>
      </c>
      <c r="I1281" s="14">
        <f>IF(ActiveDatabase=Standby,Secondary!I1281,Primary!I1939)</f>
        <v>0</v>
      </c>
      <c r="J1281" s="14">
        <f>IF(ActiveDatabase=Standby,Secondary!J1281,Primary!J1939)</f>
        <v>0</v>
      </c>
      <c r="K1281" s="14">
        <f>IF(ActiveDatabase=Standby,Secondary!K1281,Primary!K1939)</f>
        <v>0</v>
      </c>
      <c r="L1281" s="14">
        <f>IF(ActiveDatabase=Standby,Secondary!L1281,Primary!L1939)</f>
        <v>0</v>
      </c>
      <c r="M1281" s="7">
        <f>IF(ActiveDatabase=Standby,Secondary!M1281,Primary!M1939)</f>
        <v>0</v>
      </c>
      <c r="N1281" s="8">
        <f>IF(ActiveDatabase=Standby,Secondary!N1281,Primary!N1939)</f>
        <v>0</v>
      </c>
      <c r="O1281" s="8">
        <f>IF(ActiveDatabase=Standby,Secondary!O1281,Primary!O1939)</f>
        <v>0</v>
      </c>
      <c r="P1281" s="8">
        <f>IF(ActiveDatabase=Standby,Secondary!P1281,Primary!P1939)</f>
        <v>0</v>
      </c>
      <c r="Q1281" s="7">
        <f>IF(ActiveDatabase=Standby,Secondary!Q1281,Primary!Q1939)</f>
        <v>0</v>
      </c>
      <c r="R1281" s="16">
        <f>IF(ActiveDatabase=Standby,Secondary!R1281,Primary!R1939)</f>
        <v>0</v>
      </c>
      <c r="S1281" s="17">
        <f>IF(ActiveDatabase=Standby,Secondary!S1281,Primary!S1939)</f>
        <v>0</v>
      </c>
      <c r="T1281" s="8">
        <f>IF(ActiveDatabase=Standby,Secondary!T1281,Primary!T1939)</f>
        <v>0</v>
      </c>
      <c r="U1281" s="8">
        <f>IF(ActiveDatabase=Standby,Secondary!U1281,Primary!U1939)</f>
        <v>0</v>
      </c>
      <c r="V1281" s="8">
        <f>IF(ActiveDatabase=Standby,Secondary!V1281,Primary!V1939)</f>
        <v>0</v>
      </c>
      <c r="W1281" s="7">
        <f>IF(ActiveDatabase=Standby,Secondary!W1281,Primary!W1939)</f>
        <v>0</v>
      </c>
      <c r="X1281" s="7">
        <f>IF(ActiveDatabase=Standby,Secondary!X1281,Primary!X1939)</f>
        <v>0</v>
      </c>
      <c r="Y1281" s="7">
        <f>IF(ActiveDatabase=Standby,Secondary!Y1281,Primary!Y1939)</f>
        <v>0</v>
      </c>
      <c r="Z1281" s="7">
        <f>IF(ActiveDatabase=Standby,Secondary!Z1281,Primary!Z1939)</f>
        <v>0</v>
      </c>
      <c r="AA1281" s="7">
        <f>IF(ActiveDatabase=Standby,Secondary!AA1281,Primary!AA1939)</f>
        <v>0</v>
      </c>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7"/>
      <c r="BD1281" s="7"/>
      <c r="BE1281" s="7"/>
      <c r="BF1281" s="7"/>
      <c r="BG1281" s="7"/>
    </row>
    <row r="1282" customHeight="1" spans="1:59">
      <c r="A1282" s="9">
        <f>IF(ActiveDatabase=Standby,Secondary!A1282,Primary!A1940)</f>
        <v>0</v>
      </c>
      <c r="B1282" s="5">
        <f>IF(ActiveDatabase=Standby,Secondary!B1282,Primary!B1940)</f>
        <v>0</v>
      </c>
      <c r="C1282" s="5">
        <f>IF(ActiveDatabase=Standby,Secondary!C1282,Primary!C1940)</f>
        <v>0</v>
      </c>
      <c r="D1282" s="5">
        <f>IF(ActiveDatabase=Standby,Secondary!D1282,Primary!D1940)</f>
        <v>0</v>
      </c>
      <c r="E1282" s="7">
        <f>IF(ActiveDatabase=Standby,Secondary!E1282,Primary!E1940)</f>
        <v>0</v>
      </c>
      <c r="F1282" s="8">
        <f>IF(ActiveDatabase=Standby,Secondary!F1282,Primary!F1940)</f>
        <v>0</v>
      </c>
      <c r="G1282" s="8">
        <f>IF(ActiveDatabase=Standby,Secondary!G1282,Primary!G1940)</f>
        <v>0</v>
      </c>
      <c r="H1282" s="8">
        <f>IF(ActiveDatabase=Standby,Secondary!H1282,Primary!H1940)</f>
        <v>0</v>
      </c>
      <c r="I1282" s="14">
        <f>IF(ActiveDatabase=Standby,Secondary!I1282,Primary!I1940)</f>
        <v>0</v>
      </c>
      <c r="J1282" s="14">
        <f>IF(ActiveDatabase=Standby,Secondary!J1282,Primary!J1940)</f>
        <v>0</v>
      </c>
      <c r="K1282" s="14">
        <f>IF(ActiveDatabase=Standby,Secondary!K1282,Primary!K1940)</f>
        <v>0</v>
      </c>
      <c r="L1282" s="14">
        <f>IF(ActiveDatabase=Standby,Secondary!L1282,Primary!L1940)</f>
        <v>0</v>
      </c>
      <c r="M1282" s="7">
        <f>IF(ActiveDatabase=Standby,Secondary!M1282,Primary!M1940)</f>
        <v>0</v>
      </c>
      <c r="N1282" s="8">
        <f>IF(ActiveDatabase=Standby,Secondary!N1282,Primary!N1940)</f>
        <v>0</v>
      </c>
      <c r="O1282" s="8">
        <f>IF(ActiveDatabase=Standby,Secondary!O1282,Primary!O1940)</f>
        <v>0</v>
      </c>
      <c r="P1282" s="8">
        <f>IF(ActiveDatabase=Standby,Secondary!P1282,Primary!P1940)</f>
        <v>0</v>
      </c>
      <c r="Q1282" s="7">
        <f>IF(ActiveDatabase=Standby,Secondary!Q1282,Primary!Q1940)</f>
        <v>0</v>
      </c>
      <c r="R1282" s="16">
        <f>IF(ActiveDatabase=Standby,Secondary!R1282,Primary!R1940)</f>
        <v>0</v>
      </c>
      <c r="S1282" s="17">
        <f>IF(ActiveDatabase=Standby,Secondary!S1282,Primary!S1940)</f>
        <v>0</v>
      </c>
      <c r="T1282" s="8">
        <f>IF(ActiveDatabase=Standby,Secondary!T1282,Primary!T1940)</f>
        <v>0</v>
      </c>
      <c r="U1282" s="8">
        <f>IF(ActiveDatabase=Standby,Secondary!U1282,Primary!U1940)</f>
        <v>0</v>
      </c>
      <c r="V1282" s="8">
        <f>IF(ActiveDatabase=Standby,Secondary!V1282,Primary!V1940)</f>
        <v>0</v>
      </c>
      <c r="W1282" s="7">
        <f>IF(ActiveDatabase=Standby,Secondary!W1282,Primary!W1940)</f>
        <v>0</v>
      </c>
      <c r="X1282" s="7">
        <f>IF(ActiveDatabase=Standby,Secondary!X1282,Primary!X1940)</f>
        <v>0</v>
      </c>
      <c r="Y1282" s="7">
        <f>IF(ActiveDatabase=Standby,Secondary!Y1282,Primary!Y1940)</f>
        <v>0</v>
      </c>
      <c r="Z1282" s="7">
        <f>IF(ActiveDatabase=Standby,Secondary!Z1282,Primary!Z1940)</f>
        <v>0</v>
      </c>
      <c r="AA1282" s="7">
        <f>IF(ActiveDatabase=Standby,Secondary!AA1282,Primary!AA1940)</f>
        <v>0</v>
      </c>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7"/>
      <c r="BD1282" s="7"/>
      <c r="BE1282" s="7"/>
      <c r="BF1282" s="7"/>
      <c r="BG1282" s="7"/>
    </row>
    <row r="1283" customHeight="1" spans="1:59">
      <c r="A1283" s="9">
        <f>IF(ActiveDatabase=Standby,Secondary!A1283,Primary!A1941)</f>
        <v>0</v>
      </c>
      <c r="B1283" s="5">
        <f>IF(ActiveDatabase=Standby,Secondary!B1283,Primary!B1941)</f>
        <v>0</v>
      </c>
      <c r="C1283" s="5">
        <f>IF(ActiveDatabase=Standby,Secondary!C1283,Primary!C1941)</f>
        <v>0</v>
      </c>
      <c r="D1283" s="5">
        <f>IF(ActiveDatabase=Standby,Secondary!D1283,Primary!D1941)</f>
        <v>0</v>
      </c>
      <c r="E1283" s="7">
        <f>IF(ActiveDatabase=Standby,Secondary!E1283,Primary!E1941)</f>
        <v>0</v>
      </c>
      <c r="F1283" s="8">
        <f>IF(ActiveDatabase=Standby,Secondary!F1283,Primary!F1941)</f>
        <v>0</v>
      </c>
      <c r="G1283" s="8">
        <f>IF(ActiveDatabase=Standby,Secondary!G1283,Primary!G1941)</f>
        <v>0</v>
      </c>
      <c r="H1283" s="8">
        <f>IF(ActiveDatabase=Standby,Secondary!H1283,Primary!H1941)</f>
        <v>0</v>
      </c>
      <c r="I1283" s="14">
        <f>IF(ActiveDatabase=Standby,Secondary!I1283,Primary!I1941)</f>
        <v>0</v>
      </c>
      <c r="J1283" s="14">
        <f>IF(ActiveDatabase=Standby,Secondary!J1283,Primary!J1941)</f>
        <v>0</v>
      </c>
      <c r="K1283" s="14">
        <f>IF(ActiveDatabase=Standby,Secondary!K1283,Primary!K1941)</f>
        <v>0</v>
      </c>
      <c r="L1283" s="14">
        <f>IF(ActiveDatabase=Standby,Secondary!L1283,Primary!L1941)</f>
        <v>0</v>
      </c>
      <c r="M1283" s="7">
        <f>IF(ActiveDatabase=Standby,Secondary!M1283,Primary!M1941)</f>
        <v>0</v>
      </c>
      <c r="N1283" s="8">
        <f>IF(ActiveDatabase=Standby,Secondary!N1283,Primary!N1941)</f>
        <v>0</v>
      </c>
      <c r="O1283" s="8">
        <f>IF(ActiveDatabase=Standby,Secondary!O1283,Primary!O1941)</f>
        <v>0</v>
      </c>
      <c r="P1283" s="8">
        <f>IF(ActiveDatabase=Standby,Secondary!P1283,Primary!P1941)</f>
        <v>0</v>
      </c>
      <c r="Q1283" s="7">
        <f>IF(ActiveDatabase=Standby,Secondary!Q1283,Primary!Q1941)</f>
        <v>0</v>
      </c>
      <c r="R1283" s="16">
        <f>IF(ActiveDatabase=Standby,Secondary!R1283,Primary!R1941)</f>
        <v>0</v>
      </c>
      <c r="S1283" s="17">
        <f>IF(ActiveDatabase=Standby,Secondary!S1283,Primary!S1941)</f>
        <v>0</v>
      </c>
      <c r="T1283" s="8">
        <f>IF(ActiveDatabase=Standby,Secondary!T1283,Primary!T1941)</f>
        <v>0</v>
      </c>
      <c r="U1283" s="8">
        <f>IF(ActiveDatabase=Standby,Secondary!U1283,Primary!U1941)</f>
        <v>0</v>
      </c>
      <c r="V1283" s="8">
        <f>IF(ActiveDatabase=Standby,Secondary!V1283,Primary!V1941)</f>
        <v>0</v>
      </c>
      <c r="W1283" s="7">
        <f>IF(ActiveDatabase=Standby,Secondary!W1283,Primary!W1941)</f>
        <v>0</v>
      </c>
      <c r="X1283" s="7">
        <f>IF(ActiveDatabase=Standby,Secondary!X1283,Primary!X1941)</f>
        <v>0</v>
      </c>
      <c r="Y1283" s="7">
        <f>IF(ActiveDatabase=Standby,Secondary!Y1283,Primary!Y1941)</f>
        <v>0</v>
      </c>
      <c r="Z1283" s="7">
        <f>IF(ActiveDatabase=Standby,Secondary!Z1283,Primary!Z1941)</f>
        <v>0</v>
      </c>
      <c r="AA1283" s="7">
        <f>IF(ActiveDatabase=Standby,Secondary!AA1283,Primary!AA1941)</f>
        <v>0</v>
      </c>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c r="AX1283" s="7"/>
      <c r="AY1283" s="7"/>
      <c r="AZ1283" s="7"/>
      <c r="BA1283" s="7"/>
      <c r="BB1283" s="7"/>
      <c r="BC1283" s="7"/>
      <c r="BD1283" s="7"/>
      <c r="BE1283" s="7"/>
      <c r="BF1283" s="7"/>
      <c r="BG1283" s="7"/>
    </row>
    <row r="1284" customHeight="1" spans="1:59">
      <c r="A1284" s="9">
        <f>IF(ActiveDatabase=Standby,Secondary!A1284,Primary!A1942)</f>
        <v>0</v>
      </c>
      <c r="B1284" s="5">
        <f>IF(ActiveDatabase=Standby,Secondary!B1284,Primary!B1942)</f>
        <v>0</v>
      </c>
      <c r="C1284" s="5">
        <f>IF(ActiveDatabase=Standby,Secondary!C1284,Primary!C1942)</f>
        <v>0</v>
      </c>
      <c r="D1284" s="5">
        <f>IF(ActiveDatabase=Standby,Secondary!D1284,Primary!D1942)</f>
        <v>0</v>
      </c>
      <c r="E1284" s="7">
        <f>IF(ActiveDatabase=Standby,Secondary!E1284,Primary!E1942)</f>
        <v>0</v>
      </c>
      <c r="F1284" s="8">
        <f>IF(ActiveDatabase=Standby,Secondary!F1284,Primary!F1942)</f>
        <v>0</v>
      </c>
      <c r="G1284" s="8">
        <f>IF(ActiveDatabase=Standby,Secondary!G1284,Primary!G1942)</f>
        <v>0</v>
      </c>
      <c r="H1284" s="8">
        <f>IF(ActiveDatabase=Standby,Secondary!H1284,Primary!H1942)</f>
        <v>0</v>
      </c>
      <c r="I1284" s="14">
        <f>IF(ActiveDatabase=Standby,Secondary!I1284,Primary!I1942)</f>
        <v>0</v>
      </c>
      <c r="J1284" s="14">
        <f>IF(ActiveDatabase=Standby,Secondary!J1284,Primary!J1942)</f>
        <v>0</v>
      </c>
      <c r="K1284" s="14">
        <f>IF(ActiveDatabase=Standby,Secondary!K1284,Primary!K1942)</f>
        <v>0</v>
      </c>
      <c r="L1284" s="14">
        <f>IF(ActiveDatabase=Standby,Secondary!L1284,Primary!L1942)</f>
        <v>0</v>
      </c>
      <c r="M1284" s="7">
        <f>IF(ActiveDatabase=Standby,Secondary!M1284,Primary!M1942)</f>
        <v>0</v>
      </c>
      <c r="N1284" s="8">
        <f>IF(ActiveDatabase=Standby,Secondary!N1284,Primary!N1942)</f>
        <v>0</v>
      </c>
      <c r="O1284" s="8">
        <f>IF(ActiveDatabase=Standby,Secondary!O1284,Primary!O1942)</f>
        <v>0</v>
      </c>
      <c r="P1284" s="8">
        <f>IF(ActiveDatabase=Standby,Secondary!P1284,Primary!P1942)</f>
        <v>0</v>
      </c>
      <c r="Q1284" s="7">
        <f>IF(ActiveDatabase=Standby,Secondary!Q1284,Primary!Q1942)</f>
        <v>0</v>
      </c>
      <c r="R1284" s="16">
        <f>IF(ActiveDatabase=Standby,Secondary!R1284,Primary!R1942)</f>
        <v>0</v>
      </c>
      <c r="S1284" s="17">
        <f>IF(ActiveDatabase=Standby,Secondary!S1284,Primary!S1942)</f>
        <v>0</v>
      </c>
      <c r="T1284" s="8">
        <f>IF(ActiveDatabase=Standby,Secondary!T1284,Primary!T1942)</f>
        <v>0</v>
      </c>
      <c r="U1284" s="8">
        <f>IF(ActiveDatabase=Standby,Secondary!U1284,Primary!U1942)</f>
        <v>0</v>
      </c>
      <c r="V1284" s="8">
        <f>IF(ActiveDatabase=Standby,Secondary!V1284,Primary!V1942)</f>
        <v>0</v>
      </c>
      <c r="W1284" s="7">
        <f>IF(ActiveDatabase=Standby,Secondary!W1284,Primary!W1942)</f>
        <v>0</v>
      </c>
      <c r="X1284" s="7">
        <f>IF(ActiveDatabase=Standby,Secondary!X1284,Primary!X1942)</f>
        <v>0</v>
      </c>
      <c r="Y1284" s="7">
        <f>IF(ActiveDatabase=Standby,Secondary!Y1284,Primary!Y1942)</f>
        <v>0</v>
      </c>
      <c r="Z1284" s="7">
        <f>IF(ActiveDatabase=Standby,Secondary!Z1284,Primary!Z1942)</f>
        <v>0</v>
      </c>
      <c r="AA1284" s="7">
        <f>IF(ActiveDatabase=Standby,Secondary!AA1284,Primary!AA1942)</f>
        <v>0</v>
      </c>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7"/>
      <c r="BD1284" s="7"/>
      <c r="BE1284" s="7"/>
      <c r="BF1284" s="7"/>
      <c r="BG1284" s="7"/>
    </row>
    <row r="1285" customHeight="1" spans="1:59">
      <c r="A1285" s="9">
        <f>IF(ActiveDatabase=Standby,Secondary!A1285,Primary!A1943)</f>
        <v>0</v>
      </c>
      <c r="B1285" s="5">
        <f>IF(ActiveDatabase=Standby,Secondary!B1285,Primary!B1943)</f>
        <v>0</v>
      </c>
      <c r="C1285" s="5">
        <f>IF(ActiveDatabase=Standby,Secondary!C1285,Primary!C1943)</f>
        <v>0</v>
      </c>
      <c r="D1285" s="5">
        <f>IF(ActiveDatabase=Standby,Secondary!D1285,Primary!D1943)</f>
        <v>0</v>
      </c>
      <c r="E1285" s="7">
        <f>IF(ActiveDatabase=Standby,Secondary!E1285,Primary!E1943)</f>
        <v>0</v>
      </c>
      <c r="F1285" s="8">
        <f>IF(ActiveDatabase=Standby,Secondary!F1285,Primary!F1943)</f>
        <v>0</v>
      </c>
      <c r="G1285" s="8">
        <f>IF(ActiveDatabase=Standby,Secondary!G1285,Primary!G1943)</f>
        <v>0</v>
      </c>
      <c r="H1285" s="8">
        <f>IF(ActiveDatabase=Standby,Secondary!H1285,Primary!H1943)</f>
        <v>0</v>
      </c>
      <c r="I1285" s="14">
        <f>IF(ActiveDatabase=Standby,Secondary!I1285,Primary!I1943)</f>
        <v>0</v>
      </c>
      <c r="J1285" s="14">
        <f>IF(ActiveDatabase=Standby,Secondary!J1285,Primary!J1943)</f>
        <v>0</v>
      </c>
      <c r="K1285" s="14">
        <f>IF(ActiveDatabase=Standby,Secondary!K1285,Primary!K1943)</f>
        <v>0</v>
      </c>
      <c r="L1285" s="14">
        <f>IF(ActiveDatabase=Standby,Secondary!L1285,Primary!L1943)</f>
        <v>0</v>
      </c>
      <c r="M1285" s="7">
        <f>IF(ActiveDatabase=Standby,Secondary!M1285,Primary!M1943)</f>
        <v>0</v>
      </c>
      <c r="N1285" s="8">
        <f>IF(ActiveDatabase=Standby,Secondary!N1285,Primary!N1943)</f>
        <v>0</v>
      </c>
      <c r="O1285" s="8">
        <f>IF(ActiveDatabase=Standby,Secondary!O1285,Primary!O1943)</f>
        <v>0</v>
      </c>
      <c r="P1285" s="8">
        <f>IF(ActiveDatabase=Standby,Secondary!P1285,Primary!P1943)</f>
        <v>0</v>
      </c>
      <c r="Q1285" s="7">
        <f>IF(ActiveDatabase=Standby,Secondary!Q1285,Primary!Q1943)</f>
        <v>0</v>
      </c>
      <c r="R1285" s="16">
        <f>IF(ActiveDatabase=Standby,Secondary!R1285,Primary!R1943)</f>
        <v>0</v>
      </c>
      <c r="S1285" s="17">
        <f>IF(ActiveDatabase=Standby,Secondary!S1285,Primary!S1943)</f>
        <v>0</v>
      </c>
      <c r="T1285" s="8">
        <f>IF(ActiveDatabase=Standby,Secondary!T1285,Primary!T1943)</f>
        <v>0</v>
      </c>
      <c r="U1285" s="8">
        <f>IF(ActiveDatabase=Standby,Secondary!U1285,Primary!U1943)</f>
        <v>0</v>
      </c>
      <c r="V1285" s="8">
        <f>IF(ActiveDatabase=Standby,Secondary!V1285,Primary!V1943)</f>
        <v>0</v>
      </c>
      <c r="W1285" s="7">
        <f>IF(ActiveDatabase=Standby,Secondary!W1285,Primary!W1943)</f>
        <v>0</v>
      </c>
      <c r="X1285" s="7">
        <f>IF(ActiveDatabase=Standby,Secondary!X1285,Primary!X1943)</f>
        <v>0</v>
      </c>
      <c r="Y1285" s="7">
        <f>IF(ActiveDatabase=Standby,Secondary!Y1285,Primary!Y1943)</f>
        <v>0</v>
      </c>
      <c r="Z1285" s="7">
        <f>IF(ActiveDatabase=Standby,Secondary!Z1285,Primary!Z1943)</f>
        <v>0</v>
      </c>
      <c r="AA1285" s="7">
        <f>IF(ActiveDatabase=Standby,Secondary!AA1285,Primary!AA1943)</f>
        <v>0</v>
      </c>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row>
    <row r="1286" customHeight="1" spans="1:59">
      <c r="A1286" s="9">
        <f>IF(ActiveDatabase=Standby,Secondary!A1286,Primary!A1944)</f>
        <v>0</v>
      </c>
      <c r="B1286" s="5">
        <f>IF(ActiveDatabase=Standby,Secondary!B1286,Primary!B1944)</f>
        <v>0</v>
      </c>
      <c r="C1286" s="5">
        <f>IF(ActiveDatabase=Standby,Secondary!C1286,Primary!C1944)</f>
        <v>0</v>
      </c>
      <c r="D1286" s="5">
        <f>IF(ActiveDatabase=Standby,Secondary!D1286,Primary!D1944)</f>
        <v>0</v>
      </c>
      <c r="E1286" s="7">
        <f>IF(ActiveDatabase=Standby,Secondary!E1286,Primary!E1944)</f>
        <v>0</v>
      </c>
      <c r="F1286" s="8">
        <f>IF(ActiveDatabase=Standby,Secondary!F1286,Primary!F1944)</f>
        <v>0</v>
      </c>
      <c r="G1286" s="8">
        <f>IF(ActiveDatabase=Standby,Secondary!G1286,Primary!G1944)</f>
        <v>0</v>
      </c>
      <c r="H1286" s="8">
        <f>IF(ActiveDatabase=Standby,Secondary!H1286,Primary!H1944)</f>
        <v>0</v>
      </c>
      <c r="I1286" s="14">
        <f>IF(ActiveDatabase=Standby,Secondary!I1286,Primary!I1944)</f>
        <v>0</v>
      </c>
      <c r="J1286" s="14">
        <f>IF(ActiveDatabase=Standby,Secondary!J1286,Primary!J1944)</f>
        <v>0</v>
      </c>
      <c r="K1286" s="14">
        <f>IF(ActiveDatabase=Standby,Secondary!K1286,Primary!K1944)</f>
        <v>0</v>
      </c>
      <c r="L1286" s="14">
        <f>IF(ActiveDatabase=Standby,Secondary!L1286,Primary!L1944)</f>
        <v>0</v>
      </c>
      <c r="M1286" s="7">
        <f>IF(ActiveDatabase=Standby,Secondary!M1286,Primary!M1944)</f>
        <v>0</v>
      </c>
      <c r="N1286" s="8">
        <f>IF(ActiveDatabase=Standby,Secondary!N1286,Primary!N1944)</f>
        <v>0</v>
      </c>
      <c r="O1286" s="8">
        <f>IF(ActiveDatabase=Standby,Secondary!O1286,Primary!O1944)</f>
        <v>0</v>
      </c>
      <c r="P1286" s="8">
        <f>IF(ActiveDatabase=Standby,Secondary!P1286,Primary!P1944)</f>
        <v>0</v>
      </c>
      <c r="Q1286" s="7">
        <f>IF(ActiveDatabase=Standby,Secondary!Q1286,Primary!Q1944)</f>
        <v>0</v>
      </c>
      <c r="R1286" s="16">
        <f>IF(ActiveDatabase=Standby,Secondary!R1286,Primary!R1944)</f>
        <v>0</v>
      </c>
      <c r="S1286" s="17">
        <f>IF(ActiveDatabase=Standby,Secondary!S1286,Primary!S1944)</f>
        <v>0</v>
      </c>
      <c r="T1286" s="8">
        <f>IF(ActiveDatabase=Standby,Secondary!T1286,Primary!T1944)</f>
        <v>0</v>
      </c>
      <c r="U1286" s="8">
        <f>IF(ActiveDatabase=Standby,Secondary!U1286,Primary!U1944)</f>
        <v>0</v>
      </c>
      <c r="V1286" s="8">
        <f>IF(ActiveDatabase=Standby,Secondary!V1286,Primary!V1944)</f>
        <v>0</v>
      </c>
      <c r="W1286" s="7">
        <f>IF(ActiveDatabase=Standby,Secondary!W1286,Primary!W1944)</f>
        <v>0</v>
      </c>
      <c r="X1286" s="7">
        <f>IF(ActiveDatabase=Standby,Secondary!X1286,Primary!X1944)</f>
        <v>0</v>
      </c>
      <c r="Y1286" s="7">
        <f>IF(ActiveDatabase=Standby,Secondary!Y1286,Primary!Y1944)</f>
        <v>0</v>
      </c>
      <c r="Z1286" s="7">
        <f>IF(ActiveDatabase=Standby,Secondary!Z1286,Primary!Z1944)</f>
        <v>0</v>
      </c>
      <c r="AA1286" s="7">
        <f>IF(ActiveDatabase=Standby,Secondary!AA1286,Primary!AA1944)</f>
        <v>0</v>
      </c>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7"/>
      <c r="BD1286" s="7"/>
      <c r="BE1286" s="7"/>
      <c r="BF1286" s="7"/>
      <c r="BG1286" s="7"/>
    </row>
    <row r="1287" customHeight="1" spans="1:59">
      <c r="A1287" s="9">
        <f>IF(ActiveDatabase=Standby,Secondary!A1287,Primary!A1945)</f>
        <v>0</v>
      </c>
      <c r="B1287" s="5">
        <f>IF(ActiveDatabase=Standby,Secondary!B1287,Primary!B1945)</f>
        <v>0</v>
      </c>
      <c r="C1287" s="5">
        <f>IF(ActiveDatabase=Standby,Secondary!C1287,Primary!C1945)</f>
        <v>0</v>
      </c>
      <c r="D1287" s="5">
        <f>IF(ActiveDatabase=Standby,Secondary!D1287,Primary!D1945)</f>
        <v>0</v>
      </c>
      <c r="E1287" s="7">
        <f>IF(ActiveDatabase=Standby,Secondary!E1287,Primary!E1945)</f>
        <v>0</v>
      </c>
      <c r="F1287" s="8">
        <f>IF(ActiveDatabase=Standby,Secondary!F1287,Primary!F1945)</f>
        <v>0</v>
      </c>
      <c r="G1287" s="8">
        <f>IF(ActiveDatabase=Standby,Secondary!G1287,Primary!G1945)</f>
        <v>0</v>
      </c>
      <c r="H1287" s="8">
        <f>IF(ActiveDatabase=Standby,Secondary!H1287,Primary!H1945)</f>
        <v>0</v>
      </c>
      <c r="I1287" s="14">
        <f>IF(ActiveDatabase=Standby,Secondary!I1287,Primary!I1945)</f>
        <v>0</v>
      </c>
      <c r="J1287" s="14">
        <f>IF(ActiveDatabase=Standby,Secondary!J1287,Primary!J1945)</f>
        <v>0</v>
      </c>
      <c r="K1287" s="14">
        <f>IF(ActiveDatabase=Standby,Secondary!K1287,Primary!K1945)</f>
        <v>0</v>
      </c>
      <c r="L1287" s="14">
        <f>IF(ActiveDatabase=Standby,Secondary!L1287,Primary!L1945)</f>
        <v>0</v>
      </c>
      <c r="M1287" s="7">
        <f>IF(ActiveDatabase=Standby,Secondary!M1287,Primary!M1945)</f>
        <v>0</v>
      </c>
      <c r="N1287" s="8">
        <f>IF(ActiveDatabase=Standby,Secondary!N1287,Primary!N1945)</f>
        <v>0</v>
      </c>
      <c r="O1287" s="8">
        <f>IF(ActiveDatabase=Standby,Secondary!O1287,Primary!O1945)</f>
        <v>0</v>
      </c>
      <c r="P1287" s="8">
        <f>IF(ActiveDatabase=Standby,Secondary!P1287,Primary!P1945)</f>
        <v>0</v>
      </c>
      <c r="Q1287" s="7">
        <f>IF(ActiveDatabase=Standby,Secondary!Q1287,Primary!Q1945)</f>
        <v>0</v>
      </c>
      <c r="R1287" s="16">
        <f>IF(ActiveDatabase=Standby,Secondary!R1287,Primary!R1945)</f>
        <v>0</v>
      </c>
      <c r="S1287" s="17">
        <f>IF(ActiveDatabase=Standby,Secondary!S1287,Primary!S1945)</f>
        <v>0</v>
      </c>
      <c r="T1287" s="8">
        <f>IF(ActiveDatabase=Standby,Secondary!T1287,Primary!T1945)</f>
        <v>0</v>
      </c>
      <c r="U1287" s="8">
        <f>IF(ActiveDatabase=Standby,Secondary!U1287,Primary!U1945)</f>
        <v>0</v>
      </c>
      <c r="V1287" s="8">
        <f>IF(ActiveDatabase=Standby,Secondary!V1287,Primary!V1945)</f>
        <v>0</v>
      </c>
      <c r="W1287" s="7">
        <f>IF(ActiveDatabase=Standby,Secondary!W1287,Primary!W1945)</f>
        <v>0</v>
      </c>
      <c r="X1287" s="7">
        <f>IF(ActiveDatabase=Standby,Secondary!X1287,Primary!X1945)</f>
        <v>0</v>
      </c>
      <c r="Y1287" s="7">
        <f>IF(ActiveDatabase=Standby,Secondary!Y1287,Primary!Y1945)</f>
        <v>0</v>
      </c>
      <c r="Z1287" s="7">
        <f>IF(ActiveDatabase=Standby,Secondary!Z1287,Primary!Z1945)</f>
        <v>0</v>
      </c>
      <c r="AA1287" s="7">
        <f>IF(ActiveDatabase=Standby,Secondary!AA1287,Primary!AA1945)</f>
        <v>0</v>
      </c>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7"/>
      <c r="BD1287" s="7"/>
      <c r="BE1287" s="7"/>
      <c r="BF1287" s="7"/>
      <c r="BG1287" s="7"/>
    </row>
    <row r="1288" customHeight="1" spans="1:59">
      <c r="A1288" s="9">
        <f>IF(ActiveDatabase=Standby,Secondary!A1288,Primary!A1946)</f>
        <v>0</v>
      </c>
      <c r="B1288" s="5">
        <f>IF(ActiveDatabase=Standby,Secondary!B1288,Primary!B1946)</f>
        <v>0</v>
      </c>
      <c r="C1288" s="5">
        <f>IF(ActiveDatabase=Standby,Secondary!C1288,Primary!C1946)</f>
        <v>0</v>
      </c>
      <c r="D1288" s="5">
        <f>IF(ActiveDatabase=Standby,Secondary!D1288,Primary!D1946)</f>
        <v>0</v>
      </c>
      <c r="E1288" s="7">
        <f>IF(ActiveDatabase=Standby,Secondary!E1288,Primary!E1946)</f>
        <v>0</v>
      </c>
      <c r="F1288" s="8">
        <f>IF(ActiveDatabase=Standby,Secondary!F1288,Primary!F1946)</f>
        <v>0</v>
      </c>
      <c r="G1288" s="8">
        <f>IF(ActiveDatabase=Standby,Secondary!G1288,Primary!G1946)</f>
        <v>0</v>
      </c>
      <c r="H1288" s="8">
        <f>IF(ActiveDatabase=Standby,Secondary!H1288,Primary!H1946)</f>
        <v>0</v>
      </c>
      <c r="I1288" s="14">
        <f>IF(ActiveDatabase=Standby,Secondary!I1288,Primary!I1946)</f>
        <v>0</v>
      </c>
      <c r="J1288" s="14">
        <f>IF(ActiveDatabase=Standby,Secondary!J1288,Primary!J1946)</f>
        <v>0</v>
      </c>
      <c r="K1288" s="14">
        <f>IF(ActiveDatabase=Standby,Secondary!K1288,Primary!K1946)</f>
        <v>0</v>
      </c>
      <c r="L1288" s="14">
        <f>IF(ActiveDatabase=Standby,Secondary!L1288,Primary!L1946)</f>
        <v>0</v>
      </c>
      <c r="M1288" s="7">
        <f>IF(ActiveDatabase=Standby,Secondary!M1288,Primary!M1946)</f>
        <v>0</v>
      </c>
      <c r="N1288" s="8">
        <f>IF(ActiveDatabase=Standby,Secondary!N1288,Primary!N1946)</f>
        <v>0</v>
      </c>
      <c r="O1288" s="8">
        <f>IF(ActiveDatabase=Standby,Secondary!O1288,Primary!O1946)</f>
        <v>0</v>
      </c>
      <c r="P1288" s="8">
        <f>IF(ActiveDatabase=Standby,Secondary!P1288,Primary!P1946)</f>
        <v>0</v>
      </c>
      <c r="Q1288" s="7">
        <f>IF(ActiveDatabase=Standby,Secondary!Q1288,Primary!Q1946)</f>
        <v>0</v>
      </c>
      <c r="R1288" s="16">
        <f>IF(ActiveDatabase=Standby,Secondary!R1288,Primary!R1946)</f>
        <v>0</v>
      </c>
      <c r="S1288" s="17">
        <f>IF(ActiveDatabase=Standby,Secondary!S1288,Primary!S1946)</f>
        <v>0</v>
      </c>
      <c r="T1288" s="8">
        <f>IF(ActiveDatabase=Standby,Secondary!T1288,Primary!T1946)</f>
        <v>0</v>
      </c>
      <c r="U1288" s="8">
        <f>IF(ActiveDatabase=Standby,Secondary!U1288,Primary!U1946)</f>
        <v>0</v>
      </c>
      <c r="V1288" s="8">
        <f>IF(ActiveDatabase=Standby,Secondary!V1288,Primary!V1946)</f>
        <v>0</v>
      </c>
      <c r="W1288" s="7">
        <f>IF(ActiveDatabase=Standby,Secondary!W1288,Primary!W1946)</f>
        <v>0</v>
      </c>
      <c r="X1288" s="7">
        <f>IF(ActiveDatabase=Standby,Secondary!X1288,Primary!X1946)</f>
        <v>0</v>
      </c>
      <c r="Y1288" s="7">
        <f>IF(ActiveDatabase=Standby,Secondary!Y1288,Primary!Y1946)</f>
        <v>0</v>
      </c>
      <c r="Z1288" s="7">
        <f>IF(ActiveDatabase=Standby,Secondary!Z1288,Primary!Z1946)</f>
        <v>0</v>
      </c>
      <c r="AA1288" s="7">
        <f>IF(ActiveDatabase=Standby,Secondary!AA1288,Primary!AA1946)</f>
        <v>0</v>
      </c>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c r="AX1288" s="7"/>
      <c r="AY1288" s="7"/>
      <c r="AZ1288" s="7"/>
      <c r="BA1288" s="7"/>
      <c r="BB1288" s="7"/>
      <c r="BC1288" s="7"/>
      <c r="BD1288" s="7"/>
      <c r="BE1288" s="7"/>
      <c r="BF1288" s="7"/>
      <c r="BG1288" s="7"/>
    </row>
    <row r="1289" customHeight="1" spans="1:59">
      <c r="A1289" s="9">
        <f>IF(ActiveDatabase=Standby,Secondary!A1289,Primary!A1947)</f>
        <v>0</v>
      </c>
      <c r="B1289" s="5">
        <f>IF(ActiveDatabase=Standby,Secondary!B1289,Primary!B1947)</f>
        <v>0</v>
      </c>
      <c r="C1289" s="5">
        <f>IF(ActiveDatabase=Standby,Secondary!C1289,Primary!C1947)</f>
        <v>0</v>
      </c>
      <c r="D1289" s="5">
        <f>IF(ActiveDatabase=Standby,Secondary!D1289,Primary!D1947)</f>
        <v>0</v>
      </c>
      <c r="E1289" s="7">
        <f>IF(ActiveDatabase=Standby,Secondary!E1289,Primary!E1947)</f>
        <v>0</v>
      </c>
      <c r="F1289" s="8">
        <f>IF(ActiveDatabase=Standby,Secondary!F1289,Primary!F1947)</f>
        <v>0</v>
      </c>
      <c r="G1289" s="8">
        <f>IF(ActiveDatabase=Standby,Secondary!G1289,Primary!G1947)</f>
        <v>0</v>
      </c>
      <c r="H1289" s="8">
        <f>IF(ActiveDatabase=Standby,Secondary!H1289,Primary!H1947)</f>
        <v>0</v>
      </c>
      <c r="I1289" s="14">
        <f>IF(ActiveDatabase=Standby,Secondary!I1289,Primary!I1947)</f>
        <v>0</v>
      </c>
      <c r="J1289" s="14">
        <f>IF(ActiveDatabase=Standby,Secondary!J1289,Primary!J1947)</f>
        <v>0</v>
      </c>
      <c r="K1289" s="14">
        <f>IF(ActiveDatabase=Standby,Secondary!K1289,Primary!K1947)</f>
        <v>0</v>
      </c>
      <c r="L1289" s="14">
        <f>IF(ActiveDatabase=Standby,Secondary!L1289,Primary!L1947)</f>
        <v>0</v>
      </c>
      <c r="M1289" s="7">
        <f>IF(ActiveDatabase=Standby,Secondary!M1289,Primary!M1947)</f>
        <v>0</v>
      </c>
      <c r="N1289" s="8">
        <f>IF(ActiveDatabase=Standby,Secondary!N1289,Primary!N1947)</f>
        <v>0</v>
      </c>
      <c r="O1289" s="8">
        <f>IF(ActiveDatabase=Standby,Secondary!O1289,Primary!O1947)</f>
        <v>0</v>
      </c>
      <c r="P1289" s="8">
        <f>IF(ActiveDatabase=Standby,Secondary!P1289,Primary!P1947)</f>
        <v>0</v>
      </c>
      <c r="Q1289" s="7">
        <f>IF(ActiveDatabase=Standby,Secondary!Q1289,Primary!Q1947)</f>
        <v>0</v>
      </c>
      <c r="R1289" s="16">
        <f>IF(ActiveDatabase=Standby,Secondary!R1289,Primary!R1947)</f>
        <v>0</v>
      </c>
      <c r="S1289" s="17">
        <f>IF(ActiveDatabase=Standby,Secondary!S1289,Primary!S1947)</f>
        <v>0</v>
      </c>
      <c r="T1289" s="8">
        <f>IF(ActiveDatabase=Standby,Secondary!T1289,Primary!T1947)</f>
        <v>0</v>
      </c>
      <c r="U1289" s="8">
        <f>IF(ActiveDatabase=Standby,Secondary!U1289,Primary!U1947)</f>
        <v>0</v>
      </c>
      <c r="V1289" s="8">
        <f>IF(ActiveDatabase=Standby,Secondary!V1289,Primary!V1947)</f>
        <v>0</v>
      </c>
      <c r="W1289" s="7">
        <f>IF(ActiveDatabase=Standby,Secondary!W1289,Primary!W1947)</f>
        <v>0</v>
      </c>
      <c r="X1289" s="7">
        <f>IF(ActiveDatabase=Standby,Secondary!X1289,Primary!X1947)</f>
        <v>0</v>
      </c>
      <c r="Y1289" s="7">
        <f>IF(ActiveDatabase=Standby,Secondary!Y1289,Primary!Y1947)</f>
        <v>0</v>
      </c>
      <c r="Z1289" s="7">
        <f>IF(ActiveDatabase=Standby,Secondary!Z1289,Primary!Z1947)</f>
        <v>0</v>
      </c>
      <c r="AA1289" s="7">
        <f>IF(ActiveDatabase=Standby,Secondary!AA1289,Primary!AA1947)</f>
        <v>0</v>
      </c>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row>
    <row r="1290" customHeight="1" spans="1:59">
      <c r="A1290" s="9">
        <f>IF(ActiveDatabase=Standby,Secondary!A1290,Primary!A1948)</f>
        <v>0</v>
      </c>
      <c r="B1290" s="5">
        <f>IF(ActiveDatabase=Standby,Secondary!B1290,Primary!B1948)</f>
        <v>0</v>
      </c>
      <c r="C1290" s="5">
        <f>IF(ActiveDatabase=Standby,Secondary!C1290,Primary!C1948)</f>
        <v>0</v>
      </c>
      <c r="D1290" s="5">
        <f>IF(ActiveDatabase=Standby,Secondary!D1290,Primary!D1948)</f>
        <v>0</v>
      </c>
      <c r="E1290" s="7">
        <f>IF(ActiveDatabase=Standby,Secondary!E1290,Primary!E1948)</f>
        <v>0</v>
      </c>
      <c r="F1290" s="8">
        <f>IF(ActiveDatabase=Standby,Secondary!F1290,Primary!F1948)</f>
        <v>0</v>
      </c>
      <c r="G1290" s="8">
        <f>IF(ActiveDatabase=Standby,Secondary!G1290,Primary!G1948)</f>
        <v>0</v>
      </c>
      <c r="H1290" s="8">
        <f>IF(ActiveDatabase=Standby,Secondary!H1290,Primary!H1948)</f>
        <v>0</v>
      </c>
      <c r="I1290" s="14">
        <f>IF(ActiveDatabase=Standby,Secondary!I1290,Primary!I1948)</f>
        <v>0</v>
      </c>
      <c r="J1290" s="14">
        <f>IF(ActiveDatabase=Standby,Secondary!J1290,Primary!J1948)</f>
        <v>0</v>
      </c>
      <c r="K1290" s="14">
        <f>IF(ActiveDatabase=Standby,Secondary!K1290,Primary!K1948)</f>
        <v>0</v>
      </c>
      <c r="L1290" s="14">
        <f>IF(ActiveDatabase=Standby,Secondary!L1290,Primary!L1948)</f>
        <v>0</v>
      </c>
      <c r="M1290" s="7">
        <f>IF(ActiveDatabase=Standby,Secondary!M1290,Primary!M1948)</f>
        <v>0</v>
      </c>
      <c r="N1290" s="8">
        <f>IF(ActiveDatabase=Standby,Secondary!N1290,Primary!N1948)</f>
        <v>0</v>
      </c>
      <c r="O1290" s="8">
        <f>IF(ActiveDatabase=Standby,Secondary!O1290,Primary!O1948)</f>
        <v>0</v>
      </c>
      <c r="P1290" s="8">
        <f>IF(ActiveDatabase=Standby,Secondary!P1290,Primary!P1948)</f>
        <v>0</v>
      </c>
      <c r="Q1290" s="7">
        <f>IF(ActiveDatabase=Standby,Secondary!Q1290,Primary!Q1948)</f>
        <v>0</v>
      </c>
      <c r="R1290" s="16">
        <f>IF(ActiveDatabase=Standby,Secondary!R1290,Primary!R1948)</f>
        <v>0</v>
      </c>
      <c r="S1290" s="17">
        <f>IF(ActiveDatabase=Standby,Secondary!S1290,Primary!S1948)</f>
        <v>0</v>
      </c>
      <c r="T1290" s="8">
        <f>IF(ActiveDatabase=Standby,Secondary!T1290,Primary!T1948)</f>
        <v>0</v>
      </c>
      <c r="U1290" s="8">
        <f>IF(ActiveDatabase=Standby,Secondary!U1290,Primary!U1948)</f>
        <v>0</v>
      </c>
      <c r="V1290" s="8">
        <f>IF(ActiveDatabase=Standby,Secondary!V1290,Primary!V1948)</f>
        <v>0</v>
      </c>
      <c r="W1290" s="7">
        <f>IF(ActiveDatabase=Standby,Secondary!W1290,Primary!W1948)</f>
        <v>0</v>
      </c>
      <c r="X1290" s="7">
        <f>IF(ActiveDatabase=Standby,Secondary!X1290,Primary!X1948)</f>
        <v>0</v>
      </c>
      <c r="Y1290" s="7">
        <f>IF(ActiveDatabase=Standby,Secondary!Y1290,Primary!Y1948)</f>
        <v>0</v>
      </c>
      <c r="Z1290" s="7">
        <f>IF(ActiveDatabase=Standby,Secondary!Z1290,Primary!Z1948)</f>
        <v>0</v>
      </c>
      <c r="AA1290" s="7">
        <f>IF(ActiveDatabase=Standby,Secondary!AA1290,Primary!AA1948)</f>
        <v>0</v>
      </c>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7"/>
      <c r="BD1290" s="7"/>
      <c r="BE1290" s="7"/>
      <c r="BF1290" s="7"/>
      <c r="BG1290" s="7"/>
    </row>
    <row r="1291" customHeight="1" spans="1:59">
      <c r="A1291" s="9">
        <f>IF(ActiveDatabase=Standby,Secondary!A1291,Primary!A1949)</f>
        <v>0</v>
      </c>
      <c r="B1291" s="5">
        <f>IF(ActiveDatabase=Standby,Secondary!B1291,Primary!B1949)</f>
        <v>0</v>
      </c>
      <c r="C1291" s="5">
        <f>IF(ActiveDatabase=Standby,Secondary!C1291,Primary!C1949)</f>
        <v>0</v>
      </c>
      <c r="D1291" s="5">
        <f>IF(ActiveDatabase=Standby,Secondary!D1291,Primary!D1949)</f>
        <v>0</v>
      </c>
      <c r="E1291" s="7">
        <f>IF(ActiveDatabase=Standby,Secondary!E1291,Primary!E1949)</f>
        <v>0</v>
      </c>
      <c r="F1291" s="8">
        <f>IF(ActiveDatabase=Standby,Secondary!F1291,Primary!F1949)</f>
        <v>0</v>
      </c>
      <c r="G1291" s="8">
        <f>IF(ActiveDatabase=Standby,Secondary!G1291,Primary!G1949)</f>
        <v>0</v>
      </c>
      <c r="H1291" s="8">
        <f>IF(ActiveDatabase=Standby,Secondary!H1291,Primary!H1949)</f>
        <v>0</v>
      </c>
      <c r="I1291" s="14">
        <f>IF(ActiveDatabase=Standby,Secondary!I1291,Primary!I1949)</f>
        <v>0</v>
      </c>
      <c r="J1291" s="14">
        <f>IF(ActiveDatabase=Standby,Secondary!J1291,Primary!J1949)</f>
        <v>0</v>
      </c>
      <c r="K1291" s="14">
        <f>IF(ActiveDatabase=Standby,Secondary!K1291,Primary!K1949)</f>
        <v>0</v>
      </c>
      <c r="L1291" s="14">
        <f>IF(ActiveDatabase=Standby,Secondary!L1291,Primary!L1949)</f>
        <v>0</v>
      </c>
      <c r="M1291" s="7">
        <f>IF(ActiveDatabase=Standby,Secondary!M1291,Primary!M1949)</f>
        <v>0</v>
      </c>
      <c r="N1291" s="8">
        <f>IF(ActiveDatabase=Standby,Secondary!N1291,Primary!N1949)</f>
        <v>0</v>
      </c>
      <c r="O1291" s="8">
        <f>IF(ActiveDatabase=Standby,Secondary!O1291,Primary!O1949)</f>
        <v>0</v>
      </c>
      <c r="P1291" s="8">
        <f>IF(ActiveDatabase=Standby,Secondary!P1291,Primary!P1949)</f>
        <v>0</v>
      </c>
      <c r="Q1291" s="7">
        <f>IF(ActiveDatabase=Standby,Secondary!Q1291,Primary!Q1949)</f>
        <v>0</v>
      </c>
      <c r="R1291" s="16">
        <f>IF(ActiveDatabase=Standby,Secondary!R1291,Primary!R1949)</f>
        <v>0</v>
      </c>
      <c r="S1291" s="17">
        <f>IF(ActiveDatabase=Standby,Secondary!S1291,Primary!S1949)</f>
        <v>0</v>
      </c>
      <c r="T1291" s="8">
        <f>IF(ActiveDatabase=Standby,Secondary!T1291,Primary!T1949)</f>
        <v>0</v>
      </c>
      <c r="U1291" s="8">
        <f>IF(ActiveDatabase=Standby,Secondary!U1291,Primary!U1949)</f>
        <v>0</v>
      </c>
      <c r="V1291" s="8">
        <f>IF(ActiveDatabase=Standby,Secondary!V1291,Primary!V1949)</f>
        <v>0</v>
      </c>
      <c r="W1291" s="7">
        <f>IF(ActiveDatabase=Standby,Secondary!W1291,Primary!W1949)</f>
        <v>0</v>
      </c>
      <c r="X1291" s="7">
        <f>IF(ActiveDatabase=Standby,Secondary!X1291,Primary!X1949)</f>
        <v>0</v>
      </c>
      <c r="Y1291" s="7">
        <f>IF(ActiveDatabase=Standby,Secondary!Y1291,Primary!Y1949)</f>
        <v>0</v>
      </c>
      <c r="Z1291" s="7">
        <f>IF(ActiveDatabase=Standby,Secondary!Z1291,Primary!Z1949)</f>
        <v>0</v>
      </c>
      <c r="AA1291" s="7">
        <f>IF(ActiveDatabase=Standby,Secondary!AA1291,Primary!AA1949)</f>
        <v>0</v>
      </c>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7"/>
      <c r="BD1291" s="7"/>
      <c r="BE1291" s="7"/>
      <c r="BF1291" s="7"/>
      <c r="BG1291" s="7"/>
    </row>
    <row r="1292" customHeight="1" spans="1:59">
      <c r="A1292" s="9">
        <f>IF(ActiveDatabase=Standby,Secondary!A1292,Primary!A1950)</f>
        <v>0</v>
      </c>
      <c r="B1292" s="5">
        <f>IF(ActiveDatabase=Standby,Secondary!B1292,Primary!B1950)</f>
        <v>0</v>
      </c>
      <c r="C1292" s="5">
        <f>IF(ActiveDatabase=Standby,Secondary!C1292,Primary!C1950)</f>
        <v>0</v>
      </c>
      <c r="D1292" s="5">
        <f>IF(ActiveDatabase=Standby,Secondary!D1292,Primary!D1950)</f>
        <v>0</v>
      </c>
      <c r="E1292" s="7">
        <f>IF(ActiveDatabase=Standby,Secondary!E1292,Primary!E1950)</f>
        <v>0</v>
      </c>
      <c r="F1292" s="8">
        <f>IF(ActiveDatabase=Standby,Secondary!F1292,Primary!F1950)</f>
        <v>0</v>
      </c>
      <c r="G1292" s="8">
        <f>IF(ActiveDatabase=Standby,Secondary!G1292,Primary!G1950)</f>
        <v>0</v>
      </c>
      <c r="H1292" s="8">
        <f>IF(ActiveDatabase=Standby,Secondary!H1292,Primary!H1950)</f>
        <v>0</v>
      </c>
      <c r="I1292" s="14">
        <f>IF(ActiveDatabase=Standby,Secondary!I1292,Primary!I1950)</f>
        <v>0</v>
      </c>
      <c r="J1292" s="14">
        <f>IF(ActiveDatabase=Standby,Secondary!J1292,Primary!J1950)</f>
        <v>0</v>
      </c>
      <c r="K1292" s="14">
        <f>IF(ActiveDatabase=Standby,Secondary!K1292,Primary!K1950)</f>
        <v>0</v>
      </c>
      <c r="L1292" s="14">
        <f>IF(ActiveDatabase=Standby,Secondary!L1292,Primary!L1950)</f>
        <v>0</v>
      </c>
      <c r="M1292" s="7">
        <f>IF(ActiveDatabase=Standby,Secondary!M1292,Primary!M1950)</f>
        <v>0</v>
      </c>
      <c r="N1292" s="8">
        <f>IF(ActiveDatabase=Standby,Secondary!N1292,Primary!N1950)</f>
        <v>0</v>
      </c>
      <c r="O1292" s="8">
        <f>IF(ActiveDatabase=Standby,Secondary!O1292,Primary!O1950)</f>
        <v>0</v>
      </c>
      <c r="P1292" s="8">
        <f>IF(ActiveDatabase=Standby,Secondary!P1292,Primary!P1950)</f>
        <v>0</v>
      </c>
      <c r="Q1292" s="7">
        <f>IF(ActiveDatabase=Standby,Secondary!Q1292,Primary!Q1950)</f>
        <v>0</v>
      </c>
      <c r="R1292" s="16">
        <f>IF(ActiveDatabase=Standby,Secondary!R1292,Primary!R1950)</f>
        <v>0</v>
      </c>
      <c r="S1292" s="17">
        <f>IF(ActiveDatabase=Standby,Secondary!S1292,Primary!S1950)</f>
        <v>0</v>
      </c>
      <c r="T1292" s="8">
        <f>IF(ActiveDatabase=Standby,Secondary!T1292,Primary!T1950)</f>
        <v>0</v>
      </c>
      <c r="U1292" s="8">
        <f>IF(ActiveDatabase=Standby,Secondary!U1292,Primary!U1950)</f>
        <v>0</v>
      </c>
      <c r="V1292" s="8">
        <f>IF(ActiveDatabase=Standby,Secondary!V1292,Primary!V1950)</f>
        <v>0</v>
      </c>
      <c r="W1292" s="7">
        <f>IF(ActiveDatabase=Standby,Secondary!W1292,Primary!W1950)</f>
        <v>0</v>
      </c>
      <c r="X1292" s="7">
        <f>IF(ActiveDatabase=Standby,Secondary!X1292,Primary!X1950)</f>
        <v>0</v>
      </c>
      <c r="Y1292" s="7">
        <f>IF(ActiveDatabase=Standby,Secondary!Y1292,Primary!Y1950)</f>
        <v>0</v>
      </c>
      <c r="Z1292" s="7">
        <f>IF(ActiveDatabase=Standby,Secondary!Z1292,Primary!Z1950)</f>
        <v>0</v>
      </c>
      <c r="AA1292" s="7">
        <f>IF(ActiveDatabase=Standby,Secondary!AA1292,Primary!AA1950)</f>
        <v>0</v>
      </c>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7"/>
      <c r="BD1292" s="7"/>
      <c r="BE1292" s="7"/>
      <c r="BF1292" s="7"/>
      <c r="BG1292" s="7"/>
    </row>
    <row r="1293" customHeight="1" spans="1:59">
      <c r="A1293" s="9">
        <f>IF(ActiveDatabase=Standby,Secondary!A1293,Primary!A1951)</f>
        <v>0</v>
      </c>
      <c r="B1293" s="5">
        <f>IF(ActiveDatabase=Standby,Secondary!B1293,Primary!B1951)</f>
        <v>0</v>
      </c>
      <c r="C1293" s="5">
        <f>IF(ActiveDatabase=Standby,Secondary!C1293,Primary!C1951)</f>
        <v>0</v>
      </c>
      <c r="D1293" s="5">
        <f>IF(ActiveDatabase=Standby,Secondary!D1293,Primary!D1951)</f>
        <v>0</v>
      </c>
      <c r="E1293" s="7">
        <f>IF(ActiveDatabase=Standby,Secondary!E1293,Primary!E1951)</f>
        <v>0</v>
      </c>
      <c r="F1293" s="8">
        <f>IF(ActiveDatabase=Standby,Secondary!F1293,Primary!F1951)</f>
        <v>0</v>
      </c>
      <c r="G1293" s="8">
        <f>IF(ActiveDatabase=Standby,Secondary!G1293,Primary!G1951)</f>
        <v>0</v>
      </c>
      <c r="H1293" s="8">
        <f>IF(ActiveDatabase=Standby,Secondary!H1293,Primary!H1951)</f>
        <v>0</v>
      </c>
      <c r="I1293" s="14">
        <f>IF(ActiveDatabase=Standby,Secondary!I1293,Primary!I1951)</f>
        <v>0</v>
      </c>
      <c r="J1293" s="14">
        <f>IF(ActiveDatabase=Standby,Secondary!J1293,Primary!J1951)</f>
        <v>0</v>
      </c>
      <c r="K1293" s="14">
        <f>IF(ActiveDatabase=Standby,Secondary!K1293,Primary!K1951)</f>
        <v>0</v>
      </c>
      <c r="L1293" s="14">
        <f>IF(ActiveDatabase=Standby,Secondary!L1293,Primary!L1951)</f>
        <v>0</v>
      </c>
      <c r="M1293" s="7">
        <f>IF(ActiveDatabase=Standby,Secondary!M1293,Primary!M1951)</f>
        <v>0</v>
      </c>
      <c r="N1293" s="8">
        <f>IF(ActiveDatabase=Standby,Secondary!N1293,Primary!N1951)</f>
        <v>0</v>
      </c>
      <c r="O1293" s="8">
        <f>IF(ActiveDatabase=Standby,Secondary!O1293,Primary!O1951)</f>
        <v>0</v>
      </c>
      <c r="P1293" s="8">
        <f>IF(ActiveDatabase=Standby,Secondary!P1293,Primary!P1951)</f>
        <v>0</v>
      </c>
      <c r="Q1293" s="7">
        <f>IF(ActiveDatabase=Standby,Secondary!Q1293,Primary!Q1951)</f>
        <v>0</v>
      </c>
      <c r="R1293" s="16">
        <f>IF(ActiveDatabase=Standby,Secondary!R1293,Primary!R1951)</f>
        <v>0</v>
      </c>
      <c r="S1293" s="17">
        <f>IF(ActiveDatabase=Standby,Secondary!S1293,Primary!S1951)</f>
        <v>0</v>
      </c>
      <c r="T1293" s="8">
        <f>IF(ActiveDatabase=Standby,Secondary!T1293,Primary!T1951)</f>
        <v>0</v>
      </c>
      <c r="U1293" s="8">
        <f>IF(ActiveDatabase=Standby,Secondary!U1293,Primary!U1951)</f>
        <v>0</v>
      </c>
      <c r="V1293" s="8">
        <f>IF(ActiveDatabase=Standby,Secondary!V1293,Primary!V1951)</f>
        <v>0</v>
      </c>
      <c r="W1293" s="7">
        <f>IF(ActiveDatabase=Standby,Secondary!W1293,Primary!W1951)</f>
        <v>0</v>
      </c>
      <c r="X1293" s="7">
        <f>IF(ActiveDatabase=Standby,Secondary!X1293,Primary!X1951)</f>
        <v>0</v>
      </c>
      <c r="Y1293" s="7">
        <f>IF(ActiveDatabase=Standby,Secondary!Y1293,Primary!Y1951)</f>
        <v>0</v>
      </c>
      <c r="Z1293" s="7">
        <f>IF(ActiveDatabase=Standby,Secondary!Z1293,Primary!Z1951)</f>
        <v>0</v>
      </c>
      <c r="AA1293" s="7">
        <f>IF(ActiveDatabase=Standby,Secondary!AA1293,Primary!AA1951)</f>
        <v>0</v>
      </c>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7"/>
      <c r="AX1293" s="7"/>
      <c r="AY1293" s="7"/>
      <c r="AZ1293" s="7"/>
      <c r="BA1293" s="7"/>
      <c r="BB1293" s="7"/>
      <c r="BC1293" s="7"/>
      <c r="BD1293" s="7"/>
      <c r="BE1293" s="7"/>
      <c r="BF1293" s="7"/>
      <c r="BG1293" s="7"/>
    </row>
    <row r="1294" customHeight="1" spans="1:59">
      <c r="A1294" s="9">
        <f>IF(ActiveDatabase=Standby,Secondary!A1294,Primary!A1952)</f>
        <v>0</v>
      </c>
      <c r="B1294" s="5">
        <f>IF(ActiveDatabase=Standby,Secondary!B1294,Primary!B1952)</f>
        <v>0</v>
      </c>
      <c r="C1294" s="5">
        <f>IF(ActiveDatabase=Standby,Secondary!C1294,Primary!C1952)</f>
        <v>0</v>
      </c>
      <c r="D1294" s="5">
        <f>IF(ActiveDatabase=Standby,Secondary!D1294,Primary!D1952)</f>
        <v>0</v>
      </c>
      <c r="E1294" s="7">
        <f>IF(ActiveDatabase=Standby,Secondary!E1294,Primary!E1952)</f>
        <v>0</v>
      </c>
      <c r="F1294" s="8">
        <f>IF(ActiveDatabase=Standby,Secondary!F1294,Primary!F1952)</f>
        <v>0</v>
      </c>
      <c r="G1294" s="8">
        <f>IF(ActiveDatabase=Standby,Secondary!G1294,Primary!G1952)</f>
        <v>0</v>
      </c>
      <c r="H1294" s="8">
        <f>IF(ActiveDatabase=Standby,Secondary!H1294,Primary!H1952)</f>
        <v>0</v>
      </c>
      <c r="I1294" s="14">
        <f>IF(ActiveDatabase=Standby,Secondary!I1294,Primary!I1952)</f>
        <v>0</v>
      </c>
      <c r="J1294" s="14">
        <f>IF(ActiveDatabase=Standby,Secondary!J1294,Primary!J1952)</f>
        <v>0</v>
      </c>
      <c r="K1294" s="14">
        <f>IF(ActiveDatabase=Standby,Secondary!K1294,Primary!K1952)</f>
        <v>0</v>
      </c>
      <c r="L1294" s="14">
        <f>IF(ActiveDatabase=Standby,Secondary!L1294,Primary!L1952)</f>
        <v>0</v>
      </c>
      <c r="M1294" s="7">
        <f>IF(ActiveDatabase=Standby,Secondary!M1294,Primary!M1952)</f>
        <v>0</v>
      </c>
      <c r="N1294" s="8">
        <f>IF(ActiveDatabase=Standby,Secondary!N1294,Primary!N1952)</f>
        <v>0</v>
      </c>
      <c r="O1294" s="8">
        <f>IF(ActiveDatabase=Standby,Secondary!O1294,Primary!O1952)</f>
        <v>0</v>
      </c>
      <c r="P1294" s="8">
        <f>IF(ActiveDatabase=Standby,Secondary!P1294,Primary!P1952)</f>
        <v>0</v>
      </c>
      <c r="Q1294" s="7">
        <f>IF(ActiveDatabase=Standby,Secondary!Q1294,Primary!Q1952)</f>
        <v>0</v>
      </c>
      <c r="R1294" s="16">
        <f>IF(ActiveDatabase=Standby,Secondary!R1294,Primary!R1952)</f>
        <v>0</v>
      </c>
      <c r="S1294" s="17">
        <f>IF(ActiveDatabase=Standby,Secondary!S1294,Primary!S1952)</f>
        <v>0</v>
      </c>
      <c r="T1294" s="8">
        <f>IF(ActiveDatabase=Standby,Secondary!T1294,Primary!T1952)</f>
        <v>0</v>
      </c>
      <c r="U1294" s="8">
        <f>IF(ActiveDatabase=Standby,Secondary!U1294,Primary!U1952)</f>
        <v>0</v>
      </c>
      <c r="V1294" s="8">
        <f>IF(ActiveDatabase=Standby,Secondary!V1294,Primary!V1952)</f>
        <v>0</v>
      </c>
      <c r="W1294" s="7">
        <f>IF(ActiveDatabase=Standby,Secondary!W1294,Primary!W1952)</f>
        <v>0</v>
      </c>
      <c r="X1294" s="7">
        <f>IF(ActiveDatabase=Standby,Secondary!X1294,Primary!X1952)</f>
        <v>0</v>
      </c>
      <c r="Y1294" s="7">
        <f>IF(ActiveDatabase=Standby,Secondary!Y1294,Primary!Y1952)</f>
        <v>0</v>
      </c>
      <c r="Z1294" s="7">
        <f>IF(ActiveDatabase=Standby,Secondary!Z1294,Primary!Z1952)</f>
        <v>0</v>
      </c>
      <c r="AA1294" s="7">
        <f>IF(ActiveDatabase=Standby,Secondary!AA1294,Primary!AA1952)</f>
        <v>0</v>
      </c>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7"/>
      <c r="BD1294" s="7"/>
      <c r="BE1294" s="7"/>
      <c r="BF1294" s="7"/>
      <c r="BG1294" s="7"/>
    </row>
    <row r="1295" customHeight="1" spans="1:59">
      <c r="A1295" s="9">
        <f>IF(ActiveDatabase=Standby,Secondary!A1295,Primary!A1953)</f>
        <v>0</v>
      </c>
      <c r="B1295" s="5">
        <f>IF(ActiveDatabase=Standby,Secondary!B1295,Primary!B1953)</f>
        <v>0</v>
      </c>
      <c r="C1295" s="5">
        <f>IF(ActiveDatabase=Standby,Secondary!C1295,Primary!C1953)</f>
        <v>0</v>
      </c>
      <c r="D1295" s="5">
        <f>IF(ActiveDatabase=Standby,Secondary!D1295,Primary!D1953)</f>
        <v>0</v>
      </c>
      <c r="E1295" s="7">
        <f>IF(ActiveDatabase=Standby,Secondary!E1295,Primary!E1953)</f>
        <v>0</v>
      </c>
      <c r="F1295" s="8">
        <f>IF(ActiveDatabase=Standby,Secondary!F1295,Primary!F1953)</f>
        <v>0</v>
      </c>
      <c r="G1295" s="8">
        <f>IF(ActiveDatabase=Standby,Secondary!G1295,Primary!G1953)</f>
        <v>0</v>
      </c>
      <c r="H1295" s="8">
        <f>IF(ActiveDatabase=Standby,Secondary!H1295,Primary!H1953)</f>
        <v>0</v>
      </c>
      <c r="I1295" s="14">
        <f>IF(ActiveDatabase=Standby,Secondary!I1295,Primary!I1953)</f>
        <v>0</v>
      </c>
      <c r="J1295" s="14">
        <f>IF(ActiveDatabase=Standby,Secondary!J1295,Primary!J1953)</f>
        <v>0</v>
      </c>
      <c r="K1295" s="14">
        <f>IF(ActiveDatabase=Standby,Secondary!K1295,Primary!K1953)</f>
        <v>0</v>
      </c>
      <c r="L1295" s="14">
        <f>IF(ActiveDatabase=Standby,Secondary!L1295,Primary!L1953)</f>
        <v>0</v>
      </c>
      <c r="M1295" s="7">
        <f>IF(ActiveDatabase=Standby,Secondary!M1295,Primary!M1953)</f>
        <v>0</v>
      </c>
      <c r="N1295" s="8">
        <f>IF(ActiveDatabase=Standby,Secondary!N1295,Primary!N1953)</f>
        <v>0</v>
      </c>
      <c r="O1295" s="8">
        <f>IF(ActiveDatabase=Standby,Secondary!O1295,Primary!O1953)</f>
        <v>0</v>
      </c>
      <c r="P1295" s="8">
        <f>IF(ActiveDatabase=Standby,Secondary!P1295,Primary!P1953)</f>
        <v>0</v>
      </c>
      <c r="Q1295" s="7">
        <f>IF(ActiveDatabase=Standby,Secondary!Q1295,Primary!Q1953)</f>
        <v>0</v>
      </c>
      <c r="R1295" s="16">
        <f>IF(ActiveDatabase=Standby,Secondary!R1295,Primary!R1953)</f>
        <v>0</v>
      </c>
      <c r="S1295" s="17">
        <f>IF(ActiveDatabase=Standby,Secondary!S1295,Primary!S1953)</f>
        <v>0</v>
      </c>
      <c r="T1295" s="8">
        <f>IF(ActiveDatabase=Standby,Secondary!T1295,Primary!T1953)</f>
        <v>0</v>
      </c>
      <c r="U1295" s="8">
        <f>IF(ActiveDatabase=Standby,Secondary!U1295,Primary!U1953)</f>
        <v>0</v>
      </c>
      <c r="V1295" s="8">
        <f>IF(ActiveDatabase=Standby,Secondary!V1295,Primary!V1953)</f>
        <v>0</v>
      </c>
      <c r="W1295" s="7">
        <f>IF(ActiveDatabase=Standby,Secondary!W1295,Primary!W1953)</f>
        <v>0</v>
      </c>
      <c r="X1295" s="7">
        <f>IF(ActiveDatabase=Standby,Secondary!X1295,Primary!X1953)</f>
        <v>0</v>
      </c>
      <c r="Y1295" s="7">
        <f>IF(ActiveDatabase=Standby,Secondary!Y1295,Primary!Y1953)</f>
        <v>0</v>
      </c>
      <c r="Z1295" s="7">
        <f>IF(ActiveDatabase=Standby,Secondary!Z1295,Primary!Z1953)</f>
        <v>0</v>
      </c>
      <c r="AA1295" s="7">
        <f>IF(ActiveDatabase=Standby,Secondary!AA1295,Primary!AA1953)</f>
        <v>0</v>
      </c>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row>
    <row r="1296" customHeight="1" spans="1:59">
      <c r="A1296" s="9">
        <f>IF(ActiveDatabase=Standby,Secondary!A1296,Primary!A1954)</f>
        <v>0</v>
      </c>
      <c r="B1296" s="5">
        <f>IF(ActiveDatabase=Standby,Secondary!B1296,Primary!B1954)</f>
        <v>0</v>
      </c>
      <c r="C1296" s="5">
        <f>IF(ActiveDatabase=Standby,Secondary!C1296,Primary!C1954)</f>
        <v>0</v>
      </c>
      <c r="D1296" s="5">
        <f>IF(ActiveDatabase=Standby,Secondary!D1296,Primary!D1954)</f>
        <v>0</v>
      </c>
      <c r="E1296" s="7">
        <f>IF(ActiveDatabase=Standby,Secondary!E1296,Primary!E1954)</f>
        <v>0</v>
      </c>
      <c r="F1296" s="8">
        <f>IF(ActiveDatabase=Standby,Secondary!F1296,Primary!F1954)</f>
        <v>0</v>
      </c>
      <c r="G1296" s="8">
        <f>IF(ActiveDatabase=Standby,Secondary!G1296,Primary!G1954)</f>
        <v>0</v>
      </c>
      <c r="H1296" s="8">
        <f>IF(ActiveDatabase=Standby,Secondary!H1296,Primary!H1954)</f>
        <v>0</v>
      </c>
      <c r="I1296" s="14">
        <f>IF(ActiveDatabase=Standby,Secondary!I1296,Primary!I1954)</f>
        <v>0</v>
      </c>
      <c r="J1296" s="14">
        <f>IF(ActiveDatabase=Standby,Secondary!J1296,Primary!J1954)</f>
        <v>0</v>
      </c>
      <c r="K1296" s="14">
        <f>IF(ActiveDatabase=Standby,Secondary!K1296,Primary!K1954)</f>
        <v>0</v>
      </c>
      <c r="L1296" s="14">
        <f>IF(ActiveDatabase=Standby,Secondary!L1296,Primary!L1954)</f>
        <v>0</v>
      </c>
      <c r="M1296" s="7">
        <f>IF(ActiveDatabase=Standby,Secondary!M1296,Primary!M1954)</f>
        <v>0</v>
      </c>
      <c r="N1296" s="8">
        <f>IF(ActiveDatabase=Standby,Secondary!N1296,Primary!N1954)</f>
        <v>0</v>
      </c>
      <c r="O1296" s="8">
        <f>IF(ActiveDatabase=Standby,Secondary!O1296,Primary!O1954)</f>
        <v>0</v>
      </c>
      <c r="P1296" s="8">
        <f>IF(ActiveDatabase=Standby,Secondary!P1296,Primary!P1954)</f>
        <v>0</v>
      </c>
      <c r="Q1296" s="7">
        <f>IF(ActiveDatabase=Standby,Secondary!Q1296,Primary!Q1954)</f>
        <v>0</v>
      </c>
      <c r="R1296" s="16">
        <f>IF(ActiveDatabase=Standby,Secondary!R1296,Primary!R1954)</f>
        <v>0</v>
      </c>
      <c r="S1296" s="17">
        <f>IF(ActiveDatabase=Standby,Secondary!S1296,Primary!S1954)</f>
        <v>0</v>
      </c>
      <c r="T1296" s="8">
        <f>IF(ActiveDatabase=Standby,Secondary!T1296,Primary!T1954)</f>
        <v>0</v>
      </c>
      <c r="U1296" s="8">
        <f>IF(ActiveDatabase=Standby,Secondary!U1296,Primary!U1954)</f>
        <v>0</v>
      </c>
      <c r="V1296" s="8">
        <f>IF(ActiveDatabase=Standby,Secondary!V1296,Primary!V1954)</f>
        <v>0</v>
      </c>
      <c r="W1296" s="7">
        <f>IF(ActiveDatabase=Standby,Secondary!W1296,Primary!W1954)</f>
        <v>0</v>
      </c>
      <c r="X1296" s="7">
        <f>IF(ActiveDatabase=Standby,Secondary!X1296,Primary!X1954)</f>
        <v>0</v>
      </c>
      <c r="Y1296" s="7">
        <f>IF(ActiveDatabase=Standby,Secondary!Y1296,Primary!Y1954)</f>
        <v>0</v>
      </c>
      <c r="Z1296" s="7">
        <f>IF(ActiveDatabase=Standby,Secondary!Z1296,Primary!Z1954)</f>
        <v>0</v>
      </c>
      <c r="AA1296" s="7">
        <f>IF(ActiveDatabase=Standby,Secondary!AA1296,Primary!AA1954)</f>
        <v>0</v>
      </c>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7"/>
      <c r="AX1296" s="7"/>
      <c r="AY1296" s="7"/>
      <c r="AZ1296" s="7"/>
      <c r="BA1296" s="7"/>
      <c r="BB1296" s="7"/>
      <c r="BC1296" s="7"/>
      <c r="BD1296" s="7"/>
      <c r="BE1296" s="7"/>
      <c r="BF1296" s="7"/>
      <c r="BG1296" s="7"/>
    </row>
    <row r="1297" customHeight="1" spans="1:59">
      <c r="A1297" s="9">
        <f>IF(ActiveDatabase=Standby,Secondary!A1297,Primary!A1955)</f>
        <v>0</v>
      </c>
      <c r="B1297" s="5">
        <f>IF(ActiveDatabase=Standby,Secondary!B1297,Primary!B1955)</f>
        <v>0</v>
      </c>
      <c r="C1297" s="5">
        <f>IF(ActiveDatabase=Standby,Secondary!C1297,Primary!C1955)</f>
        <v>0</v>
      </c>
      <c r="D1297" s="5">
        <f>IF(ActiveDatabase=Standby,Secondary!D1297,Primary!D1955)</f>
        <v>0</v>
      </c>
      <c r="E1297" s="7">
        <f>IF(ActiveDatabase=Standby,Secondary!E1297,Primary!E1955)</f>
        <v>0</v>
      </c>
      <c r="F1297" s="8">
        <f>IF(ActiveDatabase=Standby,Secondary!F1297,Primary!F1955)</f>
        <v>0</v>
      </c>
      <c r="G1297" s="8">
        <f>IF(ActiveDatabase=Standby,Secondary!G1297,Primary!G1955)</f>
        <v>0</v>
      </c>
      <c r="H1297" s="8">
        <f>IF(ActiveDatabase=Standby,Secondary!H1297,Primary!H1955)</f>
        <v>0</v>
      </c>
      <c r="I1297" s="14">
        <f>IF(ActiveDatabase=Standby,Secondary!I1297,Primary!I1955)</f>
        <v>0</v>
      </c>
      <c r="J1297" s="14">
        <f>IF(ActiveDatabase=Standby,Secondary!J1297,Primary!J1955)</f>
        <v>0</v>
      </c>
      <c r="K1297" s="14">
        <f>IF(ActiveDatabase=Standby,Secondary!K1297,Primary!K1955)</f>
        <v>0</v>
      </c>
      <c r="L1297" s="14">
        <f>IF(ActiveDatabase=Standby,Secondary!L1297,Primary!L1955)</f>
        <v>0</v>
      </c>
      <c r="M1297" s="7">
        <f>IF(ActiveDatabase=Standby,Secondary!M1297,Primary!M1955)</f>
        <v>0</v>
      </c>
      <c r="N1297" s="8">
        <f>IF(ActiveDatabase=Standby,Secondary!N1297,Primary!N1955)</f>
        <v>0</v>
      </c>
      <c r="O1297" s="8">
        <f>IF(ActiveDatabase=Standby,Secondary!O1297,Primary!O1955)</f>
        <v>0</v>
      </c>
      <c r="P1297" s="8">
        <f>IF(ActiveDatabase=Standby,Secondary!P1297,Primary!P1955)</f>
        <v>0</v>
      </c>
      <c r="Q1297" s="7">
        <f>IF(ActiveDatabase=Standby,Secondary!Q1297,Primary!Q1955)</f>
        <v>0</v>
      </c>
      <c r="R1297" s="16">
        <f>IF(ActiveDatabase=Standby,Secondary!R1297,Primary!R1955)</f>
        <v>0</v>
      </c>
      <c r="S1297" s="17">
        <f>IF(ActiveDatabase=Standby,Secondary!S1297,Primary!S1955)</f>
        <v>0</v>
      </c>
      <c r="T1297" s="8">
        <f>IF(ActiveDatabase=Standby,Secondary!T1297,Primary!T1955)</f>
        <v>0</v>
      </c>
      <c r="U1297" s="8">
        <f>IF(ActiveDatabase=Standby,Secondary!U1297,Primary!U1955)</f>
        <v>0</v>
      </c>
      <c r="V1297" s="8">
        <f>IF(ActiveDatabase=Standby,Secondary!V1297,Primary!V1955)</f>
        <v>0</v>
      </c>
      <c r="W1297" s="7">
        <f>IF(ActiveDatabase=Standby,Secondary!W1297,Primary!W1955)</f>
        <v>0</v>
      </c>
      <c r="X1297" s="7">
        <f>IF(ActiveDatabase=Standby,Secondary!X1297,Primary!X1955)</f>
        <v>0</v>
      </c>
      <c r="Y1297" s="7">
        <f>IF(ActiveDatabase=Standby,Secondary!Y1297,Primary!Y1955)</f>
        <v>0</v>
      </c>
      <c r="Z1297" s="7">
        <f>IF(ActiveDatabase=Standby,Secondary!Z1297,Primary!Z1955)</f>
        <v>0</v>
      </c>
      <c r="AA1297" s="7">
        <f>IF(ActiveDatabase=Standby,Secondary!AA1297,Primary!AA1955)</f>
        <v>0</v>
      </c>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row>
    <row r="1298" customHeight="1" spans="1:59">
      <c r="A1298" s="9">
        <f>IF(ActiveDatabase=Standby,Secondary!A1298,Primary!A1956)</f>
        <v>0</v>
      </c>
      <c r="B1298" s="5">
        <f>IF(ActiveDatabase=Standby,Secondary!B1298,Primary!B1956)</f>
        <v>0</v>
      </c>
      <c r="C1298" s="5">
        <f>IF(ActiveDatabase=Standby,Secondary!C1298,Primary!C1956)</f>
        <v>0</v>
      </c>
      <c r="D1298" s="5">
        <f>IF(ActiveDatabase=Standby,Secondary!D1298,Primary!D1956)</f>
        <v>0</v>
      </c>
      <c r="E1298" s="7">
        <f>IF(ActiveDatabase=Standby,Secondary!E1298,Primary!E1956)</f>
        <v>0</v>
      </c>
      <c r="F1298" s="8">
        <f>IF(ActiveDatabase=Standby,Secondary!F1298,Primary!F1956)</f>
        <v>0</v>
      </c>
      <c r="G1298" s="8">
        <f>IF(ActiveDatabase=Standby,Secondary!G1298,Primary!G1956)</f>
        <v>0</v>
      </c>
      <c r="H1298" s="8">
        <f>IF(ActiveDatabase=Standby,Secondary!H1298,Primary!H1956)</f>
        <v>0</v>
      </c>
      <c r="I1298" s="14">
        <f>IF(ActiveDatabase=Standby,Secondary!I1298,Primary!I1956)</f>
        <v>0</v>
      </c>
      <c r="J1298" s="14">
        <f>IF(ActiveDatabase=Standby,Secondary!J1298,Primary!J1956)</f>
        <v>0</v>
      </c>
      <c r="K1298" s="14">
        <f>IF(ActiveDatabase=Standby,Secondary!K1298,Primary!K1956)</f>
        <v>0</v>
      </c>
      <c r="L1298" s="14">
        <f>IF(ActiveDatabase=Standby,Secondary!L1298,Primary!L1956)</f>
        <v>0</v>
      </c>
      <c r="M1298" s="7">
        <f>IF(ActiveDatabase=Standby,Secondary!M1298,Primary!M1956)</f>
        <v>0</v>
      </c>
      <c r="N1298" s="8">
        <f>IF(ActiveDatabase=Standby,Secondary!N1298,Primary!N1956)</f>
        <v>0</v>
      </c>
      <c r="O1298" s="8">
        <f>IF(ActiveDatabase=Standby,Secondary!O1298,Primary!O1956)</f>
        <v>0</v>
      </c>
      <c r="P1298" s="8">
        <f>IF(ActiveDatabase=Standby,Secondary!P1298,Primary!P1956)</f>
        <v>0</v>
      </c>
      <c r="Q1298" s="7">
        <f>IF(ActiveDatabase=Standby,Secondary!Q1298,Primary!Q1956)</f>
        <v>0</v>
      </c>
      <c r="R1298" s="16">
        <f>IF(ActiveDatabase=Standby,Secondary!R1298,Primary!R1956)</f>
        <v>0</v>
      </c>
      <c r="S1298" s="17">
        <f>IF(ActiveDatabase=Standby,Secondary!S1298,Primary!S1956)</f>
        <v>0</v>
      </c>
      <c r="T1298" s="8">
        <f>IF(ActiveDatabase=Standby,Secondary!T1298,Primary!T1956)</f>
        <v>0</v>
      </c>
      <c r="U1298" s="8">
        <f>IF(ActiveDatabase=Standby,Secondary!U1298,Primary!U1956)</f>
        <v>0</v>
      </c>
      <c r="V1298" s="8">
        <f>IF(ActiveDatabase=Standby,Secondary!V1298,Primary!V1956)</f>
        <v>0</v>
      </c>
      <c r="W1298" s="7">
        <f>IF(ActiveDatabase=Standby,Secondary!W1298,Primary!W1956)</f>
        <v>0</v>
      </c>
      <c r="X1298" s="7">
        <f>IF(ActiveDatabase=Standby,Secondary!X1298,Primary!X1956)</f>
        <v>0</v>
      </c>
      <c r="Y1298" s="7">
        <f>IF(ActiveDatabase=Standby,Secondary!Y1298,Primary!Y1956)</f>
        <v>0</v>
      </c>
      <c r="Z1298" s="7">
        <f>IF(ActiveDatabase=Standby,Secondary!Z1298,Primary!Z1956)</f>
        <v>0</v>
      </c>
      <c r="AA1298" s="7">
        <f>IF(ActiveDatabase=Standby,Secondary!AA1298,Primary!AA1956)</f>
        <v>0</v>
      </c>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row>
    <row r="1299" customHeight="1" spans="1:59">
      <c r="A1299" s="9">
        <f>IF(ActiveDatabase=Standby,Secondary!A1299,Primary!A1957)</f>
        <v>0</v>
      </c>
      <c r="B1299" s="5">
        <f>IF(ActiveDatabase=Standby,Secondary!B1299,Primary!B1957)</f>
        <v>0</v>
      </c>
      <c r="C1299" s="5">
        <f>IF(ActiveDatabase=Standby,Secondary!C1299,Primary!C1957)</f>
        <v>0</v>
      </c>
      <c r="D1299" s="5">
        <f>IF(ActiveDatabase=Standby,Secondary!D1299,Primary!D1957)</f>
        <v>0</v>
      </c>
      <c r="E1299" s="7">
        <f>IF(ActiveDatabase=Standby,Secondary!E1299,Primary!E1957)</f>
        <v>0</v>
      </c>
      <c r="F1299" s="8">
        <f>IF(ActiveDatabase=Standby,Secondary!F1299,Primary!F1957)</f>
        <v>0</v>
      </c>
      <c r="G1299" s="8">
        <f>IF(ActiveDatabase=Standby,Secondary!G1299,Primary!G1957)</f>
        <v>0</v>
      </c>
      <c r="H1299" s="8">
        <f>IF(ActiveDatabase=Standby,Secondary!H1299,Primary!H1957)</f>
        <v>0</v>
      </c>
      <c r="I1299" s="14">
        <f>IF(ActiveDatabase=Standby,Secondary!I1299,Primary!I1957)</f>
        <v>0</v>
      </c>
      <c r="J1299" s="14">
        <f>IF(ActiveDatabase=Standby,Secondary!J1299,Primary!J1957)</f>
        <v>0</v>
      </c>
      <c r="K1299" s="14">
        <f>IF(ActiveDatabase=Standby,Secondary!K1299,Primary!K1957)</f>
        <v>0</v>
      </c>
      <c r="L1299" s="14">
        <f>IF(ActiveDatabase=Standby,Secondary!L1299,Primary!L1957)</f>
        <v>0</v>
      </c>
      <c r="M1299" s="7">
        <f>IF(ActiveDatabase=Standby,Secondary!M1299,Primary!M1957)</f>
        <v>0</v>
      </c>
      <c r="N1299" s="8">
        <f>IF(ActiveDatabase=Standby,Secondary!N1299,Primary!N1957)</f>
        <v>0</v>
      </c>
      <c r="O1299" s="8">
        <f>IF(ActiveDatabase=Standby,Secondary!O1299,Primary!O1957)</f>
        <v>0</v>
      </c>
      <c r="P1299" s="8">
        <f>IF(ActiveDatabase=Standby,Secondary!P1299,Primary!P1957)</f>
        <v>0</v>
      </c>
      <c r="Q1299" s="7">
        <f>IF(ActiveDatabase=Standby,Secondary!Q1299,Primary!Q1957)</f>
        <v>0</v>
      </c>
      <c r="R1299" s="16">
        <f>IF(ActiveDatabase=Standby,Secondary!R1299,Primary!R1957)</f>
        <v>0</v>
      </c>
      <c r="S1299" s="17">
        <f>IF(ActiveDatabase=Standby,Secondary!S1299,Primary!S1957)</f>
        <v>0</v>
      </c>
      <c r="T1299" s="8">
        <f>IF(ActiveDatabase=Standby,Secondary!T1299,Primary!T1957)</f>
        <v>0</v>
      </c>
      <c r="U1299" s="8">
        <f>IF(ActiveDatabase=Standby,Secondary!U1299,Primary!U1957)</f>
        <v>0</v>
      </c>
      <c r="V1299" s="8">
        <f>IF(ActiveDatabase=Standby,Secondary!V1299,Primary!V1957)</f>
        <v>0</v>
      </c>
      <c r="W1299" s="7">
        <f>IF(ActiveDatabase=Standby,Secondary!W1299,Primary!W1957)</f>
        <v>0</v>
      </c>
      <c r="X1299" s="7">
        <f>IF(ActiveDatabase=Standby,Secondary!X1299,Primary!X1957)</f>
        <v>0</v>
      </c>
      <c r="Y1299" s="7">
        <f>IF(ActiveDatabase=Standby,Secondary!Y1299,Primary!Y1957)</f>
        <v>0</v>
      </c>
      <c r="Z1299" s="7">
        <f>IF(ActiveDatabase=Standby,Secondary!Z1299,Primary!Z1957)</f>
        <v>0</v>
      </c>
      <c r="AA1299" s="7">
        <f>IF(ActiveDatabase=Standby,Secondary!AA1299,Primary!AA1957)</f>
        <v>0</v>
      </c>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row>
    <row r="1300" customHeight="1" spans="1:59">
      <c r="A1300" s="9">
        <f>IF(ActiveDatabase=Standby,Secondary!A1300,Primary!A1958)</f>
        <v>0</v>
      </c>
      <c r="B1300" s="5">
        <f>IF(ActiveDatabase=Standby,Secondary!B1300,Primary!B1958)</f>
        <v>0</v>
      </c>
      <c r="C1300" s="5">
        <f>IF(ActiveDatabase=Standby,Secondary!C1300,Primary!C1958)</f>
        <v>0</v>
      </c>
      <c r="D1300" s="5">
        <f>IF(ActiveDatabase=Standby,Secondary!D1300,Primary!D1958)</f>
        <v>0</v>
      </c>
      <c r="E1300" s="7">
        <f>IF(ActiveDatabase=Standby,Secondary!E1300,Primary!E1958)</f>
        <v>0</v>
      </c>
      <c r="F1300" s="8">
        <f>IF(ActiveDatabase=Standby,Secondary!F1300,Primary!F1958)</f>
        <v>0</v>
      </c>
      <c r="G1300" s="8">
        <f>IF(ActiveDatabase=Standby,Secondary!G1300,Primary!G1958)</f>
        <v>0</v>
      </c>
      <c r="H1300" s="8">
        <f>IF(ActiveDatabase=Standby,Secondary!H1300,Primary!H1958)</f>
        <v>0</v>
      </c>
      <c r="I1300" s="14">
        <f>IF(ActiveDatabase=Standby,Secondary!I1300,Primary!I1958)</f>
        <v>0</v>
      </c>
      <c r="J1300" s="14">
        <f>IF(ActiveDatabase=Standby,Secondary!J1300,Primary!J1958)</f>
        <v>0</v>
      </c>
      <c r="K1300" s="14">
        <f>IF(ActiveDatabase=Standby,Secondary!K1300,Primary!K1958)</f>
        <v>0</v>
      </c>
      <c r="L1300" s="14">
        <f>IF(ActiveDatabase=Standby,Secondary!L1300,Primary!L1958)</f>
        <v>0</v>
      </c>
      <c r="M1300" s="7">
        <f>IF(ActiveDatabase=Standby,Secondary!M1300,Primary!M1958)</f>
        <v>0</v>
      </c>
      <c r="N1300" s="8">
        <f>IF(ActiveDatabase=Standby,Secondary!N1300,Primary!N1958)</f>
        <v>0</v>
      </c>
      <c r="O1300" s="8">
        <f>IF(ActiveDatabase=Standby,Secondary!O1300,Primary!O1958)</f>
        <v>0</v>
      </c>
      <c r="P1300" s="8">
        <f>IF(ActiveDatabase=Standby,Secondary!P1300,Primary!P1958)</f>
        <v>0</v>
      </c>
      <c r="Q1300" s="7">
        <f>IF(ActiveDatabase=Standby,Secondary!Q1300,Primary!Q1958)</f>
        <v>0</v>
      </c>
      <c r="R1300" s="16">
        <f>IF(ActiveDatabase=Standby,Secondary!R1300,Primary!R1958)</f>
        <v>0</v>
      </c>
      <c r="S1300" s="17">
        <f>IF(ActiveDatabase=Standby,Secondary!S1300,Primary!S1958)</f>
        <v>0</v>
      </c>
      <c r="T1300" s="8">
        <f>IF(ActiveDatabase=Standby,Secondary!T1300,Primary!T1958)</f>
        <v>0</v>
      </c>
      <c r="U1300" s="8">
        <f>IF(ActiveDatabase=Standby,Secondary!U1300,Primary!U1958)</f>
        <v>0</v>
      </c>
      <c r="V1300" s="8">
        <f>IF(ActiveDatabase=Standby,Secondary!V1300,Primary!V1958)</f>
        <v>0</v>
      </c>
      <c r="W1300" s="7">
        <f>IF(ActiveDatabase=Standby,Secondary!W1300,Primary!W1958)</f>
        <v>0</v>
      </c>
      <c r="X1300" s="7">
        <f>IF(ActiveDatabase=Standby,Secondary!X1300,Primary!X1958)</f>
        <v>0</v>
      </c>
      <c r="Y1300" s="7">
        <f>IF(ActiveDatabase=Standby,Secondary!Y1300,Primary!Y1958)</f>
        <v>0</v>
      </c>
      <c r="Z1300" s="7">
        <f>IF(ActiveDatabase=Standby,Secondary!Z1300,Primary!Z1958)</f>
        <v>0</v>
      </c>
      <c r="AA1300" s="7">
        <f>IF(ActiveDatabase=Standby,Secondary!AA1300,Primary!AA1958)</f>
        <v>0</v>
      </c>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7"/>
      <c r="BD1300" s="7"/>
      <c r="BE1300" s="7"/>
      <c r="BF1300" s="7"/>
      <c r="BG1300" s="7"/>
    </row>
    <row r="1301" customHeight="1" spans="1:59">
      <c r="A1301" s="9">
        <f>IF(ActiveDatabase=Standby,Secondary!A1301,Primary!A1959)</f>
        <v>0</v>
      </c>
      <c r="B1301" s="5">
        <f>IF(ActiveDatabase=Standby,Secondary!B1301,Primary!B1959)</f>
        <v>0</v>
      </c>
      <c r="C1301" s="5">
        <f>IF(ActiveDatabase=Standby,Secondary!C1301,Primary!C1959)</f>
        <v>0</v>
      </c>
      <c r="D1301" s="5">
        <f>IF(ActiveDatabase=Standby,Secondary!D1301,Primary!D1959)</f>
        <v>0</v>
      </c>
      <c r="E1301" s="7">
        <f>IF(ActiveDatabase=Standby,Secondary!E1301,Primary!E1959)</f>
        <v>0</v>
      </c>
      <c r="F1301" s="8">
        <f>IF(ActiveDatabase=Standby,Secondary!F1301,Primary!F1959)</f>
        <v>0</v>
      </c>
      <c r="G1301" s="8">
        <f>IF(ActiveDatabase=Standby,Secondary!G1301,Primary!G1959)</f>
        <v>0</v>
      </c>
      <c r="H1301" s="8">
        <f>IF(ActiveDatabase=Standby,Secondary!H1301,Primary!H1959)</f>
        <v>0</v>
      </c>
      <c r="I1301" s="14">
        <f>IF(ActiveDatabase=Standby,Secondary!I1301,Primary!I1959)</f>
        <v>0</v>
      </c>
      <c r="J1301" s="14">
        <f>IF(ActiveDatabase=Standby,Secondary!J1301,Primary!J1959)</f>
        <v>0</v>
      </c>
      <c r="K1301" s="14">
        <f>IF(ActiveDatabase=Standby,Secondary!K1301,Primary!K1959)</f>
        <v>0</v>
      </c>
      <c r="L1301" s="14">
        <f>IF(ActiveDatabase=Standby,Secondary!L1301,Primary!L1959)</f>
        <v>0</v>
      </c>
      <c r="M1301" s="7">
        <f>IF(ActiveDatabase=Standby,Secondary!M1301,Primary!M1959)</f>
        <v>0</v>
      </c>
      <c r="N1301" s="8">
        <f>IF(ActiveDatabase=Standby,Secondary!N1301,Primary!N1959)</f>
        <v>0</v>
      </c>
      <c r="O1301" s="8">
        <f>IF(ActiveDatabase=Standby,Secondary!O1301,Primary!O1959)</f>
        <v>0</v>
      </c>
      <c r="P1301" s="8">
        <f>IF(ActiveDatabase=Standby,Secondary!P1301,Primary!P1959)</f>
        <v>0</v>
      </c>
      <c r="Q1301" s="7">
        <f>IF(ActiveDatabase=Standby,Secondary!Q1301,Primary!Q1959)</f>
        <v>0</v>
      </c>
      <c r="R1301" s="16">
        <f>IF(ActiveDatabase=Standby,Secondary!R1301,Primary!R1959)</f>
        <v>0</v>
      </c>
      <c r="S1301" s="17">
        <f>IF(ActiveDatabase=Standby,Secondary!S1301,Primary!S1959)</f>
        <v>0</v>
      </c>
      <c r="T1301" s="8">
        <f>IF(ActiveDatabase=Standby,Secondary!T1301,Primary!T1959)</f>
        <v>0</v>
      </c>
      <c r="U1301" s="8">
        <f>IF(ActiveDatabase=Standby,Secondary!U1301,Primary!U1959)</f>
        <v>0</v>
      </c>
      <c r="V1301" s="8">
        <f>IF(ActiveDatabase=Standby,Secondary!V1301,Primary!V1959)</f>
        <v>0</v>
      </c>
      <c r="W1301" s="7">
        <f>IF(ActiveDatabase=Standby,Secondary!W1301,Primary!W1959)</f>
        <v>0</v>
      </c>
      <c r="X1301" s="7">
        <f>IF(ActiveDatabase=Standby,Secondary!X1301,Primary!X1959)</f>
        <v>0</v>
      </c>
      <c r="Y1301" s="7">
        <f>IF(ActiveDatabase=Standby,Secondary!Y1301,Primary!Y1959)</f>
        <v>0</v>
      </c>
      <c r="Z1301" s="7">
        <f>IF(ActiveDatabase=Standby,Secondary!Z1301,Primary!Z1959)</f>
        <v>0</v>
      </c>
      <c r="AA1301" s="7">
        <f>IF(ActiveDatabase=Standby,Secondary!AA1301,Primary!AA1959)</f>
        <v>0</v>
      </c>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7"/>
      <c r="BD1301" s="7"/>
      <c r="BE1301" s="7"/>
      <c r="BF1301" s="7"/>
      <c r="BG1301" s="7"/>
    </row>
    <row r="1302" customHeight="1" spans="1:59">
      <c r="A1302" s="9">
        <f>IF(ActiveDatabase=Standby,Secondary!A1302,Primary!A1960)</f>
        <v>0</v>
      </c>
      <c r="B1302" s="5">
        <f>IF(ActiveDatabase=Standby,Secondary!B1302,Primary!B1960)</f>
        <v>0</v>
      </c>
      <c r="C1302" s="5">
        <f>IF(ActiveDatabase=Standby,Secondary!C1302,Primary!C1960)</f>
        <v>0</v>
      </c>
      <c r="D1302" s="5">
        <f>IF(ActiveDatabase=Standby,Secondary!D1302,Primary!D1960)</f>
        <v>0</v>
      </c>
      <c r="E1302" s="7">
        <f>IF(ActiveDatabase=Standby,Secondary!E1302,Primary!E1960)</f>
        <v>0</v>
      </c>
      <c r="F1302" s="8">
        <f>IF(ActiveDatabase=Standby,Secondary!F1302,Primary!F1960)</f>
        <v>0</v>
      </c>
      <c r="G1302" s="8">
        <f>IF(ActiveDatabase=Standby,Secondary!G1302,Primary!G1960)</f>
        <v>0</v>
      </c>
      <c r="H1302" s="8">
        <f>IF(ActiveDatabase=Standby,Secondary!H1302,Primary!H1960)</f>
        <v>0</v>
      </c>
      <c r="I1302" s="14">
        <f>IF(ActiveDatabase=Standby,Secondary!I1302,Primary!I1960)</f>
        <v>0</v>
      </c>
      <c r="J1302" s="14">
        <f>IF(ActiveDatabase=Standby,Secondary!J1302,Primary!J1960)</f>
        <v>0</v>
      </c>
      <c r="K1302" s="14">
        <f>IF(ActiveDatabase=Standby,Secondary!K1302,Primary!K1960)</f>
        <v>0</v>
      </c>
      <c r="L1302" s="14">
        <f>IF(ActiveDatabase=Standby,Secondary!L1302,Primary!L1960)</f>
        <v>0</v>
      </c>
      <c r="M1302" s="7">
        <f>IF(ActiveDatabase=Standby,Secondary!M1302,Primary!M1960)</f>
        <v>0</v>
      </c>
      <c r="N1302" s="8">
        <f>IF(ActiveDatabase=Standby,Secondary!N1302,Primary!N1960)</f>
        <v>0</v>
      </c>
      <c r="O1302" s="8">
        <f>IF(ActiveDatabase=Standby,Secondary!O1302,Primary!O1960)</f>
        <v>0</v>
      </c>
      <c r="P1302" s="8">
        <f>IF(ActiveDatabase=Standby,Secondary!P1302,Primary!P1960)</f>
        <v>0</v>
      </c>
      <c r="Q1302" s="7">
        <f>IF(ActiveDatabase=Standby,Secondary!Q1302,Primary!Q1960)</f>
        <v>0</v>
      </c>
      <c r="R1302" s="16">
        <f>IF(ActiveDatabase=Standby,Secondary!R1302,Primary!R1960)</f>
        <v>0</v>
      </c>
      <c r="S1302" s="17">
        <f>IF(ActiveDatabase=Standby,Secondary!S1302,Primary!S1960)</f>
        <v>0</v>
      </c>
      <c r="T1302" s="8">
        <f>IF(ActiveDatabase=Standby,Secondary!T1302,Primary!T1960)</f>
        <v>0</v>
      </c>
      <c r="U1302" s="8">
        <f>IF(ActiveDatabase=Standby,Secondary!U1302,Primary!U1960)</f>
        <v>0</v>
      </c>
      <c r="V1302" s="8">
        <f>IF(ActiveDatabase=Standby,Secondary!V1302,Primary!V1960)</f>
        <v>0</v>
      </c>
      <c r="W1302" s="7">
        <f>IF(ActiveDatabase=Standby,Secondary!W1302,Primary!W1960)</f>
        <v>0</v>
      </c>
      <c r="X1302" s="7">
        <f>IF(ActiveDatabase=Standby,Secondary!X1302,Primary!X1960)</f>
        <v>0</v>
      </c>
      <c r="Y1302" s="7">
        <f>IF(ActiveDatabase=Standby,Secondary!Y1302,Primary!Y1960)</f>
        <v>0</v>
      </c>
      <c r="Z1302" s="7">
        <f>IF(ActiveDatabase=Standby,Secondary!Z1302,Primary!Z1960)</f>
        <v>0</v>
      </c>
      <c r="AA1302" s="7">
        <f>IF(ActiveDatabase=Standby,Secondary!AA1302,Primary!AA1960)</f>
        <v>0</v>
      </c>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row>
    <row r="1303" customHeight="1" spans="1:59">
      <c r="A1303" s="9">
        <f>IF(ActiveDatabase=Standby,Secondary!A1303,Primary!A1961)</f>
        <v>0</v>
      </c>
      <c r="B1303" s="5">
        <f>IF(ActiveDatabase=Standby,Secondary!B1303,Primary!B1961)</f>
        <v>0</v>
      </c>
      <c r="C1303" s="5">
        <f>IF(ActiveDatabase=Standby,Secondary!C1303,Primary!C1961)</f>
        <v>0</v>
      </c>
      <c r="D1303" s="5">
        <f>IF(ActiveDatabase=Standby,Secondary!D1303,Primary!D1961)</f>
        <v>0</v>
      </c>
      <c r="E1303" s="7">
        <f>IF(ActiveDatabase=Standby,Secondary!E1303,Primary!E1961)</f>
        <v>0</v>
      </c>
      <c r="F1303" s="8">
        <f>IF(ActiveDatabase=Standby,Secondary!F1303,Primary!F1961)</f>
        <v>0</v>
      </c>
      <c r="G1303" s="8">
        <f>IF(ActiveDatabase=Standby,Secondary!G1303,Primary!G1961)</f>
        <v>0</v>
      </c>
      <c r="H1303" s="8">
        <f>IF(ActiveDatabase=Standby,Secondary!H1303,Primary!H1961)</f>
        <v>0</v>
      </c>
      <c r="I1303" s="14">
        <f>IF(ActiveDatabase=Standby,Secondary!I1303,Primary!I1961)</f>
        <v>0</v>
      </c>
      <c r="J1303" s="14">
        <f>IF(ActiveDatabase=Standby,Secondary!J1303,Primary!J1961)</f>
        <v>0</v>
      </c>
      <c r="K1303" s="14">
        <f>IF(ActiveDatabase=Standby,Secondary!K1303,Primary!K1961)</f>
        <v>0</v>
      </c>
      <c r="L1303" s="14">
        <f>IF(ActiveDatabase=Standby,Secondary!L1303,Primary!L1961)</f>
        <v>0</v>
      </c>
      <c r="M1303" s="7">
        <f>IF(ActiveDatabase=Standby,Secondary!M1303,Primary!M1961)</f>
        <v>0</v>
      </c>
      <c r="N1303" s="8">
        <f>IF(ActiveDatabase=Standby,Secondary!N1303,Primary!N1961)</f>
        <v>0</v>
      </c>
      <c r="O1303" s="8">
        <f>IF(ActiveDatabase=Standby,Secondary!O1303,Primary!O1961)</f>
        <v>0</v>
      </c>
      <c r="P1303" s="8">
        <f>IF(ActiveDatabase=Standby,Secondary!P1303,Primary!P1961)</f>
        <v>0</v>
      </c>
      <c r="Q1303" s="7">
        <f>IF(ActiveDatabase=Standby,Secondary!Q1303,Primary!Q1961)</f>
        <v>0</v>
      </c>
      <c r="R1303" s="16">
        <f>IF(ActiveDatabase=Standby,Secondary!R1303,Primary!R1961)</f>
        <v>0</v>
      </c>
      <c r="S1303" s="17">
        <f>IF(ActiveDatabase=Standby,Secondary!S1303,Primary!S1961)</f>
        <v>0</v>
      </c>
      <c r="T1303" s="8">
        <f>IF(ActiveDatabase=Standby,Secondary!T1303,Primary!T1961)</f>
        <v>0</v>
      </c>
      <c r="U1303" s="8">
        <f>IF(ActiveDatabase=Standby,Secondary!U1303,Primary!U1961)</f>
        <v>0</v>
      </c>
      <c r="V1303" s="8">
        <f>IF(ActiveDatabase=Standby,Secondary!V1303,Primary!V1961)</f>
        <v>0</v>
      </c>
      <c r="W1303" s="7">
        <f>IF(ActiveDatabase=Standby,Secondary!W1303,Primary!W1961)</f>
        <v>0</v>
      </c>
      <c r="X1303" s="7">
        <f>IF(ActiveDatabase=Standby,Secondary!X1303,Primary!X1961)</f>
        <v>0</v>
      </c>
      <c r="Y1303" s="7">
        <f>IF(ActiveDatabase=Standby,Secondary!Y1303,Primary!Y1961)</f>
        <v>0</v>
      </c>
      <c r="Z1303" s="7">
        <f>IF(ActiveDatabase=Standby,Secondary!Z1303,Primary!Z1961)</f>
        <v>0</v>
      </c>
      <c r="AA1303" s="7">
        <f>IF(ActiveDatabase=Standby,Secondary!AA1303,Primary!AA1961)</f>
        <v>0</v>
      </c>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7"/>
      <c r="BD1303" s="7"/>
      <c r="BE1303" s="7"/>
      <c r="BF1303" s="7"/>
      <c r="BG1303" s="7"/>
    </row>
    <row r="1304" customHeight="1" spans="1:59">
      <c r="A1304" s="9">
        <f>IF(ActiveDatabase=Standby,Secondary!A1304,Primary!A1962)</f>
        <v>0</v>
      </c>
      <c r="B1304" s="5">
        <f>IF(ActiveDatabase=Standby,Secondary!B1304,Primary!B1962)</f>
        <v>0</v>
      </c>
      <c r="C1304" s="5">
        <f>IF(ActiveDatabase=Standby,Secondary!C1304,Primary!C1962)</f>
        <v>0</v>
      </c>
      <c r="D1304" s="5">
        <f>IF(ActiveDatabase=Standby,Secondary!D1304,Primary!D1962)</f>
        <v>0</v>
      </c>
      <c r="E1304" s="7">
        <f>IF(ActiveDatabase=Standby,Secondary!E1304,Primary!E1962)</f>
        <v>0</v>
      </c>
      <c r="F1304" s="8">
        <f>IF(ActiveDatabase=Standby,Secondary!F1304,Primary!F1962)</f>
        <v>0</v>
      </c>
      <c r="G1304" s="8">
        <f>IF(ActiveDatabase=Standby,Secondary!G1304,Primary!G1962)</f>
        <v>0</v>
      </c>
      <c r="H1304" s="8">
        <f>IF(ActiveDatabase=Standby,Secondary!H1304,Primary!H1962)</f>
        <v>0</v>
      </c>
      <c r="I1304" s="14">
        <f>IF(ActiveDatabase=Standby,Secondary!I1304,Primary!I1962)</f>
        <v>0</v>
      </c>
      <c r="J1304" s="14">
        <f>IF(ActiveDatabase=Standby,Secondary!J1304,Primary!J1962)</f>
        <v>0</v>
      </c>
      <c r="K1304" s="14">
        <f>IF(ActiveDatabase=Standby,Secondary!K1304,Primary!K1962)</f>
        <v>0</v>
      </c>
      <c r="L1304" s="14">
        <f>IF(ActiveDatabase=Standby,Secondary!L1304,Primary!L1962)</f>
        <v>0</v>
      </c>
      <c r="M1304" s="7">
        <f>IF(ActiveDatabase=Standby,Secondary!M1304,Primary!M1962)</f>
        <v>0</v>
      </c>
      <c r="N1304" s="8">
        <f>IF(ActiveDatabase=Standby,Secondary!N1304,Primary!N1962)</f>
        <v>0</v>
      </c>
      <c r="O1304" s="8">
        <f>IF(ActiveDatabase=Standby,Secondary!O1304,Primary!O1962)</f>
        <v>0</v>
      </c>
      <c r="P1304" s="8">
        <f>IF(ActiveDatabase=Standby,Secondary!P1304,Primary!P1962)</f>
        <v>0</v>
      </c>
      <c r="Q1304" s="7">
        <f>IF(ActiveDatabase=Standby,Secondary!Q1304,Primary!Q1962)</f>
        <v>0</v>
      </c>
      <c r="R1304" s="16">
        <f>IF(ActiveDatabase=Standby,Secondary!R1304,Primary!R1962)</f>
        <v>0</v>
      </c>
      <c r="S1304" s="17">
        <f>IF(ActiveDatabase=Standby,Secondary!S1304,Primary!S1962)</f>
        <v>0</v>
      </c>
      <c r="T1304" s="8">
        <f>IF(ActiveDatabase=Standby,Secondary!T1304,Primary!T1962)</f>
        <v>0</v>
      </c>
      <c r="U1304" s="8">
        <f>IF(ActiveDatabase=Standby,Secondary!U1304,Primary!U1962)</f>
        <v>0</v>
      </c>
      <c r="V1304" s="8">
        <f>IF(ActiveDatabase=Standby,Secondary!V1304,Primary!V1962)</f>
        <v>0</v>
      </c>
      <c r="W1304" s="7">
        <f>IF(ActiveDatabase=Standby,Secondary!W1304,Primary!W1962)</f>
        <v>0</v>
      </c>
      <c r="X1304" s="7">
        <f>IF(ActiveDatabase=Standby,Secondary!X1304,Primary!X1962)</f>
        <v>0</v>
      </c>
      <c r="Y1304" s="7">
        <f>IF(ActiveDatabase=Standby,Secondary!Y1304,Primary!Y1962)</f>
        <v>0</v>
      </c>
      <c r="Z1304" s="7">
        <f>IF(ActiveDatabase=Standby,Secondary!Z1304,Primary!Z1962)</f>
        <v>0</v>
      </c>
      <c r="AA1304" s="7">
        <f>IF(ActiveDatabase=Standby,Secondary!AA1304,Primary!AA1962)</f>
        <v>0</v>
      </c>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7"/>
      <c r="BD1304" s="7"/>
      <c r="BE1304" s="7"/>
      <c r="BF1304" s="7"/>
      <c r="BG1304" s="7"/>
    </row>
    <row r="1305" customHeight="1" spans="1:59">
      <c r="A1305" s="9">
        <f>IF(ActiveDatabase=Standby,Secondary!A1305,Primary!A1963)</f>
        <v>0</v>
      </c>
      <c r="B1305" s="5">
        <f>IF(ActiveDatabase=Standby,Secondary!B1305,Primary!B1963)</f>
        <v>0</v>
      </c>
      <c r="C1305" s="5">
        <f>IF(ActiveDatabase=Standby,Secondary!C1305,Primary!C1963)</f>
        <v>0</v>
      </c>
      <c r="D1305" s="5">
        <f>IF(ActiveDatabase=Standby,Secondary!D1305,Primary!D1963)</f>
        <v>0</v>
      </c>
      <c r="E1305" s="7">
        <f>IF(ActiveDatabase=Standby,Secondary!E1305,Primary!E1963)</f>
        <v>0</v>
      </c>
      <c r="F1305" s="8">
        <f>IF(ActiveDatabase=Standby,Secondary!F1305,Primary!F1963)</f>
        <v>0</v>
      </c>
      <c r="G1305" s="8">
        <f>IF(ActiveDatabase=Standby,Secondary!G1305,Primary!G1963)</f>
        <v>0</v>
      </c>
      <c r="H1305" s="8">
        <f>IF(ActiveDatabase=Standby,Secondary!H1305,Primary!H1963)</f>
        <v>0</v>
      </c>
      <c r="I1305" s="14">
        <f>IF(ActiveDatabase=Standby,Secondary!I1305,Primary!I1963)</f>
        <v>0</v>
      </c>
      <c r="J1305" s="14">
        <f>IF(ActiveDatabase=Standby,Secondary!J1305,Primary!J1963)</f>
        <v>0</v>
      </c>
      <c r="K1305" s="14">
        <f>IF(ActiveDatabase=Standby,Secondary!K1305,Primary!K1963)</f>
        <v>0</v>
      </c>
      <c r="L1305" s="14">
        <f>IF(ActiveDatabase=Standby,Secondary!L1305,Primary!L1963)</f>
        <v>0</v>
      </c>
      <c r="M1305" s="7">
        <f>IF(ActiveDatabase=Standby,Secondary!M1305,Primary!M1963)</f>
        <v>0</v>
      </c>
      <c r="N1305" s="8">
        <f>IF(ActiveDatabase=Standby,Secondary!N1305,Primary!N1963)</f>
        <v>0</v>
      </c>
      <c r="O1305" s="8">
        <f>IF(ActiveDatabase=Standby,Secondary!O1305,Primary!O1963)</f>
        <v>0</v>
      </c>
      <c r="P1305" s="8">
        <f>IF(ActiveDatabase=Standby,Secondary!P1305,Primary!P1963)</f>
        <v>0</v>
      </c>
      <c r="Q1305" s="7">
        <f>IF(ActiveDatabase=Standby,Secondary!Q1305,Primary!Q1963)</f>
        <v>0</v>
      </c>
      <c r="R1305" s="16">
        <f>IF(ActiveDatabase=Standby,Secondary!R1305,Primary!R1963)</f>
        <v>0</v>
      </c>
      <c r="S1305" s="17">
        <f>IF(ActiveDatabase=Standby,Secondary!S1305,Primary!S1963)</f>
        <v>0</v>
      </c>
      <c r="T1305" s="8">
        <f>IF(ActiveDatabase=Standby,Secondary!T1305,Primary!T1963)</f>
        <v>0</v>
      </c>
      <c r="U1305" s="8">
        <f>IF(ActiveDatabase=Standby,Secondary!U1305,Primary!U1963)</f>
        <v>0</v>
      </c>
      <c r="V1305" s="8">
        <f>IF(ActiveDatabase=Standby,Secondary!V1305,Primary!V1963)</f>
        <v>0</v>
      </c>
      <c r="W1305" s="7">
        <f>IF(ActiveDatabase=Standby,Secondary!W1305,Primary!W1963)</f>
        <v>0</v>
      </c>
      <c r="X1305" s="7">
        <f>IF(ActiveDatabase=Standby,Secondary!X1305,Primary!X1963)</f>
        <v>0</v>
      </c>
      <c r="Y1305" s="7">
        <f>IF(ActiveDatabase=Standby,Secondary!Y1305,Primary!Y1963)</f>
        <v>0</v>
      </c>
      <c r="Z1305" s="7">
        <f>IF(ActiveDatabase=Standby,Secondary!Z1305,Primary!Z1963)</f>
        <v>0</v>
      </c>
      <c r="AA1305" s="7">
        <f>IF(ActiveDatabase=Standby,Secondary!AA1305,Primary!AA1963)</f>
        <v>0</v>
      </c>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7"/>
      <c r="BD1305" s="7"/>
      <c r="BE1305" s="7"/>
      <c r="BF1305" s="7"/>
      <c r="BG1305" s="7"/>
    </row>
    <row r="1306" customHeight="1" spans="1:59">
      <c r="A1306" s="9">
        <f>IF(ActiveDatabase=Standby,Secondary!A1306,Primary!A1964)</f>
        <v>0</v>
      </c>
      <c r="B1306" s="5">
        <f>IF(ActiveDatabase=Standby,Secondary!B1306,Primary!B1964)</f>
        <v>0</v>
      </c>
      <c r="C1306" s="5">
        <f>IF(ActiveDatabase=Standby,Secondary!C1306,Primary!C1964)</f>
        <v>0</v>
      </c>
      <c r="D1306" s="5">
        <f>IF(ActiveDatabase=Standby,Secondary!D1306,Primary!D1964)</f>
        <v>0</v>
      </c>
      <c r="E1306" s="7">
        <f>IF(ActiveDatabase=Standby,Secondary!E1306,Primary!E1964)</f>
        <v>0</v>
      </c>
      <c r="F1306" s="8">
        <f>IF(ActiveDatabase=Standby,Secondary!F1306,Primary!F1964)</f>
        <v>0</v>
      </c>
      <c r="G1306" s="8">
        <f>IF(ActiveDatabase=Standby,Secondary!G1306,Primary!G1964)</f>
        <v>0</v>
      </c>
      <c r="H1306" s="8">
        <f>IF(ActiveDatabase=Standby,Secondary!H1306,Primary!H1964)</f>
        <v>0</v>
      </c>
      <c r="I1306" s="14">
        <f>IF(ActiveDatabase=Standby,Secondary!I1306,Primary!I1964)</f>
        <v>0</v>
      </c>
      <c r="J1306" s="14">
        <f>IF(ActiveDatabase=Standby,Secondary!J1306,Primary!J1964)</f>
        <v>0</v>
      </c>
      <c r="K1306" s="14">
        <f>IF(ActiveDatabase=Standby,Secondary!K1306,Primary!K1964)</f>
        <v>0</v>
      </c>
      <c r="L1306" s="14">
        <f>IF(ActiveDatabase=Standby,Secondary!L1306,Primary!L1964)</f>
        <v>0</v>
      </c>
      <c r="M1306" s="7">
        <f>IF(ActiveDatabase=Standby,Secondary!M1306,Primary!M1964)</f>
        <v>0</v>
      </c>
      <c r="N1306" s="8">
        <f>IF(ActiveDatabase=Standby,Secondary!N1306,Primary!N1964)</f>
        <v>0</v>
      </c>
      <c r="O1306" s="8">
        <f>IF(ActiveDatabase=Standby,Secondary!O1306,Primary!O1964)</f>
        <v>0</v>
      </c>
      <c r="P1306" s="8">
        <f>IF(ActiveDatabase=Standby,Secondary!P1306,Primary!P1964)</f>
        <v>0</v>
      </c>
      <c r="Q1306" s="7">
        <f>IF(ActiveDatabase=Standby,Secondary!Q1306,Primary!Q1964)</f>
        <v>0</v>
      </c>
      <c r="R1306" s="16">
        <f>IF(ActiveDatabase=Standby,Secondary!R1306,Primary!R1964)</f>
        <v>0</v>
      </c>
      <c r="S1306" s="17">
        <f>IF(ActiveDatabase=Standby,Secondary!S1306,Primary!S1964)</f>
        <v>0</v>
      </c>
      <c r="T1306" s="8">
        <f>IF(ActiveDatabase=Standby,Secondary!T1306,Primary!T1964)</f>
        <v>0</v>
      </c>
      <c r="U1306" s="8">
        <f>IF(ActiveDatabase=Standby,Secondary!U1306,Primary!U1964)</f>
        <v>0</v>
      </c>
      <c r="V1306" s="8">
        <f>IF(ActiveDatabase=Standby,Secondary!V1306,Primary!V1964)</f>
        <v>0</v>
      </c>
      <c r="W1306" s="7">
        <f>IF(ActiveDatabase=Standby,Secondary!W1306,Primary!W1964)</f>
        <v>0</v>
      </c>
      <c r="X1306" s="7">
        <f>IF(ActiveDatabase=Standby,Secondary!X1306,Primary!X1964)</f>
        <v>0</v>
      </c>
      <c r="Y1306" s="7">
        <f>IF(ActiveDatabase=Standby,Secondary!Y1306,Primary!Y1964)</f>
        <v>0</v>
      </c>
      <c r="Z1306" s="7">
        <f>IF(ActiveDatabase=Standby,Secondary!Z1306,Primary!Z1964)</f>
        <v>0</v>
      </c>
      <c r="AA1306" s="7">
        <f>IF(ActiveDatabase=Standby,Secondary!AA1306,Primary!AA1964)</f>
        <v>0</v>
      </c>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c r="AX1306" s="7"/>
      <c r="AY1306" s="7"/>
      <c r="AZ1306" s="7"/>
      <c r="BA1306" s="7"/>
      <c r="BB1306" s="7"/>
      <c r="BC1306" s="7"/>
      <c r="BD1306" s="7"/>
      <c r="BE1306" s="7"/>
      <c r="BF1306" s="7"/>
      <c r="BG1306" s="7"/>
    </row>
    <row r="1307" customHeight="1" spans="1:59">
      <c r="A1307" s="9">
        <f>IF(ActiveDatabase=Standby,Secondary!A1307,Primary!A1965)</f>
        <v>0</v>
      </c>
      <c r="B1307" s="5">
        <f>IF(ActiveDatabase=Standby,Secondary!B1307,Primary!B1965)</f>
        <v>0</v>
      </c>
      <c r="C1307" s="5">
        <f>IF(ActiveDatabase=Standby,Secondary!C1307,Primary!C1965)</f>
        <v>0</v>
      </c>
      <c r="D1307" s="5">
        <f>IF(ActiveDatabase=Standby,Secondary!D1307,Primary!D1965)</f>
        <v>0</v>
      </c>
      <c r="E1307" s="7">
        <f>IF(ActiveDatabase=Standby,Secondary!E1307,Primary!E1965)</f>
        <v>0</v>
      </c>
      <c r="F1307" s="8">
        <f>IF(ActiveDatabase=Standby,Secondary!F1307,Primary!F1965)</f>
        <v>0</v>
      </c>
      <c r="G1307" s="8">
        <f>IF(ActiveDatabase=Standby,Secondary!G1307,Primary!G1965)</f>
        <v>0</v>
      </c>
      <c r="H1307" s="8">
        <f>IF(ActiveDatabase=Standby,Secondary!H1307,Primary!H1965)</f>
        <v>0</v>
      </c>
      <c r="I1307" s="14">
        <f>IF(ActiveDatabase=Standby,Secondary!I1307,Primary!I1965)</f>
        <v>0</v>
      </c>
      <c r="J1307" s="14">
        <f>IF(ActiveDatabase=Standby,Secondary!J1307,Primary!J1965)</f>
        <v>0</v>
      </c>
      <c r="K1307" s="14">
        <f>IF(ActiveDatabase=Standby,Secondary!K1307,Primary!K1965)</f>
        <v>0</v>
      </c>
      <c r="L1307" s="14">
        <f>IF(ActiveDatabase=Standby,Secondary!L1307,Primary!L1965)</f>
        <v>0</v>
      </c>
      <c r="M1307" s="7">
        <f>IF(ActiveDatabase=Standby,Secondary!M1307,Primary!M1965)</f>
        <v>0</v>
      </c>
      <c r="N1307" s="8">
        <f>IF(ActiveDatabase=Standby,Secondary!N1307,Primary!N1965)</f>
        <v>0</v>
      </c>
      <c r="O1307" s="8">
        <f>IF(ActiveDatabase=Standby,Secondary!O1307,Primary!O1965)</f>
        <v>0</v>
      </c>
      <c r="P1307" s="8">
        <f>IF(ActiveDatabase=Standby,Secondary!P1307,Primary!P1965)</f>
        <v>0</v>
      </c>
      <c r="Q1307" s="7">
        <f>IF(ActiveDatabase=Standby,Secondary!Q1307,Primary!Q1965)</f>
        <v>0</v>
      </c>
      <c r="R1307" s="16">
        <f>IF(ActiveDatabase=Standby,Secondary!R1307,Primary!R1965)</f>
        <v>0</v>
      </c>
      <c r="S1307" s="17">
        <f>IF(ActiveDatabase=Standby,Secondary!S1307,Primary!S1965)</f>
        <v>0</v>
      </c>
      <c r="T1307" s="8">
        <f>IF(ActiveDatabase=Standby,Secondary!T1307,Primary!T1965)</f>
        <v>0</v>
      </c>
      <c r="U1307" s="8">
        <f>IF(ActiveDatabase=Standby,Secondary!U1307,Primary!U1965)</f>
        <v>0</v>
      </c>
      <c r="V1307" s="8">
        <f>IF(ActiveDatabase=Standby,Secondary!V1307,Primary!V1965)</f>
        <v>0</v>
      </c>
      <c r="W1307" s="7">
        <f>IF(ActiveDatabase=Standby,Secondary!W1307,Primary!W1965)</f>
        <v>0</v>
      </c>
      <c r="X1307" s="7">
        <f>IF(ActiveDatabase=Standby,Secondary!X1307,Primary!X1965)</f>
        <v>0</v>
      </c>
      <c r="Y1307" s="7">
        <f>IF(ActiveDatabase=Standby,Secondary!Y1307,Primary!Y1965)</f>
        <v>0</v>
      </c>
      <c r="Z1307" s="7">
        <f>IF(ActiveDatabase=Standby,Secondary!Z1307,Primary!Z1965)</f>
        <v>0</v>
      </c>
      <c r="AA1307" s="7">
        <f>IF(ActiveDatabase=Standby,Secondary!AA1307,Primary!AA1965)</f>
        <v>0</v>
      </c>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c r="AX1307" s="7"/>
      <c r="AY1307" s="7"/>
      <c r="AZ1307" s="7"/>
      <c r="BA1307" s="7"/>
      <c r="BB1307" s="7"/>
      <c r="BC1307" s="7"/>
      <c r="BD1307" s="7"/>
      <c r="BE1307" s="7"/>
      <c r="BF1307" s="7"/>
      <c r="BG1307" s="7"/>
    </row>
    <row r="1308" customHeight="1" spans="1:59">
      <c r="A1308" s="9">
        <f>IF(ActiveDatabase=Standby,Secondary!A1308,Primary!A1966)</f>
        <v>0</v>
      </c>
      <c r="B1308" s="5">
        <f>IF(ActiveDatabase=Standby,Secondary!B1308,Primary!B1966)</f>
        <v>0</v>
      </c>
      <c r="C1308" s="5">
        <f>IF(ActiveDatabase=Standby,Secondary!C1308,Primary!C1966)</f>
        <v>0</v>
      </c>
      <c r="D1308" s="5">
        <f>IF(ActiveDatabase=Standby,Secondary!D1308,Primary!D1966)</f>
        <v>0</v>
      </c>
      <c r="E1308" s="7">
        <f>IF(ActiveDatabase=Standby,Secondary!E1308,Primary!E1966)</f>
        <v>0</v>
      </c>
      <c r="F1308" s="8">
        <f>IF(ActiveDatabase=Standby,Secondary!F1308,Primary!F1966)</f>
        <v>0</v>
      </c>
      <c r="G1308" s="8">
        <f>IF(ActiveDatabase=Standby,Secondary!G1308,Primary!G1966)</f>
        <v>0</v>
      </c>
      <c r="H1308" s="8">
        <f>IF(ActiveDatabase=Standby,Secondary!H1308,Primary!H1966)</f>
        <v>0</v>
      </c>
      <c r="I1308" s="14">
        <f>IF(ActiveDatabase=Standby,Secondary!I1308,Primary!I1966)</f>
        <v>0</v>
      </c>
      <c r="J1308" s="14">
        <f>IF(ActiveDatabase=Standby,Secondary!J1308,Primary!J1966)</f>
        <v>0</v>
      </c>
      <c r="K1308" s="14">
        <f>IF(ActiveDatabase=Standby,Secondary!K1308,Primary!K1966)</f>
        <v>0</v>
      </c>
      <c r="L1308" s="14">
        <f>IF(ActiveDatabase=Standby,Secondary!L1308,Primary!L1966)</f>
        <v>0</v>
      </c>
      <c r="M1308" s="7">
        <f>IF(ActiveDatabase=Standby,Secondary!M1308,Primary!M1966)</f>
        <v>0</v>
      </c>
      <c r="N1308" s="8">
        <f>IF(ActiveDatabase=Standby,Secondary!N1308,Primary!N1966)</f>
        <v>0</v>
      </c>
      <c r="O1308" s="8">
        <f>IF(ActiveDatabase=Standby,Secondary!O1308,Primary!O1966)</f>
        <v>0</v>
      </c>
      <c r="P1308" s="8">
        <f>IF(ActiveDatabase=Standby,Secondary!P1308,Primary!P1966)</f>
        <v>0</v>
      </c>
      <c r="Q1308" s="7">
        <f>IF(ActiveDatabase=Standby,Secondary!Q1308,Primary!Q1966)</f>
        <v>0</v>
      </c>
      <c r="R1308" s="16">
        <f>IF(ActiveDatabase=Standby,Secondary!R1308,Primary!R1966)</f>
        <v>0</v>
      </c>
      <c r="S1308" s="17">
        <f>IF(ActiveDatabase=Standby,Secondary!S1308,Primary!S1966)</f>
        <v>0</v>
      </c>
      <c r="T1308" s="8">
        <f>IF(ActiveDatabase=Standby,Secondary!T1308,Primary!T1966)</f>
        <v>0</v>
      </c>
      <c r="U1308" s="8">
        <f>IF(ActiveDatabase=Standby,Secondary!U1308,Primary!U1966)</f>
        <v>0</v>
      </c>
      <c r="V1308" s="8">
        <f>IF(ActiveDatabase=Standby,Secondary!V1308,Primary!V1966)</f>
        <v>0</v>
      </c>
      <c r="W1308" s="7">
        <f>IF(ActiveDatabase=Standby,Secondary!W1308,Primary!W1966)</f>
        <v>0</v>
      </c>
      <c r="X1308" s="7">
        <f>IF(ActiveDatabase=Standby,Secondary!X1308,Primary!X1966)</f>
        <v>0</v>
      </c>
      <c r="Y1308" s="7">
        <f>IF(ActiveDatabase=Standby,Secondary!Y1308,Primary!Y1966)</f>
        <v>0</v>
      </c>
      <c r="Z1308" s="7">
        <f>IF(ActiveDatabase=Standby,Secondary!Z1308,Primary!Z1966)</f>
        <v>0</v>
      </c>
      <c r="AA1308" s="7">
        <f>IF(ActiveDatabase=Standby,Secondary!AA1308,Primary!AA1966)</f>
        <v>0</v>
      </c>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row>
    <row r="1309" customHeight="1" spans="1:59">
      <c r="A1309" s="9">
        <f>IF(ActiveDatabase=Standby,Secondary!A1309,Primary!A1967)</f>
        <v>0</v>
      </c>
      <c r="B1309" s="5">
        <f>IF(ActiveDatabase=Standby,Secondary!B1309,Primary!B1967)</f>
        <v>0</v>
      </c>
      <c r="C1309" s="5">
        <f>IF(ActiveDatabase=Standby,Secondary!C1309,Primary!C1967)</f>
        <v>0</v>
      </c>
      <c r="D1309" s="5">
        <f>IF(ActiveDatabase=Standby,Secondary!D1309,Primary!D1967)</f>
        <v>0</v>
      </c>
      <c r="E1309" s="7">
        <f>IF(ActiveDatabase=Standby,Secondary!E1309,Primary!E1967)</f>
        <v>0</v>
      </c>
      <c r="F1309" s="8">
        <f>IF(ActiveDatabase=Standby,Secondary!F1309,Primary!F1967)</f>
        <v>0</v>
      </c>
      <c r="G1309" s="8">
        <f>IF(ActiveDatabase=Standby,Secondary!G1309,Primary!G1967)</f>
        <v>0</v>
      </c>
      <c r="H1309" s="8">
        <f>IF(ActiveDatabase=Standby,Secondary!H1309,Primary!H1967)</f>
        <v>0</v>
      </c>
      <c r="I1309" s="14">
        <f>IF(ActiveDatabase=Standby,Secondary!I1309,Primary!I1967)</f>
        <v>0</v>
      </c>
      <c r="J1309" s="14">
        <f>IF(ActiveDatabase=Standby,Secondary!J1309,Primary!J1967)</f>
        <v>0</v>
      </c>
      <c r="K1309" s="14">
        <f>IF(ActiveDatabase=Standby,Secondary!K1309,Primary!K1967)</f>
        <v>0</v>
      </c>
      <c r="L1309" s="14">
        <f>IF(ActiveDatabase=Standby,Secondary!L1309,Primary!L1967)</f>
        <v>0</v>
      </c>
      <c r="M1309" s="7">
        <f>IF(ActiveDatabase=Standby,Secondary!M1309,Primary!M1967)</f>
        <v>0</v>
      </c>
      <c r="N1309" s="8">
        <f>IF(ActiveDatabase=Standby,Secondary!N1309,Primary!N1967)</f>
        <v>0</v>
      </c>
      <c r="O1309" s="8">
        <f>IF(ActiveDatabase=Standby,Secondary!O1309,Primary!O1967)</f>
        <v>0</v>
      </c>
      <c r="P1309" s="8">
        <f>IF(ActiveDatabase=Standby,Secondary!P1309,Primary!P1967)</f>
        <v>0</v>
      </c>
      <c r="Q1309" s="7">
        <f>IF(ActiveDatabase=Standby,Secondary!Q1309,Primary!Q1967)</f>
        <v>0</v>
      </c>
      <c r="R1309" s="16">
        <f>IF(ActiveDatabase=Standby,Secondary!R1309,Primary!R1967)</f>
        <v>0</v>
      </c>
      <c r="S1309" s="17">
        <f>IF(ActiveDatabase=Standby,Secondary!S1309,Primary!S1967)</f>
        <v>0</v>
      </c>
      <c r="T1309" s="8">
        <f>IF(ActiveDatabase=Standby,Secondary!T1309,Primary!T1967)</f>
        <v>0</v>
      </c>
      <c r="U1309" s="8">
        <f>IF(ActiveDatabase=Standby,Secondary!U1309,Primary!U1967)</f>
        <v>0</v>
      </c>
      <c r="V1309" s="8">
        <f>IF(ActiveDatabase=Standby,Secondary!V1309,Primary!V1967)</f>
        <v>0</v>
      </c>
      <c r="W1309" s="7">
        <f>IF(ActiveDatabase=Standby,Secondary!W1309,Primary!W1967)</f>
        <v>0</v>
      </c>
      <c r="X1309" s="7">
        <f>IF(ActiveDatabase=Standby,Secondary!X1309,Primary!X1967)</f>
        <v>0</v>
      </c>
      <c r="Y1309" s="7">
        <f>IF(ActiveDatabase=Standby,Secondary!Y1309,Primary!Y1967)</f>
        <v>0</v>
      </c>
      <c r="Z1309" s="7">
        <f>IF(ActiveDatabase=Standby,Secondary!Z1309,Primary!Z1967)</f>
        <v>0</v>
      </c>
      <c r="AA1309" s="7">
        <f>IF(ActiveDatabase=Standby,Secondary!AA1309,Primary!AA1967)</f>
        <v>0</v>
      </c>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7"/>
      <c r="BD1309" s="7"/>
      <c r="BE1309" s="7"/>
      <c r="BF1309" s="7"/>
      <c r="BG1309" s="7"/>
    </row>
    <row r="1310" customHeight="1" spans="1:59">
      <c r="A1310" s="9">
        <f>IF(ActiveDatabase=Standby,Secondary!A1310,Primary!A1968)</f>
        <v>0</v>
      </c>
      <c r="B1310" s="5">
        <f>IF(ActiveDatabase=Standby,Secondary!B1310,Primary!B1968)</f>
        <v>0</v>
      </c>
      <c r="C1310" s="5">
        <f>IF(ActiveDatabase=Standby,Secondary!C1310,Primary!C1968)</f>
        <v>0</v>
      </c>
      <c r="D1310" s="5">
        <f>IF(ActiveDatabase=Standby,Secondary!D1310,Primary!D1968)</f>
        <v>0</v>
      </c>
      <c r="E1310" s="7">
        <f>IF(ActiveDatabase=Standby,Secondary!E1310,Primary!E1968)</f>
        <v>0</v>
      </c>
      <c r="F1310" s="8">
        <f>IF(ActiveDatabase=Standby,Secondary!F1310,Primary!F1968)</f>
        <v>0</v>
      </c>
      <c r="G1310" s="8">
        <f>IF(ActiveDatabase=Standby,Secondary!G1310,Primary!G1968)</f>
        <v>0</v>
      </c>
      <c r="H1310" s="8">
        <f>IF(ActiveDatabase=Standby,Secondary!H1310,Primary!H1968)</f>
        <v>0</v>
      </c>
      <c r="I1310" s="14">
        <f>IF(ActiveDatabase=Standby,Secondary!I1310,Primary!I1968)</f>
        <v>0</v>
      </c>
      <c r="J1310" s="14">
        <f>IF(ActiveDatabase=Standby,Secondary!J1310,Primary!J1968)</f>
        <v>0</v>
      </c>
      <c r="K1310" s="14">
        <f>IF(ActiveDatabase=Standby,Secondary!K1310,Primary!K1968)</f>
        <v>0</v>
      </c>
      <c r="L1310" s="14">
        <f>IF(ActiveDatabase=Standby,Secondary!L1310,Primary!L1968)</f>
        <v>0</v>
      </c>
      <c r="M1310" s="7">
        <f>IF(ActiveDatabase=Standby,Secondary!M1310,Primary!M1968)</f>
        <v>0</v>
      </c>
      <c r="N1310" s="8">
        <f>IF(ActiveDatabase=Standby,Secondary!N1310,Primary!N1968)</f>
        <v>0</v>
      </c>
      <c r="O1310" s="8">
        <f>IF(ActiveDatabase=Standby,Secondary!O1310,Primary!O1968)</f>
        <v>0</v>
      </c>
      <c r="P1310" s="8">
        <f>IF(ActiveDatabase=Standby,Secondary!P1310,Primary!P1968)</f>
        <v>0</v>
      </c>
      <c r="Q1310" s="7">
        <f>IF(ActiveDatabase=Standby,Secondary!Q1310,Primary!Q1968)</f>
        <v>0</v>
      </c>
      <c r="R1310" s="16">
        <f>IF(ActiveDatabase=Standby,Secondary!R1310,Primary!R1968)</f>
        <v>0</v>
      </c>
      <c r="S1310" s="17">
        <f>IF(ActiveDatabase=Standby,Secondary!S1310,Primary!S1968)</f>
        <v>0</v>
      </c>
      <c r="T1310" s="8">
        <f>IF(ActiveDatabase=Standby,Secondary!T1310,Primary!T1968)</f>
        <v>0</v>
      </c>
      <c r="U1310" s="8">
        <f>IF(ActiveDatabase=Standby,Secondary!U1310,Primary!U1968)</f>
        <v>0</v>
      </c>
      <c r="V1310" s="8">
        <f>IF(ActiveDatabase=Standby,Secondary!V1310,Primary!V1968)</f>
        <v>0</v>
      </c>
      <c r="W1310" s="7">
        <f>IF(ActiveDatabase=Standby,Secondary!W1310,Primary!W1968)</f>
        <v>0</v>
      </c>
      <c r="X1310" s="7">
        <f>IF(ActiveDatabase=Standby,Secondary!X1310,Primary!X1968)</f>
        <v>0</v>
      </c>
      <c r="Y1310" s="7">
        <f>IF(ActiveDatabase=Standby,Secondary!Y1310,Primary!Y1968)</f>
        <v>0</v>
      </c>
      <c r="Z1310" s="7">
        <f>IF(ActiveDatabase=Standby,Secondary!Z1310,Primary!Z1968)</f>
        <v>0</v>
      </c>
      <c r="AA1310" s="7">
        <f>IF(ActiveDatabase=Standby,Secondary!AA1310,Primary!AA1968)</f>
        <v>0</v>
      </c>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7"/>
      <c r="BD1310" s="7"/>
      <c r="BE1310" s="7"/>
      <c r="BF1310" s="7"/>
      <c r="BG1310" s="7"/>
    </row>
    <row r="1311" customHeight="1" spans="1:59">
      <c r="A1311" s="9">
        <f>IF(ActiveDatabase=Standby,Secondary!A1311,Primary!A1969)</f>
        <v>0</v>
      </c>
      <c r="B1311" s="5">
        <f>IF(ActiveDatabase=Standby,Secondary!B1311,Primary!B1969)</f>
        <v>0</v>
      </c>
      <c r="C1311" s="5">
        <f>IF(ActiveDatabase=Standby,Secondary!C1311,Primary!C1969)</f>
        <v>0</v>
      </c>
      <c r="D1311" s="5">
        <f>IF(ActiveDatabase=Standby,Secondary!D1311,Primary!D1969)</f>
        <v>0</v>
      </c>
      <c r="E1311" s="7">
        <f>IF(ActiveDatabase=Standby,Secondary!E1311,Primary!E1969)</f>
        <v>0</v>
      </c>
      <c r="F1311" s="8">
        <f>IF(ActiveDatabase=Standby,Secondary!F1311,Primary!F1969)</f>
        <v>0</v>
      </c>
      <c r="G1311" s="8">
        <f>IF(ActiveDatabase=Standby,Secondary!G1311,Primary!G1969)</f>
        <v>0</v>
      </c>
      <c r="H1311" s="8">
        <f>IF(ActiveDatabase=Standby,Secondary!H1311,Primary!H1969)</f>
        <v>0</v>
      </c>
      <c r="I1311" s="14">
        <f>IF(ActiveDatabase=Standby,Secondary!I1311,Primary!I1969)</f>
        <v>0</v>
      </c>
      <c r="J1311" s="14">
        <f>IF(ActiveDatabase=Standby,Secondary!J1311,Primary!J1969)</f>
        <v>0</v>
      </c>
      <c r="K1311" s="14">
        <f>IF(ActiveDatabase=Standby,Secondary!K1311,Primary!K1969)</f>
        <v>0</v>
      </c>
      <c r="L1311" s="14">
        <f>IF(ActiveDatabase=Standby,Secondary!L1311,Primary!L1969)</f>
        <v>0</v>
      </c>
      <c r="M1311" s="7">
        <f>IF(ActiveDatabase=Standby,Secondary!M1311,Primary!M1969)</f>
        <v>0</v>
      </c>
      <c r="N1311" s="8">
        <f>IF(ActiveDatabase=Standby,Secondary!N1311,Primary!N1969)</f>
        <v>0</v>
      </c>
      <c r="O1311" s="8">
        <f>IF(ActiveDatabase=Standby,Secondary!O1311,Primary!O1969)</f>
        <v>0</v>
      </c>
      <c r="P1311" s="8">
        <f>IF(ActiveDatabase=Standby,Secondary!P1311,Primary!P1969)</f>
        <v>0</v>
      </c>
      <c r="Q1311" s="7">
        <f>IF(ActiveDatabase=Standby,Secondary!Q1311,Primary!Q1969)</f>
        <v>0</v>
      </c>
      <c r="R1311" s="16">
        <f>IF(ActiveDatabase=Standby,Secondary!R1311,Primary!R1969)</f>
        <v>0</v>
      </c>
      <c r="S1311" s="17">
        <f>IF(ActiveDatabase=Standby,Secondary!S1311,Primary!S1969)</f>
        <v>0</v>
      </c>
      <c r="T1311" s="8">
        <f>IF(ActiveDatabase=Standby,Secondary!T1311,Primary!T1969)</f>
        <v>0</v>
      </c>
      <c r="U1311" s="8">
        <f>IF(ActiveDatabase=Standby,Secondary!U1311,Primary!U1969)</f>
        <v>0</v>
      </c>
      <c r="V1311" s="8">
        <f>IF(ActiveDatabase=Standby,Secondary!V1311,Primary!V1969)</f>
        <v>0</v>
      </c>
      <c r="W1311" s="7">
        <f>IF(ActiveDatabase=Standby,Secondary!W1311,Primary!W1969)</f>
        <v>0</v>
      </c>
      <c r="X1311" s="7">
        <f>IF(ActiveDatabase=Standby,Secondary!X1311,Primary!X1969)</f>
        <v>0</v>
      </c>
      <c r="Y1311" s="7">
        <f>IF(ActiveDatabase=Standby,Secondary!Y1311,Primary!Y1969)</f>
        <v>0</v>
      </c>
      <c r="Z1311" s="7">
        <f>IF(ActiveDatabase=Standby,Secondary!Z1311,Primary!Z1969)</f>
        <v>0</v>
      </c>
      <c r="AA1311" s="7">
        <f>IF(ActiveDatabase=Standby,Secondary!AA1311,Primary!AA1969)</f>
        <v>0</v>
      </c>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row>
    <row r="1312" customHeight="1" spans="1:59">
      <c r="A1312" s="9">
        <f>IF(ActiveDatabase=Standby,Secondary!A1312,Primary!A1970)</f>
        <v>0</v>
      </c>
      <c r="B1312" s="5">
        <f>IF(ActiveDatabase=Standby,Secondary!B1312,Primary!B1970)</f>
        <v>0</v>
      </c>
      <c r="C1312" s="5">
        <f>IF(ActiveDatabase=Standby,Secondary!C1312,Primary!C1970)</f>
        <v>0</v>
      </c>
      <c r="D1312" s="5">
        <f>IF(ActiveDatabase=Standby,Secondary!D1312,Primary!D1970)</f>
        <v>0</v>
      </c>
      <c r="E1312" s="7">
        <f>IF(ActiveDatabase=Standby,Secondary!E1312,Primary!E1970)</f>
        <v>0</v>
      </c>
      <c r="F1312" s="8">
        <f>IF(ActiveDatabase=Standby,Secondary!F1312,Primary!F1970)</f>
        <v>0</v>
      </c>
      <c r="G1312" s="8">
        <f>IF(ActiveDatabase=Standby,Secondary!G1312,Primary!G1970)</f>
        <v>0</v>
      </c>
      <c r="H1312" s="8">
        <f>IF(ActiveDatabase=Standby,Secondary!H1312,Primary!H1970)</f>
        <v>0</v>
      </c>
      <c r="I1312" s="14">
        <f>IF(ActiveDatabase=Standby,Secondary!I1312,Primary!I1970)</f>
        <v>0</v>
      </c>
      <c r="J1312" s="14">
        <f>IF(ActiveDatabase=Standby,Secondary!J1312,Primary!J1970)</f>
        <v>0</v>
      </c>
      <c r="K1312" s="14">
        <f>IF(ActiveDatabase=Standby,Secondary!K1312,Primary!K1970)</f>
        <v>0</v>
      </c>
      <c r="L1312" s="14">
        <f>IF(ActiveDatabase=Standby,Secondary!L1312,Primary!L1970)</f>
        <v>0</v>
      </c>
      <c r="M1312" s="7">
        <f>IF(ActiveDatabase=Standby,Secondary!M1312,Primary!M1970)</f>
        <v>0</v>
      </c>
      <c r="N1312" s="8">
        <f>IF(ActiveDatabase=Standby,Secondary!N1312,Primary!N1970)</f>
        <v>0</v>
      </c>
      <c r="O1312" s="8">
        <f>IF(ActiveDatabase=Standby,Secondary!O1312,Primary!O1970)</f>
        <v>0</v>
      </c>
      <c r="P1312" s="8">
        <f>IF(ActiveDatabase=Standby,Secondary!P1312,Primary!P1970)</f>
        <v>0</v>
      </c>
      <c r="Q1312" s="7">
        <f>IF(ActiveDatabase=Standby,Secondary!Q1312,Primary!Q1970)</f>
        <v>0</v>
      </c>
      <c r="R1312" s="16">
        <f>IF(ActiveDatabase=Standby,Secondary!R1312,Primary!R1970)</f>
        <v>0</v>
      </c>
      <c r="S1312" s="17">
        <f>IF(ActiveDatabase=Standby,Secondary!S1312,Primary!S1970)</f>
        <v>0</v>
      </c>
      <c r="T1312" s="8">
        <f>IF(ActiveDatabase=Standby,Secondary!T1312,Primary!T1970)</f>
        <v>0</v>
      </c>
      <c r="U1312" s="8">
        <f>IF(ActiveDatabase=Standby,Secondary!U1312,Primary!U1970)</f>
        <v>0</v>
      </c>
      <c r="V1312" s="8">
        <f>IF(ActiveDatabase=Standby,Secondary!V1312,Primary!V1970)</f>
        <v>0</v>
      </c>
      <c r="W1312" s="7">
        <f>IF(ActiveDatabase=Standby,Secondary!W1312,Primary!W1970)</f>
        <v>0</v>
      </c>
      <c r="X1312" s="7">
        <f>IF(ActiveDatabase=Standby,Secondary!X1312,Primary!X1970)</f>
        <v>0</v>
      </c>
      <c r="Y1312" s="7">
        <f>IF(ActiveDatabase=Standby,Secondary!Y1312,Primary!Y1970)</f>
        <v>0</v>
      </c>
      <c r="Z1312" s="7">
        <f>IF(ActiveDatabase=Standby,Secondary!Z1312,Primary!Z1970)</f>
        <v>0</v>
      </c>
      <c r="AA1312" s="7">
        <f>IF(ActiveDatabase=Standby,Secondary!AA1312,Primary!AA1970)</f>
        <v>0</v>
      </c>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row>
    <row r="1313" customHeight="1" spans="1:59">
      <c r="A1313" s="9">
        <f>IF(ActiveDatabase=Standby,Secondary!A1313,Primary!A1971)</f>
        <v>0</v>
      </c>
      <c r="B1313" s="5">
        <f>IF(ActiveDatabase=Standby,Secondary!B1313,Primary!B1971)</f>
        <v>0</v>
      </c>
      <c r="C1313" s="5">
        <f>IF(ActiveDatabase=Standby,Secondary!C1313,Primary!C1971)</f>
        <v>0</v>
      </c>
      <c r="D1313" s="5">
        <f>IF(ActiveDatabase=Standby,Secondary!D1313,Primary!D1971)</f>
        <v>0</v>
      </c>
      <c r="E1313" s="7">
        <f>IF(ActiveDatabase=Standby,Secondary!E1313,Primary!E1971)</f>
        <v>0</v>
      </c>
      <c r="F1313" s="8">
        <f>IF(ActiveDatabase=Standby,Secondary!F1313,Primary!F1971)</f>
        <v>0</v>
      </c>
      <c r="G1313" s="8">
        <f>IF(ActiveDatabase=Standby,Secondary!G1313,Primary!G1971)</f>
        <v>0</v>
      </c>
      <c r="H1313" s="8">
        <f>IF(ActiveDatabase=Standby,Secondary!H1313,Primary!H1971)</f>
        <v>0</v>
      </c>
      <c r="I1313" s="14">
        <f>IF(ActiveDatabase=Standby,Secondary!I1313,Primary!I1971)</f>
        <v>0</v>
      </c>
      <c r="J1313" s="14">
        <f>IF(ActiveDatabase=Standby,Secondary!J1313,Primary!J1971)</f>
        <v>0</v>
      </c>
      <c r="K1313" s="14">
        <f>IF(ActiveDatabase=Standby,Secondary!K1313,Primary!K1971)</f>
        <v>0</v>
      </c>
      <c r="L1313" s="14">
        <f>IF(ActiveDatabase=Standby,Secondary!L1313,Primary!L1971)</f>
        <v>0</v>
      </c>
      <c r="M1313" s="7">
        <f>IF(ActiveDatabase=Standby,Secondary!M1313,Primary!M1971)</f>
        <v>0</v>
      </c>
      <c r="N1313" s="8">
        <f>IF(ActiveDatabase=Standby,Secondary!N1313,Primary!N1971)</f>
        <v>0</v>
      </c>
      <c r="O1313" s="8">
        <f>IF(ActiveDatabase=Standby,Secondary!O1313,Primary!O1971)</f>
        <v>0</v>
      </c>
      <c r="P1313" s="8">
        <f>IF(ActiveDatabase=Standby,Secondary!P1313,Primary!P1971)</f>
        <v>0</v>
      </c>
      <c r="Q1313" s="7">
        <f>IF(ActiveDatabase=Standby,Secondary!Q1313,Primary!Q1971)</f>
        <v>0</v>
      </c>
      <c r="R1313" s="16">
        <f>IF(ActiveDatabase=Standby,Secondary!R1313,Primary!R1971)</f>
        <v>0</v>
      </c>
      <c r="S1313" s="17">
        <f>IF(ActiveDatabase=Standby,Secondary!S1313,Primary!S1971)</f>
        <v>0</v>
      </c>
      <c r="T1313" s="8">
        <f>IF(ActiveDatabase=Standby,Secondary!T1313,Primary!T1971)</f>
        <v>0</v>
      </c>
      <c r="U1313" s="8">
        <f>IF(ActiveDatabase=Standby,Secondary!U1313,Primary!U1971)</f>
        <v>0</v>
      </c>
      <c r="V1313" s="8">
        <f>IF(ActiveDatabase=Standby,Secondary!V1313,Primary!V1971)</f>
        <v>0</v>
      </c>
      <c r="W1313" s="7">
        <f>IF(ActiveDatabase=Standby,Secondary!W1313,Primary!W1971)</f>
        <v>0</v>
      </c>
      <c r="X1313" s="7">
        <f>IF(ActiveDatabase=Standby,Secondary!X1313,Primary!X1971)</f>
        <v>0</v>
      </c>
      <c r="Y1313" s="7">
        <f>IF(ActiveDatabase=Standby,Secondary!Y1313,Primary!Y1971)</f>
        <v>0</v>
      </c>
      <c r="Z1313" s="7">
        <f>IF(ActiveDatabase=Standby,Secondary!Z1313,Primary!Z1971)</f>
        <v>0</v>
      </c>
      <c r="AA1313" s="7">
        <f>IF(ActiveDatabase=Standby,Secondary!AA1313,Primary!AA1971)</f>
        <v>0</v>
      </c>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c r="AX1313" s="7"/>
      <c r="AY1313" s="7"/>
      <c r="AZ1313" s="7"/>
      <c r="BA1313" s="7"/>
      <c r="BB1313" s="7"/>
      <c r="BC1313" s="7"/>
      <c r="BD1313" s="7"/>
      <c r="BE1313" s="7"/>
      <c r="BF1313" s="7"/>
      <c r="BG1313" s="7"/>
    </row>
    <row r="1314" customHeight="1" spans="1:59">
      <c r="A1314" s="9">
        <f>IF(ActiveDatabase=Standby,Secondary!A1314,Primary!A1972)</f>
        <v>0</v>
      </c>
      <c r="B1314" s="5">
        <f>IF(ActiveDatabase=Standby,Secondary!B1314,Primary!B1972)</f>
        <v>0</v>
      </c>
      <c r="C1314" s="5">
        <f>IF(ActiveDatabase=Standby,Secondary!C1314,Primary!C1972)</f>
        <v>0</v>
      </c>
      <c r="D1314" s="5">
        <f>IF(ActiveDatabase=Standby,Secondary!D1314,Primary!D1972)</f>
        <v>0</v>
      </c>
      <c r="E1314" s="7">
        <f>IF(ActiveDatabase=Standby,Secondary!E1314,Primary!E1972)</f>
        <v>0</v>
      </c>
      <c r="F1314" s="8">
        <f>IF(ActiveDatabase=Standby,Secondary!F1314,Primary!F1972)</f>
        <v>0</v>
      </c>
      <c r="G1314" s="8">
        <f>IF(ActiveDatabase=Standby,Secondary!G1314,Primary!G1972)</f>
        <v>0</v>
      </c>
      <c r="H1314" s="8">
        <f>IF(ActiveDatabase=Standby,Secondary!H1314,Primary!H1972)</f>
        <v>0</v>
      </c>
      <c r="I1314" s="14">
        <f>IF(ActiveDatabase=Standby,Secondary!I1314,Primary!I1972)</f>
        <v>0</v>
      </c>
      <c r="J1314" s="14">
        <f>IF(ActiveDatabase=Standby,Secondary!J1314,Primary!J1972)</f>
        <v>0</v>
      </c>
      <c r="K1314" s="14">
        <f>IF(ActiveDatabase=Standby,Secondary!K1314,Primary!K1972)</f>
        <v>0</v>
      </c>
      <c r="L1314" s="14">
        <f>IF(ActiveDatabase=Standby,Secondary!L1314,Primary!L1972)</f>
        <v>0</v>
      </c>
      <c r="M1314" s="7">
        <f>IF(ActiveDatabase=Standby,Secondary!M1314,Primary!M1972)</f>
        <v>0</v>
      </c>
      <c r="N1314" s="8">
        <f>IF(ActiveDatabase=Standby,Secondary!N1314,Primary!N1972)</f>
        <v>0</v>
      </c>
      <c r="O1314" s="8">
        <f>IF(ActiveDatabase=Standby,Secondary!O1314,Primary!O1972)</f>
        <v>0</v>
      </c>
      <c r="P1314" s="8">
        <f>IF(ActiveDatabase=Standby,Secondary!P1314,Primary!P1972)</f>
        <v>0</v>
      </c>
      <c r="Q1314" s="7">
        <f>IF(ActiveDatabase=Standby,Secondary!Q1314,Primary!Q1972)</f>
        <v>0</v>
      </c>
      <c r="R1314" s="16">
        <f>IF(ActiveDatabase=Standby,Secondary!R1314,Primary!R1972)</f>
        <v>0</v>
      </c>
      <c r="S1314" s="17">
        <f>IF(ActiveDatabase=Standby,Secondary!S1314,Primary!S1972)</f>
        <v>0</v>
      </c>
      <c r="T1314" s="8">
        <f>IF(ActiveDatabase=Standby,Secondary!T1314,Primary!T1972)</f>
        <v>0</v>
      </c>
      <c r="U1314" s="8">
        <f>IF(ActiveDatabase=Standby,Secondary!U1314,Primary!U1972)</f>
        <v>0</v>
      </c>
      <c r="V1314" s="8">
        <f>IF(ActiveDatabase=Standby,Secondary!V1314,Primary!V1972)</f>
        <v>0</v>
      </c>
      <c r="W1314" s="7">
        <f>IF(ActiveDatabase=Standby,Secondary!W1314,Primary!W1972)</f>
        <v>0</v>
      </c>
      <c r="X1314" s="7">
        <f>IF(ActiveDatabase=Standby,Secondary!X1314,Primary!X1972)</f>
        <v>0</v>
      </c>
      <c r="Y1314" s="7">
        <f>IF(ActiveDatabase=Standby,Secondary!Y1314,Primary!Y1972)</f>
        <v>0</v>
      </c>
      <c r="Z1314" s="7">
        <f>IF(ActiveDatabase=Standby,Secondary!Z1314,Primary!Z1972)</f>
        <v>0</v>
      </c>
      <c r="AA1314" s="7">
        <f>IF(ActiveDatabase=Standby,Secondary!AA1314,Primary!AA1972)</f>
        <v>0</v>
      </c>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7"/>
      <c r="AX1314" s="7"/>
      <c r="AY1314" s="7"/>
      <c r="AZ1314" s="7"/>
      <c r="BA1314" s="7"/>
      <c r="BB1314" s="7"/>
      <c r="BC1314" s="7"/>
      <c r="BD1314" s="7"/>
      <c r="BE1314" s="7"/>
      <c r="BF1314" s="7"/>
      <c r="BG1314" s="7"/>
    </row>
    <row r="1315" customHeight="1" spans="1:59">
      <c r="A1315" s="9">
        <f>IF(ActiveDatabase=Standby,Secondary!A1315,Primary!A1973)</f>
        <v>0</v>
      </c>
      <c r="B1315" s="5">
        <f>IF(ActiveDatabase=Standby,Secondary!B1315,Primary!B1973)</f>
        <v>0</v>
      </c>
      <c r="C1315" s="5">
        <f>IF(ActiveDatabase=Standby,Secondary!C1315,Primary!C1973)</f>
        <v>0</v>
      </c>
      <c r="D1315" s="5">
        <f>IF(ActiveDatabase=Standby,Secondary!D1315,Primary!D1973)</f>
        <v>0</v>
      </c>
      <c r="E1315" s="7">
        <f>IF(ActiveDatabase=Standby,Secondary!E1315,Primary!E1973)</f>
        <v>0</v>
      </c>
      <c r="F1315" s="8">
        <f>IF(ActiveDatabase=Standby,Secondary!F1315,Primary!F1973)</f>
        <v>0</v>
      </c>
      <c r="G1315" s="8">
        <f>IF(ActiveDatabase=Standby,Secondary!G1315,Primary!G1973)</f>
        <v>0</v>
      </c>
      <c r="H1315" s="8">
        <f>IF(ActiveDatabase=Standby,Secondary!H1315,Primary!H1973)</f>
        <v>0</v>
      </c>
      <c r="I1315" s="14">
        <f>IF(ActiveDatabase=Standby,Secondary!I1315,Primary!I1973)</f>
        <v>0</v>
      </c>
      <c r="J1315" s="14">
        <f>IF(ActiveDatabase=Standby,Secondary!J1315,Primary!J1973)</f>
        <v>0</v>
      </c>
      <c r="K1315" s="14">
        <f>IF(ActiveDatabase=Standby,Secondary!K1315,Primary!K1973)</f>
        <v>0</v>
      </c>
      <c r="L1315" s="14">
        <f>IF(ActiveDatabase=Standby,Secondary!L1315,Primary!L1973)</f>
        <v>0</v>
      </c>
      <c r="M1315" s="7">
        <f>IF(ActiveDatabase=Standby,Secondary!M1315,Primary!M1973)</f>
        <v>0</v>
      </c>
      <c r="N1315" s="8">
        <f>IF(ActiveDatabase=Standby,Secondary!N1315,Primary!N1973)</f>
        <v>0</v>
      </c>
      <c r="O1315" s="8">
        <f>IF(ActiveDatabase=Standby,Secondary!O1315,Primary!O1973)</f>
        <v>0</v>
      </c>
      <c r="P1315" s="8">
        <f>IF(ActiveDatabase=Standby,Secondary!P1315,Primary!P1973)</f>
        <v>0</v>
      </c>
      <c r="Q1315" s="7">
        <f>IF(ActiveDatabase=Standby,Secondary!Q1315,Primary!Q1973)</f>
        <v>0</v>
      </c>
      <c r="R1315" s="16">
        <f>IF(ActiveDatabase=Standby,Secondary!R1315,Primary!R1973)</f>
        <v>0</v>
      </c>
      <c r="S1315" s="17">
        <f>IF(ActiveDatabase=Standby,Secondary!S1315,Primary!S1973)</f>
        <v>0</v>
      </c>
      <c r="T1315" s="8">
        <f>IF(ActiveDatabase=Standby,Secondary!T1315,Primary!T1973)</f>
        <v>0</v>
      </c>
      <c r="U1315" s="8">
        <f>IF(ActiveDatabase=Standby,Secondary!U1315,Primary!U1973)</f>
        <v>0</v>
      </c>
      <c r="V1315" s="8">
        <f>IF(ActiveDatabase=Standby,Secondary!V1315,Primary!V1973)</f>
        <v>0</v>
      </c>
      <c r="W1315" s="7">
        <f>IF(ActiveDatabase=Standby,Secondary!W1315,Primary!W1973)</f>
        <v>0</v>
      </c>
      <c r="X1315" s="7">
        <f>IF(ActiveDatabase=Standby,Secondary!X1315,Primary!X1973)</f>
        <v>0</v>
      </c>
      <c r="Y1315" s="7">
        <f>IF(ActiveDatabase=Standby,Secondary!Y1315,Primary!Y1973)</f>
        <v>0</v>
      </c>
      <c r="Z1315" s="7">
        <f>IF(ActiveDatabase=Standby,Secondary!Z1315,Primary!Z1973)</f>
        <v>0</v>
      </c>
      <c r="AA1315" s="7">
        <f>IF(ActiveDatabase=Standby,Secondary!AA1315,Primary!AA1973)</f>
        <v>0</v>
      </c>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c r="AX1315" s="7"/>
      <c r="AY1315" s="7"/>
      <c r="AZ1315" s="7"/>
      <c r="BA1315" s="7"/>
      <c r="BB1315" s="7"/>
      <c r="BC1315" s="7"/>
      <c r="BD1315" s="7"/>
      <c r="BE1315" s="7"/>
      <c r="BF1315" s="7"/>
      <c r="BG1315" s="7"/>
    </row>
    <row r="1316" customHeight="1" spans="1:59">
      <c r="A1316" s="9">
        <f>IF(ActiveDatabase=Standby,Secondary!A1316,Primary!A1974)</f>
        <v>0</v>
      </c>
      <c r="B1316" s="5">
        <f>IF(ActiveDatabase=Standby,Secondary!B1316,Primary!B1974)</f>
        <v>0</v>
      </c>
      <c r="C1316" s="5">
        <f>IF(ActiveDatabase=Standby,Secondary!C1316,Primary!C1974)</f>
        <v>0</v>
      </c>
      <c r="D1316" s="5">
        <f>IF(ActiveDatabase=Standby,Secondary!D1316,Primary!D1974)</f>
        <v>0</v>
      </c>
      <c r="E1316" s="7">
        <f>IF(ActiveDatabase=Standby,Secondary!E1316,Primary!E1974)</f>
        <v>0</v>
      </c>
      <c r="F1316" s="8">
        <f>IF(ActiveDatabase=Standby,Secondary!F1316,Primary!F1974)</f>
        <v>0</v>
      </c>
      <c r="G1316" s="8">
        <f>IF(ActiveDatabase=Standby,Secondary!G1316,Primary!G1974)</f>
        <v>0</v>
      </c>
      <c r="H1316" s="8">
        <f>IF(ActiveDatabase=Standby,Secondary!H1316,Primary!H1974)</f>
        <v>0</v>
      </c>
      <c r="I1316" s="14">
        <f>IF(ActiveDatabase=Standby,Secondary!I1316,Primary!I1974)</f>
        <v>0</v>
      </c>
      <c r="J1316" s="14">
        <f>IF(ActiveDatabase=Standby,Secondary!J1316,Primary!J1974)</f>
        <v>0</v>
      </c>
      <c r="K1316" s="14">
        <f>IF(ActiveDatabase=Standby,Secondary!K1316,Primary!K1974)</f>
        <v>0</v>
      </c>
      <c r="L1316" s="14">
        <f>IF(ActiveDatabase=Standby,Secondary!L1316,Primary!L1974)</f>
        <v>0</v>
      </c>
      <c r="M1316" s="7">
        <f>IF(ActiveDatabase=Standby,Secondary!M1316,Primary!M1974)</f>
        <v>0</v>
      </c>
      <c r="N1316" s="8">
        <f>IF(ActiveDatabase=Standby,Secondary!N1316,Primary!N1974)</f>
        <v>0</v>
      </c>
      <c r="O1316" s="8">
        <f>IF(ActiveDatabase=Standby,Secondary!O1316,Primary!O1974)</f>
        <v>0</v>
      </c>
      <c r="P1316" s="8">
        <f>IF(ActiveDatabase=Standby,Secondary!P1316,Primary!P1974)</f>
        <v>0</v>
      </c>
      <c r="Q1316" s="7">
        <f>IF(ActiveDatabase=Standby,Secondary!Q1316,Primary!Q1974)</f>
        <v>0</v>
      </c>
      <c r="R1316" s="16">
        <f>IF(ActiveDatabase=Standby,Secondary!R1316,Primary!R1974)</f>
        <v>0</v>
      </c>
      <c r="S1316" s="17">
        <f>IF(ActiveDatabase=Standby,Secondary!S1316,Primary!S1974)</f>
        <v>0</v>
      </c>
      <c r="T1316" s="8">
        <f>IF(ActiveDatabase=Standby,Secondary!T1316,Primary!T1974)</f>
        <v>0</v>
      </c>
      <c r="U1316" s="8">
        <f>IF(ActiveDatabase=Standby,Secondary!U1316,Primary!U1974)</f>
        <v>0</v>
      </c>
      <c r="V1316" s="8">
        <f>IF(ActiveDatabase=Standby,Secondary!V1316,Primary!V1974)</f>
        <v>0</v>
      </c>
      <c r="W1316" s="7">
        <f>IF(ActiveDatabase=Standby,Secondary!W1316,Primary!W1974)</f>
        <v>0</v>
      </c>
      <c r="X1316" s="7">
        <f>IF(ActiveDatabase=Standby,Secondary!X1316,Primary!X1974)</f>
        <v>0</v>
      </c>
      <c r="Y1316" s="7">
        <f>IF(ActiveDatabase=Standby,Secondary!Y1316,Primary!Y1974)</f>
        <v>0</v>
      </c>
      <c r="Z1316" s="7">
        <f>IF(ActiveDatabase=Standby,Secondary!Z1316,Primary!Z1974)</f>
        <v>0</v>
      </c>
      <c r="AA1316" s="7">
        <f>IF(ActiveDatabase=Standby,Secondary!AA1316,Primary!AA1974)</f>
        <v>0</v>
      </c>
      <c r="AB1316" s="7"/>
      <c r="AC1316" s="7"/>
      <c r="AD1316" s="7"/>
      <c r="AE1316" s="7"/>
      <c r="AF1316" s="7"/>
      <c r="AG1316" s="7"/>
      <c r="AH1316" s="7"/>
      <c r="AI1316" s="7"/>
      <c r="AJ1316" s="7"/>
      <c r="AK1316" s="7"/>
      <c r="AL1316" s="7"/>
      <c r="AM1316" s="7"/>
      <c r="AN1316" s="7"/>
      <c r="AO1316" s="7"/>
      <c r="AP1316" s="7"/>
      <c r="AQ1316" s="7"/>
      <c r="AR1316" s="7"/>
      <c r="AS1316" s="7"/>
      <c r="AT1316" s="7"/>
      <c r="AU1316" s="7"/>
      <c r="AV1316" s="7"/>
      <c r="AW1316" s="7"/>
      <c r="AX1316" s="7"/>
      <c r="AY1316" s="7"/>
      <c r="AZ1316" s="7"/>
      <c r="BA1316" s="7"/>
      <c r="BB1316" s="7"/>
      <c r="BC1316" s="7"/>
      <c r="BD1316" s="7"/>
      <c r="BE1316" s="7"/>
      <c r="BF1316" s="7"/>
      <c r="BG1316" s="7"/>
    </row>
    <row r="1317" customHeight="1" spans="1:59">
      <c r="A1317" s="9">
        <f>IF(ActiveDatabase=Standby,Secondary!A1317,Primary!A1975)</f>
        <v>0</v>
      </c>
      <c r="B1317" s="5">
        <f>IF(ActiveDatabase=Standby,Secondary!B1317,Primary!B1975)</f>
        <v>0</v>
      </c>
      <c r="C1317" s="5">
        <f>IF(ActiveDatabase=Standby,Secondary!C1317,Primary!C1975)</f>
        <v>0</v>
      </c>
      <c r="D1317" s="5">
        <f>IF(ActiveDatabase=Standby,Secondary!D1317,Primary!D1975)</f>
        <v>0</v>
      </c>
      <c r="E1317" s="7">
        <f>IF(ActiveDatabase=Standby,Secondary!E1317,Primary!E1975)</f>
        <v>0</v>
      </c>
      <c r="F1317" s="8">
        <f>IF(ActiveDatabase=Standby,Secondary!F1317,Primary!F1975)</f>
        <v>0</v>
      </c>
      <c r="G1317" s="8">
        <f>IF(ActiveDatabase=Standby,Secondary!G1317,Primary!G1975)</f>
        <v>0</v>
      </c>
      <c r="H1317" s="8">
        <f>IF(ActiveDatabase=Standby,Secondary!H1317,Primary!H1975)</f>
        <v>0</v>
      </c>
      <c r="I1317" s="14">
        <f>IF(ActiveDatabase=Standby,Secondary!I1317,Primary!I1975)</f>
        <v>0</v>
      </c>
      <c r="J1317" s="14">
        <f>IF(ActiveDatabase=Standby,Secondary!J1317,Primary!J1975)</f>
        <v>0</v>
      </c>
      <c r="K1317" s="14">
        <f>IF(ActiveDatabase=Standby,Secondary!K1317,Primary!K1975)</f>
        <v>0</v>
      </c>
      <c r="L1317" s="14">
        <f>IF(ActiveDatabase=Standby,Secondary!L1317,Primary!L1975)</f>
        <v>0</v>
      </c>
      <c r="M1317" s="7">
        <f>IF(ActiveDatabase=Standby,Secondary!M1317,Primary!M1975)</f>
        <v>0</v>
      </c>
      <c r="N1317" s="8">
        <f>IF(ActiveDatabase=Standby,Secondary!N1317,Primary!N1975)</f>
        <v>0</v>
      </c>
      <c r="O1317" s="8">
        <f>IF(ActiveDatabase=Standby,Secondary!O1317,Primary!O1975)</f>
        <v>0</v>
      </c>
      <c r="P1317" s="8">
        <f>IF(ActiveDatabase=Standby,Secondary!P1317,Primary!P1975)</f>
        <v>0</v>
      </c>
      <c r="Q1317" s="7">
        <f>IF(ActiveDatabase=Standby,Secondary!Q1317,Primary!Q1975)</f>
        <v>0</v>
      </c>
      <c r="R1317" s="16">
        <f>IF(ActiveDatabase=Standby,Secondary!R1317,Primary!R1975)</f>
        <v>0</v>
      </c>
      <c r="S1317" s="17">
        <f>IF(ActiveDatabase=Standby,Secondary!S1317,Primary!S1975)</f>
        <v>0</v>
      </c>
      <c r="T1317" s="8">
        <f>IF(ActiveDatabase=Standby,Secondary!T1317,Primary!T1975)</f>
        <v>0</v>
      </c>
      <c r="U1317" s="8">
        <f>IF(ActiveDatabase=Standby,Secondary!U1317,Primary!U1975)</f>
        <v>0</v>
      </c>
      <c r="V1317" s="8">
        <f>IF(ActiveDatabase=Standby,Secondary!V1317,Primary!V1975)</f>
        <v>0</v>
      </c>
      <c r="W1317" s="7">
        <f>IF(ActiveDatabase=Standby,Secondary!W1317,Primary!W1975)</f>
        <v>0</v>
      </c>
      <c r="X1317" s="7">
        <f>IF(ActiveDatabase=Standby,Secondary!X1317,Primary!X1975)</f>
        <v>0</v>
      </c>
      <c r="Y1317" s="7">
        <f>IF(ActiveDatabase=Standby,Secondary!Y1317,Primary!Y1975)</f>
        <v>0</v>
      </c>
      <c r="Z1317" s="7">
        <f>IF(ActiveDatabase=Standby,Secondary!Z1317,Primary!Z1975)</f>
        <v>0</v>
      </c>
      <c r="AA1317" s="7">
        <f>IF(ActiveDatabase=Standby,Secondary!AA1317,Primary!AA1975)</f>
        <v>0</v>
      </c>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row>
    <row r="1318" customHeight="1" spans="1:59">
      <c r="A1318" s="9">
        <f>IF(ActiveDatabase=Standby,Secondary!A1318,Primary!A1976)</f>
        <v>0</v>
      </c>
      <c r="B1318" s="5">
        <f>IF(ActiveDatabase=Standby,Secondary!B1318,Primary!B1976)</f>
        <v>0</v>
      </c>
      <c r="C1318" s="5">
        <f>IF(ActiveDatabase=Standby,Secondary!C1318,Primary!C1976)</f>
        <v>0</v>
      </c>
      <c r="D1318" s="5">
        <f>IF(ActiveDatabase=Standby,Secondary!D1318,Primary!D1976)</f>
        <v>0</v>
      </c>
      <c r="E1318" s="7">
        <f>IF(ActiveDatabase=Standby,Secondary!E1318,Primary!E1976)</f>
        <v>0</v>
      </c>
      <c r="F1318" s="8">
        <f>IF(ActiveDatabase=Standby,Secondary!F1318,Primary!F1976)</f>
        <v>0</v>
      </c>
      <c r="G1318" s="8">
        <f>IF(ActiveDatabase=Standby,Secondary!G1318,Primary!G1976)</f>
        <v>0</v>
      </c>
      <c r="H1318" s="8">
        <f>IF(ActiveDatabase=Standby,Secondary!H1318,Primary!H1976)</f>
        <v>0</v>
      </c>
      <c r="I1318" s="14">
        <f>IF(ActiveDatabase=Standby,Secondary!I1318,Primary!I1976)</f>
        <v>0</v>
      </c>
      <c r="J1318" s="14">
        <f>IF(ActiveDatabase=Standby,Secondary!J1318,Primary!J1976)</f>
        <v>0</v>
      </c>
      <c r="K1318" s="14">
        <f>IF(ActiveDatabase=Standby,Secondary!K1318,Primary!K1976)</f>
        <v>0</v>
      </c>
      <c r="L1318" s="14">
        <f>IF(ActiveDatabase=Standby,Secondary!L1318,Primary!L1976)</f>
        <v>0</v>
      </c>
      <c r="M1318" s="7">
        <f>IF(ActiveDatabase=Standby,Secondary!M1318,Primary!M1976)</f>
        <v>0</v>
      </c>
      <c r="N1318" s="8">
        <f>IF(ActiveDatabase=Standby,Secondary!N1318,Primary!N1976)</f>
        <v>0</v>
      </c>
      <c r="O1318" s="8">
        <f>IF(ActiveDatabase=Standby,Secondary!O1318,Primary!O1976)</f>
        <v>0</v>
      </c>
      <c r="P1318" s="8">
        <f>IF(ActiveDatabase=Standby,Secondary!P1318,Primary!P1976)</f>
        <v>0</v>
      </c>
      <c r="Q1318" s="7">
        <f>IF(ActiveDatabase=Standby,Secondary!Q1318,Primary!Q1976)</f>
        <v>0</v>
      </c>
      <c r="R1318" s="16">
        <f>IF(ActiveDatabase=Standby,Secondary!R1318,Primary!R1976)</f>
        <v>0</v>
      </c>
      <c r="S1318" s="17">
        <f>IF(ActiveDatabase=Standby,Secondary!S1318,Primary!S1976)</f>
        <v>0</v>
      </c>
      <c r="T1318" s="8">
        <f>IF(ActiveDatabase=Standby,Secondary!T1318,Primary!T1976)</f>
        <v>0</v>
      </c>
      <c r="U1318" s="8">
        <f>IF(ActiveDatabase=Standby,Secondary!U1318,Primary!U1976)</f>
        <v>0</v>
      </c>
      <c r="V1318" s="8">
        <f>IF(ActiveDatabase=Standby,Secondary!V1318,Primary!V1976)</f>
        <v>0</v>
      </c>
      <c r="W1318" s="7">
        <f>IF(ActiveDatabase=Standby,Secondary!W1318,Primary!W1976)</f>
        <v>0</v>
      </c>
      <c r="X1318" s="7">
        <f>IF(ActiveDatabase=Standby,Secondary!X1318,Primary!X1976)</f>
        <v>0</v>
      </c>
      <c r="Y1318" s="7">
        <f>IF(ActiveDatabase=Standby,Secondary!Y1318,Primary!Y1976)</f>
        <v>0</v>
      </c>
      <c r="Z1318" s="7">
        <f>IF(ActiveDatabase=Standby,Secondary!Z1318,Primary!Z1976)</f>
        <v>0</v>
      </c>
      <c r="AA1318" s="7">
        <f>IF(ActiveDatabase=Standby,Secondary!AA1318,Primary!AA1976)</f>
        <v>0</v>
      </c>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7"/>
      <c r="BD1318" s="7"/>
      <c r="BE1318" s="7"/>
      <c r="BF1318" s="7"/>
      <c r="BG1318" s="7"/>
    </row>
    <row r="1319" customHeight="1" spans="1:59">
      <c r="A1319" s="9">
        <f>IF(ActiveDatabase=Standby,Secondary!A1319,Primary!A1977)</f>
        <v>0</v>
      </c>
      <c r="B1319" s="5">
        <f>IF(ActiveDatabase=Standby,Secondary!B1319,Primary!B1977)</f>
        <v>0</v>
      </c>
      <c r="C1319" s="5">
        <f>IF(ActiveDatabase=Standby,Secondary!C1319,Primary!C1977)</f>
        <v>0</v>
      </c>
      <c r="D1319" s="5">
        <f>IF(ActiveDatabase=Standby,Secondary!D1319,Primary!D1977)</f>
        <v>0</v>
      </c>
      <c r="E1319" s="7">
        <f>IF(ActiveDatabase=Standby,Secondary!E1319,Primary!E1977)</f>
        <v>0</v>
      </c>
      <c r="F1319" s="8">
        <f>IF(ActiveDatabase=Standby,Secondary!F1319,Primary!F1977)</f>
        <v>0</v>
      </c>
      <c r="G1319" s="8">
        <f>IF(ActiveDatabase=Standby,Secondary!G1319,Primary!G1977)</f>
        <v>0</v>
      </c>
      <c r="H1319" s="8">
        <f>IF(ActiveDatabase=Standby,Secondary!H1319,Primary!H1977)</f>
        <v>0</v>
      </c>
      <c r="I1319" s="14">
        <f>IF(ActiveDatabase=Standby,Secondary!I1319,Primary!I1977)</f>
        <v>0</v>
      </c>
      <c r="J1319" s="14">
        <f>IF(ActiveDatabase=Standby,Secondary!J1319,Primary!J1977)</f>
        <v>0</v>
      </c>
      <c r="K1319" s="14">
        <f>IF(ActiveDatabase=Standby,Secondary!K1319,Primary!K1977)</f>
        <v>0</v>
      </c>
      <c r="L1319" s="14">
        <f>IF(ActiveDatabase=Standby,Secondary!L1319,Primary!L1977)</f>
        <v>0</v>
      </c>
      <c r="M1319" s="7">
        <f>IF(ActiveDatabase=Standby,Secondary!M1319,Primary!M1977)</f>
        <v>0</v>
      </c>
      <c r="N1319" s="8">
        <f>IF(ActiveDatabase=Standby,Secondary!N1319,Primary!N1977)</f>
        <v>0</v>
      </c>
      <c r="O1319" s="8">
        <f>IF(ActiveDatabase=Standby,Secondary!O1319,Primary!O1977)</f>
        <v>0</v>
      </c>
      <c r="P1319" s="8">
        <f>IF(ActiveDatabase=Standby,Secondary!P1319,Primary!P1977)</f>
        <v>0</v>
      </c>
      <c r="Q1319" s="7">
        <f>IF(ActiveDatabase=Standby,Secondary!Q1319,Primary!Q1977)</f>
        <v>0</v>
      </c>
      <c r="R1319" s="16">
        <f>IF(ActiveDatabase=Standby,Secondary!R1319,Primary!R1977)</f>
        <v>0</v>
      </c>
      <c r="S1319" s="17">
        <f>IF(ActiveDatabase=Standby,Secondary!S1319,Primary!S1977)</f>
        <v>0</v>
      </c>
      <c r="T1319" s="8">
        <f>IF(ActiveDatabase=Standby,Secondary!T1319,Primary!T1977)</f>
        <v>0</v>
      </c>
      <c r="U1319" s="8">
        <f>IF(ActiveDatabase=Standby,Secondary!U1319,Primary!U1977)</f>
        <v>0</v>
      </c>
      <c r="V1319" s="8">
        <f>IF(ActiveDatabase=Standby,Secondary!V1319,Primary!V1977)</f>
        <v>0</v>
      </c>
      <c r="W1319" s="7">
        <f>IF(ActiveDatabase=Standby,Secondary!W1319,Primary!W1977)</f>
        <v>0</v>
      </c>
      <c r="X1319" s="7">
        <f>IF(ActiveDatabase=Standby,Secondary!X1319,Primary!X1977)</f>
        <v>0</v>
      </c>
      <c r="Y1319" s="7">
        <f>IF(ActiveDatabase=Standby,Secondary!Y1319,Primary!Y1977)</f>
        <v>0</v>
      </c>
      <c r="Z1319" s="7">
        <f>IF(ActiveDatabase=Standby,Secondary!Z1319,Primary!Z1977)</f>
        <v>0</v>
      </c>
      <c r="AA1319" s="7">
        <f>IF(ActiveDatabase=Standby,Secondary!AA1319,Primary!AA1977)</f>
        <v>0</v>
      </c>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row>
    <row r="1320" customHeight="1" spans="1:59">
      <c r="A1320" s="9">
        <f>IF(ActiveDatabase=Standby,Secondary!A1320,Primary!A1978)</f>
        <v>0</v>
      </c>
      <c r="B1320" s="5">
        <f>IF(ActiveDatabase=Standby,Secondary!B1320,Primary!B1978)</f>
        <v>0</v>
      </c>
      <c r="C1320" s="5">
        <f>IF(ActiveDatabase=Standby,Secondary!C1320,Primary!C1978)</f>
        <v>0</v>
      </c>
      <c r="D1320" s="5">
        <f>IF(ActiveDatabase=Standby,Secondary!D1320,Primary!D1978)</f>
        <v>0</v>
      </c>
      <c r="E1320" s="7">
        <f>IF(ActiveDatabase=Standby,Secondary!E1320,Primary!E1978)</f>
        <v>0</v>
      </c>
      <c r="F1320" s="8">
        <f>IF(ActiveDatabase=Standby,Secondary!F1320,Primary!F1978)</f>
        <v>0</v>
      </c>
      <c r="G1320" s="8">
        <f>IF(ActiveDatabase=Standby,Secondary!G1320,Primary!G1978)</f>
        <v>0</v>
      </c>
      <c r="H1320" s="8">
        <f>IF(ActiveDatabase=Standby,Secondary!H1320,Primary!H1978)</f>
        <v>0</v>
      </c>
      <c r="I1320" s="14">
        <f>IF(ActiveDatabase=Standby,Secondary!I1320,Primary!I1978)</f>
        <v>0</v>
      </c>
      <c r="J1320" s="14">
        <f>IF(ActiveDatabase=Standby,Secondary!J1320,Primary!J1978)</f>
        <v>0</v>
      </c>
      <c r="K1320" s="14">
        <f>IF(ActiveDatabase=Standby,Secondary!K1320,Primary!K1978)</f>
        <v>0</v>
      </c>
      <c r="L1320" s="14">
        <f>IF(ActiveDatabase=Standby,Secondary!L1320,Primary!L1978)</f>
        <v>0</v>
      </c>
      <c r="M1320" s="7">
        <f>IF(ActiveDatabase=Standby,Secondary!M1320,Primary!M1978)</f>
        <v>0</v>
      </c>
      <c r="N1320" s="8">
        <f>IF(ActiveDatabase=Standby,Secondary!N1320,Primary!N1978)</f>
        <v>0</v>
      </c>
      <c r="O1320" s="8">
        <f>IF(ActiveDatabase=Standby,Secondary!O1320,Primary!O1978)</f>
        <v>0</v>
      </c>
      <c r="P1320" s="8">
        <f>IF(ActiveDatabase=Standby,Secondary!P1320,Primary!P1978)</f>
        <v>0</v>
      </c>
      <c r="Q1320" s="7">
        <f>IF(ActiveDatabase=Standby,Secondary!Q1320,Primary!Q1978)</f>
        <v>0</v>
      </c>
      <c r="R1320" s="16">
        <f>IF(ActiveDatabase=Standby,Secondary!R1320,Primary!R1978)</f>
        <v>0</v>
      </c>
      <c r="S1320" s="17">
        <f>IF(ActiveDatabase=Standby,Secondary!S1320,Primary!S1978)</f>
        <v>0</v>
      </c>
      <c r="T1320" s="8">
        <f>IF(ActiveDatabase=Standby,Secondary!T1320,Primary!T1978)</f>
        <v>0</v>
      </c>
      <c r="U1320" s="8">
        <f>IF(ActiveDatabase=Standby,Secondary!U1320,Primary!U1978)</f>
        <v>0</v>
      </c>
      <c r="V1320" s="8">
        <f>IF(ActiveDatabase=Standby,Secondary!V1320,Primary!V1978)</f>
        <v>0</v>
      </c>
      <c r="W1320" s="7">
        <f>IF(ActiveDatabase=Standby,Secondary!W1320,Primary!W1978)</f>
        <v>0</v>
      </c>
      <c r="X1320" s="7">
        <f>IF(ActiveDatabase=Standby,Secondary!X1320,Primary!X1978)</f>
        <v>0</v>
      </c>
      <c r="Y1320" s="7">
        <f>IF(ActiveDatabase=Standby,Secondary!Y1320,Primary!Y1978)</f>
        <v>0</v>
      </c>
      <c r="Z1320" s="7">
        <f>IF(ActiveDatabase=Standby,Secondary!Z1320,Primary!Z1978)</f>
        <v>0</v>
      </c>
      <c r="AA1320" s="7">
        <f>IF(ActiveDatabase=Standby,Secondary!AA1320,Primary!AA1978)</f>
        <v>0</v>
      </c>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row>
    <row r="1321" customHeight="1" spans="1:59">
      <c r="A1321" s="9">
        <f>IF(ActiveDatabase=Standby,Secondary!A1321,Primary!A1979)</f>
        <v>0</v>
      </c>
      <c r="B1321" s="5">
        <f>IF(ActiveDatabase=Standby,Secondary!B1321,Primary!B1979)</f>
        <v>0</v>
      </c>
      <c r="C1321" s="5">
        <f>IF(ActiveDatabase=Standby,Secondary!C1321,Primary!C1979)</f>
        <v>0</v>
      </c>
      <c r="D1321" s="5">
        <f>IF(ActiveDatabase=Standby,Secondary!D1321,Primary!D1979)</f>
        <v>0</v>
      </c>
      <c r="E1321" s="7">
        <f>IF(ActiveDatabase=Standby,Secondary!E1321,Primary!E1979)</f>
        <v>0</v>
      </c>
      <c r="F1321" s="8">
        <f>IF(ActiveDatabase=Standby,Secondary!F1321,Primary!F1979)</f>
        <v>0</v>
      </c>
      <c r="G1321" s="8">
        <f>IF(ActiveDatabase=Standby,Secondary!G1321,Primary!G1979)</f>
        <v>0</v>
      </c>
      <c r="H1321" s="8">
        <f>IF(ActiveDatabase=Standby,Secondary!H1321,Primary!H1979)</f>
        <v>0</v>
      </c>
      <c r="I1321" s="14">
        <f>IF(ActiveDatabase=Standby,Secondary!I1321,Primary!I1979)</f>
        <v>0</v>
      </c>
      <c r="J1321" s="14">
        <f>IF(ActiveDatabase=Standby,Secondary!J1321,Primary!J1979)</f>
        <v>0</v>
      </c>
      <c r="K1321" s="14">
        <f>IF(ActiveDatabase=Standby,Secondary!K1321,Primary!K1979)</f>
        <v>0</v>
      </c>
      <c r="L1321" s="14">
        <f>IF(ActiveDatabase=Standby,Secondary!L1321,Primary!L1979)</f>
        <v>0</v>
      </c>
      <c r="M1321" s="7">
        <f>IF(ActiveDatabase=Standby,Secondary!M1321,Primary!M1979)</f>
        <v>0</v>
      </c>
      <c r="N1321" s="8">
        <f>IF(ActiveDatabase=Standby,Secondary!N1321,Primary!N1979)</f>
        <v>0</v>
      </c>
      <c r="O1321" s="8">
        <f>IF(ActiveDatabase=Standby,Secondary!O1321,Primary!O1979)</f>
        <v>0</v>
      </c>
      <c r="P1321" s="8">
        <f>IF(ActiveDatabase=Standby,Secondary!P1321,Primary!P1979)</f>
        <v>0</v>
      </c>
      <c r="Q1321" s="7">
        <f>IF(ActiveDatabase=Standby,Secondary!Q1321,Primary!Q1979)</f>
        <v>0</v>
      </c>
      <c r="R1321" s="16">
        <f>IF(ActiveDatabase=Standby,Secondary!R1321,Primary!R1979)</f>
        <v>0</v>
      </c>
      <c r="S1321" s="17">
        <f>IF(ActiveDatabase=Standby,Secondary!S1321,Primary!S1979)</f>
        <v>0</v>
      </c>
      <c r="T1321" s="8">
        <f>IF(ActiveDatabase=Standby,Secondary!T1321,Primary!T1979)</f>
        <v>0</v>
      </c>
      <c r="U1321" s="8">
        <f>IF(ActiveDatabase=Standby,Secondary!U1321,Primary!U1979)</f>
        <v>0</v>
      </c>
      <c r="V1321" s="8">
        <f>IF(ActiveDatabase=Standby,Secondary!V1321,Primary!V1979)</f>
        <v>0</v>
      </c>
      <c r="W1321" s="7">
        <f>IF(ActiveDatabase=Standby,Secondary!W1321,Primary!W1979)</f>
        <v>0</v>
      </c>
      <c r="X1321" s="7">
        <f>IF(ActiveDatabase=Standby,Secondary!X1321,Primary!X1979)</f>
        <v>0</v>
      </c>
      <c r="Y1321" s="7">
        <f>IF(ActiveDatabase=Standby,Secondary!Y1321,Primary!Y1979)</f>
        <v>0</v>
      </c>
      <c r="Z1321" s="7">
        <f>IF(ActiveDatabase=Standby,Secondary!Z1321,Primary!Z1979)</f>
        <v>0</v>
      </c>
      <c r="AA1321" s="7">
        <f>IF(ActiveDatabase=Standby,Secondary!AA1321,Primary!AA1979)</f>
        <v>0</v>
      </c>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row>
    <row r="1322" customHeight="1" spans="1:59">
      <c r="A1322" s="9">
        <f>IF(ActiveDatabase=Standby,Secondary!A1322,Primary!A1980)</f>
        <v>0</v>
      </c>
      <c r="B1322" s="5">
        <f>IF(ActiveDatabase=Standby,Secondary!B1322,Primary!B1980)</f>
        <v>0</v>
      </c>
      <c r="C1322" s="5">
        <f>IF(ActiveDatabase=Standby,Secondary!C1322,Primary!C1980)</f>
        <v>0</v>
      </c>
      <c r="D1322" s="5">
        <f>IF(ActiveDatabase=Standby,Secondary!D1322,Primary!D1980)</f>
        <v>0</v>
      </c>
      <c r="E1322" s="7">
        <f>IF(ActiveDatabase=Standby,Secondary!E1322,Primary!E1980)</f>
        <v>0</v>
      </c>
      <c r="F1322" s="8">
        <f>IF(ActiveDatabase=Standby,Secondary!F1322,Primary!F1980)</f>
        <v>0</v>
      </c>
      <c r="G1322" s="8">
        <f>IF(ActiveDatabase=Standby,Secondary!G1322,Primary!G1980)</f>
        <v>0</v>
      </c>
      <c r="H1322" s="8">
        <f>IF(ActiveDatabase=Standby,Secondary!H1322,Primary!H1980)</f>
        <v>0</v>
      </c>
      <c r="I1322" s="14">
        <f>IF(ActiveDatabase=Standby,Secondary!I1322,Primary!I1980)</f>
        <v>0</v>
      </c>
      <c r="J1322" s="14">
        <f>IF(ActiveDatabase=Standby,Secondary!J1322,Primary!J1980)</f>
        <v>0</v>
      </c>
      <c r="K1322" s="14">
        <f>IF(ActiveDatabase=Standby,Secondary!K1322,Primary!K1980)</f>
        <v>0</v>
      </c>
      <c r="L1322" s="14">
        <f>IF(ActiveDatabase=Standby,Secondary!L1322,Primary!L1980)</f>
        <v>0</v>
      </c>
      <c r="M1322" s="7">
        <f>IF(ActiveDatabase=Standby,Secondary!M1322,Primary!M1980)</f>
        <v>0</v>
      </c>
      <c r="N1322" s="8">
        <f>IF(ActiveDatabase=Standby,Secondary!N1322,Primary!N1980)</f>
        <v>0</v>
      </c>
      <c r="O1322" s="8">
        <f>IF(ActiveDatabase=Standby,Secondary!O1322,Primary!O1980)</f>
        <v>0</v>
      </c>
      <c r="P1322" s="8">
        <f>IF(ActiveDatabase=Standby,Secondary!P1322,Primary!P1980)</f>
        <v>0</v>
      </c>
      <c r="Q1322" s="7">
        <f>IF(ActiveDatabase=Standby,Secondary!Q1322,Primary!Q1980)</f>
        <v>0</v>
      </c>
      <c r="R1322" s="16">
        <f>IF(ActiveDatabase=Standby,Secondary!R1322,Primary!R1980)</f>
        <v>0</v>
      </c>
      <c r="S1322" s="17">
        <f>IF(ActiveDatabase=Standby,Secondary!S1322,Primary!S1980)</f>
        <v>0</v>
      </c>
      <c r="T1322" s="8">
        <f>IF(ActiveDatabase=Standby,Secondary!T1322,Primary!T1980)</f>
        <v>0</v>
      </c>
      <c r="U1322" s="8">
        <f>IF(ActiveDatabase=Standby,Secondary!U1322,Primary!U1980)</f>
        <v>0</v>
      </c>
      <c r="V1322" s="8">
        <f>IF(ActiveDatabase=Standby,Secondary!V1322,Primary!V1980)</f>
        <v>0</v>
      </c>
      <c r="W1322" s="7">
        <f>IF(ActiveDatabase=Standby,Secondary!W1322,Primary!W1980)</f>
        <v>0</v>
      </c>
      <c r="X1322" s="7">
        <f>IF(ActiveDatabase=Standby,Secondary!X1322,Primary!X1980)</f>
        <v>0</v>
      </c>
      <c r="Y1322" s="7">
        <f>IF(ActiveDatabase=Standby,Secondary!Y1322,Primary!Y1980)</f>
        <v>0</v>
      </c>
      <c r="Z1322" s="7">
        <f>IF(ActiveDatabase=Standby,Secondary!Z1322,Primary!Z1980)</f>
        <v>0</v>
      </c>
      <c r="AA1322" s="7">
        <f>IF(ActiveDatabase=Standby,Secondary!AA1322,Primary!AA1980)</f>
        <v>0</v>
      </c>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row>
    <row r="1323" customHeight="1" spans="1:59">
      <c r="A1323" s="9">
        <f>IF(ActiveDatabase=Standby,Secondary!A1323,Primary!A1981)</f>
        <v>0</v>
      </c>
      <c r="B1323" s="5">
        <f>IF(ActiveDatabase=Standby,Secondary!B1323,Primary!B1981)</f>
        <v>0</v>
      </c>
      <c r="C1323" s="5">
        <f>IF(ActiveDatabase=Standby,Secondary!C1323,Primary!C1981)</f>
        <v>0</v>
      </c>
      <c r="D1323" s="5">
        <f>IF(ActiveDatabase=Standby,Secondary!D1323,Primary!D1981)</f>
        <v>0</v>
      </c>
      <c r="E1323" s="7">
        <f>IF(ActiveDatabase=Standby,Secondary!E1323,Primary!E1981)</f>
        <v>0</v>
      </c>
      <c r="F1323" s="8">
        <f>IF(ActiveDatabase=Standby,Secondary!F1323,Primary!F1981)</f>
        <v>0</v>
      </c>
      <c r="G1323" s="8">
        <f>IF(ActiveDatabase=Standby,Secondary!G1323,Primary!G1981)</f>
        <v>0</v>
      </c>
      <c r="H1323" s="8">
        <f>IF(ActiveDatabase=Standby,Secondary!H1323,Primary!H1981)</f>
        <v>0</v>
      </c>
      <c r="I1323" s="14">
        <f>IF(ActiveDatabase=Standby,Secondary!I1323,Primary!I1981)</f>
        <v>0</v>
      </c>
      <c r="J1323" s="14">
        <f>IF(ActiveDatabase=Standby,Secondary!J1323,Primary!J1981)</f>
        <v>0</v>
      </c>
      <c r="K1323" s="14">
        <f>IF(ActiveDatabase=Standby,Secondary!K1323,Primary!K1981)</f>
        <v>0</v>
      </c>
      <c r="L1323" s="14">
        <f>IF(ActiveDatabase=Standby,Secondary!L1323,Primary!L1981)</f>
        <v>0</v>
      </c>
      <c r="M1323" s="7">
        <f>IF(ActiveDatabase=Standby,Secondary!M1323,Primary!M1981)</f>
        <v>0</v>
      </c>
      <c r="N1323" s="8">
        <f>IF(ActiveDatabase=Standby,Secondary!N1323,Primary!N1981)</f>
        <v>0</v>
      </c>
      <c r="O1323" s="8">
        <f>IF(ActiveDatabase=Standby,Secondary!O1323,Primary!O1981)</f>
        <v>0</v>
      </c>
      <c r="P1323" s="8">
        <f>IF(ActiveDatabase=Standby,Secondary!P1323,Primary!P1981)</f>
        <v>0</v>
      </c>
      <c r="Q1323" s="7">
        <f>IF(ActiveDatabase=Standby,Secondary!Q1323,Primary!Q1981)</f>
        <v>0</v>
      </c>
      <c r="R1323" s="16">
        <f>IF(ActiveDatabase=Standby,Secondary!R1323,Primary!R1981)</f>
        <v>0</v>
      </c>
      <c r="S1323" s="17">
        <f>IF(ActiveDatabase=Standby,Secondary!S1323,Primary!S1981)</f>
        <v>0</v>
      </c>
      <c r="T1323" s="8">
        <f>IF(ActiveDatabase=Standby,Secondary!T1323,Primary!T1981)</f>
        <v>0</v>
      </c>
      <c r="U1323" s="8">
        <f>IF(ActiveDatabase=Standby,Secondary!U1323,Primary!U1981)</f>
        <v>0</v>
      </c>
      <c r="V1323" s="8">
        <f>IF(ActiveDatabase=Standby,Secondary!V1323,Primary!V1981)</f>
        <v>0</v>
      </c>
      <c r="W1323" s="7">
        <f>IF(ActiveDatabase=Standby,Secondary!W1323,Primary!W1981)</f>
        <v>0</v>
      </c>
      <c r="X1323" s="7">
        <f>IF(ActiveDatabase=Standby,Secondary!X1323,Primary!X1981)</f>
        <v>0</v>
      </c>
      <c r="Y1323" s="7">
        <f>IF(ActiveDatabase=Standby,Secondary!Y1323,Primary!Y1981)</f>
        <v>0</v>
      </c>
      <c r="Z1323" s="7">
        <f>IF(ActiveDatabase=Standby,Secondary!Z1323,Primary!Z1981)</f>
        <v>0</v>
      </c>
      <c r="AA1323" s="7">
        <f>IF(ActiveDatabase=Standby,Secondary!AA1323,Primary!AA1981)</f>
        <v>0</v>
      </c>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7"/>
      <c r="BD1323" s="7"/>
      <c r="BE1323" s="7"/>
      <c r="BF1323" s="7"/>
      <c r="BG1323" s="7"/>
    </row>
    <row r="1324" customHeight="1" spans="1:59">
      <c r="A1324" s="9">
        <f>IF(ActiveDatabase=Standby,Secondary!A1324,Primary!A1982)</f>
        <v>0</v>
      </c>
      <c r="B1324" s="5">
        <f>IF(ActiveDatabase=Standby,Secondary!B1324,Primary!B1982)</f>
        <v>0</v>
      </c>
      <c r="C1324" s="5">
        <f>IF(ActiveDatabase=Standby,Secondary!C1324,Primary!C1982)</f>
        <v>0</v>
      </c>
      <c r="D1324" s="5">
        <f>IF(ActiveDatabase=Standby,Secondary!D1324,Primary!D1982)</f>
        <v>0</v>
      </c>
      <c r="E1324" s="7">
        <f>IF(ActiveDatabase=Standby,Secondary!E1324,Primary!E1982)</f>
        <v>0</v>
      </c>
      <c r="F1324" s="8">
        <f>IF(ActiveDatabase=Standby,Secondary!F1324,Primary!F1982)</f>
        <v>0</v>
      </c>
      <c r="G1324" s="8">
        <f>IF(ActiveDatabase=Standby,Secondary!G1324,Primary!G1982)</f>
        <v>0</v>
      </c>
      <c r="H1324" s="8">
        <f>IF(ActiveDatabase=Standby,Secondary!H1324,Primary!H1982)</f>
        <v>0</v>
      </c>
      <c r="I1324" s="14">
        <f>IF(ActiveDatabase=Standby,Secondary!I1324,Primary!I1982)</f>
        <v>0</v>
      </c>
      <c r="J1324" s="14">
        <f>IF(ActiveDatabase=Standby,Secondary!J1324,Primary!J1982)</f>
        <v>0</v>
      </c>
      <c r="K1324" s="14">
        <f>IF(ActiveDatabase=Standby,Secondary!K1324,Primary!K1982)</f>
        <v>0</v>
      </c>
      <c r="L1324" s="14">
        <f>IF(ActiveDatabase=Standby,Secondary!L1324,Primary!L1982)</f>
        <v>0</v>
      </c>
      <c r="M1324" s="7">
        <f>IF(ActiveDatabase=Standby,Secondary!M1324,Primary!M1982)</f>
        <v>0</v>
      </c>
      <c r="N1324" s="8">
        <f>IF(ActiveDatabase=Standby,Secondary!N1324,Primary!N1982)</f>
        <v>0</v>
      </c>
      <c r="O1324" s="8">
        <f>IF(ActiveDatabase=Standby,Secondary!O1324,Primary!O1982)</f>
        <v>0</v>
      </c>
      <c r="P1324" s="8">
        <f>IF(ActiveDatabase=Standby,Secondary!P1324,Primary!P1982)</f>
        <v>0</v>
      </c>
      <c r="Q1324" s="7">
        <f>IF(ActiveDatabase=Standby,Secondary!Q1324,Primary!Q1982)</f>
        <v>0</v>
      </c>
      <c r="R1324" s="16">
        <f>IF(ActiveDatabase=Standby,Secondary!R1324,Primary!R1982)</f>
        <v>0</v>
      </c>
      <c r="S1324" s="17">
        <f>IF(ActiveDatabase=Standby,Secondary!S1324,Primary!S1982)</f>
        <v>0</v>
      </c>
      <c r="T1324" s="8">
        <f>IF(ActiveDatabase=Standby,Secondary!T1324,Primary!T1982)</f>
        <v>0</v>
      </c>
      <c r="U1324" s="8">
        <f>IF(ActiveDatabase=Standby,Secondary!U1324,Primary!U1982)</f>
        <v>0</v>
      </c>
      <c r="V1324" s="8">
        <f>IF(ActiveDatabase=Standby,Secondary!V1324,Primary!V1982)</f>
        <v>0</v>
      </c>
      <c r="W1324" s="7">
        <f>IF(ActiveDatabase=Standby,Secondary!W1324,Primary!W1982)</f>
        <v>0</v>
      </c>
      <c r="X1324" s="7">
        <f>IF(ActiveDatabase=Standby,Secondary!X1324,Primary!X1982)</f>
        <v>0</v>
      </c>
      <c r="Y1324" s="7">
        <f>IF(ActiveDatabase=Standby,Secondary!Y1324,Primary!Y1982)</f>
        <v>0</v>
      </c>
      <c r="Z1324" s="7">
        <f>IF(ActiveDatabase=Standby,Secondary!Z1324,Primary!Z1982)</f>
        <v>0</v>
      </c>
      <c r="AA1324" s="7">
        <f>IF(ActiveDatabase=Standby,Secondary!AA1324,Primary!AA1982)</f>
        <v>0</v>
      </c>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7"/>
      <c r="BD1324" s="7"/>
      <c r="BE1324" s="7"/>
      <c r="BF1324" s="7"/>
      <c r="BG1324" s="7"/>
    </row>
    <row r="1325" customHeight="1" spans="1:59">
      <c r="A1325" s="9">
        <f>IF(ActiveDatabase=Standby,Secondary!A1325,Primary!A1983)</f>
        <v>0</v>
      </c>
      <c r="B1325" s="5">
        <f>IF(ActiveDatabase=Standby,Secondary!B1325,Primary!B1983)</f>
        <v>0</v>
      </c>
      <c r="C1325" s="5">
        <f>IF(ActiveDatabase=Standby,Secondary!C1325,Primary!C1983)</f>
        <v>0</v>
      </c>
      <c r="D1325" s="5">
        <f>IF(ActiveDatabase=Standby,Secondary!D1325,Primary!D1983)</f>
        <v>0</v>
      </c>
      <c r="E1325" s="7">
        <f>IF(ActiveDatabase=Standby,Secondary!E1325,Primary!E1983)</f>
        <v>0</v>
      </c>
      <c r="F1325" s="8">
        <f>IF(ActiveDatabase=Standby,Secondary!F1325,Primary!F1983)</f>
        <v>0</v>
      </c>
      <c r="G1325" s="8">
        <f>IF(ActiveDatabase=Standby,Secondary!G1325,Primary!G1983)</f>
        <v>0</v>
      </c>
      <c r="H1325" s="8">
        <f>IF(ActiveDatabase=Standby,Secondary!H1325,Primary!H1983)</f>
        <v>0</v>
      </c>
      <c r="I1325" s="14">
        <f>IF(ActiveDatabase=Standby,Secondary!I1325,Primary!I1983)</f>
        <v>0</v>
      </c>
      <c r="J1325" s="14">
        <f>IF(ActiveDatabase=Standby,Secondary!J1325,Primary!J1983)</f>
        <v>0</v>
      </c>
      <c r="K1325" s="14">
        <f>IF(ActiveDatabase=Standby,Secondary!K1325,Primary!K1983)</f>
        <v>0</v>
      </c>
      <c r="L1325" s="14">
        <f>IF(ActiveDatabase=Standby,Secondary!L1325,Primary!L1983)</f>
        <v>0</v>
      </c>
      <c r="M1325" s="7">
        <f>IF(ActiveDatabase=Standby,Secondary!M1325,Primary!M1983)</f>
        <v>0</v>
      </c>
      <c r="N1325" s="8">
        <f>IF(ActiveDatabase=Standby,Secondary!N1325,Primary!N1983)</f>
        <v>0</v>
      </c>
      <c r="O1325" s="8">
        <f>IF(ActiveDatabase=Standby,Secondary!O1325,Primary!O1983)</f>
        <v>0</v>
      </c>
      <c r="P1325" s="8">
        <f>IF(ActiveDatabase=Standby,Secondary!P1325,Primary!P1983)</f>
        <v>0</v>
      </c>
      <c r="Q1325" s="7">
        <f>IF(ActiveDatabase=Standby,Secondary!Q1325,Primary!Q1983)</f>
        <v>0</v>
      </c>
      <c r="R1325" s="16">
        <f>IF(ActiveDatabase=Standby,Secondary!R1325,Primary!R1983)</f>
        <v>0</v>
      </c>
      <c r="S1325" s="17">
        <f>IF(ActiveDatabase=Standby,Secondary!S1325,Primary!S1983)</f>
        <v>0</v>
      </c>
      <c r="T1325" s="8">
        <f>IF(ActiveDatabase=Standby,Secondary!T1325,Primary!T1983)</f>
        <v>0</v>
      </c>
      <c r="U1325" s="8">
        <f>IF(ActiveDatabase=Standby,Secondary!U1325,Primary!U1983)</f>
        <v>0</v>
      </c>
      <c r="V1325" s="8">
        <f>IF(ActiveDatabase=Standby,Secondary!V1325,Primary!V1983)</f>
        <v>0</v>
      </c>
      <c r="W1325" s="7">
        <f>IF(ActiveDatabase=Standby,Secondary!W1325,Primary!W1983)</f>
        <v>0</v>
      </c>
      <c r="X1325" s="7">
        <f>IF(ActiveDatabase=Standby,Secondary!X1325,Primary!X1983)</f>
        <v>0</v>
      </c>
      <c r="Y1325" s="7">
        <f>IF(ActiveDatabase=Standby,Secondary!Y1325,Primary!Y1983)</f>
        <v>0</v>
      </c>
      <c r="Z1325" s="7">
        <f>IF(ActiveDatabase=Standby,Secondary!Z1325,Primary!Z1983)</f>
        <v>0</v>
      </c>
      <c r="AA1325" s="7">
        <f>IF(ActiveDatabase=Standby,Secondary!AA1325,Primary!AA1983)</f>
        <v>0</v>
      </c>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c r="AX1325" s="7"/>
      <c r="AY1325" s="7"/>
      <c r="AZ1325" s="7"/>
      <c r="BA1325" s="7"/>
      <c r="BB1325" s="7"/>
      <c r="BC1325" s="7"/>
      <c r="BD1325" s="7"/>
      <c r="BE1325" s="7"/>
      <c r="BF1325" s="7"/>
      <c r="BG1325" s="7"/>
    </row>
    <row r="1326" customHeight="1" spans="1:59">
      <c r="A1326" s="9">
        <f>IF(ActiveDatabase=Standby,Secondary!A1326,Primary!A1984)</f>
        <v>0</v>
      </c>
      <c r="B1326" s="5">
        <f>IF(ActiveDatabase=Standby,Secondary!B1326,Primary!B1984)</f>
        <v>0</v>
      </c>
      <c r="C1326" s="5">
        <f>IF(ActiveDatabase=Standby,Secondary!C1326,Primary!C1984)</f>
        <v>0</v>
      </c>
      <c r="D1326" s="5">
        <f>IF(ActiveDatabase=Standby,Secondary!D1326,Primary!D1984)</f>
        <v>0</v>
      </c>
      <c r="E1326" s="7">
        <f>IF(ActiveDatabase=Standby,Secondary!E1326,Primary!E1984)</f>
        <v>0</v>
      </c>
      <c r="F1326" s="8">
        <f>IF(ActiveDatabase=Standby,Secondary!F1326,Primary!F1984)</f>
        <v>0</v>
      </c>
      <c r="G1326" s="8">
        <f>IF(ActiveDatabase=Standby,Secondary!G1326,Primary!G1984)</f>
        <v>0</v>
      </c>
      <c r="H1326" s="8">
        <f>IF(ActiveDatabase=Standby,Secondary!H1326,Primary!H1984)</f>
        <v>0</v>
      </c>
      <c r="I1326" s="14">
        <f>IF(ActiveDatabase=Standby,Secondary!I1326,Primary!I1984)</f>
        <v>0</v>
      </c>
      <c r="J1326" s="14">
        <f>IF(ActiveDatabase=Standby,Secondary!J1326,Primary!J1984)</f>
        <v>0</v>
      </c>
      <c r="K1326" s="14">
        <f>IF(ActiveDatabase=Standby,Secondary!K1326,Primary!K1984)</f>
        <v>0</v>
      </c>
      <c r="L1326" s="14">
        <f>IF(ActiveDatabase=Standby,Secondary!L1326,Primary!L1984)</f>
        <v>0</v>
      </c>
      <c r="M1326" s="7">
        <f>IF(ActiveDatabase=Standby,Secondary!M1326,Primary!M1984)</f>
        <v>0</v>
      </c>
      <c r="N1326" s="8">
        <f>IF(ActiveDatabase=Standby,Secondary!N1326,Primary!N1984)</f>
        <v>0</v>
      </c>
      <c r="O1326" s="8">
        <f>IF(ActiveDatabase=Standby,Secondary!O1326,Primary!O1984)</f>
        <v>0</v>
      </c>
      <c r="P1326" s="8">
        <f>IF(ActiveDatabase=Standby,Secondary!P1326,Primary!P1984)</f>
        <v>0</v>
      </c>
      <c r="Q1326" s="7">
        <f>IF(ActiveDatabase=Standby,Secondary!Q1326,Primary!Q1984)</f>
        <v>0</v>
      </c>
      <c r="R1326" s="16">
        <f>IF(ActiveDatabase=Standby,Secondary!R1326,Primary!R1984)</f>
        <v>0</v>
      </c>
      <c r="S1326" s="17">
        <f>IF(ActiveDatabase=Standby,Secondary!S1326,Primary!S1984)</f>
        <v>0</v>
      </c>
      <c r="T1326" s="8">
        <f>IF(ActiveDatabase=Standby,Secondary!T1326,Primary!T1984)</f>
        <v>0</v>
      </c>
      <c r="U1326" s="8">
        <f>IF(ActiveDatabase=Standby,Secondary!U1326,Primary!U1984)</f>
        <v>0</v>
      </c>
      <c r="V1326" s="8">
        <f>IF(ActiveDatabase=Standby,Secondary!V1326,Primary!V1984)</f>
        <v>0</v>
      </c>
      <c r="W1326" s="7">
        <f>IF(ActiveDatabase=Standby,Secondary!W1326,Primary!W1984)</f>
        <v>0</v>
      </c>
      <c r="X1326" s="7">
        <f>IF(ActiveDatabase=Standby,Secondary!X1326,Primary!X1984)</f>
        <v>0</v>
      </c>
      <c r="Y1326" s="7">
        <f>IF(ActiveDatabase=Standby,Secondary!Y1326,Primary!Y1984)</f>
        <v>0</v>
      </c>
      <c r="Z1326" s="7">
        <f>IF(ActiveDatabase=Standby,Secondary!Z1326,Primary!Z1984)</f>
        <v>0</v>
      </c>
      <c r="AA1326" s="7">
        <f>IF(ActiveDatabase=Standby,Secondary!AA1326,Primary!AA1984)</f>
        <v>0</v>
      </c>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7"/>
      <c r="AZ1326" s="7"/>
      <c r="BA1326" s="7"/>
      <c r="BB1326" s="7"/>
      <c r="BC1326" s="7"/>
      <c r="BD1326" s="7"/>
      <c r="BE1326" s="7"/>
      <c r="BF1326" s="7"/>
      <c r="BG1326" s="7"/>
    </row>
    <row r="1327" customHeight="1" spans="1:59">
      <c r="A1327" s="9">
        <f>IF(ActiveDatabase=Standby,Secondary!A1327,Primary!A1985)</f>
        <v>0</v>
      </c>
      <c r="B1327" s="5">
        <f>IF(ActiveDatabase=Standby,Secondary!B1327,Primary!B1985)</f>
        <v>0</v>
      </c>
      <c r="C1327" s="5">
        <f>IF(ActiveDatabase=Standby,Secondary!C1327,Primary!C1985)</f>
        <v>0</v>
      </c>
      <c r="D1327" s="5">
        <f>IF(ActiveDatabase=Standby,Secondary!D1327,Primary!D1985)</f>
        <v>0</v>
      </c>
      <c r="E1327" s="7">
        <f>IF(ActiveDatabase=Standby,Secondary!E1327,Primary!E1985)</f>
        <v>0</v>
      </c>
      <c r="F1327" s="8">
        <f>IF(ActiveDatabase=Standby,Secondary!F1327,Primary!F1985)</f>
        <v>0</v>
      </c>
      <c r="G1327" s="8">
        <f>IF(ActiveDatabase=Standby,Secondary!G1327,Primary!G1985)</f>
        <v>0</v>
      </c>
      <c r="H1327" s="8">
        <f>IF(ActiveDatabase=Standby,Secondary!H1327,Primary!H1985)</f>
        <v>0</v>
      </c>
      <c r="I1327" s="14">
        <f>IF(ActiveDatabase=Standby,Secondary!I1327,Primary!I1985)</f>
        <v>0</v>
      </c>
      <c r="J1327" s="14">
        <f>IF(ActiveDatabase=Standby,Secondary!J1327,Primary!J1985)</f>
        <v>0</v>
      </c>
      <c r="K1327" s="14">
        <f>IF(ActiveDatabase=Standby,Secondary!K1327,Primary!K1985)</f>
        <v>0</v>
      </c>
      <c r="L1327" s="14">
        <f>IF(ActiveDatabase=Standby,Secondary!L1327,Primary!L1985)</f>
        <v>0</v>
      </c>
      <c r="M1327" s="7">
        <f>IF(ActiveDatabase=Standby,Secondary!M1327,Primary!M1985)</f>
        <v>0</v>
      </c>
      <c r="N1327" s="8">
        <f>IF(ActiveDatabase=Standby,Secondary!N1327,Primary!N1985)</f>
        <v>0</v>
      </c>
      <c r="O1327" s="8">
        <f>IF(ActiveDatabase=Standby,Secondary!O1327,Primary!O1985)</f>
        <v>0</v>
      </c>
      <c r="P1327" s="8">
        <f>IF(ActiveDatabase=Standby,Secondary!P1327,Primary!P1985)</f>
        <v>0</v>
      </c>
      <c r="Q1327" s="7">
        <f>IF(ActiveDatabase=Standby,Secondary!Q1327,Primary!Q1985)</f>
        <v>0</v>
      </c>
      <c r="R1327" s="16">
        <f>IF(ActiveDatabase=Standby,Secondary!R1327,Primary!R1985)</f>
        <v>0</v>
      </c>
      <c r="S1327" s="17">
        <f>IF(ActiveDatabase=Standby,Secondary!S1327,Primary!S1985)</f>
        <v>0</v>
      </c>
      <c r="T1327" s="8">
        <f>IF(ActiveDatabase=Standby,Secondary!T1327,Primary!T1985)</f>
        <v>0</v>
      </c>
      <c r="U1327" s="8">
        <f>IF(ActiveDatabase=Standby,Secondary!U1327,Primary!U1985)</f>
        <v>0</v>
      </c>
      <c r="V1327" s="8">
        <f>IF(ActiveDatabase=Standby,Secondary!V1327,Primary!V1985)</f>
        <v>0</v>
      </c>
      <c r="W1327" s="7">
        <f>IF(ActiveDatabase=Standby,Secondary!W1327,Primary!W1985)</f>
        <v>0</v>
      </c>
      <c r="X1327" s="7">
        <f>IF(ActiveDatabase=Standby,Secondary!X1327,Primary!X1985)</f>
        <v>0</v>
      </c>
      <c r="Y1327" s="7">
        <f>IF(ActiveDatabase=Standby,Secondary!Y1327,Primary!Y1985)</f>
        <v>0</v>
      </c>
      <c r="Z1327" s="7">
        <f>IF(ActiveDatabase=Standby,Secondary!Z1327,Primary!Z1985)</f>
        <v>0</v>
      </c>
      <c r="AA1327" s="7">
        <f>IF(ActiveDatabase=Standby,Secondary!AA1327,Primary!AA1985)</f>
        <v>0</v>
      </c>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7"/>
    </row>
    <row r="1328" customHeight="1" spans="1:59">
      <c r="A1328" s="9">
        <f>IF(ActiveDatabase=Standby,Secondary!A1328,Primary!A1986)</f>
        <v>0</v>
      </c>
      <c r="B1328" s="5">
        <f>IF(ActiveDatabase=Standby,Secondary!B1328,Primary!B1986)</f>
        <v>0</v>
      </c>
      <c r="C1328" s="5">
        <f>IF(ActiveDatabase=Standby,Secondary!C1328,Primary!C1986)</f>
        <v>0</v>
      </c>
      <c r="D1328" s="5">
        <f>IF(ActiveDatabase=Standby,Secondary!D1328,Primary!D1986)</f>
        <v>0</v>
      </c>
      <c r="E1328" s="7">
        <f>IF(ActiveDatabase=Standby,Secondary!E1328,Primary!E1986)</f>
        <v>0</v>
      </c>
      <c r="F1328" s="8">
        <f>IF(ActiveDatabase=Standby,Secondary!F1328,Primary!F1986)</f>
        <v>0</v>
      </c>
      <c r="G1328" s="8">
        <f>IF(ActiveDatabase=Standby,Secondary!G1328,Primary!G1986)</f>
        <v>0</v>
      </c>
      <c r="H1328" s="8">
        <f>IF(ActiveDatabase=Standby,Secondary!H1328,Primary!H1986)</f>
        <v>0</v>
      </c>
      <c r="I1328" s="14">
        <f>IF(ActiveDatabase=Standby,Secondary!I1328,Primary!I1986)</f>
        <v>0</v>
      </c>
      <c r="J1328" s="14">
        <f>IF(ActiveDatabase=Standby,Secondary!J1328,Primary!J1986)</f>
        <v>0</v>
      </c>
      <c r="K1328" s="14">
        <f>IF(ActiveDatabase=Standby,Secondary!K1328,Primary!K1986)</f>
        <v>0</v>
      </c>
      <c r="L1328" s="14">
        <f>IF(ActiveDatabase=Standby,Secondary!L1328,Primary!L1986)</f>
        <v>0</v>
      </c>
      <c r="M1328" s="7">
        <f>IF(ActiveDatabase=Standby,Secondary!M1328,Primary!M1986)</f>
        <v>0</v>
      </c>
      <c r="N1328" s="8">
        <f>IF(ActiveDatabase=Standby,Secondary!N1328,Primary!N1986)</f>
        <v>0</v>
      </c>
      <c r="O1328" s="8">
        <f>IF(ActiveDatabase=Standby,Secondary!O1328,Primary!O1986)</f>
        <v>0</v>
      </c>
      <c r="P1328" s="8">
        <f>IF(ActiveDatabase=Standby,Secondary!P1328,Primary!P1986)</f>
        <v>0</v>
      </c>
      <c r="Q1328" s="7">
        <f>IF(ActiveDatabase=Standby,Secondary!Q1328,Primary!Q1986)</f>
        <v>0</v>
      </c>
      <c r="R1328" s="16">
        <f>IF(ActiveDatabase=Standby,Secondary!R1328,Primary!R1986)</f>
        <v>0</v>
      </c>
      <c r="S1328" s="17">
        <f>IF(ActiveDatabase=Standby,Secondary!S1328,Primary!S1986)</f>
        <v>0</v>
      </c>
      <c r="T1328" s="8">
        <f>IF(ActiveDatabase=Standby,Secondary!T1328,Primary!T1986)</f>
        <v>0</v>
      </c>
      <c r="U1328" s="8">
        <f>IF(ActiveDatabase=Standby,Secondary!U1328,Primary!U1986)</f>
        <v>0</v>
      </c>
      <c r="V1328" s="8">
        <f>IF(ActiveDatabase=Standby,Secondary!V1328,Primary!V1986)</f>
        <v>0</v>
      </c>
      <c r="W1328" s="7">
        <f>IF(ActiveDatabase=Standby,Secondary!W1328,Primary!W1986)</f>
        <v>0</v>
      </c>
      <c r="X1328" s="7">
        <f>IF(ActiveDatabase=Standby,Secondary!X1328,Primary!X1986)</f>
        <v>0</v>
      </c>
      <c r="Y1328" s="7">
        <f>IF(ActiveDatabase=Standby,Secondary!Y1328,Primary!Y1986)</f>
        <v>0</v>
      </c>
      <c r="Z1328" s="7">
        <f>IF(ActiveDatabase=Standby,Secondary!Z1328,Primary!Z1986)</f>
        <v>0</v>
      </c>
      <c r="AA1328" s="7">
        <f>IF(ActiveDatabase=Standby,Secondary!AA1328,Primary!AA1986)</f>
        <v>0</v>
      </c>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c r="AX1328" s="7"/>
      <c r="AY1328" s="7"/>
      <c r="AZ1328" s="7"/>
      <c r="BA1328" s="7"/>
      <c r="BB1328" s="7"/>
      <c r="BC1328" s="7"/>
      <c r="BD1328" s="7"/>
      <c r="BE1328" s="7"/>
      <c r="BF1328" s="7"/>
      <c r="BG1328" s="7"/>
    </row>
    <row r="1329" customHeight="1" spans="1:59">
      <c r="A1329" s="9">
        <f>IF(ActiveDatabase=Standby,Secondary!A1329,Primary!A1987)</f>
        <v>0</v>
      </c>
      <c r="B1329" s="5">
        <f>IF(ActiveDatabase=Standby,Secondary!B1329,Primary!B1987)</f>
        <v>0</v>
      </c>
      <c r="C1329" s="5">
        <f>IF(ActiveDatabase=Standby,Secondary!C1329,Primary!C1987)</f>
        <v>0</v>
      </c>
      <c r="D1329" s="5">
        <f>IF(ActiveDatabase=Standby,Secondary!D1329,Primary!D1987)</f>
        <v>0</v>
      </c>
      <c r="E1329" s="7">
        <f>IF(ActiveDatabase=Standby,Secondary!E1329,Primary!E1987)</f>
        <v>0</v>
      </c>
      <c r="F1329" s="8">
        <f>IF(ActiveDatabase=Standby,Secondary!F1329,Primary!F1987)</f>
        <v>0</v>
      </c>
      <c r="G1329" s="8">
        <f>IF(ActiveDatabase=Standby,Secondary!G1329,Primary!G1987)</f>
        <v>0</v>
      </c>
      <c r="H1329" s="8">
        <f>IF(ActiveDatabase=Standby,Secondary!H1329,Primary!H1987)</f>
        <v>0</v>
      </c>
      <c r="I1329" s="14">
        <f>IF(ActiveDatabase=Standby,Secondary!I1329,Primary!I1987)</f>
        <v>0</v>
      </c>
      <c r="J1329" s="14">
        <f>IF(ActiveDatabase=Standby,Secondary!J1329,Primary!J1987)</f>
        <v>0</v>
      </c>
      <c r="K1329" s="14">
        <f>IF(ActiveDatabase=Standby,Secondary!K1329,Primary!K1987)</f>
        <v>0</v>
      </c>
      <c r="L1329" s="14">
        <f>IF(ActiveDatabase=Standby,Secondary!L1329,Primary!L1987)</f>
        <v>0</v>
      </c>
      <c r="M1329" s="7">
        <f>IF(ActiveDatabase=Standby,Secondary!M1329,Primary!M1987)</f>
        <v>0</v>
      </c>
      <c r="N1329" s="8">
        <f>IF(ActiveDatabase=Standby,Secondary!N1329,Primary!N1987)</f>
        <v>0</v>
      </c>
      <c r="O1329" s="8">
        <f>IF(ActiveDatabase=Standby,Secondary!O1329,Primary!O1987)</f>
        <v>0</v>
      </c>
      <c r="P1329" s="8">
        <f>IF(ActiveDatabase=Standby,Secondary!P1329,Primary!P1987)</f>
        <v>0</v>
      </c>
      <c r="Q1329" s="7">
        <f>IF(ActiveDatabase=Standby,Secondary!Q1329,Primary!Q1987)</f>
        <v>0</v>
      </c>
      <c r="R1329" s="16">
        <f>IF(ActiveDatabase=Standby,Secondary!R1329,Primary!R1987)</f>
        <v>0</v>
      </c>
      <c r="S1329" s="17">
        <f>IF(ActiveDatabase=Standby,Secondary!S1329,Primary!S1987)</f>
        <v>0</v>
      </c>
      <c r="T1329" s="8">
        <f>IF(ActiveDatabase=Standby,Secondary!T1329,Primary!T1987)</f>
        <v>0</v>
      </c>
      <c r="U1329" s="8">
        <f>IF(ActiveDatabase=Standby,Secondary!U1329,Primary!U1987)</f>
        <v>0</v>
      </c>
      <c r="V1329" s="8">
        <f>IF(ActiveDatabase=Standby,Secondary!V1329,Primary!V1987)</f>
        <v>0</v>
      </c>
      <c r="W1329" s="7">
        <f>IF(ActiveDatabase=Standby,Secondary!W1329,Primary!W1987)</f>
        <v>0</v>
      </c>
      <c r="X1329" s="7">
        <f>IF(ActiveDatabase=Standby,Secondary!X1329,Primary!X1987)</f>
        <v>0</v>
      </c>
      <c r="Y1329" s="7">
        <f>IF(ActiveDatabase=Standby,Secondary!Y1329,Primary!Y1987)</f>
        <v>0</v>
      </c>
      <c r="Z1329" s="7">
        <f>IF(ActiveDatabase=Standby,Secondary!Z1329,Primary!Z1987)</f>
        <v>0</v>
      </c>
      <c r="AA1329" s="7">
        <f>IF(ActiveDatabase=Standby,Secondary!AA1329,Primary!AA1987)</f>
        <v>0</v>
      </c>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row>
    <row r="1330" customHeight="1" spans="1:59">
      <c r="A1330" s="9">
        <f>IF(ActiveDatabase=Standby,Secondary!A1330,Primary!A1988)</f>
        <v>0</v>
      </c>
      <c r="B1330" s="5">
        <f>IF(ActiveDatabase=Standby,Secondary!B1330,Primary!B1988)</f>
        <v>0</v>
      </c>
      <c r="C1330" s="5">
        <f>IF(ActiveDatabase=Standby,Secondary!C1330,Primary!C1988)</f>
        <v>0</v>
      </c>
      <c r="D1330" s="5">
        <f>IF(ActiveDatabase=Standby,Secondary!D1330,Primary!D1988)</f>
        <v>0</v>
      </c>
      <c r="E1330" s="7">
        <f>IF(ActiveDatabase=Standby,Secondary!E1330,Primary!E1988)</f>
        <v>0</v>
      </c>
      <c r="F1330" s="8">
        <f>IF(ActiveDatabase=Standby,Secondary!F1330,Primary!F1988)</f>
        <v>0</v>
      </c>
      <c r="G1330" s="8">
        <f>IF(ActiveDatabase=Standby,Secondary!G1330,Primary!G1988)</f>
        <v>0</v>
      </c>
      <c r="H1330" s="8">
        <f>IF(ActiveDatabase=Standby,Secondary!H1330,Primary!H1988)</f>
        <v>0</v>
      </c>
      <c r="I1330" s="14">
        <f>IF(ActiveDatabase=Standby,Secondary!I1330,Primary!I1988)</f>
        <v>0</v>
      </c>
      <c r="J1330" s="14">
        <f>IF(ActiveDatabase=Standby,Secondary!J1330,Primary!J1988)</f>
        <v>0</v>
      </c>
      <c r="K1330" s="14">
        <f>IF(ActiveDatabase=Standby,Secondary!K1330,Primary!K1988)</f>
        <v>0</v>
      </c>
      <c r="L1330" s="14">
        <f>IF(ActiveDatabase=Standby,Secondary!L1330,Primary!L1988)</f>
        <v>0</v>
      </c>
      <c r="M1330" s="7">
        <f>IF(ActiveDatabase=Standby,Secondary!M1330,Primary!M1988)</f>
        <v>0</v>
      </c>
      <c r="N1330" s="8">
        <f>IF(ActiveDatabase=Standby,Secondary!N1330,Primary!N1988)</f>
        <v>0</v>
      </c>
      <c r="O1330" s="8">
        <f>IF(ActiveDatabase=Standby,Secondary!O1330,Primary!O1988)</f>
        <v>0</v>
      </c>
      <c r="P1330" s="8">
        <f>IF(ActiveDatabase=Standby,Secondary!P1330,Primary!P1988)</f>
        <v>0</v>
      </c>
      <c r="Q1330" s="7">
        <f>IF(ActiveDatabase=Standby,Secondary!Q1330,Primary!Q1988)</f>
        <v>0</v>
      </c>
      <c r="R1330" s="16">
        <f>IF(ActiveDatabase=Standby,Secondary!R1330,Primary!R1988)</f>
        <v>0</v>
      </c>
      <c r="S1330" s="17">
        <f>IF(ActiveDatabase=Standby,Secondary!S1330,Primary!S1988)</f>
        <v>0</v>
      </c>
      <c r="T1330" s="8">
        <f>IF(ActiveDatabase=Standby,Secondary!T1330,Primary!T1988)</f>
        <v>0</v>
      </c>
      <c r="U1330" s="8">
        <f>IF(ActiveDatabase=Standby,Secondary!U1330,Primary!U1988)</f>
        <v>0</v>
      </c>
      <c r="V1330" s="8">
        <f>IF(ActiveDatabase=Standby,Secondary!V1330,Primary!V1988)</f>
        <v>0</v>
      </c>
      <c r="W1330" s="7">
        <f>IF(ActiveDatabase=Standby,Secondary!W1330,Primary!W1988)</f>
        <v>0</v>
      </c>
      <c r="X1330" s="7">
        <f>IF(ActiveDatabase=Standby,Secondary!X1330,Primary!X1988)</f>
        <v>0</v>
      </c>
      <c r="Y1330" s="7">
        <f>IF(ActiveDatabase=Standby,Secondary!Y1330,Primary!Y1988)</f>
        <v>0</v>
      </c>
      <c r="Z1330" s="7">
        <f>IF(ActiveDatabase=Standby,Secondary!Z1330,Primary!Z1988)</f>
        <v>0</v>
      </c>
      <c r="AA1330" s="7">
        <f>IF(ActiveDatabase=Standby,Secondary!AA1330,Primary!AA1988)</f>
        <v>0</v>
      </c>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row>
    <row r="1331" customHeight="1" spans="1:59">
      <c r="A1331" s="9">
        <f>IF(ActiveDatabase=Standby,Secondary!A1331,Primary!A1989)</f>
        <v>0</v>
      </c>
      <c r="B1331" s="5">
        <f>IF(ActiveDatabase=Standby,Secondary!B1331,Primary!B1989)</f>
        <v>0</v>
      </c>
      <c r="C1331" s="5">
        <f>IF(ActiveDatabase=Standby,Secondary!C1331,Primary!C1989)</f>
        <v>0</v>
      </c>
      <c r="D1331" s="5">
        <f>IF(ActiveDatabase=Standby,Secondary!D1331,Primary!D1989)</f>
        <v>0</v>
      </c>
      <c r="E1331" s="7">
        <f>IF(ActiveDatabase=Standby,Secondary!E1331,Primary!E1989)</f>
        <v>0</v>
      </c>
      <c r="F1331" s="8">
        <f>IF(ActiveDatabase=Standby,Secondary!F1331,Primary!F1989)</f>
        <v>0</v>
      </c>
      <c r="G1331" s="8">
        <f>IF(ActiveDatabase=Standby,Secondary!G1331,Primary!G1989)</f>
        <v>0</v>
      </c>
      <c r="H1331" s="8">
        <f>IF(ActiveDatabase=Standby,Secondary!H1331,Primary!H1989)</f>
        <v>0</v>
      </c>
      <c r="I1331" s="14">
        <f>IF(ActiveDatabase=Standby,Secondary!I1331,Primary!I1989)</f>
        <v>0</v>
      </c>
      <c r="J1331" s="14">
        <f>IF(ActiveDatabase=Standby,Secondary!J1331,Primary!J1989)</f>
        <v>0</v>
      </c>
      <c r="K1331" s="14">
        <f>IF(ActiveDatabase=Standby,Secondary!K1331,Primary!K1989)</f>
        <v>0</v>
      </c>
      <c r="L1331" s="14">
        <f>IF(ActiveDatabase=Standby,Secondary!L1331,Primary!L1989)</f>
        <v>0</v>
      </c>
      <c r="M1331" s="7">
        <f>IF(ActiveDatabase=Standby,Secondary!M1331,Primary!M1989)</f>
        <v>0</v>
      </c>
      <c r="N1331" s="8">
        <f>IF(ActiveDatabase=Standby,Secondary!N1331,Primary!N1989)</f>
        <v>0</v>
      </c>
      <c r="O1331" s="8">
        <f>IF(ActiveDatabase=Standby,Secondary!O1331,Primary!O1989)</f>
        <v>0</v>
      </c>
      <c r="P1331" s="8">
        <f>IF(ActiveDatabase=Standby,Secondary!P1331,Primary!P1989)</f>
        <v>0</v>
      </c>
      <c r="Q1331" s="7">
        <f>IF(ActiveDatabase=Standby,Secondary!Q1331,Primary!Q1989)</f>
        <v>0</v>
      </c>
      <c r="R1331" s="16">
        <f>IF(ActiveDatabase=Standby,Secondary!R1331,Primary!R1989)</f>
        <v>0</v>
      </c>
      <c r="S1331" s="17">
        <f>IF(ActiveDatabase=Standby,Secondary!S1331,Primary!S1989)</f>
        <v>0</v>
      </c>
      <c r="T1331" s="8">
        <f>IF(ActiveDatabase=Standby,Secondary!T1331,Primary!T1989)</f>
        <v>0</v>
      </c>
      <c r="U1331" s="8">
        <f>IF(ActiveDatabase=Standby,Secondary!U1331,Primary!U1989)</f>
        <v>0</v>
      </c>
      <c r="V1331" s="8">
        <f>IF(ActiveDatabase=Standby,Secondary!V1331,Primary!V1989)</f>
        <v>0</v>
      </c>
      <c r="W1331" s="7">
        <f>IF(ActiveDatabase=Standby,Secondary!W1331,Primary!W1989)</f>
        <v>0</v>
      </c>
      <c r="X1331" s="7">
        <f>IF(ActiveDatabase=Standby,Secondary!X1331,Primary!X1989)</f>
        <v>0</v>
      </c>
      <c r="Y1331" s="7">
        <f>IF(ActiveDatabase=Standby,Secondary!Y1331,Primary!Y1989)</f>
        <v>0</v>
      </c>
      <c r="Z1331" s="7">
        <f>IF(ActiveDatabase=Standby,Secondary!Z1331,Primary!Z1989)</f>
        <v>0</v>
      </c>
      <c r="AA1331" s="7">
        <f>IF(ActiveDatabase=Standby,Secondary!AA1331,Primary!AA1989)</f>
        <v>0</v>
      </c>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row>
    <row r="1332" customHeight="1" spans="1:59">
      <c r="A1332" s="9">
        <f>IF(ActiveDatabase=Standby,Secondary!A1332,Primary!A1990)</f>
        <v>0</v>
      </c>
      <c r="B1332" s="5">
        <f>IF(ActiveDatabase=Standby,Secondary!B1332,Primary!B1990)</f>
        <v>0</v>
      </c>
      <c r="C1332" s="5">
        <f>IF(ActiveDatabase=Standby,Secondary!C1332,Primary!C1990)</f>
        <v>0</v>
      </c>
      <c r="D1332" s="5">
        <f>IF(ActiveDatabase=Standby,Secondary!D1332,Primary!D1990)</f>
        <v>0</v>
      </c>
      <c r="E1332" s="7">
        <f>IF(ActiveDatabase=Standby,Secondary!E1332,Primary!E1990)</f>
        <v>0</v>
      </c>
      <c r="F1332" s="8">
        <f>IF(ActiveDatabase=Standby,Secondary!F1332,Primary!F1990)</f>
        <v>0</v>
      </c>
      <c r="G1332" s="8">
        <f>IF(ActiveDatabase=Standby,Secondary!G1332,Primary!G1990)</f>
        <v>0</v>
      </c>
      <c r="H1332" s="8">
        <f>IF(ActiveDatabase=Standby,Secondary!H1332,Primary!H1990)</f>
        <v>0</v>
      </c>
      <c r="I1332" s="14">
        <f>IF(ActiveDatabase=Standby,Secondary!I1332,Primary!I1990)</f>
        <v>0</v>
      </c>
      <c r="J1332" s="14">
        <f>IF(ActiveDatabase=Standby,Secondary!J1332,Primary!J1990)</f>
        <v>0</v>
      </c>
      <c r="K1332" s="14">
        <f>IF(ActiveDatabase=Standby,Secondary!K1332,Primary!K1990)</f>
        <v>0</v>
      </c>
      <c r="L1332" s="14">
        <f>IF(ActiveDatabase=Standby,Secondary!L1332,Primary!L1990)</f>
        <v>0</v>
      </c>
      <c r="M1332" s="7">
        <f>IF(ActiveDatabase=Standby,Secondary!M1332,Primary!M1990)</f>
        <v>0</v>
      </c>
      <c r="N1332" s="8">
        <f>IF(ActiveDatabase=Standby,Secondary!N1332,Primary!N1990)</f>
        <v>0</v>
      </c>
      <c r="O1332" s="8">
        <f>IF(ActiveDatabase=Standby,Secondary!O1332,Primary!O1990)</f>
        <v>0</v>
      </c>
      <c r="P1332" s="8">
        <f>IF(ActiveDatabase=Standby,Secondary!P1332,Primary!P1990)</f>
        <v>0</v>
      </c>
      <c r="Q1332" s="7">
        <f>IF(ActiveDatabase=Standby,Secondary!Q1332,Primary!Q1990)</f>
        <v>0</v>
      </c>
      <c r="R1332" s="16">
        <f>IF(ActiveDatabase=Standby,Secondary!R1332,Primary!R1990)</f>
        <v>0</v>
      </c>
      <c r="S1332" s="17">
        <f>IF(ActiveDatabase=Standby,Secondary!S1332,Primary!S1990)</f>
        <v>0</v>
      </c>
      <c r="T1332" s="8">
        <f>IF(ActiveDatabase=Standby,Secondary!T1332,Primary!T1990)</f>
        <v>0</v>
      </c>
      <c r="U1332" s="8">
        <f>IF(ActiveDatabase=Standby,Secondary!U1332,Primary!U1990)</f>
        <v>0</v>
      </c>
      <c r="V1332" s="8">
        <f>IF(ActiveDatabase=Standby,Secondary!V1332,Primary!V1990)</f>
        <v>0</v>
      </c>
      <c r="W1332" s="7">
        <f>IF(ActiveDatabase=Standby,Secondary!W1332,Primary!W1990)</f>
        <v>0</v>
      </c>
      <c r="X1332" s="7">
        <f>IF(ActiveDatabase=Standby,Secondary!X1332,Primary!X1990)</f>
        <v>0</v>
      </c>
      <c r="Y1332" s="7">
        <f>IF(ActiveDatabase=Standby,Secondary!Y1332,Primary!Y1990)</f>
        <v>0</v>
      </c>
      <c r="Z1332" s="7">
        <f>IF(ActiveDatabase=Standby,Secondary!Z1332,Primary!Z1990)</f>
        <v>0</v>
      </c>
      <c r="AA1332" s="7">
        <f>IF(ActiveDatabase=Standby,Secondary!AA1332,Primary!AA1990)</f>
        <v>0</v>
      </c>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c r="AX1332" s="7"/>
      <c r="AY1332" s="7"/>
      <c r="AZ1332" s="7"/>
      <c r="BA1332" s="7"/>
      <c r="BB1332" s="7"/>
      <c r="BC1332" s="7"/>
      <c r="BD1332" s="7"/>
      <c r="BE1332" s="7"/>
      <c r="BF1332" s="7"/>
      <c r="BG1332" s="7"/>
    </row>
    <row r="1333" customHeight="1" spans="1:59">
      <c r="A1333" s="9">
        <f>IF(ActiveDatabase=Standby,Secondary!A1333,Primary!A1991)</f>
        <v>0</v>
      </c>
      <c r="B1333" s="5">
        <f>IF(ActiveDatabase=Standby,Secondary!B1333,Primary!B1991)</f>
        <v>0</v>
      </c>
      <c r="C1333" s="5">
        <f>IF(ActiveDatabase=Standby,Secondary!C1333,Primary!C1991)</f>
        <v>0</v>
      </c>
      <c r="D1333" s="5">
        <f>IF(ActiveDatabase=Standby,Secondary!D1333,Primary!D1991)</f>
        <v>0</v>
      </c>
      <c r="E1333" s="7">
        <f>IF(ActiveDatabase=Standby,Secondary!E1333,Primary!E1991)</f>
        <v>0</v>
      </c>
      <c r="F1333" s="8">
        <f>IF(ActiveDatabase=Standby,Secondary!F1333,Primary!F1991)</f>
        <v>0</v>
      </c>
      <c r="G1333" s="8">
        <f>IF(ActiveDatabase=Standby,Secondary!G1333,Primary!G1991)</f>
        <v>0</v>
      </c>
      <c r="H1333" s="8">
        <f>IF(ActiveDatabase=Standby,Secondary!H1333,Primary!H1991)</f>
        <v>0</v>
      </c>
      <c r="I1333" s="14">
        <f>IF(ActiveDatabase=Standby,Secondary!I1333,Primary!I1991)</f>
        <v>0</v>
      </c>
      <c r="J1333" s="14">
        <f>IF(ActiveDatabase=Standby,Secondary!J1333,Primary!J1991)</f>
        <v>0</v>
      </c>
      <c r="K1333" s="14">
        <f>IF(ActiveDatabase=Standby,Secondary!K1333,Primary!K1991)</f>
        <v>0</v>
      </c>
      <c r="L1333" s="14">
        <f>IF(ActiveDatabase=Standby,Secondary!L1333,Primary!L1991)</f>
        <v>0</v>
      </c>
      <c r="M1333" s="7">
        <f>IF(ActiveDatabase=Standby,Secondary!M1333,Primary!M1991)</f>
        <v>0</v>
      </c>
      <c r="N1333" s="8">
        <f>IF(ActiveDatabase=Standby,Secondary!N1333,Primary!N1991)</f>
        <v>0</v>
      </c>
      <c r="O1333" s="8">
        <f>IF(ActiveDatabase=Standby,Secondary!O1333,Primary!O1991)</f>
        <v>0</v>
      </c>
      <c r="P1333" s="8">
        <f>IF(ActiveDatabase=Standby,Secondary!P1333,Primary!P1991)</f>
        <v>0</v>
      </c>
      <c r="Q1333" s="7">
        <f>IF(ActiveDatabase=Standby,Secondary!Q1333,Primary!Q1991)</f>
        <v>0</v>
      </c>
      <c r="R1333" s="16">
        <f>IF(ActiveDatabase=Standby,Secondary!R1333,Primary!R1991)</f>
        <v>0</v>
      </c>
      <c r="S1333" s="17">
        <f>IF(ActiveDatabase=Standby,Secondary!S1333,Primary!S1991)</f>
        <v>0</v>
      </c>
      <c r="T1333" s="8">
        <f>IF(ActiveDatabase=Standby,Secondary!T1333,Primary!T1991)</f>
        <v>0</v>
      </c>
      <c r="U1333" s="8">
        <f>IF(ActiveDatabase=Standby,Secondary!U1333,Primary!U1991)</f>
        <v>0</v>
      </c>
      <c r="V1333" s="8">
        <f>IF(ActiveDatabase=Standby,Secondary!V1333,Primary!V1991)</f>
        <v>0</v>
      </c>
      <c r="W1333" s="7">
        <f>IF(ActiveDatabase=Standby,Secondary!W1333,Primary!W1991)</f>
        <v>0</v>
      </c>
      <c r="X1333" s="7">
        <f>IF(ActiveDatabase=Standby,Secondary!X1333,Primary!X1991)</f>
        <v>0</v>
      </c>
      <c r="Y1333" s="7">
        <f>IF(ActiveDatabase=Standby,Secondary!Y1333,Primary!Y1991)</f>
        <v>0</v>
      </c>
      <c r="Z1333" s="7">
        <f>IF(ActiveDatabase=Standby,Secondary!Z1333,Primary!Z1991)</f>
        <v>0</v>
      </c>
      <c r="AA1333" s="7">
        <f>IF(ActiveDatabase=Standby,Secondary!AA1333,Primary!AA1991)</f>
        <v>0</v>
      </c>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c r="AX1333" s="7"/>
      <c r="AY1333" s="7"/>
      <c r="AZ1333" s="7"/>
      <c r="BA1333" s="7"/>
      <c r="BB1333" s="7"/>
      <c r="BC1333" s="7"/>
      <c r="BD1333" s="7"/>
      <c r="BE1333" s="7"/>
      <c r="BF1333" s="7"/>
      <c r="BG1333" s="7"/>
    </row>
    <row r="1334" customHeight="1" spans="1:59">
      <c r="A1334" s="9">
        <f>IF(ActiveDatabase=Standby,Secondary!A1334,Primary!A1992)</f>
        <v>0</v>
      </c>
      <c r="B1334" s="5">
        <f>IF(ActiveDatabase=Standby,Secondary!B1334,Primary!B1992)</f>
        <v>0</v>
      </c>
      <c r="C1334" s="5">
        <f>IF(ActiveDatabase=Standby,Secondary!C1334,Primary!C1992)</f>
        <v>0</v>
      </c>
      <c r="D1334" s="5">
        <f>IF(ActiveDatabase=Standby,Secondary!D1334,Primary!D1992)</f>
        <v>0</v>
      </c>
      <c r="E1334" s="7">
        <f>IF(ActiveDatabase=Standby,Secondary!E1334,Primary!E1992)</f>
        <v>0</v>
      </c>
      <c r="F1334" s="8">
        <f>IF(ActiveDatabase=Standby,Secondary!F1334,Primary!F1992)</f>
        <v>0</v>
      </c>
      <c r="G1334" s="8">
        <f>IF(ActiveDatabase=Standby,Secondary!G1334,Primary!G1992)</f>
        <v>0</v>
      </c>
      <c r="H1334" s="8">
        <f>IF(ActiveDatabase=Standby,Secondary!H1334,Primary!H1992)</f>
        <v>0</v>
      </c>
      <c r="I1334" s="14">
        <f>IF(ActiveDatabase=Standby,Secondary!I1334,Primary!I1992)</f>
        <v>0</v>
      </c>
      <c r="J1334" s="14">
        <f>IF(ActiveDatabase=Standby,Secondary!J1334,Primary!J1992)</f>
        <v>0</v>
      </c>
      <c r="K1334" s="14">
        <f>IF(ActiveDatabase=Standby,Secondary!K1334,Primary!K1992)</f>
        <v>0</v>
      </c>
      <c r="L1334" s="14">
        <f>IF(ActiveDatabase=Standby,Secondary!L1334,Primary!L1992)</f>
        <v>0</v>
      </c>
      <c r="M1334" s="7">
        <f>IF(ActiveDatabase=Standby,Secondary!M1334,Primary!M1992)</f>
        <v>0</v>
      </c>
      <c r="N1334" s="8">
        <f>IF(ActiveDatabase=Standby,Secondary!N1334,Primary!N1992)</f>
        <v>0</v>
      </c>
      <c r="O1334" s="8">
        <f>IF(ActiveDatabase=Standby,Secondary!O1334,Primary!O1992)</f>
        <v>0</v>
      </c>
      <c r="P1334" s="8">
        <f>IF(ActiveDatabase=Standby,Secondary!P1334,Primary!P1992)</f>
        <v>0</v>
      </c>
      <c r="Q1334" s="7">
        <f>IF(ActiveDatabase=Standby,Secondary!Q1334,Primary!Q1992)</f>
        <v>0</v>
      </c>
      <c r="R1334" s="16">
        <f>IF(ActiveDatabase=Standby,Secondary!R1334,Primary!R1992)</f>
        <v>0</v>
      </c>
      <c r="S1334" s="17">
        <f>IF(ActiveDatabase=Standby,Secondary!S1334,Primary!S1992)</f>
        <v>0</v>
      </c>
      <c r="T1334" s="8">
        <f>IF(ActiveDatabase=Standby,Secondary!T1334,Primary!T1992)</f>
        <v>0</v>
      </c>
      <c r="U1334" s="8">
        <f>IF(ActiveDatabase=Standby,Secondary!U1334,Primary!U1992)</f>
        <v>0</v>
      </c>
      <c r="V1334" s="8">
        <f>IF(ActiveDatabase=Standby,Secondary!V1334,Primary!V1992)</f>
        <v>0</v>
      </c>
      <c r="W1334" s="7">
        <f>IF(ActiveDatabase=Standby,Secondary!W1334,Primary!W1992)</f>
        <v>0</v>
      </c>
      <c r="X1334" s="7">
        <f>IF(ActiveDatabase=Standby,Secondary!X1334,Primary!X1992)</f>
        <v>0</v>
      </c>
      <c r="Y1334" s="7">
        <f>IF(ActiveDatabase=Standby,Secondary!Y1334,Primary!Y1992)</f>
        <v>0</v>
      </c>
      <c r="Z1334" s="7">
        <f>IF(ActiveDatabase=Standby,Secondary!Z1334,Primary!Z1992)</f>
        <v>0</v>
      </c>
      <c r="AA1334" s="7">
        <f>IF(ActiveDatabase=Standby,Secondary!AA1334,Primary!AA1992)</f>
        <v>0</v>
      </c>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c r="AX1334" s="7"/>
      <c r="AY1334" s="7"/>
      <c r="AZ1334" s="7"/>
      <c r="BA1334" s="7"/>
      <c r="BB1334" s="7"/>
      <c r="BC1334" s="7"/>
      <c r="BD1334" s="7"/>
      <c r="BE1334" s="7"/>
      <c r="BF1334" s="7"/>
      <c r="BG1334" s="7"/>
    </row>
    <row r="1335" customHeight="1" spans="1:59">
      <c r="A1335" s="9">
        <f>IF(ActiveDatabase=Standby,Secondary!A1335,Primary!A1993)</f>
        <v>0</v>
      </c>
      <c r="B1335" s="5">
        <f>IF(ActiveDatabase=Standby,Secondary!B1335,Primary!B1993)</f>
        <v>0</v>
      </c>
      <c r="C1335" s="5">
        <f>IF(ActiveDatabase=Standby,Secondary!C1335,Primary!C1993)</f>
        <v>0</v>
      </c>
      <c r="D1335" s="5">
        <f>IF(ActiveDatabase=Standby,Secondary!D1335,Primary!D1993)</f>
        <v>0</v>
      </c>
      <c r="E1335" s="7">
        <f>IF(ActiveDatabase=Standby,Secondary!E1335,Primary!E1993)</f>
        <v>0</v>
      </c>
      <c r="F1335" s="8">
        <f>IF(ActiveDatabase=Standby,Secondary!F1335,Primary!F1993)</f>
        <v>0</v>
      </c>
      <c r="G1335" s="8">
        <f>IF(ActiveDatabase=Standby,Secondary!G1335,Primary!G1993)</f>
        <v>0</v>
      </c>
      <c r="H1335" s="8">
        <f>IF(ActiveDatabase=Standby,Secondary!H1335,Primary!H1993)</f>
        <v>0</v>
      </c>
      <c r="I1335" s="14">
        <f>IF(ActiveDatabase=Standby,Secondary!I1335,Primary!I1993)</f>
        <v>0</v>
      </c>
      <c r="J1335" s="14">
        <f>IF(ActiveDatabase=Standby,Secondary!J1335,Primary!J1993)</f>
        <v>0</v>
      </c>
      <c r="K1335" s="14">
        <f>IF(ActiveDatabase=Standby,Secondary!K1335,Primary!K1993)</f>
        <v>0</v>
      </c>
      <c r="L1335" s="14">
        <f>IF(ActiveDatabase=Standby,Secondary!L1335,Primary!L1993)</f>
        <v>0</v>
      </c>
      <c r="M1335" s="7">
        <f>IF(ActiveDatabase=Standby,Secondary!M1335,Primary!M1993)</f>
        <v>0</v>
      </c>
      <c r="N1335" s="8">
        <f>IF(ActiveDatabase=Standby,Secondary!N1335,Primary!N1993)</f>
        <v>0</v>
      </c>
      <c r="O1335" s="8">
        <f>IF(ActiveDatabase=Standby,Secondary!O1335,Primary!O1993)</f>
        <v>0</v>
      </c>
      <c r="P1335" s="8">
        <f>IF(ActiveDatabase=Standby,Secondary!P1335,Primary!P1993)</f>
        <v>0</v>
      </c>
      <c r="Q1335" s="7">
        <f>IF(ActiveDatabase=Standby,Secondary!Q1335,Primary!Q1993)</f>
        <v>0</v>
      </c>
      <c r="R1335" s="16">
        <f>IF(ActiveDatabase=Standby,Secondary!R1335,Primary!R1993)</f>
        <v>0</v>
      </c>
      <c r="S1335" s="17">
        <f>IF(ActiveDatabase=Standby,Secondary!S1335,Primary!S1993)</f>
        <v>0</v>
      </c>
      <c r="T1335" s="8">
        <f>IF(ActiveDatabase=Standby,Secondary!T1335,Primary!T1993)</f>
        <v>0</v>
      </c>
      <c r="U1335" s="8">
        <f>IF(ActiveDatabase=Standby,Secondary!U1335,Primary!U1993)</f>
        <v>0</v>
      </c>
      <c r="V1335" s="8">
        <f>IF(ActiveDatabase=Standby,Secondary!V1335,Primary!V1993)</f>
        <v>0</v>
      </c>
      <c r="W1335" s="7">
        <f>IF(ActiveDatabase=Standby,Secondary!W1335,Primary!W1993)</f>
        <v>0</v>
      </c>
      <c r="X1335" s="7">
        <f>IF(ActiveDatabase=Standby,Secondary!X1335,Primary!X1993)</f>
        <v>0</v>
      </c>
      <c r="Y1335" s="7">
        <f>IF(ActiveDatabase=Standby,Secondary!Y1335,Primary!Y1993)</f>
        <v>0</v>
      </c>
      <c r="Z1335" s="7">
        <f>IF(ActiveDatabase=Standby,Secondary!Z1335,Primary!Z1993)</f>
        <v>0</v>
      </c>
      <c r="AA1335" s="7">
        <f>IF(ActiveDatabase=Standby,Secondary!AA1335,Primary!AA1993)</f>
        <v>0</v>
      </c>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7"/>
      <c r="BD1335" s="7"/>
      <c r="BE1335" s="7"/>
      <c r="BF1335" s="7"/>
      <c r="BG1335" s="7"/>
    </row>
    <row r="1336" customHeight="1" spans="1:59">
      <c r="A1336" s="9">
        <f>IF(ActiveDatabase=Standby,Secondary!A1336,Primary!A1994)</f>
        <v>0</v>
      </c>
      <c r="B1336" s="5">
        <f>IF(ActiveDatabase=Standby,Secondary!B1336,Primary!B1994)</f>
        <v>0</v>
      </c>
      <c r="C1336" s="5">
        <f>IF(ActiveDatabase=Standby,Secondary!C1336,Primary!C1994)</f>
        <v>0</v>
      </c>
      <c r="D1336" s="5">
        <f>IF(ActiveDatabase=Standby,Secondary!D1336,Primary!D1994)</f>
        <v>0</v>
      </c>
      <c r="E1336" s="7">
        <f>IF(ActiveDatabase=Standby,Secondary!E1336,Primary!E1994)</f>
        <v>0</v>
      </c>
      <c r="F1336" s="8">
        <f>IF(ActiveDatabase=Standby,Secondary!F1336,Primary!F1994)</f>
        <v>0</v>
      </c>
      <c r="G1336" s="8">
        <f>IF(ActiveDatabase=Standby,Secondary!G1336,Primary!G1994)</f>
        <v>0</v>
      </c>
      <c r="H1336" s="8">
        <f>IF(ActiveDatabase=Standby,Secondary!H1336,Primary!H1994)</f>
        <v>0</v>
      </c>
      <c r="I1336" s="14">
        <f>IF(ActiveDatabase=Standby,Secondary!I1336,Primary!I1994)</f>
        <v>0</v>
      </c>
      <c r="J1336" s="14">
        <f>IF(ActiveDatabase=Standby,Secondary!J1336,Primary!J1994)</f>
        <v>0</v>
      </c>
      <c r="K1336" s="14">
        <f>IF(ActiveDatabase=Standby,Secondary!K1336,Primary!K1994)</f>
        <v>0</v>
      </c>
      <c r="L1336" s="14">
        <f>IF(ActiveDatabase=Standby,Secondary!L1336,Primary!L1994)</f>
        <v>0</v>
      </c>
      <c r="M1336" s="7">
        <f>IF(ActiveDatabase=Standby,Secondary!M1336,Primary!M1994)</f>
        <v>0</v>
      </c>
      <c r="N1336" s="8">
        <f>IF(ActiveDatabase=Standby,Secondary!N1336,Primary!N1994)</f>
        <v>0</v>
      </c>
      <c r="O1336" s="8">
        <f>IF(ActiveDatabase=Standby,Secondary!O1336,Primary!O1994)</f>
        <v>0</v>
      </c>
      <c r="P1336" s="8">
        <f>IF(ActiveDatabase=Standby,Secondary!P1336,Primary!P1994)</f>
        <v>0</v>
      </c>
      <c r="Q1336" s="7">
        <f>IF(ActiveDatabase=Standby,Secondary!Q1336,Primary!Q1994)</f>
        <v>0</v>
      </c>
      <c r="R1336" s="16">
        <f>IF(ActiveDatabase=Standby,Secondary!R1336,Primary!R1994)</f>
        <v>0</v>
      </c>
      <c r="S1336" s="17">
        <f>IF(ActiveDatabase=Standby,Secondary!S1336,Primary!S1994)</f>
        <v>0</v>
      </c>
      <c r="T1336" s="8">
        <f>IF(ActiveDatabase=Standby,Secondary!T1336,Primary!T1994)</f>
        <v>0</v>
      </c>
      <c r="U1336" s="8">
        <f>IF(ActiveDatabase=Standby,Secondary!U1336,Primary!U1994)</f>
        <v>0</v>
      </c>
      <c r="V1336" s="8">
        <f>IF(ActiveDatabase=Standby,Secondary!V1336,Primary!V1994)</f>
        <v>0</v>
      </c>
      <c r="W1336" s="7">
        <f>IF(ActiveDatabase=Standby,Secondary!W1336,Primary!W1994)</f>
        <v>0</v>
      </c>
      <c r="X1336" s="7">
        <f>IF(ActiveDatabase=Standby,Secondary!X1336,Primary!X1994)</f>
        <v>0</v>
      </c>
      <c r="Y1336" s="7">
        <f>IF(ActiveDatabase=Standby,Secondary!Y1336,Primary!Y1994)</f>
        <v>0</v>
      </c>
      <c r="Z1336" s="7">
        <f>IF(ActiveDatabase=Standby,Secondary!Z1336,Primary!Z1994)</f>
        <v>0</v>
      </c>
      <c r="AA1336" s="7">
        <f>IF(ActiveDatabase=Standby,Secondary!AA1336,Primary!AA1994)</f>
        <v>0</v>
      </c>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c r="AX1336" s="7"/>
      <c r="AY1336" s="7"/>
      <c r="AZ1336" s="7"/>
      <c r="BA1336" s="7"/>
      <c r="BB1336" s="7"/>
      <c r="BC1336" s="7"/>
      <c r="BD1336" s="7"/>
      <c r="BE1336" s="7"/>
      <c r="BF1336" s="7"/>
      <c r="BG1336" s="7"/>
    </row>
    <row r="1337" customHeight="1" spans="1:59">
      <c r="A1337" s="9">
        <f>IF(ActiveDatabase=Standby,Secondary!A1337,Primary!A1995)</f>
        <v>0</v>
      </c>
      <c r="B1337" s="5">
        <f>IF(ActiveDatabase=Standby,Secondary!B1337,Primary!B1995)</f>
        <v>0</v>
      </c>
      <c r="C1337" s="5">
        <f>IF(ActiveDatabase=Standby,Secondary!C1337,Primary!C1995)</f>
        <v>0</v>
      </c>
      <c r="D1337" s="5">
        <f>IF(ActiveDatabase=Standby,Secondary!D1337,Primary!D1995)</f>
        <v>0</v>
      </c>
      <c r="E1337" s="7">
        <f>IF(ActiveDatabase=Standby,Secondary!E1337,Primary!E1995)</f>
        <v>0</v>
      </c>
      <c r="F1337" s="8">
        <f>IF(ActiveDatabase=Standby,Secondary!F1337,Primary!F1995)</f>
        <v>0</v>
      </c>
      <c r="G1337" s="8">
        <f>IF(ActiveDatabase=Standby,Secondary!G1337,Primary!G1995)</f>
        <v>0</v>
      </c>
      <c r="H1337" s="8">
        <f>IF(ActiveDatabase=Standby,Secondary!H1337,Primary!H1995)</f>
        <v>0</v>
      </c>
      <c r="I1337" s="14">
        <f>IF(ActiveDatabase=Standby,Secondary!I1337,Primary!I1995)</f>
        <v>0</v>
      </c>
      <c r="J1337" s="14">
        <f>IF(ActiveDatabase=Standby,Secondary!J1337,Primary!J1995)</f>
        <v>0</v>
      </c>
      <c r="K1337" s="14">
        <f>IF(ActiveDatabase=Standby,Secondary!K1337,Primary!K1995)</f>
        <v>0</v>
      </c>
      <c r="L1337" s="14">
        <f>IF(ActiveDatabase=Standby,Secondary!L1337,Primary!L1995)</f>
        <v>0</v>
      </c>
      <c r="M1337" s="7">
        <f>IF(ActiveDatabase=Standby,Secondary!M1337,Primary!M1995)</f>
        <v>0</v>
      </c>
      <c r="N1337" s="8">
        <f>IF(ActiveDatabase=Standby,Secondary!N1337,Primary!N1995)</f>
        <v>0</v>
      </c>
      <c r="O1337" s="8">
        <f>IF(ActiveDatabase=Standby,Secondary!O1337,Primary!O1995)</f>
        <v>0</v>
      </c>
      <c r="P1337" s="8">
        <f>IF(ActiveDatabase=Standby,Secondary!P1337,Primary!P1995)</f>
        <v>0</v>
      </c>
      <c r="Q1337" s="7">
        <f>IF(ActiveDatabase=Standby,Secondary!Q1337,Primary!Q1995)</f>
        <v>0</v>
      </c>
      <c r="R1337" s="16">
        <f>IF(ActiveDatabase=Standby,Secondary!R1337,Primary!R1995)</f>
        <v>0</v>
      </c>
      <c r="S1337" s="17">
        <f>IF(ActiveDatabase=Standby,Secondary!S1337,Primary!S1995)</f>
        <v>0</v>
      </c>
      <c r="T1337" s="8">
        <f>IF(ActiveDatabase=Standby,Secondary!T1337,Primary!T1995)</f>
        <v>0</v>
      </c>
      <c r="U1337" s="8">
        <f>IF(ActiveDatabase=Standby,Secondary!U1337,Primary!U1995)</f>
        <v>0</v>
      </c>
      <c r="V1337" s="8">
        <f>IF(ActiveDatabase=Standby,Secondary!V1337,Primary!V1995)</f>
        <v>0</v>
      </c>
      <c r="W1337" s="7">
        <f>IF(ActiveDatabase=Standby,Secondary!W1337,Primary!W1995)</f>
        <v>0</v>
      </c>
      <c r="X1337" s="7">
        <f>IF(ActiveDatabase=Standby,Secondary!X1337,Primary!X1995)</f>
        <v>0</v>
      </c>
      <c r="Y1337" s="7">
        <f>IF(ActiveDatabase=Standby,Secondary!Y1337,Primary!Y1995)</f>
        <v>0</v>
      </c>
      <c r="Z1337" s="7">
        <f>IF(ActiveDatabase=Standby,Secondary!Z1337,Primary!Z1995)</f>
        <v>0</v>
      </c>
      <c r="AA1337" s="7">
        <f>IF(ActiveDatabase=Standby,Secondary!AA1337,Primary!AA1995)</f>
        <v>0</v>
      </c>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c r="AX1337" s="7"/>
      <c r="AY1337" s="7"/>
      <c r="AZ1337" s="7"/>
      <c r="BA1337" s="7"/>
      <c r="BB1337" s="7"/>
      <c r="BC1337" s="7"/>
      <c r="BD1337" s="7"/>
      <c r="BE1337" s="7"/>
      <c r="BF1337" s="7"/>
      <c r="BG1337" s="7"/>
    </row>
    <row r="1338" customHeight="1" spans="1:59">
      <c r="A1338" s="9">
        <f>IF(ActiveDatabase=Standby,Secondary!A1338,Primary!A1996)</f>
        <v>0</v>
      </c>
      <c r="B1338" s="5">
        <f>IF(ActiveDatabase=Standby,Secondary!B1338,Primary!B1996)</f>
        <v>0</v>
      </c>
      <c r="C1338" s="5">
        <f>IF(ActiveDatabase=Standby,Secondary!C1338,Primary!C1996)</f>
        <v>0</v>
      </c>
      <c r="D1338" s="5">
        <f>IF(ActiveDatabase=Standby,Secondary!D1338,Primary!D1996)</f>
        <v>0</v>
      </c>
      <c r="E1338" s="7">
        <f>IF(ActiveDatabase=Standby,Secondary!E1338,Primary!E1996)</f>
        <v>0</v>
      </c>
      <c r="F1338" s="8">
        <f>IF(ActiveDatabase=Standby,Secondary!F1338,Primary!F1996)</f>
        <v>0</v>
      </c>
      <c r="G1338" s="8">
        <f>IF(ActiveDatabase=Standby,Secondary!G1338,Primary!G1996)</f>
        <v>0</v>
      </c>
      <c r="H1338" s="8">
        <f>IF(ActiveDatabase=Standby,Secondary!H1338,Primary!H1996)</f>
        <v>0</v>
      </c>
      <c r="I1338" s="14">
        <f>IF(ActiveDatabase=Standby,Secondary!I1338,Primary!I1996)</f>
        <v>0</v>
      </c>
      <c r="J1338" s="14">
        <f>IF(ActiveDatabase=Standby,Secondary!J1338,Primary!J1996)</f>
        <v>0</v>
      </c>
      <c r="K1338" s="14">
        <f>IF(ActiveDatabase=Standby,Secondary!K1338,Primary!K1996)</f>
        <v>0</v>
      </c>
      <c r="L1338" s="14">
        <f>IF(ActiveDatabase=Standby,Secondary!L1338,Primary!L1996)</f>
        <v>0</v>
      </c>
      <c r="M1338" s="7">
        <f>IF(ActiveDatabase=Standby,Secondary!M1338,Primary!M1996)</f>
        <v>0</v>
      </c>
      <c r="N1338" s="8">
        <f>IF(ActiveDatabase=Standby,Secondary!N1338,Primary!N1996)</f>
        <v>0</v>
      </c>
      <c r="O1338" s="8">
        <f>IF(ActiveDatabase=Standby,Secondary!O1338,Primary!O1996)</f>
        <v>0</v>
      </c>
      <c r="P1338" s="8">
        <f>IF(ActiveDatabase=Standby,Secondary!P1338,Primary!P1996)</f>
        <v>0</v>
      </c>
      <c r="Q1338" s="7">
        <f>IF(ActiveDatabase=Standby,Secondary!Q1338,Primary!Q1996)</f>
        <v>0</v>
      </c>
      <c r="R1338" s="16">
        <f>IF(ActiveDatabase=Standby,Secondary!R1338,Primary!R1996)</f>
        <v>0</v>
      </c>
      <c r="S1338" s="17">
        <f>IF(ActiveDatabase=Standby,Secondary!S1338,Primary!S1996)</f>
        <v>0</v>
      </c>
      <c r="T1338" s="8">
        <f>IF(ActiveDatabase=Standby,Secondary!T1338,Primary!T1996)</f>
        <v>0</v>
      </c>
      <c r="U1338" s="8">
        <f>IF(ActiveDatabase=Standby,Secondary!U1338,Primary!U1996)</f>
        <v>0</v>
      </c>
      <c r="V1338" s="8">
        <f>IF(ActiveDatabase=Standby,Secondary!V1338,Primary!V1996)</f>
        <v>0</v>
      </c>
      <c r="W1338" s="7">
        <f>IF(ActiveDatabase=Standby,Secondary!W1338,Primary!W1996)</f>
        <v>0</v>
      </c>
      <c r="X1338" s="7">
        <f>IF(ActiveDatabase=Standby,Secondary!X1338,Primary!X1996)</f>
        <v>0</v>
      </c>
      <c r="Y1338" s="7">
        <f>IF(ActiveDatabase=Standby,Secondary!Y1338,Primary!Y1996)</f>
        <v>0</v>
      </c>
      <c r="Z1338" s="7">
        <f>IF(ActiveDatabase=Standby,Secondary!Z1338,Primary!Z1996)</f>
        <v>0</v>
      </c>
      <c r="AA1338" s="7">
        <f>IF(ActiveDatabase=Standby,Secondary!AA1338,Primary!AA1996)</f>
        <v>0</v>
      </c>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c r="AX1338" s="7"/>
      <c r="AY1338" s="7"/>
      <c r="AZ1338" s="7"/>
      <c r="BA1338" s="7"/>
      <c r="BB1338" s="7"/>
      <c r="BC1338" s="7"/>
      <c r="BD1338" s="7"/>
      <c r="BE1338" s="7"/>
      <c r="BF1338" s="7"/>
      <c r="BG1338" s="7"/>
    </row>
    <row r="1339" customHeight="1" spans="1:59">
      <c r="A1339" s="9">
        <f>IF(ActiveDatabase=Standby,Secondary!A1339,Primary!A1997)</f>
        <v>0</v>
      </c>
      <c r="B1339" s="5">
        <f>IF(ActiveDatabase=Standby,Secondary!B1339,Primary!B1997)</f>
        <v>0</v>
      </c>
      <c r="C1339" s="5">
        <f>IF(ActiveDatabase=Standby,Secondary!C1339,Primary!C1997)</f>
        <v>0</v>
      </c>
      <c r="D1339" s="5">
        <f>IF(ActiveDatabase=Standby,Secondary!D1339,Primary!D1997)</f>
        <v>0</v>
      </c>
      <c r="E1339" s="7">
        <f>IF(ActiveDatabase=Standby,Secondary!E1339,Primary!E1997)</f>
        <v>0</v>
      </c>
      <c r="F1339" s="8">
        <f>IF(ActiveDatabase=Standby,Secondary!F1339,Primary!F1997)</f>
        <v>0</v>
      </c>
      <c r="G1339" s="8">
        <f>IF(ActiveDatabase=Standby,Secondary!G1339,Primary!G1997)</f>
        <v>0</v>
      </c>
      <c r="H1339" s="8">
        <f>IF(ActiveDatabase=Standby,Secondary!H1339,Primary!H1997)</f>
        <v>0</v>
      </c>
      <c r="I1339" s="14">
        <f>IF(ActiveDatabase=Standby,Secondary!I1339,Primary!I1997)</f>
        <v>0</v>
      </c>
      <c r="J1339" s="14">
        <f>IF(ActiveDatabase=Standby,Secondary!J1339,Primary!J1997)</f>
        <v>0</v>
      </c>
      <c r="K1339" s="14">
        <f>IF(ActiveDatabase=Standby,Secondary!K1339,Primary!K1997)</f>
        <v>0</v>
      </c>
      <c r="L1339" s="14">
        <f>IF(ActiveDatabase=Standby,Secondary!L1339,Primary!L1997)</f>
        <v>0</v>
      </c>
      <c r="M1339" s="7">
        <f>IF(ActiveDatabase=Standby,Secondary!M1339,Primary!M1997)</f>
        <v>0</v>
      </c>
      <c r="N1339" s="8">
        <f>IF(ActiveDatabase=Standby,Secondary!N1339,Primary!N1997)</f>
        <v>0</v>
      </c>
      <c r="O1339" s="8">
        <f>IF(ActiveDatabase=Standby,Secondary!O1339,Primary!O1997)</f>
        <v>0</v>
      </c>
      <c r="P1339" s="8">
        <f>IF(ActiveDatabase=Standby,Secondary!P1339,Primary!P1997)</f>
        <v>0</v>
      </c>
      <c r="Q1339" s="7">
        <f>IF(ActiveDatabase=Standby,Secondary!Q1339,Primary!Q1997)</f>
        <v>0</v>
      </c>
      <c r="R1339" s="16">
        <f>IF(ActiveDatabase=Standby,Secondary!R1339,Primary!R1997)</f>
        <v>0</v>
      </c>
      <c r="S1339" s="17">
        <f>IF(ActiveDatabase=Standby,Secondary!S1339,Primary!S1997)</f>
        <v>0</v>
      </c>
      <c r="T1339" s="8">
        <f>IF(ActiveDatabase=Standby,Secondary!T1339,Primary!T1997)</f>
        <v>0</v>
      </c>
      <c r="U1339" s="8">
        <f>IF(ActiveDatabase=Standby,Secondary!U1339,Primary!U1997)</f>
        <v>0</v>
      </c>
      <c r="V1339" s="8">
        <f>IF(ActiveDatabase=Standby,Secondary!V1339,Primary!V1997)</f>
        <v>0</v>
      </c>
      <c r="W1339" s="7">
        <f>IF(ActiveDatabase=Standby,Secondary!W1339,Primary!W1997)</f>
        <v>0</v>
      </c>
      <c r="X1339" s="7">
        <f>IF(ActiveDatabase=Standby,Secondary!X1339,Primary!X1997)</f>
        <v>0</v>
      </c>
      <c r="Y1339" s="7">
        <f>IF(ActiveDatabase=Standby,Secondary!Y1339,Primary!Y1997)</f>
        <v>0</v>
      </c>
      <c r="Z1339" s="7">
        <f>IF(ActiveDatabase=Standby,Secondary!Z1339,Primary!Z1997)</f>
        <v>0</v>
      </c>
      <c r="AA1339" s="7">
        <f>IF(ActiveDatabase=Standby,Secondary!AA1339,Primary!AA1997)</f>
        <v>0</v>
      </c>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c r="AX1339" s="7"/>
      <c r="AY1339" s="7"/>
      <c r="AZ1339" s="7"/>
      <c r="BA1339" s="7"/>
      <c r="BB1339" s="7"/>
      <c r="BC1339" s="7"/>
      <c r="BD1339" s="7"/>
      <c r="BE1339" s="7"/>
      <c r="BF1339" s="7"/>
      <c r="BG1339" s="7"/>
    </row>
    <row r="1340" customHeight="1" spans="1:59">
      <c r="A1340" s="9">
        <f>IF(ActiveDatabase=Standby,Secondary!A1340,Primary!A1998)</f>
        <v>0</v>
      </c>
      <c r="B1340" s="5">
        <f>IF(ActiveDatabase=Standby,Secondary!B1340,Primary!B1998)</f>
        <v>0</v>
      </c>
      <c r="C1340" s="5">
        <f>IF(ActiveDatabase=Standby,Secondary!C1340,Primary!C1998)</f>
        <v>0</v>
      </c>
      <c r="D1340" s="5">
        <f>IF(ActiveDatabase=Standby,Secondary!D1340,Primary!D1998)</f>
        <v>0</v>
      </c>
      <c r="E1340" s="7">
        <f>IF(ActiveDatabase=Standby,Secondary!E1340,Primary!E1998)</f>
        <v>0</v>
      </c>
      <c r="F1340" s="8">
        <f>IF(ActiveDatabase=Standby,Secondary!F1340,Primary!F1998)</f>
        <v>0</v>
      </c>
      <c r="G1340" s="8">
        <f>IF(ActiveDatabase=Standby,Secondary!G1340,Primary!G1998)</f>
        <v>0</v>
      </c>
      <c r="H1340" s="8">
        <f>IF(ActiveDatabase=Standby,Secondary!H1340,Primary!H1998)</f>
        <v>0</v>
      </c>
      <c r="I1340" s="14">
        <f>IF(ActiveDatabase=Standby,Secondary!I1340,Primary!I1998)</f>
        <v>0</v>
      </c>
      <c r="J1340" s="14">
        <f>IF(ActiveDatabase=Standby,Secondary!J1340,Primary!J1998)</f>
        <v>0</v>
      </c>
      <c r="K1340" s="14">
        <f>IF(ActiveDatabase=Standby,Secondary!K1340,Primary!K1998)</f>
        <v>0</v>
      </c>
      <c r="L1340" s="14">
        <f>IF(ActiveDatabase=Standby,Secondary!L1340,Primary!L1998)</f>
        <v>0</v>
      </c>
      <c r="M1340" s="7">
        <f>IF(ActiveDatabase=Standby,Secondary!M1340,Primary!M1998)</f>
        <v>0</v>
      </c>
      <c r="N1340" s="8">
        <f>IF(ActiveDatabase=Standby,Secondary!N1340,Primary!N1998)</f>
        <v>0</v>
      </c>
      <c r="O1340" s="8">
        <f>IF(ActiveDatabase=Standby,Secondary!O1340,Primary!O1998)</f>
        <v>0</v>
      </c>
      <c r="P1340" s="8">
        <f>IF(ActiveDatabase=Standby,Secondary!P1340,Primary!P1998)</f>
        <v>0</v>
      </c>
      <c r="Q1340" s="7">
        <f>IF(ActiveDatabase=Standby,Secondary!Q1340,Primary!Q1998)</f>
        <v>0</v>
      </c>
      <c r="R1340" s="16">
        <f>IF(ActiveDatabase=Standby,Secondary!R1340,Primary!R1998)</f>
        <v>0</v>
      </c>
      <c r="S1340" s="17">
        <f>IF(ActiveDatabase=Standby,Secondary!S1340,Primary!S1998)</f>
        <v>0</v>
      </c>
      <c r="T1340" s="8">
        <f>IF(ActiveDatabase=Standby,Secondary!T1340,Primary!T1998)</f>
        <v>0</v>
      </c>
      <c r="U1340" s="8">
        <f>IF(ActiveDatabase=Standby,Secondary!U1340,Primary!U1998)</f>
        <v>0</v>
      </c>
      <c r="V1340" s="8">
        <f>IF(ActiveDatabase=Standby,Secondary!V1340,Primary!V1998)</f>
        <v>0</v>
      </c>
      <c r="W1340" s="7">
        <f>IF(ActiveDatabase=Standby,Secondary!W1340,Primary!W1998)</f>
        <v>0</v>
      </c>
      <c r="X1340" s="7">
        <f>IF(ActiveDatabase=Standby,Secondary!X1340,Primary!X1998)</f>
        <v>0</v>
      </c>
      <c r="Y1340" s="7">
        <f>IF(ActiveDatabase=Standby,Secondary!Y1340,Primary!Y1998)</f>
        <v>0</v>
      </c>
      <c r="Z1340" s="7">
        <f>IF(ActiveDatabase=Standby,Secondary!Z1340,Primary!Z1998)</f>
        <v>0</v>
      </c>
      <c r="AA1340" s="7">
        <f>IF(ActiveDatabase=Standby,Secondary!AA1340,Primary!AA1998)</f>
        <v>0</v>
      </c>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c r="AX1340" s="7"/>
      <c r="AY1340" s="7"/>
      <c r="AZ1340" s="7"/>
      <c r="BA1340" s="7"/>
      <c r="BB1340" s="7"/>
      <c r="BC1340" s="7"/>
      <c r="BD1340" s="7"/>
      <c r="BE1340" s="7"/>
      <c r="BF1340" s="7"/>
      <c r="BG1340" s="7"/>
    </row>
    <row r="1341" customHeight="1" spans="1:59">
      <c r="A1341" s="9">
        <f>IF(ActiveDatabase=Standby,Secondary!A1341,Primary!A1999)</f>
        <v>0</v>
      </c>
      <c r="B1341" s="5">
        <f>IF(ActiveDatabase=Standby,Secondary!B1341,Primary!B1999)</f>
        <v>0</v>
      </c>
      <c r="C1341" s="5">
        <f>IF(ActiveDatabase=Standby,Secondary!C1341,Primary!C1999)</f>
        <v>0</v>
      </c>
      <c r="D1341" s="5">
        <f>IF(ActiveDatabase=Standby,Secondary!D1341,Primary!D1999)</f>
        <v>0</v>
      </c>
      <c r="E1341" s="7">
        <f>IF(ActiveDatabase=Standby,Secondary!E1341,Primary!E1999)</f>
        <v>0</v>
      </c>
      <c r="F1341" s="8">
        <f>IF(ActiveDatabase=Standby,Secondary!F1341,Primary!F1999)</f>
        <v>0</v>
      </c>
      <c r="G1341" s="8">
        <f>IF(ActiveDatabase=Standby,Secondary!G1341,Primary!G1999)</f>
        <v>0</v>
      </c>
      <c r="H1341" s="8">
        <f>IF(ActiveDatabase=Standby,Secondary!H1341,Primary!H1999)</f>
        <v>0</v>
      </c>
      <c r="I1341" s="14">
        <f>IF(ActiveDatabase=Standby,Secondary!I1341,Primary!I1999)</f>
        <v>0</v>
      </c>
      <c r="J1341" s="14">
        <f>IF(ActiveDatabase=Standby,Secondary!J1341,Primary!J1999)</f>
        <v>0</v>
      </c>
      <c r="K1341" s="14">
        <f>IF(ActiveDatabase=Standby,Secondary!K1341,Primary!K1999)</f>
        <v>0</v>
      </c>
      <c r="L1341" s="14">
        <f>IF(ActiveDatabase=Standby,Secondary!L1341,Primary!L1999)</f>
        <v>0</v>
      </c>
      <c r="M1341" s="7">
        <f>IF(ActiveDatabase=Standby,Secondary!M1341,Primary!M1999)</f>
        <v>0</v>
      </c>
      <c r="N1341" s="8">
        <f>IF(ActiveDatabase=Standby,Secondary!N1341,Primary!N1999)</f>
        <v>0</v>
      </c>
      <c r="O1341" s="8">
        <f>IF(ActiveDatabase=Standby,Secondary!O1341,Primary!O1999)</f>
        <v>0</v>
      </c>
      <c r="P1341" s="8">
        <f>IF(ActiveDatabase=Standby,Secondary!P1341,Primary!P1999)</f>
        <v>0</v>
      </c>
      <c r="Q1341" s="7">
        <f>IF(ActiveDatabase=Standby,Secondary!Q1341,Primary!Q1999)</f>
        <v>0</v>
      </c>
      <c r="R1341" s="16">
        <f>IF(ActiveDatabase=Standby,Secondary!R1341,Primary!R1999)</f>
        <v>0</v>
      </c>
      <c r="S1341" s="17">
        <f>IF(ActiveDatabase=Standby,Secondary!S1341,Primary!S1999)</f>
        <v>0</v>
      </c>
      <c r="T1341" s="8">
        <f>IF(ActiveDatabase=Standby,Secondary!T1341,Primary!T1999)</f>
        <v>0</v>
      </c>
      <c r="U1341" s="8">
        <f>IF(ActiveDatabase=Standby,Secondary!U1341,Primary!U1999)</f>
        <v>0</v>
      </c>
      <c r="V1341" s="8">
        <f>IF(ActiveDatabase=Standby,Secondary!V1341,Primary!V1999)</f>
        <v>0</v>
      </c>
      <c r="W1341" s="7">
        <f>IF(ActiveDatabase=Standby,Secondary!W1341,Primary!W1999)</f>
        <v>0</v>
      </c>
      <c r="X1341" s="7">
        <f>IF(ActiveDatabase=Standby,Secondary!X1341,Primary!X1999)</f>
        <v>0</v>
      </c>
      <c r="Y1341" s="7">
        <f>IF(ActiveDatabase=Standby,Secondary!Y1341,Primary!Y1999)</f>
        <v>0</v>
      </c>
      <c r="Z1341" s="7">
        <f>IF(ActiveDatabase=Standby,Secondary!Z1341,Primary!Z1999)</f>
        <v>0</v>
      </c>
      <c r="AA1341" s="7">
        <f>IF(ActiveDatabase=Standby,Secondary!AA1341,Primary!AA1999)</f>
        <v>0</v>
      </c>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7"/>
      <c r="BD1341" s="7"/>
      <c r="BE1341" s="7"/>
      <c r="BF1341" s="7"/>
      <c r="BG1341" s="7"/>
    </row>
    <row r="1342" customHeight="1" spans="1:59">
      <c r="A1342" s="9">
        <f>IF(ActiveDatabase=Standby,Secondary!A1342,Primary!A2000)</f>
        <v>0</v>
      </c>
      <c r="B1342" s="5">
        <f>IF(ActiveDatabase=Standby,Secondary!B1342,Primary!B2000)</f>
        <v>0</v>
      </c>
      <c r="C1342" s="5">
        <f>IF(ActiveDatabase=Standby,Secondary!C1342,Primary!C2000)</f>
        <v>0</v>
      </c>
      <c r="D1342" s="5">
        <f>IF(ActiveDatabase=Standby,Secondary!D1342,Primary!D2000)</f>
        <v>0</v>
      </c>
      <c r="E1342" s="7">
        <f>IF(ActiveDatabase=Standby,Secondary!E1342,Primary!E2000)</f>
        <v>0</v>
      </c>
      <c r="F1342" s="8">
        <f>IF(ActiveDatabase=Standby,Secondary!F1342,Primary!F2000)</f>
        <v>0</v>
      </c>
      <c r="G1342" s="8">
        <f>IF(ActiveDatabase=Standby,Secondary!G1342,Primary!G2000)</f>
        <v>0</v>
      </c>
      <c r="H1342" s="8">
        <f>IF(ActiveDatabase=Standby,Secondary!H1342,Primary!H2000)</f>
        <v>0</v>
      </c>
      <c r="I1342" s="14">
        <f>IF(ActiveDatabase=Standby,Secondary!I1342,Primary!I2000)</f>
        <v>0</v>
      </c>
      <c r="J1342" s="14">
        <f>IF(ActiveDatabase=Standby,Secondary!J1342,Primary!J2000)</f>
        <v>0</v>
      </c>
      <c r="K1342" s="14">
        <f>IF(ActiveDatabase=Standby,Secondary!K1342,Primary!K2000)</f>
        <v>0</v>
      </c>
      <c r="L1342" s="14">
        <f>IF(ActiveDatabase=Standby,Secondary!L1342,Primary!L2000)</f>
        <v>0</v>
      </c>
      <c r="M1342" s="7">
        <f>IF(ActiveDatabase=Standby,Secondary!M1342,Primary!M2000)</f>
        <v>0</v>
      </c>
      <c r="N1342" s="8">
        <f>IF(ActiveDatabase=Standby,Secondary!N1342,Primary!N2000)</f>
        <v>0</v>
      </c>
      <c r="O1342" s="8">
        <f>IF(ActiveDatabase=Standby,Secondary!O1342,Primary!O2000)</f>
        <v>0</v>
      </c>
      <c r="P1342" s="8">
        <f>IF(ActiveDatabase=Standby,Secondary!P1342,Primary!P2000)</f>
        <v>0</v>
      </c>
      <c r="Q1342" s="7">
        <f>IF(ActiveDatabase=Standby,Secondary!Q1342,Primary!Q2000)</f>
        <v>0</v>
      </c>
      <c r="R1342" s="16">
        <f>IF(ActiveDatabase=Standby,Secondary!R1342,Primary!R2000)</f>
        <v>0</v>
      </c>
      <c r="S1342" s="17">
        <f>IF(ActiveDatabase=Standby,Secondary!S1342,Primary!S2000)</f>
        <v>0</v>
      </c>
      <c r="T1342" s="8">
        <f>IF(ActiveDatabase=Standby,Secondary!T1342,Primary!T2000)</f>
        <v>0</v>
      </c>
      <c r="U1342" s="8">
        <f>IF(ActiveDatabase=Standby,Secondary!U1342,Primary!U2000)</f>
        <v>0</v>
      </c>
      <c r="V1342" s="8">
        <f>IF(ActiveDatabase=Standby,Secondary!V1342,Primary!V2000)</f>
        <v>0</v>
      </c>
      <c r="W1342" s="7">
        <f>IF(ActiveDatabase=Standby,Secondary!W1342,Primary!W2000)</f>
        <v>0</v>
      </c>
      <c r="X1342" s="7">
        <f>IF(ActiveDatabase=Standby,Secondary!X1342,Primary!X2000)</f>
        <v>0</v>
      </c>
      <c r="Y1342" s="7">
        <f>IF(ActiveDatabase=Standby,Secondary!Y1342,Primary!Y2000)</f>
        <v>0</v>
      </c>
      <c r="Z1342" s="7">
        <f>IF(ActiveDatabase=Standby,Secondary!Z1342,Primary!Z2000)</f>
        <v>0</v>
      </c>
      <c r="AA1342" s="7">
        <f>IF(ActiveDatabase=Standby,Secondary!AA1342,Primary!AA2000)</f>
        <v>0</v>
      </c>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c r="AX1342" s="7"/>
      <c r="AY1342" s="7"/>
      <c r="AZ1342" s="7"/>
      <c r="BA1342" s="7"/>
      <c r="BB1342" s="7"/>
      <c r="BC1342" s="7"/>
      <c r="BD1342" s="7"/>
      <c r="BE1342" s="7"/>
      <c r="BF1342" s="7"/>
      <c r="BG1342" s="7"/>
    </row>
    <row r="1343" customHeight="1" spans="1:59">
      <c r="A1343" s="9">
        <f>IF(ActiveDatabase=Standby,Secondary!A1343,Primary!A2001)</f>
        <v>0</v>
      </c>
      <c r="B1343" s="5">
        <f>IF(ActiveDatabase=Standby,Secondary!B1343,Primary!B2001)</f>
        <v>0</v>
      </c>
      <c r="C1343" s="5">
        <f>IF(ActiveDatabase=Standby,Secondary!C1343,Primary!C2001)</f>
        <v>0</v>
      </c>
      <c r="D1343" s="5">
        <f>IF(ActiveDatabase=Standby,Secondary!D1343,Primary!D2001)</f>
        <v>0</v>
      </c>
      <c r="E1343" s="7">
        <f>IF(ActiveDatabase=Standby,Secondary!E1343,Primary!E2001)</f>
        <v>0</v>
      </c>
      <c r="F1343" s="8">
        <f>IF(ActiveDatabase=Standby,Secondary!F1343,Primary!F2001)</f>
        <v>0</v>
      </c>
      <c r="G1343" s="8">
        <f>IF(ActiveDatabase=Standby,Secondary!G1343,Primary!G2001)</f>
        <v>0</v>
      </c>
      <c r="H1343" s="8">
        <f>IF(ActiveDatabase=Standby,Secondary!H1343,Primary!H2001)</f>
        <v>0</v>
      </c>
      <c r="I1343" s="14">
        <f>IF(ActiveDatabase=Standby,Secondary!I1343,Primary!I2001)</f>
        <v>0</v>
      </c>
      <c r="J1343" s="14">
        <f>IF(ActiveDatabase=Standby,Secondary!J1343,Primary!J2001)</f>
        <v>0</v>
      </c>
      <c r="K1343" s="14">
        <f>IF(ActiveDatabase=Standby,Secondary!K1343,Primary!K2001)</f>
        <v>0</v>
      </c>
      <c r="L1343" s="14">
        <f>IF(ActiveDatabase=Standby,Secondary!L1343,Primary!L2001)</f>
        <v>0</v>
      </c>
      <c r="M1343" s="7">
        <f>IF(ActiveDatabase=Standby,Secondary!M1343,Primary!M2001)</f>
        <v>0</v>
      </c>
      <c r="N1343" s="8">
        <f>IF(ActiveDatabase=Standby,Secondary!N1343,Primary!N2001)</f>
        <v>0</v>
      </c>
      <c r="O1343" s="8">
        <f>IF(ActiveDatabase=Standby,Secondary!O1343,Primary!O2001)</f>
        <v>0</v>
      </c>
      <c r="P1343" s="8">
        <f>IF(ActiveDatabase=Standby,Secondary!P1343,Primary!P2001)</f>
        <v>0</v>
      </c>
      <c r="Q1343" s="7">
        <f>IF(ActiveDatabase=Standby,Secondary!Q1343,Primary!Q2001)</f>
        <v>0</v>
      </c>
      <c r="R1343" s="16">
        <f>IF(ActiveDatabase=Standby,Secondary!R1343,Primary!R2001)</f>
        <v>0</v>
      </c>
      <c r="S1343" s="17">
        <f>IF(ActiveDatabase=Standby,Secondary!S1343,Primary!S2001)</f>
        <v>0</v>
      </c>
      <c r="T1343" s="8">
        <f>IF(ActiveDatabase=Standby,Secondary!T1343,Primary!T2001)</f>
        <v>0</v>
      </c>
      <c r="U1343" s="8">
        <f>IF(ActiveDatabase=Standby,Secondary!U1343,Primary!U2001)</f>
        <v>0</v>
      </c>
      <c r="V1343" s="8">
        <f>IF(ActiveDatabase=Standby,Secondary!V1343,Primary!V2001)</f>
        <v>0</v>
      </c>
      <c r="W1343" s="7">
        <f>IF(ActiveDatabase=Standby,Secondary!W1343,Primary!W2001)</f>
        <v>0</v>
      </c>
      <c r="X1343" s="7">
        <f>IF(ActiveDatabase=Standby,Secondary!X1343,Primary!X2001)</f>
        <v>0</v>
      </c>
      <c r="Y1343" s="7">
        <f>IF(ActiveDatabase=Standby,Secondary!Y1343,Primary!Y2001)</f>
        <v>0</v>
      </c>
      <c r="Z1343" s="7">
        <f>IF(ActiveDatabase=Standby,Secondary!Z1343,Primary!Z2001)</f>
        <v>0</v>
      </c>
      <c r="AA1343" s="7">
        <f>IF(ActiveDatabase=Standby,Secondary!AA1343,Primary!AA2001)</f>
        <v>0</v>
      </c>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row>
    <row r="1344" customHeight="1" spans="1:59">
      <c r="A1344" s="9">
        <f>IF(ActiveDatabase=Standby,Secondary!A1344,Primary!A2002)</f>
        <v>0</v>
      </c>
      <c r="B1344" s="5">
        <f>IF(ActiveDatabase=Standby,Secondary!B1344,Primary!B2002)</f>
        <v>0</v>
      </c>
      <c r="C1344" s="5">
        <f>IF(ActiveDatabase=Standby,Secondary!C1344,Primary!C2002)</f>
        <v>0</v>
      </c>
      <c r="D1344" s="5">
        <f>IF(ActiveDatabase=Standby,Secondary!D1344,Primary!D2002)</f>
        <v>0</v>
      </c>
      <c r="E1344" s="7">
        <f>IF(ActiveDatabase=Standby,Secondary!E1344,Primary!E2002)</f>
        <v>0</v>
      </c>
      <c r="F1344" s="8">
        <f>IF(ActiveDatabase=Standby,Secondary!F1344,Primary!F2002)</f>
        <v>0</v>
      </c>
      <c r="G1344" s="8">
        <f>IF(ActiveDatabase=Standby,Secondary!G1344,Primary!G2002)</f>
        <v>0</v>
      </c>
      <c r="H1344" s="8">
        <f>IF(ActiveDatabase=Standby,Secondary!H1344,Primary!H2002)</f>
        <v>0</v>
      </c>
      <c r="I1344" s="14">
        <f>IF(ActiveDatabase=Standby,Secondary!I1344,Primary!I2002)</f>
        <v>0</v>
      </c>
      <c r="J1344" s="14">
        <f>IF(ActiveDatabase=Standby,Secondary!J1344,Primary!J2002)</f>
        <v>0</v>
      </c>
      <c r="K1344" s="14">
        <f>IF(ActiveDatabase=Standby,Secondary!K1344,Primary!K2002)</f>
        <v>0</v>
      </c>
      <c r="L1344" s="14">
        <f>IF(ActiveDatabase=Standby,Secondary!L1344,Primary!L2002)</f>
        <v>0</v>
      </c>
      <c r="M1344" s="7">
        <f>IF(ActiveDatabase=Standby,Secondary!M1344,Primary!M2002)</f>
        <v>0</v>
      </c>
      <c r="N1344" s="8">
        <f>IF(ActiveDatabase=Standby,Secondary!N1344,Primary!N2002)</f>
        <v>0</v>
      </c>
      <c r="O1344" s="8">
        <f>IF(ActiveDatabase=Standby,Secondary!O1344,Primary!O2002)</f>
        <v>0</v>
      </c>
      <c r="P1344" s="8">
        <f>IF(ActiveDatabase=Standby,Secondary!P1344,Primary!P2002)</f>
        <v>0</v>
      </c>
      <c r="Q1344" s="7">
        <f>IF(ActiveDatabase=Standby,Secondary!Q1344,Primary!Q2002)</f>
        <v>0</v>
      </c>
      <c r="R1344" s="16">
        <f>IF(ActiveDatabase=Standby,Secondary!R1344,Primary!R2002)</f>
        <v>0</v>
      </c>
      <c r="S1344" s="17">
        <f>IF(ActiveDatabase=Standby,Secondary!S1344,Primary!S2002)</f>
        <v>0</v>
      </c>
      <c r="T1344" s="8">
        <f>IF(ActiveDatabase=Standby,Secondary!T1344,Primary!T2002)</f>
        <v>0</v>
      </c>
      <c r="U1344" s="8">
        <f>IF(ActiveDatabase=Standby,Secondary!U1344,Primary!U2002)</f>
        <v>0</v>
      </c>
      <c r="V1344" s="8">
        <f>IF(ActiveDatabase=Standby,Secondary!V1344,Primary!V2002)</f>
        <v>0</v>
      </c>
      <c r="W1344" s="7">
        <f>IF(ActiveDatabase=Standby,Secondary!W1344,Primary!W2002)</f>
        <v>0</v>
      </c>
      <c r="X1344" s="7">
        <f>IF(ActiveDatabase=Standby,Secondary!X1344,Primary!X2002)</f>
        <v>0</v>
      </c>
      <c r="Y1344" s="7">
        <f>IF(ActiveDatabase=Standby,Secondary!Y1344,Primary!Y2002)</f>
        <v>0</v>
      </c>
      <c r="Z1344" s="7">
        <f>IF(ActiveDatabase=Standby,Secondary!Z1344,Primary!Z2002)</f>
        <v>0</v>
      </c>
      <c r="AA1344" s="7">
        <f>IF(ActiveDatabase=Standby,Secondary!AA1344,Primary!AA2002)</f>
        <v>0</v>
      </c>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row>
    <row r="1345" customHeight="1" spans="1:59">
      <c r="A1345" s="9">
        <f>IF(ActiveDatabase=Standby,Secondary!A1345,Primary!A2003)</f>
        <v>0</v>
      </c>
      <c r="B1345" s="5">
        <f>IF(ActiveDatabase=Standby,Secondary!B1345,Primary!B2003)</f>
        <v>0</v>
      </c>
      <c r="C1345" s="5">
        <f>IF(ActiveDatabase=Standby,Secondary!C1345,Primary!C2003)</f>
        <v>0</v>
      </c>
      <c r="D1345" s="5">
        <f>IF(ActiveDatabase=Standby,Secondary!D1345,Primary!D2003)</f>
        <v>0</v>
      </c>
      <c r="E1345" s="7">
        <f>IF(ActiveDatabase=Standby,Secondary!E1345,Primary!E2003)</f>
        <v>0</v>
      </c>
      <c r="F1345" s="8">
        <f>IF(ActiveDatabase=Standby,Secondary!F1345,Primary!F2003)</f>
        <v>0</v>
      </c>
      <c r="G1345" s="8">
        <f>IF(ActiveDatabase=Standby,Secondary!G1345,Primary!G2003)</f>
        <v>0</v>
      </c>
      <c r="H1345" s="8">
        <f>IF(ActiveDatabase=Standby,Secondary!H1345,Primary!H2003)</f>
        <v>0</v>
      </c>
      <c r="I1345" s="14">
        <f>IF(ActiveDatabase=Standby,Secondary!I1345,Primary!I2003)</f>
        <v>0</v>
      </c>
      <c r="J1345" s="14">
        <f>IF(ActiveDatabase=Standby,Secondary!J1345,Primary!J2003)</f>
        <v>0</v>
      </c>
      <c r="K1345" s="14">
        <f>IF(ActiveDatabase=Standby,Secondary!K1345,Primary!K2003)</f>
        <v>0</v>
      </c>
      <c r="L1345" s="14">
        <f>IF(ActiveDatabase=Standby,Secondary!L1345,Primary!L2003)</f>
        <v>0</v>
      </c>
      <c r="M1345" s="7">
        <f>IF(ActiveDatabase=Standby,Secondary!M1345,Primary!M2003)</f>
        <v>0</v>
      </c>
      <c r="N1345" s="8">
        <f>IF(ActiveDatabase=Standby,Secondary!N1345,Primary!N2003)</f>
        <v>0</v>
      </c>
      <c r="O1345" s="8">
        <f>IF(ActiveDatabase=Standby,Secondary!O1345,Primary!O2003)</f>
        <v>0</v>
      </c>
      <c r="P1345" s="8">
        <f>IF(ActiveDatabase=Standby,Secondary!P1345,Primary!P2003)</f>
        <v>0</v>
      </c>
      <c r="Q1345" s="7">
        <f>IF(ActiveDatabase=Standby,Secondary!Q1345,Primary!Q2003)</f>
        <v>0</v>
      </c>
      <c r="R1345" s="16">
        <f>IF(ActiveDatabase=Standby,Secondary!R1345,Primary!R2003)</f>
        <v>0</v>
      </c>
      <c r="S1345" s="17">
        <f>IF(ActiveDatabase=Standby,Secondary!S1345,Primary!S2003)</f>
        <v>0</v>
      </c>
      <c r="T1345" s="8">
        <f>IF(ActiveDatabase=Standby,Secondary!T1345,Primary!T2003)</f>
        <v>0</v>
      </c>
      <c r="U1345" s="8">
        <f>IF(ActiveDatabase=Standby,Secondary!U1345,Primary!U2003)</f>
        <v>0</v>
      </c>
      <c r="V1345" s="8">
        <f>IF(ActiveDatabase=Standby,Secondary!V1345,Primary!V2003)</f>
        <v>0</v>
      </c>
      <c r="W1345" s="7">
        <f>IF(ActiveDatabase=Standby,Secondary!W1345,Primary!W2003)</f>
        <v>0</v>
      </c>
      <c r="X1345" s="7">
        <f>IF(ActiveDatabase=Standby,Secondary!X1345,Primary!X2003)</f>
        <v>0</v>
      </c>
      <c r="Y1345" s="7">
        <f>IF(ActiveDatabase=Standby,Secondary!Y1345,Primary!Y2003)</f>
        <v>0</v>
      </c>
      <c r="Z1345" s="7">
        <f>IF(ActiveDatabase=Standby,Secondary!Z1345,Primary!Z2003)</f>
        <v>0</v>
      </c>
      <c r="AA1345" s="7">
        <f>IF(ActiveDatabase=Standby,Secondary!AA1345,Primary!AA2003)</f>
        <v>0</v>
      </c>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c r="AX1345" s="7"/>
      <c r="AY1345" s="7"/>
      <c r="AZ1345" s="7"/>
      <c r="BA1345" s="7"/>
      <c r="BB1345" s="7"/>
      <c r="BC1345" s="7"/>
      <c r="BD1345" s="7"/>
      <c r="BE1345" s="7"/>
      <c r="BF1345" s="7"/>
      <c r="BG1345" s="7"/>
    </row>
    <row r="1346" customHeight="1" spans="1:59">
      <c r="A1346" s="9">
        <f>IF(ActiveDatabase=Standby,Secondary!A1346,Primary!A2004)</f>
        <v>0</v>
      </c>
      <c r="B1346" s="5">
        <f>IF(ActiveDatabase=Standby,Secondary!B1346,Primary!B2004)</f>
        <v>0</v>
      </c>
      <c r="C1346" s="5">
        <f>IF(ActiveDatabase=Standby,Secondary!C1346,Primary!C2004)</f>
        <v>0</v>
      </c>
      <c r="D1346" s="5">
        <f>IF(ActiveDatabase=Standby,Secondary!D1346,Primary!D2004)</f>
        <v>0</v>
      </c>
      <c r="E1346" s="7">
        <f>IF(ActiveDatabase=Standby,Secondary!E1346,Primary!E2004)</f>
        <v>0</v>
      </c>
      <c r="F1346" s="8">
        <f>IF(ActiveDatabase=Standby,Secondary!F1346,Primary!F2004)</f>
        <v>0</v>
      </c>
      <c r="G1346" s="8">
        <f>IF(ActiveDatabase=Standby,Secondary!G1346,Primary!G2004)</f>
        <v>0</v>
      </c>
      <c r="H1346" s="8">
        <f>IF(ActiveDatabase=Standby,Secondary!H1346,Primary!H2004)</f>
        <v>0</v>
      </c>
      <c r="I1346" s="14">
        <f>IF(ActiveDatabase=Standby,Secondary!I1346,Primary!I2004)</f>
        <v>0</v>
      </c>
      <c r="J1346" s="14">
        <f>IF(ActiveDatabase=Standby,Secondary!J1346,Primary!J2004)</f>
        <v>0</v>
      </c>
      <c r="K1346" s="14">
        <f>IF(ActiveDatabase=Standby,Secondary!K1346,Primary!K2004)</f>
        <v>0</v>
      </c>
      <c r="L1346" s="14">
        <f>IF(ActiveDatabase=Standby,Secondary!L1346,Primary!L2004)</f>
        <v>0</v>
      </c>
      <c r="M1346" s="7">
        <f>IF(ActiveDatabase=Standby,Secondary!M1346,Primary!M2004)</f>
        <v>0</v>
      </c>
      <c r="N1346" s="8">
        <f>IF(ActiveDatabase=Standby,Secondary!N1346,Primary!N2004)</f>
        <v>0</v>
      </c>
      <c r="O1346" s="8">
        <f>IF(ActiveDatabase=Standby,Secondary!O1346,Primary!O2004)</f>
        <v>0</v>
      </c>
      <c r="P1346" s="8">
        <f>IF(ActiveDatabase=Standby,Secondary!P1346,Primary!P2004)</f>
        <v>0</v>
      </c>
      <c r="Q1346" s="7">
        <f>IF(ActiveDatabase=Standby,Secondary!Q1346,Primary!Q2004)</f>
        <v>0</v>
      </c>
      <c r="R1346" s="16">
        <f>IF(ActiveDatabase=Standby,Secondary!R1346,Primary!R2004)</f>
        <v>0</v>
      </c>
      <c r="S1346" s="17">
        <f>IF(ActiveDatabase=Standby,Secondary!S1346,Primary!S2004)</f>
        <v>0</v>
      </c>
      <c r="T1346" s="8">
        <f>IF(ActiveDatabase=Standby,Secondary!T1346,Primary!T2004)</f>
        <v>0</v>
      </c>
      <c r="U1346" s="8">
        <f>IF(ActiveDatabase=Standby,Secondary!U1346,Primary!U2004)</f>
        <v>0</v>
      </c>
      <c r="V1346" s="8">
        <f>IF(ActiveDatabase=Standby,Secondary!V1346,Primary!V2004)</f>
        <v>0</v>
      </c>
      <c r="W1346" s="7">
        <f>IF(ActiveDatabase=Standby,Secondary!W1346,Primary!W2004)</f>
        <v>0</v>
      </c>
      <c r="X1346" s="7">
        <f>IF(ActiveDatabase=Standby,Secondary!X1346,Primary!X2004)</f>
        <v>0</v>
      </c>
      <c r="Y1346" s="7">
        <f>IF(ActiveDatabase=Standby,Secondary!Y1346,Primary!Y2004)</f>
        <v>0</v>
      </c>
      <c r="Z1346" s="7">
        <f>IF(ActiveDatabase=Standby,Secondary!Z1346,Primary!Z2004)</f>
        <v>0</v>
      </c>
      <c r="AA1346" s="7">
        <f>IF(ActiveDatabase=Standby,Secondary!AA1346,Primary!AA2004)</f>
        <v>0</v>
      </c>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c r="AX1346" s="7"/>
      <c r="AY1346" s="7"/>
      <c r="AZ1346" s="7"/>
      <c r="BA1346" s="7"/>
      <c r="BB1346" s="7"/>
      <c r="BC1346" s="7"/>
      <c r="BD1346" s="7"/>
      <c r="BE1346" s="7"/>
      <c r="BF1346" s="7"/>
      <c r="BG1346" s="7"/>
    </row>
    <row r="1347" customHeight="1" spans="1:59">
      <c r="A1347" s="9">
        <f>IF(ActiveDatabase=Standby,Secondary!A1347,Primary!A2005)</f>
        <v>0</v>
      </c>
      <c r="B1347" s="5">
        <f>IF(ActiveDatabase=Standby,Secondary!B1347,Primary!B2005)</f>
        <v>0</v>
      </c>
      <c r="C1347" s="5">
        <f>IF(ActiveDatabase=Standby,Secondary!C1347,Primary!C2005)</f>
        <v>0</v>
      </c>
      <c r="D1347" s="5">
        <f>IF(ActiveDatabase=Standby,Secondary!D1347,Primary!D2005)</f>
        <v>0</v>
      </c>
      <c r="E1347" s="7">
        <f>IF(ActiveDatabase=Standby,Secondary!E1347,Primary!E2005)</f>
        <v>0</v>
      </c>
      <c r="F1347" s="8">
        <f>IF(ActiveDatabase=Standby,Secondary!F1347,Primary!F2005)</f>
        <v>0</v>
      </c>
      <c r="G1347" s="8">
        <f>IF(ActiveDatabase=Standby,Secondary!G1347,Primary!G2005)</f>
        <v>0</v>
      </c>
      <c r="H1347" s="8">
        <f>IF(ActiveDatabase=Standby,Secondary!H1347,Primary!H2005)</f>
        <v>0</v>
      </c>
      <c r="I1347" s="14">
        <f>IF(ActiveDatabase=Standby,Secondary!I1347,Primary!I2005)</f>
        <v>0</v>
      </c>
      <c r="J1347" s="14">
        <f>IF(ActiveDatabase=Standby,Secondary!J1347,Primary!J2005)</f>
        <v>0</v>
      </c>
      <c r="K1347" s="14">
        <f>IF(ActiveDatabase=Standby,Secondary!K1347,Primary!K2005)</f>
        <v>0</v>
      </c>
      <c r="L1347" s="14">
        <f>IF(ActiveDatabase=Standby,Secondary!L1347,Primary!L2005)</f>
        <v>0</v>
      </c>
      <c r="M1347" s="7">
        <f>IF(ActiveDatabase=Standby,Secondary!M1347,Primary!M2005)</f>
        <v>0</v>
      </c>
      <c r="N1347" s="8">
        <f>IF(ActiveDatabase=Standby,Secondary!N1347,Primary!N2005)</f>
        <v>0</v>
      </c>
      <c r="O1347" s="8">
        <f>IF(ActiveDatabase=Standby,Secondary!O1347,Primary!O2005)</f>
        <v>0</v>
      </c>
      <c r="P1347" s="8">
        <f>IF(ActiveDatabase=Standby,Secondary!P1347,Primary!P2005)</f>
        <v>0</v>
      </c>
      <c r="Q1347" s="7">
        <f>IF(ActiveDatabase=Standby,Secondary!Q1347,Primary!Q2005)</f>
        <v>0</v>
      </c>
      <c r="R1347" s="16">
        <f>IF(ActiveDatabase=Standby,Secondary!R1347,Primary!R2005)</f>
        <v>0</v>
      </c>
      <c r="S1347" s="17">
        <f>IF(ActiveDatabase=Standby,Secondary!S1347,Primary!S2005)</f>
        <v>0</v>
      </c>
      <c r="T1347" s="8">
        <f>IF(ActiveDatabase=Standby,Secondary!T1347,Primary!T2005)</f>
        <v>0</v>
      </c>
      <c r="U1347" s="8">
        <f>IF(ActiveDatabase=Standby,Secondary!U1347,Primary!U2005)</f>
        <v>0</v>
      </c>
      <c r="V1347" s="8">
        <f>IF(ActiveDatabase=Standby,Secondary!V1347,Primary!V2005)</f>
        <v>0</v>
      </c>
      <c r="W1347" s="7">
        <f>IF(ActiveDatabase=Standby,Secondary!W1347,Primary!W2005)</f>
        <v>0</v>
      </c>
      <c r="X1347" s="7">
        <f>IF(ActiveDatabase=Standby,Secondary!X1347,Primary!X2005)</f>
        <v>0</v>
      </c>
      <c r="Y1347" s="7">
        <f>IF(ActiveDatabase=Standby,Secondary!Y1347,Primary!Y2005)</f>
        <v>0</v>
      </c>
      <c r="Z1347" s="7">
        <f>IF(ActiveDatabase=Standby,Secondary!Z1347,Primary!Z2005)</f>
        <v>0</v>
      </c>
      <c r="AA1347" s="7">
        <f>IF(ActiveDatabase=Standby,Secondary!AA1347,Primary!AA2005)</f>
        <v>0</v>
      </c>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c r="AX1347" s="7"/>
      <c r="AY1347" s="7"/>
      <c r="AZ1347" s="7"/>
      <c r="BA1347" s="7"/>
      <c r="BB1347" s="7"/>
      <c r="BC1347" s="7"/>
      <c r="BD1347" s="7"/>
      <c r="BE1347" s="7"/>
      <c r="BF1347" s="7"/>
      <c r="BG1347" s="7"/>
    </row>
    <row r="1348" customHeight="1" spans="1:59">
      <c r="A1348" s="9">
        <f>IF(ActiveDatabase=Standby,Secondary!A1348,Primary!A2006)</f>
        <v>0</v>
      </c>
      <c r="B1348" s="5">
        <f>IF(ActiveDatabase=Standby,Secondary!B1348,Primary!B2006)</f>
        <v>0</v>
      </c>
      <c r="C1348" s="5">
        <f>IF(ActiveDatabase=Standby,Secondary!C1348,Primary!C2006)</f>
        <v>0</v>
      </c>
      <c r="D1348" s="5">
        <f>IF(ActiveDatabase=Standby,Secondary!D1348,Primary!D2006)</f>
        <v>0</v>
      </c>
      <c r="E1348" s="7">
        <f>IF(ActiveDatabase=Standby,Secondary!E1348,Primary!E2006)</f>
        <v>0</v>
      </c>
      <c r="F1348" s="8">
        <f>IF(ActiveDatabase=Standby,Secondary!F1348,Primary!F2006)</f>
        <v>0</v>
      </c>
      <c r="G1348" s="8">
        <f>IF(ActiveDatabase=Standby,Secondary!G1348,Primary!G2006)</f>
        <v>0</v>
      </c>
      <c r="H1348" s="8">
        <f>IF(ActiveDatabase=Standby,Secondary!H1348,Primary!H2006)</f>
        <v>0</v>
      </c>
      <c r="I1348" s="14">
        <f>IF(ActiveDatabase=Standby,Secondary!I1348,Primary!I2006)</f>
        <v>0</v>
      </c>
      <c r="J1348" s="14">
        <f>IF(ActiveDatabase=Standby,Secondary!J1348,Primary!J2006)</f>
        <v>0</v>
      </c>
      <c r="K1348" s="14">
        <f>IF(ActiveDatabase=Standby,Secondary!K1348,Primary!K2006)</f>
        <v>0</v>
      </c>
      <c r="L1348" s="14">
        <f>IF(ActiveDatabase=Standby,Secondary!L1348,Primary!L2006)</f>
        <v>0</v>
      </c>
      <c r="M1348" s="7">
        <f>IF(ActiveDatabase=Standby,Secondary!M1348,Primary!M2006)</f>
        <v>0</v>
      </c>
      <c r="N1348" s="8">
        <f>IF(ActiveDatabase=Standby,Secondary!N1348,Primary!N2006)</f>
        <v>0</v>
      </c>
      <c r="O1348" s="8">
        <f>IF(ActiveDatabase=Standby,Secondary!O1348,Primary!O2006)</f>
        <v>0</v>
      </c>
      <c r="P1348" s="8">
        <f>IF(ActiveDatabase=Standby,Secondary!P1348,Primary!P2006)</f>
        <v>0</v>
      </c>
      <c r="Q1348" s="7">
        <f>IF(ActiveDatabase=Standby,Secondary!Q1348,Primary!Q2006)</f>
        <v>0</v>
      </c>
      <c r="R1348" s="16">
        <f>IF(ActiveDatabase=Standby,Secondary!R1348,Primary!R2006)</f>
        <v>0</v>
      </c>
      <c r="S1348" s="17">
        <f>IF(ActiveDatabase=Standby,Secondary!S1348,Primary!S2006)</f>
        <v>0</v>
      </c>
      <c r="T1348" s="8">
        <f>IF(ActiveDatabase=Standby,Secondary!T1348,Primary!T2006)</f>
        <v>0</v>
      </c>
      <c r="U1348" s="8">
        <f>IF(ActiveDatabase=Standby,Secondary!U1348,Primary!U2006)</f>
        <v>0</v>
      </c>
      <c r="V1348" s="8">
        <f>IF(ActiveDatabase=Standby,Secondary!V1348,Primary!V2006)</f>
        <v>0</v>
      </c>
      <c r="W1348" s="7">
        <f>IF(ActiveDatabase=Standby,Secondary!W1348,Primary!W2006)</f>
        <v>0</v>
      </c>
      <c r="X1348" s="7">
        <f>IF(ActiveDatabase=Standby,Secondary!X1348,Primary!X2006)</f>
        <v>0</v>
      </c>
      <c r="Y1348" s="7">
        <f>IF(ActiveDatabase=Standby,Secondary!Y1348,Primary!Y2006)</f>
        <v>0</v>
      </c>
      <c r="Z1348" s="7">
        <f>IF(ActiveDatabase=Standby,Secondary!Z1348,Primary!Z2006)</f>
        <v>0</v>
      </c>
      <c r="AA1348" s="7">
        <f>IF(ActiveDatabase=Standby,Secondary!AA1348,Primary!AA2006)</f>
        <v>0</v>
      </c>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c r="AX1348" s="7"/>
      <c r="AY1348" s="7"/>
      <c r="AZ1348" s="7"/>
      <c r="BA1348" s="7"/>
      <c r="BB1348" s="7"/>
      <c r="BC1348" s="7"/>
      <c r="BD1348" s="7"/>
      <c r="BE1348" s="7"/>
      <c r="BF1348" s="7"/>
      <c r="BG1348" s="7"/>
    </row>
    <row r="1349" customHeight="1" spans="1:59">
      <c r="A1349" s="9">
        <f>IF(ActiveDatabase=Standby,Secondary!A1349,Primary!A2007)</f>
        <v>0</v>
      </c>
      <c r="B1349" s="5">
        <f>IF(ActiveDatabase=Standby,Secondary!B1349,Primary!B2007)</f>
        <v>0</v>
      </c>
      <c r="C1349" s="5">
        <f>IF(ActiveDatabase=Standby,Secondary!C1349,Primary!C2007)</f>
        <v>0</v>
      </c>
      <c r="D1349" s="5">
        <f>IF(ActiveDatabase=Standby,Secondary!D1349,Primary!D2007)</f>
        <v>0</v>
      </c>
      <c r="E1349" s="7">
        <f>IF(ActiveDatabase=Standby,Secondary!E1349,Primary!E2007)</f>
        <v>0</v>
      </c>
      <c r="F1349" s="8">
        <f>IF(ActiveDatabase=Standby,Secondary!F1349,Primary!F2007)</f>
        <v>0</v>
      </c>
      <c r="G1349" s="8">
        <f>IF(ActiveDatabase=Standby,Secondary!G1349,Primary!G2007)</f>
        <v>0</v>
      </c>
      <c r="H1349" s="8">
        <f>IF(ActiveDatabase=Standby,Secondary!H1349,Primary!H2007)</f>
        <v>0</v>
      </c>
      <c r="I1349" s="14">
        <f>IF(ActiveDatabase=Standby,Secondary!I1349,Primary!I2007)</f>
        <v>0</v>
      </c>
      <c r="J1349" s="14">
        <f>IF(ActiveDatabase=Standby,Secondary!J1349,Primary!J2007)</f>
        <v>0</v>
      </c>
      <c r="K1349" s="14">
        <f>IF(ActiveDatabase=Standby,Secondary!K1349,Primary!K2007)</f>
        <v>0</v>
      </c>
      <c r="L1349" s="14">
        <f>IF(ActiveDatabase=Standby,Secondary!L1349,Primary!L2007)</f>
        <v>0</v>
      </c>
      <c r="M1349" s="7">
        <f>IF(ActiveDatabase=Standby,Secondary!M1349,Primary!M2007)</f>
        <v>0</v>
      </c>
      <c r="N1349" s="8">
        <f>IF(ActiveDatabase=Standby,Secondary!N1349,Primary!N2007)</f>
        <v>0</v>
      </c>
      <c r="O1349" s="8">
        <f>IF(ActiveDatabase=Standby,Secondary!O1349,Primary!O2007)</f>
        <v>0</v>
      </c>
      <c r="P1349" s="8">
        <f>IF(ActiveDatabase=Standby,Secondary!P1349,Primary!P2007)</f>
        <v>0</v>
      </c>
      <c r="Q1349" s="7">
        <f>IF(ActiveDatabase=Standby,Secondary!Q1349,Primary!Q2007)</f>
        <v>0</v>
      </c>
      <c r="R1349" s="16">
        <f>IF(ActiveDatabase=Standby,Secondary!R1349,Primary!R2007)</f>
        <v>0</v>
      </c>
      <c r="S1349" s="17">
        <f>IF(ActiveDatabase=Standby,Secondary!S1349,Primary!S2007)</f>
        <v>0</v>
      </c>
      <c r="T1349" s="8">
        <f>IF(ActiveDatabase=Standby,Secondary!T1349,Primary!T2007)</f>
        <v>0</v>
      </c>
      <c r="U1349" s="8">
        <f>IF(ActiveDatabase=Standby,Secondary!U1349,Primary!U2007)</f>
        <v>0</v>
      </c>
      <c r="V1349" s="8">
        <f>IF(ActiveDatabase=Standby,Secondary!V1349,Primary!V2007)</f>
        <v>0</v>
      </c>
      <c r="W1349" s="7">
        <f>IF(ActiveDatabase=Standby,Secondary!W1349,Primary!W2007)</f>
        <v>0</v>
      </c>
      <c r="X1349" s="7">
        <f>IF(ActiveDatabase=Standby,Secondary!X1349,Primary!X2007)</f>
        <v>0</v>
      </c>
      <c r="Y1349" s="7">
        <f>IF(ActiveDatabase=Standby,Secondary!Y1349,Primary!Y2007)</f>
        <v>0</v>
      </c>
      <c r="Z1349" s="7">
        <f>IF(ActiveDatabase=Standby,Secondary!Z1349,Primary!Z2007)</f>
        <v>0</v>
      </c>
      <c r="AA1349" s="7">
        <f>IF(ActiveDatabase=Standby,Secondary!AA1349,Primary!AA2007)</f>
        <v>0</v>
      </c>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c r="AX1349" s="7"/>
      <c r="AY1349" s="7"/>
      <c r="AZ1349" s="7"/>
      <c r="BA1349" s="7"/>
      <c r="BB1349" s="7"/>
      <c r="BC1349" s="7"/>
      <c r="BD1349" s="7"/>
      <c r="BE1349" s="7"/>
      <c r="BF1349" s="7"/>
      <c r="BG1349" s="7"/>
    </row>
    <row r="1350" customHeight="1" spans="1:59">
      <c r="A1350" s="9">
        <f>IF(ActiveDatabase=Standby,Secondary!A1350,Primary!A2008)</f>
        <v>0</v>
      </c>
      <c r="B1350" s="5">
        <f>IF(ActiveDatabase=Standby,Secondary!B1350,Primary!B2008)</f>
        <v>0</v>
      </c>
      <c r="C1350" s="5">
        <f>IF(ActiveDatabase=Standby,Secondary!C1350,Primary!C2008)</f>
        <v>0</v>
      </c>
      <c r="D1350" s="5">
        <f>IF(ActiveDatabase=Standby,Secondary!D1350,Primary!D2008)</f>
        <v>0</v>
      </c>
      <c r="E1350" s="7">
        <f>IF(ActiveDatabase=Standby,Secondary!E1350,Primary!E2008)</f>
        <v>0</v>
      </c>
      <c r="F1350" s="8">
        <f>IF(ActiveDatabase=Standby,Secondary!F1350,Primary!F2008)</f>
        <v>0</v>
      </c>
      <c r="G1350" s="8">
        <f>IF(ActiveDatabase=Standby,Secondary!G1350,Primary!G2008)</f>
        <v>0</v>
      </c>
      <c r="H1350" s="8">
        <f>IF(ActiveDatabase=Standby,Secondary!H1350,Primary!H2008)</f>
        <v>0</v>
      </c>
      <c r="I1350" s="14">
        <f>IF(ActiveDatabase=Standby,Secondary!I1350,Primary!I2008)</f>
        <v>0</v>
      </c>
      <c r="J1350" s="14">
        <f>IF(ActiveDatabase=Standby,Secondary!J1350,Primary!J2008)</f>
        <v>0</v>
      </c>
      <c r="K1350" s="14">
        <f>IF(ActiveDatabase=Standby,Secondary!K1350,Primary!K2008)</f>
        <v>0</v>
      </c>
      <c r="L1350" s="14">
        <f>IF(ActiveDatabase=Standby,Secondary!L1350,Primary!L2008)</f>
        <v>0</v>
      </c>
      <c r="M1350" s="7">
        <f>IF(ActiveDatabase=Standby,Secondary!M1350,Primary!M2008)</f>
        <v>0</v>
      </c>
      <c r="N1350" s="8">
        <f>IF(ActiveDatabase=Standby,Secondary!N1350,Primary!N2008)</f>
        <v>0</v>
      </c>
      <c r="O1350" s="8">
        <f>IF(ActiveDatabase=Standby,Secondary!O1350,Primary!O2008)</f>
        <v>0</v>
      </c>
      <c r="P1350" s="8">
        <f>IF(ActiveDatabase=Standby,Secondary!P1350,Primary!P2008)</f>
        <v>0</v>
      </c>
      <c r="Q1350" s="7">
        <f>IF(ActiveDatabase=Standby,Secondary!Q1350,Primary!Q2008)</f>
        <v>0</v>
      </c>
      <c r="R1350" s="16">
        <f>IF(ActiveDatabase=Standby,Secondary!R1350,Primary!R2008)</f>
        <v>0</v>
      </c>
      <c r="S1350" s="17">
        <f>IF(ActiveDatabase=Standby,Secondary!S1350,Primary!S2008)</f>
        <v>0</v>
      </c>
      <c r="T1350" s="8">
        <f>IF(ActiveDatabase=Standby,Secondary!T1350,Primary!T2008)</f>
        <v>0</v>
      </c>
      <c r="U1350" s="8">
        <f>IF(ActiveDatabase=Standby,Secondary!U1350,Primary!U2008)</f>
        <v>0</v>
      </c>
      <c r="V1350" s="8">
        <f>IF(ActiveDatabase=Standby,Secondary!V1350,Primary!V2008)</f>
        <v>0</v>
      </c>
      <c r="W1350" s="7">
        <f>IF(ActiveDatabase=Standby,Secondary!W1350,Primary!W2008)</f>
        <v>0</v>
      </c>
      <c r="X1350" s="7">
        <f>IF(ActiveDatabase=Standby,Secondary!X1350,Primary!X2008)</f>
        <v>0</v>
      </c>
      <c r="Y1350" s="7">
        <f>IF(ActiveDatabase=Standby,Secondary!Y1350,Primary!Y2008)</f>
        <v>0</v>
      </c>
      <c r="Z1350" s="7">
        <f>IF(ActiveDatabase=Standby,Secondary!Z1350,Primary!Z2008)</f>
        <v>0</v>
      </c>
      <c r="AA1350" s="7">
        <f>IF(ActiveDatabase=Standby,Secondary!AA1350,Primary!AA2008)</f>
        <v>0</v>
      </c>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7"/>
      <c r="BD1350" s="7"/>
      <c r="BE1350" s="7"/>
      <c r="BF1350" s="7"/>
      <c r="BG1350" s="7"/>
    </row>
    <row r="1351" customHeight="1" spans="1:59">
      <c r="A1351" s="9">
        <f>IF(ActiveDatabase=Standby,Secondary!A1351,Primary!A2009)</f>
        <v>0</v>
      </c>
      <c r="B1351" s="5">
        <f>IF(ActiveDatabase=Standby,Secondary!B1351,Primary!B2009)</f>
        <v>0</v>
      </c>
      <c r="C1351" s="5">
        <f>IF(ActiveDatabase=Standby,Secondary!C1351,Primary!C2009)</f>
        <v>0</v>
      </c>
      <c r="D1351" s="5">
        <f>IF(ActiveDatabase=Standby,Secondary!D1351,Primary!D2009)</f>
        <v>0</v>
      </c>
      <c r="E1351" s="7">
        <f>IF(ActiveDatabase=Standby,Secondary!E1351,Primary!E2009)</f>
        <v>0</v>
      </c>
      <c r="F1351" s="8">
        <f>IF(ActiveDatabase=Standby,Secondary!F1351,Primary!F2009)</f>
        <v>0</v>
      </c>
      <c r="G1351" s="8">
        <f>IF(ActiveDatabase=Standby,Secondary!G1351,Primary!G2009)</f>
        <v>0</v>
      </c>
      <c r="H1351" s="8">
        <f>IF(ActiveDatabase=Standby,Secondary!H1351,Primary!H2009)</f>
        <v>0</v>
      </c>
      <c r="I1351" s="14">
        <f>IF(ActiveDatabase=Standby,Secondary!I1351,Primary!I2009)</f>
        <v>0</v>
      </c>
      <c r="J1351" s="14">
        <f>IF(ActiveDatabase=Standby,Secondary!J1351,Primary!J2009)</f>
        <v>0</v>
      </c>
      <c r="K1351" s="14">
        <f>IF(ActiveDatabase=Standby,Secondary!K1351,Primary!K2009)</f>
        <v>0</v>
      </c>
      <c r="L1351" s="14">
        <f>IF(ActiveDatabase=Standby,Secondary!L1351,Primary!L2009)</f>
        <v>0</v>
      </c>
      <c r="M1351" s="7">
        <f>IF(ActiveDatabase=Standby,Secondary!M1351,Primary!M2009)</f>
        <v>0</v>
      </c>
      <c r="N1351" s="8">
        <f>IF(ActiveDatabase=Standby,Secondary!N1351,Primary!N2009)</f>
        <v>0</v>
      </c>
      <c r="O1351" s="8">
        <f>IF(ActiveDatabase=Standby,Secondary!O1351,Primary!O2009)</f>
        <v>0</v>
      </c>
      <c r="P1351" s="8">
        <f>IF(ActiveDatabase=Standby,Secondary!P1351,Primary!P2009)</f>
        <v>0</v>
      </c>
      <c r="Q1351" s="7">
        <f>IF(ActiveDatabase=Standby,Secondary!Q1351,Primary!Q2009)</f>
        <v>0</v>
      </c>
      <c r="R1351" s="16">
        <f>IF(ActiveDatabase=Standby,Secondary!R1351,Primary!R2009)</f>
        <v>0</v>
      </c>
      <c r="S1351" s="17">
        <f>IF(ActiveDatabase=Standby,Secondary!S1351,Primary!S2009)</f>
        <v>0</v>
      </c>
      <c r="T1351" s="8">
        <f>IF(ActiveDatabase=Standby,Secondary!T1351,Primary!T2009)</f>
        <v>0</v>
      </c>
      <c r="U1351" s="8">
        <f>IF(ActiveDatabase=Standby,Secondary!U1351,Primary!U2009)</f>
        <v>0</v>
      </c>
      <c r="V1351" s="8">
        <f>IF(ActiveDatabase=Standby,Secondary!V1351,Primary!V2009)</f>
        <v>0</v>
      </c>
      <c r="W1351" s="7">
        <f>IF(ActiveDatabase=Standby,Secondary!W1351,Primary!W2009)</f>
        <v>0</v>
      </c>
      <c r="X1351" s="7">
        <f>IF(ActiveDatabase=Standby,Secondary!X1351,Primary!X2009)</f>
        <v>0</v>
      </c>
      <c r="Y1351" s="7">
        <f>IF(ActiveDatabase=Standby,Secondary!Y1351,Primary!Y2009)</f>
        <v>0</v>
      </c>
      <c r="Z1351" s="7">
        <f>IF(ActiveDatabase=Standby,Secondary!Z1351,Primary!Z2009)</f>
        <v>0</v>
      </c>
      <c r="AA1351" s="7">
        <f>IF(ActiveDatabase=Standby,Secondary!AA1351,Primary!AA2009)</f>
        <v>0</v>
      </c>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c r="AX1351" s="7"/>
      <c r="AY1351" s="7"/>
      <c r="AZ1351" s="7"/>
      <c r="BA1351" s="7"/>
      <c r="BB1351" s="7"/>
      <c r="BC1351" s="7"/>
      <c r="BD1351" s="7"/>
      <c r="BE1351" s="7"/>
      <c r="BF1351" s="7"/>
      <c r="BG1351" s="7"/>
    </row>
    <row r="1352" customHeight="1" spans="1:59">
      <c r="A1352" s="9">
        <f>IF(ActiveDatabase=Standby,Secondary!A1352,Primary!A2010)</f>
        <v>0</v>
      </c>
      <c r="B1352" s="5">
        <f>IF(ActiveDatabase=Standby,Secondary!B1352,Primary!B2010)</f>
        <v>0</v>
      </c>
      <c r="C1352" s="5">
        <f>IF(ActiveDatabase=Standby,Secondary!C1352,Primary!C2010)</f>
        <v>0</v>
      </c>
      <c r="D1352" s="5">
        <f>IF(ActiveDatabase=Standby,Secondary!D1352,Primary!D2010)</f>
        <v>0</v>
      </c>
      <c r="E1352" s="7">
        <f>IF(ActiveDatabase=Standby,Secondary!E1352,Primary!E2010)</f>
        <v>0</v>
      </c>
      <c r="F1352" s="8">
        <f>IF(ActiveDatabase=Standby,Secondary!F1352,Primary!F2010)</f>
        <v>0</v>
      </c>
      <c r="G1352" s="8">
        <f>IF(ActiveDatabase=Standby,Secondary!G1352,Primary!G2010)</f>
        <v>0</v>
      </c>
      <c r="H1352" s="8">
        <f>IF(ActiveDatabase=Standby,Secondary!H1352,Primary!H2010)</f>
        <v>0</v>
      </c>
      <c r="I1352" s="14">
        <f>IF(ActiveDatabase=Standby,Secondary!I1352,Primary!I2010)</f>
        <v>0</v>
      </c>
      <c r="J1352" s="14">
        <f>IF(ActiveDatabase=Standby,Secondary!J1352,Primary!J2010)</f>
        <v>0</v>
      </c>
      <c r="K1352" s="14">
        <f>IF(ActiveDatabase=Standby,Secondary!K1352,Primary!K2010)</f>
        <v>0</v>
      </c>
      <c r="L1352" s="14">
        <f>IF(ActiveDatabase=Standby,Secondary!L1352,Primary!L2010)</f>
        <v>0</v>
      </c>
      <c r="M1352" s="7">
        <f>IF(ActiveDatabase=Standby,Secondary!M1352,Primary!M2010)</f>
        <v>0</v>
      </c>
      <c r="N1352" s="8">
        <f>IF(ActiveDatabase=Standby,Secondary!N1352,Primary!N2010)</f>
        <v>0</v>
      </c>
      <c r="O1352" s="8">
        <f>IF(ActiveDatabase=Standby,Secondary!O1352,Primary!O2010)</f>
        <v>0</v>
      </c>
      <c r="P1352" s="8">
        <f>IF(ActiveDatabase=Standby,Secondary!P1352,Primary!P2010)</f>
        <v>0</v>
      </c>
      <c r="Q1352" s="7">
        <f>IF(ActiveDatabase=Standby,Secondary!Q1352,Primary!Q2010)</f>
        <v>0</v>
      </c>
      <c r="R1352" s="16">
        <f>IF(ActiveDatabase=Standby,Secondary!R1352,Primary!R2010)</f>
        <v>0</v>
      </c>
      <c r="S1352" s="17">
        <f>IF(ActiveDatabase=Standby,Secondary!S1352,Primary!S2010)</f>
        <v>0</v>
      </c>
      <c r="T1352" s="8">
        <f>IF(ActiveDatabase=Standby,Secondary!T1352,Primary!T2010)</f>
        <v>0</v>
      </c>
      <c r="U1352" s="8">
        <f>IF(ActiveDatabase=Standby,Secondary!U1352,Primary!U2010)</f>
        <v>0</v>
      </c>
      <c r="V1352" s="8">
        <f>IF(ActiveDatabase=Standby,Secondary!V1352,Primary!V2010)</f>
        <v>0</v>
      </c>
      <c r="W1352" s="7">
        <f>IF(ActiveDatabase=Standby,Secondary!W1352,Primary!W2010)</f>
        <v>0</v>
      </c>
      <c r="X1352" s="7">
        <f>IF(ActiveDatabase=Standby,Secondary!X1352,Primary!X2010)</f>
        <v>0</v>
      </c>
      <c r="Y1352" s="7">
        <f>IF(ActiveDatabase=Standby,Secondary!Y1352,Primary!Y2010)</f>
        <v>0</v>
      </c>
      <c r="Z1352" s="7">
        <f>IF(ActiveDatabase=Standby,Secondary!Z1352,Primary!Z2010)</f>
        <v>0</v>
      </c>
      <c r="AA1352" s="7">
        <f>IF(ActiveDatabase=Standby,Secondary!AA1352,Primary!AA2010)</f>
        <v>0</v>
      </c>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row>
    <row r="1353" customHeight="1" spans="1:59">
      <c r="A1353" s="9">
        <f>IF(ActiveDatabase=Standby,Secondary!A1353,Primary!A2011)</f>
        <v>0</v>
      </c>
      <c r="B1353" s="5">
        <f>IF(ActiveDatabase=Standby,Secondary!B1353,Primary!B2011)</f>
        <v>0</v>
      </c>
      <c r="C1353" s="5">
        <f>IF(ActiveDatabase=Standby,Secondary!C1353,Primary!C2011)</f>
        <v>0</v>
      </c>
      <c r="D1353" s="5">
        <f>IF(ActiveDatabase=Standby,Secondary!D1353,Primary!D2011)</f>
        <v>0</v>
      </c>
      <c r="E1353" s="7">
        <f>IF(ActiveDatabase=Standby,Secondary!E1353,Primary!E2011)</f>
        <v>0</v>
      </c>
      <c r="F1353" s="8">
        <f>IF(ActiveDatabase=Standby,Secondary!F1353,Primary!F2011)</f>
        <v>0</v>
      </c>
      <c r="G1353" s="8">
        <f>IF(ActiveDatabase=Standby,Secondary!G1353,Primary!G2011)</f>
        <v>0</v>
      </c>
      <c r="H1353" s="8">
        <f>IF(ActiveDatabase=Standby,Secondary!H1353,Primary!H2011)</f>
        <v>0</v>
      </c>
      <c r="I1353" s="14">
        <f>IF(ActiveDatabase=Standby,Secondary!I1353,Primary!I2011)</f>
        <v>0</v>
      </c>
      <c r="J1353" s="14">
        <f>IF(ActiveDatabase=Standby,Secondary!J1353,Primary!J2011)</f>
        <v>0</v>
      </c>
      <c r="K1353" s="14">
        <f>IF(ActiveDatabase=Standby,Secondary!K1353,Primary!K2011)</f>
        <v>0</v>
      </c>
      <c r="L1353" s="14">
        <f>IF(ActiveDatabase=Standby,Secondary!L1353,Primary!L2011)</f>
        <v>0</v>
      </c>
      <c r="M1353" s="7">
        <f>IF(ActiveDatabase=Standby,Secondary!M1353,Primary!M2011)</f>
        <v>0</v>
      </c>
      <c r="N1353" s="8">
        <f>IF(ActiveDatabase=Standby,Secondary!N1353,Primary!N2011)</f>
        <v>0</v>
      </c>
      <c r="O1353" s="8">
        <f>IF(ActiveDatabase=Standby,Secondary!O1353,Primary!O2011)</f>
        <v>0</v>
      </c>
      <c r="P1353" s="8">
        <f>IF(ActiveDatabase=Standby,Secondary!P1353,Primary!P2011)</f>
        <v>0</v>
      </c>
      <c r="Q1353" s="7">
        <f>IF(ActiveDatabase=Standby,Secondary!Q1353,Primary!Q2011)</f>
        <v>0</v>
      </c>
      <c r="R1353" s="16">
        <f>IF(ActiveDatabase=Standby,Secondary!R1353,Primary!R2011)</f>
        <v>0</v>
      </c>
      <c r="S1353" s="17">
        <f>IF(ActiveDatabase=Standby,Secondary!S1353,Primary!S2011)</f>
        <v>0</v>
      </c>
      <c r="T1353" s="8">
        <f>IF(ActiveDatabase=Standby,Secondary!T1353,Primary!T2011)</f>
        <v>0</v>
      </c>
      <c r="U1353" s="8">
        <f>IF(ActiveDatabase=Standby,Secondary!U1353,Primary!U2011)</f>
        <v>0</v>
      </c>
      <c r="V1353" s="8">
        <f>IF(ActiveDatabase=Standby,Secondary!V1353,Primary!V2011)</f>
        <v>0</v>
      </c>
      <c r="W1353" s="7">
        <f>IF(ActiveDatabase=Standby,Secondary!W1353,Primary!W2011)</f>
        <v>0</v>
      </c>
      <c r="X1353" s="7">
        <f>IF(ActiveDatabase=Standby,Secondary!X1353,Primary!X2011)</f>
        <v>0</v>
      </c>
      <c r="Y1353" s="7">
        <f>IF(ActiveDatabase=Standby,Secondary!Y1353,Primary!Y2011)</f>
        <v>0</v>
      </c>
      <c r="Z1353" s="7">
        <f>IF(ActiveDatabase=Standby,Secondary!Z1353,Primary!Z2011)</f>
        <v>0</v>
      </c>
      <c r="AA1353" s="7">
        <f>IF(ActiveDatabase=Standby,Secondary!AA1353,Primary!AA2011)</f>
        <v>0</v>
      </c>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row>
    <row r="1354" customHeight="1" spans="1:59">
      <c r="A1354" s="9">
        <f>IF(ActiveDatabase=Standby,Secondary!A1354,Primary!A2012)</f>
        <v>0</v>
      </c>
      <c r="B1354" s="5">
        <f>IF(ActiveDatabase=Standby,Secondary!B1354,Primary!B2012)</f>
        <v>0</v>
      </c>
      <c r="C1354" s="5">
        <f>IF(ActiveDatabase=Standby,Secondary!C1354,Primary!C2012)</f>
        <v>0</v>
      </c>
      <c r="D1354" s="5">
        <f>IF(ActiveDatabase=Standby,Secondary!D1354,Primary!D2012)</f>
        <v>0</v>
      </c>
      <c r="E1354" s="7">
        <f>IF(ActiveDatabase=Standby,Secondary!E1354,Primary!E2012)</f>
        <v>0</v>
      </c>
      <c r="F1354" s="8">
        <f>IF(ActiveDatabase=Standby,Secondary!F1354,Primary!F2012)</f>
        <v>0</v>
      </c>
      <c r="G1354" s="8">
        <f>IF(ActiveDatabase=Standby,Secondary!G1354,Primary!G2012)</f>
        <v>0</v>
      </c>
      <c r="H1354" s="8">
        <f>IF(ActiveDatabase=Standby,Secondary!H1354,Primary!H2012)</f>
        <v>0</v>
      </c>
      <c r="I1354" s="14">
        <f>IF(ActiveDatabase=Standby,Secondary!I1354,Primary!I2012)</f>
        <v>0</v>
      </c>
      <c r="J1354" s="14">
        <f>IF(ActiveDatabase=Standby,Secondary!J1354,Primary!J2012)</f>
        <v>0</v>
      </c>
      <c r="K1354" s="14">
        <f>IF(ActiveDatabase=Standby,Secondary!K1354,Primary!K2012)</f>
        <v>0</v>
      </c>
      <c r="L1354" s="14">
        <f>IF(ActiveDatabase=Standby,Secondary!L1354,Primary!L2012)</f>
        <v>0</v>
      </c>
      <c r="M1354" s="7">
        <f>IF(ActiveDatabase=Standby,Secondary!M1354,Primary!M2012)</f>
        <v>0</v>
      </c>
      <c r="N1354" s="8">
        <f>IF(ActiveDatabase=Standby,Secondary!N1354,Primary!N2012)</f>
        <v>0</v>
      </c>
      <c r="O1354" s="8">
        <f>IF(ActiveDatabase=Standby,Secondary!O1354,Primary!O2012)</f>
        <v>0</v>
      </c>
      <c r="P1354" s="8">
        <f>IF(ActiveDatabase=Standby,Secondary!P1354,Primary!P2012)</f>
        <v>0</v>
      </c>
      <c r="Q1354" s="7">
        <f>IF(ActiveDatabase=Standby,Secondary!Q1354,Primary!Q2012)</f>
        <v>0</v>
      </c>
      <c r="R1354" s="16">
        <f>IF(ActiveDatabase=Standby,Secondary!R1354,Primary!R2012)</f>
        <v>0</v>
      </c>
      <c r="S1354" s="17">
        <f>IF(ActiveDatabase=Standby,Secondary!S1354,Primary!S2012)</f>
        <v>0</v>
      </c>
      <c r="T1354" s="8">
        <f>IF(ActiveDatabase=Standby,Secondary!T1354,Primary!T2012)</f>
        <v>0</v>
      </c>
      <c r="U1354" s="8">
        <f>IF(ActiveDatabase=Standby,Secondary!U1354,Primary!U2012)</f>
        <v>0</v>
      </c>
      <c r="V1354" s="8">
        <f>IF(ActiveDatabase=Standby,Secondary!V1354,Primary!V2012)</f>
        <v>0</v>
      </c>
      <c r="W1354" s="7">
        <f>IF(ActiveDatabase=Standby,Secondary!W1354,Primary!W2012)</f>
        <v>0</v>
      </c>
      <c r="X1354" s="7">
        <f>IF(ActiveDatabase=Standby,Secondary!X1354,Primary!X2012)</f>
        <v>0</v>
      </c>
      <c r="Y1354" s="7">
        <f>IF(ActiveDatabase=Standby,Secondary!Y1354,Primary!Y2012)</f>
        <v>0</v>
      </c>
      <c r="Z1354" s="7">
        <f>IF(ActiveDatabase=Standby,Secondary!Z1354,Primary!Z2012)</f>
        <v>0</v>
      </c>
      <c r="AA1354" s="7">
        <f>IF(ActiveDatabase=Standby,Secondary!AA1354,Primary!AA2012)</f>
        <v>0</v>
      </c>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7"/>
      <c r="BD1354" s="7"/>
      <c r="BE1354" s="7"/>
      <c r="BF1354" s="7"/>
      <c r="BG1354" s="7"/>
    </row>
    <row r="1355" customHeight="1" spans="1:59">
      <c r="A1355" s="9">
        <f>IF(ActiveDatabase=Standby,Secondary!A1355,Primary!A2013)</f>
        <v>0</v>
      </c>
      <c r="B1355" s="5">
        <f>IF(ActiveDatabase=Standby,Secondary!B1355,Primary!B2013)</f>
        <v>0</v>
      </c>
      <c r="C1355" s="5">
        <f>IF(ActiveDatabase=Standby,Secondary!C1355,Primary!C2013)</f>
        <v>0</v>
      </c>
      <c r="D1355" s="5">
        <f>IF(ActiveDatabase=Standby,Secondary!D1355,Primary!D2013)</f>
        <v>0</v>
      </c>
      <c r="E1355" s="7">
        <f>IF(ActiveDatabase=Standby,Secondary!E1355,Primary!E2013)</f>
        <v>0</v>
      </c>
      <c r="F1355" s="8">
        <f>IF(ActiveDatabase=Standby,Secondary!F1355,Primary!F2013)</f>
        <v>0</v>
      </c>
      <c r="G1355" s="8">
        <f>IF(ActiveDatabase=Standby,Secondary!G1355,Primary!G2013)</f>
        <v>0</v>
      </c>
      <c r="H1355" s="8">
        <f>IF(ActiveDatabase=Standby,Secondary!H1355,Primary!H2013)</f>
        <v>0</v>
      </c>
      <c r="I1355" s="14">
        <f>IF(ActiveDatabase=Standby,Secondary!I1355,Primary!I2013)</f>
        <v>0</v>
      </c>
      <c r="J1355" s="14">
        <f>IF(ActiveDatabase=Standby,Secondary!J1355,Primary!J2013)</f>
        <v>0</v>
      </c>
      <c r="K1355" s="14">
        <f>IF(ActiveDatabase=Standby,Secondary!K1355,Primary!K2013)</f>
        <v>0</v>
      </c>
      <c r="L1355" s="14">
        <f>IF(ActiveDatabase=Standby,Secondary!L1355,Primary!L2013)</f>
        <v>0</v>
      </c>
      <c r="M1355" s="7">
        <f>IF(ActiveDatabase=Standby,Secondary!M1355,Primary!M2013)</f>
        <v>0</v>
      </c>
      <c r="N1355" s="8">
        <f>IF(ActiveDatabase=Standby,Secondary!N1355,Primary!N2013)</f>
        <v>0</v>
      </c>
      <c r="O1355" s="8">
        <f>IF(ActiveDatabase=Standby,Secondary!O1355,Primary!O2013)</f>
        <v>0</v>
      </c>
      <c r="P1355" s="8">
        <f>IF(ActiveDatabase=Standby,Secondary!P1355,Primary!P2013)</f>
        <v>0</v>
      </c>
      <c r="Q1355" s="7">
        <f>IF(ActiveDatabase=Standby,Secondary!Q1355,Primary!Q2013)</f>
        <v>0</v>
      </c>
      <c r="R1355" s="16">
        <f>IF(ActiveDatabase=Standby,Secondary!R1355,Primary!R2013)</f>
        <v>0</v>
      </c>
      <c r="S1355" s="17">
        <f>IF(ActiveDatabase=Standby,Secondary!S1355,Primary!S2013)</f>
        <v>0</v>
      </c>
      <c r="T1355" s="8">
        <f>IF(ActiveDatabase=Standby,Secondary!T1355,Primary!T2013)</f>
        <v>0</v>
      </c>
      <c r="U1355" s="8">
        <f>IF(ActiveDatabase=Standby,Secondary!U1355,Primary!U2013)</f>
        <v>0</v>
      </c>
      <c r="V1355" s="8">
        <f>IF(ActiveDatabase=Standby,Secondary!V1355,Primary!V2013)</f>
        <v>0</v>
      </c>
      <c r="W1355" s="7">
        <f>IF(ActiveDatabase=Standby,Secondary!W1355,Primary!W2013)</f>
        <v>0</v>
      </c>
      <c r="X1355" s="7">
        <f>IF(ActiveDatabase=Standby,Secondary!X1355,Primary!X2013)</f>
        <v>0</v>
      </c>
      <c r="Y1355" s="7">
        <f>IF(ActiveDatabase=Standby,Secondary!Y1355,Primary!Y2013)</f>
        <v>0</v>
      </c>
      <c r="Z1355" s="7">
        <f>IF(ActiveDatabase=Standby,Secondary!Z1355,Primary!Z2013)</f>
        <v>0</v>
      </c>
      <c r="AA1355" s="7">
        <f>IF(ActiveDatabase=Standby,Secondary!AA1355,Primary!AA2013)</f>
        <v>0</v>
      </c>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7"/>
      <c r="BD1355" s="7"/>
      <c r="BE1355" s="7"/>
      <c r="BF1355" s="7"/>
      <c r="BG1355" s="7"/>
    </row>
    <row r="1356" customHeight="1" spans="1:59">
      <c r="A1356" s="9">
        <f>IF(ActiveDatabase=Standby,Secondary!A1356,Primary!A2014)</f>
        <v>0</v>
      </c>
      <c r="B1356" s="5">
        <f>IF(ActiveDatabase=Standby,Secondary!B1356,Primary!B2014)</f>
        <v>0</v>
      </c>
      <c r="C1356" s="5">
        <f>IF(ActiveDatabase=Standby,Secondary!C1356,Primary!C2014)</f>
        <v>0</v>
      </c>
      <c r="D1356" s="5">
        <f>IF(ActiveDatabase=Standby,Secondary!D1356,Primary!D2014)</f>
        <v>0</v>
      </c>
      <c r="E1356" s="7">
        <f>IF(ActiveDatabase=Standby,Secondary!E1356,Primary!E2014)</f>
        <v>0</v>
      </c>
      <c r="F1356" s="8">
        <f>IF(ActiveDatabase=Standby,Secondary!F1356,Primary!F2014)</f>
        <v>0</v>
      </c>
      <c r="G1356" s="8">
        <f>IF(ActiveDatabase=Standby,Secondary!G1356,Primary!G2014)</f>
        <v>0</v>
      </c>
      <c r="H1356" s="8">
        <f>IF(ActiveDatabase=Standby,Secondary!H1356,Primary!H2014)</f>
        <v>0</v>
      </c>
      <c r="I1356" s="14">
        <f>IF(ActiveDatabase=Standby,Secondary!I1356,Primary!I2014)</f>
        <v>0</v>
      </c>
      <c r="J1356" s="14">
        <f>IF(ActiveDatabase=Standby,Secondary!J1356,Primary!J2014)</f>
        <v>0</v>
      </c>
      <c r="K1356" s="14">
        <f>IF(ActiveDatabase=Standby,Secondary!K1356,Primary!K2014)</f>
        <v>0</v>
      </c>
      <c r="L1356" s="14">
        <f>IF(ActiveDatabase=Standby,Secondary!L1356,Primary!L2014)</f>
        <v>0</v>
      </c>
      <c r="M1356" s="7">
        <f>IF(ActiveDatabase=Standby,Secondary!M1356,Primary!M2014)</f>
        <v>0</v>
      </c>
      <c r="N1356" s="8">
        <f>IF(ActiveDatabase=Standby,Secondary!N1356,Primary!N2014)</f>
        <v>0</v>
      </c>
      <c r="O1356" s="8">
        <f>IF(ActiveDatabase=Standby,Secondary!O1356,Primary!O2014)</f>
        <v>0</v>
      </c>
      <c r="P1356" s="8">
        <f>IF(ActiveDatabase=Standby,Secondary!P1356,Primary!P2014)</f>
        <v>0</v>
      </c>
      <c r="Q1356" s="7">
        <f>IF(ActiveDatabase=Standby,Secondary!Q1356,Primary!Q2014)</f>
        <v>0</v>
      </c>
      <c r="R1356" s="16">
        <f>IF(ActiveDatabase=Standby,Secondary!R1356,Primary!R2014)</f>
        <v>0</v>
      </c>
      <c r="S1356" s="17">
        <f>IF(ActiveDatabase=Standby,Secondary!S1356,Primary!S2014)</f>
        <v>0</v>
      </c>
      <c r="T1356" s="8">
        <f>IF(ActiveDatabase=Standby,Secondary!T1356,Primary!T2014)</f>
        <v>0</v>
      </c>
      <c r="U1356" s="8">
        <f>IF(ActiveDatabase=Standby,Secondary!U1356,Primary!U2014)</f>
        <v>0</v>
      </c>
      <c r="V1356" s="8">
        <f>IF(ActiveDatabase=Standby,Secondary!V1356,Primary!V2014)</f>
        <v>0</v>
      </c>
      <c r="W1356" s="7">
        <f>IF(ActiveDatabase=Standby,Secondary!W1356,Primary!W2014)</f>
        <v>0</v>
      </c>
      <c r="X1356" s="7">
        <f>IF(ActiveDatabase=Standby,Secondary!X1356,Primary!X2014)</f>
        <v>0</v>
      </c>
      <c r="Y1356" s="7">
        <f>IF(ActiveDatabase=Standby,Secondary!Y1356,Primary!Y2014)</f>
        <v>0</v>
      </c>
      <c r="Z1356" s="7">
        <f>IF(ActiveDatabase=Standby,Secondary!Z1356,Primary!Z2014)</f>
        <v>0</v>
      </c>
      <c r="AA1356" s="7">
        <f>IF(ActiveDatabase=Standby,Secondary!AA1356,Primary!AA2014)</f>
        <v>0</v>
      </c>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c r="AX1356" s="7"/>
      <c r="AY1356" s="7"/>
      <c r="AZ1356" s="7"/>
      <c r="BA1356" s="7"/>
      <c r="BB1356" s="7"/>
      <c r="BC1356" s="7"/>
      <c r="BD1356" s="7"/>
      <c r="BE1356" s="7"/>
      <c r="BF1356" s="7"/>
      <c r="BG1356" s="7"/>
    </row>
    <row r="1357" customHeight="1" spans="1:59">
      <c r="A1357" s="9">
        <f>IF(ActiveDatabase=Standby,Secondary!A1357,Primary!A2015)</f>
        <v>0</v>
      </c>
      <c r="B1357" s="5">
        <f>IF(ActiveDatabase=Standby,Secondary!B1357,Primary!B2015)</f>
        <v>0</v>
      </c>
      <c r="C1357" s="5">
        <f>IF(ActiveDatabase=Standby,Secondary!C1357,Primary!C2015)</f>
        <v>0</v>
      </c>
      <c r="D1357" s="5">
        <f>IF(ActiveDatabase=Standby,Secondary!D1357,Primary!D2015)</f>
        <v>0</v>
      </c>
      <c r="E1357" s="7">
        <f>IF(ActiveDatabase=Standby,Secondary!E1357,Primary!E2015)</f>
        <v>0</v>
      </c>
      <c r="F1357" s="8">
        <f>IF(ActiveDatabase=Standby,Secondary!F1357,Primary!F2015)</f>
        <v>0</v>
      </c>
      <c r="G1357" s="8">
        <f>IF(ActiveDatabase=Standby,Secondary!G1357,Primary!G2015)</f>
        <v>0</v>
      </c>
      <c r="H1357" s="8">
        <f>IF(ActiveDatabase=Standby,Secondary!H1357,Primary!H2015)</f>
        <v>0</v>
      </c>
      <c r="I1357" s="14">
        <f>IF(ActiveDatabase=Standby,Secondary!I1357,Primary!I2015)</f>
        <v>0</v>
      </c>
      <c r="J1357" s="14">
        <f>IF(ActiveDatabase=Standby,Secondary!J1357,Primary!J2015)</f>
        <v>0</v>
      </c>
      <c r="K1357" s="14">
        <f>IF(ActiveDatabase=Standby,Secondary!K1357,Primary!K2015)</f>
        <v>0</v>
      </c>
      <c r="L1357" s="14">
        <f>IF(ActiveDatabase=Standby,Secondary!L1357,Primary!L2015)</f>
        <v>0</v>
      </c>
      <c r="M1357" s="7">
        <f>IF(ActiveDatabase=Standby,Secondary!M1357,Primary!M2015)</f>
        <v>0</v>
      </c>
      <c r="N1357" s="8">
        <f>IF(ActiveDatabase=Standby,Secondary!N1357,Primary!N2015)</f>
        <v>0</v>
      </c>
      <c r="O1357" s="8">
        <f>IF(ActiveDatabase=Standby,Secondary!O1357,Primary!O2015)</f>
        <v>0</v>
      </c>
      <c r="P1357" s="8">
        <f>IF(ActiveDatabase=Standby,Secondary!P1357,Primary!P2015)</f>
        <v>0</v>
      </c>
      <c r="Q1357" s="7">
        <f>IF(ActiveDatabase=Standby,Secondary!Q1357,Primary!Q2015)</f>
        <v>0</v>
      </c>
      <c r="R1357" s="16">
        <f>IF(ActiveDatabase=Standby,Secondary!R1357,Primary!R2015)</f>
        <v>0</v>
      </c>
      <c r="S1357" s="17">
        <f>IF(ActiveDatabase=Standby,Secondary!S1357,Primary!S2015)</f>
        <v>0</v>
      </c>
      <c r="T1357" s="8">
        <f>IF(ActiveDatabase=Standby,Secondary!T1357,Primary!T2015)</f>
        <v>0</v>
      </c>
      <c r="U1357" s="8">
        <f>IF(ActiveDatabase=Standby,Secondary!U1357,Primary!U2015)</f>
        <v>0</v>
      </c>
      <c r="V1357" s="8">
        <f>IF(ActiveDatabase=Standby,Secondary!V1357,Primary!V2015)</f>
        <v>0</v>
      </c>
      <c r="W1357" s="7">
        <f>IF(ActiveDatabase=Standby,Secondary!W1357,Primary!W2015)</f>
        <v>0</v>
      </c>
      <c r="X1357" s="7">
        <f>IF(ActiveDatabase=Standby,Secondary!X1357,Primary!X2015)</f>
        <v>0</v>
      </c>
      <c r="Y1357" s="7">
        <f>IF(ActiveDatabase=Standby,Secondary!Y1357,Primary!Y2015)</f>
        <v>0</v>
      </c>
      <c r="Z1357" s="7">
        <f>IF(ActiveDatabase=Standby,Secondary!Z1357,Primary!Z2015)</f>
        <v>0</v>
      </c>
      <c r="AA1357" s="7">
        <f>IF(ActiveDatabase=Standby,Secondary!AA1357,Primary!AA2015)</f>
        <v>0</v>
      </c>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c r="AX1357" s="7"/>
      <c r="AY1357" s="7"/>
      <c r="AZ1357" s="7"/>
      <c r="BA1357" s="7"/>
      <c r="BB1357" s="7"/>
      <c r="BC1357" s="7"/>
      <c r="BD1357" s="7"/>
      <c r="BE1357" s="7"/>
      <c r="BF1357" s="7"/>
      <c r="BG1357" s="7"/>
    </row>
    <row r="1358" customHeight="1" spans="1:59">
      <c r="A1358" s="9">
        <f>IF(ActiveDatabase=Standby,Secondary!A1358,Primary!A2016)</f>
        <v>0</v>
      </c>
      <c r="B1358" s="5">
        <f>IF(ActiveDatabase=Standby,Secondary!B1358,Primary!B2016)</f>
        <v>0</v>
      </c>
      <c r="C1358" s="5">
        <f>IF(ActiveDatabase=Standby,Secondary!C1358,Primary!C2016)</f>
        <v>0</v>
      </c>
      <c r="D1358" s="5">
        <f>IF(ActiveDatabase=Standby,Secondary!D1358,Primary!D2016)</f>
        <v>0</v>
      </c>
      <c r="E1358" s="7">
        <f>IF(ActiveDatabase=Standby,Secondary!E1358,Primary!E2016)</f>
        <v>0</v>
      </c>
      <c r="F1358" s="8">
        <f>IF(ActiveDatabase=Standby,Secondary!F1358,Primary!F2016)</f>
        <v>0</v>
      </c>
      <c r="G1358" s="8">
        <f>IF(ActiveDatabase=Standby,Secondary!G1358,Primary!G2016)</f>
        <v>0</v>
      </c>
      <c r="H1358" s="8">
        <f>IF(ActiveDatabase=Standby,Secondary!H1358,Primary!H2016)</f>
        <v>0</v>
      </c>
      <c r="I1358" s="14">
        <f>IF(ActiveDatabase=Standby,Secondary!I1358,Primary!I2016)</f>
        <v>0</v>
      </c>
      <c r="J1358" s="14">
        <f>IF(ActiveDatabase=Standby,Secondary!J1358,Primary!J2016)</f>
        <v>0</v>
      </c>
      <c r="K1358" s="14">
        <f>IF(ActiveDatabase=Standby,Secondary!K1358,Primary!K2016)</f>
        <v>0</v>
      </c>
      <c r="L1358" s="14">
        <f>IF(ActiveDatabase=Standby,Secondary!L1358,Primary!L2016)</f>
        <v>0</v>
      </c>
      <c r="M1358" s="7">
        <f>IF(ActiveDatabase=Standby,Secondary!M1358,Primary!M2016)</f>
        <v>0</v>
      </c>
      <c r="N1358" s="8">
        <f>IF(ActiveDatabase=Standby,Secondary!N1358,Primary!N2016)</f>
        <v>0</v>
      </c>
      <c r="O1358" s="8">
        <f>IF(ActiveDatabase=Standby,Secondary!O1358,Primary!O2016)</f>
        <v>0</v>
      </c>
      <c r="P1358" s="8">
        <f>IF(ActiveDatabase=Standby,Secondary!P1358,Primary!P2016)</f>
        <v>0</v>
      </c>
      <c r="Q1358" s="7">
        <f>IF(ActiveDatabase=Standby,Secondary!Q1358,Primary!Q2016)</f>
        <v>0</v>
      </c>
      <c r="R1358" s="16">
        <f>IF(ActiveDatabase=Standby,Secondary!R1358,Primary!R2016)</f>
        <v>0</v>
      </c>
      <c r="S1358" s="17">
        <f>IF(ActiveDatabase=Standby,Secondary!S1358,Primary!S2016)</f>
        <v>0</v>
      </c>
      <c r="T1358" s="8">
        <f>IF(ActiveDatabase=Standby,Secondary!T1358,Primary!T2016)</f>
        <v>0</v>
      </c>
      <c r="U1358" s="8">
        <f>IF(ActiveDatabase=Standby,Secondary!U1358,Primary!U2016)</f>
        <v>0</v>
      </c>
      <c r="V1358" s="8">
        <f>IF(ActiveDatabase=Standby,Secondary!V1358,Primary!V2016)</f>
        <v>0</v>
      </c>
      <c r="W1358" s="7">
        <f>IF(ActiveDatabase=Standby,Secondary!W1358,Primary!W2016)</f>
        <v>0</v>
      </c>
      <c r="X1358" s="7">
        <f>IF(ActiveDatabase=Standby,Secondary!X1358,Primary!X2016)</f>
        <v>0</v>
      </c>
      <c r="Y1358" s="7">
        <f>IF(ActiveDatabase=Standby,Secondary!Y1358,Primary!Y2016)</f>
        <v>0</v>
      </c>
      <c r="Z1358" s="7">
        <f>IF(ActiveDatabase=Standby,Secondary!Z1358,Primary!Z2016)</f>
        <v>0</v>
      </c>
      <c r="AA1358" s="7">
        <f>IF(ActiveDatabase=Standby,Secondary!AA1358,Primary!AA2016)</f>
        <v>0</v>
      </c>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c r="AX1358" s="7"/>
      <c r="AY1358" s="7"/>
      <c r="AZ1358" s="7"/>
      <c r="BA1358" s="7"/>
      <c r="BB1358" s="7"/>
      <c r="BC1358" s="7"/>
      <c r="BD1358" s="7"/>
      <c r="BE1358" s="7"/>
      <c r="BF1358" s="7"/>
      <c r="BG1358" s="7"/>
    </row>
    <row r="1359" customHeight="1" spans="1:59">
      <c r="A1359" s="9">
        <f>IF(ActiveDatabase=Standby,Secondary!A1359,Primary!A2017)</f>
        <v>0</v>
      </c>
      <c r="B1359" s="5">
        <f>IF(ActiveDatabase=Standby,Secondary!B1359,Primary!B2017)</f>
        <v>0</v>
      </c>
      <c r="C1359" s="5">
        <f>IF(ActiveDatabase=Standby,Secondary!C1359,Primary!C2017)</f>
        <v>0</v>
      </c>
      <c r="D1359" s="5">
        <f>IF(ActiveDatabase=Standby,Secondary!D1359,Primary!D2017)</f>
        <v>0</v>
      </c>
      <c r="E1359" s="7">
        <f>IF(ActiveDatabase=Standby,Secondary!E1359,Primary!E2017)</f>
        <v>0</v>
      </c>
      <c r="F1359" s="8">
        <f>IF(ActiveDatabase=Standby,Secondary!F1359,Primary!F2017)</f>
        <v>0</v>
      </c>
      <c r="G1359" s="8">
        <f>IF(ActiveDatabase=Standby,Secondary!G1359,Primary!G2017)</f>
        <v>0</v>
      </c>
      <c r="H1359" s="8">
        <f>IF(ActiveDatabase=Standby,Secondary!H1359,Primary!H2017)</f>
        <v>0</v>
      </c>
      <c r="I1359" s="14">
        <f>IF(ActiveDatabase=Standby,Secondary!I1359,Primary!I2017)</f>
        <v>0</v>
      </c>
      <c r="J1359" s="14">
        <f>IF(ActiveDatabase=Standby,Secondary!J1359,Primary!J2017)</f>
        <v>0</v>
      </c>
      <c r="K1359" s="14">
        <f>IF(ActiveDatabase=Standby,Secondary!K1359,Primary!K2017)</f>
        <v>0</v>
      </c>
      <c r="L1359" s="14">
        <f>IF(ActiveDatabase=Standby,Secondary!L1359,Primary!L2017)</f>
        <v>0</v>
      </c>
      <c r="M1359" s="7">
        <f>IF(ActiveDatabase=Standby,Secondary!M1359,Primary!M2017)</f>
        <v>0</v>
      </c>
      <c r="N1359" s="8">
        <f>IF(ActiveDatabase=Standby,Secondary!N1359,Primary!N2017)</f>
        <v>0</v>
      </c>
      <c r="O1359" s="8">
        <f>IF(ActiveDatabase=Standby,Secondary!O1359,Primary!O2017)</f>
        <v>0</v>
      </c>
      <c r="P1359" s="8">
        <f>IF(ActiveDatabase=Standby,Secondary!P1359,Primary!P2017)</f>
        <v>0</v>
      </c>
      <c r="Q1359" s="7">
        <f>IF(ActiveDatabase=Standby,Secondary!Q1359,Primary!Q2017)</f>
        <v>0</v>
      </c>
      <c r="R1359" s="16">
        <f>IF(ActiveDatabase=Standby,Secondary!R1359,Primary!R2017)</f>
        <v>0</v>
      </c>
      <c r="S1359" s="17">
        <f>IF(ActiveDatabase=Standby,Secondary!S1359,Primary!S2017)</f>
        <v>0</v>
      </c>
      <c r="T1359" s="8">
        <f>IF(ActiveDatabase=Standby,Secondary!T1359,Primary!T2017)</f>
        <v>0</v>
      </c>
      <c r="U1359" s="8">
        <f>IF(ActiveDatabase=Standby,Secondary!U1359,Primary!U2017)</f>
        <v>0</v>
      </c>
      <c r="V1359" s="8">
        <f>IF(ActiveDatabase=Standby,Secondary!V1359,Primary!V2017)</f>
        <v>0</v>
      </c>
      <c r="W1359" s="7">
        <f>IF(ActiveDatabase=Standby,Secondary!W1359,Primary!W2017)</f>
        <v>0</v>
      </c>
      <c r="X1359" s="7">
        <f>IF(ActiveDatabase=Standby,Secondary!X1359,Primary!X2017)</f>
        <v>0</v>
      </c>
      <c r="Y1359" s="7">
        <f>IF(ActiveDatabase=Standby,Secondary!Y1359,Primary!Y2017)</f>
        <v>0</v>
      </c>
      <c r="Z1359" s="7">
        <f>IF(ActiveDatabase=Standby,Secondary!Z1359,Primary!Z2017)</f>
        <v>0</v>
      </c>
      <c r="AA1359" s="7">
        <f>IF(ActiveDatabase=Standby,Secondary!AA1359,Primary!AA2017)</f>
        <v>0</v>
      </c>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c r="AX1359" s="7"/>
      <c r="AY1359" s="7"/>
      <c r="AZ1359" s="7"/>
      <c r="BA1359" s="7"/>
      <c r="BB1359" s="7"/>
      <c r="BC1359" s="7"/>
      <c r="BD1359" s="7"/>
      <c r="BE1359" s="7"/>
      <c r="BF1359" s="7"/>
      <c r="BG1359" s="7"/>
    </row>
    <row r="1360" customHeight="1" spans="1:59">
      <c r="A1360" s="9">
        <f>IF(ActiveDatabase=Standby,Secondary!A1360,Primary!A2018)</f>
        <v>0</v>
      </c>
      <c r="B1360" s="5">
        <f>IF(ActiveDatabase=Standby,Secondary!B1360,Primary!B2018)</f>
        <v>0</v>
      </c>
      <c r="C1360" s="5">
        <f>IF(ActiveDatabase=Standby,Secondary!C1360,Primary!C2018)</f>
        <v>0</v>
      </c>
      <c r="D1360" s="5">
        <f>IF(ActiveDatabase=Standby,Secondary!D1360,Primary!D2018)</f>
        <v>0</v>
      </c>
      <c r="E1360" s="7">
        <f>IF(ActiveDatabase=Standby,Secondary!E1360,Primary!E2018)</f>
        <v>0</v>
      </c>
      <c r="F1360" s="8">
        <f>IF(ActiveDatabase=Standby,Secondary!F1360,Primary!F2018)</f>
        <v>0</v>
      </c>
      <c r="G1360" s="8">
        <f>IF(ActiveDatabase=Standby,Secondary!G1360,Primary!G2018)</f>
        <v>0</v>
      </c>
      <c r="H1360" s="8">
        <f>IF(ActiveDatabase=Standby,Secondary!H1360,Primary!H2018)</f>
        <v>0</v>
      </c>
      <c r="I1360" s="14">
        <f>IF(ActiveDatabase=Standby,Secondary!I1360,Primary!I2018)</f>
        <v>0</v>
      </c>
      <c r="J1360" s="14">
        <f>IF(ActiveDatabase=Standby,Secondary!J1360,Primary!J2018)</f>
        <v>0</v>
      </c>
      <c r="K1360" s="14">
        <f>IF(ActiveDatabase=Standby,Secondary!K1360,Primary!K2018)</f>
        <v>0</v>
      </c>
      <c r="L1360" s="14">
        <f>IF(ActiveDatabase=Standby,Secondary!L1360,Primary!L2018)</f>
        <v>0</v>
      </c>
      <c r="M1360" s="7">
        <f>IF(ActiveDatabase=Standby,Secondary!M1360,Primary!M2018)</f>
        <v>0</v>
      </c>
      <c r="N1360" s="8">
        <f>IF(ActiveDatabase=Standby,Secondary!N1360,Primary!N2018)</f>
        <v>0</v>
      </c>
      <c r="O1360" s="8">
        <f>IF(ActiveDatabase=Standby,Secondary!O1360,Primary!O2018)</f>
        <v>0</v>
      </c>
      <c r="P1360" s="8">
        <f>IF(ActiveDatabase=Standby,Secondary!P1360,Primary!P2018)</f>
        <v>0</v>
      </c>
      <c r="Q1360" s="7">
        <f>IF(ActiveDatabase=Standby,Secondary!Q1360,Primary!Q2018)</f>
        <v>0</v>
      </c>
      <c r="R1360" s="16">
        <f>IF(ActiveDatabase=Standby,Secondary!R1360,Primary!R2018)</f>
        <v>0</v>
      </c>
      <c r="S1360" s="17">
        <f>IF(ActiveDatabase=Standby,Secondary!S1360,Primary!S2018)</f>
        <v>0</v>
      </c>
      <c r="T1360" s="8">
        <f>IF(ActiveDatabase=Standby,Secondary!T1360,Primary!T2018)</f>
        <v>0</v>
      </c>
      <c r="U1360" s="8">
        <f>IF(ActiveDatabase=Standby,Secondary!U1360,Primary!U2018)</f>
        <v>0</v>
      </c>
      <c r="V1360" s="8">
        <f>IF(ActiveDatabase=Standby,Secondary!V1360,Primary!V2018)</f>
        <v>0</v>
      </c>
      <c r="W1360" s="7">
        <f>IF(ActiveDatabase=Standby,Secondary!W1360,Primary!W2018)</f>
        <v>0</v>
      </c>
      <c r="X1360" s="7">
        <f>IF(ActiveDatabase=Standby,Secondary!X1360,Primary!X2018)</f>
        <v>0</v>
      </c>
      <c r="Y1360" s="7">
        <f>IF(ActiveDatabase=Standby,Secondary!Y1360,Primary!Y2018)</f>
        <v>0</v>
      </c>
      <c r="Z1360" s="7">
        <f>IF(ActiveDatabase=Standby,Secondary!Z1360,Primary!Z2018)</f>
        <v>0</v>
      </c>
      <c r="AA1360" s="7">
        <f>IF(ActiveDatabase=Standby,Secondary!AA1360,Primary!AA2018)</f>
        <v>0</v>
      </c>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c r="AX1360" s="7"/>
      <c r="AY1360" s="7"/>
      <c r="AZ1360" s="7"/>
      <c r="BA1360" s="7"/>
      <c r="BB1360" s="7"/>
      <c r="BC1360" s="7"/>
      <c r="BD1360" s="7"/>
      <c r="BE1360" s="7"/>
      <c r="BF1360" s="7"/>
      <c r="BG1360" s="7"/>
    </row>
    <row r="1361" customHeight="1" spans="1:59">
      <c r="A1361" s="9">
        <f>IF(ActiveDatabase=Standby,Secondary!A1361,Primary!A2019)</f>
        <v>0</v>
      </c>
      <c r="B1361" s="5">
        <f>IF(ActiveDatabase=Standby,Secondary!B1361,Primary!B2019)</f>
        <v>0</v>
      </c>
      <c r="C1361" s="5">
        <f>IF(ActiveDatabase=Standby,Secondary!C1361,Primary!C2019)</f>
        <v>0</v>
      </c>
      <c r="D1361" s="5">
        <f>IF(ActiveDatabase=Standby,Secondary!D1361,Primary!D2019)</f>
        <v>0</v>
      </c>
      <c r="E1361" s="7">
        <f>IF(ActiveDatabase=Standby,Secondary!E1361,Primary!E2019)</f>
        <v>0</v>
      </c>
      <c r="F1361" s="8">
        <f>IF(ActiveDatabase=Standby,Secondary!F1361,Primary!F2019)</f>
        <v>0</v>
      </c>
      <c r="G1361" s="8">
        <f>IF(ActiveDatabase=Standby,Secondary!G1361,Primary!G2019)</f>
        <v>0</v>
      </c>
      <c r="H1361" s="8">
        <f>IF(ActiveDatabase=Standby,Secondary!H1361,Primary!H2019)</f>
        <v>0</v>
      </c>
      <c r="I1361" s="14">
        <f>IF(ActiveDatabase=Standby,Secondary!I1361,Primary!I2019)</f>
        <v>0</v>
      </c>
      <c r="J1361" s="14">
        <f>IF(ActiveDatabase=Standby,Secondary!J1361,Primary!J2019)</f>
        <v>0</v>
      </c>
      <c r="K1361" s="14">
        <f>IF(ActiveDatabase=Standby,Secondary!K1361,Primary!K2019)</f>
        <v>0</v>
      </c>
      <c r="L1361" s="14">
        <f>IF(ActiveDatabase=Standby,Secondary!L1361,Primary!L2019)</f>
        <v>0</v>
      </c>
      <c r="M1361" s="7">
        <f>IF(ActiveDatabase=Standby,Secondary!M1361,Primary!M2019)</f>
        <v>0</v>
      </c>
      <c r="N1361" s="8">
        <f>IF(ActiveDatabase=Standby,Secondary!N1361,Primary!N2019)</f>
        <v>0</v>
      </c>
      <c r="O1361" s="8">
        <f>IF(ActiveDatabase=Standby,Secondary!O1361,Primary!O2019)</f>
        <v>0</v>
      </c>
      <c r="P1361" s="8">
        <f>IF(ActiveDatabase=Standby,Secondary!P1361,Primary!P2019)</f>
        <v>0</v>
      </c>
      <c r="Q1361" s="7">
        <f>IF(ActiveDatabase=Standby,Secondary!Q1361,Primary!Q2019)</f>
        <v>0</v>
      </c>
      <c r="R1361" s="16">
        <f>IF(ActiveDatabase=Standby,Secondary!R1361,Primary!R2019)</f>
        <v>0</v>
      </c>
      <c r="S1361" s="17">
        <f>IF(ActiveDatabase=Standby,Secondary!S1361,Primary!S2019)</f>
        <v>0</v>
      </c>
      <c r="T1361" s="8">
        <f>IF(ActiveDatabase=Standby,Secondary!T1361,Primary!T2019)</f>
        <v>0</v>
      </c>
      <c r="U1361" s="8">
        <f>IF(ActiveDatabase=Standby,Secondary!U1361,Primary!U2019)</f>
        <v>0</v>
      </c>
      <c r="V1361" s="8">
        <f>IF(ActiveDatabase=Standby,Secondary!V1361,Primary!V2019)</f>
        <v>0</v>
      </c>
      <c r="W1361" s="7">
        <f>IF(ActiveDatabase=Standby,Secondary!W1361,Primary!W2019)</f>
        <v>0</v>
      </c>
      <c r="X1361" s="7">
        <f>IF(ActiveDatabase=Standby,Secondary!X1361,Primary!X2019)</f>
        <v>0</v>
      </c>
      <c r="Y1361" s="7">
        <f>IF(ActiveDatabase=Standby,Secondary!Y1361,Primary!Y2019)</f>
        <v>0</v>
      </c>
      <c r="Z1361" s="7">
        <f>IF(ActiveDatabase=Standby,Secondary!Z1361,Primary!Z2019)</f>
        <v>0</v>
      </c>
      <c r="AA1361" s="7">
        <f>IF(ActiveDatabase=Standby,Secondary!AA1361,Primary!AA2019)</f>
        <v>0</v>
      </c>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c r="AX1361" s="7"/>
      <c r="AY1361" s="7"/>
      <c r="AZ1361" s="7"/>
      <c r="BA1361" s="7"/>
      <c r="BB1361" s="7"/>
      <c r="BC1361" s="7"/>
      <c r="BD1361" s="7"/>
      <c r="BE1361" s="7"/>
      <c r="BF1361" s="7"/>
      <c r="BG1361" s="7"/>
    </row>
    <row r="1362" customHeight="1" spans="1:59">
      <c r="A1362" s="9">
        <f>IF(ActiveDatabase=Standby,Secondary!A1362,Primary!A2020)</f>
        <v>0</v>
      </c>
      <c r="B1362" s="5">
        <f>IF(ActiveDatabase=Standby,Secondary!B1362,Primary!B2020)</f>
        <v>0</v>
      </c>
      <c r="C1362" s="5">
        <f>IF(ActiveDatabase=Standby,Secondary!C1362,Primary!C2020)</f>
        <v>0</v>
      </c>
      <c r="D1362" s="5">
        <f>IF(ActiveDatabase=Standby,Secondary!D1362,Primary!D2020)</f>
        <v>0</v>
      </c>
      <c r="E1362" s="7">
        <f>IF(ActiveDatabase=Standby,Secondary!E1362,Primary!E2020)</f>
        <v>0</v>
      </c>
      <c r="F1362" s="8">
        <f>IF(ActiveDatabase=Standby,Secondary!F1362,Primary!F2020)</f>
        <v>0</v>
      </c>
      <c r="G1362" s="8">
        <f>IF(ActiveDatabase=Standby,Secondary!G1362,Primary!G2020)</f>
        <v>0</v>
      </c>
      <c r="H1362" s="8">
        <f>IF(ActiveDatabase=Standby,Secondary!H1362,Primary!H2020)</f>
        <v>0</v>
      </c>
      <c r="I1362" s="14">
        <f>IF(ActiveDatabase=Standby,Secondary!I1362,Primary!I2020)</f>
        <v>0</v>
      </c>
      <c r="J1362" s="14">
        <f>IF(ActiveDatabase=Standby,Secondary!J1362,Primary!J2020)</f>
        <v>0</v>
      </c>
      <c r="K1362" s="14">
        <f>IF(ActiveDatabase=Standby,Secondary!K1362,Primary!K2020)</f>
        <v>0</v>
      </c>
      <c r="L1362" s="14">
        <f>IF(ActiveDatabase=Standby,Secondary!L1362,Primary!L2020)</f>
        <v>0</v>
      </c>
      <c r="M1362" s="7">
        <f>IF(ActiveDatabase=Standby,Secondary!M1362,Primary!M2020)</f>
        <v>0</v>
      </c>
      <c r="N1362" s="8">
        <f>IF(ActiveDatabase=Standby,Secondary!N1362,Primary!N2020)</f>
        <v>0</v>
      </c>
      <c r="O1362" s="8">
        <f>IF(ActiveDatabase=Standby,Secondary!O1362,Primary!O2020)</f>
        <v>0</v>
      </c>
      <c r="P1362" s="8">
        <f>IF(ActiveDatabase=Standby,Secondary!P1362,Primary!P2020)</f>
        <v>0</v>
      </c>
      <c r="Q1362" s="7">
        <f>IF(ActiveDatabase=Standby,Secondary!Q1362,Primary!Q2020)</f>
        <v>0</v>
      </c>
      <c r="R1362" s="16">
        <f>IF(ActiveDatabase=Standby,Secondary!R1362,Primary!R2020)</f>
        <v>0</v>
      </c>
      <c r="S1362" s="17">
        <f>IF(ActiveDatabase=Standby,Secondary!S1362,Primary!S2020)</f>
        <v>0</v>
      </c>
      <c r="T1362" s="8">
        <f>IF(ActiveDatabase=Standby,Secondary!T1362,Primary!T2020)</f>
        <v>0</v>
      </c>
      <c r="U1362" s="8">
        <f>IF(ActiveDatabase=Standby,Secondary!U1362,Primary!U2020)</f>
        <v>0</v>
      </c>
      <c r="V1362" s="8">
        <f>IF(ActiveDatabase=Standby,Secondary!V1362,Primary!V2020)</f>
        <v>0</v>
      </c>
      <c r="W1362" s="7">
        <f>IF(ActiveDatabase=Standby,Secondary!W1362,Primary!W2020)</f>
        <v>0</v>
      </c>
      <c r="X1362" s="7">
        <f>IF(ActiveDatabase=Standby,Secondary!X1362,Primary!X2020)</f>
        <v>0</v>
      </c>
      <c r="Y1362" s="7">
        <f>IF(ActiveDatabase=Standby,Secondary!Y1362,Primary!Y2020)</f>
        <v>0</v>
      </c>
      <c r="Z1362" s="7">
        <f>IF(ActiveDatabase=Standby,Secondary!Z1362,Primary!Z2020)</f>
        <v>0</v>
      </c>
      <c r="AA1362" s="7">
        <f>IF(ActiveDatabase=Standby,Secondary!AA1362,Primary!AA2020)</f>
        <v>0</v>
      </c>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c r="AX1362" s="7"/>
      <c r="AY1362" s="7"/>
      <c r="AZ1362" s="7"/>
      <c r="BA1362" s="7"/>
      <c r="BB1362" s="7"/>
      <c r="BC1362" s="7"/>
      <c r="BD1362" s="7"/>
      <c r="BE1362" s="7"/>
      <c r="BF1362" s="7"/>
      <c r="BG1362" s="7"/>
    </row>
    <row r="1363" customHeight="1" spans="1:59">
      <c r="A1363" s="9">
        <f>IF(ActiveDatabase=Standby,Secondary!A1363,Primary!A2021)</f>
        <v>0</v>
      </c>
      <c r="B1363" s="5">
        <f>IF(ActiveDatabase=Standby,Secondary!B1363,Primary!B2021)</f>
        <v>0</v>
      </c>
      <c r="C1363" s="5">
        <f>IF(ActiveDatabase=Standby,Secondary!C1363,Primary!C2021)</f>
        <v>0</v>
      </c>
      <c r="D1363" s="5">
        <f>IF(ActiveDatabase=Standby,Secondary!D1363,Primary!D2021)</f>
        <v>0</v>
      </c>
      <c r="E1363" s="7">
        <f>IF(ActiveDatabase=Standby,Secondary!E1363,Primary!E2021)</f>
        <v>0</v>
      </c>
      <c r="F1363" s="8">
        <f>IF(ActiveDatabase=Standby,Secondary!F1363,Primary!F2021)</f>
        <v>0</v>
      </c>
      <c r="G1363" s="8">
        <f>IF(ActiveDatabase=Standby,Secondary!G1363,Primary!G2021)</f>
        <v>0</v>
      </c>
      <c r="H1363" s="8">
        <f>IF(ActiveDatabase=Standby,Secondary!H1363,Primary!H2021)</f>
        <v>0</v>
      </c>
      <c r="I1363" s="14">
        <f>IF(ActiveDatabase=Standby,Secondary!I1363,Primary!I2021)</f>
        <v>0</v>
      </c>
      <c r="J1363" s="14">
        <f>IF(ActiveDatabase=Standby,Secondary!J1363,Primary!J2021)</f>
        <v>0</v>
      </c>
      <c r="K1363" s="14">
        <f>IF(ActiveDatabase=Standby,Secondary!K1363,Primary!K2021)</f>
        <v>0</v>
      </c>
      <c r="L1363" s="14">
        <f>IF(ActiveDatabase=Standby,Secondary!L1363,Primary!L2021)</f>
        <v>0</v>
      </c>
      <c r="M1363" s="7">
        <f>IF(ActiveDatabase=Standby,Secondary!M1363,Primary!M2021)</f>
        <v>0</v>
      </c>
      <c r="N1363" s="8">
        <f>IF(ActiveDatabase=Standby,Secondary!N1363,Primary!N2021)</f>
        <v>0</v>
      </c>
      <c r="O1363" s="8">
        <f>IF(ActiveDatabase=Standby,Secondary!O1363,Primary!O2021)</f>
        <v>0</v>
      </c>
      <c r="P1363" s="8">
        <f>IF(ActiveDatabase=Standby,Secondary!P1363,Primary!P2021)</f>
        <v>0</v>
      </c>
      <c r="Q1363" s="7">
        <f>IF(ActiveDatabase=Standby,Secondary!Q1363,Primary!Q2021)</f>
        <v>0</v>
      </c>
      <c r="R1363" s="16">
        <f>IF(ActiveDatabase=Standby,Secondary!R1363,Primary!R2021)</f>
        <v>0</v>
      </c>
      <c r="S1363" s="17">
        <f>IF(ActiveDatabase=Standby,Secondary!S1363,Primary!S2021)</f>
        <v>0</v>
      </c>
      <c r="T1363" s="8">
        <f>IF(ActiveDatabase=Standby,Secondary!T1363,Primary!T2021)</f>
        <v>0</v>
      </c>
      <c r="U1363" s="8">
        <f>IF(ActiveDatabase=Standby,Secondary!U1363,Primary!U2021)</f>
        <v>0</v>
      </c>
      <c r="V1363" s="8">
        <f>IF(ActiveDatabase=Standby,Secondary!V1363,Primary!V2021)</f>
        <v>0</v>
      </c>
      <c r="W1363" s="7">
        <f>IF(ActiveDatabase=Standby,Secondary!W1363,Primary!W2021)</f>
        <v>0</v>
      </c>
      <c r="X1363" s="7">
        <f>IF(ActiveDatabase=Standby,Secondary!X1363,Primary!X2021)</f>
        <v>0</v>
      </c>
      <c r="Y1363" s="7">
        <f>IF(ActiveDatabase=Standby,Secondary!Y1363,Primary!Y2021)</f>
        <v>0</v>
      </c>
      <c r="Z1363" s="7">
        <f>IF(ActiveDatabase=Standby,Secondary!Z1363,Primary!Z2021)</f>
        <v>0</v>
      </c>
      <c r="AA1363" s="7">
        <f>IF(ActiveDatabase=Standby,Secondary!AA1363,Primary!AA2021)</f>
        <v>0</v>
      </c>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7"/>
      <c r="BD1363" s="7"/>
      <c r="BE1363" s="7"/>
      <c r="BF1363" s="7"/>
      <c r="BG1363" s="7"/>
    </row>
    <row r="1364" customHeight="1" spans="1:59">
      <c r="A1364" s="9">
        <f>IF(ActiveDatabase=Standby,Secondary!A1364,Primary!A2022)</f>
        <v>0</v>
      </c>
      <c r="B1364" s="5">
        <f>IF(ActiveDatabase=Standby,Secondary!B1364,Primary!B2022)</f>
        <v>0</v>
      </c>
      <c r="C1364" s="5">
        <f>IF(ActiveDatabase=Standby,Secondary!C1364,Primary!C2022)</f>
        <v>0</v>
      </c>
      <c r="D1364" s="5">
        <f>IF(ActiveDatabase=Standby,Secondary!D1364,Primary!D2022)</f>
        <v>0</v>
      </c>
      <c r="E1364" s="7">
        <f>IF(ActiveDatabase=Standby,Secondary!E1364,Primary!E2022)</f>
        <v>0</v>
      </c>
      <c r="F1364" s="8">
        <f>IF(ActiveDatabase=Standby,Secondary!F1364,Primary!F2022)</f>
        <v>0</v>
      </c>
      <c r="G1364" s="8">
        <f>IF(ActiveDatabase=Standby,Secondary!G1364,Primary!G2022)</f>
        <v>0</v>
      </c>
      <c r="H1364" s="8">
        <f>IF(ActiveDatabase=Standby,Secondary!H1364,Primary!H2022)</f>
        <v>0</v>
      </c>
      <c r="I1364" s="14">
        <f>IF(ActiveDatabase=Standby,Secondary!I1364,Primary!I2022)</f>
        <v>0</v>
      </c>
      <c r="J1364" s="14">
        <f>IF(ActiveDatabase=Standby,Secondary!J1364,Primary!J2022)</f>
        <v>0</v>
      </c>
      <c r="K1364" s="14">
        <f>IF(ActiveDatabase=Standby,Secondary!K1364,Primary!K2022)</f>
        <v>0</v>
      </c>
      <c r="L1364" s="14">
        <f>IF(ActiveDatabase=Standby,Secondary!L1364,Primary!L2022)</f>
        <v>0</v>
      </c>
      <c r="M1364" s="7">
        <f>IF(ActiveDatabase=Standby,Secondary!M1364,Primary!M2022)</f>
        <v>0</v>
      </c>
      <c r="N1364" s="8">
        <f>IF(ActiveDatabase=Standby,Secondary!N1364,Primary!N2022)</f>
        <v>0</v>
      </c>
      <c r="O1364" s="8">
        <f>IF(ActiveDatabase=Standby,Secondary!O1364,Primary!O2022)</f>
        <v>0</v>
      </c>
      <c r="P1364" s="8">
        <f>IF(ActiveDatabase=Standby,Secondary!P1364,Primary!P2022)</f>
        <v>0</v>
      </c>
      <c r="Q1364" s="7">
        <f>IF(ActiveDatabase=Standby,Secondary!Q1364,Primary!Q2022)</f>
        <v>0</v>
      </c>
      <c r="R1364" s="16">
        <f>IF(ActiveDatabase=Standby,Secondary!R1364,Primary!R2022)</f>
        <v>0</v>
      </c>
      <c r="S1364" s="17">
        <f>IF(ActiveDatabase=Standby,Secondary!S1364,Primary!S2022)</f>
        <v>0</v>
      </c>
      <c r="T1364" s="8">
        <f>IF(ActiveDatabase=Standby,Secondary!T1364,Primary!T2022)</f>
        <v>0</v>
      </c>
      <c r="U1364" s="8">
        <f>IF(ActiveDatabase=Standby,Secondary!U1364,Primary!U2022)</f>
        <v>0</v>
      </c>
      <c r="V1364" s="8">
        <f>IF(ActiveDatabase=Standby,Secondary!V1364,Primary!V2022)</f>
        <v>0</v>
      </c>
      <c r="W1364" s="7">
        <f>IF(ActiveDatabase=Standby,Secondary!W1364,Primary!W2022)</f>
        <v>0</v>
      </c>
      <c r="X1364" s="7">
        <f>IF(ActiveDatabase=Standby,Secondary!X1364,Primary!X2022)</f>
        <v>0</v>
      </c>
      <c r="Y1364" s="7">
        <f>IF(ActiveDatabase=Standby,Secondary!Y1364,Primary!Y2022)</f>
        <v>0</v>
      </c>
      <c r="Z1364" s="7">
        <f>IF(ActiveDatabase=Standby,Secondary!Z1364,Primary!Z2022)</f>
        <v>0</v>
      </c>
      <c r="AA1364" s="7">
        <f>IF(ActiveDatabase=Standby,Secondary!AA1364,Primary!AA2022)</f>
        <v>0</v>
      </c>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7"/>
      <c r="BD1364" s="7"/>
      <c r="BE1364" s="7"/>
      <c r="BF1364" s="7"/>
      <c r="BG1364" s="7"/>
    </row>
    <row r="1365" customHeight="1" spans="1:59">
      <c r="A1365" s="9">
        <f>IF(ActiveDatabase=Standby,Secondary!A1365,Primary!A2023)</f>
        <v>0</v>
      </c>
      <c r="B1365" s="5">
        <f>IF(ActiveDatabase=Standby,Secondary!B1365,Primary!B2023)</f>
        <v>0</v>
      </c>
      <c r="C1365" s="5">
        <f>IF(ActiveDatabase=Standby,Secondary!C1365,Primary!C2023)</f>
        <v>0</v>
      </c>
      <c r="D1365" s="5">
        <f>IF(ActiveDatabase=Standby,Secondary!D1365,Primary!D2023)</f>
        <v>0</v>
      </c>
      <c r="E1365" s="7">
        <f>IF(ActiveDatabase=Standby,Secondary!E1365,Primary!E2023)</f>
        <v>0</v>
      </c>
      <c r="F1365" s="8">
        <f>IF(ActiveDatabase=Standby,Secondary!F1365,Primary!F2023)</f>
        <v>0</v>
      </c>
      <c r="G1365" s="8">
        <f>IF(ActiveDatabase=Standby,Secondary!G1365,Primary!G2023)</f>
        <v>0</v>
      </c>
      <c r="H1365" s="8">
        <f>IF(ActiveDatabase=Standby,Secondary!H1365,Primary!H2023)</f>
        <v>0</v>
      </c>
      <c r="I1365" s="14">
        <f>IF(ActiveDatabase=Standby,Secondary!I1365,Primary!I2023)</f>
        <v>0</v>
      </c>
      <c r="J1365" s="14">
        <f>IF(ActiveDatabase=Standby,Secondary!J1365,Primary!J2023)</f>
        <v>0</v>
      </c>
      <c r="K1365" s="14">
        <f>IF(ActiveDatabase=Standby,Secondary!K1365,Primary!K2023)</f>
        <v>0</v>
      </c>
      <c r="L1365" s="14">
        <f>IF(ActiveDatabase=Standby,Secondary!L1365,Primary!L2023)</f>
        <v>0</v>
      </c>
      <c r="M1365" s="7">
        <f>IF(ActiveDatabase=Standby,Secondary!M1365,Primary!M2023)</f>
        <v>0</v>
      </c>
      <c r="N1365" s="8">
        <f>IF(ActiveDatabase=Standby,Secondary!N1365,Primary!N2023)</f>
        <v>0</v>
      </c>
      <c r="O1365" s="8">
        <f>IF(ActiveDatabase=Standby,Secondary!O1365,Primary!O2023)</f>
        <v>0</v>
      </c>
      <c r="P1365" s="8">
        <f>IF(ActiveDatabase=Standby,Secondary!P1365,Primary!P2023)</f>
        <v>0</v>
      </c>
      <c r="Q1365" s="7">
        <f>IF(ActiveDatabase=Standby,Secondary!Q1365,Primary!Q2023)</f>
        <v>0</v>
      </c>
      <c r="R1365" s="16">
        <f>IF(ActiveDatabase=Standby,Secondary!R1365,Primary!R2023)</f>
        <v>0</v>
      </c>
      <c r="S1365" s="17">
        <f>IF(ActiveDatabase=Standby,Secondary!S1365,Primary!S2023)</f>
        <v>0</v>
      </c>
      <c r="T1365" s="8">
        <f>IF(ActiveDatabase=Standby,Secondary!T1365,Primary!T2023)</f>
        <v>0</v>
      </c>
      <c r="U1365" s="8">
        <f>IF(ActiveDatabase=Standby,Secondary!U1365,Primary!U2023)</f>
        <v>0</v>
      </c>
      <c r="V1365" s="8">
        <f>IF(ActiveDatabase=Standby,Secondary!V1365,Primary!V2023)</f>
        <v>0</v>
      </c>
      <c r="W1365" s="7">
        <f>IF(ActiveDatabase=Standby,Secondary!W1365,Primary!W2023)</f>
        <v>0</v>
      </c>
      <c r="X1365" s="7">
        <f>IF(ActiveDatabase=Standby,Secondary!X1365,Primary!X2023)</f>
        <v>0</v>
      </c>
      <c r="Y1365" s="7">
        <f>IF(ActiveDatabase=Standby,Secondary!Y1365,Primary!Y2023)</f>
        <v>0</v>
      </c>
      <c r="Z1365" s="7">
        <f>IF(ActiveDatabase=Standby,Secondary!Z1365,Primary!Z2023)</f>
        <v>0</v>
      </c>
      <c r="AA1365" s="7">
        <f>IF(ActiveDatabase=Standby,Secondary!AA1365,Primary!AA2023)</f>
        <v>0</v>
      </c>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c r="AX1365" s="7"/>
      <c r="AY1365" s="7"/>
      <c r="AZ1365" s="7"/>
      <c r="BA1365" s="7"/>
      <c r="BB1365" s="7"/>
      <c r="BC1365" s="7"/>
      <c r="BD1365" s="7"/>
      <c r="BE1365" s="7"/>
      <c r="BF1365" s="7"/>
      <c r="BG1365" s="7"/>
    </row>
    <row r="1366" customHeight="1" spans="1:59">
      <c r="A1366" s="9">
        <f>IF(ActiveDatabase=Standby,Secondary!A1366,Primary!A2024)</f>
        <v>0</v>
      </c>
      <c r="B1366" s="5">
        <f>IF(ActiveDatabase=Standby,Secondary!B1366,Primary!B2024)</f>
        <v>0</v>
      </c>
      <c r="C1366" s="5">
        <f>IF(ActiveDatabase=Standby,Secondary!C1366,Primary!C2024)</f>
        <v>0</v>
      </c>
      <c r="D1366" s="5">
        <f>IF(ActiveDatabase=Standby,Secondary!D1366,Primary!D2024)</f>
        <v>0</v>
      </c>
      <c r="E1366" s="7">
        <f>IF(ActiveDatabase=Standby,Secondary!E1366,Primary!E2024)</f>
        <v>0</v>
      </c>
      <c r="F1366" s="8">
        <f>IF(ActiveDatabase=Standby,Secondary!F1366,Primary!F2024)</f>
        <v>0</v>
      </c>
      <c r="G1366" s="8">
        <f>IF(ActiveDatabase=Standby,Secondary!G1366,Primary!G2024)</f>
        <v>0</v>
      </c>
      <c r="H1366" s="8">
        <f>IF(ActiveDatabase=Standby,Secondary!H1366,Primary!H2024)</f>
        <v>0</v>
      </c>
      <c r="I1366" s="14">
        <f>IF(ActiveDatabase=Standby,Secondary!I1366,Primary!I2024)</f>
        <v>0</v>
      </c>
      <c r="J1366" s="14">
        <f>IF(ActiveDatabase=Standby,Secondary!J1366,Primary!J2024)</f>
        <v>0</v>
      </c>
      <c r="K1366" s="14">
        <f>IF(ActiveDatabase=Standby,Secondary!K1366,Primary!K2024)</f>
        <v>0</v>
      </c>
      <c r="L1366" s="14">
        <f>IF(ActiveDatabase=Standby,Secondary!L1366,Primary!L2024)</f>
        <v>0</v>
      </c>
      <c r="M1366" s="7">
        <f>IF(ActiveDatabase=Standby,Secondary!M1366,Primary!M2024)</f>
        <v>0</v>
      </c>
      <c r="N1366" s="8">
        <f>IF(ActiveDatabase=Standby,Secondary!N1366,Primary!N2024)</f>
        <v>0</v>
      </c>
      <c r="O1366" s="8">
        <f>IF(ActiveDatabase=Standby,Secondary!O1366,Primary!O2024)</f>
        <v>0</v>
      </c>
      <c r="P1366" s="8">
        <f>IF(ActiveDatabase=Standby,Secondary!P1366,Primary!P2024)</f>
        <v>0</v>
      </c>
      <c r="Q1366" s="7">
        <f>IF(ActiveDatabase=Standby,Secondary!Q1366,Primary!Q2024)</f>
        <v>0</v>
      </c>
      <c r="R1366" s="16">
        <f>IF(ActiveDatabase=Standby,Secondary!R1366,Primary!R2024)</f>
        <v>0</v>
      </c>
      <c r="S1366" s="17">
        <f>IF(ActiveDatabase=Standby,Secondary!S1366,Primary!S2024)</f>
        <v>0</v>
      </c>
      <c r="T1366" s="8">
        <f>IF(ActiveDatabase=Standby,Secondary!T1366,Primary!T2024)</f>
        <v>0</v>
      </c>
      <c r="U1366" s="8">
        <f>IF(ActiveDatabase=Standby,Secondary!U1366,Primary!U2024)</f>
        <v>0</v>
      </c>
      <c r="V1366" s="8">
        <f>IF(ActiveDatabase=Standby,Secondary!V1366,Primary!V2024)</f>
        <v>0</v>
      </c>
      <c r="W1366" s="7">
        <f>IF(ActiveDatabase=Standby,Secondary!W1366,Primary!W2024)</f>
        <v>0</v>
      </c>
      <c r="X1366" s="7">
        <f>IF(ActiveDatabase=Standby,Secondary!X1366,Primary!X2024)</f>
        <v>0</v>
      </c>
      <c r="Y1366" s="7">
        <f>IF(ActiveDatabase=Standby,Secondary!Y1366,Primary!Y2024)</f>
        <v>0</v>
      </c>
      <c r="Z1366" s="7">
        <f>IF(ActiveDatabase=Standby,Secondary!Z1366,Primary!Z2024)</f>
        <v>0</v>
      </c>
      <c r="AA1366" s="7">
        <f>IF(ActiveDatabase=Standby,Secondary!AA1366,Primary!AA2024)</f>
        <v>0</v>
      </c>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7"/>
      <c r="BD1366" s="7"/>
      <c r="BE1366" s="7"/>
      <c r="BF1366" s="7"/>
      <c r="BG1366" s="7"/>
    </row>
    <row r="1367" customHeight="1" spans="1:59">
      <c r="A1367" s="9">
        <f>IF(ActiveDatabase=Standby,Secondary!A1367,Primary!A2025)</f>
        <v>0</v>
      </c>
      <c r="B1367" s="5">
        <f>IF(ActiveDatabase=Standby,Secondary!B1367,Primary!B2025)</f>
        <v>0</v>
      </c>
      <c r="C1367" s="5">
        <f>IF(ActiveDatabase=Standby,Secondary!C1367,Primary!C2025)</f>
        <v>0</v>
      </c>
      <c r="D1367" s="5">
        <f>IF(ActiveDatabase=Standby,Secondary!D1367,Primary!D2025)</f>
        <v>0</v>
      </c>
      <c r="E1367" s="7">
        <f>IF(ActiveDatabase=Standby,Secondary!E1367,Primary!E2025)</f>
        <v>0</v>
      </c>
      <c r="F1367" s="8">
        <f>IF(ActiveDatabase=Standby,Secondary!F1367,Primary!F2025)</f>
        <v>0</v>
      </c>
      <c r="G1367" s="8">
        <f>IF(ActiveDatabase=Standby,Secondary!G1367,Primary!G2025)</f>
        <v>0</v>
      </c>
      <c r="H1367" s="8">
        <f>IF(ActiveDatabase=Standby,Secondary!H1367,Primary!H2025)</f>
        <v>0</v>
      </c>
      <c r="I1367" s="14">
        <f>IF(ActiveDatabase=Standby,Secondary!I1367,Primary!I2025)</f>
        <v>0</v>
      </c>
      <c r="J1367" s="14">
        <f>IF(ActiveDatabase=Standby,Secondary!J1367,Primary!J2025)</f>
        <v>0</v>
      </c>
      <c r="K1367" s="14">
        <f>IF(ActiveDatabase=Standby,Secondary!K1367,Primary!K2025)</f>
        <v>0</v>
      </c>
      <c r="L1367" s="14">
        <f>IF(ActiveDatabase=Standby,Secondary!L1367,Primary!L2025)</f>
        <v>0</v>
      </c>
      <c r="M1367" s="7">
        <f>IF(ActiveDatabase=Standby,Secondary!M1367,Primary!M2025)</f>
        <v>0</v>
      </c>
      <c r="N1367" s="8">
        <f>IF(ActiveDatabase=Standby,Secondary!N1367,Primary!N2025)</f>
        <v>0</v>
      </c>
      <c r="O1367" s="8">
        <f>IF(ActiveDatabase=Standby,Secondary!O1367,Primary!O2025)</f>
        <v>0</v>
      </c>
      <c r="P1367" s="8">
        <f>IF(ActiveDatabase=Standby,Secondary!P1367,Primary!P2025)</f>
        <v>0</v>
      </c>
      <c r="Q1367" s="7">
        <f>IF(ActiveDatabase=Standby,Secondary!Q1367,Primary!Q2025)</f>
        <v>0</v>
      </c>
      <c r="R1367" s="16">
        <f>IF(ActiveDatabase=Standby,Secondary!R1367,Primary!R2025)</f>
        <v>0</v>
      </c>
      <c r="S1367" s="17">
        <f>IF(ActiveDatabase=Standby,Secondary!S1367,Primary!S2025)</f>
        <v>0</v>
      </c>
      <c r="T1367" s="8">
        <f>IF(ActiveDatabase=Standby,Secondary!T1367,Primary!T2025)</f>
        <v>0</v>
      </c>
      <c r="U1367" s="8">
        <f>IF(ActiveDatabase=Standby,Secondary!U1367,Primary!U2025)</f>
        <v>0</v>
      </c>
      <c r="V1367" s="8">
        <f>IF(ActiveDatabase=Standby,Secondary!V1367,Primary!V2025)</f>
        <v>0</v>
      </c>
      <c r="W1367" s="7">
        <f>IF(ActiveDatabase=Standby,Secondary!W1367,Primary!W2025)</f>
        <v>0</v>
      </c>
      <c r="X1367" s="7">
        <f>IF(ActiveDatabase=Standby,Secondary!X1367,Primary!X2025)</f>
        <v>0</v>
      </c>
      <c r="Y1367" s="7">
        <f>IF(ActiveDatabase=Standby,Secondary!Y1367,Primary!Y2025)</f>
        <v>0</v>
      </c>
      <c r="Z1367" s="7">
        <f>IF(ActiveDatabase=Standby,Secondary!Z1367,Primary!Z2025)</f>
        <v>0</v>
      </c>
      <c r="AA1367" s="7">
        <f>IF(ActiveDatabase=Standby,Secondary!AA1367,Primary!AA2025)</f>
        <v>0</v>
      </c>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7"/>
      <c r="AX1367" s="7"/>
      <c r="AY1367" s="7"/>
      <c r="AZ1367" s="7"/>
      <c r="BA1367" s="7"/>
      <c r="BB1367" s="7"/>
      <c r="BC1367" s="7"/>
      <c r="BD1367" s="7"/>
      <c r="BE1367" s="7"/>
      <c r="BF1367" s="7"/>
      <c r="BG1367" s="7"/>
    </row>
    <row r="1368" customHeight="1" spans="1:59">
      <c r="A1368" s="9">
        <f>IF(ActiveDatabase=Standby,Secondary!A1368,Primary!A2026)</f>
        <v>0</v>
      </c>
      <c r="B1368" s="5">
        <f>IF(ActiveDatabase=Standby,Secondary!B1368,Primary!B2026)</f>
        <v>0</v>
      </c>
      <c r="C1368" s="5">
        <f>IF(ActiveDatabase=Standby,Secondary!C1368,Primary!C2026)</f>
        <v>0</v>
      </c>
      <c r="D1368" s="5">
        <f>IF(ActiveDatabase=Standby,Secondary!D1368,Primary!D2026)</f>
        <v>0</v>
      </c>
      <c r="E1368" s="7">
        <f>IF(ActiveDatabase=Standby,Secondary!E1368,Primary!E2026)</f>
        <v>0</v>
      </c>
      <c r="F1368" s="8">
        <f>IF(ActiveDatabase=Standby,Secondary!F1368,Primary!F2026)</f>
        <v>0</v>
      </c>
      <c r="G1368" s="8">
        <f>IF(ActiveDatabase=Standby,Secondary!G1368,Primary!G2026)</f>
        <v>0</v>
      </c>
      <c r="H1368" s="8">
        <f>IF(ActiveDatabase=Standby,Secondary!H1368,Primary!H2026)</f>
        <v>0</v>
      </c>
      <c r="I1368" s="14">
        <f>IF(ActiveDatabase=Standby,Secondary!I1368,Primary!I2026)</f>
        <v>0</v>
      </c>
      <c r="J1368" s="14">
        <f>IF(ActiveDatabase=Standby,Secondary!J1368,Primary!J2026)</f>
        <v>0</v>
      </c>
      <c r="K1368" s="14">
        <f>IF(ActiveDatabase=Standby,Secondary!K1368,Primary!K2026)</f>
        <v>0</v>
      </c>
      <c r="L1368" s="14">
        <f>IF(ActiveDatabase=Standby,Secondary!L1368,Primary!L2026)</f>
        <v>0</v>
      </c>
      <c r="M1368" s="7">
        <f>IF(ActiveDatabase=Standby,Secondary!M1368,Primary!M2026)</f>
        <v>0</v>
      </c>
      <c r="N1368" s="8">
        <f>IF(ActiveDatabase=Standby,Secondary!N1368,Primary!N2026)</f>
        <v>0</v>
      </c>
      <c r="O1368" s="8">
        <f>IF(ActiveDatabase=Standby,Secondary!O1368,Primary!O2026)</f>
        <v>0</v>
      </c>
      <c r="P1368" s="8">
        <f>IF(ActiveDatabase=Standby,Secondary!P1368,Primary!P2026)</f>
        <v>0</v>
      </c>
      <c r="Q1368" s="7">
        <f>IF(ActiveDatabase=Standby,Secondary!Q1368,Primary!Q2026)</f>
        <v>0</v>
      </c>
      <c r="R1368" s="16">
        <f>IF(ActiveDatabase=Standby,Secondary!R1368,Primary!R2026)</f>
        <v>0</v>
      </c>
      <c r="S1368" s="17">
        <f>IF(ActiveDatabase=Standby,Secondary!S1368,Primary!S2026)</f>
        <v>0</v>
      </c>
      <c r="T1368" s="8">
        <f>IF(ActiveDatabase=Standby,Secondary!T1368,Primary!T2026)</f>
        <v>0</v>
      </c>
      <c r="U1368" s="8">
        <f>IF(ActiveDatabase=Standby,Secondary!U1368,Primary!U2026)</f>
        <v>0</v>
      </c>
      <c r="V1368" s="8">
        <f>IF(ActiveDatabase=Standby,Secondary!V1368,Primary!V2026)</f>
        <v>0</v>
      </c>
      <c r="W1368" s="7">
        <f>IF(ActiveDatabase=Standby,Secondary!W1368,Primary!W2026)</f>
        <v>0</v>
      </c>
      <c r="X1368" s="7">
        <f>IF(ActiveDatabase=Standby,Secondary!X1368,Primary!X2026)</f>
        <v>0</v>
      </c>
      <c r="Y1368" s="7">
        <f>IF(ActiveDatabase=Standby,Secondary!Y1368,Primary!Y2026)</f>
        <v>0</v>
      </c>
      <c r="Z1368" s="7">
        <f>IF(ActiveDatabase=Standby,Secondary!Z1368,Primary!Z2026)</f>
        <v>0</v>
      </c>
      <c r="AA1368" s="7">
        <f>IF(ActiveDatabase=Standby,Secondary!AA1368,Primary!AA2026)</f>
        <v>0</v>
      </c>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c r="AX1368" s="7"/>
      <c r="AY1368" s="7"/>
      <c r="AZ1368" s="7"/>
      <c r="BA1368" s="7"/>
      <c r="BB1368" s="7"/>
      <c r="BC1368" s="7"/>
      <c r="BD1368" s="7"/>
      <c r="BE1368" s="7"/>
      <c r="BF1368" s="7"/>
      <c r="BG1368" s="7"/>
    </row>
    <row r="1369" customHeight="1" spans="1:59">
      <c r="A1369" s="9">
        <f>IF(ActiveDatabase=Standby,Secondary!A1369,Primary!A2027)</f>
        <v>0</v>
      </c>
      <c r="B1369" s="5">
        <f>IF(ActiveDatabase=Standby,Secondary!B1369,Primary!B2027)</f>
        <v>0</v>
      </c>
      <c r="C1369" s="5">
        <f>IF(ActiveDatabase=Standby,Secondary!C1369,Primary!C2027)</f>
        <v>0</v>
      </c>
      <c r="D1369" s="5">
        <f>IF(ActiveDatabase=Standby,Secondary!D1369,Primary!D2027)</f>
        <v>0</v>
      </c>
      <c r="E1369" s="7">
        <f>IF(ActiveDatabase=Standby,Secondary!E1369,Primary!E2027)</f>
        <v>0</v>
      </c>
      <c r="F1369" s="8">
        <f>IF(ActiveDatabase=Standby,Secondary!F1369,Primary!F2027)</f>
        <v>0</v>
      </c>
      <c r="G1369" s="8">
        <f>IF(ActiveDatabase=Standby,Secondary!G1369,Primary!G2027)</f>
        <v>0</v>
      </c>
      <c r="H1369" s="8">
        <f>IF(ActiveDatabase=Standby,Secondary!H1369,Primary!H2027)</f>
        <v>0</v>
      </c>
      <c r="I1369" s="14">
        <f>IF(ActiveDatabase=Standby,Secondary!I1369,Primary!I2027)</f>
        <v>0</v>
      </c>
      <c r="J1369" s="14">
        <f>IF(ActiveDatabase=Standby,Secondary!J1369,Primary!J2027)</f>
        <v>0</v>
      </c>
      <c r="K1369" s="14">
        <f>IF(ActiveDatabase=Standby,Secondary!K1369,Primary!K2027)</f>
        <v>0</v>
      </c>
      <c r="L1369" s="14">
        <f>IF(ActiveDatabase=Standby,Secondary!L1369,Primary!L2027)</f>
        <v>0</v>
      </c>
      <c r="M1369" s="7">
        <f>IF(ActiveDatabase=Standby,Secondary!M1369,Primary!M2027)</f>
        <v>0</v>
      </c>
      <c r="N1369" s="8">
        <f>IF(ActiveDatabase=Standby,Secondary!N1369,Primary!N2027)</f>
        <v>0</v>
      </c>
      <c r="O1369" s="8">
        <f>IF(ActiveDatabase=Standby,Secondary!O1369,Primary!O2027)</f>
        <v>0</v>
      </c>
      <c r="P1369" s="8">
        <f>IF(ActiveDatabase=Standby,Secondary!P1369,Primary!P2027)</f>
        <v>0</v>
      </c>
      <c r="Q1369" s="7">
        <f>IF(ActiveDatabase=Standby,Secondary!Q1369,Primary!Q2027)</f>
        <v>0</v>
      </c>
      <c r="R1369" s="16">
        <f>IF(ActiveDatabase=Standby,Secondary!R1369,Primary!R2027)</f>
        <v>0</v>
      </c>
      <c r="S1369" s="17">
        <f>IF(ActiveDatabase=Standby,Secondary!S1369,Primary!S2027)</f>
        <v>0</v>
      </c>
      <c r="T1369" s="8">
        <f>IF(ActiveDatabase=Standby,Secondary!T1369,Primary!T2027)</f>
        <v>0</v>
      </c>
      <c r="U1369" s="8">
        <f>IF(ActiveDatabase=Standby,Secondary!U1369,Primary!U2027)</f>
        <v>0</v>
      </c>
      <c r="V1369" s="8">
        <f>IF(ActiveDatabase=Standby,Secondary!V1369,Primary!V2027)</f>
        <v>0</v>
      </c>
      <c r="W1369" s="7">
        <f>IF(ActiveDatabase=Standby,Secondary!W1369,Primary!W2027)</f>
        <v>0</v>
      </c>
      <c r="X1369" s="7">
        <f>IF(ActiveDatabase=Standby,Secondary!X1369,Primary!X2027)</f>
        <v>0</v>
      </c>
      <c r="Y1369" s="7">
        <f>IF(ActiveDatabase=Standby,Secondary!Y1369,Primary!Y2027)</f>
        <v>0</v>
      </c>
      <c r="Z1369" s="7">
        <f>IF(ActiveDatabase=Standby,Secondary!Z1369,Primary!Z2027)</f>
        <v>0</v>
      </c>
      <c r="AA1369" s="7">
        <f>IF(ActiveDatabase=Standby,Secondary!AA1369,Primary!AA2027)</f>
        <v>0</v>
      </c>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c r="AX1369" s="7"/>
      <c r="AY1369" s="7"/>
      <c r="AZ1369" s="7"/>
      <c r="BA1369" s="7"/>
      <c r="BB1369" s="7"/>
      <c r="BC1369" s="7"/>
      <c r="BD1369" s="7"/>
      <c r="BE1369" s="7"/>
      <c r="BF1369" s="7"/>
      <c r="BG1369" s="7"/>
    </row>
    <row r="1370" customHeight="1" spans="1:59">
      <c r="A1370" s="9">
        <f>IF(ActiveDatabase=Standby,Secondary!A1370,Primary!A2028)</f>
        <v>0</v>
      </c>
      <c r="B1370" s="5">
        <f>IF(ActiveDatabase=Standby,Secondary!B1370,Primary!B2028)</f>
        <v>0</v>
      </c>
      <c r="C1370" s="5">
        <f>IF(ActiveDatabase=Standby,Secondary!C1370,Primary!C2028)</f>
        <v>0</v>
      </c>
      <c r="D1370" s="5">
        <f>IF(ActiveDatabase=Standby,Secondary!D1370,Primary!D2028)</f>
        <v>0</v>
      </c>
      <c r="E1370" s="7">
        <f>IF(ActiveDatabase=Standby,Secondary!E1370,Primary!E2028)</f>
        <v>0</v>
      </c>
      <c r="F1370" s="8">
        <f>IF(ActiveDatabase=Standby,Secondary!F1370,Primary!F2028)</f>
        <v>0</v>
      </c>
      <c r="G1370" s="8">
        <f>IF(ActiveDatabase=Standby,Secondary!G1370,Primary!G2028)</f>
        <v>0</v>
      </c>
      <c r="H1370" s="8">
        <f>IF(ActiveDatabase=Standby,Secondary!H1370,Primary!H2028)</f>
        <v>0</v>
      </c>
      <c r="I1370" s="14">
        <f>IF(ActiveDatabase=Standby,Secondary!I1370,Primary!I2028)</f>
        <v>0</v>
      </c>
      <c r="J1370" s="14">
        <f>IF(ActiveDatabase=Standby,Secondary!J1370,Primary!J2028)</f>
        <v>0</v>
      </c>
      <c r="K1370" s="14">
        <f>IF(ActiveDatabase=Standby,Secondary!K1370,Primary!K2028)</f>
        <v>0</v>
      </c>
      <c r="L1370" s="14">
        <f>IF(ActiveDatabase=Standby,Secondary!L1370,Primary!L2028)</f>
        <v>0</v>
      </c>
      <c r="M1370" s="7">
        <f>IF(ActiveDatabase=Standby,Secondary!M1370,Primary!M2028)</f>
        <v>0</v>
      </c>
      <c r="N1370" s="8">
        <f>IF(ActiveDatabase=Standby,Secondary!N1370,Primary!N2028)</f>
        <v>0</v>
      </c>
      <c r="O1370" s="8">
        <f>IF(ActiveDatabase=Standby,Secondary!O1370,Primary!O2028)</f>
        <v>0</v>
      </c>
      <c r="P1370" s="8">
        <f>IF(ActiveDatabase=Standby,Secondary!P1370,Primary!P2028)</f>
        <v>0</v>
      </c>
      <c r="Q1370" s="7">
        <f>IF(ActiveDatabase=Standby,Secondary!Q1370,Primary!Q2028)</f>
        <v>0</v>
      </c>
      <c r="R1370" s="16">
        <f>IF(ActiveDatabase=Standby,Secondary!R1370,Primary!R2028)</f>
        <v>0</v>
      </c>
      <c r="S1370" s="17">
        <f>IF(ActiveDatabase=Standby,Secondary!S1370,Primary!S2028)</f>
        <v>0</v>
      </c>
      <c r="T1370" s="8">
        <f>IF(ActiveDatabase=Standby,Secondary!T1370,Primary!T2028)</f>
        <v>0</v>
      </c>
      <c r="U1370" s="8">
        <f>IF(ActiveDatabase=Standby,Secondary!U1370,Primary!U2028)</f>
        <v>0</v>
      </c>
      <c r="V1370" s="8">
        <f>IF(ActiveDatabase=Standby,Secondary!V1370,Primary!V2028)</f>
        <v>0</v>
      </c>
      <c r="W1370" s="7">
        <f>IF(ActiveDatabase=Standby,Secondary!W1370,Primary!W2028)</f>
        <v>0</v>
      </c>
      <c r="X1370" s="7">
        <f>IF(ActiveDatabase=Standby,Secondary!X1370,Primary!X2028)</f>
        <v>0</v>
      </c>
      <c r="Y1370" s="7">
        <f>IF(ActiveDatabase=Standby,Secondary!Y1370,Primary!Y2028)</f>
        <v>0</v>
      </c>
      <c r="Z1370" s="7">
        <f>IF(ActiveDatabase=Standby,Secondary!Z1370,Primary!Z2028)</f>
        <v>0</v>
      </c>
      <c r="AA1370" s="7">
        <f>IF(ActiveDatabase=Standby,Secondary!AA1370,Primary!AA2028)</f>
        <v>0</v>
      </c>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7"/>
      <c r="AX1370" s="7"/>
      <c r="AY1370" s="7"/>
      <c r="AZ1370" s="7"/>
      <c r="BA1370" s="7"/>
      <c r="BB1370" s="7"/>
      <c r="BC1370" s="7"/>
      <c r="BD1370" s="7"/>
      <c r="BE1370" s="7"/>
      <c r="BF1370" s="7"/>
      <c r="BG1370" s="7"/>
    </row>
    <row r="1371" customHeight="1" spans="1:59">
      <c r="A1371" s="9">
        <f>IF(ActiveDatabase=Standby,Secondary!A1371,Primary!A2029)</f>
        <v>0</v>
      </c>
      <c r="B1371" s="5">
        <f>IF(ActiveDatabase=Standby,Secondary!B1371,Primary!B2029)</f>
        <v>0</v>
      </c>
      <c r="C1371" s="5">
        <f>IF(ActiveDatabase=Standby,Secondary!C1371,Primary!C2029)</f>
        <v>0</v>
      </c>
      <c r="D1371" s="5">
        <f>IF(ActiveDatabase=Standby,Secondary!D1371,Primary!D2029)</f>
        <v>0</v>
      </c>
      <c r="E1371" s="7">
        <f>IF(ActiveDatabase=Standby,Secondary!E1371,Primary!E2029)</f>
        <v>0</v>
      </c>
      <c r="F1371" s="8">
        <f>IF(ActiveDatabase=Standby,Secondary!F1371,Primary!F2029)</f>
        <v>0</v>
      </c>
      <c r="G1371" s="8">
        <f>IF(ActiveDatabase=Standby,Secondary!G1371,Primary!G2029)</f>
        <v>0</v>
      </c>
      <c r="H1371" s="8">
        <f>IF(ActiveDatabase=Standby,Secondary!H1371,Primary!H2029)</f>
        <v>0</v>
      </c>
      <c r="I1371" s="14">
        <f>IF(ActiveDatabase=Standby,Secondary!I1371,Primary!I2029)</f>
        <v>0</v>
      </c>
      <c r="J1371" s="14">
        <f>IF(ActiveDatabase=Standby,Secondary!J1371,Primary!J2029)</f>
        <v>0</v>
      </c>
      <c r="K1371" s="14">
        <f>IF(ActiveDatabase=Standby,Secondary!K1371,Primary!K2029)</f>
        <v>0</v>
      </c>
      <c r="L1371" s="14">
        <f>IF(ActiveDatabase=Standby,Secondary!L1371,Primary!L2029)</f>
        <v>0</v>
      </c>
      <c r="M1371" s="7">
        <f>IF(ActiveDatabase=Standby,Secondary!M1371,Primary!M2029)</f>
        <v>0</v>
      </c>
      <c r="N1371" s="8">
        <f>IF(ActiveDatabase=Standby,Secondary!N1371,Primary!N2029)</f>
        <v>0</v>
      </c>
      <c r="O1371" s="8">
        <f>IF(ActiveDatabase=Standby,Secondary!O1371,Primary!O2029)</f>
        <v>0</v>
      </c>
      <c r="P1371" s="8">
        <f>IF(ActiveDatabase=Standby,Secondary!P1371,Primary!P2029)</f>
        <v>0</v>
      </c>
      <c r="Q1371" s="7">
        <f>IF(ActiveDatabase=Standby,Secondary!Q1371,Primary!Q2029)</f>
        <v>0</v>
      </c>
      <c r="R1371" s="16">
        <f>IF(ActiveDatabase=Standby,Secondary!R1371,Primary!R2029)</f>
        <v>0</v>
      </c>
      <c r="S1371" s="17">
        <f>IF(ActiveDatabase=Standby,Secondary!S1371,Primary!S2029)</f>
        <v>0</v>
      </c>
      <c r="T1371" s="8">
        <f>IF(ActiveDatabase=Standby,Secondary!T1371,Primary!T2029)</f>
        <v>0</v>
      </c>
      <c r="U1371" s="8">
        <f>IF(ActiveDatabase=Standby,Secondary!U1371,Primary!U2029)</f>
        <v>0</v>
      </c>
      <c r="V1371" s="8">
        <f>IF(ActiveDatabase=Standby,Secondary!V1371,Primary!V2029)</f>
        <v>0</v>
      </c>
      <c r="W1371" s="7">
        <f>IF(ActiveDatabase=Standby,Secondary!W1371,Primary!W2029)</f>
        <v>0</v>
      </c>
      <c r="X1371" s="7">
        <f>IF(ActiveDatabase=Standby,Secondary!X1371,Primary!X2029)</f>
        <v>0</v>
      </c>
      <c r="Y1371" s="7">
        <f>IF(ActiveDatabase=Standby,Secondary!Y1371,Primary!Y2029)</f>
        <v>0</v>
      </c>
      <c r="Z1371" s="7">
        <f>IF(ActiveDatabase=Standby,Secondary!Z1371,Primary!Z2029)</f>
        <v>0</v>
      </c>
      <c r="AA1371" s="7">
        <f>IF(ActiveDatabase=Standby,Secondary!AA1371,Primary!AA2029)</f>
        <v>0</v>
      </c>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7"/>
      <c r="AX1371" s="7"/>
      <c r="AY1371" s="7"/>
      <c r="AZ1371" s="7"/>
      <c r="BA1371" s="7"/>
      <c r="BB1371" s="7"/>
      <c r="BC1371" s="7"/>
      <c r="BD1371" s="7"/>
      <c r="BE1371" s="7"/>
      <c r="BF1371" s="7"/>
      <c r="BG1371" s="7"/>
    </row>
    <row r="1372" customHeight="1" spans="1:59">
      <c r="A1372" s="9">
        <f>IF(ActiveDatabase=Standby,Secondary!A1372,Primary!A2030)</f>
        <v>0</v>
      </c>
      <c r="B1372" s="5">
        <f>IF(ActiveDatabase=Standby,Secondary!B1372,Primary!B2030)</f>
        <v>0</v>
      </c>
      <c r="C1372" s="5">
        <f>IF(ActiveDatabase=Standby,Secondary!C1372,Primary!C2030)</f>
        <v>0</v>
      </c>
      <c r="D1372" s="5">
        <f>IF(ActiveDatabase=Standby,Secondary!D1372,Primary!D2030)</f>
        <v>0</v>
      </c>
      <c r="E1372" s="7">
        <f>IF(ActiveDatabase=Standby,Secondary!E1372,Primary!E2030)</f>
        <v>0</v>
      </c>
      <c r="F1372" s="8">
        <f>IF(ActiveDatabase=Standby,Secondary!F1372,Primary!F2030)</f>
        <v>0</v>
      </c>
      <c r="G1372" s="8">
        <f>IF(ActiveDatabase=Standby,Secondary!G1372,Primary!G2030)</f>
        <v>0</v>
      </c>
      <c r="H1372" s="8">
        <f>IF(ActiveDatabase=Standby,Secondary!H1372,Primary!H2030)</f>
        <v>0</v>
      </c>
      <c r="I1372" s="14">
        <f>IF(ActiveDatabase=Standby,Secondary!I1372,Primary!I2030)</f>
        <v>0</v>
      </c>
      <c r="J1372" s="14">
        <f>IF(ActiveDatabase=Standby,Secondary!J1372,Primary!J2030)</f>
        <v>0</v>
      </c>
      <c r="K1372" s="14">
        <f>IF(ActiveDatabase=Standby,Secondary!K1372,Primary!K2030)</f>
        <v>0</v>
      </c>
      <c r="L1372" s="14">
        <f>IF(ActiveDatabase=Standby,Secondary!L1372,Primary!L2030)</f>
        <v>0</v>
      </c>
      <c r="M1372" s="7">
        <f>IF(ActiveDatabase=Standby,Secondary!M1372,Primary!M2030)</f>
        <v>0</v>
      </c>
      <c r="N1372" s="8">
        <f>IF(ActiveDatabase=Standby,Secondary!N1372,Primary!N2030)</f>
        <v>0</v>
      </c>
      <c r="O1372" s="8">
        <f>IF(ActiveDatabase=Standby,Secondary!O1372,Primary!O2030)</f>
        <v>0</v>
      </c>
      <c r="P1372" s="8">
        <f>IF(ActiveDatabase=Standby,Secondary!P1372,Primary!P2030)</f>
        <v>0</v>
      </c>
      <c r="Q1372" s="7">
        <f>IF(ActiveDatabase=Standby,Secondary!Q1372,Primary!Q2030)</f>
        <v>0</v>
      </c>
      <c r="R1372" s="16">
        <f>IF(ActiveDatabase=Standby,Secondary!R1372,Primary!R2030)</f>
        <v>0</v>
      </c>
      <c r="S1372" s="17">
        <f>IF(ActiveDatabase=Standby,Secondary!S1372,Primary!S2030)</f>
        <v>0</v>
      </c>
      <c r="T1372" s="8">
        <f>IF(ActiveDatabase=Standby,Secondary!T1372,Primary!T2030)</f>
        <v>0</v>
      </c>
      <c r="U1372" s="8">
        <f>IF(ActiveDatabase=Standby,Secondary!U1372,Primary!U2030)</f>
        <v>0</v>
      </c>
      <c r="V1372" s="8">
        <f>IF(ActiveDatabase=Standby,Secondary!V1372,Primary!V2030)</f>
        <v>0</v>
      </c>
      <c r="W1372" s="7">
        <f>IF(ActiveDatabase=Standby,Secondary!W1372,Primary!W2030)</f>
        <v>0</v>
      </c>
      <c r="X1372" s="7">
        <f>IF(ActiveDatabase=Standby,Secondary!X1372,Primary!X2030)</f>
        <v>0</v>
      </c>
      <c r="Y1372" s="7">
        <f>IF(ActiveDatabase=Standby,Secondary!Y1372,Primary!Y2030)</f>
        <v>0</v>
      </c>
      <c r="Z1372" s="7">
        <f>IF(ActiveDatabase=Standby,Secondary!Z1372,Primary!Z2030)</f>
        <v>0</v>
      </c>
      <c r="AA1372" s="7">
        <f>IF(ActiveDatabase=Standby,Secondary!AA1372,Primary!AA2030)</f>
        <v>0</v>
      </c>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c r="AX1372" s="7"/>
      <c r="AY1372" s="7"/>
      <c r="AZ1372" s="7"/>
      <c r="BA1372" s="7"/>
      <c r="BB1372" s="7"/>
      <c r="BC1372" s="7"/>
      <c r="BD1372" s="7"/>
      <c r="BE1372" s="7"/>
      <c r="BF1372" s="7"/>
      <c r="BG1372" s="7"/>
    </row>
    <row r="1373" customHeight="1" spans="1:59">
      <c r="A1373" s="9">
        <f>IF(ActiveDatabase=Standby,Secondary!A1373,Primary!A2031)</f>
        <v>0</v>
      </c>
      <c r="B1373" s="5">
        <f>IF(ActiveDatabase=Standby,Secondary!B1373,Primary!B2031)</f>
        <v>0</v>
      </c>
      <c r="C1373" s="5">
        <f>IF(ActiveDatabase=Standby,Secondary!C1373,Primary!C2031)</f>
        <v>0</v>
      </c>
      <c r="D1373" s="5">
        <f>IF(ActiveDatabase=Standby,Secondary!D1373,Primary!D2031)</f>
        <v>0</v>
      </c>
      <c r="E1373" s="7">
        <f>IF(ActiveDatabase=Standby,Secondary!E1373,Primary!E2031)</f>
        <v>0</v>
      </c>
      <c r="F1373" s="8">
        <f>IF(ActiveDatabase=Standby,Secondary!F1373,Primary!F2031)</f>
        <v>0</v>
      </c>
      <c r="G1373" s="8">
        <f>IF(ActiveDatabase=Standby,Secondary!G1373,Primary!G2031)</f>
        <v>0</v>
      </c>
      <c r="H1373" s="8">
        <f>IF(ActiveDatabase=Standby,Secondary!H1373,Primary!H2031)</f>
        <v>0</v>
      </c>
      <c r="I1373" s="14">
        <f>IF(ActiveDatabase=Standby,Secondary!I1373,Primary!I2031)</f>
        <v>0</v>
      </c>
      <c r="J1373" s="14">
        <f>IF(ActiveDatabase=Standby,Secondary!J1373,Primary!J2031)</f>
        <v>0</v>
      </c>
      <c r="K1373" s="14">
        <f>IF(ActiveDatabase=Standby,Secondary!K1373,Primary!K2031)</f>
        <v>0</v>
      </c>
      <c r="L1373" s="14">
        <f>IF(ActiveDatabase=Standby,Secondary!L1373,Primary!L2031)</f>
        <v>0</v>
      </c>
      <c r="M1373" s="7">
        <f>IF(ActiveDatabase=Standby,Secondary!M1373,Primary!M2031)</f>
        <v>0</v>
      </c>
      <c r="N1373" s="8">
        <f>IF(ActiveDatabase=Standby,Secondary!N1373,Primary!N2031)</f>
        <v>0</v>
      </c>
      <c r="O1373" s="8">
        <f>IF(ActiveDatabase=Standby,Secondary!O1373,Primary!O2031)</f>
        <v>0</v>
      </c>
      <c r="P1373" s="8">
        <f>IF(ActiveDatabase=Standby,Secondary!P1373,Primary!P2031)</f>
        <v>0</v>
      </c>
      <c r="Q1373" s="7">
        <f>IF(ActiveDatabase=Standby,Secondary!Q1373,Primary!Q2031)</f>
        <v>0</v>
      </c>
      <c r="R1373" s="16">
        <f>IF(ActiveDatabase=Standby,Secondary!R1373,Primary!R2031)</f>
        <v>0</v>
      </c>
      <c r="S1373" s="17">
        <f>IF(ActiveDatabase=Standby,Secondary!S1373,Primary!S2031)</f>
        <v>0</v>
      </c>
      <c r="T1373" s="8">
        <f>IF(ActiveDatabase=Standby,Secondary!T1373,Primary!T2031)</f>
        <v>0</v>
      </c>
      <c r="U1373" s="8">
        <f>IF(ActiveDatabase=Standby,Secondary!U1373,Primary!U2031)</f>
        <v>0</v>
      </c>
      <c r="V1373" s="8">
        <f>IF(ActiveDatabase=Standby,Secondary!V1373,Primary!V2031)</f>
        <v>0</v>
      </c>
      <c r="W1373" s="7">
        <f>IF(ActiveDatabase=Standby,Secondary!W1373,Primary!W2031)</f>
        <v>0</v>
      </c>
      <c r="X1373" s="7">
        <f>IF(ActiveDatabase=Standby,Secondary!X1373,Primary!X2031)</f>
        <v>0</v>
      </c>
      <c r="Y1373" s="7">
        <f>IF(ActiveDatabase=Standby,Secondary!Y1373,Primary!Y2031)</f>
        <v>0</v>
      </c>
      <c r="Z1373" s="7">
        <f>IF(ActiveDatabase=Standby,Secondary!Z1373,Primary!Z2031)</f>
        <v>0</v>
      </c>
      <c r="AA1373" s="7">
        <f>IF(ActiveDatabase=Standby,Secondary!AA1373,Primary!AA2031)</f>
        <v>0</v>
      </c>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c r="AX1373" s="7"/>
      <c r="AY1373" s="7"/>
      <c r="AZ1373" s="7"/>
      <c r="BA1373" s="7"/>
      <c r="BB1373" s="7"/>
      <c r="BC1373" s="7"/>
      <c r="BD1373" s="7"/>
      <c r="BE1373" s="7"/>
      <c r="BF1373" s="7"/>
      <c r="BG1373" s="7"/>
    </row>
    <row r="1374" customHeight="1" spans="1:59">
      <c r="A1374" s="9">
        <f>IF(ActiveDatabase=Standby,Secondary!A1374,Primary!A2032)</f>
        <v>0</v>
      </c>
      <c r="B1374" s="5">
        <f>IF(ActiveDatabase=Standby,Secondary!B1374,Primary!B2032)</f>
        <v>0</v>
      </c>
      <c r="C1374" s="5">
        <f>IF(ActiveDatabase=Standby,Secondary!C1374,Primary!C2032)</f>
        <v>0</v>
      </c>
      <c r="D1374" s="5">
        <f>IF(ActiveDatabase=Standby,Secondary!D1374,Primary!D2032)</f>
        <v>0</v>
      </c>
      <c r="E1374" s="7">
        <f>IF(ActiveDatabase=Standby,Secondary!E1374,Primary!E2032)</f>
        <v>0</v>
      </c>
      <c r="F1374" s="8">
        <f>IF(ActiveDatabase=Standby,Secondary!F1374,Primary!F2032)</f>
        <v>0</v>
      </c>
      <c r="G1374" s="8">
        <f>IF(ActiveDatabase=Standby,Secondary!G1374,Primary!G2032)</f>
        <v>0</v>
      </c>
      <c r="H1374" s="8">
        <f>IF(ActiveDatabase=Standby,Secondary!H1374,Primary!H2032)</f>
        <v>0</v>
      </c>
      <c r="I1374" s="14">
        <f>IF(ActiveDatabase=Standby,Secondary!I1374,Primary!I2032)</f>
        <v>0</v>
      </c>
      <c r="J1374" s="14">
        <f>IF(ActiveDatabase=Standby,Secondary!J1374,Primary!J2032)</f>
        <v>0</v>
      </c>
      <c r="K1374" s="14">
        <f>IF(ActiveDatabase=Standby,Secondary!K1374,Primary!K2032)</f>
        <v>0</v>
      </c>
      <c r="L1374" s="14">
        <f>IF(ActiveDatabase=Standby,Secondary!L1374,Primary!L2032)</f>
        <v>0</v>
      </c>
      <c r="M1374" s="7">
        <f>IF(ActiveDatabase=Standby,Secondary!M1374,Primary!M2032)</f>
        <v>0</v>
      </c>
      <c r="N1374" s="8">
        <f>IF(ActiveDatabase=Standby,Secondary!N1374,Primary!N2032)</f>
        <v>0</v>
      </c>
      <c r="O1374" s="8">
        <f>IF(ActiveDatabase=Standby,Secondary!O1374,Primary!O2032)</f>
        <v>0</v>
      </c>
      <c r="P1374" s="8">
        <f>IF(ActiveDatabase=Standby,Secondary!P1374,Primary!P2032)</f>
        <v>0</v>
      </c>
      <c r="Q1374" s="7">
        <f>IF(ActiveDatabase=Standby,Secondary!Q1374,Primary!Q2032)</f>
        <v>0</v>
      </c>
      <c r="R1374" s="16">
        <f>IF(ActiveDatabase=Standby,Secondary!R1374,Primary!R2032)</f>
        <v>0</v>
      </c>
      <c r="S1374" s="17">
        <f>IF(ActiveDatabase=Standby,Secondary!S1374,Primary!S2032)</f>
        <v>0</v>
      </c>
      <c r="T1374" s="8">
        <f>IF(ActiveDatabase=Standby,Secondary!T1374,Primary!T2032)</f>
        <v>0</v>
      </c>
      <c r="U1374" s="8">
        <f>IF(ActiveDatabase=Standby,Secondary!U1374,Primary!U2032)</f>
        <v>0</v>
      </c>
      <c r="V1374" s="8">
        <f>IF(ActiveDatabase=Standby,Secondary!V1374,Primary!V2032)</f>
        <v>0</v>
      </c>
      <c r="W1374" s="7">
        <f>IF(ActiveDatabase=Standby,Secondary!W1374,Primary!W2032)</f>
        <v>0</v>
      </c>
      <c r="X1374" s="7">
        <f>IF(ActiveDatabase=Standby,Secondary!X1374,Primary!X2032)</f>
        <v>0</v>
      </c>
      <c r="Y1374" s="7">
        <f>IF(ActiveDatabase=Standby,Secondary!Y1374,Primary!Y2032)</f>
        <v>0</v>
      </c>
      <c r="Z1374" s="7">
        <f>IF(ActiveDatabase=Standby,Secondary!Z1374,Primary!Z2032)</f>
        <v>0</v>
      </c>
      <c r="AA1374" s="7">
        <f>IF(ActiveDatabase=Standby,Secondary!AA1374,Primary!AA2032)</f>
        <v>0</v>
      </c>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row>
    <row r="1375" customHeight="1" spans="1:59">
      <c r="A1375" s="9">
        <f>IF(ActiveDatabase=Standby,Secondary!A1375,Primary!A2033)</f>
        <v>0</v>
      </c>
      <c r="B1375" s="5">
        <f>IF(ActiveDatabase=Standby,Secondary!B1375,Primary!B2033)</f>
        <v>0</v>
      </c>
      <c r="C1375" s="5">
        <f>IF(ActiveDatabase=Standby,Secondary!C1375,Primary!C2033)</f>
        <v>0</v>
      </c>
      <c r="D1375" s="5">
        <f>IF(ActiveDatabase=Standby,Secondary!D1375,Primary!D2033)</f>
        <v>0</v>
      </c>
      <c r="E1375" s="7">
        <f>IF(ActiveDatabase=Standby,Secondary!E1375,Primary!E2033)</f>
        <v>0</v>
      </c>
      <c r="F1375" s="8">
        <f>IF(ActiveDatabase=Standby,Secondary!F1375,Primary!F2033)</f>
        <v>0</v>
      </c>
      <c r="G1375" s="8">
        <f>IF(ActiveDatabase=Standby,Secondary!G1375,Primary!G2033)</f>
        <v>0</v>
      </c>
      <c r="H1375" s="8">
        <f>IF(ActiveDatabase=Standby,Secondary!H1375,Primary!H2033)</f>
        <v>0</v>
      </c>
      <c r="I1375" s="14">
        <f>IF(ActiveDatabase=Standby,Secondary!I1375,Primary!I2033)</f>
        <v>0</v>
      </c>
      <c r="J1375" s="14">
        <f>IF(ActiveDatabase=Standby,Secondary!J1375,Primary!J2033)</f>
        <v>0</v>
      </c>
      <c r="K1375" s="14">
        <f>IF(ActiveDatabase=Standby,Secondary!K1375,Primary!K2033)</f>
        <v>0</v>
      </c>
      <c r="L1375" s="14">
        <f>IF(ActiveDatabase=Standby,Secondary!L1375,Primary!L2033)</f>
        <v>0</v>
      </c>
      <c r="M1375" s="7">
        <f>IF(ActiveDatabase=Standby,Secondary!M1375,Primary!M2033)</f>
        <v>0</v>
      </c>
      <c r="N1375" s="8">
        <f>IF(ActiveDatabase=Standby,Secondary!N1375,Primary!N2033)</f>
        <v>0</v>
      </c>
      <c r="O1375" s="8">
        <f>IF(ActiveDatabase=Standby,Secondary!O1375,Primary!O2033)</f>
        <v>0</v>
      </c>
      <c r="P1375" s="8">
        <f>IF(ActiveDatabase=Standby,Secondary!P1375,Primary!P2033)</f>
        <v>0</v>
      </c>
      <c r="Q1375" s="7">
        <f>IF(ActiveDatabase=Standby,Secondary!Q1375,Primary!Q2033)</f>
        <v>0</v>
      </c>
      <c r="R1375" s="16">
        <f>IF(ActiveDatabase=Standby,Secondary!R1375,Primary!R2033)</f>
        <v>0</v>
      </c>
      <c r="S1375" s="17">
        <f>IF(ActiveDatabase=Standby,Secondary!S1375,Primary!S2033)</f>
        <v>0</v>
      </c>
      <c r="T1375" s="8">
        <f>IF(ActiveDatabase=Standby,Secondary!T1375,Primary!T2033)</f>
        <v>0</v>
      </c>
      <c r="U1375" s="8">
        <f>IF(ActiveDatabase=Standby,Secondary!U1375,Primary!U2033)</f>
        <v>0</v>
      </c>
      <c r="V1375" s="8">
        <f>IF(ActiveDatabase=Standby,Secondary!V1375,Primary!V2033)</f>
        <v>0</v>
      </c>
      <c r="W1375" s="7">
        <f>IF(ActiveDatabase=Standby,Secondary!W1375,Primary!W2033)</f>
        <v>0</v>
      </c>
      <c r="X1375" s="7">
        <f>IF(ActiveDatabase=Standby,Secondary!X1375,Primary!X2033)</f>
        <v>0</v>
      </c>
      <c r="Y1375" s="7">
        <f>IF(ActiveDatabase=Standby,Secondary!Y1375,Primary!Y2033)</f>
        <v>0</v>
      </c>
      <c r="Z1375" s="7">
        <f>IF(ActiveDatabase=Standby,Secondary!Z1375,Primary!Z2033)</f>
        <v>0</v>
      </c>
      <c r="AA1375" s="7">
        <f>IF(ActiveDatabase=Standby,Secondary!AA1375,Primary!AA2033)</f>
        <v>0</v>
      </c>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7"/>
      <c r="AX1375" s="7"/>
      <c r="AY1375" s="7"/>
      <c r="AZ1375" s="7"/>
      <c r="BA1375" s="7"/>
      <c r="BB1375" s="7"/>
      <c r="BC1375" s="7"/>
      <c r="BD1375" s="7"/>
      <c r="BE1375" s="7"/>
      <c r="BF1375" s="7"/>
      <c r="BG1375" s="7"/>
    </row>
    <row r="1376" customHeight="1" spans="1:59">
      <c r="A1376" s="9">
        <f>IF(ActiveDatabase=Standby,Secondary!A1376,Primary!A2034)</f>
        <v>0</v>
      </c>
      <c r="B1376" s="5">
        <f>IF(ActiveDatabase=Standby,Secondary!B1376,Primary!B2034)</f>
        <v>0</v>
      </c>
      <c r="C1376" s="5">
        <f>IF(ActiveDatabase=Standby,Secondary!C1376,Primary!C2034)</f>
        <v>0</v>
      </c>
      <c r="D1376" s="5">
        <f>IF(ActiveDatabase=Standby,Secondary!D1376,Primary!D2034)</f>
        <v>0</v>
      </c>
      <c r="E1376" s="7">
        <f>IF(ActiveDatabase=Standby,Secondary!E1376,Primary!E2034)</f>
        <v>0</v>
      </c>
      <c r="F1376" s="8">
        <f>IF(ActiveDatabase=Standby,Secondary!F1376,Primary!F2034)</f>
        <v>0</v>
      </c>
      <c r="G1376" s="8">
        <f>IF(ActiveDatabase=Standby,Secondary!G1376,Primary!G2034)</f>
        <v>0</v>
      </c>
      <c r="H1376" s="8">
        <f>IF(ActiveDatabase=Standby,Secondary!H1376,Primary!H2034)</f>
        <v>0</v>
      </c>
      <c r="I1376" s="14">
        <f>IF(ActiveDatabase=Standby,Secondary!I1376,Primary!I2034)</f>
        <v>0</v>
      </c>
      <c r="J1376" s="14">
        <f>IF(ActiveDatabase=Standby,Secondary!J1376,Primary!J2034)</f>
        <v>0</v>
      </c>
      <c r="K1376" s="14">
        <f>IF(ActiveDatabase=Standby,Secondary!K1376,Primary!K2034)</f>
        <v>0</v>
      </c>
      <c r="L1376" s="14">
        <f>IF(ActiveDatabase=Standby,Secondary!L1376,Primary!L2034)</f>
        <v>0</v>
      </c>
      <c r="M1376" s="7">
        <f>IF(ActiveDatabase=Standby,Secondary!M1376,Primary!M2034)</f>
        <v>0</v>
      </c>
      <c r="N1376" s="8">
        <f>IF(ActiveDatabase=Standby,Secondary!N1376,Primary!N2034)</f>
        <v>0</v>
      </c>
      <c r="O1376" s="8">
        <f>IF(ActiveDatabase=Standby,Secondary!O1376,Primary!O2034)</f>
        <v>0</v>
      </c>
      <c r="P1376" s="8">
        <f>IF(ActiveDatabase=Standby,Secondary!P1376,Primary!P2034)</f>
        <v>0</v>
      </c>
      <c r="Q1376" s="7">
        <f>IF(ActiveDatabase=Standby,Secondary!Q1376,Primary!Q2034)</f>
        <v>0</v>
      </c>
      <c r="R1376" s="16">
        <f>IF(ActiveDatabase=Standby,Secondary!R1376,Primary!R2034)</f>
        <v>0</v>
      </c>
      <c r="S1376" s="17">
        <f>IF(ActiveDatabase=Standby,Secondary!S1376,Primary!S2034)</f>
        <v>0</v>
      </c>
      <c r="T1376" s="8">
        <f>IF(ActiveDatabase=Standby,Secondary!T1376,Primary!T2034)</f>
        <v>0</v>
      </c>
      <c r="U1376" s="8">
        <f>IF(ActiveDatabase=Standby,Secondary!U1376,Primary!U2034)</f>
        <v>0</v>
      </c>
      <c r="V1376" s="8">
        <f>IF(ActiveDatabase=Standby,Secondary!V1376,Primary!V2034)</f>
        <v>0</v>
      </c>
      <c r="W1376" s="7">
        <f>IF(ActiveDatabase=Standby,Secondary!W1376,Primary!W2034)</f>
        <v>0</v>
      </c>
      <c r="X1376" s="7">
        <f>IF(ActiveDatabase=Standby,Secondary!X1376,Primary!X2034)</f>
        <v>0</v>
      </c>
      <c r="Y1376" s="7">
        <f>IF(ActiveDatabase=Standby,Secondary!Y1376,Primary!Y2034)</f>
        <v>0</v>
      </c>
      <c r="Z1376" s="7">
        <f>IF(ActiveDatabase=Standby,Secondary!Z1376,Primary!Z2034)</f>
        <v>0</v>
      </c>
      <c r="AA1376" s="7">
        <f>IF(ActiveDatabase=Standby,Secondary!AA1376,Primary!AA2034)</f>
        <v>0</v>
      </c>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7"/>
      <c r="BD1376" s="7"/>
      <c r="BE1376" s="7"/>
      <c r="BF1376" s="7"/>
      <c r="BG1376" s="7"/>
    </row>
    <row r="1377" customHeight="1" spans="1:59">
      <c r="A1377" s="9">
        <f>IF(ActiveDatabase=Standby,Secondary!A1377,Primary!A2035)</f>
        <v>0</v>
      </c>
      <c r="B1377" s="5">
        <f>IF(ActiveDatabase=Standby,Secondary!B1377,Primary!B2035)</f>
        <v>0</v>
      </c>
      <c r="C1377" s="5">
        <f>IF(ActiveDatabase=Standby,Secondary!C1377,Primary!C2035)</f>
        <v>0</v>
      </c>
      <c r="D1377" s="5">
        <f>IF(ActiveDatabase=Standby,Secondary!D1377,Primary!D2035)</f>
        <v>0</v>
      </c>
      <c r="E1377" s="7">
        <f>IF(ActiveDatabase=Standby,Secondary!E1377,Primary!E2035)</f>
        <v>0</v>
      </c>
      <c r="F1377" s="8">
        <f>IF(ActiveDatabase=Standby,Secondary!F1377,Primary!F2035)</f>
        <v>0</v>
      </c>
      <c r="G1377" s="8">
        <f>IF(ActiveDatabase=Standby,Secondary!G1377,Primary!G2035)</f>
        <v>0</v>
      </c>
      <c r="H1377" s="8">
        <f>IF(ActiveDatabase=Standby,Secondary!H1377,Primary!H2035)</f>
        <v>0</v>
      </c>
      <c r="I1377" s="14">
        <f>IF(ActiveDatabase=Standby,Secondary!I1377,Primary!I2035)</f>
        <v>0</v>
      </c>
      <c r="J1377" s="14">
        <f>IF(ActiveDatabase=Standby,Secondary!J1377,Primary!J2035)</f>
        <v>0</v>
      </c>
      <c r="K1377" s="14">
        <f>IF(ActiveDatabase=Standby,Secondary!K1377,Primary!K2035)</f>
        <v>0</v>
      </c>
      <c r="L1377" s="14">
        <f>IF(ActiveDatabase=Standby,Secondary!L1377,Primary!L2035)</f>
        <v>0</v>
      </c>
      <c r="M1377" s="7">
        <f>IF(ActiveDatabase=Standby,Secondary!M1377,Primary!M2035)</f>
        <v>0</v>
      </c>
      <c r="N1377" s="8">
        <f>IF(ActiveDatabase=Standby,Secondary!N1377,Primary!N2035)</f>
        <v>0</v>
      </c>
      <c r="O1377" s="8">
        <f>IF(ActiveDatabase=Standby,Secondary!O1377,Primary!O2035)</f>
        <v>0</v>
      </c>
      <c r="P1377" s="8">
        <f>IF(ActiveDatabase=Standby,Secondary!P1377,Primary!P2035)</f>
        <v>0</v>
      </c>
      <c r="Q1377" s="7">
        <f>IF(ActiveDatabase=Standby,Secondary!Q1377,Primary!Q2035)</f>
        <v>0</v>
      </c>
      <c r="R1377" s="16">
        <f>IF(ActiveDatabase=Standby,Secondary!R1377,Primary!R2035)</f>
        <v>0</v>
      </c>
      <c r="S1377" s="17">
        <f>IF(ActiveDatabase=Standby,Secondary!S1377,Primary!S2035)</f>
        <v>0</v>
      </c>
      <c r="T1377" s="8">
        <f>IF(ActiveDatabase=Standby,Secondary!T1377,Primary!T2035)</f>
        <v>0</v>
      </c>
      <c r="U1377" s="8">
        <f>IF(ActiveDatabase=Standby,Secondary!U1377,Primary!U2035)</f>
        <v>0</v>
      </c>
      <c r="V1377" s="8">
        <f>IF(ActiveDatabase=Standby,Secondary!V1377,Primary!V2035)</f>
        <v>0</v>
      </c>
      <c r="W1377" s="7">
        <f>IF(ActiveDatabase=Standby,Secondary!W1377,Primary!W2035)</f>
        <v>0</v>
      </c>
      <c r="X1377" s="7">
        <f>IF(ActiveDatabase=Standby,Secondary!X1377,Primary!X2035)</f>
        <v>0</v>
      </c>
      <c r="Y1377" s="7">
        <f>IF(ActiveDatabase=Standby,Secondary!Y1377,Primary!Y2035)</f>
        <v>0</v>
      </c>
      <c r="Z1377" s="7">
        <f>IF(ActiveDatabase=Standby,Secondary!Z1377,Primary!Z2035)</f>
        <v>0</v>
      </c>
      <c r="AA1377" s="7">
        <f>IF(ActiveDatabase=Standby,Secondary!AA1377,Primary!AA2035)</f>
        <v>0</v>
      </c>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c r="AX1377" s="7"/>
      <c r="AY1377" s="7"/>
      <c r="AZ1377" s="7"/>
      <c r="BA1377" s="7"/>
      <c r="BB1377" s="7"/>
      <c r="BC1377" s="7"/>
      <c r="BD1377" s="7"/>
      <c r="BE1377" s="7"/>
      <c r="BF1377" s="7"/>
      <c r="BG1377" s="7"/>
    </row>
    <row r="1378" customHeight="1" spans="1:59">
      <c r="A1378" s="9">
        <f>IF(ActiveDatabase=Standby,Secondary!A1378,Primary!A2036)</f>
        <v>0</v>
      </c>
      <c r="B1378" s="5">
        <f>IF(ActiveDatabase=Standby,Secondary!B1378,Primary!B2036)</f>
        <v>0</v>
      </c>
      <c r="C1378" s="5">
        <f>IF(ActiveDatabase=Standby,Secondary!C1378,Primary!C2036)</f>
        <v>0</v>
      </c>
      <c r="D1378" s="5">
        <f>IF(ActiveDatabase=Standby,Secondary!D1378,Primary!D2036)</f>
        <v>0</v>
      </c>
      <c r="E1378" s="7">
        <f>IF(ActiveDatabase=Standby,Secondary!E1378,Primary!E2036)</f>
        <v>0</v>
      </c>
      <c r="F1378" s="8">
        <f>IF(ActiveDatabase=Standby,Secondary!F1378,Primary!F2036)</f>
        <v>0</v>
      </c>
      <c r="G1378" s="8">
        <f>IF(ActiveDatabase=Standby,Secondary!G1378,Primary!G2036)</f>
        <v>0</v>
      </c>
      <c r="H1378" s="8">
        <f>IF(ActiveDatabase=Standby,Secondary!H1378,Primary!H2036)</f>
        <v>0</v>
      </c>
      <c r="I1378" s="14">
        <f>IF(ActiveDatabase=Standby,Secondary!I1378,Primary!I2036)</f>
        <v>0</v>
      </c>
      <c r="J1378" s="14">
        <f>IF(ActiveDatabase=Standby,Secondary!J1378,Primary!J2036)</f>
        <v>0</v>
      </c>
      <c r="K1378" s="14">
        <f>IF(ActiveDatabase=Standby,Secondary!K1378,Primary!K2036)</f>
        <v>0</v>
      </c>
      <c r="L1378" s="14">
        <f>IF(ActiveDatabase=Standby,Secondary!L1378,Primary!L2036)</f>
        <v>0</v>
      </c>
      <c r="M1378" s="7">
        <f>IF(ActiveDatabase=Standby,Secondary!M1378,Primary!M2036)</f>
        <v>0</v>
      </c>
      <c r="N1378" s="8">
        <f>IF(ActiveDatabase=Standby,Secondary!N1378,Primary!N2036)</f>
        <v>0</v>
      </c>
      <c r="O1378" s="8">
        <f>IF(ActiveDatabase=Standby,Secondary!O1378,Primary!O2036)</f>
        <v>0</v>
      </c>
      <c r="P1378" s="8">
        <f>IF(ActiveDatabase=Standby,Secondary!P1378,Primary!P2036)</f>
        <v>0</v>
      </c>
      <c r="Q1378" s="7">
        <f>IF(ActiveDatabase=Standby,Secondary!Q1378,Primary!Q2036)</f>
        <v>0</v>
      </c>
      <c r="R1378" s="16">
        <f>IF(ActiveDatabase=Standby,Secondary!R1378,Primary!R2036)</f>
        <v>0</v>
      </c>
      <c r="S1378" s="17">
        <f>IF(ActiveDatabase=Standby,Secondary!S1378,Primary!S2036)</f>
        <v>0</v>
      </c>
      <c r="T1378" s="8">
        <f>IF(ActiveDatabase=Standby,Secondary!T1378,Primary!T2036)</f>
        <v>0</v>
      </c>
      <c r="U1378" s="8">
        <f>IF(ActiveDatabase=Standby,Secondary!U1378,Primary!U2036)</f>
        <v>0</v>
      </c>
      <c r="V1378" s="8">
        <f>IF(ActiveDatabase=Standby,Secondary!V1378,Primary!V2036)</f>
        <v>0</v>
      </c>
      <c r="W1378" s="7">
        <f>IF(ActiveDatabase=Standby,Secondary!W1378,Primary!W2036)</f>
        <v>0</v>
      </c>
      <c r="X1378" s="7">
        <f>IF(ActiveDatabase=Standby,Secondary!X1378,Primary!X2036)</f>
        <v>0</v>
      </c>
      <c r="Y1378" s="7">
        <f>IF(ActiveDatabase=Standby,Secondary!Y1378,Primary!Y2036)</f>
        <v>0</v>
      </c>
      <c r="Z1378" s="7">
        <f>IF(ActiveDatabase=Standby,Secondary!Z1378,Primary!Z2036)</f>
        <v>0</v>
      </c>
      <c r="AA1378" s="7">
        <f>IF(ActiveDatabase=Standby,Secondary!AA1378,Primary!AA2036)</f>
        <v>0</v>
      </c>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c r="AX1378" s="7"/>
      <c r="AY1378" s="7"/>
      <c r="AZ1378" s="7"/>
      <c r="BA1378" s="7"/>
      <c r="BB1378" s="7"/>
      <c r="BC1378" s="7"/>
      <c r="BD1378" s="7"/>
      <c r="BE1378" s="7"/>
      <c r="BF1378" s="7"/>
      <c r="BG1378" s="7"/>
    </row>
    <row r="1379" customHeight="1" spans="1:59">
      <c r="A1379" s="9">
        <f>IF(ActiveDatabase=Standby,Secondary!A1379,Primary!A2037)</f>
        <v>0</v>
      </c>
      <c r="B1379" s="5">
        <f>IF(ActiveDatabase=Standby,Secondary!B1379,Primary!B2037)</f>
        <v>0</v>
      </c>
      <c r="C1379" s="5">
        <f>IF(ActiveDatabase=Standby,Secondary!C1379,Primary!C2037)</f>
        <v>0</v>
      </c>
      <c r="D1379" s="5">
        <f>IF(ActiveDatabase=Standby,Secondary!D1379,Primary!D2037)</f>
        <v>0</v>
      </c>
      <c r="E1379" s="7">
        <f>IF(ActiveDatabase=Standby,Secondary!E1379,Primary!E2037)</f>
        <v>0</v>
      </c>
      <c r="F1379" s="8">
        <f>IF(ActiveDatabase=Standby,Secondary!F1379,Primary!F2037)</f>
        <v>0</v>
      </c>
      <c r="G1379" s="8">
        <f>IF(ActiveDatabase=Standby,Secondary!G1379,Primary!G2037)</f>
        <v>0</v>
      </c>
      <c r="H1379" s="8">
        <f>IF(ActiveDatabase=Standby,Secondary!H1379,Primary!H2037)</f>
        <v>0</v>
      </c>
      <c r="I1379" s="14">
        <f>IF(ActiveDatabase=Standby,Secondary!I1379,Primary!I2037)</f>
        <v>0</v>
      </c>
      <c r="J1379" s="14">
        <f>IF(ActiveDatabase=Standby,Secondary!J1379,Primary!J2037)</f>
        <v>0</v>
      </c>
      <c r="K1379" s="14">
        <f>IF(ActiveDatabase=Standby,Secondary!K1379,Primary!K2037)</f>
        <v>0</v>
      </c>
      <c r="L1379" s="14">
        <f>IF(ActiveDatabase=Standby,Secondary!L1379,Primary!L2037)</f>
        <v>0</v>
      </c>
      <c r="M1379" s="7">
        <f>IF(ActiveDatabase=Standby,Secondary!M1379,Primary!M2037)</f>
        <v>0</v>
      </c>
      <c r="N1379" s="8">
        <f>IF(ActiveDatabase=Standby,Secondary!N1379,Primary!N2037)</f>
        <v>0</v>
      </c>
      <c r="O1379" s="8">
        <f>IF(ActiveDatabase=Standby,Secondary!O1379,Primary!O2037)</f>
        <v>0</v>
      </c>
      <c r="P1379" s="8">
        <f>IF(ActiveDatabase=Standby,Secondary!P1379,Primary!P2037)</f>
        <v>0</v>
      </c>
      <c r="Q1379" s="7">
        <f>IF(ActiveDatabase=Standby,Secondary!Q1379,Primary!Q2037)</f>
        <v>0</v>
      </c>
      <c r="R1379" s="16">
        <f>IF(ActiveDatabase=Standby,Secondary!R1379,Primary!R2037)</f>
        <v>0</v>
      </c>
      <c r="S1379" s="17">
        <f>IF(ActiveDatabase=Standby,Secondary!S1379,Primary!S2037)</f>
        <v>0</v>
      </c>
      <c r="T1379" s="8">
        <f>IF(ActiveDatabase=Standby,Secondary!T1379,Primary!T2037)</f>
        <v>0</v>
      </c>
      <c r="U1379" s="8">
        <f>IF(ActiveDatabase=Standby,Secondary!U1379,Primary!U2037)</f>
        <v>0</v>
      </c>
      <c r="V1379" s="8">
        <f>IF(ActiveDatabase=Standby,Secondary!V1379,Primary!V2037)</f>
        <v>0</v>
      </c>
      <c r="W1379" s="7">
        <f>IF(ActiveDatabase=Standby,Secondary!W1379,Primary!W2037)</f>
        <v>0</v>
      </c>
      <c r="X1379" s="7">
        <f>IF(ActiveDatabase=Standby,Secondary!X1379,Primary!X2037)</f>
        <v>0</v>
      </c>
      <c r="Y1379" s="7">
        <f>IF(ActiveDatabase=Standby,Secondary!Y1379,Primary!Y2037)</f>
        <v>0</v>
      </c>
      <c r="Z1379" s="7">
        <f>IF(ActiveDatabase=Standby,Secondary!Z1379,Primary!Z2037)</f>
        <v>0</v>
      </c>
      <c r="AA1379" s="7">
        <f>IF(ActiveDatabase=Standby,Secondary!AA1379,Primary!AA2037)</f>
        <v>0</v>
      </c>
      <c r="AB1379" s="7"/>
      <c r="AC1379" s="7"/>
      <c r="AD1379" s="7"/>
      <c r="AE1379" s="7"/>
      <c r="AF1379" s="7"/>
      <c r="AG1379" s="7"/>
      <c r="AH1379" s="7"/>
      <c r="AI1379" s="7"/>
      <c r="AJ1379" s="7"/>
      <c r="AK1379" s="7"/>
      <c r="AL1379" s="7"/>
      <c r="AM1379" s="7"/>
      <c r="AN1379" s="7"/>
      <c r="AO1379" s="7"/>
      <c r="AP1379" s="7"/>
      <c r="AQ1379" s="7"/>
      <c r="AR1379" s="7"/>
      <c r="AS1379" s="7"/>
      <c r="AT1379" s="7"/>
      <c r="AU1379" s="7"/>
      <c r="AV1379" s="7"/>
      <c r="AW1379" s="7"/>
      <c r="AX1379" s="7"/>
      <c r="AY1379" s="7"/>
      <c r="AZ1379" s="7"/>
      <c r="BA1379" s="7"/>
      <c r="BB1379" s="7"/>
      <c r="BC1379" s="7"/>
      <c r="BD1379" s="7"/>
      <c r="BE1379" s="7"/>
      <c r="BF1379" s="7"/>
      <c r="BG1379" s="7"/>
    </row>
    <row r="1380" customHeight="1" spans="1:59">
      <c r="A1380" s="9">
        <f>IF(ActiveDatabase=Standby,Secondary!A1380,Primary!A2038)</f>
        <v>0</v>
      </c>
      <c r="B1380" s="5">
        <f>IF(ActiveDatabase=Standby,Secondary!B1380,Primary!B2038)</f>
        <v>0</v>
      </c>
      <c r="C1380" s="5">
        <f>IF(ActiveDatabase=Standby,Secondary!C1380,Primary!C2038)</f>
        <v>0</v>
      </c>
      <c r="D1380" s="5">
        <f>IF(ActiveDatabase=Standby,Secondary!D1380,Primary!D2038)</f>
        <v>0</v>
      </c>
      <c r="E1380" s="7">
        <f>IF(ActiveDatabase=Standby,Secondary!E1380,Primary!E2038)</f>
        <v>0</v>
      </c>
      <c r="F1380" s="8">
        <f>IF(ActiveDatabase=Standby,Secondary!F1380,Primary!F2038)</f>
        <v>0</v>
      </c>
      <c r="G1380" s="8">
        <f>IF(ActiveDatabase=Standby,Secondary!G1380,Primary!G2038)</f>
        <v>0</v>
      </c>
      <c r="H1380" s="8">
        <f>IF(ActiveDatabase=Standby,Secondary!H1380,Primary!H2038)</f>
        <v>0</v>
      </c>
      <c r="I1380" s="14">
        <f>IF(ActiveDatabase=Standby,Secondary!I1380,Primary!I2038)</f>
        <v>0</v>
      </c>
      <c r="J1380" s="14">
        <f>IF(ActiveDatabase=Standby,Secondary!J1380,Primary!J2038)</f>
        <v>0</v>
      </c>
      <c r="K1380" s="14">
        <f>IF(ActiveDatabase=Standby,Secondary!K1380,Primary!K2038)</f>
        <v>0</v>
      </c>
      <c r="L1380" s="14">
        <f>IF(ActiveDatabase=Standby,Secondary!L1380,Primary!L2038)</f>
        <v>0</v>
      </c>
      <c r="M1380" s="7">
        <f>IF(ActiveDatabase=Standby,Secondary!M1380,Primary!M2038)</f>
        <v>0</v>
      </c>
      <c r="N1380" s="8">
        <f>IF(ActiveDatabase=Standby,Secondary!N1380,Primary!N2038)</f>
        <v>0</v>
      </c>
      <c r="O1380" s="8">
        <f>IF(ActiveDatabase=Standby,Secondary!O1380,Primary!O2038)</f>
        <v>0</v>
      </c>
      <c r="P1380" s="8">
        <f>IF(ActiveDatabase=Standby,Secondary!P1380,Primary!P2038)</f>
        <v>0</v>
      </c>
      <c r="Q1380" s="7">
        <f>IF(ActiveDatabase=Standby,Secondary!Q1380,Primary!Q2038)</f>
        <v>0</v>
      </c>
      <c r="R1380" s="16">
        <f>IF(ActiveDatabase=Standby,Secondary!R1380,Primary!R2038)</f>
        <v>0</v>
      </c>
      <c r="S1380" s="17">
        <f>IF(ActiveDatabase=Standby,Secondary!S1380,Primary!S2038)</f>
        <v>0</v>
      </c>
      <c r="T1380" s="8">
        <f>IF(ActiveDatabase=Standby,Secondary!T1380,Primary!T2038)</f>
        <v>0</v>
      </c>
      <c r="U1380" s="8">
        <f>IF(ActiveDatabase=Standby,Secondary!U1380,Primary!U2038)</f>
        <v>0</v>
      </c>
      <c r="V1380" s="8">
        <f>IF(ActiveDatabase=Standby,Secondary!V1380,Primary!V2038)</f>
        <v>0</v>
      </c>
      <c r="W1380" s="7">
        <f>IF(ActiveDatabase=Standby,Secondary!W1380,Primary!W2038)</f>
        <v>0</v>
      </c>
      <c r="X1380" s="7">
        <f>IF(ActiveDatabase=Standby,Secondary!X1380,Primary!X2038)</f>
        <v>0</v>
      </c>
      <c r="Y1380" s="7">
        <f>IF(ActiveDatabase=Standby,Secondary!Y1380,Primary!Y2038)</f>
        <v>0</v>
      </c>
      <c r="Z1380" s="7">
        <f>IF(ActiveDatabase=Standby,Secondary!Z1380,Primary!Z2038)</f>
        <v>0</v>
      </c>
      <c r="AA1380" s="7">
        <f>IF(ActiveDatabase=Standby,Secondary!AA1380,Primary!AA2038)</f>
        <v>0</v>
      </c>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7"/>
      <c r="AX1380" s="7"/>
      <c r="AY1380" s="7"/>
      <c r="AZ1380" s="7"/>
      <c r="BA1380" s="7"/>
      <c r="BB1380" s="7"/>
      <c r="BC1380" s="7"/>
      <c r="BD1380" s="7"/>
      <c r="BE1380" s="7"/>
      <c r="BF1380" s="7"/>
      <c r="BG1380" s="7"/>
    </row>
    <row r="1381" customHeight="1" spans="1:59">
      <c r="A1381" s="9">
        <f>IF(ActiveDatabase=Standby,Secondary!A1381,Primary!A2039)</f>
        <v>0</v>
      </c>
      <c r="B1381" s="5">
        <f>IF(ActiveDatabase=Standby,Secondary!B1381,Primary!B2039)</f>
        <v>0</v>
      </c>
      <c r="C1381" s="5">
        <f>IF(ActiveDatabase=Standby,Secondary!C1381,Primary!C2039)</f>
        <v>0</v>
      </c>
      <c r="D1381" s="5">
        <f>IF(ActiveDatabase=Standby,Secondary!D1381,Primary!D2039)</f>
        <v>0</v>
      </c>
      <c r="E1381" s="7">
        <f>IF(ActiveDatabase=Standby,Secondary!E1381,Primary!E2039)</f>
        <v>0</v>
      </c>
      <c r="F1381" s="8">
        <f>IF(ActiveDatabase=Standby,Secondary!F1381,Primary!F2039)</f>
        <v>0</v>
      </c>
      <c r="G1381" s="8">
        <f>IF(ActiveDatabase=Standby,Secondary!G1381,Primary!G2039)</f>
        <v>0</v>
      </c>
      <c r="H1381" s="8">
        <f>IF(ActiveDatabase=Standby,Secondary!H1381,Primary!H2039)</f>
        <v>0</v>
      </c>
      <c r="I1381" s="14">
        <f>IF(ActiveDatabase=Standby,Secondary!I1381,Primary!I2039)</f>
        <v>0</v>
      </c>
      <c r="J1381" s="14">
        <f>IF(ActiveDatabase=Standby,Secondary!J1381,Primary!J2039)</f>
        <v>0</v>
      </c>
      <c r="K1381" s="14">
        <f>IF(ActiveDatabase=Standby,Secondary!K1381,Primary!K2039)</f>
        <v>0</v>
      </c>
      <c r="L1381" s="14">
        <f>IF(ActiveDatabase=Standby,Secondary!L1381,Primary!L2039)</f>
        <v>0</v>
      </c>
      <c r="M1381" s="7">
        <f>IF(ActiveDatabase=Standby,Secondary!M1381,Primary!M2039)</f>
        <v>0</v>
      </c>
      <c r="N1381" s="8">
        <f>IF(ActiveDatabase=Standby,Secondary!N1381,Primary!N2039)</f>
        <v>0</v>
      </c>
      <c r="O1381" s="8">
        <f>IF(ActiveDatabase=Standby,Secondary!O1381,Primary!O2039)</f>
        <v>0</v>
      </c>
      <c r="P1381" s="8">
        <f>IF(ActiveDatabase=Standby,Secondary!P1381,Primary!P2039)</f>
        <v>0</v>
      </c>
      <c r="Q1381" s="7">
        <f>IF(ActiveDatabase=Standby,Secondary!Q1381,Primary!Q2039)</f>
        <v>0</v>
      </c>
      <c r="R1381" s="16">
        <f>IF(ActiveDatabase=Standby,Secondary!R1381,Primary!R2039)</f>
        <v>0</v>
      </c>
      <c r="S1381" s="17">
        <f>IF(ActiveDatabase=Standby,Secondary!S1381,Primary!S2039)</f>
        <v>0</v>
      </c>
      <c r="T1381" s="8">
        <f>IF(ActiveDatabase=Standby,Secondary!T1381,Primary!T2039)</f>
        <v>0</v>
      </c>
      <c r="U1381" s="8">
        <f>IF(ActiveDatabase=Standby,Secondary!U1381,Primary!U2039)</f>
        <v>0</v>
      </c>
      <c r="V1381" s="8">
        <f>IF(ActiveDatabase=Standby,Secondary!V1381,Primary!V2039)</f>
        <v>0</v>
      </c>
      <c r="W1381" s="7">
        <f>IF(ActiveDatabase=Standby,Secondary!W1381,Primary!W2039)</f>
        <v>0</v>
      </c>
      <c r="X1381" s="7">
        <f>IF(ActiveDatabase=Standby,Secondary!X1381,Primary!X2039)</f>
        <v>0</v>
      </c>
      <c r="Y1381" s="7">
        <f>IF(ActiveDatabase=Standby,Secondary!Y1381,Primary!Y2039)</f>
        <v>0</v>
      </c>
      <c r="Z1381" s="7">
        <f>IF(ActiveDatabase=Standby,Secondary!Z1381,Primary!Z2039)</f>
        <v>0</v>
      </c>
      <c r="AA1381" s="7">
        <f>IF(ActiveDatabase=Standby,Secondary!AA1381,Primary!AA2039)</f>
        <v>0</v>
      </c>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7"/>
      <c r="AX1381" s="7"/>
      <c r="AY1381" s="7"/>
      <c r="AZ1381" s="7"/>
      <c r="BA1381" s="7"/>
      <c r="BB1381" s="7"/>
      <c r="BC1381" s="7"/>
      <c r="BD1381" s="7"/>
      <c r="BE1381" s="7"/>
      <c r="BF1381" s="7"/>
      <c r="BG1381" s="7"/>
    </row>
    <row r="1382" customHeight="1" spans="1:59">
      <c r="A1382" s="9">
        <f>IF(ActiveDatabase=Standby,Secondary!A1382,Primary!A2040)</f>
        <v>0</v>
      </c>
      <c r="B1382" s="5">
        <f>IF(ActiveDatabase=Standby,Secondary!B1382,Primary!B2040)</f>
        <v>0</v>
      </c>
      <c r="C1382" s="5">
        <f>IF(ActiveDatabase=Standby,Secondary!C1382,Primary!C2040)</f>
        <v>0</v>
      </c>
      <c r="D1382" s="5">
        <f>IF(ActiveDatabase=Standby,Secondary!D1382,Primary!D2040)</f>
        <v>0</v>
      </c>
      <c r="E1382" s="7">
        <f>IF(ActiveDatabase=Standby,Secondary!E1382,Primary!E2040)</f>
        <v>0</v>
      </c>
      <c r="F1382" s="8">
        <f>IF(ActiveDatabase=Standby,Secondary!F1382,Primary!F2040)</f>
        <v>0</v>
      </c>
      <c r="G1382" s="8">
        <f>IF(ActiveDatabase=Standby,Secondary!G1382,Primary!G2040)</f>
        <v>0</v>
      </c>
      <c r="H1382" s="8">
        <f>IF(ActiveDatabase=Standby,Secondary!H1382,Primary!H2040)</f>
        <v>0</v>
      </c>
      <c r="I1382" s="14">
        <f>IF(ActiveDatabase=Standby,Secondary!I1382,Primary!I2040)</f>
        <v>0</v>
      </c>
      <c r="J1382" s="14">
        <f>IF(ActiveDatabase=Standby,Secondary!J1382,Primary!J2040)</f>
        <v>0</v>
      </c>
      <c r="K1382" s="14">
        <f>IF(ActiveDatabase=Standby,Secondary!K1382,Primary!K2040)</f>
        <v>0</v>
      </c>
      <c r="L1382" s="14">
        <f>IF(ActiveDatabase=Standby,Secondary!L1382,Primary!L2040)</f>
        <v>0</v>
      </c>
      <c r="M1382" s="7">
        <f>IF(ActiveDatabase=Standby,Secondary!M1382,Primary!M2040)</f>
        <v>0</v>
      </c>
      <c r="N1382" s="8">
        <f>IF(ActiveDatabase=Standby,Secondary!N1382,Primary!N2040)</f>
        <v>0</v>
      </c>
      <c r="O1382" s="8">
        <f>IF(ActiveDatabase=Standby,Secondary!O1382,Primary!O2040)</f>
        <v>0</v>
      </c>
      <c r="P1382" s="8">
        <f>IF(ActiveDatabase=Standby,Secondary!P1382,Primary!P2040)</f>
        <v>0</v>
      </c>
      <c r="Q1382" s="7">
        <f>IF(ActiveDatabase=Standby,Secondary!Q1382,Primary!Q2040)</f>
        <v>0</v>
      </c>
      <c r="R1382" s="16">
        <f>IF(ActiveDatabase=Standby,Secondary!R1382,Primary!R2040)</f>
        <v>0</v>
      </c>
      <c r="S1382" s="17">
        <f>IF(ActiveDatabase=Standby,Secondary!S1382,Primary!S2040)</f>
        <v>0</v>
      </c>
      <c r="T1382" s="8">
        <f>IF(ActiveDatabase=Standby,Secondary!T1382,Primary!T2040)</f>
        <v>0</v>
      </c>
      <c r="U1382" s="8">
        <f>IF(ActiveDatabase=Standby,Secondary!U1382,Primary!U2040)</f>
        <v>0</v>
      </c>
      <c r="V1382" s="8">
        <f>IF(ActiveDatabase=Standby,Secondary!V1382,Primary!V2040)</f>
        <v>0</v>
      </c>
      <c r="W1382" s="7">
        <f>IF(ActiveDatabase=Standby,Secondary!W1382,Primary!W2040)</f>
        <v>0</v>
      </c>
      <c r="X1382" s="7">
        <f>IF(ActiveDatabase=Standby,Secondary!X1382,Primary!X2040)</f>
        <v>0</v>
      </c>
      <c r="Y1382" s="7">
        <f>IF(ActiveDatabase=Standby,Secondary!Y1382,Primary!Y2040)</f>
        <v>0</v>
      </c>
      <c r="Z1382" s="7">
        <f>IF(ActiveDatabase=Standby,Secondary!Z1382,Primary!Z2040)</f>
        <v>0</v>
      </c>
      <c r="AA1382" s="7">
        <f>IF(ActiveDatabase=Standby,Secondary!AA1382,Primary!AA2040)</f>
        <v>0</v>
      </c>
      <c r="AB1382" s="7"/>
      <c r="AC1382" s="7"/>
      <c r="AD1382" s="7"/>
      <c r="AE1382" s="7"/>
      <c r="AF1382" s="7"/>
      <c r="AG1382" s="7"/>
      <c r="AH1382" s="7"/>
      <c r="AI1382" s="7"/>
      <c r="AJ1382" s="7"/>
      <c r="AK1382" s="7"/>
      <c r="AL1382" s="7"/>
      <c r="AM1382" s="7"/>
      <c r="AN1382" s="7"/>
      <c r="AO1382" s="7"/>
      <c r="AP1382" s="7"/>
      <c r="AQ1382" s="7"/>
      <c r="AR1382" s="7"/>
      <c r="AS1382" s="7"/>
      <c r="AT1382" s="7"/>
      <c r="AU1382" s="7"/>
      <c r="AV1382" s="7"/>
      <c r="AW1382" s="7"/>
      <c r="AX1382" s="7"/>
      <c r="AY1382" s="7"/>
      <c r="AZ1382" s="7"/>
      <c r="BA1382" s="7"/>
      <c r="BB1382" s="7"/>
      <c r="BC1382" s="7"/>
      <c r="BD1382" s="7"/>
      <c r="BE1382" s="7"/>
      <c r="BF1382" s="7"/>
      <c r="BG1382" s="7"/>
    </row>
    <row r="1383" customHeight="1" spans="1:59">
      <c r="A1383" s="9">
        <f>IF(ActiveDatabase=Standby,Secondary!A1383,Primary!A2041)</f>
        <v>0</v>
      </c>
      <c r="B1383" s="5">
        <f>IF(ActiveDatabase=Standby,Secondary!B1383,Primary!B2041)</f>
        <v>0</v>
      </c>
      <c r="C1383" s="5">
        <f>IF(ActiveDatabase=Standby,Secondary!C1383,Primary!C2041)</f>
        <v>0</v>
      </c>
      <c r="D1383" s="5">
        <f>IF(ActiveDatabase=Standby,Secondary!D1383,Primary!D2041)</f>
        <v>0</v>
      </c>
      <c r="E1383" s="7">
        <f>IF(ActiveDatabase=Standby,Secondary!E1383,Primary!E2041)</f>
        <v>0</v>
      </c>
      <c r="F1383" s="8">
        <f>IF(ActiveDatabase=Standby,Secondary!F1383,Primary!F2041)</f>
        <v>0</v>
      </c>
      <c r="G1383" s="8">
        <f>IF(ActiveDatabase=Standby,Secondary!G1383,Primary!G2041)</f>
        <v>0</v>
      </c>
      <c r="H1383" s="8">
        <f>IF(ActiveDatabase=Standby,Secondary!H1383,Primary!H2041)</f>
        <v>0</v>
      </c>
      <c r="I1383" s="14">
        <f>IF(ActiveDatabase=Standby,Secondary!I1383,Primary!I2041)</f>
        <v>0</v>
      </c>
      <c r="J1383" s="14">
        <f>IF(ActiveDatabase=Standby,Secondary!J1383,Primary!J2041)</f>
        <v>0</v>
      </c>
      <c r="K1383" s="14">
        <f>IF(ActiveDatabase=Standby,Secondary!K1383,Primary!K2041)</f>
        <v>0</v>
      </c>
      <c r="L1383" s="14">
        <f>IF(ActiveDatabase=Standby,Secondary!L1383,Primary!L2041)</f>
        <v>0</v>
      </c>
      <c r="M1383" s="7">
        <f>IF(ActiveDatabase=Standby,Secondary!M1383,Primary!M2041)</f>
        <v>0</v>
      </c>
      <c r="N1383" s="8">
        <f>IF(ActiveDatabase=Standby,Secondary!N1383,Primary!N2041)</f>
        <v>0</v>
      </c>
      <c r="O1383" s="8">
        <f>IF(ActiveDatabase=Standby,Secondary!O1383,Primary!O2041)</f>
        <v>0</v>
      </c>
      <c r="P1383" s="8">
        <f>IF(ActiveDatabase=Standby,Secondary!P1383,Primary!P2041)</f>
        <v>0</v>
      </c>
      <c r="Q1383" s="7">
        <f>IF(ActiveDatabase=Standby,Secondary!Q1383,Primary!Q2041)</f>
        <v>0</v>
      </c>
      <c r="R1383" s="16">
        <f>IF(ActiveDatabase=Standby,Secondary!R1383,Primary!R2041)</f>
        <v>0</v>
      </c>
      <c r="S1383" s="17">
        <f>IF(ActiveDatabase=Standby,Secondary!S1383,Primary!S2041)</f>
        <v>0</v>
      </c>
      <c r="T1383" s="8">
        <f>IF(ActiveDatabase=Standby,Secondary!T1383,Primary!T2041)</f>
        <v>0</v>
      </c>
      <c r="U1383" s="8">
        <f>IF(ActiveDatabase=Standby,Secondary!U1383,Primary!U2041)</f>
        <v>0</v>
      </c>
      <c r="V1383" s="8">
        <f>IF(ActiveDatabase=Standby,Secondary!V1383,Primary!V2041)</f>
        <v>0</v>
      </c>
      <c r="W1383" s="7">
        <f>IF(ActiveDatabase=Standby,Secondary!W1383,Primary!W2041)</f>
        <v>0</v>
      </c>
      <c r="X1383" s="7">
        <f>IF(ActiveDatabase=Standby,Secondary!X1383,Primary!X2041)</f>
        <v>0</v>
      </c>
      <c r="Y1383" s="7">
        <f>IF(ActiveDatabase=Standby,Secondary!Y1383,Primary!Y2041)</f>
        <v>0</v>
      </c>
      <c r="Z1383" s="7">
        <f>IF(ActiveDatabase=Standby,Secondary!Z1383,Primary!Z2041)</f>
        <v>0</v>
      </c>
      <c r="AA1383" s="7">
        <f>IF(ActiveDatabase=Standby,Secondary!AA1383,Primary!AA2041)</f>
        <v>0</v>
      </c>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c r="AX1383" s="7"/>
      <c r="AY1383" s="7"/>
      <c r="AZ1383" s="7"/>
      <c r="BA1383" s="7"/>
      <c r="BB1383" s="7"/>
      <c r="BC1383" s="7"/>
      <c r="BD1383" s="7"/>
      <c r="BE1383" s="7"/>
      <c r="BF1383" s="7"/>
      <c r="BG1383" s="7"/>
    </row>
    <row r="1384" customHeight="1" spans="1:59">
      <c r="A1384" s="9">
        <f>IF(ActiveDatabase=Standby,Secondary!A1384,Primary!A2042)</f>
        <v>0</v>
      </c>
      <c r="B1384" s="5">
        <f>IF(ActiveDatabase=Standby,Secondary!B1384,Primary!B2042)</f>
        <v>0</v>
      </c>
      <c r="C1384" s="5">
        <f>IF(ActiveDatabase=Standby,Secondary!C1384,Primary!C2042)</f>
        <v>0</v>
      </c>
      <c r="D1384" s="5">
        <f>IF(ActiveDatabase=Standby,Secondary!D1384,Primary!D2042)</f>
        <v>0</v>
      </c>
      <c r="E1384" s="7">
        <f>IF(ActiveDatabase=Standby,Secondary!E1384,Primary!E2042)</f>
        <v>0</v>
      </c>
      <c r="F1384" s="8">
        <f>IF(ActiveDatabase=Standby,Secondary!F1384,Primary!F2042)</f>
        <v>0</v>
      </c>
      <c r="G1384" s="8">
        <f>IF(ActiveDatabase=Standby,Secondary!G1384,Primary!G2042)</f>
        <v>0</v>
      </c>
      <c r="H1384" s="8">
        <f>IF(ActiveDatabase=Standby,Secondary!H1384,Primary!H2042)</f>
        <v>0</v>
      </c>
      <c r="I1384" s="14">
        <f>IF(ActiveDatabase=Standby,Secondary!I1384,Primary!I2042)</f>
        <v>0</v>
      </c>
      <c r="J1384" s="14">
        <f>IF(ActiveDatabase=Standby,Secondary!J1384,Primary!J2042)</f>
        <v>0</v>
      </c>
      <c r="K1384" s="14">
        <f>IF(ActiveDatabase=Standby,Secondary!K1384,Primary!K2042)</f>
        <v>0</v>
      </c>
      <c r="L1384" s="14">
        <f>IF(ActiveDatabase=Standby,Secondary!L1384,Primary!L2042)</f>
        <v>0</v>
      </c>
      <c r="M1384" s="7">
        <f>IF(ActiveDatabase=Standby,Secondary!M1384,Primary!M2042)</f>
        <v>0</v>
      </c>
      <c r="N1384" s="8">
        <f>IF(ActiveDatabase=Standby,Secondary!N1384,Primary!N2042)</f>
        <v>0</v>
      </c>
      <c r="O1384" s="8">
        <f>IF(ActiveDatabase=Standby,Secondary!O1384,Primary!O2042)</f>
        <v>0</v>
      </c>
      <c r="P1384" s="8">
        <f>IF(ActiveDatabase=Standby,Secondary!P1384,Primary!P2042)</f>
        <v>0</v>
      </c>
      <c r="Q1384" s="7">
        <f>IF(ActiveDatabase=Standby,Secondary!Q1384,Primary!Q2042)</f>
        <v>0</v>
      </c>
      <c r="R1384" s="16">
        <f>IF(ActiveDatabase=Standby,Secondary!R1384,Primary!R2042)</f>
        <v>0</v>
      </c>
      <c r="S1384" s="17">
        <f>IF(ActiveDatabase=Standby,Secondary!S1384,Primary!S2042)</f>
        <v>0</v>
      </c>
      <c r="T1384" s="8">
        <f>IF(ActiveDatabase=Standby,Secondary!T1384,Primary!T2042)</f>
        <v>0</v>
      </c>
      <c r="U1384" s="8">
        <f>IF(ActiveDatabase=Standby,Secondary!U1384,Primary!U2042)</f>
        <v>0</v>
      </c>
      <c r="V1384" s="8">
        <f>IF(ActiveDatabase=Standby,Secondary!V1384,Primary!V2042)</f>
        <v>0</v>
      </c>
      <c r="W1384" s="7">
        <f>IF(ActiveDatabase=Standby,Secondary!W1384,Primary!W2042)</f>
        <v>0</v>
      </c>
      <c r="X1384" s="7">
        <f>IF(ActiveDatabase=Standby,Secondary!X1384,Primary!X2042)</f>
        <v>0</v>
      </c>
      <c r="Y1384" s="7">
        <f>IF(ActiveDatabase=Standby,Secondary!Y1384,Primary!Y2042)</f>
        <v>0</v>
      </c>
      <c r="Z1384" s="7">
        <f>IF(ActiveDatabase=Standby,Secondary!Z1384,Primary!Z2042)</f>
        <v>0</v>
      </c>
      <c r="AA1384" s="7">
        <f>IF(ActiveDatabase=Standby,Secondary!AA1384,Primary!AA2042)</f>
        <v>0</v>
      </c>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c r="AX1384" s="7"/>
      <c r="AY1384" s="7"/>
      <c r="AZ1384" s="7"/>
      <c r="BA1384" s="7"/>
      <c r="BB1384" s="7"/>
      <c r="BC1384" s="7"/>
      <c r="BD1384" s="7"/>
      <c r="BE1384" s="7"/>
      <c r="BF1384" s="7"/>
      <c r="BG1384" s="7"/>
    </row>
    <row r="1385" customHeight="1" spans="1:59">
      <c r="A1385" s="9">
        <f>IF(ActiveDatabase=Standby,Secondary!A1385,Primary!A2043)</f>
        <v>0</v>
      </c>
      <c r="B1385" s="5">
        <f>IF(ActiveDatabase=Standby,Secondary!B1385,Primary!B2043)</f>
        <v>0</v>
      </c>
      <c r="C1385" s="5">
        <f>IF(ActiveDatabase=Standby,Secondary!C1385,Primary!C2043)</f>
        <v>0</v>
      </c>
      <c r="D1385" s="5">
        <f>IF(ActiveDatabase=Standby,Secondary!D1385,Primary!D2043)</f>
        <v>0</v>
      </c>
      <c r="E1385" s="7">
        <f>IF(ActiveDatabase=Standby,Secondary!E1385,Primary!E2043)</f>
        <v>0</v>
      </c>
      <c r="F1385" s="8">
        <f>IF(ActiveDatabase=Standby,Secondary!F1385,Primary!F2043)</f>
        <v>0</v>
      </c>
      <c r="G1385" s="8">
        <f>IF(ActiveDatabase=Standby,Secondary!G1385,Primary!G2043)</f>
        <v>0</v>
      </c>
      <c r="H1385" s="8">
        <f>IF(ActiveDatabase=Standby,Secondary!H1385,Primary!H2043)</f>
        <v>0</v>
      </c>
      <c r="I1385" s="14">
        <f>IF(ActiveDatabase=Standby,Secondary!I1385,Primary!I2043)</f>
        <v>0</v>
      </c>
      <c r="J1385" s="14">
        <f>IF(ActiveDatabase=Standby,Secondary!J1385,Primary!J2043)</f>
        <v>0</v>
      </c>
      <c r="K1385" s="14">
        <f>IF(ActiveDatabase=Standby,Secondary!K1385,Primary!K2043)</f>
        <v>0</v>
      </c>
      <c r="L1385" s="14">
        <f>IF(ActiveDatabase=Standby,Secondary!L1385,Primary!L2043)</f>
        <v>0</v>
      </c>
      <c r="M1385" s="7">
        <f>IF(ActiveDatabase=Standby,Secondary!M1385,Primary!M2043)</f>
        <v>0</v>
      </c>
      <c r="N1385" s="8">
        <f>IF(ActiveDatabase=Standby,Secondary!N1385,Primary!N2043)</f>
        <v>0</v>
      </c>
      <c r="O1385" s="8">
        <f>IF(ActiveDatabase=Standby,Secondary!O1385,Primary!O2043)</f>
        <v>0</v>
      </c>
      <c r="P1385" s="8">
        <f>IF(ActiveDatabase=Standby,Secondary!P1385,Primary!P2043)</f>
        <v>0</v>
      </c>
      <c r="Q1385" s="7">
        <f>IF(ActiveDatabase=Standby,Secondary!Q1385,Primary!Q2043)</f>
        <v>0</v>
      </c>
      <c r="R1385" s="16">
        <f>IF(ActiveDatabase=Standby,Secondary!R1385,Primary!R2043)</f>
        <v>0</v>
      </c>
      <c r="S1385" s="17">
        <f>IF(ActiveDatabase=Standby,Secondary!S1385,Primary!S2043)</f>
        <v>0</v>
      </c>
      <c r="T1385" s="8">
        <f>IF(ActiveDatabase=Standby,Secondary!T1385,Primary!T2043)</f>
        <v>0</v>
      </c>
      <c r="U1385" s="8">
        <f>IF(ActiveDatabase=Standby,Secondary!U1385,Primary!U2043)</f>
        <v>0</v>
      </c>
      <c r="V1385" s="8">
        <f>IF(ActiveDatabase=Standby,Secondary!V1385,Primary!V2043)</f>
        <v>0</v>
      </c>
      <c r="W1385" s="7">
        <f>IF(ActiveDatabase=Standby,Secondary!W1385,Primary!W2043)</f>
        <v>0</v>
      </c>
      <c r="X1385" s="7">
        <f>IF(ActiveDatabase=Standby,Secondary!X1385,Primary!X2043)</f>
        <v>0</v>
      </c>
      <c r="Y1385" s="7">
        <f>IF(ActiveDatabase=Standby,Secondary!Y1385,Primary!Y2043)</f>
        <v>0</v>
      </c>
      <c r="Z1385" s="7">
        <f>IF(ActiveDatabase=Standby,Secondary!Z1385,Primary!Z2043)</f>
        <v>0</v>
      </c>
      <c r="AA1385" s="7">
        <f>IF(ActiveDatabase=Standby,Secondary!AA1385,Primary!AA2043)</f>
        <v>0</v>
      </c>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c r="AX1385" s="7"/>
      <c r="AY1385" s="7"/>
      <c r="AZ1385" s="7"/>
      <c r="BA1385" s="7"/>
      <c r="BB1385" s="7"/>
      <c r="BC1385" s="7"/>
      <c r="BD1385" s="7"/>
      <c r="BE1385" s="7"/>
      <c r="BF1385" s="7"/>
      <c r="BG1385" s="7"/>
    </row>
    <row r="1386" customHeight="1" spans="1:59">
      <c r="A1386" s="9">
        <f>IF(ActiveDatabase=Standby,Secondary!A1386,Primary!A2044)</f>
        <v>0</v>
      </c>
      <c r="B1386" s="5">
        <f>IF(ActiveDatabase=Standby,Secondary!B1386,Primary!B2044)</f>
        <v>0</v>
      </c>
      <c r="C1386" s="5">
        <f>IF(ActiveDatabase=Standby,Secondary!C1386,Primary!C2044)</f>
        <v>0</v>
      </c>
      <c r="D1386" s="5">
        <f>IF(ActiveDatabase=Standby,Secondary!D1386,Primary!D2044)</f>
        <v>0</v>
      </c>
      <c r="E1386" s="7">
        <f>IF(ActiveDatabase=Standby,Secondary!E1386,Primary!E2044)</f>
        <v>0</v>
      </c>
      <c r="F1386" s="8">
        <f>IF(ActiveDatabase=Standby,Secondary!F1386,Primary!F2044)</f>
        <v>0</v>
      </c>
      <c r="G1386" s="8">
        <f>IF(ActiveDatabase=Standby,Secondary!G1386,Primary!G2044)</f>
        <v>0</v>
      </c>
      <c r="H1386" s="8">
        <f>IF(ActiveDatabase=Standby,Secondary!H1386,Primary!H2044)</f>
        <v>0</v>
      </c>
      <c r="I1386" s="14">
        <f>IF(ActiveDatabase=Standby,Secondary!I1386,Primary!I2044)</f>
        <v>0</v>
      </c>
      <c r="J1386" s="14">
        <f>IF(ActiveDatabase=Standby,Secondary!J1386,Primary!J2044)</f>
        <v>0</v>
      </c>
      <c r="K1386" s="14">
        <f>IF(ActiveDatabase=Standby,Secondary!K1386,Primary!K2044)</f>
        <v>0</v>
      </c>
      <c r="L1386" s="14">
        <f>IF(ActiveDatabase=Standby,Secondary!L1386,Primary!L2044)</f>
        <v>0</v>
      </c>
      <c r="M1386" s="7">
        <f>IF(ActiveDatabase=Standby,Secondary!M1386,Primary!M2044)</f>
        <v>0</v>
      </c>
      <c r="N1386" s="8">
        <f>IF(ActiveDatabase=Standby,Secondary!N1386,Primary!N2044)</f>
        <v>0</v>
      </c>
      <c r="O1386" s="8">
        <f>IF(ActiveDatabase=Standby,Secondary!O1386,Primary!O2044)</f>
        <v>0</v>
      </c>
      <c r="P1386" s="8">
        <f>IF(ActiveDatabase=Standby,Secondary!P1386,Primary!P2044)</f>
        <v>0</v>
      </c>
      <c r="Q1386" s="7">
        <f>IF(ActiveDatabase=Standby,Secondary!Q1386,Primary!Q2044)</f>
        <v>0</v>
      </c>
      <c r="R1386" s="16">
        <f>IF(ActiveDatabase=Standby,Secondary!R1386,Primary!R2044)</f>
        <v>0</v>
      </c>
      <c r="S1386" s="17">
        <f>IF(ActiveDatabase=Standby,Secondary!S1386,Primary!S2044)</f>
        <v>0</v>
      </c>
      <c r="T1386" s="8">
        <f>IF(ActiveDatabase=Standby,Secondary!T1386,Primary!T2044)</f>
        <v>0</v>
      </c>
      <c r="U1386" s="8">
        <f>IF(ActiveDatabase=Standby,Secondary!U1386,Primary!U2044)</f>
        <v>0</v>
      </c>
      <c r="V1386" s="8">
        <f>IF(ActiveDatabase=Standby,Secondary!V1386,Primary!V2044)</f>
        <v>0</v>
      </c>
      <c r="W1386" s="7">
        <f>IF(ActiveDatabase=Standby,Secondary!W1386,Primary!W2044)</f>
        <v>0</v>
      </c>
      <c r="X1386" s="7">
        <f>IF(ActiveDatabase=Standby,Secondary!X1386,Primary!X2044)</f>
        <v>0</v>
      </c>
      <c r="Y1386" s="7">
        <f>IF(ActiveDatabase=Standby,Secondary!Y1386,Primary!Y2044)</f>
        <v>0</v>
      </c>
      <c r="Z1386" s="7">
        <f>IF(ActiveDatabase=Standby,Secondary!Z1386,Primary!Z2044)</f>
        <v>0</v>
      </c>
      <c r="AA1386" s="7">
        <f>IF(ActiveDatabase=Standby,Secondary!AA1386,Primary!AA2044)</f>
        <v>0</v>
      </c>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c r="AX1386" s="7"/>
      <c r="AY1386" s="7"/>
      <c r="AZ1386" s="7"/>
      <c r="BA1386" s="7"/>
      <c r="BB1386" s="7"/>
      <c r="BC1386" s="7"/>
      <c r="BD1386" s="7"/>
      <c r="BE1386" s="7"/>
      <c r="BF1386" s="7"/>
      <c r="BG1386" s="7"/>
    </row>
    <row r="1387" customHeight="1" spans="1:59">
      <c r="A1387" s="9">
        <f>IF(ActiveDatabase=Standby,Secondary!A1387,Primary!A2045)</f>
        <v>0</v>
      </c>
      <c r="B1387" s="5">
        <f>IF(ActiveDatabase=Standby,Secondary!B1387,Primary!B2045)</f>
        <v>0</v>
      </c>
      <c r="C1387" s="5">
        <f>IF(ActiveDatabase=Standby,Secondary!C1387,Primary!C2045)</f>
        <v>0</v>
      </c>
      <c r="D1387" s="5">
        <f>IF(ActiveDatabase=Standby,Secondary!D1387,Primary!D2045)</f>
        <v>0</v>
      </c>
      <c r="E1387" s="7">
        <f>IF(ActiveDatabase=Standby,Secondary!E1387,Primary!E2045)</f>
        <v>0</v>
      </c>
      <c r="F1387" s="8">
        <f>IF(ActiveDatabase=Standby,Secondary!F1387,Primary!F2045)</f>
        <v>0</v>
      </c>
      <c r="G1387" s="8">
        <f>IF(ActiveDatabase=Standby,Secondary!G1387,Primary!G2045)</f>
        <v>0</v>
      </c>
      <c r="H1387" s="8">
        <f>IF(ActiveDatabase=Standby,Secondary!H1387,Primary!H2045)</f>
        <v>0</v>
      </c>
      <c r="I1387" s="14">
        <f>IF(ActiveDatabase=Standby,Secondary!I1387,Primary!I2045)</f>
        <v>0</v>
      </c>
      <c r="J1387" s="14">
        <f>IF(ActiveDatabase=Standby,Secondary!J1387,Primary!J2045)</f>
        <v>0</v>
      </c>
      <c r="K1387" s="14">
        <f>IF(ActiveDatabase=Standby,Secondary!K1387,Primary!K2045)</f>
        <v>0</v>
      </c>
      <c r="L1387" s="14">
        <f>IF(ActiveDatabase=Standby,Secondary!L1387,Primary!L2045)</f>
        <v>0</v>
      </c>
      <c r="M1387" s="7">
        <f>IF(ActiveDatabase=Standby,Secondary!M1387,Primary!M2045)</f>
        <v>0</v>
      </c>
      <c r="N1387" s="8">
        <f>IF(ActiveDatabase=Standby,Secondary!N1387,Primary!N2045)</f>
        <v>0</v>
      </c>
      <c r="O1387" s="8">
        <f>IF(ActiveDatabase=Standby,Secondary!O1387,Primary!O2045)</f>
        <v>0</v>
      </c>
      <c r="P1387" s="8">
        <f>IF(ActiveDatabase=Standby,Secondary!P1387,Primary!P2045)</f>
        <v>0</v>
      </c>
      <c r="Q1387" s="7">
        <f>IF(ActiveDatabase=Standby,Secondary!Q1387,Primary!Q2045)</f>
        <v>0</v>
      </c>
      <c r="R1387" s="16">
        <f>IF(ActiveDatabase=Standby,Secondary!R1387,Primary!R2045)</f>
        <v>0</v>
      </c>
      <c r="S1387" s="17">
        <f>IF(ActiveDatabase=Standby,Secondary!S1387,Primary!S2045)</f>
        <v>0</v>
      </c>
      <c r="T1387" s="8">
        <f>IF(ActiveDatabase=Standby,Secondary!T1387,Primary!T2045)</f>
        <v>0</v>
      </c>
      <c r="U1387" s="8">
        <f>IF(ActiveDatabase=Standby,Secondary!U1387,Primary!U2045)</f>
        <v>0</v>
      </c>
      <c r="V1387" s="8">
        <f>IF(ActiveDatabase=Standby,Secondary!V1387,Primary!V2045)</f>
        <v>0</v>
      </c>
      <c r="W1387" s="7">
        <f>IF(ActiveDatabase=Standby,Secondary!W1387,Primary!W2045)</f>
        <v>0</v>
      </c>
      <c r="X1387" s="7">
        <f>IF(ActiveDatabase=Standby,Secondary!X1387,Primary!X2045)</f>
        <v>0</v>
      </c>
      <c r="Y1387" s="7">
        <f>IF(ActiveDatabase=Standby,Secondary!Y1387,Primary!Y2045)</f>
        <v>0</v>
      </c>
      <c r="Z1387" s="7">
        <f>IF(ActiveDatabase=Standby,Secondary!Z1387,Primary!Z2045)</f>
        <v>0</v>
      </c>
      <c r="AA1387" s="7">
        <f>IF(ActiveDatabase=Standby,Secondary!AA1387,Primary!AA2045)</f>
        <v>0</v>
      </c>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7"/>
      <c r="BD1387" s="7"/>
      <c r="BE1387" s="7"/>
      <c r="BF1387" s="7"/>
      <c r="BG1387" s="7"/>
    </row>
    <row r="1388" customHeight="1" spans="1:59">
      <c r="A1388" s="9">
        <f>IF(ActiveDatabase=Standby,Secondary!A1388,Primary!A2046)</f>
        <v>0</v>
      </c>
      <c r="B1388" s="5">
        <f>IF(ActiveDatabase=Standby,Secondary!B1388,Primary!B2046)</f>
        <v>0</v>
      </c>
      <c r="C1388" s="5">
        <f>IF(ActiveDatabase=Standby,Secondary!C1388,Primary!C2046)</f>
        <v>0</v>
      </c>
      <c r="D1388" s="5">
        <f>IF(ActiveDatabase=Standby,Secondary!D1388,Primary!D2046)</f>
        <v>0</v>
      </c>
      <c r="E1388" s="7">
        <f>IF(ActiveDatabase=Standby,Secondary!E1388,Primary!E2046)</f>
        <v>0</v>
      </c>
      <c r="F1388" s="8">
        <f>IF(ActiveDatabase=Standby,Secondary!F1388,Primary!F2046)</f>
        <v>0</v>
      </c>
      <c r="G1388" s="8">
        <f>IF(ActiveDatabase=Standby,Secondary!G1388,Primary!G2046)</f>
        <v>0</v>
      </c>
      <c r="H1388" s="8">
        <f>IF(ActiveDatabase=Standby,Secondary!H1388,Primary!H2046)</f>
        <v>0</v>
      </c>
      <c r="I1388" s="14">
        <f>IF(ActiveDatabase=Standby,Secondary!I1388,Primary!I2046)</f>
        <v>0</v>
      </c>
      <c r="J1388" s="14">
        <f>IF(ActiveDatabase=Standby,Secondary!J1388,Primary!J2046)</f>
        <v>0</v>
      </c>
      <c r="K1388" s="14">
        <f>IF(ActiveDatabase=Standby,Secondary!K1388,Primary!K2046)</f>
        <v>0</v>
      </c>
      <c r="L1388" s="14">
        <f>IF(ActiveDatabase=Standby,Secondary!L1388,Primary!L2046)</f>
        <v>0</v>
      </c>
      <c r="M1388" s="7">
        <f>IF(ActiveDatabase=Standby,Secondary!M1388,Primary!M2046)</f>
        <v>0</v>
      </c>
      <c r="N1388" s="8">
        <f>IF(ActiveDatabase=Standby,Secondary!N1388,Primary!N2046)</f>
        <v>0</v>
      </c>
      <c r="O1388" s="8">
        <f>IF(ActiveDatabase=Standby,Secondary!O1388,Primary!O2046)</f>
        <v>0</v>
      </c>
      <c r="P1388" s="8">
        <f>IF(ActiveDatabase=Standby,Secondary!P1388,Primary!P2046)</f>
        <v>0</v>
      </c>
      <c r="Q1388" s="7">
        <f>IF(ActiveDatabase=Standby,Secondary!Q1388,Primary!Q2046)</f>
        <v>0</v>
      </c>
      <c r="R1388" s="16">
        <f>IF(ActiveDatabase=Standby,Secondary!R1388,Primary!R2046)</f>
        <v>0</v>
      </c>
      <c r="S1388" s="17">
        <f>IF(ActiveDatabase=Standby,Secondary!S1388,Primary!S2046)</f>
        <v>0</v>
      </c>
      <c r="T1388" s="8">
        <f>IF(ActiveDatabase=Standby,Secondary!T1388,Primary!T2046)</f>
        <v>0</v>
      </c>
      <c r="U1388" s="8">
        <f>IF(ActiveDatabase=Standby,Secondary!U1388,Primary!U2046)</f>
        <v>0</v>
      </c>
      <c r="V1388" s="8">
        <f>IF(ActiveDatabase=Standby,Secondary!V1388,Primary!V2046)</f>
        <v>0</v>
      </c>
      <c r="W1388" s="7">
        <f>IF(ActiveDatabase=Standby,Secondary!W1388,Primary!W2046)</f>
        <v>0</v>
      </c>
      <c r="X1388" s="7">
        <f>IF(ActiveDatabase=Standby,Secondary!X1388,Primary!X2046)</f>
        <v>0</v>
      </c>
      <c r="Y1388" s="7">
        <f>IF(ActiveDatabase=Standby,Secondary!Y1388,Primary!Y2046)</f>
        <v>0</v>
      </c>
      <c r="Z1388" s="7">
        <f>IF(ActiveDatabase=Standby,Secondary!Z1388,Primary!Z2046)</f>
        <v>0</v>
      </c>
      <c r="AA1388" s="7">
        <f>IF(ActiveDatabase=Standby,Secondary!AA1388,Primary!AA2046)</f>
        <v>0</v>
      </c>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c r="AX1388" s="7"/>
      <c r="AY1388" s="7"/>
      <c r="AZ1388" s="7"/>
      <c r="BA1388" s="7"/>
      <c r="BB1388" s="7"/>
      <c r="BC1388" s="7"/>
      <c r="BD1388" s="7"/>
      <c r="BE1388" s="7"/>
      <c r="BF1388" s="7"/>
      <c r="BG1388" s="7"/>
    </row>
    <row r="1389" customHeight="1" spans="1:59">
      <c r="A1389" s="9">
        <f>IF(ActiveDatabase=Standby,Secondary!A1389,Primary!A2047)</f>
        <v>0</v>
      </c>
      <c r="B1389" s="5">
        <f>IF(ActiveDatabase=Standby,Secondary!B1389,Primary!B2047)</f>
        <v>0</v>
      </c>
      <c r="C1389" s="5">
        <f>IF(ActiveDatabase=Standby,Secondary!C1389,Primary!C2047)</f>
        <v>0</v>
      </c>
      <c r="D1389" s="5">
        <f>IF(ActiveDatabase=Standby,Secondary!D1389,Primary!D2047)</f>
        <v>0</v>
      </c>
      <c r="E1389" s="7">
        <f>IF(ActiveDatabase=Standby,Secondary!E1389,Primary!E2047)</f>
        <v>0</v>
      </c>
      <c r="F1389" s="8">
        <f>IF(ActiveDatabase=Standby,Secondary!F1389,Primary!F2047)</f>
        <v>0</v>
      </c>
      <c r="G1389" s="8">
        <f>IF(ActiveDatabase=Standby,Secondary!G1389,Primary!G2047)</f>
        <v>0</v>
      </c>
      <c r="H1389" s="8">
        <f>IF(ActiveDatabase=Standby,Secondary!H1389,Primary!H2047)</f>
        <v>0</v>
      </c>
      <c r="I1389" s="14">
        <f>IF(ActiveDatabase=Standby,Secondary!I1389,Primary!I2047)</f>
        <v>0</v>
      </c>
      <c r="J1389" s="14">
        <f>IF(ActiveDatabase=Standby,Secondary!J1389,Primary!J2047)</f>
        <v>0</v>
      </c>
      <c r="K1389" s="14">
        <f>IF(ActiveDatabase=Standby,Secondary!K1389,Primary!K2047)</f>
        <v>0</v>
      </c>
      <c r="L1389" s="14">
        <f>IF(ActiveDatabase=Standby,Secondary!L1389,Primary!L2047)</f>
        <v>0</v>
      </c>
      <c r="M1389" s="7">
        <f>IF(ActiveDatabase=Standby,Secondary!M1389,Primary!M2047)</f>
        <v>0</v>
      </c>
      <c r="N1389" s="8">
        <f>IF(ActiveDatabase=Standby,Secondary!N1389,Primary!N2047)</f>
        <v>0</v>
      </c>
      <c r="O1389" s="8">
        <f>IF(ActiveDatabase=Standby,Secondary!O1389,Primary!O2047)</f>
        <v>0</v>
      </c>
      <c r="P1389" s="8">
        <f>IF(ActiveDatabase=Standby,Secondary!P1389,Primary!P2047)</f>
        <v>0</v>
      </c>
      <c r="Q1389" s="7">
        <f>IF(ActiveDatabase=Standby,Secondary!Q1389,Primary!Q2047)</f>
        <v>0</v>
      </c>
      <c r="R1389" s="16">
        <f>IF(ActiveDatabase=Standby,Secondary!R1389,Primary!R2047)</f>
        <v>0</v>
      </c>
      <c r="S1389" s="17">
        <f>IF(ActiveDatabase=Standby,Secondary!S1389,Primary!S2047)</f>
        <v>0</v>
      </c>
      <c r="T1389" s="8">
        <f>IF(ActiveDatabase=Standby,Secondary!T1389,Primary!T2047)</f>
        <v>0</v>
      </c>
      <c r="U1389" s="8">
        <f>IF(ActiveDatabase=Standby,Secondary!U1389,Primary!U2047)</f>
        <v>0</v>
      </c>
      <c r="V1389" s="8">
        <f>IF(ActiveDatabase=Standby,Secondary!V1389,Primary!V2047)</f>
        <v>0</v>
      </c>
      <c r="W1389" s="7">
        <f>IF(ActiveDatabase=Standby,Secondary!W1389,Primary!W2047)</f>
        <v>0</v>
      </c>
      <c r="X1389" s="7">
        <f>IF(ActiveDatabase=Standby,Secondary!X1389,Primary!X2047)</f>
        <v>0</v>
      </c>
      <c r="Y1389" s="7">
        <f>IF(ActiveDatabase=Standby,Secondary!Y1389,Primary!Y2047)</f>
        <v>0</v>
      </c>
      <c r="Z1389" s="7">
        <f>IF(ActiveDatabase=Standby,Secondary!Z1389,Primary!Z2047)</f>
        <v>0</v>
      </c>
      <c r="AA1389" s="7">
        <f>IF(ActiveDatabase=Standby,Secondary!AA1389,Primary!AA2047)</f>
        <v>0</v>
      </c>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c r="AX1389" s="7"/>
      <c r="AY1389" s="7"/>
      <c r="AZ1389" s="7"/>
      <c r="BA1389" s="7"/>
      <c r="BB1389" s="7"/>
      <c r="BC1389" s="7"/>
      <c r="BD1389" s="7"/>
      <c r="BE1389" s="7"/>
      <c r="BF1389" s="7"/>
      <c r="BG1389" s="7"/>
    </row>
    <row r="1390" customHeight="1" spans="1:59">
      <c r="A1390" s="9">
        <f>IF(ActiveDatabase=Standby,Secondary!A1390,Primary!A2048)</f>
        <v>0</v>
      </c>
      <c r="B1390" s="5">
        <f>IF(ActiveDatabase=Standby,Secondary!B1390,Primary!B2048)</f>
        <v>0</v>
      </c>
      <c r="C1390" s="5">
        <f>IF(ActiveDatabase=Standby,Secondary!C1390,Primary!C2048)</f>
        <v>0</v>
      </c>
      <c r="D1390" s="5">
        <f>IF(ActiveDatabase=Standby,Secondary!D1390,Primary!D2048)</f>
        <v>0</v>
      </c>
      <c r="E1390" s="7">
        <f>IF(ActiveDatabase=Standby,Secondary!E1390,Primary!E2048)</f>
        <v>0</v>
      </c>
      <c r="F1390" s="8">
        <f>IF(ActiveDatabase=Standby,Secondary!F1390,Primary!F2048)</f>
        <v>0</v>
      </c>
      <c r="G1390" s="8">
        <f>IF(ActiveDatabase=Standby,Secondary!G1390,Primary!G2048)</f>
        <v>0</v>
      </c>
      <c r="H1390" s="8">
        <f>IF(ActiveDatabase=Standby,Secondary!H1390,Primary!H2048)</f>
        <v>0</v>
      </c>
      <c r="I1390" s="14">
        <f>IF(ActiveDatabase=Standby,Secondary!I1390,Primary!I2048)</f>
        <v>0</v>
      </c>
      <c r="J1390" s="14">
        <f>IF(ActiveDatabase=Standby,Secondary!J1390,Primary!J2048)</f>
        <v>0</v>
      </c>
      <c r="K1390" s="14">
        <f>IF(ActiveDatabase=Standby,Secondary!K1390,Primary!K2048)</f>
        <v>0</v>
      </c>
      <c r="L1390" s="14">
        <f>IF(ActiveDatabase=Standby,Secondary!L1390,Primary!L2048)</f>
        <v>0</v>
      </c>
      <c r="M1390" s="7">
        <f>IF(ActiveDatabase=Standby,Secondary!M1390,Primary!M2048)</f>
        <v>0</v>
      </c>
      <c r="N1390" s="8">
        <f>IF(ActiveDatabase=Standby,Secondary!N1390,Primary!N2048)</f>
        <v>0</v>
      </c>
      <c r="O1390" s="8">
        <f>IF(ActiveDatabase=Standby,Secondary!O1390,Primary!O2048)</f>
        <v>0</v>
      </c>
      <c r="P1390" s="8">
        <f>IF(ActiveDatabase=Standby,Secondary!P1390,Primary!P2048)</f>
        <v>0</v>
      </c>
      <c r="Q1390" s="7">
        <f>IF(ActiveDatabase=Standby,Secondary!Q1390,Primary!Q2048)</f>
        <v>0</v>
      </c>
      <c r="R1390" s="16">
        <f>IF(ActiveDatabase=Standby,Secondary!R1390,Primary!R2048)</f>
        <v>0</v>
      </c>
      <c r="S1390" s="17">
        <f>IF(ActiveDatabase=Standby,Secondary!S1390,Primary!S2048)</f>
        <v>0</v>
      </c>
      <c r="T1390" s="8">
        <f>IF(ActiveDatabase=Standby,Secondary!T1390,Primary!T2048)</f>
        <v>0</v>
      </c>
      <c r="U1390" s="8">
        <f>IF(ActiveDatabase=Standby,Secondary!U1390,Primary!U2048)</f>
        <v>0</v>
      </c>
      <c r="V1390" s="8">
        <f>IF(ActiveDatabase=Standby,Secondary!V1390,Primary!V2048)</f>
        <v>0</v>
      </c>
      <c r="W1390" s="7">
        <f>IF(ActiveDatabase=Standby,Secondary!W1390,Primary!W2048)</f>
        <v>0</v>
      </c>
      <c r="X1390" s="7">
        <f>IF(ActiveDatabase=Standby,Secondary!X1390,Primary!X2048)</f>
        <v>0</v>
      </c>
      <c r="Y1390" s="7">
        <f>IF(ActiveDatabase=Standby,Secondary!Y1390,Primary!Y2048)</f>
        <v>0</v>
      </c>
      <c r="Z1390" s="7">
        <f>IF(ActiveDatabase=Standby,Secondary!Z1390,Primary!Z2048)</f>
        <v>0</v>
      </c>
      <c r="AA1390" s="7">
        <f>IF(ActiveDatabase=Standby,Secondary!AA1390,Primary!AA2048)</f>
        <v>0</v>
      </c>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7"/>
      <c r="BB1390" s="7"/>
      <c r="BC1390" s="7"/>
      <c r="BD1390" s="7"/>
      <c r="BE1390" s="7"/>
      <c r="BF1390" s="7"/>
      <c r="BG1390" s="7"/>
    </row>
    <row r="1391" customHeight="1" spans="1:59">
      <c r="A1391" s="9">
        <f>IF(ActiveDatabase=Standby,Secondary!A1391,Primary!A2049)</f>
        <v>0</v>
      </c>
      <c r="B1391" s="5">
        <f>IF(ActiveDatabase=Standby,Secondary!B1391,Primary!B2049)</f>
        <v>0</v>
      </c>
      <c r="C1391" s="5">
        <f>IF(ActiveDatabase=Standby,Secondary!C1391,Primary!C2049)</f>
        <v>0</v>
      </c>
      <c r="D1391" s="5">
        <f>IF(ActiveDatabase=Standby,Secondary!D1391,Primary!D2049)</f>
        <v>0</v>
      </c>
      <c r="E1391" s="7">
        <f>IF(ActiveDatabase=Standby,Secondary!E1391,Primary!E2049)</f>
        <v>0</v>
      </c>
      <c r="F1391" s="8">
        <f>IF(ActiveDatabase=Standby,Secondary!F1391,Primary!F2049)</f>
        <v>0</v>
      </c>
      <c r="G1391" s="8">
        <f>IF(ActiveDatabase=Standby,Secondary!G1391,Primary!G2049)</f>
        <v>0</v>
      </c>
      <c r="H1391" s="8">
        <f>IF(ActiveDatabase=Standby,Secondary!H1391,Primary!H2049)</f>
        <v>0</v>
      </c>
      <c r="I1391" s="14">
        <f>IF(ActiveDatabase=Standby,Secondary!I1391,Primary!I2049)</f>
        <v>0</v>
      </c>
      <c r="J1391" s="14">
        <f>IF(ActiveDatabase=Standby,Secondary!J1391,Primary!J2049)</f>
        <v>0</v>
      </c>
      <c r="K1391" s="14">
        <f>IF(ActiveDatabase=Standby,Secondary!K1391,Primary!K2049)</f>
        <v>0</v>
      </c>
      <c r="L1391" s="14">
        <f>IF(ActiveDatabase=Standby,Secondary!L1391,Primary!L2049)</f>
        <v>0</v>
      </c>
      <c r="M1391" s="7">
        <f>IF(ActiveDatabase=Standby,Secondary!M1391,Primary!M2049)</f>
        <v>0</v>
      </c>
      <c r="N1391" s="8">
        <f>IF(ActiveDatabase=Standby,Secondary!N1391,Primary!N2049)</f>
        <v>0</v>
      </c>
      <c r="O1391" s="8">
        <f>IF(ActiveDatabase=Standby,Secondary!O1391,Primary!O2049)</f>
        <v>0</v>
      </c>
      <c r="P1391" s="8">
        <f>IF(ActiveDatabase=Standby,Secondary!P1391,Primary!P2049)</f>
        <v>0</v>
      </c>
      <c r="Q1391" s="7">
        <f>IF(ActiveDatabase=Standby,Secondary!Q1391,Primary!Q2049)</f>
        <v>0</v>
      </c>
      <c r="R1391" s="16">
        <f>IF(ActiveDatabase=Standby,Secondary!R1391,Primary!R2049)</f>
        <v>0</v>
      </c>
      <c r="S1391" s="17">
        <f>IF(ActiveDatabase=Standby,Secondary!S1391,Primary!S2049)</f>
        <v>0</v>
      </c>
      <c r="T1391" s="8">
        <f>IF(ActiveDatabase=Standby,Secondary!T1391,Primary!T2049)</f>
        <v>0</v>
      </c>
      <c r="U1391" s="8">
        <f>IF(ActiveDatabase=Standby,Secondary!U1391,Primary!U2049)</f>
        <v>0</v>
      </c>
      <c r="V1391" s="8">
        <f>IF(ActiveDatabase=Standby,Secondary!V1391,Primary!V2049)</f>
        <v>0</v>
      </c>
      <c r="W1391" s="7">
        <f>IF(ActiveDatabase=Standby,Secondary!W1391,Primary!W2049)</f>
        <v>0</v>
      </c>
      <c r="X1391" s="7">
        <f>IF(ActiveDatabase=Standby,Secondary!X1391,Primary!X2049)</f>
        <v>0</v>
      </c>
      <c r="Y1391" s="7">
        <f>IF(ActiveDatabase=Standby,Secondary!Y1391,Primary!Y2049)</f>
        <v>0</v>
      </c>
      <c r="Z1391" s="7">
        <f>IF(ActiveDatabase=Standby,Secondary!Z1391,Primary!Z2049)</f>
        <v>0</v>
      </c>
      <c r="AA1391" s="7">
        <f>IF(ActiveDatabase=Standby,Secondary!AA1391,Primary!AA2049)</f>
        <v>0</v>
      </c>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c r="AX1391" s="7"/>
      <c r="AY1391" s="7"/>
      <c r="AZ1391" s="7"/>
      <c r="BA1391" s="7"/>
      <c r="BB1391" s="7"/>
      <c r="BC1391" s="7"/>
      <c r="BD1391" s="7"/>
      <c r="BE1391" s="7"/>
      <c r="BF1391" s="7"/>
      <c r="BG1391" s="7"/>
    </row>
    <row r="1392" customHeight="1" spans="1:59">
      <c r="A1392" s="9">
        <f>IF(ActiveDatabase=Standby,Secondary!A1392,Primary!A2050)</f>
        <v>0</v>
      </c>
      <c r="B1392" s="5">
        <f>IF(ActiveDatabase=Standby,Secondary!B1392,Primary!B2050)</f>
        <v>0</v>
      </c>
      <c r="C1392" s="5">
        <f>IF(ActiveDatabase=Standby,Secondary!C1392,Primary!C2050)</f>
        <v>0</v>
      </c>
      <c r="D1392" s="5">
        <f>IF(ActiveDatabase=Standby,Secondary!D1392,Primary!D2050)</f>
        <v>0</v>
      </c>
      <c r="E1392" s="7">
        <f>IF(ActiveDatabase=Standby,Secondary!E1392,Primary!E2050)</f>
        <v>0</v>
      </c>
      <c r="F1392" s="8">
        <f>IF(ActiveDatabase=Standby,Secondary!F1392,Primary!F2050)</f>
        <v>0</v>
      </c>
      <c r="G1392" s="8">
        <f>IF(ActiveDatabase=Standby,Secondary!G1392,Primary!G2050)</f>
        <v>0</v>
      </c>
      <c r="H1392" s="8">
        <f>IF(ActiveDatabase=Standby,Secondary!H1392,Primary!H2050)</f>
        <v>0</v>
      </c>
      <c r="I1392" s="14">
        <f>IF(ActiveDatabase=Standby,Secondary!I1392,Primary!I2050)</f>
        <v>0</v>
      </c>
      <c r="J1392" s="14">
        <f>IF(ActiveDatabase=Standby,Secondary!J1392,Primary!J2050)</f>
        <v>0</v>
      </c>
      <c r="K1392" s="14">
        <f>IF(ActiveDatabase=Standby,Secondary!K1392,Primary!K2050)</f>
        <v>0</v>
      </c>
      <c r="L1392" s="14">
        <f>IF(ActiveDatabase=Standby,Secondary!L1392,Primary!L2050)</f>
        <v>0</v>
      </c>
      <c r="M1392" s="7">
        <f>IF(ActiveDatabase=Standby,Secondary!M1392,Primary!M2050)</f>
        <v>0</v>
      </c>
      <c r="N1392" s="8">
        <f>IF(ActiveDatabase=Standby,Secondary!N1392,Primary!N2050)</f>
        <v>0</v>
      </c>
      <c r="O1392" s="8">
        <f>IF(ActiveDatabase=Standby,Secondary!O1392,Primary!O2050)</f>
        <v>0</v>
      </c>
      <c r="P1392" s="8">
        <f>IF(ActiveDatabase=Standby,Secondary!P1392,Primary!P2050)</f>
        <v>0</v>
      </c>
      <c r="Q1392" s="7">
        <f>IF(ActiveDatabase=Standby,Secondary!Q1392,Primary!Q2050)</f>
        <v>0</v>
      </c>
      <c r="R1392" s="16">
        <f>IF(ActiveDatabase=Standby,Secondary!R1392,Primary!R2050)</f>
        <v>0</v>
      </c>
      <c r="S1392" s="17">
        <f>IF(ActiveDatabase=Standby,Secondary!S1392,Primary!S2050)</f>
        <v>0</v>
      </c>
      <c r="T1392" s="8">
        <f>IF(ActiveDatabase=Standby,Secondary!T1392,Primary!T2050)</f>
        <v>0</v>
      </c>
      <c r="U1392" s="8">
        <f>IF(ActiveDatabase=Standby,Secondary!U1392,Primary!U2050)</f>
        <v>0</v>
      </c>
      <c r="V1392" s="8">
        <f>IF(ActiveDatabase=Standby,Secondary!V1392,Primary!V2050)</f>
        <v>0</v>
      </c>
      <c r="W1392" s="7">
        <f>IF(ActiveDatabase=Standby,Secondary!W1392,Primary!W2050)</f>
        <v>0</v>
      </c>
      <c r="X1392" s="7">
        <f>IF(ActiveDatabase=Standby,Secondary!X1392,Primary!X2050)</f>
        <v>0</v>
      </c>
      <c r="Y1392" s="7">
        <f>IF(ActiveDatabase=Standby,Secondary!Y1392,Primary!Y2050)</f>
        <v>0</v>
      </c>
      <c r="Z1392" s="7">
        <f>IF(ActiveDatabase=Standby,Secondary!Z1392,Primary!Z2050)</f>
        <v>0</v>
      </c>
      <c r="AA1392" s="7">
        <f>IF(ActiveDatabase=Standby,Secondary!AA1392,Primary!AA2050)</f>
        <v>0</v>
      </c>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c r="AX1392" s="7"/>
      <c r="AY1392" s="7"/>
      <c r="AZ1392" s="7"/>
      <c r="BA1392" s="7"/>
      <c r="BB1392" s="7"/>
      <c r="BC1392" s="7"/>
      <c r="BD1392" s="7"/>
      <c r="BE1392" s="7"/>
      <c r="BF1392" s="7"/>
      <c r="BG1392" s="7"/>
    </row>
    <row r="1393" customHeight="1" spans="1:59">
      <c r="A1393" s="9">
        <f>IF(ActiveDatabase=Standby,Secondary!A1393,Primary!A2051)</f>
        <v>0</v>
      </c>
      <c r="B1393" s="5">
        <f>IF(ActiveDatabase=Standby,Secondary!B1393,Primary!B2051)</f>
        <v>0</v>
      </c>
      <c r="C1393" s="5">
        <f>IF(ActiveDatabase=Standby,Secondary!C1393,Primary!C2051)</f>
        <v>0</v>
      </c>
      <c r="D1393" s="5">
        <f>IF(ActiveDatabase=Standby,Secondary!D1393,Primary!D2051)</f>
        <v>0</v>
      </c>
      <c r="E1393" s="7">
        <f>IF(ActiveDatabase=Standby,Secondary!E1393,Primary!E2051)</f>
        <v>0</v>
      </c>
      <c r="F1393" s="8">
        <f>IF(ActiveDatabase=Standby,Secondary!F1393,Primary!F2051)</f>
        <v>0</v>
      </c>
      <c r="G1393" s="8">
        <f>IF(ActiveDatabase=Standby,Secondary!G1393,Primary!G2051)</f>
        <v>0</v>
      </c>
      <c r="H1393" s="8">
        <f>IF(ActiveDatabase=Standby,Secondary!H1393,Primary!H2051)</f>
        <v>0</v>
      </c>
      <c r="I1393" s="14">
        <f>IF(ActiveDatabase=Standby,Secondary!I1393,Primary!I2051)</f>
        <v>0</v>
      </c>
      <c r="J1393" s="14">
        <f>IF(ActiveDatabase=Standby,Secondary!J1393,Primary!J2051)</f>
        <v>0</v>
      </c>
      <c r="K1393" s="14">
        <f>IF(ActiveDatabase=Standby,Secondary!K1393,Primary!K2051)</f>
        <v>0</v>
      </c>
      <c r="L1393" s="14">
        <f>IF(ActiveDatabase=Standby,Secondary!L1393,Primary!L2051)</f>
        <v>0</v>
      </c>
      <c r="M1393" s="7">
        <f>IF(ActiveDatabase=Standby,Secondary!M1393,Primary!M2051)</f>
        <v>0</v>
      </c>
      <c r="N1393" s="8">
        <f>IF(ActiveDatabase=Standby,Secondary!N1393,Primary!N2051)</f>
        <v>0</v>
      </c>
      <c r="O1393" s="8">
        <f>IF(ActiveDatabase=Standby,Secondary!O1393,Primary!O2051)</f>
        <v>0</v>
      </c>
      <c r="P1393" s="8">
        <f>IF(ActiveDatabase=Standby,Secondary!P1393,Primary!P2051)</f>
        <v>0</v>
      </c>
      <c r="Q1393" s="7">
        <f>IF(ActiveDatabase=Standby,Secondary!Q1393,Primary!Q2051)</f>
        <v>0</v>
      </c>
      <c r="R1393" s="16">
        <f>IF(ActiveDatabase=Standby,Secondary!R1393,Primary!R2051)</f>
        <v>0</v>
      </c>
      <c r="S1393" s="17">
        <f>IF(ActiveDatabase=Standby,Secondary!S1393,Primary!S2051)</f>
        <v>0</v>
      </c>
      <c r="T1393" s="8">
        <f>IF(ActiveDatabase=Standby,Secondary!T1393,Primary!T2051)</f>
        <v>0</v>
      </c>
      <c r="U1393" s="8">
        <f>IF(ActiveDatabase=Standby,Secondary!U1393,Primary!U2051)</f>
        <v>0</v>
      </c>
      <c r="V1393" s="8">
        <f>IF(ActiveDatabase=Standby,Secondary!V1393,Primary!V2051)</f>
        <v>0</v>
      </c>
      <c r="W1393" s="7">
        <f>IF(ActiveDatabase=Standby,Secondary!W1393,Primary!W2051)</f>
        <v>0</v>
      </c>
      <c r="X1393" s="7">
        <f>IF(ActiveDatabase=Standby,Secondary!X1393,Primary!X2051)</f>
        <v>0</v>
      </c>
      <c r="Y1393" s="7">
        <f>IF(ActiveDatabase=Standby,Secondary!Y1393,Primary!Y2051)</f>
        <v>0</v>
      </c>
      <c r="Z1393" s="7">
        <f>IF(ActiveDatabase=Standby,Secondary!Z1393,Primary!Z2051)</f>
        <v>0</v>
      </c>
      <c r="AA1393" s="7">
        <f>IF(ActiveDatabase=Standby,Secondary!AA1393,Primary!AA2051)</f>
        <v>0</v>
      </c>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c r="AX1393" s="7"/>
      <c r="AY1393" s="7"/>
      <c r="AZ1393" s="7"/>
      <c r="BA1393" s="7"/>
      <c r="BB1393" s="7"/>
      <c r="BC1393" s="7"/>
      <c r="BD1393" s="7"/>
      <c r="BE1393" s="7"/>
      <c r="BF1393" s="7"/>
      <c r="BG1393" s="7"/>
    </row>
    <row r="1394" customHeight="1" spans="1:59">
      <c r="A1394" s="9">
        <f>IF(ActiveDatabase=Standby,Secondary!A1394,Primary!A2052)</f>
        <v>0</v>
      </c>
      <c r="B1394" s="5">
        <f>IF(ActiveDatabase=Standby,Secondary!B1394,Primary!B2052)</f>
        <v>0</v>
      </c>
      <c r="C1394" s="5">
        <f>IF(ActiveDatabase=Standby,Secondary!C1394,Primary!C2052)</f>
        <v>0</v>
      </c>
      <c r="D1394" s="5">
        <f>IF(ActiveDatabase=Standby,Secondary!D1394,Primary!D2052)</f>
        <v>0</v>
      </c>
      <c r="E1394" s="7">
        <f>IF(ActiveDatabase=Standby,Secondary!E1394,Primary!E2052)</f>
        <v>0</v>
      </c>
      <c r="F1394" s="8">
        <f>IF(ActiveDatabase=Standby,Secondary!F1394,Primary!F2052)</f>
        <v>0</v>
      </c>
      <c r="G1394" s="8">
        <f>IF(ActiveDatabase=Standby,Secondary!G1394,Primary!G2052)</f>
        <v>0</v>
      </c>
      <c r="H1394" s="8">
        <f>IF(ActiveDatabase=Standby,Secondary!H1394,Primary!H2052)</f>
        <v>0</v>
      </c>
      <c r="I1394" s="14">
        <f>IF(ActiveDatabase=Standby,Secondary!I1394,Primary!I2052)</f>
        <v>0</v>
      </c>
      <c r="J1394" s="14">
        <f>IF(ActiveDatabase=Standby,Secondary!J1394,Primary!J2052)</f>
        <v>0</v>
      </c>
      <c r="K1394" s="14">
        <f>IF(ActiveDatabase=Standby,Secondary!K1394,Primary!K2052)</f>
        <v>0</v>
      </c>
      <c r="L1394" s="14">
        <f>IF(ActiveDatabase=Standby,Secondary!L1394,Primary!L2052)</f>
        <v>0</v>
      </c>
      <c r="M1394" s="7">
        <f>IF(ActiveDatabase=Standby,Secondary!M1394,Primary!M2052)</f>
        <v>0</v>
      </c>
      <c r="N1394" s="8">
        <f>IF(ActiveDatabase=Standby,Secondary!N1394,Primary!N2052)</f>
        <v>0</v>
      </c>
      <c r="O1394" s="8">
        <f>IF(ActiveDatabase=Standby,Secondary!O1394,Primary!O2052)</f>
        <v>0</v>
      </c>
      <c r="P1394" s="8">
        <f>IF(ActiveDatabase=Standby,Secondary!P1394,Primary!P2052)</f>
        <v>0</v>
      </c>
      <c r="Q1394" s="7">
        <f>IF(ActiveDatabase=Standby,Secondary!Q1394,Primary!Q2052)</f>
        <v>0</v>
      </c>
      <c r="R1394" s="16">
        <f>IF(ActiveDatabase=Standby,Secondary!R1394,Primary!R2052)</f>
        <v>0</v>
      </c>
      <c r="S1394" s="17">
        <f>IF(ActiveDatabase=Standby,Secondary!S1394,Primary!S2052)</f>
        <v>0</v>
      </c>
      <c r="T1394" s="8">
        <f>IF(ActiveDatabase=Standby,Secondary!T1394,Primary!T2052)</f>
        <v>0</v>
      </c>
      <c r="U1394" s="8">
        <f>IF(ActiveDatabase=Standby,Secondary!U1394,Primary!U2052)</f>
        <v>0</v>
      </c>
      <c r="V1394" s="8">
        <f>IF(ActiveDatabase=Standby,Secondary!V1394,Primary!V2052)</f>
        <v>0</v>
      </c>
      <c r="W1394" s="7">
        <f>IF(ActiveDatabase=Standby,Secondary!W1394,Primary!W2052)</f>
        <v>0</v>
      </c>
      <c r="X1394" s="7">
        <f>IF(ActiveDatabase=Standby,Secondary!X1394,Primary!X2052)</f>
        <v>0</v>
      </c>
      <c r="Y1394" s="7">
        <f>IF(ActiveDatabase=Standby,Secondary!Y1394,Primary!Y2052)</f>
        <v>0</v>
      </c>
      <c r="Z1394" s="7">
        <f>IF(ActiveDatabase=Standby,Secondary!Z1394,Primary!Z2052)</f>
        <v>0</v>
      </c>
      <c r="AA1394" s="7">
        <f>IF(ActiveDatabase=Standby,Secondary!AA1394,Primary!AA2052)</f>
        <v>0</v>
      </c>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c r="AX1394" s="7"/>
      <c r="AY1394" s="7"/>
      <c r="AZ1394" s="7"/>
      <c r="BA1394" s="7"/>
      <c r="BB1394" s="7"/>
      <c r="BC1394" s="7"/>
      <c r="BD1394" s="7"/>
      <c r="BE1394" s="7"/>
      <c r="BF1394" s="7"/>
      <c r="BG1394" s="7"/>
    </row>
    <row r="1395" customHeight="1" spans="1:59">
      <c r="A1395" s="9">
        <f>IF(ActiveDatabase=Standby,Secondary!A1395,Primary!A2053)</f>
        <v>0</v>
      </c>
      <c r="B1395" s="5">
        <f>IF(ActiveDatabase=Standby,Secondary!B1395,Primary!B2053)</f>
        <v>0</v>
      </c>
      <c r="C1395" s="5">
        <f>IF(ActiveDatabase=Standby,Secondary!C1395,Primary!C2053)</f>
        <v>0</v>
      </c>
      <c r="D1395" s="5">
        <f>IF(ActiveDatabase=Standby,Secondary!D1395,Primary!D2053)</f>
        <v>0</v>
      </c>
      <c r="E1395" s="7">
        <f>IF(ActiveDatabase=Standby,Secondary!E1395,Primary!E2053)</f>
        <v>0</v>
      </c>
      <c r="F1395" s="8">
        <f>IF(ActiveDatabase=Standby,Secondary!F1395,Primary!F2053)</f>
        <v>0</v>
      </c>
      <c r="G1395" s="8">
        <f>IF(ActiveDatabase=Standby,Secondary!G1395,Primary!G2053)</f>
        <v>0</v>
      </c>
      <c r="H1395" s="8">
        <f>IF(ActiveDatabase=Standby,Secondary!H1395,Primary!H2053)</f>
        <v>0</v>
      </c>
      <c r="I1395" s="14">
        <f>IF(ActiveDatabase=Standby,Secondary!I1395,Primary!I2053)</f>
        <v>0</v>
      </c>
      <c r="J1395" s="14">
        <f>IF(ActiveDatabase=Standby,Secondary!J1395,Primary!J2053)</f>
        <v>0</v>
      </c>
      <c r="K1395" s="14">
        <f>IF(ActiveDatabase=Standby,Secondary!K1395,Primary!K2053)</f>
        <v>0</v>
      </c>
      <c r="L1395" s="14">
        <f>IF(ActiveDatabase=Standby,Secondary!L1395,Primary!L2053)</f>
        <v>0</v>
      </c>
      <c r="M1395" s="7">
        <f>IF(ActiveDatabase=Standby,Secondary!M1395,Primary!M2053)</f>
        <v>0</v>
      </c>
      <c r="N1395" s="8">
        <f>IF(ActiveDatabase=Standby,Secondary!N1395,Primary!N2053)</f>
        <v>0</v>
      </c>
      <c r="O1395" s="8">
        <f>IF(ActiveDatabase=Standby,Secondary!O1395,Primary!O2053)</f>
        <v>0</v>
      </c>
      <c r="P1395" s="8">
        <f>IF(ActiveDatabase=Standby,Secondary!P1395,Primary!P2053)</f>
        <v>0</v>
      </c>
      <c r="Q1395" s="7">
        <f>IF(ActiveDatabase=Standby,Secondary!Q1395,Primary!Q2053)</f>
        <v>0</v>
      </c>
      <c r="R1395" s="16">
        <f>IF(ActiveDatabase=Standby,Secondary!R1395,Primary!R2053)</f>
        <v>0</v>
      </c>
      <c r="S1395" s="17">
        <f>IF(ActiveDatabase=Standby,Secondary!S1395,Primary!S2053)</f>
        <v>0</v>
      </c>
      <c r="T1395" s="8">
        <f>IF(ActiveDatabase=Standby,Secondary!T1395,Primary!T2053)</f>
        <v>0</v>
      </c>
      <c r="U1395" s="8">
        <f>IF(ActiveDatabase=Standby,Secondary!U1395,Primary!U2053)</f>
        <v>0</v>
      </c>
      <c r="V1395" s="8">
        <f>IF(ActiveDatabase=Standby,Secondary!V1395,Primary!V2053)</f>
        <v>0</v>
      </c>
      <c r="W1395" s="7">
        <f>IF(ActiveDatabase=Standby,Secondary!W1395,Primary!W2053)</f>
        <v>0</v>
      </c>
      <c r="X1395" s="7">
        <f>IF(ActiveDatabase=Standby,Secondary!X1395,Primary!X2053)</f>
        <v>0</v>
      </c>
      <c r="Y1395" s="7">
        <f>IF(ActiveDatabase=Standby,Secondary!Y1395,Primary!Y2053)</f>
        <v>0</v>
      </c>
      <c r="Z1395" s="7">
        <f>IF(ActiveDatabase=Standby,Secondary!Z1395,Primary!Z2053)</f>
        <v>0</v>
      </c>
      <c r="AA1395" s="7">
        <f>IF(ActiveDatabase=Standby,Secondary!AA1395,Primary!AA2053)</f>
        <v>0</v>
      </c>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c r="AX1395" s="7"/>
      <c r="AY1395" s="7"/>
      <c r="AZ1395" s="7"/>
      <c r="BA1395" s="7"/>
      <c r="BB1395" s="7"/>
      <c r="BC1395" s="7"/>
      <c r="BD1395" s="7"/>
      <c r="BE1395" s="7"/>
      <c r="BF1395" s="7"/>
      <c r="BG1395" s="7"/>
    </row>
    <row r="1396" customHeight="1" spans="1:59">
      <c r="A1396" s="9">
        <f>IF(ActiveDatabase=Standby,Secondary!A1396,Primary!A2054)</f>
        <v>0</v>
      </c>
      <c r="B1396" s="5">
        <f>IF(ActiveDatabase=Standby,Secondary!B1396,Primary!B2054)</f>
        <v>0</v>
      </c>
      <c r="C1396" s="5">
        <f>IF(ActiveDatabase=Standby,Secondary!C1396,Primary!C2054)</f>
        <v>0</v>
      </c>
      <c r="D1396" s="5">
        <f>IF(ActiveDatabase=Standby,Secondary!D1396,Primary!D2054)</f>
        <v>0</v>
      </c>
      <c r="E1396" s="7">
        <f>IF(ActiveDatabase=Standby,Secondary!E1396,Primary!E2054)</f>
        <v>0</v>
      </c>
      <c r="F1396" s="8">
        <f>IF(ActiveDatabase=Standby,Secondary!F1396,Primary!F2054)</f>
        <v>0</v>
      </c>
      <c r="G1396" s="8">
        <f>IF(ActiveDatabase=Standby,Secondary!G1396,Primary!G2054)</f>
        <v>0</v>
      </c>
      <c r="H1396" s="8">
        <f>IF(ActiveDatabase=Standby,Secondary!H1396,Primary!H2054)</f>
        <v>0</v>
      </c>
      <c r="I1396" s="14">
        <f>IF(ActiveDatabase=Standby,Secondary!I1396,Primary!I2054)</f>
        <v>0</v>
      </c>
      <c r="J1396" s="14">
        <f>IF(ActiveDatabase=Standby,Secondary!J1396,Primary!J2054)</f>
        <v>0</v>
      </c>
      <c r="K1396" s="14">
        <f>IF(ActiveDatabase=Standby,Secondary!K1396,Primary!K2054)</f>
        <v>0</v>
      </c>
      <c r="L1396" s="14">
        <f>IF(ActiveDatabase=Standby,Secondary!L1396,Primary!L2054)</f>
        <v>0</v>
      </c>
      <c r="M1396" s="7">
        <f>IF(ActiveDatabase=Standby,Secondary!M1396,Primary!M2054)</f>
        <v>0</v>
      </c>
      <c r="N1396" s="8">
        <f>IF(ActiveDatabase=Standby,Secondary!N1396,Primary!N2054)</f>
        <v>0</v>
      </c>
      <c r="O1396" s="8">
        <f>IF(ActiveDatabase=Standby,Secondary!O1396,Primary!O2054)</f>
        <v>0</v>
      </c>
      <c r="P1396" s="8">
        <f>IF(ActiveDatabase=Standby,Secondary!P1396,Primary!P2054)</f>
        <v>0</v>
      </c>
      <c r="Q1396" s="7">
        <f>IF(ActiveDatabase=Standby,Secondary!Q1396,Primary!Q2054)</f>
        <v>0</v>
      </c>
      <c r="R1396" s="16">
        <f>IF(ActiveDatabase=Standby,Secondary!R1396,Primary!R2054)</f>
        <v>0</v>
      </c>
      <c r="S1396" s="17">
        <f>IF(ActiveDatabase=Standby,Secondary!S1396,Primary!S2054)</f>
        <v>0</v>
      </c>
      <c r="T1396" s="8">
        <f>IF(ActiveDatabase=Standby,Secondary!T1396,Primary!T2054)</f>
        <v>0</v>
      </c>
      <c r="U1396" s="8">
        <f>IF(ActiveDatabase=Standby,Secondary!U1396,Primary!U2054)</f>
        <v>0</v>
      </c>
      <c r="V1396" s="8">
        <f>IF(ActiveDatabase=Standby,Secondary!V1396,Primary!V2054)</f>
        <v>0</v>
      </c>
      <c r="W1396" s="7">
        <f>IF(ActiveDatabase=Standby,Secondary!W1396,Primary!W2054)</f>
        <v>0</v>
      </c>
      <c r="X1396" s="7">
        <f>IF(ActiveDatabase=Standby,Secondary!X1396,Primary!X2054)</f>
        <v>0</v>
      </c>
      <c r="Y1396" s="7">
        <f>IF(ActiveDatabase=Standby,Secondary!Y1396,Primary!Y2054)</f>
        <v>0</v>
      </c>
      <c r="Z1396" s="7">
        <f>IF(ActiveDatabase=Standby,Secondary!Z1396,Primary!Z2054)</f>
        <v>0</v>
      </c>
      <c r="AA1396" s="7">
        <f>IF(ActiveDatabase=Standby,Secondary!AA1396,Primary!AA2054)</f>
        <v>0</v>
      </c>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7"/>
      <c r="BD1396" s="7"/>
      <c r="BE1396" s="7"/>
      <c r="BF1396" s="7"/>
      <c r="BG1396" s="7"/>
    </row>
    <row r="1397" customHeight="1" spans="1:59">
      <c r="A1397" s="9">
        <f>IF(ActiveDatabase=Standby,Secondary!A1397,Primary!A2055)</f>
        <v>0</v>
      </c>
      <c r="B1397" s="5">
        <f>IF(ActiveDatabase=Standby,Secondary!B1397,Primary!B2055)</f>
        <v>0</v>
      </c>
      <c r="C1397" s="5">
        <f>IF(ActiveDatabase=Standby,Secondary!C1397,Primary!C2055)</f>
        <v>0</v>
      </c>
      <c r="D1397" s="5">
        <f>IF(ActiveDatabase=Standby,Secondary!D1397,Primary!D2055)</f>
        <v>0</v>
      </c>
      <c r="E1397" s="7">
        <f>IF(ActiveDatabase=Standby,Secondary!E1397,Primary!E2055)</f>
        <v>0</v>
      </c>
      <c r="F1397" s="8">
        <f>IF(ActiveDatabase=Standby,Secondary!F1397,Primary!F2055)</f>
        <v>0</v>
      </c>
      <c r="G1397" s="8">
        <f>IF(ActiveDatabase=Standby,Secondary!G1397,Primary!G2055)</f>
        <v>0</v>
      </c>
      <c r="H1397" s="8">
        <f>IF(ActiveDatabase=Standby,Secondary!H1397,Primary!H2055)</f>
        <v>0</v>
      </c>
      <c r="I1397" s="14">
        <f>IF(ActiveDatabase=Standby,Secondary!I1397,Primary!I2055)</f>
        <v>0</v>
      </c>
      <c r="J1397" s="14">
        <f>IF(ActiveDatabase=Standby,Secondary!J1397,Primary!J2055)</f>
        <v>0</v>
      </c>
      <c r="K1397" s="14">
        <f>IF(ActiveDatabase=Standby,Secondary!K1397,Primary!K2055)</f>
        <v>0</v>
      </c>
      <c r="L1397" s="14">
        <f>IF(ActiveDatabase=Standby,Secondary!L1397,Primary!L2055)</f>
        <v>0</v>
      </c>
      <c r="M1397" s="7">
        <f>IF(ActiveDatabase=Standby,Secondary!M1397,Primary!M2055)</f>
        <v>0</v>
      </c>
      <c r="N1397" s="8">
        <f>IF(ActiveDatabase=Standby,Secondary!N1397,Primary!N2055)</f>
        <v>0</v>
      </c>
      <c r="O1397" s="8">
        <f>IF(ActiveDatabase=Standby,Secondary!O1397,Primary!O2055)</f>
        <v>0</v>
      </c>
      <c r="P1397" s="8">
        <f>IF(ActiveDatabase=Standby,Secondary!P1397,Primary!P2055)</f>
        <v>0</v>
      </c>
      <c r="Q1397" s="7">
        <f>IF(ActiveDatabase=Standby,Secondary!Q1397,Primary!Q2055)</f>
        <v>0</v>
      </c>
      <c r="R1397" s="16">
        <f>IF(ActiveDatabase=Standby,Secondary!R1397,Primary!R2055)</f>
        <v>0</v>
      </c>
      <c r="S1397" s="17">
        <f>IF(ActiveDatabase=Standby,Secondary!S1397,Primary!S2055)</f>
        <v>0</v>
      </c>
      <c r="T1397" s="8">
        <f>IF(ActiveDatabase=Standby,Secondary!T1397,Primary!T2055)</f>
        <v>0</v>
      </c>
      <c r="U1397" s="8">
        <f>IF(ActiveDatabase=Standby,Secondary!U1397,Primary!U2055)</f>
        <v>0</v>
      </c>
      <c r="V1397" s="8">
        <f>IF(ActiveDatabase=Standby,Secondary!V1397,Primary!V2055)</f>
        <v>0</v>
      </c>
      <c r="W1397" s="7">
        <f>IF(ActiveDatabase=Standby,Secondary!W1397,Primary!W2055)</f>
        <v>0</v>
      </c>
      <c r="X1397" s="7">
        <f>IF(ActiveDatabase=Standby,Secondary!X1397,Primary!X2055)</f>
        <v>0</v>
      </c>
      <c r="Y1397" s="7">
        <f>IF(ActiveDatabase=Standby,Secondary!Y1397,Primary!Y2055)</f>
        <v>0</v>
      </c>
      <c r="Z1397" s="7">
        <f>IF(ActiveDatabase=Standby,Secondary!Z1397,Primary!Z2055)</f>
        <v>0</v>
      </c>
      <c r="AA1397" s="7">
        <f>IF(ActiveDatabase=Standby,Secondary!AA1397,Primary!AA2055)</f>
        <v>0</v>
      </c>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c r="AX1397" s="7"/>
      <c r="AY1397" s="7"/>
      <c r="AZ1397" s="7"/>
      <c r="BA1397" s="7"/>
      <c r="BB1397" s="7"/>
      <c r="BC1397" s="7"/>
      <c r="BD1397" s="7"/>
      <c r="BE1397" s="7"/>
      <c r="BF1397" s="7"/>
      <c r="BG1397" s="7"/>
    </row>
    <row r="1398" customHeight="1" spans="1:59">
      <c r="A1398" s="9">
        <f>IF(ActiveDatabase=Standby,Secondary!A1398,Primary!A2056)</f>
        <v>0</v>
      </c>
      <c r="B1398" s="5">
        <f>IF(ActiveDatabase=Standby,Secondary!B1398,Primary!B2056)</f>
        <v>0</v>
      </c>
      <c r="C1398" s="5">
        <f>IF(ActiveDatabase=Standby,Secondary!C1398,Primary!C2056)</f>
        <v>0</v>
      </c>
      <c r="D1398" s="5">
        <f>IF(ActiveDatabase=Standby,Secondary!D1398,Primary!D2056)</f>
        <v>0</v>
      </c>
      <c r="E1398" s="7">
        <f>IF(ActiveDatabase=Standby,Secondary!E1398,Primary!E2056)</f>
        <v>0</v>
      </c>
      <c r="F1398" s="8">
        <f>IF(ActiveDatabase=Standby,Secondary!F1398,Primary!F2056)</f>
        <v>0</v>
      </c>
      <c r="G1398" s="8">
        <f>IF(ActiveDatabase=Standby,Secondary!G1398,Primary!G2056)</f>
        <v>0</v>
      </c>
      <c r="H1398" s="8">
        <f>IF(ActiveDatabase=Standby,Secondary!H1398,Primary!H2056)</f>
        <v>0</v>
      </c>
      <c r="I1398" s="14">
        <f>IF(ActiveDatabase=Standby,Secondary!I1398,Primary!I2056)</f>
        <v>0</v>
      </c>
      <c r="J1398" s="14">
        <f>IF(ActiveDatabase=Standby,Secondary!J1398,Primary!J2056)</f>
        <v>0</v>
      </c>
      <c r="K1398" s="14">
        <f>IF(ActiveDatabase=Standby,Secondary!K1398,Primary!K2056)</f>
        <v>0</v>
      </c>
      <c r="L1398" s="14">
        <f>IF(ActiveDatabase=Standby,Secondary!L1398,Primary!L2056)</f>
        <v>0</v>
      </c>
      <c r="M1398" s="7">
        <f>IF(ActiveDatabase=Standby,Secondary!M1398,Primary!M2056)</f>
        <v>0</v>
      </c>
      <c r="N1398" s="8">
        <f>IF(ActiveDatabase=Standby,Secondary!N1398,Primary!N2056)</f>
        <v>0</v>
      </c>
      <c r="O1398" s="8">
        <f>IF(ActiveDatabase=Standby,Secondary!O1398,Primary!O2056)</f>
        <v>0</v>
      </c>
      <c r="P1398" s="8">
        <f>IF(ActiveDatabase=Standby,Secondary!P1398,Primary!P2056)</f>
        <v>0</v>
      </c>
      <c r="Q1398" s="7">
        <f>IF(ActiveDatabase=Standby,Secondary!Q1398,Primary!Q2056)</f>
        <v>0</v>
      </c>
      <c r="R1398" s="16">
        <f>IF(ActiveDatabase=Standby,Secondary!R1398,Primary!R2056)</f>
        <v>0</v>
      </c>
      <c r="S1398" s="17">
        <f>IF(ActiveDatabase=Standby,Secondary!S1398,Primary!S2056)</f>
        <v>0</v>
      </c>
      <c r="T1398" s="8">
        <f>IF(ActiveDatabase=Standby,Secondary!T1398,Primary!T2056)</f>
        <v>0</v>
      </c>
      <c r="U1398" s="8">
        <f>IF(ActiveDatabase=Standby,Secondary!U1398,Primary!U2056)</f>
        <v>0</v>
      </c>
      <c r="V1398" s="8">
        <f>IF(ActiveDatabase=Standby,Secondary!V1398,Primary!V2056)</f>
        <v>0</v>
      </c>
      <c r="W1398" s="7">
        <f>IF(ActiveDatabase=Standby,Secondary!W1398,Primary!W2056)</f>
        <v>0</v>
      </c>
      <c r="X1398" s="7">
        <f>IF(ActiveDatabase=Standby,Secondary!X1398,Primary!X2056)</f>
        <v>0</v>
      </c>
      <c r="Y1398" s="7">
        <f>IF(ActiveDatabase=Standby,Secondary!Y1398,Primary!Y2056)</f>
        <v>0</v>
      </c>
      <c r="Z1398" s="7">
        <f>IF(ActiveDatabase=Standby,Secondary!Z1398,Primary!Z2056)</f>
        <v>0</v>
      </c>
      <c r="AA1398" s="7">
        <f>IF(ActiveDatabase=Standby,Secondary!AA1398,Primary!AA2056)</f>
        <v>0</v>
      </c>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c r="AX1398" s="7"/>
      <c r="AY1398" s="7"/>
      <c r="AZ1398" s="7"/>
      <c r="BA1398" s="7"/>
      <c r="BB1398" s="7"/>
      <c r="BC1398" s="7"/>
      <c r="BD1398" s="7"/>
      <c r="BE1398" s="7"/>
      <c r="BF1398" s="7"/>
      <c r="BG1398" s="7"/>
    </row>
    <row r="1399" customHeight="1" spans="1:59">
      <c r="A1399" s="9">
        <f>IF(ActiveDatabase=Standby,Secondary!A1399,Primary!A2057)</f>
        <v>0</v>
      </c>
      <c r="B1399" s="5">
        <f>IF(ActiveDatabase=Standby,Secondary!B1399,Primary!B2057)</f>
        <v>0</v>
      </c>
      <c r="C1399" s="5">
        <f>IF(ActiveDatabase=Standby,Secondary!C1399,Primary!C2057)</f>
        <v>0</v>
      </c>
      <c r="D1399" s="5">
        <f>IF(ActiveDatabase=Standby,Secondary!D1399,Primary!D2057)</f>
        <v>0</v>
      </c>
      <c r="E1399" s="7">
        <f>IF(ActiveDatabase=Standby,Secondary!E1399,Primary!E2057)</f>
        <v>0</v>
      </c>
      <c r="F1399" s="8">
        <f>IF(ActiveDatabase=Standby,Secondary!F1399,Primary!F2057)</f>
        <v>0</v>
      </c>
      <c r="G1399" s="8">
        <f>IF(ActiveDatabase=Standby,Secondary!G1399,Primary!G2057)</f>
        <v>0</v>
      </c>
      <c r="H1399" s="8">
        <f>IF(ActiveDatabase=Standby,Secondary!H1399,Primary!H2057)</f>
        <v>0</v>
      </c>
      <c r="I1399" s="14">
        <f>IF(ActiveDatabase=Standby,Secondary!I1399,Primary!I2057)</f>
        <v>0</v>
      </c>
      <c r="J1399" s="14">
        <f>IF(ActiveDatabase=Standby,Secondary!J1399,Primary!J2057)</f>
        <v>0</v>
      </c>
      <c r="K1399" s="14">
        <f>IF(ActiveDatabase=Standby,Secondary!K1399,Primary!K2057)</f>
        <v>0</v>
      </c>
      <c r="L1399" s="14">
        <f>IF(ActiveDatabase=Standby,Secondary!L1399,Primary!L2057)</f>
        <v>0</v>
      </c>
      <c r="M1399" s="7">
        <f>IF(ActiveDatabase=Standby,Secondary!M1399,Primary!M2057)</f>
        <v>0</v>
      </c>
      <c r="N1399" s="8">
        <f>IF(ActiveDatabase=Standby,Secondary!N1399,Primary!N2057)</f>
        <v>0</v>
      </c>
      <c r="O1399" s="8">
        <f>IF(ActiveDatabase=Standby,Secondary!O1399,Primary!O2057)</f>
        <v>0</v>
      </c>
      <c r="P1399" s="8">
        <f>IF(ActiveDatabase=Standby,Secondary!P1399,Primary!P2057)</f>
        <v>0</v>
      </c>
      <c r="Q1399" s="7">
        <f>IF(ActiveDatabase=Standby,Secondary!Q1399,Primary!Q2057)</f>
        <v>0</v>
      </c>
      <c r="R1399" s="16">
        <f>IF(ActiveDatabase=Standby,Secondary!R1399,Primary!R2057)</f>
        <v>0</v>
      </c>
      <c r="S1399" s="17">
        <f>IF(ActiveDatabase=Standby,Secondary!S1399,Primary!S2057)</f>
        <v>0</v>
      </c>
      <c r="T1399" s="8">
        <f>IF(ActiveDatabase=Standby,Secondary!T1399,Primary!T2057)</f>
        <v>0</v>
      </c>
      <c r="U1399" s="8">
        <f>IF(ActiveDatabase=Standby,Secondary!U1399,Primary!U2057)</f>
        <v>0</v>
      </c>
      <c r="V1399" s="8">
        <f>IF(ActiveDatabase=Standby,Secondary!V1399,Primary!V2057)</f>
        <v>0</v>
      </c>
      <c r="W1399" s="7">
        <f>IF(ActiveDatabase=Standby,Secondary!W1399,Primary!W2057)</f>
        <v>0</v>
      </c>
      <c r="X1399" s="7">
        <f>IF(ActiveDatabase=Standby,Secondary!X1399,Primary!X2057)</f>
        <v>0</v>
      </c>
      <c r="Y1399" s="7">
        <f>IF(ActiveDatabase=Standby,Secondary!Y1399,Primary!Y2057)</f>
        <v>0</v>
      </c>
      <c r="Z1399" s="7">
        <f>IF(ActiveDatabase=Standby,Secondary!Z1399,Primary!Z2057)</f>
        <v>0</v>
      </c>
      <c r="AA1399" s="7">
        <f>IF(ActiveDatabase=Standby,Secondary!AA1399,Primary!AA2057)</f>
        <v>0</v>
      </c>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c r="AX1399" s="7"/>
      <c r="AY1399" s="7"/>
      <c r="AZ1399" s="7"/>
      <c r="BA1399" s="7"/>
      <c r="BB1399" s="7"/>
      <c r="BC1399" s="7"/>
      <c r="BD1399" s="7"/>
      <c r="BE1399" s="7"/>
      <c r="BF1399" s="7"/>
      <c r="BG1399" s="7"/>
    </row>
    <row r="1400" customHeight="1" spans="1:59">
      <c r="A1400" s="9">
        <f>IF(ActiveDatabase=Standby,Secondary!A1400,Primary!A2058)</f>
        <v>0</v>
      </c>
      <c r="B1400" s="5">
        <f>IF(ActiveDatabase=Standby,Secondary!B1400,Primary!B2058)</f>
        <v>0</v>
      </c>
      <c r="C1400" s="5">
        <f>IF(ActiveDatabase=Standby,Secondary!C1400,Primary!C2058)</f>
        <v>0</v>
      </c>
      <c r="D1400" s="5">
        <f>IF(ActiveDatabase=Standby,Secondary!D1400,Primary!D2058)</f>
        <v>0</v>
      </c>
      <c r="E1400" s="7">
        <f>IF(ActiveDatabase=Standby,Secondary!E1400,Primary!E2058)</f>
        <v>0</v>
      </c>
      <c r="F1400" s="8">
        <f>IF(ActiveDatabase=Standby,Secondary!F1400,Primary!F2058)</f>
        <v>0</v>
      </c>
      <c r="G1400" s="8">
        <f>IF(ActiveDatabase=Standby,Secondary!G1400,Primary!G2058)</f>
        <v>0</v>
      </c>
      <c r="H1400" s="8">
        <f>IF(ActiveDatabase=Standby,Secondary!H1400,Primary!H2058)</f>
        <v>0</v>
      </c>
      <c r="I1400" s="14">
        <f>IF(ActiveDatabase=Standby,Secondary!I1400,Primary!I2058)</f>
        <v>0</v>
      </c>
      <c r="J1400" s="14">
        <f>IF(ActiveDatabase=Standby,Secondary!J1400,Primary!J2058)</f>
        <v>0</v>
      </c>
      <c r="K1400" s="14">
        <f>IF(ActiveDatabase=Standby,Secondary!K1400,Primary!K2058)</f>
        <v>0</v>
      </c>
      <c r="L1400" s="14">
        <f>IF(ActiveDatabase=Standby,Secondary!L1400,Primary!L2058)</f>
        <v>0</v>
      </c>
      <c r="M1400" s="7">
        <f>IF(ActiveDatabase=Standby,Secondary!M1400,Primary!M2058)</f>
        <v>0</v>
      </c>
      <c r="N1400" s="8">
        <f>IF(ActiveDatabase=Standby,Secondary!N1400,Primary!N2058)</f>
        <v>0</v>
      </c>
      <c r="O1400" s="8">
        <f>IF(ActiveDatabase=Standby,Secondary!O1400,Primary!O2058)</f>
        <v>0</v>
      </c>
      <c r="P1400" s="8">
        <f>IF(ActiveDatabase=Standby,Secondary!P1400,Primary!P2058)</f>
        <v>0</v>
      </c>
      <c r="Q1400" s="7">
        <f>IF(ActiveDatabase=Standby,Secondary!Q1400,Primary!Q2058)</f>
        <v>0</v>
      </c>
      <c r="R1400" s="16">
        <f>IF(ActiveDatabase=Standby,Secondary!R1400,Primary!R2058)</f>
        <v>0</v>
      </c>
      <c r="S1400" s="17">
        <f>IF(ActiveDatabase=Standby,Secondary!S1400,Primary!S2058)</f>
        <v>0</v>
      </c>
      <c r="T1400" s="8">
        <f>IF(ActiveDatabase=Standby,Secondary!T1400,Primary!T2058)</f>
        <v>0</v>
      </c>
      <c r="U1400" s="8">
        <f>IF(ActiveDatabase=Standby,Secondary!U1400,Primary!U2058)</f>
        <v>0</v>
      </c>
      <c r="V1400" s="8">
        <f>IF(ActiveDatabase=Standby,Secondary!V1400,Primary!V2058)</f>
        <v>0</v>
      </c>
      <c r="W1400" s="7">
        <f>IF(ActiveDatabase=Standby,Secondary!W1400,Primary!W2058)</f>
        <v>0</v>
      </c>
      <c r="X1400" s="7">
        <f>IF(ActiveDatabase=Standby,Secondary!X1400,Primary!X2058)</f>
        <v>0</v>
      </c>
      <c r="Y1400" s="7">
        <f>IF(ActiveDatabase=Standby,Secondary!Y1400,Primary!Y2058)</f>
        <v>0</v>
      </c>
      <c r="Z1400" s="7">
        <f>IF(ActiveDatabase=Standby,Secondary!Z1400,Primary!Z2058)</f>
        <v>0</v>
      </c>
      <c r="AA1400" s="7">
        <f>IF(ActiveDatabase=Standby,Secondary!AA1400,Primary!AA2058)</f>
        <v>0</v>
      </c>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c r="AX1400" s="7"/>
      <c r="AY1400" s="7"/>
      <c r="AZ1400" s="7"/>
      <c r="BA1400" s="7"/>
      <c r="BB1400" s="7"/>
      <c r="BC1400" s="7"/>
      <c r="BD1400" s="7"/>
      <c r="BE1400" s="7"/>
      <c r="BF1400" s="7"/>
      <c r="BG1400" s="7"/>
    </row>
    <row r="1401" customHeight="1" spans="1:59">
      <c r="A1401" s="9"/>
      <c r="B1401" s="5"/>
      <c r="C1401" s="5"/>
      <c r="D1401" s="5"/>
      <c r="E1401" s="7"/>
      <c r="F1401" s="8"/>
      <c r="G1401" s="8"/>
      <c r="H1401" s="8"/>
      <c r="I1401" s="14"/>
      <c r="J1401" s="14"/>
      <c r="K1401" s="14"/>
      <c r="L1401" s="14"/>
      <c r="M1401" s="7"/>
      <c r="N1401" s="8"/>
      <c r="O1401" s="8"/>
      <c r="P1401" s="8"/>
      <c r="Q1401" s="7"/>
      <c r="R1401" s="16"/>
      <c r="S1401" s="17"/>
      <c r="T1401" s="8"/>
      <c r="U1401" s="8"/>
      <c r="V1401" s="8"/>
      <c r="W1401" s="7"/>
      <c r="X1401" s="7"/>
      <c r="Y1401" s="7"/>
      <c r="Z1401" s="7"/>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c r="AX1401" s="7"/>
      <c r="AY1401" s="7"/>
      <c r="AZ1401" s="7"/>
      <c r="BA1401" s="7"/>
      <c r="BB1401" s="7"/>
      <c r="BC1401" s="7"/>
      <c r="BD1401" s="7"/>
      <c r="BE1401" s="7"/>
      <c r="BF1401" s="7"/>
      <c r="BG1401" s="7"/>
    </row>
    <row r="1402" customHeight="1" spans="1:59">
      <c r="A1402" s="9"/>
      <c r="B1402" s="5"/>
      <c r="C1402" s="5"/>
      <c r="D1402" s="5"/>
      <c r="E1402" s="7"/>
      <c r="F1402" s="8"/>
      <c r="G1402" s="8"/>
      <c r="H1402" s="8"/>
      <c r="I1402" s="14"/>
      <c r="J1402" s="14"/>
      <c r="K1402" s="14"/>
      <c r="L1402" s="14"/>
      <c r="M1402" s="7"/>
      <c r="N1402" s="8"/>
      <c r="O1402" s="8"/>
      <c r="P1402" s="8"/>
      <c r="Q1402" s="7"/>
      <c r="R1402" s="16"/>
      <c r="S1402" s="17"/>
      <c r="T1402" s="8"/>
      <c r="U1402" s="8"/>
      <c r="V1402" s="8"/>
      <c r="W1402" s="7"/>
      <c r="X1402" s="7"/>
      <c r="Y1402" s="7"/>
      <c r="Z1402" s="7"/>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c r="AX1402" s="7"/>
      <c r="AY1402" s="7"/>
      <c r="AZ1402" s="7"/>
      <c r="BA1402" s="7"/>
      <c r="BB1402" s="7"/>
      <c r="BC1402" s="7"/>
      <c r="BD1402" s="7"/>
      <c r="BE1402" s="7"/>
      <c r="BF1402" s="7"/>
      <c r="BG1402" s="7"/>
    </row>
    <row r="1403" customHeight="1" spans="1:59">
      <c r="A1403" s="9"/>
      <c r="B1403" s="5"/>
      <c r="C1403" s="5"/>
      <c r="D1403" s="5"/>
      <c r="E1403" s="7"/>
      <c r="F1403" s="8"/>
      <c r="G1403" s="8"/>
      <c r="H1403" s="8"/>
      <c r="I1403" s="14"/>
      <c r="J1403" s="14"/>
      <c r="K1403" s="14"/>
      <c r="L1403" s="14"/>
      <c r="M1403" s="7"/>
      <c r="N1403" s="8"/>
      <c r="O1403" s="8"/>
      <c r="P1403" s="8"/>
      <c r="Q1403" s="7"/>
      <c r="R1403" s="16"/>
      <c r="S1403" s="17"/>
      <c r="T1403" s="8"/>
      <c r="U1403" s="8"/>
      <c r="V1403" s="8"/>
      <c r="W1403" s="7"/>
      <c r="X1403" s="7"/>
      <c r="Y1403" s="7"/>
      <c r="Z1403" s="7"/>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c r="AX1403" s="7"/>
      <c r="AY1403" s="7"/>
      <c r="AZ1403" s="7"/>
      <c r="BA1403" s="7"/>
      <c r="BB1403" s="7"/>
      <c r="BC1403" s="7"/>
      <c r="BD1403" s="7"/>
      <c r="BE1403" s="7"/>
      <c r="BF1403" s="7"/>
      <c r="BG1403" s="7"/>
    </row>
    <row r="1404" customHeight="1" spans="1:59">
      <c r="A1404" s="9"/>
      <c r="B1404" s="5"/>
      <c r="C1404" s="5"/>
      <c r="D1404" s="5"/>
      <c r="E1404" s="7"/>
      <c r="F1404" s="8"/>
      <c r="G1404" s="8"/>
      <c r="H1404" s="8"/>
      <c r="I1404" s="14"/>
      <c r="J1404" s="14"/>
      <c r="K1404" s="14"/>
      <c r="L1404" s="14"/>
      <c r="M1404" s="7"/>
      <c r="N1404" s="8"/>
      <c r="O1404" s="8"/>
      <c r="P1404" s="8"/>
      <c r="Q1404" s="7"/>
      <c r="R1404" s="16"/>
      <c r="S1404" s="17"/>
      <c r="T1404" s="8"/>
      <c r="U1404" s="8"/>
      <c r="V1404" s="8"/>
      <c r="W1404" s="7"/>
      <c r="X1404" s="7"/>
      <c r="Y1404" s="7"/>
      <c r="Z1404" s="7"/>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c r="AX1404" s="7"/>
      <c r="AY1404" s="7"/>
      <c r="AZ1404" s="7"/>
      <c r="BA1404" s="7"/>
      <c r="BB1404" s="7"/>
      <c r="BC1404" s="7"/>
      <c r="BD1404" s="7"/>
      <c r="BE1404" s="7"/>
      <c r="BF1404" s="7"/>
      <c r="BG1404" s="7"/>
    </row>
    <row r="1405" customHeight="1" spans="1:59">
      <c r="A1405" s="9"/>
      <c r="B1405" s="5"/>
      <c r="C1405" s="5"/>
      <c r="D1405" s="5"/>
      <c r="E1405" s="7"/>
      <c r="F1405" s="8"/>
      <c r="G1405" s="8"/>
      <c r="H1405" s="8"/>
      <c r="I1405" s="14"/>
      <c r="J1405" s="14"/>
      <c r="K1405" s="14"/>
      <c r="L1405" s="14"/>
      <c r="M1405" s="7"/>
      <c r="N1405" s="8"/>
      <c r="O1405" s="8"/>
      <c r="P1405" s="8"/>
      <c r="Q1405" s="7"/>
      <c r="R1405" s="16"/>
      <c r="S1405" s="17"/>
      <c r="T1405" s="8"/>
      <c r="U1405" s="8"/>
      <c r="V1405" s="8"/>
      <c r="W1405" s="7"/>
      <c r="X1405" s="7"/>
      <c r="Y1405" s="7"/>
      <c r="Z1405" s="7"/>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c r="AX1405" s="7"/>
      <c r="AY1405" s="7"/>
      <c r="AZ1405" s="7"/>
      <c r="BA1405" s="7"/>
      <c r="BB1405" s="7"/>
      <c r="BC1405" s="7"/>
      <c r="BD1405" s="7"/>
      <c r="BE1405" s="7"/>
      <c r="BF1405" s="7"/>
      <c r="BG1405" s="7"/>
    </row>
    <row r="1406" customHeight="1" spans="1:59">
      <c r="A1406" s="9"/>
      <c r="B1406" s="5"/>
      <c r="C1406" s="5"/>
      <c r="D1406" s="5"/>
      <c r="E1406" s="7"/>
      <c r="F1406" s="8"/>
      <c r="G1406" s="8"/>
      <c r="H1406" s="8"/>
      <c r="I1406" s="14"/>
      <c r="J1406" s="14"/>
      <c r="K1406" s="14"/>
      <c r="L1406" s="14"/>
      <c r="M1406" s="7"/>
      <c r="N1406" s="8"/>
      <c r="O1406" s="8"/>
      <c r="P1406" s="8"/>
      <c r="Q1406" s="7"/>
      <c r="R1406" s="16"/>
      <c r="S1406" s="17"/>
      <c r="T1406" s="8"/>
      <c r="U1406" s="8"/>
      <c r="V1406" s="8"/>
      <c r="W1406" s="7"/>
      <c r="X1406" s="7"/>
      <c r="Y1406" s="7"/>
      <c r="Z1406" s="7"/>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c r="AX1406" s="7"/>
      <c r="AY1406" s="7"/>
      <c r="AZ1406" s="7"/>
      <c r="BA1406" s="7"/>
      <c r="BB1406" s="7"/>
      <c r="BC1406" s="7"/>
      <c r="BD1406" s="7"/>
      <c r="BE1406" s="7"/>
      <c r="BF1406" s="7"/>
      <c r="BG1406" s="7"/>
    </row>
    <row r="1407" customHeight="1" spans="1:59">
      <c r="A1407" s="9"/>
      <c r="B1407" s="5"/>
      <c r="C1407" s="5"/>
      <c r="D1407" s="5"/>
      <c r="E1407" s="7"/>
      <c r="F1407" s="8"/>
      <c r="G1407" s="8"/>
      <c r="H1407" s="8"/>
      <c r="I1407" s="14"/>
      <c r="J1407" s="14"/>
      <c r="K1407" s="14"/>
      <c r="L1407" s="14"/>
      <c r="M1407" s="7"/>
      <c r="N1407" s="8"/>
      <c r="O1407" s="8"/>
      <c r="P1407" s="8"/>
      <c r="Q1407" s="7"/>
      <c r="R1407" s="16"/>
      <c r="S1407" s="17"/>
      <c r="T1407" s="8"/>
      <c r="U1407" s="8"/>
      <c r="V1407" s="8"/>
      <c r="W1407" s="7"/>
      <c r="X1407" s="7"/>
      <c r="Y1407" s="7"/>
      <c r="Z1407" s="7"/>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c r="AX1407" s="7"/>
      <c r="AY1407" s="7"/>
      <c r="AZ1407" s="7"/>
      <c r="BA1407" s="7"/>
      <c r="BB1407" s="7"/>
      <c r="BC1407" s="7"/>
      <c r="BD1407" s="7"/>
      <c r="BE1407" s="7"/>
      <c r="BF1407" s="7"/>
      <c r="BG1407" s="7"/>
    </row>
    <row r="1408" customHeight="1" spans="1:59">
      <c r="A1408" s="9"/>
      <c r="B1408" s="5"/>
      <c r="C1408" s="5"/>
      <c r="D1408" s="5"/>
      <c r="E1408" s="7"/>
      <c r="F1408" s="8"/>
      <c r="G1408" s="8"/>
      <c r="H1408" s="8"/>
      <c r="I1408" s="14"/>
      <c r="J1408" s="14"/>
      <c r="K1408" s="14"/>
      <c r="L1408" s="14"/>
      <c r="M1408" s="7"/>
      <c r="N1408" s="8"/>
      <c r="O1408" s="8"/>
      <c r="P1408" s="8"/>
      <c r="Q1408" s="7"/>
      <c r="R1408" s="16"/>
      <c r="S1408" s="17"/>
      <c r="T1408" s="8"/>
      <c r="U1408" s="8"/>
      <c r="V1408" s="8"/>
      <c r="W1408" s="7"/>
      <c r="X1408" s="7"/>
      <c r="Y1408" s="7"/>
      <c r="Z1408" s="7"/>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c r="AX1408" s="7"/>
      <c r="AY1408" s="7"/>
      <c r="AZ1408" s="7"/>
      <c r="BA1408" s="7"/>
      <c r="BB1408" s="7"/>
      <c r="BC1408" s="7"/>
      <c r="BD1408" s="7"/>
      <c r="BE1408" s="7"/>
      <c r="BF1408" s="7"/>
      <c r="BG1408" s="7"/>
    </row>
    <row r="1409" customHeight="1" spans="1:59">
      <c r="A1409" s="9"/>
      <c r="B1409" s="5"/>
      <c r="C1409" s="5"/>
      <c r="D1409" s="5"/>
      <c r="E1409" s="7"/>
      <c r="F1409" s="8"/>
      <c r="G1409" s="8"/>
      <c r="H1409" s="8"/>
      <c r="I1409" s="14"/>
      <c r="J1409" s="14"/>
      <c r="K1409" s="14"/>
      <c r="L1409" s="14"/>
      <c r="M1409" s="7"/>
      <c r="N1409" s="8"/>
      <c r="O1409" s="8"/>
      <c r="P1409" s="8"/>
      <c r="Q1409" s="7"/>
      <c r="R1409" s="16"/>
      <c r="S1409" s="17"/>
      <c r="T1409" s="8"/>
      <c r="U1409" s="8"/>
      <c r="V1409" s="8"/>
      <c r="W1409" s="7"/>
      <c r="X1409" s="7"/>
      <c r="Y1409" s="7"/>
      <c r="Z1409" s="7"/>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c r="AX1409" s="7"/>
      <c r="AY1409" s="7"/>
      <c r="AZ1409" s="7"/>
      <c r="BA1409" s="7"/>
      <c r="BB1409" s="7"/>
      <c r="BC1409" s="7"/>
      <c r="BD1409" s="7"/>
      <c r="BE1409" s="7"/>
      <c r="BF1409" s="7"/>
      <c r="BG1409" s="7"/>
    </row>
    <row r="1410" customHeight="1" spans="1:59">
      <c r="A1410" s="9"/>
      <c r="B1410" s="5"/>
      <c r="C1410" s="5"/>
      <c r="D1410" s="5"/>
      <c r="E1410" s="7"/>
      <c r="F1410" s="8"/>
      <c r="G1410" s="8"/>
      <c r="H1410" s="8"/>
      <c r="I1410" s="14"/>
      <c r="J1410" s="14"/>
      <c r="K1410" s="14"/>
      <c r="L1410" s="14"/>
      <c r="M1410" s="7"/>
      <c r="N1410" s="8"/>
      <c r="O1410" s="8"/>
      <c r="P1410" s="8"/>
      <c r="Q1410" s="7"/>
      <c r="R1410" s="16"/>
      <c r="S1410" s="17"/>
      <c r="T1410" s="8"/>
      <c r="U1410" s="8"/>
      <c r="V1410" s="8"/>
      <c r="W1410" s="7"/>
      <c r="X1410" s="7"/>
      <c r="Y1410" s="7"/>
      <c r="Z1410" s="7"/>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c r="AX1410" s="7"/>
      <c r="AY1410" s="7"/>
      <c r="AZ1410" s="7"/>
      <c r="BA1410" s="7"/>
      <c r="BB1410" s="7"/>
      <c r="BC1410" s="7"/>
      <c r="BD1410" s="7"/>
      <c r="BE1410" s="7"/>
      <c r="BF1410" s="7"/>
      <c r="BG1410" s="7"/>
    </row>
    <row r="1411" customHeight="1" spans="1:59">
      <c r="A1411" s="9"/>
      <c r="B1411" s="5"/>
      <c r="C1411" s="5"/>
      <c r="D1411" s="5"/>
      <c r="E1411" s="7"/>
      <c r="F1411" s="8"/>
      <c r="G1411" s="8"/>
      <c r="H1411" s="8"/>
      <c r="I1411" s="14"/>
      <c r="J1411" s="14"/>
      <c r="K1411" s="14"/>
      <c r="L1411" s="14"/>
      <c r="M1411" s="7"/>
      <c r="N1411" s="8"/>
      <c r="O1411" s="8"/>
      <c r="P1411" s="8"/>
      <c r="Q1411" s="7"/>
      <c r="R1411" s="16"/>
      <c r="S1411" s="17"/>
      <c r="T1411" s="8"/>
      <c r="U1411" s="8"/>
      <c r="V1411" s="8"/>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7"/>
      <c r="BD1411" s="7"/>
      <c r="BE1411" s="7"/>
      <c r="BF1411" s="7"/>
      <c r="BG1411" s="7"/>
    </row>
    <row r="1412" customHeight="1" spans="1:59">
      <c r="A1412" s="9"/>
      <c r="B1412" s="5"/>
      <c r="C1412" s="5"/>
      <c r="D1412" s="5"/>
      <c r="E1412" s="7"/>
      <c r="F1412" s="8"/>
      <c r="G1412" s="8"/>
      <c r="H1412" s="8"/>
      <c r="I1412" s="14"/>
      <c r="J1412" s="14"/>
      <c r="K1412" s="14"/>
      <c r="L1412" s="14"/>
      <c r="M1412" s="7"/>
      <c r="N1412" s="8"/>
      <c r="O1412" s="8"/>
      <c r="P1412" s="8"/>
      <c r="Q1412" s="7"/>
      <c r="R1412" s="16"/>
      <c r="S1412" s="17"/>
      <c r="T1412" s="8"/>
      <c r="U1412" s="8"/>
      <c r="V1412" s="8"/>
      <c r="W1412" s="7"/>
      <c r="X1412" s="7"/>
      <c r="Y1412" s="7"/>
      <c r="Z1412" s="7"/>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c r="AX1412" s="7"/>
      <c r="AY1412" s="7"/>
      <c r="AZ1412" s="7"/>
      <c r="BA1412" s="7"/>
      <c r="BB1412" s="7"/>
      <c r="BC1412" s="7"/>
      <c r="BD1412" s="7"/>
      <c r="BE1412" s="7"/>
      <c r="BF1412" s="7"/>
      <c r="BG1412" s="7"/>
    </row>
    <row r="1413" customHeight="1" spans="1:59">
      <c r="A1413" s="9"/>
      <c r="B1413" s="5"/>
      <c r="C1413" s="5"/>
      <c r="D1413" s="5"/>
      <c r="E1413" s="7"/>
      <c r="F1413" s="8"/>
      <c r="G1413" s="8"/>
      <c r="H1413" s="8"/>
      <c r="I1413" s="14"/>
      <c r="J1413" s="14"/>
      <c r="K1413" s="14"/>
      <c r="L1413" s="14"/>
      <c r="M1413" s="7"/>
      <c r="N1413" s="8"/>
      <c r="O1413" s="8"/>
      <c r="P1413" s="8"/>
      <c r="Q1413" s="7"/>
      <c r="R1413" s="16"/>
      <c r="S1413" s="17"/>
      <c r="T1413" s="8"/>
      <c r="U1413" s="8"/>
      <c r="V1413" s="8"/>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7"/>
      <c r="BB1413" s="7"/>
      <c r="BC1413" s="7"/>
      <c r="BD1413" s="7"/>
      <c r="BE1413" s="7"/>
      <c r="BF1413" s="7"/>
      <c r="BG1413" s="7"/>
    </row>
    <row r="1414" customHeight="1" spans="1:59">
      <c r="A1414" s="9"/>
      <c r="B1414" s="5"/>
      <c r="C1414" s="5"/>
      <c r="D1414" s="5"/>
      <c r="E1414" s="7"/>
      <c r="F1414" s="8"/>
      <c r="G1414" s="8"/>
      <c r="H1414" s="8"/>
      <c r="I1414" s="14"/>
      <c r="J1414" s="14"/>
      <c r="K1414" s="14"/>
      <c r="L1414" s="14"/>
      <c r="M1414" s="7"/>
      <c r="N1414" s="8"/>
      <c r="O1414" s="8"/>
      <c r="P1414" s="8"/>
      <c r="Q1414" s="7"/>
      <c r="R1414" s="16"/>
      <c r="S1414" s="17"/>
      <c r="T1414" s="8"/>
      <c r="U1414" s="8"/>
      <c r="V1414" s="8"/>
      <c r="W1414" s="7"/>
      <c r="X1414" s="7"/>
      <c r="Y1414" s="7"/>
      <c r="Z1414" s="7"/>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c r="AX1414" s="7"/>
      <c r="AY1414" s="7"/>
      <c r="AZ1414" s="7"/>
      <c r="BA1414" s="7"/>
      <c r="BB1414" s="7"/>
      <c r="BC1414" s="7"/>
      <c r="BD1414" s="7"/>
      <c r="BE1414" s="7"/>
      <c r="BF1414" s="7"/>
      <c r="BG1414" s="7"/>
    </row>
    <row r="1415" customHeight="1" spans="1:59">
      <c r="A1415" s="9"/>
      <c r="B1415" s="5"/>
      <c r="C1415" s="5"/>
      <c r="D1415" s="5"/>
      <c r="E1415" s="7"/>
      <c r="F1415" s="8"/>
      <c r="G1415" s="8"/>
      <c r="H1415" s="8"/>
      <c r="I1415" s="14"/>
      <c r="J1415" s="14"/>
      <c r="K1415" s="14"/>
      <c r="L1415" s="14"/>
      <c r="M1415" s="7"/>
      <c r="N1415" s="8"/>
      <c r="O1415" s="8"/>
      <c r="P1415" s="8"/>
      <c r="Q1415" s="7"/>
      <c r="R1415" s="16"/>
      <c r="S1415" s="17"/>
      <c r="T1415" s="8"/>
      <c r="U1415" s="8"/>
      <c r="V1415" s="8"/>
      <c r="W1415" s="7"/>
      <c r="X1415" s="7"/>
      <c r="Y1415" s="7"/>
      <c r="Z1415" s="7"/>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c r="AX1415" s="7"/>
      <c r="AY1415" s="7"/>
      <c r="AZ1415" s="7"/>
      <c r="BA1415" s="7"/>
      <c r="BB1415" s="7"/>
      <c r="BC1415" s="7"/>
      <c r="BD1415" s="7"/>
      <c r="BE1415" s="7"/>
      <c r="BF1415" s="7"/>
      <c r="BG1415" s="7"/>
    </row>
    <row r="1416" customHeight="1" spans="1:59">
      <c r="A1416" s="9"/>
      <c r="B1416" s="5"/>
      <c r="C1416" s="5"/>
      <c r="D1416" s="5"/>
      <c r="E1416" s="7"/>
      <c r="F1416" s="8"/>
      <c r="G1416" s="8"/>
      <c r="H1416" s="8"/>
      <c r="I1416" s="14"/>
      <c r="J1416" s="14"/>
      <c r="K1416" s="14"/>
      <c r="L1416" s="14"/>
      <c r="M1416" s="7"/>
      <c r="N1416" s="8"/>
      <c r="O1416" s="8"/>
      <c r="P1416" s="8"/>
      <c r="Q1416" s="7"/>
      <c r="R1416" s="16"/>
      <c r="S1416" s="17"/>
      <c r="T1416" s="8"/>
      <c r="U1416" s="8"/>
      <c r="V1416" s="8"/>
      <c r="W1416" s="7"/>
      <c r="X1416" s="7"/>
      <c r="Y1416" s="7"/>
      <c r="Z1416" s="7"/>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c r="AX1416" s="7"/>
      <c r="AY1416" s="7"/>
      <c r="AZ1416" s="7"/>
      <c r="BA1416" s="7"/>
      <c r="BB1416" s="7"/>
      <c r="BC1416" s="7"/>
      <c r="BD1416" s="7"/>
      <c r="BE1416" s="7"/>
      <c r="BF1416" s="7"/>
      <c r="BG1416" s="7"/>
    </row>
    <row r="1417" customHeight="1" spans="1:59">
      <c r="A1417" s="9"/>
      <c r="B1417" s="5"/>
      <c r="C1417" s="5"/>
      <c r="D1417" s="5"/>
      <c r="E1417" s="7"/>
      <c r="F1417" s="8"/>
      <c r="G1417" s="8"/>
      <c r="H1417" s="8"/>
      <c r="I1417" s="14"/>
      <c r="J1417" s="14"/>
      <c r="K1417" s="14"/>
      <c r="L1417" s="14"/>
      <c r="M1417" s="7"/>
      <c r="N1417" s="8"/>
      <c r="O1417" s="8"/>
      <c r="P1417" s="8"/>
      <c r="Q1417" s="7"/>
      <c r="R1417" s="16"/>
      <c r="S1417" s="17"/>
      <c r="T1417" s="8"/>
      <c r="U1417" s="8"/>
      <c r="V1417" s="8"/>
      <c r="W1417" s="7"/>
      <c r="X1417" s="7"/>
      <c r="Y1417" s="7"/>
      <c r="Z1417" s="7"/>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c r="AX1417" s="7"/>
      <c r="AY1417" s="7"/>
      <c r="AZ1417" s="7"/>
      <c r="BA1417" s="7"/>
      <c r="BB1417" s="7"/>
      <c r="BC1417" s="7"/>
      <c r="BD1417" s="7"/>
      <c r="BE1417" s="7"/>
      <c r="BF1417" s="7"/>
      <c r="BG1417" s="7"/>
    </row>
    <row r="1418" customHeight="1" spans="1:59">
      <c r="A1418" s="9"/>
      <c r="B1418" s="5"/>
      <c r="C1418" s="5"/>
      <c r="D1418" s="5"/>
      <c r="E1418" s="7"/>
      <c r="F1418" s="8"/>
      <c r="G1418" s="8"/>
      <c r="H1418" s="8"/>
      <c r="I1418" s="14"/>
      <c r="J1418" s="14"/>
      <c r="K1418" s="14"/>
      <c r="L1418" s="14"/>
      <c r="M1418" s="7"/>
      <c r="N1418" s="8"/>
      <c r="O1418" s="8"/>
      <c r="P1418" s="8"/>
      <c r="Q1418" s="7"/>
      <c r="R1418" s="16"/>
      <c r="S1418" s="17"/>
      <c r="T1418" s="8"/>
      <c r="U1418" s="8"/>
      <c r="V1418" s="8"/>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row>
    <row r="1419" customHeight="1" spans="1:59">
      <c r="A1419" s="9"/>
      <c r="B1419" s="5"/>
      <c r="C1419" s="5"/>
      <c r="D1419" s="5"/>
      <c r="E1419" s="7"/>
      <c r="F1419" s="8"/>
      <c r="G1419" s="8"/>
      <c r="H1419" s="8"/>
      <c r="I1419" s="14"/>
      <c r="J1419" s="14"/>
      <c r="K1419" s="14"/>
      <c r="L1419" s="14"/>
      <c r="M1419" s="7"/>
      <c r="N1419" s="8"/>
      <c r="O1419" s="8"/>
      <c r="P1419" s="8"/>
      <c r="Q1419" s="7"/>
      <c r="R1419" s="16"/>
      <c r="S1419" s="17"/>
      <c r="T1419" s="8"/>
      <c r="U1419" s="8"/>
      <c r="V1419" s="8"/>
      <c r="W1419" s="7"/>
      <c r="X1419" s="7"/>
      <c r="Y1419" s="7"/>
      <c r="Z1419" s="7"/>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c r="AX1419" s="7"/>
      <c r="AY1419" s="7"/>
      <c r="AZ1419" s="7"/>
      <c r="BA1419" s="7"/>
      <c r="BB1419" s="7"/>
      <c r="BC1419" s="7"/>
      <c r="BD1419" s="7"/>
      <c r="BE1419" s="7"/>
      <c r="BF1419" s="7"/>
      <c r="BG1419" s="7"/>
    </row>
    <row r="1420" customHeight="1" spans="1:59">
      <c r="A1420" s="9"/>
      <c r="B1420" s="5"/>
      <c r="C1420" s="5"/>
      <c r="D1420" s="5"/>
      <c r="E1420" s="7"/>
      <c r="F1420" s="8"/>
      <c r="G1420" s="8"/>
      <c r="H1420" s="8"/>
      <c r="I1420" s="14"/>
      <c r="J1420" s="14"/>
      <c r="K1420" s="14"/>
      <c r="L1420" s="14"/>
      <c r="M1420" s="7"/>
      <c r="N1420" s="8"/>
      <c r="O1420" s="8"/>
      <c r="P1420" s="8"/>
      <c r="Q1420" s="7"/>
      <c r="R1420" s="16"/>
      <c r="S1420" s="17"/>
      <c r="T1420" s="8"/>
      <c r="U1420" s="8"/>
      <c r="V1420" s="8"/>
      <c r="W1420" s="7"/>
      <c r="X1420" s="7"/>
      <c r="Y1420" s="7"/>
      <c r="Z1420" s="7"/>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c r="AX1420" s="7"/>
      <c r="AY1420" s="7"/>
      <c r="AZ1420" s="7"/>
      <c r="BA1420" s="7"/>
      <c r="BB1420" s="7"/>
      <c r="BC1420" s="7"/>
      <c r="BD1420" s="7"/>
      <c r="BE1420" s="7"/>
      <c r="BF1420" s="7"/>
      <c r="BG1420" s="7"/>
    </row>
    <row r="1421" customHeight="1" spans="1:59">
      <c r="A1421" s="9"/>
      <c r="B1421" s="5"/>
      <c r="C1421" s="5"/>
      <c r="D1421" s="5"/>
      <c r="E1421" s="7"/>
      <c r="F1421" s="8"/>
      <c r="G1421" s="8"/>
      <c r="H1421" s="8"/>
      <c r="I1421" s="14"/>
      <c r="J1421" s="14"/>
      <c r="K1421" s="14"/>
      <c r="L1421" s="14"/>
      <c r="M1421" s="7"/>
      <c r="N1421" s="8"/>
      <c r="O1421" s="8"/>
      <c r="P1421" s="8"/>
      <c r="Q1421" s="7"/>
      <c r="R1421" s="16"/>
      <c r="S1421" s="17"/>
      <c r="T1421" s="8"/>
      <c r="U1421" s="8"/>
      <c r="V1421" s="8"/>
      <c r="W1421" s="7"/>
      <c r="X1421" s="7"/>
      <c r="Y1421" s="7"/>
      <c r="Z1421" s="7"/>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c r="AX1421" s="7"/>
      <c r="AY1421" s="7"/>
      <c r="AZ1421" s="7"/>
      <c r="BA1421" s="7"/>
      <c r="BB1421" s="7"/>
      <c r="BC1421" s="7"/>
      <c r="BD1421" s="7"/>
      <c r="BE1421" s="7"/>
      <c r="BF1421" s="7"/>
      <c r="BG1421" s="7"/>
    </row>
    <row r="1422" customHeight="1" spans="1:59">
      <c r="A1422" s="9"/>
      <c r="B1422" s="5"/>
      <c r="C1422" s="5"/>
      <c r="D1422" s="5"/>
      <c r="E1422" s="7"/>
      <c r="F1422" s="8"/>
      <c r="G1422" s="8"/>
      <c r="H1422" s="8"/>
      <c r="I1422" s="14"/>
      <c r="J1422" s="14"/>
      <c r="K1422" s="14"/>
      <c r="L1422" s="14"/>
      <c r="M1422" s="7"/>
      <c r="N1422" s="8"/>
      <c r="O1422" s="8"/>
      <c r="P1422" s="8"/>
      <c r="Q1422" s="7"/>
      <c r="R1422" s="16"/>
      <c r="S1422" s="17"/>
      <c r="T1422" s="8"/>
      <c r="U1422" s="8"/>
      <c r="V1422" s="8"/>
      <c r="W1422" s="7"/>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7"/>
      <c r="BD1422" s="7"/>
      <c r="BE1422" s="7"/>
      <c r="BF1422" s="7"/>
      <c r="BG1422" s="7"/>
    </row>
    <row r="1423" customHeight="1" spans="1:59">
      <c r="A1423" s="9"/>
      <c r="B1423" s="5"/>
      <c r="C1423" s="5"/>
      <c r="D1423" s="5"/>
      <c r="E1423" s="7"/>
      <c r="F1423" s="8"/>
      <c r="G1423" s="8"/>
      <c r="H1423" s="8"/>
      <c r="I1423" s="14"/>
      <c r="J1423" s="14"/>
      <c r="K1423" s="14"/>
      <c r="L1423" s="14"/>
      <c r="M1423" s="7"/>
      <c r="N1423" s="8"/>
      <c r="O1423" s="8"/>
      <c r="P1423" s="8"/>
      <c r="Q1423" s="7"/>
      <c r="R1423" s="16"/>
      <c r="S1423" s="17"/>
      <c r="T1423" s="8"/>
      <c r="U1423" s="8"/>
      <c r="V1423" s="8"/>
      <c r="W1423" s="7"/>
      <c r="X1423" s="7"/>
      <c r="Y1423" s="7"/>
      <c r="Z1423" s="7"/>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c r="AX1423" s="7"/>
      <c r="AY1423" s="7"/>
      <c r="AZ1423" s="7"/>
      <c r="BA1423" s="7"/>
      <c r="BB1423" s="7"/>
      <c r="BC1423" s="7"/>
      <c r="BD1423" s="7"/>
      <c r="BE1423" s="7"/>
      <c r="BF1423" s="7"/>
      <c r="BG1423" s="7"/>
    </row>
    <row r="1424" customHeight="1" spans="1:59">
      <c r="A1424" s="9"/>
      <c r="B1424" s="5"/>
      <c r="C1424" s="5"/>
      <c r="D1424" s="5"/>
      <c r="E1424" s="7"/>
      <c r="F1424" s="8"/>
      <c r="G1424" s="8"/>
      <c r="H1424" s="8"/>
      <c r="I1424" s="14"/>
      <c r="J1424" s="14"/>
      <c r="K1424" s="14"/>
      <c r="L1424" s="14"/>
      <c r="M1424" s="7"/>
      <c r="N1424" s="8"/>
      <c r="O1424" s="8"/>
      <c r="P1424" s="8"/>
      <c r="Q1424" s="7"/>
      <c r="R1424" s="16"/>
      <c r="S1424" s="17"/>
      <c r="T1424" s="8"/>
      <c r="U1424" s="8"/>
      <c r="V1424" s="8"/>
      <c r="W1424" s="7"/>
      <c r="X1424" s="7"/>
      <c r="Y1424" s="7"/>
      <c r="Z1424" s="7"/>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c r="AX1424" s="7"/>
      <c r="AY1424" s="7"/>
      <c r="AZ1424" s="7"/>
      <c r="BA1424" s="7"/>
      <c r="BB1424" s="7"/>
      <c r="BC1424" s="7"/>
      <c r="BD1424" s="7"/>
      <c r="BE1424" s="7"/>
      <c r="BF1424" s="7"/>
      <c r="BG1424" s="7"/>
    </row>
    <row r="1425" customHeight="1" spans="1:59">
      <c r="A1425" s="9"/>
      <c r="B1425" s="5"/>
      <c r="C1425" s="5"/>
      <c r="D1425" s="5"/>
      <c r="E1425" s="7"/>
      <c r="F1425" s="8"/>
      <c r="G1425" s="8"/>
      <c r="H1425" s="8"/>
      <c r="I1425" s="14"/>
      <c r="J1425" s="14"/>
      <c r="K1425" s="14"/>
      <c r="L1425" s="14"/>
      <c r="M1425" s="7"/>
      <c r="N1425" s="8"/>
      <c r="O1425" s="8"/>
      <c r="P1425" s="8"/>
      <c r="Q1425" s="7"/>
      <c r="R1425" s="16"/>
      <c r="S1425" s="17"/>
      <c r="T1425" s="8"/>
      <c r="U1425" s="8"/>
      <c r="V1425" s="8"/>
      <c r="W1425" s="7"/>
      <c r="X1425" s="7"/>
      <c r="Y1425" s="7"/>
      <c r="Z1425" s="7"/>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c r="AX1425" s="7"/>
      <c r="AY1425" s="7"/>
      <c r="AZ1425" s="7"/>
      <c r="BA1425" s="7"/>
      <c r="BB1425" s="7"/>
      <c r="BC1425" s="7"/>
      <c r="BD1425" s="7"/>
      <c r="BE1425" s="7"/>
      <c r="BF1425" s="7"/>
      <c r="BG1425" s="7"/>
    </row>
    <row r="1426" customHeight="1" spans="1:59">
      <c r="A1426" s="9"/>
      <c r="B1426" s="5"/>
      <c r="C1426" s="5"/>
      <c r="D1426" s="5"/>
      <c r="E1426" s="7"/>
      <c r="F1426" s="8"/>
      <c r="G1426" s="8"/>
      <c r="H1426" s="8"/>
      <c r="I1426" s="14"/>
      <c r="J1426" s="14"/>
      <c r="K1426" s="14"/>
      <c r="L1426" s="14"/>
      <c r="M1426" s="7"/>
      <c r="N1426" s="8"/>
      <c r="O1426" s="8"/>
      <c r="P1426" s="8"/>
      <c r="Q1426" s="7"/>
      <c r="R1426" s="16"/>
      <c r="S1426" s="17"/>
      <c r="T1426" s="8"/>
      <c r="U1426" s="8"/>
      <c r="V1426" s="8"/>
      <c r="W1426" s="7"/>
      <c r="X1426" s="7"/>
      <c r="Y1426" s="7"/>
      <c r="Z1426" s="7"/>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c r="AX1426" s="7"/>
      <c r="AY1426" s="7"/>
      <c r="AZ1426" s="7"/>
      <c r="BA1426" s="7"/>
      <c r="BB1426" s="7"/>
      <c r="BC1426" s="7"/>
      <c r="BD1426" s="7"/>
      <c r="BE1426" s="7"/>
      <c r="BF1426" s="7"/>
      <c r="BG1426" s="7"/>
    </row>
    <row r="1427" customHeight="1" spans="1:59">
      <c r="A1427" s="9"/>
      <c r="B1427" s="5"/>
      <c r="C1427" s="5"/>
      <c r="D1427" s="5"/>
      <c r="E1427" s="7"/>
      <c r="F1427" s="8"/>
      <c r="G1427" s="8"/>
      <c r="H1427" s="8"/>
      <c r="I1427" s="14"/>
      <c r="J1427" s="14"/>
      <c r="K1427" s="14"/>
      <c r="L1427" s="14"/>
      <c r="M1427" s="7"/>
      <c r="N1427" s="8"/>
      <c r="O1427" s="8"/>
      <c r="P1427" s="8"/>
      <c r="Q1427" s="7"/>
      <c r="R1427" s="16"/>
      <c r="S1427" s="17"/>
      <c r="T1427" s="8"/>
      <c r="U1427" s="8"/>
      <c r="V1427" s="8"/>
      <c r="W1427" s="7"/>
      <c r="X1427" s="7"/>
      <c r="Y1427" s="7"/>
      <c r="Z1427" s="7"/>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c r="AX1427" s="7"/>
      <c r="AY1427" s="7"/>
      <c r="AZ1427" s="7"/>
      <c r="BA1427" s="7"/>
      <c r="BB1427" s="7"/>
      <c r="BC1427" s="7"/>
      <c r="BD1427" s="7"/>
      <c r="BE1427" s="7"/>
      <c r="BF1427" s="7"/>
      <c r="BG1427" s="7"/>
    </row>
    <row r="1428" customHeight="1" spans="1:59">
      <c r="A1428" s="9"/>
      <c r="B1428" s="5"/>
      <c r="C1428" s="5"/>
      <c r="D1428" s="5"/>
      <c r="E1428" s="7"/>
      <c r="F1428" s="8"/>
      <c r="G1428" s="8"/>
      <c r="H1428" s="8"/>
      <c r="I1428" s="14"/>
      <c r="J1428" s="14"/>
      <c r="K1428" s="14"/>
      <c r="L1428" s="14"/>
      <c r="M1428" s="7"/>
      <c r="N1428" s="8"/>
      <c r="O1428" s="8"/>
      <c r="P1428" s="8"/>
      <c r="Q1428" s="7"/>
      <c r="R1428" s="16"/>
      <c r="S1428" s="17"/>
      <c r="T1428" s="8"/>
      <c r="U1428" s="8"/>
      <c r="V1428" s="8"/>
      <c r="W1428" s="7"/>
      <c r="X1428" s="7"/>
      <c r="Y1428" s="7"/>
      <c r="Z1428" s="7"/>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c r="AX1428" s="7"/>
      <c r="AY1428" s="7"/>
      <c r="AZ1428" s="7"/>
      <c r="BA1428" s="7"/>
      <c r="BB1428" s="7"/>
      <c r="BC1428" s="7"/>
      <c r="BD1428" s="7"/>
      <c r="BE1428" s="7"/>
      <c r="BF1428" s="7"/>
      <c r="BG1428" s="7"/>
    </row>
    <row r="1429" customHeight="1" spans="1:59">
      <c r="A1429" s="9"/>
      <c r="B1429" s="5"/>
      <c r="C1429" s="5"/>
      <c r="D1429" s="5"/>
      <c r="E1429" s="7"/>
      <c r="F1429" s="8"/>
      <c r="G1429" s="8"/>
      <c r="H1429" s="8"/>
      <c r="I1429" s="14"/>
      <c r="J1429" s="14"/>
      <c r="K1429" s="14"/>
      <c r="L1429" s="14"/>
      <c r="M1429" s="7"/>
      <c r="N1429" s="8"/>
      <c r="O1429" s="8"/>
      <c r="P1429" s="8"/>
      <c r="Q1429" s="7"/>
      <c r="R1429" s="16"/>
      <c r="S1429" s="17"/>
      <c r="T1429" s="8"/>
      <c r="U1429" s="8"/>
      <c r="V1429" s="8"/>
      <c r="W1429" s="7"/>
      <c r="X1429" s="7"/>
      <c r="Y1429" s="7"/>
      <c r="Z1429" s="7"/>
      <c r="AA1429" s="7"/>
      <c r="AB1429" s="7"/>
      <c r="AC1429" s="7"/>
      <c r="AD1429" s="7"/>
      <c r="AE1429" s="7"/>
      <c r="AF1429" s="7"/>
      <c r="AG1429" s="7"/>
      <c r="AH1429" s="7"/>
      <c r="AI1429" s="7"/>
      <c r="AJ1429" s="7"/>
      <c r="AK1429" s="7"/>
      <c r="AL1429" s="7"/>
      <c r="AM1429" s="7"/>
      <c r="AN1429" s="7"/>
      <c r="AO1429" s="7"/>
      <c r="AP1429" s="7"/>
      <c r="AQ1429" s="7"/>
      <c r="AR1429" s="7"/>
      <c r="AS1429" s="7"/>
      <c r="AT1429" s="7"/>
      <c r="AU1429" s="7"/>
      <c r="AV1429" s="7"/>
      <c r="AW1429" s="7"/>
      <c r="AX1429" s="7"/>
      <c r="AY1429" s="7"/>
      <c r="AZ1429" s="7"/>
      <c r="BA1429" s="7"/>
      <c r="BB1429" s="7"/>
      <c r="BC1429" s="7"/>
      <c r="BD1429" s="7"/>
      <c r="BE1429" s="7"/>
      <c r="BF1429" s="7"/>
      <c r="BG1429" s="7"/>
    </row>
    <row r="1430" customHeight="1" spans="1:59">
      <c r="A1430" s="9"/>
      <c r="B1430" s="5"/>
      <c r="C1430" s="5"/>
      <c r="D1430" s="5"/>
      <c r="E1430" s="7"/>
      <c r="F1430" s="8"/>
      <c r="G1430" s="8"/>
      <c r="H1430" s="8"/>
      <c r="I1430" s="14"/>
      <c r="J1430" s="14"/>
      <c r="K1430" s="14"/>
      <c r="L1430" s="14"/>
      <c r="M1430" s="7"/>
      <c r="N1430" s="8"/>
      <c r="O1430" s="8"/>
      <c r="P1430" s="8"/>
      <c r="Q1430" s="7"/>
      <c r="R1430" s="16"/>
      <c r="S1430" s="17"/>
      <c r="T1430" s="8"/>
      <c r="U1430" s="8"/>
      <c r="V1430" s="8"/>
      <c r="W1430" s="7"/>
      <c r="X1430" s="7"/>
      <c r="Y1430" s="7"/>
      <c r="Z1430" s="7"/>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c r="AX1430" s="7"/>
      <c r="AY1430" s="7"/>
      <c r="AZ1430" s="7"/>
      <c r="BA1430" s="7"/>
      <c r="BB1430" s="7"/>
      <c r="BC1430" s="7"/>
      <c r="BD1430" s="7"/>
      <c r="BE1430" s="7"/>
      <c r="BF1430" s="7"/>
      <c r="BG1430" s="7"/>
    </row>
    <row r="1431" customHeight="1" spans="1:59">
      <c r="A1431" s="9"/>
      <c r="B1431" s="5"/>
      <c r="C1431" s="5"/>
      <c r="D1431" s="5"/>
      <c r="E1431" s="7"/>
      <c r="F1431" s="8"/>
      <c r="G1431" s="8"/>
      <c r="H1431" s="8"/>
      <c r="I1431" s="14"/>
      <c r="J1431" s="14"/>
      <c r="K1431" s="14"/>
      <c r="L1431" s="14"/>
      <c r="M1431" s="7"/>
      <c r="N1431" s="8"/>
      <c r="O1431" s="8"/>
      <c r="P1431" s="8"/>
      <c r="Q1431" s="7"/>
      <c r="R1431" s="16"/>
      <c r="S1431" s="17"/>
      <c r="T1431" s="8"/>
      <c r="U1431" s="8"/>
      <c r="V1431" s="8"/>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7"/>
      <c r="BD1431" s="7"/>
      <c r="BE1431" s="7"/>
      <c r="BF1431" s="7"/>
      <c r="BG1431" s="7"/>
    </row>
    <row r="1432" customHeight="1" spans="1:59">
      <c r="A1432" s="9"/>
      <c r="B1432" s="5"/>
      <c r="C1432" s="5"/>
      <c r="D1432" s="5"/>
      <c r="E1432" s="7"/>
      <c r="F1432" s="8"/>
      <c r="G1432" s="8"/>
      <c r="H1432" s="8"/>
      <c r="I1432" s="14"/>
      <c r="J1432" s="14"/>
      <c r="K1432" s="14"/>
      <c r="L1432" s="14"/>
      <c r="M1432" s="7"/>
      <c r="N1432" s="8"/>
      <c r="O1432" s="8"/>
      <c r="P1432" s="8"/>
      <c r="Q1432" s="7"/>
      <c r="R1432" s="16"/>
      <c r="S1432" s="17"/>
      <c r="T1432" s="8"/>
      <c r="U1432" s="8"/>
      <c r="V1432" s="8"/>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7"/>
      <c r="BD1432" s="7"/>
      <c r="BE1432" s="7"/>
      <c r="BF1432" s="7"/>
      <c r="BG1432" s="7"/>
    </row>
    <row r="1433" customHeight="1" spans="1:59">
      <c r="A1433" s="9"/>
      <c r="B1433" s="5"/>
      <c r="C1433" s="5"/>
      <c r="D1433" s="5"/>
      <c r="E1433" s="7"/>
      <c r="F1433" s="8"/>
      <c r="G1433" s="8"/>
      <c r="H1433" s="8"/>
      <c r="I1433" s="14"/>
      <c r="J1433" s="14"/>
      <c r="K1433" s="14"/>
      <c r="L1433" s="14"/>
      <c r="M1433" s="7"/>
      <c r="N1433" s="8"/>
      <c r="O1433" s="8"/>
      <c r="P1433" s="8"/>
      <c r="Q1433" s="7"/>
      <c r="R1433" s="16"/>
      <c r="S1433" s="17"/>
      <c r="T1433" s="8"/>
      <c r="U1433" s="8"/>
      <c r="V1433" s="8"/>
      <c r="W1433" s="7"/>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c r="AX1433" s="7"/>
      <c r="AY1433" s="7"/>
      <c r="AZ1433" s="7"/>
      <c r="BA1433" s="7"/>
      <c r="BB1433" s="7"/>
      <c r="BC1433" s="7"/>
      <c r="BD1433" s="7"/>
      <c r="BE1433" s="7"/>
      <c r="BF1433" s="7"/>
      <c r="BG1433" s="7"/>
    </row>
    <row r="1434" customHeight="1" spans="1:59">
      <c r="A1434" s="9"/>
      <c r="B1434" s="5"/>
      <c r="C1434" s="5"/>
      <c r="D1434" s="5"/>
      <c r="E1434" s="7"/>
      <c r="F1434" s="8"/>
      <c r="G1434" s="8"/>
      <c r="H1434" s="8"/>
      <c r="I1434" s="14"/>
      <c r="J1434" s="14"/>
      <c r="K1434" s="14"/>
      <c r="L1434" s="14"/>
      <c r="M1434" s="7"/>
      <c r="N1434" s="8"/>
      <c r="O1434" s="8"/>
      <c r="P1434" s="8"/>
      <c r="Q1434" s="7"/>
      <c r="R1434" s="16"/>
      <c r="S1434" s="17"/>
      <c r="T1434" s="8"/>
      <c r="U1434" s="8"/>
      <c r="V1434" s="8"/>
      <c r="W1434" s="7"/>
      <c r="X1434" s="7"/>
      <c r="Y1434" s="7"/>
      <c r="Z1434" s="7"/>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c r="AX1434" s="7"/>
      <c r="AY1434" s="7"/>
      <c r="AZ1434" s="7"/>
      <c r="BA1434" s="7"/>
      <c r="BB1434" s="7"/>
      <c r="BC1434" s="7"/>
      <c r="BD1434" s="7"/>
      <c r="BE1434" s="7"/>
      <c r="BF1434" s="7"/>
      <c r="BG1434" s="7"/>
    </row>
    <row r="1435" customHeight="1" spans="1:59">
      <c r="A1435" s="9"/>
      <c r="B1435" s="5"/>
      <c r="C1435" s="5"/>
      <c r="D1435" s="5"/>
      <c r="E1435" s="7"/>
      <c r="F1435" s="8"/>
      <c r="G1435" s="8"/>
      <c r="H1435" s="8"/>
      <c r="I1435" s="14"/>
      <c r="J1435" s="14"/>
      <c r="K1435" s="14"/>
      <c r="L1435" s="14"/>
      <c r="M1435" s="7"/>
      <c r="N1435" s="8"/>
      <c r="O1435" s="8"/>
      <c r="P1435" s="8"/>
      <c r="Q1435" s="7"/>
      <c r="R1435" s="16"/>
      <c r="S1435" s="17"/>
      <c r="T1435" s="8"/>
      <c r="U1435" s="8"/>
      <c r="V1435" s="8"/>
      <c r="W1435" s="7"/>
      <c r="X1435" s="7"/>
      <c r="Y1435" s="7"/>
      <c r="Z1435" s="7"/>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c r="AX1435" s="7"/>
      <c r="AY1435" s="7"/>
      <c r="AZ1435" s="7"/>
      <c r="BA1435" s="7"/>
      <c r="BB1435" s="7"/>
      <c r="BC1435" s="7"/>
      <c r="BD1435" s="7"/>
      <c r="BE1435" s="7"/>
      <c r="BF1435" s="7"/>
      <c r="BG1435" s="7"/>
    </row>
    <row r="1436" customHeight="1" spans="1:59">
      <c r="A1436" s="9"/>
      <c r="B1436" s="5"/>
      <c r="C1436" s="5"/>
      <c r="D1436" s="5"/>
      <c r="E1436" s="7"/>
      <c r="F1436" s="8"/>
      <c r="G1436" s="8"/>
      <c r="H1436" s="8"/>
      <c r="I1436" s="14"/>
      <c r="J1436" s="14"/>
      <c r="K1436" s="14"/>
      <c r="L1436" s="14"/>
      <c r="M1436" s="7"/>
      <c r="N1436" s="8"/>
      <c r="O1436" s="8"/>
      <c r="P1436" s="8"/>
      <c r="Q1436" s="7"/>
      <c r="R1436" s="16"/>
      <c r="S1436" s="17"/>
      <c r="T1436" s="8"/>
      <c r="U1436" s="8"/>
      <c r="V1436" s="8"/>
      <c r="W1436" s="7"/>
      <c r="X1436" s="7"/>
      <c r="Y1436" s="7"/>
      <c r="Z1436" s="7"/>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c r="AX1436" s="7"/>
      <c r="AY1436" s="7"/>
      <c r="AZ1436" s="7"/>
      <c r="BA1436" s="7"/>
      <c r="BB1436" s="7"/>
      <c r="BC1436" s="7"/>
      <c r="BD1436" s="7"/>
      <c r="BE1436" s="7"/>
      <c r="BF1436" s="7"/>
      <c r="BG1436" s="7"/>
    </row>
    <row r="1437" customHeight="1" spans="1:59">
      <c r="A1437" s="9"/>
      <c r="B1437" s="5"/>
      <c r="C1437" s="5"/>
      <c r="D1437" s="5"/>
      <c r="E1437" s="7"/>
      <c r="F1437" s="8"/>
      <c r="G1437" s="8"/>
      <c r="H1437" s="8"/>
      <c r="I1437" s="14"/>
      <c r="J1437" s="14"/>
      <c r="K1437" s="14"/>
      <c r="L1437" s="14"/>
      <c r="M1437" s="7"/>
      <c r="N1437" s="8"/>
      <c r="O1437" s="8"/>
      <c r="P1437" s="8"/>
      <c r="Q1437" s="7"/>
      <c r="R1437" s="16"/>
      <c r="S1437" s="17"/>
      <c r="T1437" s="8"/>
      <c r="U1437" s="8"/>
      <c r="V1437" s="8"/>
      <c r="W1437" s="7"/>
      <c r="X1437" s="7"/>
      <c r="Y1437" s="7"/>
      <c r="Z1437" s="7"/>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c r="AX1437" s="7"/>
      <c r="AY1437" s="7"/>
      <c r="AZ1437" s="7"/>
      <c r="BA1437" s="7"/>
      <c r="BB1437" s="7"/>
      <c r="BC1437" s="7"/>
      <c r="BD1437" s="7"/>
      <c r="BE1437" s="7"/>
      <c r="BF1437" s="7"/>
      <c r="BG1437" s="7"/>
    </row>
    <row r="1438" customHeight="1" spans="1:59">
      <c r="A1438" s="9"/>
      <c r="B1438" s="5"/>
      <c r="C1438" s="5"/>
      <c r="D1438" s="5"/>
      <c r="E1438" s="7"/>
      <c r="F1438" s="8"/>
      <c r="G1438" s="8"/>
      <c r="H1438" s="8"/>
      <c r="I1438" s="14"/>
      <c r="J1438" s="14"/>
      <c r="K1438" s="14"/>
      <c r="L1438" s="14"/>
      <c r="M1438" s="7"/>
      <c r="N1438" s="8"/>
      <c r="O1438" s="8"/>
      <c r="P1438" s="8"/>
      <c r="Q1438" s="7"/>
      <c r="R1438" s="16"/>
      <c r="S1438" s="17"/>
      <c r="T1438" s="8"/>
      <c r="U1438" s="8"/>
      <c r="V1438" s="8"/>
      <c r="W1438" s="7"/>
      <c r="X1438" s="7"/>
      <c r="Y1438" s="7"/>
      <c r="Z1438" s="7"/>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c r="AX1438" s="7"/>
      <c r="AY1438" s="7"/>
      <c r="AZ1438" s="7"/>
      <c r="BA1438" s="7"/>
      <c r="BB1438" s="7"/>
      <c r="BC1438" s="7"/>
      <c r="BD1438" s="7"/>
      <c r="BE1438" s="7"/>
      <c r="BF1438" s="7"/>
      <c r="BG1438" s="7"/>
    </row>
    <row r="1439" customHeight="1" spans="1:59">
      <c r="A1439" s="9"/>
      <c r="B1439" s="5"/>
      <c r="C1439" s="5"/>
      <c r="D1439" s="5"/>
      <c r="E1439" s="7"/>
      <c r="F1439" s="8"/>
      <c r="G1439" s="8"/>
      <c r="H1439" s="8"/>
      <c r="I1439" s="14"/>
      <c r="J1439" s="14"/>
      <c r="K1439" s="14"/>
      <c r="L1439" s="14"/>
      <c r="M1439" s="7"/>
      <c r="N1439" s="8"/>
      <c r="O1439" s="8"/>
      <c r="P1439" s="8"/>
      <c r="Q1439" s="7"/>
      <c r="R1439" s="16"/>
      <c r="S1439" s="17"/>
      <c r="T1439" s="8"/>
      <c r="U1439" s="8"/>
      <c r="V1439" s="8"/>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7"/>
      <c r="BD1439" s="7"/>
      <c r="BE1439" s="7"/>
      <c r="BF1439" s="7"/>
      <c r="BG1439" s="7"/>
    </row>
    <row r="1440" customHeight="1" spans="1:59">
      <c r="A1440" s="9"/>
      <c r="B1440" s="5"/>
      <c r="C1440" s="5"/>
      <c r="D1440" s="5"/>
      <c r="E1440" s="7"/>
      <c r="F1440" s="8"/>
      <c r="G1440" s="8"/>
      <c r="H1440" s="8"/>
      <c r="I1440" s="14"/>
      <c r="J1440" s="14"/>
      <c r="K1440" s="14"/>
      <c r="L1440" s="14"/>
      <c r="M1440" s="7"/>
      <c r="N1440" s="8"/>
      <c r="O1440" s="8"/>
      <c r="P1440" s="8"/>
      <c r="Q1440" s="7"/>
      <c r="R1440" s="16"/>
      <c r="S1440" s="17"/>
      <c r="T1440" s="8"/>
      <c r="U1440" s="8"/>
      <c r="V1440" s="8"/>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row>
    <row r="1441" customHeight="1" spans="1:59">
      <c r="A1441" s="9"/>
      <c r="B1441" s="5"/>
      <c r="C1441" s="5"/>
      <c r="D1441" s="5"/>
      <c r="E1441" s="7"/>
      <c r="F1441" s="8"/>
      <c r="G1441" s="8"/>
      <c r="H1441" s="8"/>
      <c r="I1441" s="14"/>
      <c r="J1441" s="14"/>
      <c r="K1441" s="14"/>
      <c r="L1441" s="14"/>
      <c r="M1441" s="7"/>
      <c r="N1441" s="8"/>
      <c r="O1441" s="8"/>
      <c r="P1441" s="8"/>
      <c r="Q1441" s="7"/>
      <c r="R1441" s="16"/>
      <c r="S1441" s="17"/>
      <c r="T1441" s="8"/>
      <c r="U1441" s="8"/>
      <c r="V1441" s="8"/>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row>
    <row r="1442" customHeight="1" spans="1:59">
      <c r="A1442" s="9"/>
      <c r="B1442" s="5"/>
      <c r="C1442" s="5"/>
      <c r="D1442" s="5"/>
      <c r="E1442" s="7"/>
      <c r="F1442" s="8"/>
      <c r="G1442" s="8"/>
      <c r="H1442" s="8"/>
      <c r="I1442" s="14"/>
      <c r="J1442" s="14"/>
      <c r="K1442" s="14"/>
      <c r="L1442" s="14"/>
      <c r="M1442" s="7"/>
      <c r="N1442" s="8"/>
      <c r="O1442" s="8"/>
      <c r="P1442" s="8"/>
      <c r="Q1442" s="7"/>
      <c r="R1442" s="16"/>
      <c r="S1442" s="17"/>
      <c r="T1442" s="8"/>
      <c r="U1442" s="8"/>
      <c r="V1442" s="8"/>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7"/>
      <c r="BD1442" s="7"/>
      <c r="BE1442" s="7"/>
      <c r="BF1442" s="7"/>
      <c r="BG1442" s="7"/>
    </row>
    <row r="1443" customHeight="1" spans="1:59">
      <c r="A1443" s="9"/>
      <c r="B1443" s="5"/>
      <c r="C1443" s="5"/>
      <c r="D1443" s="5"/>
      <c r="E1443" s="7"/>
      <c r="F1443" s="8"/>
      <c r="G1443" s="8"/>
      <c r="H1443" s="8"/>
      <c r="I1443" s="14"/>
      <c r="J1443" s="14"/>
      <c r="K1443" s="14"/>
      <c r="L1443" s="14"/>
      <c r="M1443" s="7"/>
      <c r="N1443" s="8"/>
      <c r="O1443" s="8"/>
      <c r="P1443" s="8"/>
      <c r="Q1443" s="7"/>
      <c r="R1443" s="16"/>
      <c r="S1443" s="17"/>
      <c r="T1443" s="8"/>
      <c r="U1443" s="8"/>
      <c r="V1443" s="8"/>
      <c r="W1443" s="7"/>
      <c r="X1443" s="7"/>
      <c r="Y1443" s="7"/>
      <c r="Z1443" s="7"/>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c r="AX1443" s="7"/>
      <c r="AY1443" s="7"/>
      <c r="AZ1443" s="7"/>
      <c r="BA1443" s="7"/>
      <c r="BB1443" s="7"/>
      <c r="BC1443" s="7"/>
      <c r="BD1443" s="7"/>
      <c r="BE1443" s="7"/>
      <c r="BF1443" s="7"/>
      <c r="BG1443" s="7"/>
    </row>
    <row r="1444" customHeight="1" spans="1:59">
      <c r="A1444" s="9"/>
      <c r="B1444" s="5"/>
      <c r="C1444" s="5"/>
      <c r="D1444" s="5"/>
      <c r="E1444" s="7"/>
      <c r="F1444" s="8"/>
      <c r="G1444" s="8"/>
      <c r="H1444" s="8"/>
      <c r="I1444" s="14"/>
      <c r="J1444" s="14"/>
      <c r="K1444" s="14"/>
      <c r="L1444" s="14"/>
      <c r="M1444" s="7"/>
      <c r="N1444" s="8"/>
      <c r="O1444" s="8"/>
      <c r="P1444" s="8"/>
      <c r="Q1444" s="7"/>
      <c r="R1444" s="16"/>
      <c r="S1444" s="17"/>
      <c r="T1444" s="8"/>
      <c r="U1444" s="8"/>
      <c r="V1444" s="8"/>
      <c r="W1444" s="7"/>
      <c r="X1444" s="7"/>
      <c r="Y1444" s="7"/>
      <c r="Z1444" s="7"/>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c r="AX1444" s="7"/>
      <c r="AY1444" s="7"/>
      <c r="AZ1444" s="7"/>
      <c r="BA1444" s="7"/>
      <c r="BB1444" s="7"/>
      <c r="BC1444" s="7"/>
      <c r="BD1444" s="7"/>
      <c r="BE1444" s="7"/>
      <c r="BF1444" s="7"/>
      <c r="BG1444" s="7"/>
    </row>
    <row r="1445" customHeight="1" spans="1:59">
      <c r="A1445" s="9"/>
      <c r="B1445" s="5"/>
      <c r="C1445" s="5"/>
      <c r="D1445" s="5"/>
      <c r="E1445" s="7"/>
      <c r="F1445" s="8"/>
      <c r="G1445" s="8"/>
      <c r="H1445" s="8"/>
      <c r="I1445" s="14"/>
      <c r="J1445" s="14"/>
      <c r="K1445" s="14"/>
      <c r="L1445" s="14"/>
      <c r="M1445" s="7"/>
      <c r="N1445" s="8"/>
      <c r="O1445" s="8"/>
      <c r="P1445" s="8"/>
      <c r="Q1445" s="7"/>
      <c r="R1445" s="16"/>
      <c r="S1445" s="17"/>
      <c r="T1445" s="8"/>
      <c r="U1445" s="8"/>
      <c r="V1445" s="8"/>
      <c r="W1445" s="7"/>
      <c r="X1445" s="7"/>
      <c r="Y1445" s="7"/>
      <c r="Z1445" s="7"/>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row>
    <row r="1446" customHeight="1" spans="1:59">
      <c r="A1446" s="9"/>
      <c r="B1446" s="5"/>
      <c r="C1446" s="5"/>
      <c r="D1446" s="5"/>
      <c r="E1446" s="7"/>
      <c r="F1446" s="8"/>
      <c r="G1446" s="8"/>
      <c r="H1446" s="8"/>
      <c r="I1446" s="14"/>
      <c r="J1446" s="14"/>
      <c r="K1446" s="14"/>
      <c r="L1446" s="14"/>
      <c r="M1446" s="7"/>
      <c r="N1446" s="8"/>
      <c r="O1446" s="8"/>
      <c r="P1446" s="8"/>
      <c r="Q1446" s="7"/>
      <c r="R1446" s="16"/>
      <c r="S1446" s="17"/>
      <c r="T1446" s="8"/>
      <c r="U1446" s="8"/>
      <c r="V1446" s="8"/>
      <c r="W1446" s="7"/>
      <c r="X1446" s="7"/>
      <c r="Y1446" s="7"/>
      <c r="Z1446" s="7"/>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7"/>
      <c r="BD1446" s="7"/>
      <c r="BE1446" s="7"/>
      <c r="BF1446" s="7"/>
      <c r="BG1446" s="7"/>
    </row>
    <row r="1447" customHeight="1" spans="1:59">
      <c r="A1447" s="9"/>
      <c r="B1447" s="5"/>
      <c r="C1447" s="5"/>
      <c r="D1447" s="5"/>
      <c r="E1447" s="7"/>
      <c r="F1447" s="8"/>
      <c r="G1447" s="8"/>
      <c r="H1447" s="8"/>
      <c r="I1447" s="14"/>
      <c r="J1447" s="14"/>
      <c r="K1447" s="14"/>
      <c r="L1447" s="14"/>
      <c r="M1447" s="7"/>
      <c r="N1447" s="8"/>
      <c r="O1447" s="8"/>
      <c r="P1447" s="8"/>
      <c r="Q1447" s="7"/>
      <c r="R1447" s="16"/>
      <c r="S1447" s="17"/>
      <c r="T1447" s="8"/>
      <c r="U1447" s="8"/>
      <c r="V1447" s="8"/>
      <c r="W1447" s="7"/>
      <c r="X1447" s="7"/>
      <c r="Y1447" s="7"/>
      <c r="Z1447" s="7"/>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c r="AX1447" s="7"/>
      <c r="AY1447" s="7"/>
      <c r="AZ1447" s="7"/>
      <c r="BA1447" s="7"/>
      <c r="BB1447" s="7"/>
      <c r="BC1447" s="7"/>
      <c r="BD1447" s="7"/>
      <c r="BE1447" s="7"/>
      <c r="BF1447" s="7"/>
      <c r="BG1447" s="7"/>
    </row>
    <row r="1448" customHeight="1" spans="1:59">
      <c r="A1448" s="9"/>
      <c r="B1448" s="5"/>
      <c r="C1448" s="5"/>
      <c r="D1448" s="5"/>
      <c r="E1448" s="7"/>
      <c r="F1448" s="8"/>
      <c r="G1448" s="8"/>
      <c r="H1448" s="8"/>
      <c r="I1448" s="14"/>
      <c r="J1448" s="14"/>
      <c r="K1448" s="14"/>
      <c r="L1448" s="14"/>
      <c r="M1448" s="7"/>
      <c r="N1448" s="8"/>
      <c r="O1448" s="8"/>
      <c r="P1448" s="8"/>
      <c r="Q1448" s="7"/>
      <c r="R1448" s="16"/>
      <c r="S1448" s="17"/>
      <c r="T1448" s="8"/>
      <c r="U1448" s="8"/>
      <c r="V1448" s="8"/>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row>
    <row r="1449" customHeight="1" spans="1:59">
      <c r="A1449" s="9"/>
      <c r="B1449" s="5"/>
      <c r="C1449" s="5"/>
      <c r="D1449" s="5"/>
      <c r="E1449" s="7"/>
      <c r="F1449" s="8"/>
      <c r="G1449" s="8"/>
      <c r="H1449" s="8"/>
      <c r="I1449" s="14"/>
      <c r="J1449" s="14"/>
      <c r="K1449" s="14"/>
      <c r="L1449" s="14"/>
      <c r="M1449" s="7"/>
      <c r="N1449" s="8"/>
      <c r="O1449" s="8"/>
      <c r="P1449" s="8"/>
      <c r="Q1449" s="7"/>
      <c r="R1449" s="16"/>
      <c r="S1449" s="17"/>
      <c r="T1449" s="8"/>
      <c r="U1449" s="8"/>
      <c r="V1449" s="8"/>
      <c r="W1449" s="7"/>
      <c r="X1449" s="7"/>
      <c r="Y1449" s="7"/>
      <c r="Z1449" s="7"/>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7"/>
      <c r="BD1449" s="7"/>
      <c r="BE1449" s="7"/>
      <c r="BF1449" s="7"/>
      <c r="BG1449" s="7"/>
    </row>
    <row r="1450" customHeight="1" spans="1:59">
      <c r="A1450" s="9"/>
      <c r="B1450" s="5"/>
      <c r="C1450" s="5"/>
      <c r="D1450" s="5"/>
      <c r="E1450" s="7"/>
      <c r="F1450" s="8"/>
      <c r="G1450" s="8"/>
      <c r="H1450" s="8"/>
      <c r="I1450" s="14"/>
      <c r="J1450" s="14"/>
      <c r="K1450" s="14"/>
      <c r="L1450" s="14"/>
      <c r="M1450" s="7"/>
      <c r="N1450" s="8"/>
      <c r="O1450" s="8"/>
      <c r="P1450" s="8"/>
      <c r="Q1450" s="7"/>
      <c r="R1450" s="16"/>
      <c r="S1450" s="17"/>
      <c r="T1450" s="8"/>
      <c r="U1450" s="8"/>
      <c r="V1450" s="8"/>
      <c r="W1450" s="7"/>
      <c r="X1450" s="7"/>
      <c r="Y1450" s="7"/>
      <c r="Z1450" s="7"/>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c r="AX1450" s="7"/>
      <c r="AY1450" s="7"/>
      <c r="AZ1450" s="7"/>
      <c r="BA1450" s="7"/>
      <c r="BB1450" s="7"/>
      <c r="BC1450" s="7"/>
      <c r="BD1450" s="7"/>
      <c r="BE1450" s="7"/>
      <c r="BF1450" s="7"/>
      <c r="BG1450" s="7"/>
    </row>
    <row r="1451" customHeight="1" spans="1:59">
      <c r="A1451" s="9"/>
      <c r="B1451" s="5"/>
      <c r="C1451" s="5"/>
      <c r="D1451" s="5"/>
      <c r="E1451" s="7"/>
      <c r="F1451" s="8"/>
      <c r="G1451" s="8"/>
      <c r="H1451" s="8"/>
      <c r="I1451" s="14"/>
      <c r="J1451" s="14"/>
      <c r="K1451" s="14"/>
      <c r="L1451" s="14"/>
      <c r="M1451" s="7"/>
      <c r="N1451" s="8"/>
      <c r="O1451" s="8"/>
      <c r="P1451" s="8"/>
      <c r="Q1451" s="7"/>
      <c r="R1451" s="16"/>
      <c r="S1451" s="17"/>
      <c r="T1451" s="8"/>
      <c r="U1451" s="8"/>
      <c r="V1451" s="8"/>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row>
    <row r="1452" customHeight="1" spans="1:59">
      <c r="A1452" s="9"/>
      <c r="B1452" s="5"/>
      <c r="C1452" s="5"/>
      <c r="D1452" s="5"/>
      <c r="E1452" s="7"/>
      <c r="F1452" s="8"/>
      <c r="G1452" s="8"/>
      <c r="H1452" s="8"/>
      <c r="I1452" s="14"/>
      <c r="J1452" s="14"/>
      <c r="K1452" s="14"/>
      <c r="L1452" s="14"/>
      <c r="M1452" s="7"/>
      <c r="N1452" s="8"/>
      <c r="O1452" s="8"/>
      <c r="P1452" s="8"/>
      <c r="Q1452" s="7"/>
      <c r="R1452" s="16"/>
      <c r="S1452" s="17"/>
      <c r="T1452" s="8"/>
      <c r="U1452" s="8"/>
      <c r="V1452" s="8"/>
      <c r="W1452" s="7"/>
      <c r="X1452" s="7"/>
      <c r="Y1452" s="7"/>
      <c r="Z1452" s="7"/>
      <c r="AA1452" s="7"/>
      <c r="AB1452" s="7"/>
      <c r="AC1452" s="7"/>
      <c r="AD1452" s="7"/>
      <c r="AE1452" s="7"/>
      <c r="AF1452" s="7"/>
      <c r="AG1452" s="7"/>
      <c r="AH1452" s="7"/>
      <c r="AI1452" s="7"/>
      <c r="AJ1452" s="7"/>
      <c r="AK1452" s="7"/>
      <c r="AL1452" s="7"/>
      <c r="AM1452" s="7"/>
      <c r="AN1452" s="7"/>
      <c r="AO1452" s="7"/>
      <c r="AP1452" s="7"/>
      <c r="AQ1452" s="7"/>
      <c r="AR1452" s="7"/>
      <c r="AS1452" s="7"/>
      <c r="AT1452" s="7"/>
      <c r="AU1452" s="7"/>
      <c r="AV1452" s="7"/>
      <c r="AW1452" s="7"/>
      <c r="AX1452" s="7"/>
      <c r="AY1452" s="7"/>
      <c r="AZ1452" s="7"/>
      <c r="BA1452" s="7"/>
      <c r="BB1452" s="7"/>
      <c r="BC1452" s="7"/>
      <c r="BD1452" s="7"/>
      <c r="BE1452" s="7"/>
      <c r="BF1452" s="7"/>
      <c r="BG1452" s="7"/>
    </row>
    <row r="1453" customHeight="1" spans="1:59">
      <c r="A1453" s="9"/>
      <c r="B1453" s="5"/>
      <c r="C1453" s="5"/>
      <c r="D1453" s="5"/>
      <c r="E1453" s="7"/>
      <c r="F1453" s="8"/>
      <c r="G1453" s="8"/>
      <c r="H1453" s="8"/>
      <c r="I1453" s="14"/>
      <c r="J1453" s="14"/>
      <c r="K1453" s="14"/>
      <c r="L1453" s="14"/>
      <c r="M1453" s="7"/>
      <c r="N1453" s="8"/>
      <c r="O1453" s="8"/>
      <c r="P1453" s="8"/>
      <c r="Q1453" s="7"/>
      <c r="R1453" s="16"/>
      <c r="S1453" s="17"/>
      <c r="T1453" s="8"/>
      <c r="U1453" s="8"/>
      <c r="V1453" s="8"/>
      <c r="W1453" s="7"/>
      <c r="X1453" s="7"/>
      <c r="Y1453" s="7"/>
      <c r="Z1453" s="7"/>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7"/>
      <c r="AX1453" s="7"/>
      <c r="AY1453" s="7"/>
      <c r="AZ1453" s="7"/>
      <c r="BA1453" s="7"/>
      <c r="BB1453" s="7"/>
      <c r="BC1453" s="7"/>
      <c r="BD1453" s="7"/>
      <c r="BE1453" s="7"/>
      <c r="BF1453" s="7"/>
      <c r="BG1453" s="7"/>
    </row>
    <row r="1454" customHeight="1" spans="1:59">
      <c r="A1454" s="9"/>
      <c r="B1454" s="5"/>
      <c r="C1454" s="5"/>
      <c r="D1454" s="5"/>
      <c r="E1454" s="7"/>
      <c r="F1454" s="8"/>
      <c r="G1454" s="8"/>
      <c r="H1454" s="8"/>
      <c r="I1454" s="14"/>
      <c r="J1454" s="14"/>
      <c r="K1454" s="14"/>
      <c r="L1454" s="14"/>
      <c r="M1454" s="7"/>
      <c r="N1454" s="8"/>
      <c r="O1454" s="8"/>
      <c r="P1454" s="8"/>
      <c r="Q1454" s="7"/>
      <c r="R1454" s="16"/>
      <c r="S1454" s="17"/>
      <c r="T1454" s="8"/>
      <c r="U1454" s="8"/>
      <c r="V1454" s="8"/>
      <c r="W1454" s="7"/>
      <c r="X1454" s="7"/>
      <c r="Y1454" s="7"/>
      <c r="Z1454" s="7"/>
      <c r="AA1454" s="7"/>
      <c r="AB1454" s="7"/>
      <c r="AC1454" s="7"/>
      <c r="AD1454" s="7"/>
      <c r="AE1454" s="7"/>
      <c r="AF1454" s="7"/>
      <c r="AG1454" s="7"/>
      <c r="AH1454" s="7"/>
      <c r="AI1454" s="7"/>
      <c r="AJ1454" s="7"/>
      <c r="AK1454" s="7"/>
      <c r="AL1454" s="7"/>
      <c r="AM1454" s="7"/>
      <c r="AN1454" s="7"/>
      <c r="AO1454" s="7"/>
      <c r="AP1454" s="7"/>
      <c r="AQ1454" s="7"/>
      <c r="AR1454" s="7"/>
      <c r="AS1454" s="7"/>
      <c r="AT1454" s="7"/>
      <c r="AU1454" s="7"/>
      <c r="AV1454" s="7"/>
      <c r="AW1454" s="7"/>
      <c r="AX1454" s="7"/>
      <c r="AY1454" s="7"/>
      <c r="AZ1454" s="7"/>
      <c r="BA1454" s="7"/>
      <c r="BB1454" s="7"/>
      <c r="BC1454" s="7"/>
      <c r="BD1454" s="7"/>
      <c r="BE1454" s="7"/>
      <c r="BF1454" s="7"/>
      <c r="BG1454" s="7"/>
    </row>
    <row r="1455" customHeight="1" spans="1:59">
      <c r="A1455" s="9"/>
      <c r="B1455" s="5"/>
      <c r="C1455" s="5"/>
      <c r="D1455" s="5"/>
      <c r="E1455" s="7"/>
      <c r="F1455" s="8"/>
      <c r="G1455" s="8"/>
      <c r="H1455" s="8"/>
      <c r="I1455" s="14"/>
      <c r="J1455" s="14"/>
      <c r="K1455" s="14"/>
      <c r="L1455" s="14"/>
      <c r="M1455" s="7"/>
      <c r="N1455" s="8"/>
      <c r="O1455" s="8"/>
      <c r="P1455" s="8"/>
      <c r="Q1455" s="7"/>
      <c r="R1455" s="16"/>
      <c r="S1455" s="17"/>
      <c r="T1455" s="8"/>
      <c r="U1455" s="8"/>
      <c r="V1455" s="8"/>
      <c r="W1455" s="7"/>
      <c r="X1455" s="7"/>
      <c r="Y1455" s="7"/>
      <c r="Z1455" s="7"/>
      <c r="AA1455" s="7"/>
      <c r="AB1455" s="7"/>
      <c r="AC1455" s="7"/>
      <c r="AD1455" s="7"/>
      <c r="AE1455" s="7"/>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7"/>
      <c r="BD1455" s="7"/>
      <c r="BE1455" s="7"/>
      <c r="BF1455" s="7"/>
      <c r="BG1455" s="7"/>
    </row>
    <row r="1456" customHeight="1" spans="1:59">
      <c r="A1456" s="9"/>
      <c r="B1456" s="5"/>
      <c r="C1456" s="5"/>
      <c r="D1456" s="5"/>
      <c r="E1456" s="7"/>
      <c r="F1456" s="8"/>
      <c r="G1456" s="8"/>
      <c r="H1456" s="8"/>
      <c r="I1456" s="14"/>
      <c r="J1456" s="14"/>
      <c r="K1456" s="14"/>
      <c r="L1456" s="14"/>
      <c r="M1456" s="7"/>
      <c r="N1456" s="8"/>
      <c r="O1456" s="8"/>
      <c r="P1456" s="8"/>
      <c r="Q1456" s="7"/>
      <c r="R1456" s="16"/>
      <c r="S1456" s="17"/>
      <c r="T1456" s="8"/>
      <c r="U1456" s="8"/>
      <c r="V1456" s="8"/>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7"/>
      <c r="BD1456" s="7"/>
      <c r="BE1456" s="7"/>
      <c r="BF1456" s="7"/>
      <c r="BG1456" s="7"/>
    </row>
    <row r="1457" customHeight="1" spans="1:59">
      <c r="A1457" s="9"/>
      <c r="B1457" s="5"/>
      <c r="C1457" s="5"/>
      <c r="D1457" s="5"/>
      <c r="E1457" s="7"/>
      <c r="F1457" s="8"/>
      <c r="G1457" s="8"/>
      <c r="H1457" s="8"/>
      <c r="I1457" s="14"/>
      <c r="J1457" s="14"/>
      <c r="K1457" s="14"/>
      <c r="L1457" s="14"/>
      <c r="M1457" s="7"/>
      <c r="N1457" s="8"/>
      <c r="O1457" s="8"/>
      <c r="P1457" s="8"/>
      <c r="Q1457" s="7"/>
      <c r="R1457" s="16"/>
      <c r="S1457" s="17"/>
      <c r="T1457" s="8"/>
      <c r="U1457" s="8"/>
      <c r="V1457" s="8"/>
      <c r="W1457" s="7"/>
      <c r="X1457" s="7"/>
      <c r="Y1457" s="7"/>
      <c r="Z1457" s="7"/>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7"/>
      <c r="AX1457" s="7"/>
      <c r="AY1457" s="7"/>
      <c r="AZ1457" s="7"/>
      <c r="BA1457" s="7"/>
      <c r="BB1457" s="7"/>
      <c r="BC1457" s="7"/>
      <c r="BD1457" s="7"/>
      <c r="BE1457" s="7"/>
      <c r="BF1457" s="7"/>
      <c r="BG1457" s="7"/>
    </row>
    <row r="1458" customHeight="1" spans="1:59">
      <c r="A1458" s="9"/>
      <c r="B1458" s="5"/>
      <c r="C1458" s="5"/>
      <c r="D1458" s="5"/>
      <c r="E1458" s="7"/>
      <c r="F1458" s="8"/>
      <c r="G1458" s="8"/>
      <c r="H1458" s="8"/>
      <c r="I1458" s="14"/>
      <c r="J1458" s="14"/>
      <c r="K1458" s="14"/>
      <c r="L1458" s="14"/>
      <c r="M1458" s="7"/>
      <c r="N1458" s="8"/>
      <c r="O1458" s="8"/>
      <c r="P1458" s="8"/>
      <c r="Q1458" s="7"/>
      <c r="R1458" s="16"/>
      <c r="S1458" s="17"/>
      <c r="T1458" s="8"/>
      <c r="U1458" s="8"/>
      <c r="V1458" s="8"/>
      <c r="W1458" s="7"/>
      <c r="X1458" s="7"/>
      <c r="Y1458" s="7"/>
      <c r="Z1458" s="7"/>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7"/>
      <c r="BD1458" s="7"/>
      <c r="BE1458" s="7"/>
      <c r="BF1458" s="7"/>
      <c r="BG1458" s="7"/>
    </row>
    <row r="1459" customHeight="1" spans="1:59">
      <c r="A1459" s="9"/>
      <c r="B1459" s="5"/>
      <c r="C1459" s="5"/>
      <c r="D1459" s="5"/>
      <c r="E1459" s="7"/>
      <c r="F1459" s="8"/>
      <c r="G1459" s="8"/>
      <c r="H1459" s="8"/>
      <c r="I1459" s="14"/>
      <c r="J1459" s="14"/>
      <c r="K1459" s="14"/>
      <c r="L1459" s="14"/>
      <c r="M1459" s="7"/>
      <c r="N1459" s="8"/>
      <c r="O1459" s="8"/>
      <c r="P1459" s="8"/>
      <c r="Q1459" s="7"/>
      <c r="R1459" s="16"/>
      <c r="S1459" s="17"/>
      <c r="T1459" s="8"/>
      <c r="U1459" s="8"/>
      <c r="V1459" s="8"/>
      <c r="W1459" s="7"/>
      <c r="X1459" s="7"/>
      <c r="Y1459" s="7"/>
      <c r="Z1459" s="7"/>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row>
    <row r="1460" customHeight="1" spans="1:59">
      <c r="A1460" s="9"/>
      <c r="B1460" s="5"/>
      <c r="C1460" s="5"/>
      <c r="D1460" s="5"/>
      <c r="E1460" s="7"/>
      <c r="F1460" s="8"/>
      <c r="G1460" s="8"/>
      <c r="H1460" s="8"/>
      <c r="I1460" s="14"/>
      <c r="J1460" s="14"/>
      <c r="K1460" s="14"/>
      <c r="L1460" s="14"/>
      <c r="M1460" s="7"/>
      <c r="N1460" s="8"/>
      <c r="O1460" s="8"/>
      <c r="P1460" s="8"/>
      <c r="Q1460" s="7"/>
      <c r="R1460" s="16"/>
      <c r="S1460" s="17"/>
      <c r="T1460" s="8"/>
      <c r="U1460" s="8"/>
      <c r="V1460" s="8"/>
      <c r="W1460" s="7"/>
      <c r="X1460" s="7"/>
      <c r="Y1460" s="7"/>
      <c r="Z1460" s="7"/>
      <c r="AA1460" s="7"/>
      <c r="AB1460" s="7"/>
      <c r="AC1460" s="7"/>
      <c r="AD1460" s="7"/>
      <c r="AE1460" s="7"/>
      <c r="AF1460" s="7"/>
      <c r="AG1460" s="7"/>
      <c r="AH1460" s="7"/>
      <c r="AI1460" s="7"/>
      <c r="AJ1460" s="7"/>
      <c r="AK1460" s="7"/>
      <c r="AL1460" s="7"/>
      <c r="AM1460" s="7"/>
      <c r="AN1460" s="7"/>
      <c r="AO1460" s="7"/>
      <c r="AP1460" s="7"/>
      <c r="AQ1460" s="7"/>
      <c r="AR1460" s="7"/>
      <c r="AS1460" s="7"/>
      <c r="AT1460" s="7"/>
      <c r="AU1460" s="7"/>
      <c r="AV1460" s="7"/>
      <c r="AW1460" s="7"/>
      <c r="AX1460" s="7"/>
      <c r="AY1460" s="7"/>
      <c r="AZ1460" s="7"/>
      <c r="BA1460" s="7"/>
      <c r="BB1460" s="7"/>
      <c r="BC1460" s="7"/>
      <c r="BD1460" s="7"/>
      <c r="BE1460" s="7"/>
      <c r="BF1460" s="7"/>
      <c r="BG1460" s="7"/>
    </row>
    <row r="1461" customHeight="1" spans="1:59">
      <c r="A1461" s="9"/>
      <c r="B1461" s="5"/>
      <c r="C1461" s="5"/>
      <c r="D1461" s="5"/>
      <c r="E1461" s="7"/>
      <c r="F1461" s="8"/>
      <c r="G1461" s="8"/>
      <c r="H1461" s="8"/>
      <c r="I1461" s="14"/>
      <c r="J1461" s="14"/>
      <c r="K1461" s="14"/>
      <c r="L1461" s="14"/>
      <c r="M1461" s="7"/>
      <c r="N1461" s="8"/>
      <c r="O1461" s="8"/>
      <c r="P1461" s="8"/>
      <c r="Q1461" s="7"/>
      <c r="R1461" s="16"/>
      <c r="S1461" s="17"/>
      <c r="T1461" s="8"/>
      <c r="U1461" s="8"/>
      <c r="V1461" s="8"/>
      <c r="W1461" s="7"/>
      <c r="X1461" s="7"/>
      <c r="Y1461" s="7"/>
      <c r="Z1461" s="7"/>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7"/>
      <c r="BD1461" s="7"/>
      <c r="BE1461" s="7"/>
      <c r="BF1461" s="7"/>
      <c r="BG1461" s="7"/>
    </row>
    <row r="1462" customHeight="1" spans="1:59">
      <c r="A1462" s="9"/>
      <c r="B1462" s="5"/>
      <c r="C1462" s="5"/>
      <c r="D1462" s="5"/>
      <c r="E1462" s="7"/>
      <c r="F1462" s="8"/>
      <c r="G1462" s="8"/>
      <c r="H1462" s="8"/>
      <c r="I1462" s="14"/>
      <c r="J1462" s="14"/>
      <c r="K1462" s="14"/>
      <c r="L1462" s="14"/>
      <c r="M1462" s="7"/>
      <c r="N1462" s="8"/>
      <c r="O1462" s="8"/>
      <c r="P1462" s="8"/>
      <c r="Q1462" s="7"/>
      <c r="R1462" s="16"/>
      <c r="S1462" s="17"/>
      <c r="T1462" s="8"/>
      <c r="U1462" s="8"/>
      <c r="V1462" s="8"/>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row>
    <row r="1463" customHeight="1" spans="1:59">
      <c r="A1463" s="9"/>
      <c r="B1463" s="5"/>
      <c r="C1463" s="5"/>
      <c r="D1463" s="5"/>
      <c r="E1463" s="7"/>
      <c r="F1463" s="8"/>
      <c r="G1463" s="8"/>
      <c r="H1463" s="8"/>
      <c r="I1463" s="14"/>
      <c r="J1463" s="14"/>
      <c r="K1463" s="14"/>
      <c r="L1463" s="14"/>
      <c r="M1463" s="7"/>
      <c r="N1463" s="8"/>
      <c r="O1463" s="8"/>
      <c r="P1463" s="8"/>
      <c r="Q1463" s="7"/>
      <c r="R1463" s="16"/>
      <c r="S1463" s="17"/>
      <c r="T1463" s="8"/>
      <c r="U1463" s="8"/>
      <c r="V1463" s="8"/>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7"/>
      <c r="BD1463" s="7"/>
      <c r="BE1463" s="7"/>
      <c r="BF1463" s="7"/>
      <c r="BG1463" s="7"/>
    </row>
    <row r="1464" customHeight="1" spans="1:59">
      <c r="A1464" s="9"/>
      <c r="B1464" s="5"/>
      <c r="C1464" s="5"/>
      <c r="D1464" s="5"/>
      <c r="E1464" s="7"/>
      <c r="F1464" s="8"/>
      <c r="G1464" s="8"/>
      <c r="H1464" s="8"/>
      <c r="I1464" s="14"/>
      <c r="J1464" s="14"/>
      <c r="K1464" s="14"/>
      <c r="L1464" s="14"/>
      <c r="M1464" s="7"/>
      <c r="N1464" s="8"/>
      <c r="O1464" s="8"/>
      <c r="P1464" s="8"/>
      <c r="Q1464" s="7"/>
      <c r="R1464" s="16"/>
      <c r="S1464" s="17"/>
      <c r="T1464" s="8"/>
      <c r="U1464" s="8"/>
      <c r="V1464" s="8"/>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row>
    <row r="1465" customHeight="1" spans="1:59">
      <c r="A1465" s="9"/>
      <c r="B1465" s="5"/>
      <c r="C1465" s="5"/>
      <c r="D1465" s="5"/>
      <c r="E1465" s="7"/>
      <c r="F1465" s="8"/>
      <c r="G1465" s="8"/>
      <c r="H1465" s="8"/>
      <c r="I1465" s="14"/>
      <c r="J1465" s="14"/>
      <c r="K1465" s="14"/>
      <c r="L1465" s="14"/>
      <c r="M1465" s="7"/>
      <c r="N1465" s="8"/>
      <c r="O1465" s="8"/>
      <c r="P1465" s="8"/>
      <c r="Q1465" s="7"/>
      <c r="R1465" s="16"/>
      <c r="S1465" s="17"/>
      <c r="T1465" s="8"/>
      <c r="U1465" s="8"/>
      <c r="V1465" s="8"/>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7"/>
      <c r="BD1465" s="7"/>
      <c r="BE1465" s="7"/>
      <c r="BF1465" s="7"/>
      <c r="BG1465" s="7"/>
    </row>
    <row r="1466" customHeight="1" spans="1:59">
      <c r="A1466" s="9"/>
      <c r="B1466" s="5"/>
      <c r="C1466" s="5"/>
      <c r="D1466" s="5"/>
      <c r="E1466" s="7"/>
      <c r="F1466" s="8"/>
      <c r="G1466" s="8"/>
      <c r="H1466" s="8"/>
      <c r="I1466" s="14"/>
      <c r="J1466" s="14"/>
      <c r="K1466" s="14"/>
      <c r="L1466" s="14"/>
      <c r="M1466" s="7"/>
      <c r="N1466" s="8"/>
      <c r="O1466" s="8"/>
      <c r="P1466" s="8"/>
      <c r="Q1466" s="7"/>
      <c r="R1466" s="16"/>
      <c r="S1466" s="17"/>
      <c r="T1466" s="8"/>
      <c r="U1466" s="8"/>
      <c r="V1466" s="8"/>
      <c r="W1466" s="7"/>
      <c r="X1466" s="7"/>
      <c r="Y1466" s="7"/>
      <c r="Z1466" s="7"/>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7"/>
      <c r="AX1466" s="7"/>
      <c r="AY1466" s="7"/>
      <c r="AZ1466" s="7"/>
      <c r="BA1466" s="7"/>
      <c r="BB1466" s="7"/>
      <c r="BC1466" s="7"/>
      <c r="BD1466" s="7"/>
      <c r="BE1466" s="7"/>
      <c r="BF1466" s="7"/>
      <c r="BG1466" s="7"/>
    </row>
    <row r="1467" customHeight="1" spans="1:59">
      <c r="A1467" s="9"/>
      <c r="B1467" s="5"/>
      <c r="C1467" s="5"/>
      <c r="D1467" s="5"/>
      <c r="E1467" s="7"/>
      <c r="F1467" s="8"/>
      <c r="G1467" s="8"/>
      <c r="H1467" s="8"/>
      <c r="I1467" s="14"/>
      <c r="J1467" s="14"/>
      <c r="K1467" s="14"/>
      <c r="L1467" s="14"/>
      <c r="M1467" s="7"/>
      <c r="N1467" s="8"/>
      <c r="O1467" s="8"/>
      <c r="P1467" s="8"/>
      <c r="Q1467" s="7"/>
      <c r="R1467" s="16"/>
      <c r="S1467" s="17"/>
      <c r="T1467" s="8"/>
      <c r="U1467" s="8"/>
      <c r="V1467" s="8"/>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row>
    <row r="1468" customHeight="1" spans="1:59">
      <c r="A1468" s="9"/>
      <c r="B1468" s="5"/>
      <c r="C1468" s="5"/>
      <c r="D1468" s="5"/>
      <c r="E1468" s="7"/>
      <c r="F1468" s="8"/>
      <c r="G1468" s="8"/>
      <c r="H1468" s="8"/>
      <c r="I1468" s="14"/>
      <c r="J1468" s="14"/>
      <c r="K1468" s="14"/>
      <c r="L1468" s="14"/>
      <c r="M1468" s="7"/>
      <c r="N1468" s="8"/>
      <c r="O1468" s="8"/>
      <c r="P1468" s="8"/>
      <c r="Q1468" s="7"/>
      <c r="R1468" s="16"/>
      <c r="S1468" s="17"/>
      <c r="T1468" s="8"/>
      <c r="U1468" s="8"/>
      <c r="V1468" s="8"/>
      <c r="W1468" s="7"/>
      <c r="X1468" s="7"/>
      <c r="Y1468" s="7"/>
      <c r="Z1468" s="7"/>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7"/>
      <c r="AX1468" s="7"/>
      <c r="AY1468" s="7"/>
      <c r="AZ1468" s="7"/>
      <c r="BA1468" s="7"/>
      <c r="BB1468" s="7"/>
      <c r="BC1468" s="7"/>
      <c r="BD1468" s="7"/>
      <c r="BE1468" s="7"/>
      <c r="BF1468" s="7"/>
      <c r="BG1468" s="7"/>
    </row>
    <row r="1469" customHeight="1" spans="1:59">
      <c r="A1469" s="9"/>
      <c r="B1469" s="5"/>
      <c r="C1469" s="5"/>
      <c r="D1469" s="5"/>
      <c r="E1469" s="7"/>
      <c r="F1469" s="8"/>
      <c r="G1469" s="8"/>
      <c r="H1469" s="8"/>
      <c r="I1469" s="14"/>
      <c r="J1469" s="14"/>
      <c r="K1469" s="14"/>
      <c r="L1469" s="14"/>
      <c r="M1469" s="7"/>
      <c r="N1469" s="8"/>
      <c r="O1469" s="8"/>
      <c r="P1469" s="8"/>
      <c r="Q1469" s="7"/>
      <c r="R1469" s="16"/>
      <c r="S1469" s="17"/>
      <c r="T1469" s="8"/>
      <c r="U1469" s="8"/>
      <c r="V1469" s="8"/>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7"/>
      <c r="BD1469" s="7"/>
      <c r="BE1469" s="7"/>
      <c r="BF1469" s="7"/>
      <c r="BG1469" s="7"/>
    </row>
    <row r="1470" customHeight="1" spans="1:59">
      <c r="A1470" s="9"/>
      <c r="B1470" s="5"/>
      <c r="C1470" s="5"/>
      <c r="D1470" s="5"/>
      <c r="E1470" s="7"/>
      <c r="F1470" s="8"/>
      <c r="G1470" s="8"/>
      <c r="H1470" s="8"/>
      <c r="I1470" s="14"/>
      <c r="J1470" s="14"/>
      <c r="K1470" s="14"/>
      <c r="L1470" s="14"/>
      <c r="M1470" s="7"/>
      <c r="N1470" s="8"/>
      <c r="O1470" s="8"/>
      <c r="P1470" s="8"/>
      <c r="Q1470" s="7"/>
      <c r="R1470" s="16"/>
      <c r="S1470" s="17"/>
      <c r="T1470" s="8"/>
      <c r="U1470" s="8"/>
      <c r="V1470" s="8"/>
      <c r="W1470" s="7"/>
      <c r="X1470" s="7"/>
      <c r="Y1470" s="7"/>
      <c r="Z1470" s="7"/>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7"/>
      <c r="AX1470" s="7"/>
      <c r="AY1470" s="7"/>
      <c r="AZ1470" s="7"/>
      <c r="BA1470" s="7"/>
      <c r="BB1470" s="7"/>
      <c r="BC1470" s="7"/>
      <c r="BD1470" s="7"/>
      <c r="BE1470" s="7"/>
      <c r="BF1470" s="7"/>
      <c r="BG1470" s="7"/>
    </row>
    <row r="1471" customHeight="1" spans="1:59">
      <c r="A1471" s="9"/>
      <c r="B1471" s="5"/>
      <c r="C1471" s="5"/>
      <c r="D1471" s="5"/>
      <c r="E1471" s="7"/>
      <c r="F1471" s="8"/>
      <c r="G1471" s="8"/>
      <c r="H1471" s="8"/>
      <c r="I1471" s="14"/>
      <c r="J1471" s="14"/>
      <c r="K1471" s="14"/>
      <c r="L1471" s="14"/>
      <c r="M1471" s="7"/>
      <c r="N1471" s="8"/>
      <c r="O1471" s="8"/>
      <c r="P1471" s="8"/>
      <c r="Q1471" s="7"/>
      <c r="R1471" s="16"/>
      <c r="S1471" s="17"/>
      <c r="T1471" s="8"/>
      <c r="U1471" s="8"/>
      <c r="V1471" s="8"/>
      <c r="W1471" s="7"/>
      <c r="X1471" s="7"/>
      <c r="Y1471" s="7"/>
      <c r="Z1471" s="7"/>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7"/>
      <c r="AX1471" s="7"/>
      <c r="AY1471" s="7"/>
      <c r="AZ1471" s="7"/>
      <c r="BA1471" s="7"/>
      <c r="BB1471" s="7"/>
      <c r="BC1471" s="7"/>
      <c r="BD1471" s="7"/>
      <c r="BE1471" s="7"/>
      <c r="BF1471" s="7"/>
      <c r="BG1471" s="7"/>
    </row>
    <row r="1472" customHeight="1" spans="1:59">
      <c r="A1472" s="9"/>
      <c r="B1472" s="5"/>
      <c r="C1472" s="5"/>
      <c r="D1472" s="5"/>
      <c r="E1472" s="7"/>
      <c r="F1472" s="8"/>
      <c r="G1472" s="8"/>
      <c r="H1472" s="8"/>
      <c r="I1472" s="14"/>
      <c r="J1472" s="14"/>
      <c r="K1472" s="14"/>
      <c r="L1472" s="14"/>
      <c r="M1472" s="7"/>
      <c r="N1472" s="8"/>
      <c r="O1472" s="8"/>
      <c r="P1472" s="8"/>
      <c r="Q1472" s="7"/>
      <c r="R1472" s="16"/>
      <c r="S1472" s="17"/>
      <c r="T1472" s="8"/>
      <c r="U1472" s="8"/>
      <c r="V1472" s="8"/>
      <c r="W1472" s="7"/>
      <c r="X1472" s="7"/>
      <c r="Y1472" s="7"/>
      <c r="Z1472" s="7"/>
      <c r="AA1472" s="7"/>
      <c r="AB1472" s="7"/>
      <c r="AC1472" s="7"/>
      <c r="AD1472" s="7"/>
      <c r="AE1472" s="7"/>
      <c r="AF1472" s="7"/>
      <c r="AG1472" s="7"/>
      <c r="AH1472" s="7"/>
      <c r="AI1472" s="7"/>
      <c r="AJ1472" s="7"/>
      <c r="AK1472" s="7"/>
      <c r="AL1472" s="7"/>
      <c r="AM1472" s="7"/>
      <c r="AN1472" s="7"/>
      <c r="AO1472" s="7"/>
      <c r="AP1472" s="7"/>
      <c r="AQ1472" s="7"/>
      <c r="AR1472" s="7"/>
      <c r="AS1472" s="7"/>
      <c r="AT1472" s="7"/>
      <c r="AU1472" s="7"/>
      <c r="AV1472" s="7"/>
      <c r="AW1472" s="7"/>
      <c r="AX1472" s="7"/>
      <c r="AY1472" s="7"/>
      <c r="AZ1472" s="7"/>
      <c r="BA1472" s="7"/>
      <c r="BB1472" s="7"/>
      <c r="BC1472" s="7"/>
      <c r="BD1472" s="7"/>
      <c r="BE1472" s="7"/>
      <c r="BF1472" s="7"/>
      <c r="BG1472" s="7"/>
    </row>
    <row r="1473" customHeight="1" spans="1:59">
      <c r="A1473" s="9"/>
      <c r="B1473" s="5"/>
      <c r="C1473" s="5"/>
      <c r="D1473" s="5"/>
      <c r="E1473" s="7"/>
      <c r="F1473" s="8"/>
      <c r="G1473" s="8"/>
      <c r="H1473" s="8"/>
      <c r="I1473" s="14"/>
      <c r="J1473" s="14"/>
      <c r="K1473" s="14"/>
      <c r="L1473" s="14"/>
      <c r="M1473" s="7"/>
      <c r="N1473" s="8"/>
      <c r="O1473" s="8"/>
      <c r="P1473" s="8"/>
      <c r="Q1473" s="7"/>
      <c r="R1473" s="16"/>
      <c r="S1473" s="17"/>
      <c r="T1473" s="8"/>
      <c r="U1473" s="8"/>
      <c r="V1473" s="8"/>
      <c r="W1473" s="7"/>
      <c r="X1473" s="7"/>
      <c r="Y1473" s="7"/>
      <c r="Z1473" s="7"/>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7"/>
      <c r="AX1473" s="7"/>
      <c r="AY1473" s="7"/>
      <c r="AZ1473" s="7"/>
      <c r="BA1473" s="7"/>
      <c r="BB1473" s="7"/>
      <c r="BC1473" s="7"/>
      <c r="BD1473" s="7"/>
      <c r="BE1473" s="7"/>
      <c r="BF1473" s="7"/>
      <c r="BG1473" s="7"/>
    </row>
    <row r="1474" customHeight="1" spans="1:59">
      <c r="A1474" s="9"/>
      <c r="B1474" s="5"/>
      <c r="C1474" s="5"/>
      <c r="D1474" s="5"/>
      <c r="E1474" s="7"/>
      <c r="F1474" s="8"/>
      <c r="G1474" s="8"/>
      <c r="H1474" s="8"/>
      <c r="I1474" s="14"/>
      <c r="J1474" s="14"/>
      <c r="K1474" s="14"/>
      <c r="L1474" s="14"/>
      <c r="M1474" s="7"/>
      <c r="N1474" s="8"/>
      <c r="O1474" s="8"/>
      <c r="P1474" s="8"/>
      <c r="Q1474" s="7"/>
      <c r="R1474" s="16"/>
      <c r="S1474" s="17"/>
      <c r="T1474" s="8"/>
      <c r="U1474" s="8"/>
      <c r="V1474" s="8"/>
      <c r="W1474" s="7"/>
      <c r="X1474" s="7"/>
      <c r="Y1474" s="7"/>
      <c r="Z1474" s="7"/>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7"/>
      <c r="AX1474" s="7"/>
      <c r="AY1474" s="7"/>
      <c r="AZ1474" s="7"/>
      <c r="BA1474" s="7"/>
      <c r="BB1474" s="7"/>
      <c r="BC1474" s="7"/>
      <c r="BD1474" s="7"/>
      <c r="BE1474" s="7"/>
      <c r="BF1474" s="7"/>
      <c r="BG1474" s="7"/>
    </row>
    <row r="1475" customHeight="1" spans="1:59">
      <c r="A1475" s="9"/>
      <c r="B1475" s="5"/>
      <c r="C1475" s="5"/>
      <c r="D1475" s="5"/>
      <c r="E1475" s="7"/>
      <c r="F1475" s="8"/>
      <c r="G1475" s="8"/>
      <c r="H1475" s="8"/>
      <c r="I1475" s="14"/>
      <c r="J1475" s="14"/>
      <c r="K1475" s="14"/>
      <c r="L1475" s="14"/>
      <c r="M1475" s="7"/>
      <c r="N1475" s="8"/>
      <c r="O1475" s="8"/>
      <c r="P1475" s="8"/>
      <c r="Q1475" s="7"/>
      <c r="R1475" s="16"/>
      <c r="S1475" s="17"/>
      <c r="T1475" s="8"/>
      <c r="U1475" s="8"/>
      <c r="V1475" s="8"/>
      <c r="W1475" s="7"/>
      <c r="X1475" s="7"/>
      <c r="Y1475" s="7"/>
      <c r="Z1475" s="7"/>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7"/>
      <c r="AX1475" s="7"/>
      <c r="AY1475" s="7"/>
      <c r="AZ1475" s="7"/>
      <c r="BA1475" s="7"/>
      <c r="BB1475" s="7"/>
      <c r="BC1475" s="7"/>
      <c r="BD1475" s="7"/>
      <c r="BE1475" s="7"/>
      <c r="BF1475" s="7"/>
      <c r="BG1475" s="7"/>
    </row>
    <row r="1476" customHeight="1" spans="1:59">
      <c r="A1476" s="9"/>
      <c r="B1476" s="5"/>
      <c r="C1476" s="5"/>
      <c r="D1476" s="5"/>
      <c r="E1476" s="7"/>
      <c r="F1476" s="8"/>
      <c r="G1476" s="8"/>
      <c r="H1476" s="8"/>
      <c r="I1476" s="14"/>
      <c r="J1476" s="14"/>
      <c r="K1476" s="14"/>
      <c r="L1476" s="14"/>
      <c r="M1476" s="7"/>
      <c r="N1476" s="8"/>
      <c r="O1476" s="8"/>
      <c r="P1476" s="8"/>
      <c r="Q1476" s="7"/>
      <c r="R1476" s="16"/>
      <c r="S1476" s="17"/>
      <c r="T1476" s="8"/>
      <c r="U1476" s="8"/>
      <c r="V1476" s="8"/>
      <c r="W1476" s="7"/>
      <c r="X1476" s="7"/>
      <c r="Y1476" s="7"/>
      <c r="Z1476" s="7"/>
      <c r="AA1476" s="7"/>
      <c r="AB1476" s="7"/>
      <c r="AC1476" s="7"/>
      <c r="AD1476" s="7"/>
      <c r="AE1476" s="7"/>
      <c r="AF1476" s="7"/>
      <c r="AG1476" s="7"/>
      <c r="AH1476" s="7"/>
      <c r="AI1476" s="7"/>
      <c r="AJ1476" s="7"/>
      <c r="AK1476" s="7"/>
      <c r="AL1476" s="7"/>
      <c r="AM1476" s="7"/>
      <c r="AN1476" s="7"/>
      <c r="AO1476" s="7"/>
      <c r="AP1476" s="7"/>
      <c r="AQ1476" s="7"/>
      <c r="AR1476" s="7"/>
      <c r="AS1476" s="7"/>
      <c r="AT1476" s="7"/>
      <c r="AU1476" s="7"/>
      <c r="AV1476" s="7"/>
      <c r="AW1476" s="7"/>
      <c r="AX1476" s="7"/>
      <c r="AY1476" s="7"/>
      <c r="AZ1476" s="7"/>
      <c r="BA1476" s="7"/>
      <c r="BB1476" s="7"/>
      <c r="BC1476" s="7"/>
      <c r="BD1476" s="7"/>
      <c r="BE1476" s="7"/>
      <c r="BF1476" s="7"/>
      <c r="BG1476" s="7"/>
    </row>
    <row r="1477" customHeight="1" spans="1:59">
      <c r="A1477" s="9"/>
      <c r="B1477" s="5"/>
      <c r="C1477" s="5"/>
      <c r="D1477" s="5"/>
      <c r="E1477" s="7"/>
      <c r="F1477" s="8"/>
      <c r="G1477" s="8"/>
      <c r="H1477" s="8"/>
      <c r="I1477" s="14"/>
      <c r="J1477" s="14"/>
      <c r="K1477" s="14"/>
      <c r="L1477" s="14"/>
      <c r="M1477" s="7"/>
      <c r="N1477" s="8"/>
      <c r="O1477" s="8"/>
      <c r="P1477" s="8"/>
      <c r="Q1477" s="7"/>
      <c r="R1477" s="16"/>
      <c r="S1477" s="17"/>
      <c r="T1477" s="8"/>
      <c r="U1477" s="8"/>
      <c r="V1477" s="8"/>
      <c r="W1477" s="7"/>
      <c r="X1477" s="7"/>
      <c r="Y1477" s="7"/>
      <c r="Z1477" s="7"/>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7"/>
      <c r="AX1477" s="7"/>
      <c r="AY1477" s="7"/>
      <c r="AZ1477" s="7"/>
      <c r="BA1477" s="7"/>
      <c r="BB1477" s="7"/>
      <c r="BC1477" s="7"/>
      <c r="BD1477" s="7"/>
      <c r="BE1477" s="7"/>
      <c r="BF1477" s="7"/>
      <c r="BG1477" s="7"/>
    </row>
    <row r="1478" customHeight="1" spans="1:59">
      <c r="A1478" s="9"/>
      <c r="B1478" s="5"/>
      <c r="C1478" s="5"/>
      <c r="D1478" s="5"/>
      <c r="E1478" s="7"/>
      <c r="F1478" s="8"/>
      <c r="G1478" s="8"/>
      <c r="H1478" s="8"/>
      <c r="I1478" s="14"/>
      <c r="J1478" s="14"/>
      <c r="K1478" s="14"/>
      <c r="L1478" s="14"/>
      <c r="M1478" s="7"/>
      <c r="N1478" s="8"/>
      <c r="O1478" s="8"/>
      <c r="P1478" s="8"/>
      <c r="Q1478" s="7"/>
      <c r="R1478" s="16"/>
      <c r="S1478" s="17"/>
      <c r="T1478" s="8"/>
      <c r="U1478" s="8"/>
      <c r="V1478" s="8"/>
      <c r="W1478" s="7"/>
      <c r="X1478" s="7"/>
      <c r="Y1478" s="7"/>
      <c r="Z1478" s="7"/>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7"/>
      <c r="AX1478" s="7"/>
      <c r="AY1478" s="7"/>
      <c r="AZ1478" s="7"/>
      <c r="BA1478" s="7"/>
      <c r="BB1478" s="7"/>
      <c r="BC1478" s="7"/>
      <c r="BD1478" s="7"/>
      <c r="BE1478" s="7"/>
      <c r="BF1478" s="7"/>
      <c r="BG1478" s="7"/>
    </row>
    <row r="1479" customHeight="1" spans="1:59">
      <c r="A1479" s="9"/>
      <c r="B1479" s="5"/>
      <c r="C1479" s="5"/>
      <c r="D1479" s="5"/>
      <c r="E1479" s="7"/>
      <c r="F1479" s="8"/>
      <c r="G1479" s="8"/>
      <c r="H1479" s="8"/>
      <c r="I1479" s="14"/>
      <c r="J1479" s="14"/>
      <c r="K1479" s="14"/>
      <c r="L1479" s="14"/>
      <c r="M1479" s="7"/>
      <c r="N1479" s="8"/>
      <c r="O1479" s="8"/>
      <c r="P1479" s="8"/>
      <c r="Q1479" s="7"/>
      <c r="R1479" s="16"/>
      <c r="S1479" s="17"/>
      <c r="T1479" s="8"/>
      <c r="U1479" s="8"/>
      <c r="V1479" s="8"/>
      <c r="W1479" s="7"/>
      <c r="X1479" s="7"/>
      <c r="Y1479" s="7"/>
      <c r="Z1479" s="7"/>
      <c r="AA1479" s="7"/>
      <c r="AB1479" s="7"/>
      <c r="AC1479" s="7"/>
      <c r="AD1479" s="7"/>
      <c r="AE1479" s="7"/>
      <c r="AF1479" s="7"/>
      <c r="AG1479" s="7"/>
      <c r="AH1479" s="7"/>
      <c r="AI1479" s="7"/>
      <c r="AJ1479" s="7"/>
      <c r="AK1479" s="7"/>
      <c r="AL1479" s="7"/>
      <c r="AM1479" s="7"/>
      <c r="AN1479" s="7"/>
      <c r="AO1479" s="7"/>
      <c r="AP1479" s="7"/>
      <c r="AQ1479" s="7"/>
      <c r="AR1479" s="7"/>
      <c r="AS1479" s="7"/>
      <c r="AT1479" s="7"/>
      <c r="AU1479" s="7"/>
      <c r="AV1479" s="7"/>
      <c r="AW1479" s="7"/>
      <c r="AX1479" s="7"/>
      <c r="AY1479" s="7"/>
      <c r="AZ1479" s="7"/>
      <c r="BA1479" s="7"/>
      <c r="BB1479" s="7"/>
      <c r="BC1479" s="7"/>
      <c r="BD1479" s="7"/>
      <c r="BE1479" s="7"/>
      <c r="BF1479" s="7"/>
      <c r="BG1479" s="7"/>
    </row>
    <row r="1480" customHeight="1" spans="1:59">
      <c r="A1480" s="9"/>
      <c r="B1480" s="5"/>
      <c r="C1480" s="5"/>
      <c r="D1480" s="5"/>
      <c r="E1480" s="7"/>
      <c r="F1480" s="8"/>
      <c r="G1480" s="8"/>
      <c r="H1480" s="8"/>
      <c r="I1480" s="14"/>
      <c r="J1480" s="14"/>
      <c r="K1480" s="14"/>
      <c r="L1480" s="14"/>
      <c r="M1480" s="7"/>
      <c r="N1480" s="8"/>
      <c r="O1480" s="8"/>
      <c r="P1480" s="8"/>
      <c r="Q1480" s="7"/>
      <c r="R1480" s="16"/>
      <c r="S1480" s="17"/>
      <c r="T1480" s="8"/>
      <c r="U1480" s="8"/>
      <c r="V1480" s="8"/>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7"/>
      <c r="BD1480" s="7"/>
      <c r="BE1480" s="7"/>
      <c r="BF1480" s="7"/>
      <c r="BG1480" s="7"/>
    </row>
    <row r="1481" customHeight="1" spans="1:59">
      <c r="A1481" s="9"/>
      <c r="B1481" s="5"/>
      <c r="C1481" s="5"/>
      <c r="D1481" s="5"/>
      <c r="E1481" s="7"/>
      <c r="F1481" s="8"/>
      <c r="G1481" s="8"/>
      <c r="H1481" s="8"/>
      <c r="I1481" s="14"/>
      <c r="J1481" s="14"/>
      <c r="K1481" s="14"/>
      <c r="L1481" s="14"/>
      <c r="M1481" s="7"/>
      <c r="N1481" s="8"/>
      <c r="O1481" s="8"/>
      <c r="P1481" s="8"/>
      <c r="Q1481" s="7"/>
      <c r="R1481" s="16"/>
      <c r="S1481" s="17"/>
      <c r="T1481" s="8"/>
      <c r="U1481" s="8"/>
      <c r="V1481" s="8"/>
      <c r="W1481" s="7"/>
      <c r="X1481" s="7"/>
      <c r="Y1481" s="7"/>
      <c r="Z1481" s="7"/>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7"/>
      <c r="BD1481" s="7"/>
      <c r="BE1481" s="7"/>
      <c r="BF1481" s="7"/>
      <c r="BG1481" s="7"/>
    </row>
    <row r="1482" customHeight="1" spans="1:59">
      <c r="A1482" s="9"/>
      <c r="B1482" s="5"/>
      <c r="C1482" s="5"/>
      <c r="D1482" s="5"/>
      <c r="E1482" s="7"/>
      <c r="F1482" s="8"/>
      <c r="G1482" s="8"/>
      <c r="H1482" s="8"/>
      <c r="I1482" s="14"/>
      <c r="J1482" s="14"/>
      <c r="K1482" s="14"/>
      <c r="L1482" s="14"/>
      <c r="M1482" s="7"/>
      <c r="N1482" s="8"/>
      <c r="O1482" s="8"/>
      <c r="P1482" s="8"/>
      <c r="Q1482" s="7"/>
      <c r="R1482" s="16"/>
      <c r="S1482" s="17"/>
      <c r="T1482" s="8"/>
      <c r="U1482" s="8"/>
      <c r="V1482" s="8"/>
      <c r="W1482" s="7"/>
      <c r="X1482" s="7"/>
      <c r="Y1482" s="7"/>
      <c r="Z1482" s="7"/>
      <c r="AA1482" s="7"/>
      <c r="AB1482" s="7"/>
      <c r="AC1482" s="7"/>
      <c r="AD1482" s="7"/>
      <c r="AE1482" s="7"/>
      <c r="AF1482" s="7"/>
      <c r="AG1482" s="7"/>
      <c r="AH1482" s="7"/>
      <c r="AI1482" s="7"/>
      <c r="AJ1482" s="7"/>
      <c r="AK1482" s="7"/>
      <c r="AL1482" s="7"/>
      <c r="AM1482" s="7"/>
      <c r="AN1482" s="7"/>
      <c r="AO1482" s="7"/>
      <c r="AP1482" s="7"/>
      <c r="AQ1482" s="7"/>
      <c r="AR1482" s="7"/>
      <c r="AS1482" s="7"/>
      <c r="AT1482" s="7"/>
      <c r="AU1482" s="7"/>
      <c r="AV1482" s="7"/>
      <c r="AW1482" s="7"/>
      <c r="AX1482" s="7"/>
      <c r="AY1482" s="7"/>
      <c r="AZ1482" s="7"/>
      <c r="BA1482" s="7"/>
      <c r="BB1482" s="7"/>
      <c r="BC1482" s="7"/>
      <c r="BD1482" s="7"/>
      <c r="BE1482" s="7"/>
      <c r="BF1482" s="7"/>
      <c r="BG1482" s="7"/>
    </row>
    <row r="1483" customHeight="1" spans="1:59">
      <c r="A1483" s="9"/>
      <c r="B1483" s="5"/>
      <c r="C1483" s="5"/>
      <c r="D1483" s="5"/>
      <c r="E1483" s="7"/>
      <c r="F1483" s="8"/>
      <c r="G1483" s="8"/>
      <c r="H1483" s="8"/>
      <c r="I1483" s="14"/>
      <c r="J1483" s="14"/>
      <c r="K1483" s="14"/>
      <c r="L1483" s="14"/>
      <c r="M1483" s="7"/>
      <c r="N1483" s="8"/>
      <c r="O1483" s="8"/>
      <c r="P1483" s="8"/>
      <c r="Q1483" s="7"/>
      <c r="R1483" s="16"/>
      <c r="S1483" s="17"/>
      <c r="T1483" s="8"/>
      <c r="U1483" s="8"/>
      <c r="V1483" s="8"/>
      <c r="W1483" s="7"/>
      <c r="X1483" s="7"/>
      <c r="Y1483" s="7"/>
      <c r="Z1483" s="7"/>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7"/>
      <c r="AX1483" s="7"/>
      <c r="AY1483" s="7"/>
      <c r="AZ1483" s="7"/>
      <c r="BA1483" s="7"/>
      <c r="BB1483" s="7"/>
      <c r="BC1483" s="7"/>
      <c r="BD1483" s="7"/>
      <c r="BE1483" s="7"/>
      <c r="BF1483" s="7"/>
      <c r="BG1483" s="7"/>
    </row>
    <row r="1484" customHeight="1" spans="1:59">
      <c r="A1484" s="9"/>
      <c r="B1484" s="5"/>
      <c r="C1484" s="5"/>
      <c r="D1484" s="5"/>
      <c r="E1484" s="7"/>
      <c r="F1484" s="8"/>
      <c r="G1484" s="8"/>
      <c r="H1484" s="8"/>
      <c r="I1484" s="14"/>
      <c r="J1484" s="14"/>
      <c r="K1484" s="14"/>
      <c r="L1484" s="14"/>
      <c r="M1484" s="7"/>
      <c r="N1484" s="8"/>
      <c r="O1484" s="8"/>
      <c r="P1484" s="8"/>
      <c r="Q1484" s="7"/>
      <c r="R1484" s="16"/>
      <c r="S1484" s="17"/>
      <c r="T1484" s="8"/>
      <c r="U1484" s="8"/>
      <c r="V1484" s="8"/>
      <c r="W1484" s="7"/>
      <c r="X1484" s="7"/>
      <c r="Y1484" s="7"/>
      <c r="Z1484" s="7"/>
      <c r="AA1484" s="7"/>
      <c r="AB1484" s="7"/>
      <c r="AC1484" s="7"/>
      <c r="AD1484" s="7"/>
      <c r="AE1484" s="7"/>
      <c r="AF1484" s="7"/>
      <c r="AG1484" s="7"/>
      <c r="AH1484" s="7"/>
      <c r="AI1484" s="7"/>
      <c r="AJ1484" s="7"/>
      <c r="AK1484" s="7"/>
      <c r="AL1484" s="7"/>
      <c r="AM1484" s="7"/>
      <c r="AN1484" s="7"/>
      <c r="AO1484" s="7"/>
      <c r="AP1484" s="7"/>
      <c r="AQ1484" s="7"/>
      <c r="AR1484" s="7"/>
      <c r="AS1484" s="7"/>
      <c r="AT1484" s="7"/>
      <c r="AU1484" s="7"/>
      <c r="AV1484" s="7"/>
      <c r="AW1484" s="7"/>
      <c r="AX1484" s="7"/>
      <c r="AY1484" s="7"/>
      <c r="AZ1484" s="7"/>
      <c r="BA1484" s="7"/>
      <c r="BB1484" s="7"/>
      <c r="BC1484" s="7"/>
      <c r="BD1484" s="7"/>
      <c r="BE1484" s="7"/>
      <c r="BF1484" s="7"/>
      <c r="BG1484" s="7"/>
    </row>
    <row r="1485" customHeight="1" spans="1:59">
      <c r="A1485" s="9"/>
      <c r="B1485" s="5"/>
      <c r="C1485" s="5"/>
      <c r="D1485" s="5"/>
      <c r="E1485" s="7"/>
      <c r="F1485" s="8"/>
      <c r="G1485" s="8"/>
      <c r="H1485" s="8"/>
      <c r="I1485" s="14"/>
      <c r="J1485" s="14"/>
      <c r="K1485" s="14"/>
      <c r="L1485" s="14"/>
      <c r="M1485" s="7"/>
      <c r="N1485" s="8"/>
      <c r="O1485" s="8"/>
      <c r="P1485" s="8"/>
      <c r="Q1485" s="7"/>
      <c r="R1485" s="16"/>
      <c r="S1485" s="17"/>
      <c r="T1485" s="8"/>
      <c r="U1485" s="8"/>
      <c r="V1485" s="8"/>
      <c r="W1485" s="7"/>
      <c r="X1485" s="7"/>
      <c r="Y1485" s="7"/>
      <c r="Z1485" s="7"/>
      <c r="AA1485" s="7"/>
      <c r="AB1485" s="7"/>
      <c r="AC1485" s="7"/>
      <c r="AD1485" s="7"/>
      <c r="AE1485" s="7"/>
      <c r="AF1485" s="7"/>
      <c r="AG1485" s="7"/>
      <c r="AH1485" s="7"/>
      <c r="AI1485" s="7"/>
      <c r="AJ1485" s="7"/>
      <c r="AK1485" s="7"/>
      <c r="AL1485" s="7"/>
      <c r="AM1485" s="7"/>
      <c r="AN1485" s="7"/>
      <c r="AO1485" s="7"/>
      <c r="AP1485" s="7"/>
      <c r="AQ1485" s="7"/>
      <c r="AR1485" s="7"/>
      <c r="AS1485" s="7"/>
      <c r="AT1485" s="7"/>
      <c r="AU1485" s="7"/>
      <c r="AV1485" s="7"/>
      <c r="AW1485" s="7"/>
      <c r="AX1485" s="7"/>
      <c r="AY1485" s="7"/>
      <c r="AZ1485" s="7"/>
      <c r="BA1485" s="7"/>
      <c r="BB1485" s="7"/>
      <c r="BC1485" s="7"/>
      <c r="BD1485" s="7"/>
      <c r="BE1485" s="7"/>
      <c r="BF1485" s="7"/>
      <c r="BG1485" s="7"/>
    </row>
    <row r="1486" customHeight="1" spans="1:59">
      <c r="A1486" s="9"/>
      <c r="B1486" s="5"/>
      <c r="C1486" s="5"/>
      <c r="D1486" s="5"/>
      <c r="E1486" s="7"/>
      <c r="F1486" s="8"/>
      <c r="G1486" s="8"/>
      <c r="H1486" s="8"/>
      <c r="I1486" s="14"/>
      <c r="J1486" s="14"/>
      <c r="K1486" s="14"/>
      <c r="L1486" s="14"/>
      <c r="M1486" s="7"/>
      <c r="N1486" s="8"/>
      <c r="O1486" s="8"/>
      <c r="P1486" s="8"/>
      <c r="Q1486" s="7"/>
      <c r="R1486" s="16"/>
      <c r="S1486" s="17"/>
      <c r="T1486" s="8"/>
      <c r="U1486" s="8"/>
      <c r="V1486" s="8"/>
      <c r="W1486" s="7"/>
      <c r="X1486" s="7"/>
      <c r="Y1486" s="7"/>
      <c r="Z1486" s="7"/>
      <c r="AA1486" s="7"/>
      <c r="AB1486" s="7"/>
      <c r="AC1486" s="7"/>
      <c r="AD1486" s="7"/>
      <c r="AE1486" s="7"/>
      <c r="AF1486" s="7"/>
      <c r="AG1486" s="7"/>
      <c r="AH1486" s="7"/>
      <c r="AI1486" s="7"/>
      <c r="AJ1486" s="7"/>
      <c r="AK1486" s="7"/>
      <c r="AL1486" s="7"/>
      <c r="AM1486" s="7"/>
      <c r="AN1486" s="7"/>
      <c r="AO1486" s="7"/>
      <c r="AP1486" s="7"/>
      <c r="AQ1486" s="7"/>
      <c r="AR1486" s="7"/>
      <c r="AS1486" s="7"/>
      <c r="AT1486" s="7"/>
      <c r="AU1486" s="7"/>
      <c r="AV1486" s="7"/>
      <c r="AW1486" s="7"/>
      <c r="AX1486" s="7"/>
      <c r="AY1486" s="7"/>
      <c r="AZ1486" s="7"/>
      <c r="BA1486" s="7"/>
      <c r="BB1486" s="7"/>
      <c r="BC1486" s="7"/>
      <c r="BD1486" s="7"/>
      <c r="BE1486" s="7"/>
      <c r="BF1486" s="7"/>
      <c r="BG1486" s="7"/>
    </row>
    <row r="1487" customHeight="1" spans="1:59">
      <c r="A1487" s="9"/>
      <c r="B1487" s="5"/>
      <c r="C1487" s="5"/>
      <c r="D1487" s="5"/>
      <c r="E1487" s="7"/>
      <c r="F1487" s="8"/>
      <c r="G1487" s="8"/>
      <c r="H1487" s="8"/>
      <c r="I1487" s="14"/>
      <c r="J1487" s="14"/>
      <c r="K1487" s="14"/>
      <c r="L1487" s="14"/>
      <c r="M1487" s="7"/>
      <c r="N1487" s="8"/>
      <c r="O1487" s="8"/>
      <c r="P1487" s="8"/>
      <c r="Q1487" s="7"/>
      <c r="R1487" s="16"/>
      <c r="S1487" s="17"/>
      <c r="T1487" s="8"/>
      <c r="U1487" s="8"/>
      <c r="V1487" s="8"/>
      <c r="W1487" s="7"/>
      <c r="X1487" s="7"/>
      <c r="Y1487" s="7"/>
      <c r="Z1487" s="7"/>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7"/>
      <c r="AX1487" s="7"/>
      <c r="AY1487" s="7"/>
      <c r="AZ1487" s="7"/>
      <c r="BA1487" s="7"/>
      <c r="BB1487" s="7"/>
      <c r="BC1487" s="7"/>
      <c r="BD1487" s="7"/>
      <c r="BE1487" s="7"/>
      <c r="BF1487" s="7"/>
      <c r="BG1487" s="7"/>
    </row>
    <row r="1488" customHeight="1" spans="1:59">
      <c r="A1488" s="9"/>
      <c r="B1488" s="5"/>
      <c r="C1488" s="5"/>
      <c r="D1488" s="5"/>
      <c r="E1488" s="7"/>
      <c r="F1488" s="8"/>
      <c r="G1488" s="8"/>
      <c r="H1488" s="8"/>
      <c r="I1488" s="14"/>
      <c r="J1488" s="14"/>
      <c r="K1488" s="14"/>
      <c r="L1488" s="14"/>
      <c r="M1488" s="7"/>
      <c r="N1488" s="8"/>
      <c r="O1488" s="8"/>
      <c r="P1488" s="8"/>
      <c r="Q1488" s="7"/>
      <c r="R1488" s="16"/>
      <c r="S1488" s="17"/>
      <c r="T1488" s="8"/>
      <c r="U1488" s="8"/>
      <c r="V1488" s="8"/>
      <c r="W1488" s="7"/>
      <c r="X1488" s="7"/>
      <c r="Y1488" s="7"/>
      <c r="Z1488" s="7"/>
      <c r="AA1488" s="7"/>
      <c r="AB1488" s="7"/>
      <c r="AC1488" s="7"/>
      <c r="AD1488" s="7"/>
      <c r="AE1488" s="7"/>
      <c r="AF1488" s="7"/>
      <c r="AG1488" s="7"/>
      <c r="AH1488" s="7"/>
      <c r="AI1488" s="7"/>
      <c r="AJ1488" s="7"/>
      <c r="AK1488" s="7"/>
      <c r="AL1488" s="7"/>
      <c r="AM1488" s="7"/>
      <c r="AN1488" s="7"/>
      <c r="AO1488" s="7"/>
      <c r="AP1488" s="7"/>
      <c r="AQ1488" s="7"/>
      <c r="AR1488" s="7"/>
      <c r="AS1488" s="7"/>
      <c r="AT1488" s="7"/>
      <c r="AU1488" s="7"/>
      <c r="AV1488" s="7"/>
      <c r="AW1488" s="7"/>
      <c r="AX1488" s="7"/>
      <c r="AY1488" s="7"/>
      <c r="AZ1488" s="7"/>
      <c r="BA1488" s="7"/>
      <c r="BB1488" s="7"/>
      <c r="BC1488" s="7"/>
      <c r="BD1488" s="7"/>
      <c r="BE1488" s="7"/>
      <c r="BF1488" s="7"/>
      <c r="BG1488" s="7"/>
    </row>
    <row r="1489" customHeight="1" spans="1:59">
      <c r="A1489" s="9"/>
      <c r="B1489" s="5"/>
      <c r="C1489" s="5"/>
      <c r="D1489" s="5"/>
      <c r="E1489" s="7"/>
      <c r="F1489" s="8"/>
      <c r="G1489" s="8"/>
      <c r="H1489" s="8"/>
      <c r="I1489" s="14"/>
      <c r="J1489" s="14"/>
      <c r="K1489" s="14"/>
      <c r="L1489" s="14"/>
      <c r="M1489" s="7"/>
      <c r="N1489" s="8"/>
      <c r="O1489" s="8"/>
      <c r="P1489" s="8"/>
      <c r="Q1489" s="7"/>
      <c r="R1489" s="16"/>
      <c r="S1489" s="17"/>
      <c r="T1489" s="8"/>
      <c r="U1489" s="8"/>
      <c r="V1489" s="8"/>
      <c r="W1489" s="7"/>
      <c r="X1489" s="7"/>
      <c r="Y1489" s="7"/>
      <c r="Z1489" s="7"/>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7"/>
      <c r="AX1489" s="7"/>
      <c r="AY1489" s="7"/>
      <c r="AZ1489" s="7"/>
      <c r="BA1489" s="7"/>
      <c r="BB1489" s="7"/>
      <c r="BC1489" s="7"/>
      <c r="BD1489" s="7"/>
      <c r="BE1489" s="7"/>
      <c r="BF1489" s="7"/>
      <c r="BG1489" s="7"/>
    </row>
    <row r="1490" customHeight="1" spans="1:59">
      <c r="A1490" s="9"/>
      <c r="B1490" s="5"/>
      <c r="C1490" s="5"/>
      <c r="D1490" s="5"/>
      <c r="E1490" s="7"/>
      <c r="F1490" s="8"/>
      <c r="G1490" s="8"/>
      <c r="H1490" s="8"/>
      <c r="I1490" s="14"/>
      <c r="J1490" s="14"/>
      <c r="K1490" s="14"/>
      <c r="L1490" s="14"/>
      <c r="M1490" s="7"/>
      <c r="N1490" s="8"/>
      <c r="O1490" s="8"/>
      <c r="P1490" s="8"/>
      <c r="Q1490" s="7"/>
      <c r="R1490" s="16"/>
      <c r="S1490" s="17"/>
      <c r="T1490" s="8"/>
      <c r="U1490" s="8"/>
      <c r="V1490" s="8"/>
      <c r="W1490" s="7"/>
      <c r="X1490" s="7"/>
      <c r="Y1490" s="7"/>
      <c r="Z1490" s="7"/>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7"/>
      <c r="AX1490" s="7"/>
      <c r="AY1490" s="7"/>
      <c r="AZ1490" s="7"/>
      <c r="BA1490" s="7"/>
      <c r="BB1490" s="7"/>
      <c r="BC1490" s="7"/>
      <c r="BD1490" s="7"/>
      <c r="BE1490" s="7"/>
      <c r="BF1490" s="7"/>
      <c r="BG1490" s="7"/>
    </row>
    <row r="1491" customHeight="1" spans="1:59">
      <c r="A1491" s="9"/>
      <c r="B1491" s="5"/>
      <c r="C1491" s="5"/>
      <c r="D1491" s="5"/>
      <c r="E1491" s="7"/>
      <c r="F1491" s="8"/>
      <c r="G1491" s="8"/>
      <c r="H1491" s="8"/>
      <c r="I1491" s="14"/>
      <c r="J1491" s="14"/>
      <c r="K1491" s="14"/>
      <c r="L1491" s="14"/>
      <c r="M1491" s="7"/>
      <c r="N1491" s="8"/>
      <c r="O1491" s="8"/>
      <c r="P1491" s="8"/>
      <c r="Q1491" s="7"/>
      <c r="R1491" s="16"/>
      <c r="S1491" s="17"/>
      <c r="T1491" s="8"/>
      <c r="U1491" s="8"/>
      <c r="V1491" s="8"/>
      <c r="W1491" s="7"/>
      <c r="X1491" s="7"/>
      <c r="Y1491" s="7"/>
      <c r="Z1491" s="7"/>
      <c r="AA1491" s="7"/>
      <c r="AB1491" s="7"/>
      <c r="AC1491" s="7"/>
      <c r="AD1491" s="7"/>
      <c r="AE1491" s="7"/>
      <c r="AF1491" s="7"/>
      <c r="AG1491" s="7"/>
      <c r="AH1491" s="7"/>
      <c r="AI1491" s="7"/>
      <c r="AJ1491" s="7"/>
      <c r="AK1491" s="7"/>
      <c r="AL1491" s="7"/>
      <c r="AM1491" s="7"/>
      <c r="AN1491" s="7"/>
      <c r="AO1491" s="7"/>
      <c r="AP1491" s="7"/>
      <c r="AQ1491" s="7"/>
      <c r="AR1491" s="7"/>
      <c r="AS1491" s="7"/>
      <c r="AT1491" s="7"/>
      <c r="AU1491" s="7"/>
      <c r="AV1491" s="7"/>
      <c r="AW1491" s="7"/>
      <c r="AX1491" s="7"/>
      <c r="AY1491" s="7"/>
      <c r="AZ1491" s="7"/>
      <c r="BA1491" s="7"/>
      <c r="BB1491" s="7"/>
      <c r="BC1491" s="7"/>
      <c r="BD1491" s="7"/>
      <c r="BE1491" s="7"/>
      <c r="BF1491" s="7"/>
      <c r="BG1491" s="7"/>
    </row>
    <row r="1492" customHeight="1" spans="1:59">
      <c r="A1492" s="9"/>
      <c r="B1492" s="5"/>
      <c r="C1492" s="5"/>
      <c r="D1492" s="5"/>
      <c r="E1492" s="7"/>
      <c r="F1492" s="8"/>
      <c r="G1492" s="8"/>
      <c r="H1492" s="8"/>
      <c r="I1492" s="14"/>
      <c r="J1492" s="14"/>
      <c r="K1492" s="14"/>
      <c r="L1492" s="14"/>
      <c r="M1492" s="7"/>
      <c r="N1492" s="8"/>
      <c r="O1492" s="8"/>
      <c r="P1492" s="8"/>
      <c r="Q1492" s="7"/>
      <c r="R1492" s="16"/>
      <c r="S1492" s="17"/>
      <c r="T1492" s="8"/>
      <c r="U1492" s="8"/>
      <c r="V1492" s="8"/>
      <c r="W1492" s="7"/>
      <c r="X1492" s="7"/>
      <c r="Y1492" s="7"/>
      <c r="Z1492" s="7"/>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7"/>
      <c r="AX1492" s="7"/>
      <c r="AY1492" s="7"/>
      <c r="AZ1492" s="7"/>
      <c r="BA1492" s="7"/>
      <c r="BB1492" s="7"/>
      <c r="BC1492" s="7"/>
      <c r="BD1492" s="7"/>
      <c r="BE1492" s="7"/>
      <c r="BF1492" s="7"/>
      <c r="BG1492" s="7"/>
    </row>
    <row r="1493" customHeight="1" spans="1:59">
      <c r="A1493" s="9"/>
      <c r="B1493" s="5"/>
      <c r="C1493" s="5"/>
      <c r="D1493" s="5"/>
      <c r="E1493" s="7"/>
      <c r="F1493" s="8"/>
      <c r="G1493" s="8"/>
      <c r="H1493" s="8"/>
      <c r="I1493" s="14"/>
      <c r="J1493" s="14"/>
      <c r="K1493" s="14"/>
      <c r="L1493" s="14"/>
      <c r="M1493" s="7"/>
      <c r="N1493" s="8"/>
      <c r="O1493" s="8"/>
      <c r="P1493" s="8"/>
      <c r="Q1493" s="7"/>
      <c r="R1493" s="16"/>
      <c r="S1493" s="17"/>
      <c r="T1493" s="8"/>
      <c r="U1493" s="8"/>
      <c r="V1493" s="8"/>
      <c r="W1493" s="7"/>
      <c r="X1493" s="7"/>
      <c r="Y1493" s="7"/>
      <c r="Z1493" s="7"/>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7"/>
      <c r="AX1493" s="7"/>
      <c r="AY1493" s="7"/>
      <c r="AZ1493" s="7"/>
      <c r="BA1493" s="7"/>
      <c r="BB1493" s="7"/>
      <c r="BC1493" s="7"/>
      <c r="BD1493" s="7"/>
      <c r="BE1493" s="7"/>
      <c r="BF1493" s="7"/>
      <c r="BG1493" s="7"/>
    </row>
    <row r="1494" customHeight="1" spans="1:59">
      <c r="A1494" s="9"/>
      <c r="B1494" s="5"/>
      <c r="C1494" s="5"/>
      <c r="D1494" s="5"/>
      <c r="E1494" s="7"/>
      <c r="F1494" s="8"/>
      <c r="G1494" s="8"/>
      <c r="H1494" s="8"/>
      <c r="I1494" s="14"/>
      <c r="J1494" s="14"/>
      <c r="K1494" s="14"/>
      <c r="L1494" s="14"/>
      <c r="M1494" s="7"/>
      <c r="N1494" s="8"/>
      <c r="O1494" s="8"/>
      <c r="P1494" s="8"/>
      <c r="Q1494" s="7"/>
      <c r="R1494" s="16"/>
      <c r="S1494" s="17"/>
      <c r="T1494" s="8"/>
      <c r="U1494" s="8"/>
      <c r="V1494" s="8"/>
      <c r="W1494" s="7"/>
      <c r="X1494" s="7"/>
      <c r="Y1494" s="7"/>
      <c r="Z1494" s="7"/>
      <c r="AA1494" s="7"/>
      <c r="AB1494" s="7"/>
      <c r="AC1494" s="7"/>
      <c r="AD1494" s="7"/>
      <c r="AE1494" s="7"/>
      <c r="AF1494" s="7"/>
      <c r="AG1494" s="7"/>
      <c r="AH1494" s="7"/>
      <c r="AI1494" s="7"/>
      <c r="AJ1494" s="7"/>
      <c r="AK1494" s="7"/>
      <c r="AL1494" s="7"/>
      <c r="AM1494" s="7"/>
      <c r="AN1494" s="7"/>
      <c r="AO1494" s="7"/>
      <c r="AP1494" s="7"/>
      <c r="AQ1494" s="7"/>
      <c r="AR1494" s="7"/>
      <c r="AS1494" s="7"/>
      <c r="AT1494" s="7"/>
      <c r="AU1494" s="7"/>
      <c r="AV1494" s="7"/>
      <c r="AW1494" s="7"/>
      <c r="AX1494" s="7"/>
      <c r="AY1494" s="7"/>
      <c r="AZ1494" s="7"/>
      <c r="BA1494" s="7"/>
      <c r="BB1494" s="7"/>
      <c r="BC1494" s="7"/>
      <c r="BD1494" s="7"/>
      <c r="BE1494" s="7"/>
      <c r="BF1494" s="7"/>
      <c r="BG1494" s="7"/>
    </row>
    <row r="1495" customHeight="1" spans="1:59">
      <c r="A1495" s="9"/>
      <c r="B1495" s="5"/>
      <c r="C1495" s="5"/>
      <c r="D1495" s="5"/>
      <c r="E1495" s="7"/>
      <c r="F1495" s="8"/>
      <c r="G1495" s="8"/>
      <c r="H1495" s="8"/>
      <c r="I1495" s="14"/>
      <c r="J1495" s="14"/>
      <c r="K1495" s="14"/>
      <c r="L1495" s="14"/>
      <c r="M1495" s="7"/>
      <c r="N1495" s="8"/>
      <c r="O1495" s="8"/>
      <c r="P1495" s="8"/>
      <c r="Q1495" s="7"/>
      <c r="R1495" s="16"/>
      <c r="S1495" s="17"/>
      <c r="T1495" s="8"/>
      <c r="U1495" s="8"/>
      <c r="V1495" s="8"/>
      <c r="W1495" s="7"/>
      <c r="X1495" s="7"/>
      <c r="Y1495" s="7"/>
      <c r="Z1495" s="7"/>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7"/>
      <c r="AX1495" s="7"/>
      <c r="AY1495" s="7"/>
      <c r="AZ1495" s="7"/>
      <c r="BA1495" s="7"/>
      <c r="BB1495" s="7"/>
      <c r="BC1495" s="7"/>
      <c r="BD1495" s="7"/>
      <c r="BE1495" s="7"/>
      <c r="BF1495" s="7"/>
      <c r="BG1495" s="7"/>
    </row>
    <row r="1496" customHeight="1" spans="1:59">
      <c r="A1496" s="9"/>
      <c r="B1496" s="5"/>
      <c r="C1496" s="5"/>
      <c r="D1496" s="5"/>
      <c r="E1496" s="7"/>
      <c r="F1496" s="8"/>
      <c r="G1496" s="8"/>
      <c r="H1496" s="8"/>
      <c r="I1496" s="14"/>
      <c r="J1496" s="14"/>
      <c r="K1496" s="14"/>
      <c r="L1496" s="14"/>
      <c r="M1496" s="7"/>
      <c r="N1496" s="8"/>
      <c r="O1496" s="8"/>
      <c r="P1496" s="8"/>
      <c r="Q1496" s="7"/>
      <c r="R1496" s="16"/>
      <c r="S1496" s="17"/>
      <c r="T1496" s="8"/>
      <c r="U1496" s="8"/>
      <c r="V1496" s="8"/>
      <c r="W1496" s="7"/>
      <c r="X1496" s="7"/>
      <c r="Y1496" s="7"/>
      <c r="Z1496" s="7"/>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7"/>
      <c r="AX1496" s="7"/>
      <c r="AY1496" s="7"/>
      <c r="AZ1496" s="7"/>
      <c r="BA1496" s="7"/>
      <c r="BB1496" s="7"/>
      <c r="BC1496" s="7"/>
      <c r="BD1496" s="7"/>
      <c r="BE1496" s="7"/>
      <c r="BF1496" s="7"/>
      <c r="BG1496" s="7"/>
    </row>
    <row r="1497" customHeight="1" spans="1:59">
      <c r="A1497" s="9"/>
      <c r="B1497" s="5"/>
      <c r="C1497" s="5"/>
      <c r="D1497" s="5"/>
      <c r="E1497" s="7"/>
      <c r="F1497" s="8"/>
      <c r="G1497" s="8"/>
      <c r="H1497" s="8"/>
      <c r="I1497" s="14"/>
      <c r="J1497" s="14"/>
      <c r="K1497" s="14"/>
      <c r="L1497" s="14"/>
      <c r="M1497" s="7"/>
      <c r="N1497" s="8"/>
      <c r="O1497" s="8"/>
      <c r="P1497" s="8"/>
      <c r="Q1497" s="7"/>
      <c r="R1497" s="16"/>
      <c r="S1497" s="17"/>
      <c r="T1497" s="8"/>
      <c r="U1497" s="8"/>
      <c r="V1497" s="8"/>
      <c r="W1497" s="7"/>
      <c r="X1497" s="7"/>
      <c r="Y1497" s="7"/>
      <c r="Z1497" s="7"/>
      <c r="AA1497" s="7"/>
      <c r="AB1497" s="7"/>
      <c r="AC1497" s="7"/>
      <c r="AD1497" s="7"/>
      <c r="AE1497" s="7"/>
      <c r="AF1497" s="7"/>
      <c r="AG1497" s="7"/>
      <c r="AH1497" s="7"/>
      <c r="AI1497" s="7"/>
      <c r="AJ1497" s="7"/>
      <c r="AK1497" s="7"/>
      <c r="AL1497" s="7"/>
      <c r="AM1497" s="7"/>
      <c r="AN1497" s="7"/>
      <c r="AO1497" s="7"/>
      <c r="AP1497" s="7"/>
      <c r="AQ1497" s="7"/>
      <c r="AR1497" s="7"/>
      <c r="AS1497" s="7"/>
      <c r="AT1497" s="7"/>
      <c r="AU1497" s="7"/>
      <c r="AV1497" s="7"/>
      <c r="AW1497" s="7"/>
      <c r="AX1497" s="7"/>
      <c r="AY1497" s="7"/>
      <c r="AZ1497" s="7"/>
      <c r="BA1497" s="7"/>
      <c r="BB1497" s="7"/>
      <c r="BC1497" s="7"/>
      <c r="BD1497" s="7"/>
      <c r="BE1497" s="7"/>
      <c r="BF1497" s="7"/>
      <c r="BG1497" s="7"/>
    </row>
    <row r="1498" customHeight="1" spans="1:59">
      <c r="A1498" s="9"/>
      <c r="B1498" s="5"/>
      <c r="C1498" s="5"/>
      <c r="D1498" s="5"/>
      <c r="E1498" s="7"/>
      <c r="F1498" s="8"/>
      <c r="G1498" s="8"/>
      <c r="H1498" s="8"/>
      <c r="I1498" s="14"/>
      <c r="J1498" s="14"/>
      <c r="K1498" s="14"/>
      <c r="L1498" s="14"/>
      <c r="M1498" s="7"/>
      <c r="N1498" s="8"/>
      <c r="O1498" s="8"/>
      <c r="P1498" s="8"/>
      <c r="Q1498" s="7"/>
      <c r="R1498" s="16"/>
      <c r="S1498" s="17"/>
      <c r="T1498" s="8"/>
      <c r="U1498" s="8"/>
      <c r="V1498" s="8"/>
      <c r="W1498" s="7"/>
      <c r="X1498" s="7"/>
      <c r="Y1498" s="7"/>
      <c r="Z1498" s="7"/>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7"/>
      <c r="AX1498" s="7"/>
      <c r="AY1498" s="7"/>
      <c r="AZ1498" s="7"/>
      <c r="BA1498" s="7"/>
      <c r="BB1498" s="7"/>
      <c r="BC1498" s="7"/>
      <c r="BD1498" s="7"/>
      <c r="BE1498" s="7"/>
      <c r="BF1498" s="7"/>
      <c r="BG1498" s="7"/>
    </row>
    <row r="1499" customHeight="1" spans="1:59">
      <c r="A1499" s="9"/>
      <c r="B1499" s="5"/>
      <c r="C1499" s="5"/>
      <c r="D1499" s="5"/>
      <c r="E1499" s="7"/>
      <c r="F1499" s="8"/>
      <c r="G1499" s="8"/>
      <c r="H1499" s="8"/>
      <c r="I1499" s="14"/>
      <c r="J1499" s="14"/>
      <c r="K1499" s="14"/>
      <c r="L1499" s="14"/>
      <c r="M1499" s="7"/>
      <c r="N1499" s="8"/>
      <c r="O1499" s="8"/>
      <c r="P1499" s="8"/>
      <c r="Q1499" s="7"/>
      <c r="R1499" s="16"/>
      <c r="S1499" s="17"/>
      <c r="T1499" s="8"/>
      <c r="U1499" s="8"/>
      <c r="V1499" s="8"/>
      <c r="W1499" s="7"/>
      <c r="X1499" s="7"/>
      <c r="Y1499" s="7"/>
      <c r="Z1499" s="7"/>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7"/>
      <c r="AX1499" s="7"/>
      <c r="AY1499" s="7"/>
      <c r="AZ1499" s="7"/>
      <c r="BA1499" s="7"/>
      <c r="BB1499" s="7"/>
      <c r="BC1499" s="7"/>
      <c r="BD1499" s="7"/>
      <c r="BE1499" s="7"/>
      <c r="BF1499" s="7"/>
      <c r="BG1499" s="7"/>
    </row>
    <row r="1500" customHeight="1" spans="1:59">
      <c r="A1500" s="9"/>
      <c r="B1500" s="5"/>
      <c r="C1500" s="5"/>
      <c r="D1500" s="5"/>
      <c r="E1500" s="7"/>
      <c r="F1500" s="8"/>
      <c r="G1500" s="8"/>
      <c r="H1500" s="8"/>
      <c r="I1500" s="14"/>
      <c r="J1500" s="14"/>
      <c r="K1500" s="14"/>
      <c r="L1500" s="14"/>
      <c r="M1500" s="7"/>
      <c r="N1500" s="8"/>
      <c r="O1500" s="8"/>
      <c r="P1500" s="8"/>
      <c r="Q1500" s="7"/>
      <c r="R1500" s="16"/>
      <c r="S1500" s="17"/>
      <c r="T1500" s="8"/>
      <c r="U1500" s="8"/>
      <c r="V1500" s="8"/>
      <c r="W1500" s="7"/>
      <c r="X1500" s="7"/>
      <c r="Y1500" s="7"/>
      <c r="Z1500" s="7"/>
      <c r="AA1500" s="7"/>
      <c r="AB1500" s="7"/>
      <c r="AC1500" s="7"/>
      <c r="AD1500" s="7"/>
      <c r="AE1500" s="7"/>
      <c r="AF1500" s="7"/>
      <c r="AG1500" s="7"/>
      <c r="AH1500" s="7"/>
      <c r="AI1500" s="7"/>
      <c r="AJ1500" s="7"/>
      <c r="AK1500" s="7"/>
      <c r="AL1500" s="7"/>
      <c r="AM1500" s="7"/>
      <c r="AN1500" s="7"/>
      <c r="AO1500" s="7"/>
      <c r="AP1500" s="7"/>
      <c r="AQ1500" s="7"/>
      <c r="AR1500" s="7"/>
      <c r="AS1500" s="7"/>
      <c r="AT1500" s="7"/>
      <c r="AU1500" s="7"/>
      <c r="AV1500" s="7"/>
      <c r="AW1500" s="7"/>
      <c r="AX1500" s="7"/>
      <c r="AY1500" s="7"/>
      <c r="AZ1500" s="7"/>
      <c r="BA1500" s="7"/>
      <c r="BB1500" s="7"/>
      <c r="BC1500" s="7"/>
      <c r="BD1500" s="7"/>
      <c r="BE1500" s="7"/>
      <c r="BF1500" s="7"/>
      <c r="BG1500" s="7"/>
    </row>
    <row r="1501" customHeight="1" spans="1:59">
      <c r="A1501" s="9"/>
      <c r="B1501" s="5"/>
      <c r="C1501" s="5"/>
      <c r="D1501" s="5"/>
      <c r="E1501" s="7"/>
      <c r="F1501" s="8"/>
      <c r="G1501" s="8"/>
      <c r="H1501" s="8"/>
      <c r="I1501" s="14"/>
      <c r="J1501" s="14"/>
      <c r="K1501" s="14"/>
      <c r="L1501" s="14"/>
      <c r="M1501" s="7"/>
      <c r="N1501" s="8"/>
      <c r="O1501" s="8"/>
      <c r="P1501" s="8"/>
      <c r="Q1501" s="7"/>
      <c r="R1501" s="16"/>
      <c r="S1501" s="17"/>
      <c r="T1501" s="8"/>
      <c r="U1501" s="8"/>
      <c r="V1501" s="8"/>
      <c r="W1501" s="7"/>
      <c r="X1501" s="7"/>
      <c r="Y1501" s="7"/>
      <c r="Z1501" s="7"/>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7"/>
      <c r="AX1501" s="7"/>
      <c r="AY1501" s="7"/>
      <c r="AZ1501" s="7"/>
      <c r="BA1501" s="7"/>
      <c r="BB1501" s="7"/>
      <c r="BC1501" s="7"/>
      <c r="BD1501" s="7"/>
      <c r="BE1501" s="7"/>
      <c r="BF1501" s="7"/>
      <c r="BG1501" s="7"/>
    </row>
    <row r="1502" customHeight="1" spans="1:59">
      <c r="A1502" s="9"/>
      <c r="B1502" s="5"/>
      <c r="C1502" s="5"/>
      <c r="D1502" s="5"/>
      <c r="E1502" s="7"/>
      <c r="F1502" s="8"/>
      <c r="G1502" s="8"/>
      <c r="H1502" s="8"/>
      <c r="I1502" s="14"/>
      <c r="J1502" s="14"/>
      <c r="K1502" s="14"/>
      <c r="L1502" s="14"/>
      <c r="M1502" s="7"/>
      <c r="N1502" s="8"/>
      <c r="O1502" s="8"/>
      <c r="P1502" s="8"/>
      <c r="Q1502" s="7"/>
      <c r="R1502" s="16"/>
      <c r="S1502" s="17"/>
      <c r="T1502" s="8"/>
      <c r="U1502" s="8"/>
      <c r="V1502" s="8"/>
      <c r="W1502" s="7"/>
      <c r="X1502" s="7"/>
      <c r="Y1502" s="7"/>
      <c r="Z1502" s="7"/>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7"/>
      <c r="AX1502" s="7"/>
      <c r="AY1502" s="7"/>
      <c r="AZ1502" s="7"/>
      <c r="BA1502" s="7"/>
      <c r="BB1502" s="7"/>
      <c r="BC1502" s="7"/>
      <c r="BD1502" s="7"/>
      <c r="BE1502" s="7"/>
      <c r="BF1502" s="7"/>
      <c r="BG1502" s="7"/>
    </row>
    <row r="1503" customHeight="1" spans="1:59">
      <c r="A1503" s="9"/>
      <c r="B1503" s="5"/>
      <c r="C1503" s="5"/>
      <c r="D1503" s="5"/>
      <c r="E1503" s="7"/>
      <c r="F1503" s="8"/>
      <c r="G1503" s="8"/>
      <c r="H1503" s="8"/>
      <c r="I1503" s="14"/>
      <c r="J1503" s="14"/>
      <c r="K1503" s="14"/>
      <c r="L1503" s="14"/>
      <c r="M1503" s="7"/>
      <c r="N1503" s="8"/>
      <c r="O1503" s="8"/>
      <c r="P1503" s="8"/>
      <c r="Q1503" s="7"/>
      <c r="R1503" s="16"/>
      <c r="S1503" s="17"/>
      <c r="T1503" s="8"/>
      <c r="U1503" s="8"/>
      <c r="V1503" s="8"/>
      <c r="W1503" s="7"/>
      <c r="X1503" s="7"/>
      <c r="Y1503" s="7"/>
      <c r="Z1503" s="7"/>
      <c r="AA1503" s="7"/>
      <c r="AB1503" s="7"/>
      <c r="AC1503" s="7"/>
      <c r="AD1503" s="7"/>
      <c r="AE1503" s="7"/>
      <c r="AF1503" s="7"/>
      <c r="AG1503" s="7"/>
      <c r="AH1503" s="7"/>
      <c r="AI1503" s="7"/>
      <c r="AJ1503" s="7"/>
      <c r="AK1503" s="7"/>
      <c r="AL1503" s="7"/>
      <c r="AM1503" s="7"/>
      <c r="AN1503" s="7"/>
      <c r="AO1503" s="7"/>
      <c r="AP1503" s="7"/>
      <c r="AQ1503" s="7"/>
      <c r="AR1503" s="7"/>
      <c r="AS1503" s="7"/>
      <c r="AT1503" s="7"/>
      <c r="AU1503" s="7"/>
      <c r="AV1503" s="7"/>
      <c r="AW1503" s="7"/>
      <c r="AX1503" s="7"/>
      <c r="AY1503" s="7"/>
      <c r="AZ1503" s="7"/>
      <c r="BA1503" s="7"/>
      <c r="BB1503" s="7"/>
      <c r="BC1503" s="7"/>
      <c r="BD1503" s="7"/>
      <c r="BE1503" s="7"/>
      <c r="BF1503" s="7"/>
      <c r="BG1503" s="7"/>
    </row>
    <row r="1504" customHeight="1" spans="1:59">
      <c r="A1504" s="9"/>
      <c r="B1504" s="5"/>
      <c r="C1504" s="5"/>
      <c r="D1504" s="5"/>
      <c r="E1504" s="7"/>
      <c r="F1504" s="8"/>
      <c r="G1504" s="8"/>
      <c r="H1504" s="8"/>
      <c r="I1504" s="14"/>
      <c r="J1504" s="14"/>
      <c r="K1504" s="14"/>
      <c r="L1504" s="14"/>
      <c r="M1504" s="7"/>
      <c r="N1504" s="8"/>
      <c r="O1504" s="8"/>
      <c r="P1504" s="8"/>
      <c r="Q1504" s="7"/>
      <c r="R1504" s="16"/>
      <c r="S1504" s="17"/>
      <c r="T1504" s="8"/>
      <c r="U1504" s="8"/>
      <c r="V1504" s="8"/>
      <c r="W1504" s="7"/>
      <c r="X1504" s="7"/>
      <c r="Y1504" s="7"/>
      <c r="Z1504" s="7"/>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7"/>
      <c r="AX1504" s="7"/>
      <c r="AY1504" s="7"/>
      <c r="AZ1504" s="7"/>
      <c r="BA1504" s="7"/>
      <c r="BB1504" s="7"/>
      <c r="BC1504" s="7"/>
      <c r="BD1504" s="7"/>
      <c r="BE1504" s="7"/>
      <c r="BF1504" s="7"/>
      <c r="BG1504" s="7"/>
    </row>
    <row r="1505" customHeight="1" spans="1:59">
      <c r="A1505" s="9"/>
      <c r="B1505" s="5"/>
      <c r="C1505" s="5"/>
      <c r="D1505" s="5"/>
      <c r="E1505" s="7"/>
      <c r="F1505" s="8"/>
      <c r="G1505" s="8"/>
      <c r="H1505" s="8"/>
      <c r="I1505" s="14"/>
      <c r="J1505" s="14"/>
      <c r="K1505" s="14"/>
      <c r="L1505" s="14"/>
      <c r="M1505" s="7"/>
      <c r="N1505" s="8"/>
      <c r="O1505" s="8"/>
      <c r="P1505" s="8"/>
      <c r="Q1505" s="7"/>
      <c r="R1505" s="16"/>
      <c r="S1505" s="17"/>
      <c r="T1505" s="8"/>
      <c r="U1505" s="8"/>
      <c r="V1505" s="8"/>
      <c r="W1505" s="7"/>
      <c r="X1505" s="7"/>
      <c r="Y1505" s="7"/>
      <c r="Z1505" s="7"/>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7"/>
      <c r="AX1505" s="7"/>
      <c r="AY1505" s="7"/>
      <c r="AZ1505" s="7"/>
      <c r="BA1505" s="7"/>
      <c r="BB1505" s="7"/>
      <c r="BC1505" s="7"/>
      <c r="BD1505" s="7"/>
      <c r="BE1505" s="7"/>
      <c r="BF1505" s="7"/>
      <c r="BG1505" s="7"/>
    </row>
    <row r="1506" customHeight="1" spans="1:59">
      <c r="A1506" s="9"/>
      <c r="B1506" s="5"/>
      <c r="C1506" s="5"/>
      <c r="D1506" s="5"/>
      <c r="E1506" s="7"/>
      <c r="F1506" s="8"/>
      <c r="G1506" s="8"/>
      <c r="H1506" s="8"/>
      <c r="I1506" s="14"/>
      <c r="J1506" s="14"/>
      <c r="K1506" s="14"/>
      <c r="L1506" s="14"/>
      <c r="M1506" s="7"/>
      <c r="N1506" s="8"/>
      <c r="O1506" s="8"/>
      <c r="P1506" s="8"/>
      <c r="Q1506" s="7"/>
      <c r="R1506" s="16"/>
      <c r="S1506" s="17"/>
      <c r="T1506" s="8"/>
      <c r="U1506" s="8"/>
      <c r="V1506" s="8"/>
      <c r="W1506" s="7"/>
      <c r="X1506" s="7"/>
      <c r="Y1506" s="7"/>
      <c r="Z1506" s="7"/>
      <c r="AA1506" s="7"/>
      <c r="AB1506" s="7"/>
      <c r="AC1506" s="7"/>
      <c r="AD1506" s="7"/>
      <c r="AE1506" s="7"/>
      <c r="AF1506" s="7"/>
      <c r="AG1506" s="7"/>
      <c r="AH1506" s="7"/>
      <c r="AI1506" s="7"/>
      <c r="AJ1506" s="7"/>
      <c r="AK1506" s="7"/>
      <c r="AL1506" s="7"/>
      <c r="AM1506" s="7"/>
      <c r="AN1506" s="7"/>
      <c r="AO1506" s="7"/>
      <c r="AP1506" s="7"/>
      <c r="AQ1506" s="7"/>
      <c r="AR1506" s="7"/>
      <c r="AS1506" s="7"/>
      <c r="AT1506" s="7"/>
      <c r="AU1506" s="7"/>
      <c r="AV1506" s="7"/>
      <c r="AW1506" s="7"/>
      <c r="AX1506" s="7"/>
      <c r="AY1506" s="7"/>
      <c r="AZ1506" s="7"/>
      <c r="BA1506" s="7"/>
      <c r="BB1506" s="7"/>
      <c r="BC1506" s="7"/>
      <c r="BD1506" s="7"/>
      <c r="BE1506" s="7"/>
      <c r="BF1506" s="7"/>
      <c r="BG1506" s="7"/>
    </row>
    <row r="1507" customHeight="1" spans="1:59">
      <c r="A1507" s="9"/>
      <c r="B1507" s="5"/>
      <c r="C1507" s="5"/>
      <c r="D1507" s="5"/>
      <c r="E1507" s="7"/>
      <c r="F1507" s="8"/>
      <c r="G1507" s="8"/>
      <c r="H1507" s="8"/>
      <c r="I1507" s="14"/>
      <c r="J1507" s="14"/>
      <c r="K1507" s="14"/>
      <c r="L1507" s="14"/>
      <c r="M1507" s="7"/>
      <c r="N1507" s="8"/>
      <c r="O1507" s="8"/>
      <c r="P1507" s="8"/>
      <c r="Q1507" s="7"/>
      <c r="R1507" s="16"/>
      <c r="S1507" s="17"/>
      <c r="T1507" s="8"/>
      <c r="U1507" s="8"/>
      <c r="V1507" s="8"/>
      <c r="W1507" s="7"/>
      <c r="X1507" s="7"/>
      <c r="Y1507" s="7"/>
      <c r="Z1507" s="7"/>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7"/>
      <c r="AX1507" s="7"/>
      <c r="AY1507" s="7"/>
      <c r="AZ1507" s="7"/>
      <c r="BA1507" s="7"/>
      <c r="BB1507" s="7"/>
      <c r="BC1507" s="7"/>
      <c r="BD1507" s="7"/>
      <c r="BE1507" s="7"/>
      <c r="BF1507" s="7"/>
      <c r="BG1507" s="7"/>
    </row>
    <row r="1508" customHeight="1" spans="1:59">
      <c r="A1508" s="9"/>
      <c r="B1508" s="5"/>
      <c r="C1508" s="5"/>
      <c r="D1508" s="5"/>
      <c r="E1508" s="7"/>
      <c r="F1508" s="8"/>
      <c r="G1508" s="8"/>
      <c r="H1508" s="8"/>
      <c r="I1508" s="14"/>
      <c r="J1508" s="14"/>
      <c r="K1508" s="14"/>
      <c r="L1508" s="14"/>
      <c r="M1508" s="7"/>
      <c r="N1508" s="8"/>
      <c r="O1508" s="8"/>
      <c r="P1508" s="8"/>
      <c r="Q1508" s="7"/>
      <c r="R1508" s="16"/>
      <c r="S1508" s="17"/>
      <c r="T1508" s="8"/>
      <c r="U1508" s="8"/>
      <c r="V1508" s="8"/>
      <c r="W1508" s="7"/>
      <c r="X1508" s="7"/>
      <c r="Y1508" s="7"/>
      <c r="Z1508" s="7"/>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7"/>
      <c r="AX1508" s="7"/>
      <c r="AY1508" s="7"/>
      <c r="AZ1508" s="7"/>
      <c r="BA1508" s="7"/>
      <c r="BB1508" s="7"/>
      <c r="BC1508" s="7"/>
      <c r="BD1508" s="7"/>
      <c r="BE1508" s="7"/>
      <c r="BF1508" s="7"/>
      <c r="BG1508" s="7"/>
    </row>
    <row r="1509" customHeight="1" spans="1:59">
      <c r="A1509" s="9"/>
      <c r="B1509" s="5"/>
      <c r="C1509" s="5"/>
      <c r="D1509" s="5"/>
      <c r="E1509" s="7"/>
      <c r="F1509" s="8"/>
      <c r="G1509" s="8"/>
      <c r="H1509" s="8"/>
      <c r="I1509" s="14"/>
      <c r="J1509" s="14"/>
      <c r="K1509" s="14"/>
      <c r="L1509" s="14"/>
      <c r="M1509" s="7"/>
      <c r="N1509" s="8"/>
      <c r="O1509" s="8"/>
      <c r="P1509" s="8"/>
      <c r="Q1509" s="7"/>
      <c r="R1509" s="16"/>
      <c r="S1509" s="17"/>
      <c r="T1509" s="8"/>
      <c r="U1509" s="8"/>
      <c r="V1509" s="8"/>
      <c r="W1509" s="7"/>
      <c r="X1509" s="7"/>
      <c r="Y1509" s="7"/>
      <c r="Z1509" s="7"/>
      <c r="AA1509" s="7"/>
      <c r="AB1509" s="7"/>
      <c r="AC1509" s="7"/>
      <c r="AD1509" s="7"/>
      <c r="AE1509" s="7"/>
      <c r="AF1509" s="7"/>
      <c r="AG1509" s="7"/>
      <c r="AH1509" s="7"/>
      <c r="AI1509" s="7"/>
      <c r="AJ1509" s="7"/>
      <c r="AK1509" s="7"/>
      <c r="AL1509" s="7"/>
      <c r="AM1509" s="7"/>
      <c r="AN1509" s="7"/>
      <c r="AO1509" s="7"/>
      <c r="AP1509" s="7"/>
      <c r="AQ1509" s="7"/>
      <c r="AR1509" s="7"/>
      <c r="AS1509" s="7"/>
      <c r="AT1509" s="7"/>
      <c r="AU1509" s="7"/>
      <c r="AV1509" s="7"/>
      <c r="AW1509" s="7"/>
      <c r="AX1509" s="7"/>
      <c r="AY1509" s="7"/>
      <c r="AZ1509" s="7"/>
      <c r="BA1509" s="7"/>
      <c r="BB1509" s="7"/>
      <c r="BC1509" s="7"/>
      <c r="BD1509" s="7"/>
      <c r="BE1509" s="7"/>
      <c r="BF1509" s="7"/>
      <c r="BG1509" s="7"/>
    </row>
    <row r="1510" customHeight="1" spans="1:59">
      <c r="A1510" s="9"/>
      <c r="B1510" s="5"/>
      <c r="C1510" s="5"/>
      <c r="D1510" s="5"/>
      <c r="E1510" s="7"/>
      <c r="F1510" s="8"/>
      <c r="G1510" s="8"/>
      <c r="H1510" s="8"/>
      <c r="I1510" s="14"/>
      <c r="J1510" s="14"/>
      <c r="K1510" s="14"/>
      <c r="L1510" s="14"/>
      <c r="M1510" s="7"/>
      <c r="N1510" s="8"/>
      <c r="O1510" s="8"/>
      <c r="P1510" s="8"/>
      <c r="Q1510" s="7"/>
      <c r="R1510" s="16"/>
      <c r="S1510" s="17"/>
      <c r="T1510" s="8"/>
      <c r="U1510" s="8"/>
      <c r="V1510" s="8"/>
      <c r="W1510" s="7"/>
      <c r="X1510" s="7"/>
      <c r="Y1510" s="7"/>
      <c r="Z1510" s="7"/>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7"/>
      <c r="AX1510" s="7"/>
      <c r="AY1510" s="7"/>
      <c r="AZ1510" s="7"/>
      <c r="BA1510" s="7"/>
      <c r="BB1510" s="7"/>
      <c r="BC1510" s="7"/>
      <c r="BD1510" s="7"/>
      <c r="BE1510" s="7"/>
      <c r="BF1510" s="7"/>
      <c r="BG1510" s="7"/>
    </row>
    <row r="1511" customHeight="1" spans="1:59">
      <c r="A1511" s="9"/>
      <c r="B1511" s="5"/>
      <c r="C1511" s="5"/>
      <c r="D1511" s="5"/>
      <c r="E1511" s="7"/>
      <c r="F1511" s="8"/>
      <c r="G1511" s="8"/>
      <c r="H1511" s="8"/>
      <c r="I1511" s="14"/>
      <c r="J1511" s="14"/>
      <c r="K1511" s="14"/>
      <c r="L1511" s="14"/>
      <c r="M1511" s="7"/>
      <c r="N1511" s="8"/>
      <c r="O1511" s="8"/>
      <c r="P1511" s="8"/>
      <c r="Q1511" s="7"/>
      <c r="R1511" s="16"/>
      <c r="S1511" s="17"/>
      <c r="T1511" s="8"/>
      <c r="U1511" s="8"/>
      <c r="V1511" s="8"/>
      <c r="W1511" s="7"/>
      <c r="X1511" s="7"/>
      <c r="Y1511" s="7"/>
      <c r="Z1511" s="7"/>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7"/>
      <c r="AX1511" s="7"/>
      <c r="AY1511" s="7"/>
      <c r="AZ1511" s="7"/>
      <c r="BA1511" s="7"/>
      <c r="BB1511" s="7"/>
      <c r="BC1511" s="7"/>
      <c r="BD1511" s="7"/>
      <c r="BE1511" s="7"/>
      <c r="BF1511" s="7"/>
      <c r="BG1511" s="7"/>
    </row>
    <row r="1512" customHeight="1" spans="1:59">
      <c r="A1512" s="9"/>
      <c r="B1512" s="5"/>
      <c r="C1512" s="5"/>
      <c r="D1512" s="5"/>
      <c r="E1512" s="7"/>
      <c r="F1512" s="8"/>
      <c r="G1512" s="8"/>
      <c r="H1512" s="8"/>
      <c r="I1512" s="14"/>
      <c r="J1512" s="14"/>
      <c r="K1512" s="14"/>
      <c r="L1512" s="14"/>
      <c r="M1512" s="7"/>
      <c r="N1512" s="8"/>
      <c r="O1512" s="8"/>
      <c r="P1512" s="8"/>
      <c r="Q1512" s="7"/>
      <c r="R1512" s="16"/>
      <c r="S1512" s="17"/>
      <c r="T1512" s="8"/>
      <c r="U1512" s="8"/>
      <c r="V1512" s="8"/>
      <c r="W1512" s="7"/>
      <c r="X1512" s="7"/>
      <c r="Y1512" s="7"/>
      <c r="Z1512" s="7"/>
      <c r="AA1512" s="7"/>
      <c r="AB1512" s="7"/>
      <c r="AC1512" s="7"/>
      <c r="AD1512" s="7"/>
      <c r="AE1512" s="7"/>
      <c r="AF1512" s="7"/>
      <c r="AG1512" s="7"/>
      <c r="AH1512" s="7"/>
      <c r="AI1512" s="7"/>
      <c r="AJ1512" s="7"/>
      <c r="AK1512" s="7"/>
      <c r="AL1512" s="7"/>
      <c r="AM1512" s="7"/>
      <c r="AN1512" s="7"/>
      <c r="AO1512" s="7"/>
      <c r="AP1512" s="7"/>
      <c r="AQ1512" s="7"/>
      <c r="AR1512" s="7"/>
      <c r="AS1512" s="7"/>
      <c r="AT1512" s="7"/>
      <c r="AU1512" s="7"/>
      <c r="AV1512" s="7"/>
      <c r="AW1512" s="7"/>
      <c r="AX1512" s="7"/>
      <c r="AY1512" s="7"/>
      <c r="AZ1512" s="7"/>
      <c r="BA1512" s="7"/>
      <c r="BB1512" s="7"/>
      <c r="BC1512" s="7"/>
      <c r="BD1512" s="7"/>
      <c r="BE1512" s="7"/>
      <c r="BF1512" s="7"/>
      <c r="BG1512" s="7"/>
    </row>
    <row r="1513" customHeight="1" spans="1:59">
      <c r="A1513" s="9"/>
      <c r="B1513" s="5"/>
      <c r="C1513" s="5"/>
      <c r="D1513" s="5"/>
      <c r="E1513" s="7"/>
      <c r="F1513" s="8"/>
      <c r="G1513" s="8"/>
      <c r="H1513" s="8"/>
      <c r="I1513" s="14"/>
      <c r="J1513" s="14"/>
      <c r="K1513" s="14"/>
      <c r="L1513" s="14"/>
      <c r="M1513" s="7"/>
      <c r="N1513" s="8"/>
      <c r="O1513" s="8"/>
      <c r="P1513" s="8"/>
      <c r="Q1513" s="7"/>
      <c r="R1513" s="16"/>
      <c r="S1513" s="17"/>
      <c r="T1513" s="8"/>
      <c r="U1513" s="8"/>
      <c r="V1513" s="8"/>
      <c r="W1513" s="7"/>
      <c r="X1513" s="7"/>
      <c r="Y1513" s="7"/>
      <c r="Z1513" s="7"/>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7"/>
      <c r="AX1513" s="7"/>
      <c r="AY1513" s="7"/>
      <c r="AZ1513" s="7"/>
      <c r="BA1513" s="7"/>
      <c r="BB1513" s="7"/>
      <c r="BC1513" s="7"/>
      <c r="BD1513" s="7"/>
      <c r="BE1513" s="7"/>
      <c r="BF1513" s="7"/>
      <c r="BG1513" s="7"/>
    </row>
    <row r="1514" customHeight="1" spans="1:59">
      <c r="A1514" s="9"/>
      <c r="B1514" s="5"/>
      <c r="C1514" s="5"/>
      <c r="D1514" s="5"/>
      <c r="E1514" s="7"/>
      <c r="F1514" s="8"/>
      <c r="G1514" s="8"/>
      <c r="H1514" s="8"/>
      <c r="I1514" s="14"/>
      <c r="J1514" s="14"/>
      <c r="K1514" s="14"/>
      <c r="L1514" s="14"/>
      <c r="M1514" s="7"/>
      <c r="N1514" s="8"/>
      <c r="O1514" s="8"/>
      <c r="P1514" s="8"/>
      <c r="Q1514" s="7"/>
      <c r="R1514" s="16"/>
      <c r="S1514" s="17"/>
      <c r="T1514" s="8"/>
      <c r="U1514" s="8"/>
      <c r="V1514" s="8"/>
      <c r="W1514" s="7"/>
      <c r="X1514" s="7"/>
      <c r="Y1514" s="7"/>
      <c r="Z1514" s="7"/>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7"/>
      <c r="AX1514" s="7"/>
      <c r="AY1514" s="7"/>
      <c r="AZ1514" s="7"/>
      <c r="BA1514" s="7"/>
      <c r="BB1514" s="7"/>
      <c r="BC1514" s="7"/>
      <c r="BD1514" s="7"/>
      <c r="BE1514" s="7"/>
      <c r="BF1514" s="7"/>
      <c r="BG1514" s="7"/>
    </row>
    <row r="1515" customHeight="1" spans="1:59">
      <c r="A1515" s="9"/>
      <c r="B1515" s="5"/>
      <c r="C1515" s="5"/>
      <c r="D1515" s="5"/>
      <c r="E1515" s="7"/>
      <c r="F1515" s="8"/>
      <c r="G1515" s="8"/>
      <c r="H1515" s="8"/>
      <c r="I1515" s="14"/>
      <c r="J1515" s="14"/>
      <c r="K1515" s="14"/>
      <c r="L1515" s="14"/>
      <c r="M1515" s="7"/>
      <c r="N1515" s="8"/>
      <c r="O1515" s="8"/>
      <c r="P1515" s="8"/>
      <c r="Q1515" s="7"/>
      <c r="R1515" s="16"/>
      <c r="S1515" s="17"/>
      <c r="T1515" s="8"/>
      <c r="U1515" s="8"/>
      <c r="V1515" s="8"/>
      <c r="W1515" s="7"/>
      <c r="X1515" s="7"/>
      <c r="Y1515" s="7"/>
      <c r="Z1515" s="7"/>
      <c r="AA1515" s="7"/>
      <c r="AB1515" s="7"/>
      <c r="AC1515" s="7"/>
      <c r="AD1515" s="7"/>
      <c r="AE1515" s="7"/>
      <c r="AF1515" s="7"/>
      <c r="AG1515" s="7"/>
      <c r="AH1515" s="7"/>
      <c r="AI1515" s="7"/>
      <c r="AJ1515" s="7"/>
      <c r="AK1515" s="7"/>
      <c r="AL1515" s="7"/>
      <c r="AM1515" s="7"/>
      <c r="AN1515" s="7"/>
      <c r="AO1515" s="7"/>
      <c r="AP1515" s="7"/>
      <c r="AQ1515" s="7"/>
      <c r="AR1515" s="7"/>
      <c r="AS1515" s="7"/>
      <c r="AT1515" s="7"/>
      <c r="AU1515" s="7"/>
      <c r="AV1515" s="7"/>
      <c r="AW1515" s="7"/>
      <c r="AX1515" s="7"/>
      <c r="AY1515" s="7"/>
      <c r="AZ1515" s="7"/>
      <c r="BA1515" s="7"/>
      <c r="BB1515" s="7"/>
      <c r="BC1515" s="7"/>
      <c r="BD1515" s="7"/>
      <c r="BE1515" s="7"/>
      <c r="BF1515" s="7"/>
      <c r="BG1515" s="7"/>
    </row>
    <row r="1516" customHeight="1" spans="1:59">
      <c r="A1516" s="9"/>
      <c r="B1516" s="5"/>
      <c r="C1516" s="5"/>
      <c r="D1516" s="5"/>
      <c r="E1516" s="7"/>
      <c r="F1516" s="8"/>
      <c r="G1516" s="8"/>
      <c r="H1516" s="8"/>
      <c r="I1516" s="14"/>
      <c r="J1516" s="14"/>
      <c r="K1516" s="14"/>
      <c r="L1516" s="14"/>
      <c r="M1516" s="7"/>
      <c r="N1516" s="8"/>
      <c r="O1516" s="8"/>
      <c r="P1516" s="8"/>
      <c r="Q1516" s="7"/>
      <c r="R1516" s="16"/>
      <c r="S1516" s="17"/>
      <c r="T1516" s="8"/>
      <c r="U1516" s="8"/>
      <c r="V1516" s="8"/>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7"/>
      <c r="BD1516" s="7"/>
      <c r="BE1516" s="7"/>
      <c r="BF1516" s="7"/>
      <c r="BG1516" s="7"/>
    </row>
    <row r="1517" customHeight="1" spans="1:59">
      <c r="A1517" s="9"/>
      <c r="B1517" s="5"/>
      <c r="C1517" s="5"/>
      <c r="D1517" s="5"/>
      <c r="E1517" s="7"/>
      <c r="F1517" s="8"/>
      <c r="G1517" s="8"/>
      <c r="H1517" s="8"/>
      <c r="I1517" s="14"/>
      <c r="J1517" s="14"/>
      <c r="K1517" s="14"/>
      <c r="L1517" s="14"/>
      <c r="M1517" s="7"/>
      <c r="N1517" s="8"/>
      <c r="O1517" s="8"/>
      <c r="P1517" s="8"/>
      <c r="Q1517" s="7"/>
      <c r="R1517" s="16"/>
      <c r="S1517" s="17"/>
      <c r="T1517" s="8"/>
      <c r="U1517" s="8"/>
      <c r="V1517" s="8"/>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7"/>
      <c r="AX1517" s="7"/>
      <c r="AY1517" s="7"/>
      <c r="AZ1517" s="7"/>
      <c r="BA1517" s="7"/>
      <c r="BB1517" s="7"/>
      <c r="BC1517" s="7"/>
      <c r="BD1517" s="7"/>
      <c r="BE1517" s="7"/>
      <c r="BF1517" s="7"/>
      <c r="BG1517" s="7"/>
    </row>
    <row r="1518" customHeight="1" spans="1:59">
      <c r="A1518" s="9"/>
      <c r="B1518" s="5"/>
      <c r="C1518" s="5"/>
      <c r="D1518" s="5"/>
      <c r="E1518" s="7"/>
      <c r="F1518" s="8"/>
      <c r="G1518" s="8"/>
      <c r="H1518" s="8"/>
      <c r="I1518" s="14"/>
      <c r="J1518" s="14"/>
      <c r="K1518" s="14"/>
      <c r="L1518" s="14"/>
      <c r="M1518" s="7"/>
      <c r="N1518" s="8"/>
      <c r="O1518" s="8"/>
      <c r="P1518" s="8"/>
      <c r="Q1518" s="7"/>
      <c r="R1518" s="16"/>
      <c r="S1518" s="17"/>
      <c r="T1518" s="8"/>
      <c r="U1518" s="8"/>
      <c r="V1518" s="8"/>
      <c r="W1518" s="7"/>
      <c r="X1518" s="7"/>
      <c r="Y1518" s="7"/>
      <c r="Z1518" s="7"/>
      <c r="AA1518" s="7"/>
      <c r="AB1518" s="7"/>
      <c r="AC1518" s="7"/>
      <c r="AD1518" s="7"/>
      <c r="AE1518" s="7"/>
      <c r="AF1518" s="7"/>
      <c r="AG1518" s="7"/>
      <c r="AH1518" s="7"/>
      <c r="AI1518" s="7"/>
      <c r="AJ1518" s="7"/>
      <c r="AK1518" s="7"/>
      <c r="AL1518" s="7"/>
      <c r="AM1518" s="7"/>
      <c r="AN1518" s="7"/>
      <c r="AO1518" s="7"/>
      <c r="AP1518" s="7"/>
      <c r="AQ1518" s="7"/>
      <c r="AR1518" s="7"/>
      <c r="AS1518" s="7"/>
      <c r="AT1518" s="7"/>
      <c r="AU1518" s="7"/>
      <c r="AV1518" s="7"/>
      <c r="AW1518" s="7"/>
      <c r="AX1518" s="7"/>
      <c r="AY1518" s="7"/>
      <c r="AZ1518" s="7"/>
      <c r="BA1518" s="7"/>
      <c r="BB1518" s="7"/>
      <c r="BC1518" s="7"/>
      <c r="BD1518" s="7"/>
      <c r="BE1518" s="7"/>
      <c r="BF1518" s="7"/>
      <c r="BG1518" s="7"/>
    </row>
    <row r="1519" customHeight="1" spans="1:59">
      <c r="A1519" s="9"/>
      <c r="B1519" s="5"/>
      <c r="C1519" s="5"/>
      <c r="D1519" s="5"/>
      <c r="E1519" s="7"/>
      <c r="F1519" s="8"/>
      <c r="G1519" s="8"/>
      <c r="H1519" s="8"/>
      <c r="I1519" s="14"/>
      <c r="J1519" s="14"/>
      <c r="K1519" s="14"/>
      <c r="L1519" s="14"/>
      <c r="M1519" s="7"/>
      <c r="N1519" s="8"/>
      <c r="O1519" s="8"/>
      <c r="P1519" s="8"/>
      <c r="Q1519" s="7"/>
      <c r="R1519" s="16"/>
      <c r="S1519" s="17"/>
      <c r="T1519" s="8"/>
      <c r="U1519" s="8"/>
      <c r="V1519" s="8"/>
      <c r="W1519" s="7"/>
      <c r="X1519" s="7"/>
      <c r="Y1519" s="7"/>
      <c r="Z1519" s="7"/>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7"/>
      <c r="AX1519" s="7"/>
      <c r="AY1519" s="7"/>
      <c r="AZ1519" s="7"/>
      <c r="BA1519" s="7"/>
      <c r="BB1519" s="7"/>
      <c r="BC1519" s="7"/>
      <c r="BD1519" s="7"/>
      <c r="BE1519" s="7"/>
      <c r="BF1519" s="7"/>
      <c r="BG1519" s="7"/>
    </row>
    <row r="1520" customHeight="1" spans="1:59">
      <c r="A1520" s="9"/>
      <c r="B1520" s="5"/>
      <c r="C1520" s="5"/>
      <c r="D1520" s="5"/>
      <c r="E1520" s="7"/>
      <c r="F1520" s="8"/>
      <c r="G1520" s="8"/>
      <c r="H1520" s="8"/>
      <c r="I1520" s="14"/>
      <c r="J1520" s="14"/>
      <c r="K1520" s="14"/>
      <c r="L1520" s="14"/>
      <c r="M1520" s="7"/>
      <c r="N1520" s="8"/>
      <c r="O1520" s="8"/>
      <c r="P1520" s="8"/>
      <c r="Q1520" s="7"/>
      <c r="R1520" s="16"/>
      <c r="S1520" s="17"/>
      <c r="T1520" s="8"/>
      <c r="U1520" s="8"/>
      <c r="V1520" s="8"/>
      <c r="W1520" s="7"/>
      <c r="X1520" s="7"/>
      <c r="Y1520" s="7"/>
      <c r="Z1520" s="7"/>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7"/>
      <c r="BD1520" s="7"/>
      <c r="BE1520" s="7"/>
      <c r="BF1520" s="7"/>
      <c r="BG1520" s="7"/>
    </row>
    <row r="1521" customHeight="1" spans="1:59">
      <c r="A1521" s="9"/>
      <c r="B1521" s="5"/>
      <c r="C1521" s="5"/>
      <c r="D1521" s="5"/>
      <c r="E1521" s="7"/>
      <c r="F1521" s="8"/>
      <c r="G1521" s="8"/>
      <c r="H1521" s="8"/>
      <c r="I1521" s="14"/>
      <c r="J1521" s="14"/>
      <c r="K1521" s="14"/>
      <c r="L1521" s="14"/>
      <c r="M1521" s="7"/>
      <c r="N1521" s="8"/>
      <c r="O1521" s="8"/>
      <c r="P1521" s="8"/>
      <c r="Q1521" s="7"/>
      <c r="R1521" s="16"/>
      <c r="S1521" s="17"/>
      <c r="T1521" s="8"/>
      <c r="U1521" s="8"/>
      <c r="V1521" s="8"/>
      <c r="W1521" s="7"/>
      <c r="X1521" s="7"/>
      <c r="Y1521" s="7"/>
      <c r="Z1521" s="7"/>
      <c r="AA1521" s="7"/>
      <c r="AB1521" s="7"/>
      <c r="AC1521" s="7"/>
      <c r="AD1521" s="7"/>
      <c r="AE1521" s="7"/>
      <c r="AF1521" s="7"/>
      <c r="AG1521" s="7"/>
      <c r="AH1521" s="7"/>
      <c r="AI1521" s="7"/>
      <c r="AJ1521" s="7"/>
      <c r="AK1521" s="7"/>
      <c r="AL1521" s="7"/>
      <c r="AM1521" s="7"/>
      <c r="AN1521" s="7"/>
      <c r="AO1521" s="7"/>
      <c r="AP1521" s="7"/>
      <c r="AQ1521" s="7"/>
      <c r="AR1521" s="7"/>
      <c r="AS1521" s="7"/>
      <c r="AT1521" s="7"/>
      <c r="AU1521" s="7"/>
      <c r="AV1521" s="7"/>
      <c r="AW1521" s="7"/>
      <c r="AX1521" s="7"/>
      <c r="AY1521" s="7"/>
      <c r="AZ1521" s="7"/>
      <c r="BA1521" s="7"/>
      <c r="BB1521" s="7"/>
      <c r="BC1521" s="7"/>
      <c r="BD1521" s="7"/>
      <c r="BE1521" s="7"/>
      <c r="BF1521" s="7"/>
      <c r="BG1521" s="7"/>
    </row>
    <row r="1522" customHeight="1" spans="1:59">
      <c r="A1522" s="9"/>
      <c r="B1522" s="5"/>
      <c r="C1522" s="5"/>
      <c r="D1522" s="5"/>
      <c r="E1522" s="7"/>
      <c r="F1522" s="8"/>
      <c r="G1522" s="8"/>
      <c r="H1522" s="8"/>
      <c r="I1522" s="14"/>
      <c r="J1522" s="14"/>
      <c r="K1522" s="14"/>
      <c r="L1522" s="14"/>
      <c r="M1522" s="7"/>
      <c r="N1522" s="8"/>
      <c r="O1522" s="8"/>
      <c r="P1522" s="8"/>
      <c r="Q1522" s="7"/>
      <c r="R1522" s="16"/>
      <c r="S1522" s="17"/>
      <c r="T1522" s="8"/>
      <c r="U1522" s="8"/>
      <c r="V1522" s="8"/>
      <c r="W1522" s="7"/>
      <c r="X1522" s="7"/>
      <c r="Y1522" s="7"/>
      <c r="Z1522" s="7"/>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7"/>
      <c r="AX1522" s="7"/>
      <c r="AY1522" s="7"/>
      <c r="AZ1522" s="7"/>
      <c r="BA1522" s="7"/>
      <c r="BB1522" s="7"/>
      <c r="BC1522" s="7"/>
      <c r="BD1522" s="7"/>
      <c r="BE1522" s="7"/>
      <c r="BF1522" s="7"/>
      <c r="BG1522" s="7"/>
    </row>
    <row r="1523" customHeight="1" spans="1:59">
      <c r="A1523" s="9"/>
      <c r="B1523" s="5"/>
      <c r="C1523" s="5"/>
      <c r="D1523" s="5"/>
      <c r="E1523" s="7"/>
      <c r="F1523" s="8"/>
      <c r="G1523" s="8"/>
      <c r="H1523" s="8"/>
      <c r="I1523" s="14"/>
      <c r="J1523" s="14"/>
      <c r="K1523" s="14"/>
      <c r="L1523" s="14"/>
      <c r="M1523" s="7"/>
      <c r="N1523" s="8"/>
      <c r="O1523" s="8"/>
      <c r="P1523" s="8"/>
      <c r="Q1523" s="7"/>
      <c r="R1523" s="16"/>
      <c r="S1523" s="17"/>
      <c r="T1523" s="8"/>
      <c r="U1523" s="8"/>
      <c r="V1523" s="8"/>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7"/>
      <c r="BD1523" s="7"/>
      <c r="BE1523" s="7"/>
      <c r="BF1523" s="7"/>
      <c r="BG1523" s="7"/>
    </row>
    <row r="1524" customHeight="1" spans="1:59">
      <c r="A1524" s="9"/>
      <c r="B1524" s="5"/>
      <c r="C1524" s="5"/>
      <c r="D1524" s="5"/>
      <c r="E1524" s="7"/>
      <c r="F1524" s="8"/>
      <c r="G1524" s="8"/>
      <c r="H1524" s="8"/>
      <c r="I1524" s="14"/>
      <c r="J1524" s="14"/>
      <c r="K1524" s="14"/>
      <c r="L1524" s="14"/>
      <c r="M1524" s="7"/>
      <c r="N1524" s="8"/>
      <c r="O1524" s="8"/>
      <c r="P1524" s="8"/>
      <c r="Q1524" s="7"/>
      <c r="R1524" s="16"/>
      <c r="S1524" s="17"/>
      <c r="T1524" s="8"/>
      <c r="U1524" s="8"/>
      <c r="V1524" s="8"/>
      <c r="W1524" s="7"/>
      <c r="X1524" s="7"/>
      <c r="Y1524" s="7"/>
      <c r="Z1524" s="7"/>
      <c r="AA1524" s="7"/>
      <c r="AB1524" s="7"/>
      <c r="AC1524" s="7"/>
      <c r="AD1524" s="7"/>
      <c r="AE1524" s="7"/>
      <c r="AF1524" s="7"/>
      <c r="AG1524" s="7"/>
      <c r="AH1524" s="7"/>
      <c r="AI1524" s="7"/>
      <c r="AJ1524" s="7"/>
      <c r="AK1524" s="7"/>
      <c r="AL1524" s="7"/>
      <c r="AM1524" s="7"/>
      <c r="AN1524" s="7"/>
      <c r="AO1524" s="7"/>
      <c r="AP1524" s="7"/>
      <c r="AQ1524" s="7"/>
      <c r="AR1524" s="7"/>
      <c r="AS1524" s="7"/>
      <c r="AT1524" s="7"/>
      <c r="AU1524" s="7"/>
      <c r="AV1524" s="7"/>
      <c r="AW1524" s="7"/>
      <c r="AX1524" s="7"/>
      <c r="AY1524" s="7"/>
      <c r="AZ1524" s="7"/>
      <c r="BA1524" s="7"/>
      <c r="BB1524" s="7"/>
      <c r="BC1524" s="7"/>
      <c r="BD1524" s="7"/>
      <c r="BE1524" s="7"/>
      <c r="BF1524" s="7"/>
      <c r="BG1524" s="7"/>
    </row>
    <row r="1525" customHeight="1" spans="1:59">
      <c r="A1525" s="9"/>
      <c r="B1525" s="5"/>
      <c r="C1525" s="5"/>
      <c r="D1525" s="5"/>
      <c r="E1525" s="7"/>
      <c r="F1525" s="8"/>
      <c r="G1525" s="8"/>
      <c r="H1525" s="8"/>
      <c r="I1525" s="14"/>
      <c r="J1525" s="14"/>
      <c r="K1525" s="14"/>
      <c r="L1525" s="14"/>
      <c r="M1525" s="7"/>
      <c r="N1525" s="8"/>
      <c r="O1525" s="8"/>
      <c r="P1525" s="8"/>
      <c r="Q1525" s="7"/>
      <c r="R1525" s="16"/>
      <c r="S1525" s="17"/>
      <c r="T1525" s="8"/>
      <c r="U1525" s="8"/>
      <c r="V1525" s="8"/>
      <c r="W1525" s="7"/>
      <c r="X1525" s="7"/>
      <c r="Y1525" s="7"/>
      <c r="Z1525" s="7"/>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7"/>
      <c r="AX1525" s="7"/>
      <c r="AY1525" s="7"/>
      <c r="AZ1525" s="7"/>
      <c r="BA1525" s="7"/>
      <c r="BB1525" s="7"/>
      <c r="BC1525" s="7"/>
      <c r="BD1525" s="7"/>
      <c r="BE1525" s="7"/>
      <c r="BF1525" s="7"/>
      <c r="BG1525" s="7"/>
    </row>
    <row r="1526" customHeight="1" spans="1:59">
      <c r="A1526" s="9"/>
      <c r="B1526" s="5"/>
      <c r="C1526" s="5"/>
      <c r="D1526" s="5"/>
      <c r="E1526" s="7"/>
      <c r="F1526" s="8"/>
      <c r="G1526" s="8"/>
      <c r="H1526" s="8"/>
      <c r="I1526" s="14"/>
      <c r="J1526" s="14"/>
      <c r="K1526" s="14"/>
      <c r="L1526" s="14"/>
      <c r="M1526" s="7"/>
      <c r="N1526" s="8"/>
      <c r="O1526" s="8"/>
      <c r="P1526" s="8"/>
      <c r="Q1526" s="7"/>
      <c r="R1526" s="16"/>
      <c r="S1526" s="17"/>
      <c r="T1526" s="8"/>
      <c r="U1526" s="8"/>
      <c r="V1526" s="8"/>
      <c r="W1526" s="7"/>
      <c r="X1526" s="7"/>
      <c r="Y1526" s="7"/>
      <c r="Z1526" s="7"/>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7"/>
      <c r="AX1526" s="7"/>
      <c r="AY1526" s="7"/>
      <c r="AZ1526" s="7"/>
      <c r="BA1526" s="7"/>
      <c r="BB1526" s="7"/>
      <c r="BC1526" s="7"/>
      <c r="BD1526" s="7"/>
      <c r="BE1526" s="7"/>
      <c r="BF1526" s="7"/>
      <c r="BG1526" s="7"/>
    </row>
    <row r="1527" customHeight="1" spans="1:59">
      <c r="A1527" s="9"/>
      <c r="B1527" s="5"/>
      <c r="C1527" s="5"/>
      <c r="D1527" s="5"/>
      <c r="E1527" s="7"/>
      <c r="F1527" s="8"/>
      <c r="G1527" s="8"/>
      <c r="H1527" s="8"/>
      <c r="I1527" s="14"/>
      <c r="J1527" s="14"/>
      <c r="K1527" s="14"/>
      <c r="L1527" s="14"/>
      <c r="M1527" s="7"/>
      <c r="N1527" s="8"/>
      <c r="O1527" s="8"/>
      <c r="P1527" s="8"/>
      <c r="Q1527" s="7"/>
      <c r="R1527" s="16"/>
      <c r="S1527" s="17"/>
      <c r="T1527" s="8"/>
      <c r="U1527" s="8"/>
      <c r="V1527" s="8"/>
      <c r="W1527" s="7"/>
      <c r="X1527" s="7"/>
      <c r="Y1527" s="7"/>
      <c r="Z1527" s="7"/>
      <c r="AA1527" s="7"/>
      <c r="AB1527" s="7"/>
      <c r="AC1527" s="7"/>
      <c r="AD1527" s="7"/>
      <c r="AE1527" s="7"/>
      <c r="AF1527" s="7"/>
      <c r="AG1527" s="7"/>
      <c r="AH1527" s="7"/>
      <c r="AI1527" s="7"/>
      <c r="AJ1527" s="7"/>
      <c r="AK1527" s="7"/>
      <c r="AL1527" s="7"/>
      <c r="AM1527" s="7"/>
      <c r="AN1527" s="7"/>
      <c r="AO1527" s="7"/>
      <c r="AP1527" s="7"/>
      <c r="AQ1527" s="7"/>
      <c r="AR1527" s="7"/>
      <c r="AS1527" s="7"/>
      <c r="AT1527" s="7"/>
      <c r="AU1527" s="7"/>
      <c r="AV1527" s="7"/>
      <c r="AW1527" s="7"/>
      <c r="AX1527" s="7"/>
      <c r="AY1527" s="7"/>
      <c r="AZ1527" s="7"/>
      <c r="BA1527" s="7"/>
      <c r="BB1527" s="7"/>
      <c r="BC1527" s="7"/>
      <c r="BD1527" s="7"/>
      <c r="BE1527" s="7"/>
      <c r="BF1527" s="7"/>
      <c r="BG1527" s="7"/>
    </row>
    <row r="1528" customHeight="1" spans="1:59">
      <c r="A1528" s="9"/>
      <c r="B1528" s="5"/>
      <c r="C1528" s="5"/>
      <c r="D1528" s="5"/>
      <c r="E1528" s="7"/>
      <c r="F1528" s="8"/>
      <c r="G1528" s="8"/>
      <c r="H1528" s="8"/>
      <c r="I1528" s="14"/>
      <c r="J1528" s="14"/>
      <c r="K1528" s="14"/>
      <c r="L1528" s="14"/>
      <c r="M1528" s="7"/>
      <c r="N1528" s="8"/>
      <c r="O1528" s="8"/>
      <c r="P1528" s="8"/>
      <c r="Q1528" s="7"/>
      <c r="R1528" s="16"/>
      <c r="S1528" s="17"/>
      <c r="T1528" s="8"/>
      <c r="U1528" s="8"/>
      <c r="V1528" s="8"/>
      <c r="W1528" s="7"/>
      <c r="X1528" s="7"/>
      <c r="Y1528" s="7"/>
      <c r="Z1528" s="7"/>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7"/>
      <c r="AX1528" s="7"/>
      <c r="AY1528" s="7"/>
      <c r="AZ1528" s="7"/>
      <c r="BA1528" s="7"/>
      <c r="BB1528" s="7"/>
      <c r="BC1528" s="7"/>
      <c r="BD1528" s="7"/>
      <c r="BE1528" s="7"/>
      <c r="BF1528" s="7"/>
      <c r="BG1528" s="7"/>
    </row>
    <row r="1529" customHeight="1" spans="1:59">
      <c r="A1529" s="9"/>
      <c r="B1529" s="5"/>
      <c r="C1529" s="5"/>
      <c r="D1529" s="5"/>
      <c r="E1529" s="7"/>
      <c r="F1529" s="8"/>
      <c r="G1529" s="8"/>
      <c r="H1529" s="8"/>
      <c r="I1529" s="14"/>
      <c r="J1529" s="14"/>
      <c r="K1529" s="14"/>
      <c r="L1529" s="14"/>
      <c r="M1529" s="7"/>
      <c r="N1529" s="8"/>
      <c r="O1529" s="8"/>
      <c r="P1529" s="8"/>
      <c r="Q1529" s="7"/>
      <c r="R1529" s="16"/>
      <c r="S1529" s="17"/>
      <c r="T1529" s="8"/>
      <c r="U1529" s="8"/>
      <c r="V1529" s="8"/>
      <c r="W1529" s="7"/>
      <c r="X1529" s="7"/>
      <c r="Y1529" s="7"/>
      <c r="Z1529" s="7"/>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7"/>
      <c r="AX1529" s="7"/>
      <c r="AY1529" s="7"/>
      <c r="AZ1529" s="7"/>
      <c r="BA1529" s="7"/>
      <c r="BB1529" s="7"/>
      <c r="BC1529" s="7"/>
      <c r="BD1529" s="7"/>
      <c r="BE1529" s="7"/>
      <c r="BF1529" s="7"/>
      <c r="BG1529" s="7"/>
    </row>
    <row r="1530" customHeight="1" spans="1:59">
      <c r="A1530" s="9"/>
      <c r="B1530" s="5"/>
      <c r="C1530" s="5"/>
      <c r="D1530" s="5"/>
      <c r="E1530" s="7"/>
      <c r="F1530" s="8"/>
      <c r="G1530" s="8"/>
      <c r="H1530" s="8"/>
      <c r="I1530" s="14"/>
      <c r="J1530" s="14"/>
      <c r="K1530" s="14"/>
      <c r="L1530" s="14"/>
      <c r="M1530" s="7"/>
      <c r="N1530" s="8"/>
      <c r="O1530" s="8"/>
      <c r="P1530" s="8"/>
      <c r="Q1530" s="7"/>
      <c r="R1530" s="16"/>
      <c r="S1530" s="17"/>
      <c r="T1530" s="8"/>
      <c r="U1530" s="8"/>
      <c r="V1530" s="8"/>
      <c r="W1530" s="7"/>
      <c r="X1530" s="7"/>
      <c r="Y1530" s="7"/>
      <c r="Z1530" s="7"/>
      <c r="AA1530" s="7"/>
      <c r="AB1530" s="7"/>
      <c r="AC1530" s="7"/>
      <c r="AD1530" s="7"/>
      <c r="AE1530" s="7"/>
      <c r="AF1530" s="7"/>
      <c r="AG1530" s="7"/>
      <c r="AH1530" s="7"/>
      <c r="AI1530" s="7"/>
      <c r="AJ1530" s="7"/>
      <c r="AK1530" s="7"/>
      <c r="AL1530" s="7"/>
      <c r="AM1530" s="7"/>
      <c r="AN1530" s="7"/>
      <c r="AO1530" s="7"/>
      <c r="AP1530" s="7"/>
      <c r="AQ1530" s="7"/>
      <c r="AR1530" s="7"/>
      <c r="AS1530" s="7"/>
      <c r="AT1530" s="7"/>
      <c r="AU1530" s="7"/>
      <c r="AV1530" s="7"/>
      <c r="AW1530" s="7"/>
      <c r="AX1530" s="7"/>
      <c r="AY1530" s="7"/>
      <c r="AZ1530" s="7"/>
      <c r="BA1530" s="7"/>
      <c r="BB1530" s="7"/>
      <c r="BC1530" s="7"/>
      <c r="BD1530" s="7"/>
      <c r="BE1530" s="7"/>
      <c r="BF1530" s="7"/>
      <c r="BG1530" s="7"/>
    </row>
    <row r="1531" customHeight="1" spans="1:59">
      <c r="A1531" s="9"/>
      <c r="B1531" s="5"/>
      <c r="C1531" s="5"/>
      <c r="D1531" s="5"/>
      <c r="E1531" s="7"/>
      <c r="F1531" s="8"/>
      <c r="G1531" s="8"/>
      <c r="H1531" s="8"/>
      <c r="I1531" s="14"/>
      <c r="J1531" s="14"/>
      <c r="K1531" s="14"/>
      <c r="L1531" s="14"/>
      <c r="M1531" s="7"/>
      <c r="N1531" s="8"/>
      <c r="O1531" s="8"/>
      <c r="P1531" s="8"/>
      <c r="Q1531" s="7"/>
      <c r="R1531" s="16"/>
      <c r="S1531" s="17"/>
      <c r="T1531" s="8"/>
      <c r="U1531" s="8"/>
      <c r="V1531" s="8"/>
      <c r="W1531" s="7"/>
      <c r="X1531" s="7"/>
      <c r="Y1531" s="7"/>
      <c r="Z1531" s="7"/>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7"/>
      <c r="AX1531" s="7"/>
      <c r="AY1531" s="7"/>
      <c r="AZ1531" s="7"/>
      <c r="BA1531" s="7"/>
      <c r="BB1531" s="7"/>
      <c r="BC1531" s="7"/>
      <c r="BD1531" s="7"/>
      <c r="BE1531" s="7"/>
      <c r="BF1531" s="7"/>
      <c r="BG1531" s="7"/>
    </row>
    <row r="1532" customHeight="1" spans="1:59">
      <c r="A1532" s="9"/>
      <c r="B1532" s="5"/>
      <c r="C1532" s="5"/>
      <c r="D1532" s="5"/>
      <c r="E1532" s="7"/>
      <c r="F1532" s="8"/>
      <c r="G1532" s="8"/>
      <c r="H1532" s="8"/>
      <c r="I1532" s="14"/>
      <c r="J1532" s="14"/>
      <c r="K1532" s="14"/>
      <c r="L1532" s="14"/>
      <c r="M1532" s="7"/>
      <c r="N1532" s="8"/>
      <c r="O1532" s="8"/>
      <c r="P1532" s="8"/>
      <c r="Q1532" s="7"/>
      <c r="R1532" s="16"/>
      <c r="S1532" s="17"/>
      <c r="T1532" s="8"/>
      <c r="U1532" s="8"/>
      <c r="V1532" s="8"/>
      <c r="W1532" s="7"/>
      <c r="X1532" s="7"/>
      <c r="Y1532" s="7"/>
      <c r="Z1532" s="7"/>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7"/>
      <c r="AX1532" s="7"/>
      <c r="AY1532" s="7"/>
      <c r="AZ1532" s="7"/>
      <c r="BA1532" s="7"/>
      <c r="BB1532" s="7"/>
      <c r="BC1532" s="7"/>
      <c r="BD1532" s="7"/>
      <c r="BE1532" s="7"/>
      <c r="BF1532" s="7"/>
      <c r="BG1532" s="7"/>
    </row>
    <row r="1533" customHeight="1" spans="1:59">
      <c r="A1533" s="9"/>
      <c r="B1533" s="5"/>
      <c r="C1533" s="5"/>
      <c r="D1533" s="5"/>
      <c r="E1533" s="7"/>
      <c r="F1533" s="8"/>
      <c r="G1533" s="8"/>
      <c r="H1533" s="8"/>
      <c r="I1533" s="14"/>
      <c r="J1533" s="14"/>
      <c r="K1533" s="14"/>
      <c r="L1533" s="14"/>
      <c r="M1533" s="7"/>
      <c r="N1533" s="8"/>
      <c r="O1533" s="8"/>
      <c r="P1533" s="8"/>
      <c r="Q1533" s="7"/>
      <c r="R1533" s="16"/>
      <c r="S1533" s="17"/>
      <c r="T1533" s="8"/>
      <c r="U1533" s="8"/>
      <c r="V1533" s="8"/>
      <c r="W1533" s="7"/>
      <c r="X1533" s="7"/>
      <c r="Y1533" s="7"/>
      <c r="Z1533" s="7"/>
      <c r="AA1533" s="7"/>
      <c r="AB1533" s="7"/>
      <c r="AC1533" s="7"/>
      <c r="AD1533" s="7"/>
      <c r="AE1533" s="7"/>
      <c r="AF1533" s="7"/>
      <c r="AG1533" s="7"/>
      <c r="AH1533" s="7"/>
      <c r="AI1533" s="7"/>
      <c r="AJ1533" s="7"/>
      <c r="AK1533" s="7"/>
      <c r="AL1533" s="7"/>
      <c r="AM1533" s="7"/>
      <c r="AN1533" s="7"/>
      <c r="AO1533" s="7"/>
      <c r="AP1533" s="7"/>
      <c r="AQ1533" s="7"/>
      <c r="AR1533" s="7"/>
      <c r="AS1533" s="7"/>
      <c r="AT1533" s="7"/>
      <c r="AU1533" s="7"/>
      <c r="AV1533" s="7"/>
      <c r="AW1533" s="7"/>
      <c r="AX1533" s="7"/>
      <c r="AY1533" s="7"/>
      <c r="AZ1533" s="7"/>
      <c r="BA1533" s="7"/>
      <c r="BB1533" s="7"/>
      <c r="BC1533" s="7"/>
      <c r="BD1533" s="7"/>
      <c r="BE1533" s="7"/>
      <c r="BF1533" s="7"/>
      <c r="BG1533" s="7"/>
    </row>
    <row r="1534" customHeight="1" spans="1:59">
      <c r="A1534" s="9"/>
      <c r="B1534" s="5"/>
      <c r="C1534" s="5"/>
      <c r="D1534" s="5"/>
      <c r="E1534" s="7"/>
      <c r="F1534" s="8"/>
      <c r="G1534" s="8"/>
      <c r="H1534" s="8"/>
      <c r="I1534" s="14"/>
      <c r="J1534" s="14"/>
      <c r="K1534" s="14"/>
      <c r="L1534" s="14"/>
      <c r="M1534" s="7"/>
      <c r="N1534" s="8"/>
      <c r="O1534" s="8"/>
      <c r="P1534" s="8"/>
      <c r="Q1534" s="7"/>
      <c r="R1534" s="16"/>
      <c r="S1534" s="17"/>
      <c r="T1534" s="8"/>
      <c r="U1534" s="8"/>
      <c r="V1534" s="8"/>
      <c r="W1534" s="7"/>
      <c r="X1534" s="7"/>
      <c r="Y1534" s="7"/>
      <c r="Z1534" s="7"/>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7"/>
      <c r="AX1534" s="7"/>
      <c r="AY1534" s="7"/>
      <c r="AZ1534" s="7"/>
      <c r="BA1534" s="7"/>
      <c r="BB1534" s="7"/>
      <c r="BC1534" s="7"/>
      <c r="BD1534" s="7"/>
      <c r="BE1534" s="7"/>
      <c r="BF1534" s="7"/>
      <c r="BG1534" s="7"/>
    </row>
    <row r="1535" customHeight="1" spans="1:59">
      <c r="A1535" s="9"/>
      <c r="B1535" s="5"/>
      <c r="C1535" s="5"/>
      <c r="D1535" s="5"/>
      <c r="E1535" s="7"/>
      <c r="F1535" s="8"/>
      <c r="G1535" s="8"/>
      <c r="H1535" s="8"/>
      <c r="I1535" s="14"/>
      <c r="J1535" s="14"/>
      <c r="K1535" s="14"/>
      <c r="L1535" s="14"/>
      <c r="M1535" s="7"/>
      <c r="N1535" s="8"/>
      <c r="O1535" s="8"/>
      <c r="P1535" s="8"/>
      <c r="Q1535" s="7"/>
      <c r="R1535" s="16"/>
      <c r="S1535" s="17"/>
      <c r="T1535" s="8"/>
      <c r="U1535" s="8"/>
      <c r="V1535" s="8"/>
      <c r="W1535" s="7"/>
      <c r="X1535" s="7"/>
      <c r="Y1535" s="7"/>
      <c r="Z1535" s="7"/>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7"/>
      <c r="AX1535" s="7"/>
      <c r="AY1535" s="7"/>
      <c r="AZ1535" s="7"/>
      <c r="BA1535" s="7"/>
      <c r="BB1535" s="7"/>
      <c r="BC1535" s="7"/>
      <c r="BD1535" s="7"/>
      <c r="BE1535" s="7"/>
      <c r="BF1535" s="7"/>
      <c r="BG1535" s="7"/>
    </row>
    <row r="1536" customHeight="1" spans="1:59">
      <c r="A1536" s="9"/>
      <c r="B1536" s="5"/>
      <c r="C1536" s="5"/>
      <c r="D1536" s="5"/>
      <c r="E1536" s="7"/>
      <c r="F1536" s="8"/>
      <c r="G1536" s="8"/>
      <c r="H1536" s="8"/>
      <c r="I1536" s="14"/>
      <c r="J1536" s="14"/>
      <c r="K1536" s="14"/>
      <c r="L1536" s="14"/>
      <c r="M1536" s="7"/>
      <c r="N1536" s="8"/>
      <c r="O1536" s="8"/>
      <c r="P1536" s="8"/>
      <c r="Q1536" s="7"/>
      <c r="R1536" s="16"/>
      <c r="S1536" s="17"/>
      <c r="T1536" s="8"/>
      <c r="U1536" s="8"/>
      <c r="V1536" s="8"/>
      <c r="W1536" s="7"/>
      <c r="X1536" s="7"/>
      <c r="Y1536" s="7"/>
      <c r="Z1536" s="7"/>
      <c r="AA1536" s="7"/>
      <c r="AB1536" s="7"/>
      <c r="AC1536" s="7"/>
      <c r="AD1536" s="7"/>
      <c r="AE1536" s="7"/>
      <c r="AF1536" s="7"/>
      <c r="AG1536" s="7"/>
      <c r="AH1536" s="7"/>
      <c r="AI1536" s="7"/>
      <c r="AJ1536" s="7"/>
      <c r="AK1536" s="7"/>
      <c r="AL1536" s="7"/>
      <c r="AM1536" s="7"/>
      <c r="AN1536" s="7"/>
      <c r="AO1536" s="7"/>
      <c r="AP1536" s="7"/>
      <c r="AQ1536" s="7"/>
      <c r="AR1536" s="7"/>
      <c r="AS1536" s="7"/>
      <c r="AT1536" s="7"/>
      <c r="AU1536" s="7"/>
      <c r="AV1536" s="7"/>
      <c r="AW1536" s="7"/>
      <c r="AX1536" s="7"/>
      <c r="AY1536" s="7"/>
      <c r="AZ1536" s="7"/>
      <c r="BA1536" s="7"/>
      <c r="BB1536" s="7"/>
      <c r="BC1536" s="7"/>
      <c r="BD1536" s="7"/>
      <c r="BE1536" s="7"/>
      <c r="BF1536" s="7"/>
      <c r="BG1536" s="7"/>
    </row>
    <row r="1537" customHeight="1" spans="1:59">
      <c r="A1537" s="9"/>
      <c r="B1537" s="5"/>
      <c r="C1537" s="5"/>
      <c r="D1537" s="5"/>
      <c r="E1537" s="7"/>
      <c r="F1537" s="8"/>
      <c r="G1537" s="8"/>
      <c r="H1537" s="8"/>
      <c r="I1537" s="14"/>
      <c r="J1537" s="14"/>
      <c r="K1537" s="14"/>
      <c r="L1537" s="14"/>
      <c r="M1537" s="7"/>
      <c r="N1537" s="8"/>
      <c r="O1537" s="8"/>
      <c r="P1537" s="8"/>
      <c r="Q1537" s="7"/>
      <c r="R1537" s="16"/>
      <c r="S1537" s="17"/>
      <c r="T1537" s="8"/>
      <c r="U1537" s="8"/>
      <c r="V1537" s="8"/>
      <c r="W1537" s="7"/>
      <c r="X1537" s="7"/>
      <c r="Y1537" s="7"/>
      <c r="Z1537" s="7"/>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7"/>
      <c r="AX1537" s="7"/>
      <c r="AY1537" s="7"/>
      <c r="AZ1537" s="7"/>
      <c r="BA1537" s="7"/>
      <c r="BB1537" s="7"/>
      <c r="BC1537" s="7"/>
      <c r="BD1537" s="7"/>
      <c r="BE1537" s="7"/>
      <c r="BF1537" s="7"/>
      <c r="BG1537" s="7"/>
    </row>
    <row r="1538" customHeight="1" spans="1:59">
      <c r="A1538" s="9"/>
      <c r="B1538" s="5"/>
      <c r="C1538" s="5"/>
      <c r="D1538" s="5"/>
      <c r="E1538" s="7"/>
      <c r="F1538" s="8"/>
      <c r="G1538" s="8"/>
      <c r="H1538" s="8"/>
      <c r="I1538" s="14"/>
      <c r="J1538" s="14"/>
      <c r="K1538" s="14"/>
      <c r="L1538" s="14"/>
      <c r="M1538" s="7"/>
      <c r="N1538" s="8"/>
      <c r="O1538" s="8"/>
      <c r="P1538" s="8"/>
      <c r="Q1538" s="7"/>
      <c r="R1538" s="16"/>
      <c r="S1538" s="17"/>
      <c r="T1538" s="8"/>
      <c r="U1538" s="8"/>
      <c r="V1538" s="8"/>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7"/>
      <c r="AX1538" s="7"/>
      <c r="AY1538" s="7"/>
      <c r="AZ1538" s="7"/>
      <c r="BA1538" s="7"/>
      <c r="BB1538" s="7"/>
      <c r="BC1538" s="7"/>
      <c r="BD1538" s="7"/>
      <c r="BE1538" s="7"/>
      <c r="BF1538" s="7"/>
      <c r="BG1538" s="7"/>
    </row>
    <row r="1539" customHeight="1" spans="1:59">
      <c r="A1539" s="9"/>
      <c r="B1539" s="5"/>
      <c r="C1539" s="5"/>
      <c r="D1539" s="5"/>
      <c r="E1539" s="7"/>
      <c r="F1539" s="8"/>
      <c r="G1539" s="8"/>
      <c r="H1539" s="8"/>
      <c r="I1539" s="14"/>
      <c r="J1539" s="14"/>
      <c r="K1539" s="14"/>
      <c r="L1539" s="14"/>
      <c r="M1539" s="7"/>
      <c r="N1539" s="8"/>
      <c r="O1539" s="8"/>
      <c r="P1539" s="8"/>
      <c r="Q1539" s="7"/>
      <c r="R1539" s="16"/>
      <c r="S1539" s="17"/>
      <c r="T1539" s="8"/>
      <c r="U1539" s="8"/>
      <c r="V1539" s="8"/>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7"/>
      <c r="AX1539" s="7"/>
      <c r="AY1539" s="7"/>
      <c r="AZ1539" s="7"/>
      <c r="BA1539" s="7"/>
      <c r="BB1539" s="7"/>
      <c r="BC1539" s="7"/>
      <c r="BD1539" s="7"/>
      <c r="BE1539" s="7"/>
      <c r="BF1539" s="7"/>
      <c r="BG1539" s="7"/>
    </row>
    <row r="1540" customHeight="1" spans="1:59">
      <c r="A1540" s="9"/>
      <c r="B1540" s="5"/>
      <c r="C1540" s="5"/>
      <c r="D1540" s="5"/>
      <c r="E1540" s="7"/>
      <c r="F1540" s="8"/>
      <c r="G1540" s="8"/>
      <c r="H1540" s="8"/>
      <c r="I1540" s="14"/>
      <c r="J1540" s="14"/>
      <c r="K1540" s="14"/>
      <c r="L1540" s="14"/>
      <c r="M1540" s="7"/>
      <c r="N1540" s="8"/>
      <c r="O1540" s="8"/>
      <c r="P1540" s="8"/>
      <c r="Q1540" s="7"/>
      <c r="R1540" s="16"/>
      <c r="S1540" s="17"/>
      <c r="T1540" s="8"/>
      <c r="U1540" s="8"/>
      <c r="V1540" s="8"/>
      <c r="W1540" s="7"/>
      <c r="X1540" s="7"/>
      <c r="Y1540" s="7"/>
      <c r="Z1540" s="7"/>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7"/>
      <c r="AX1540" s="7"/>
      <c r="AY1540" s="7"/>
      <c r="AZ1540" s="7"/>
      <c r="BA1540" s="7"/>
      <c r="BB1540" s="7"/>
      <c r="BC1540" s="7"/>
      <c r="BD1540" s="7"/>
      <c r="BE1540" s="7"/>
      <c r="BF1540" s="7"/>
      <c r="BG1540" s="7"/>
    </row>
    <row r="1541" customHeight="1" spans="1:59">
      <c r="A1541" s="9"/>
      <c r="B1541" s="5"/>
      <c r="C1541" s="5"/>
      <c r="D1541" s="5"/>
      <c r="E1541" s="7"/>
      <c r="F1541" s="8"/>
      <c r="G1541" s="8"/>
      <c r="H1541" s="8"/>
      <c r="I1541" s="14"/>
      <c r="J1541" s="14"/>
      <c r="K1541" s="14"/>
      <c r="L1541" s="14"/>
      <c r="M1541" s="7"/>
      <c r="N1541" s="8"/>
      <c r="O1541" s="8"/>
      <c r="P1541" s="8"/>
      <c r="Q1541" s="7"/>
      <c r="R1541" s="16"/>
      <c r="S1541" s="17"/>
      <c r="T1541" s="8"/>
      <c r="U1541" s="8"/>
      <c r="V1541" s="8"/>
      <c r="W1541" s="7"/>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7"/>
      <c r="AX1541" s="7"/>
      <c r="AY1541" s="7"/>
      <c r="AZ1541" s="7"/>
      <c r="BA1541" s="7"/>
      <c r="BB1541" s="7"/>
      <c r="BC1541" s="7"/>
      <c r="BD1541" s="7"/>
      <c r="BE1541" s="7"/>
      <c r="BF1541" s="7"/>
      <c r="BG1541" s="7"/>
    </row>
    <row r="1542" customHeight="1" spans="1:59">
      <c r="A1542" s="9"/>
      <c r="B1542" s="5"/>
      <c r="C1542" s="5"/>
      <c r="D1542" s="5"/>
      <c r="E1542" s="7"/>
      <c r="F1542" s="8"/>
      <c r="G1542" s="8"/>
      <c r="H1542" s="8"/>
      <c r="I1542" s="14"/>
      <c r="J1542" s="14"/>
      <c r="K1542" s="14"/>
      <c r="L1542" s="14"/>
      <c r="M1542" s="7"/>
      <c r="N1542" s="8"/>
      <c r="O1542" s="8"/>
      <c r="P1542" s="8"/>
      <c r="Q1542" s="7"/>
      <c r="R1542" s="16"/>
      <c r="S1542" s="17"/>
      <c r="T1542" s="8"/>
      <c r="U1542" s="8"/>
      <c r="V1542" s="8"/>
      <c r="W1542" s="7"/>
      <c r="X1542" s="7"/>
      <c r="Y1542" s="7"/>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7"/>
      <c r="BD1542" s="7"/>
      <c r="BE1542" s="7"/>
      <c r="BF1542" s="7"/>
      <c r="BG1542" s="7"/>
    </row>
    <row r="1543" customHeight="1" spans="1:59">
      <c r="A1543" s="9"/>
      <c r="B1543" s="5"/>
      <c r="C1543" s="5"/>
      <c r="D1543" s="5"/>
      <c r="E1543" s="7"/>
      <c r="F1543" s="8"/>
      <c r="G1543" s="8"/>
      <c r="H1543" s="8"/>
      <c r="I1543" s="14"/>
      <c r="J1543" s="14"/>
      <c r="K1543" s="14"/>
      <c r="L1543" s="14"/>
      <c r="M1543" s="7"/>
      <c r="N1543" s="8"/>
      <c r="O1543" s="8"/>
      <c r="P1543" s="8"/>
      <c r="Q1543" s="7"/>
      <c r="R1543" s="16"/>
      <c r="S1543" s="17"/>
      <c r="T1543" s="8"/>
      <c r="U1543" s="8"/>
      <c r="V1543" s="8"/>
      <c r="W1543" s="7"/>
      <c r="X1543" s="7"/>
      <c r="Y1543" s="7"/>
      <c r="Z1543" s="7"/>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7"/>
      <c r="AX1543" s="7"/>
      <c r="AY1543" s="7"/>
      <c r="AZ1543" s="7"/>
      <c r="BA1543" s="7"/>
      <c r="BB1543" s="7"/>
      <c r="BC1543" s="7"/>
      <c r="BD1543" s="7"/>
      <c r="BE1543" s="7"/>
      <c r="BF1543" s="7"/>
      <c r="BG1543" s="7"/>
    </row>
    <row r="1544" customHeight="1" spans="1:59">
      <c r="A1544" s="9"/>
      <c r="B1544" s="5"/>
      <c r="C1544" s="5"/>
      <c r="D1544" s="5"/>
      <c r="E1544" s="7"/>
      <c r="F1544" s="8"/>
      <c r="G1544" s="8"/>
      <c r="H1544" s="8"/>
      <c r="I1544" s="14"/>
      <c r="J1544" s="14"/>
      <c r="K1544" s="14"/>
      <c r="L1544" s="14"/>
      <c r="M1544" s="7"/>
      <c r="N1544" s="8"/>
      <c r="O1544" s="8"/>
      <c r="P1544" s="8"/>
      <c r="Q1544" s="7"/>
      <c r="R1544" s="16"/>
      <c r="S1544" s="17"/>
      <c r="T1544" s="8"/>
      <c r="U1544" s="8"/>
      <c r="V1544" s="8"/>
      <c r="W1544" s="7"/>
      <c r="X1544" s="7"/>
      <c r="Y1544" s="7"/>
      <c r="Z1544" s="7"/>
      <c r="AA1544" s="7"/>
      <c r="AB1544" s="7"/>
      <c r="AC1544" s="7"/>
      <c r="AD1544" s="7"/>
      <c r="AE1544" s="7"/>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7"/>
      <c r="BD1544" s="7"/>
      <c r="BE1544" s="7"/>
      <c r="BF1544" s="7"/>
      <c r="BG1544" s="7"/>
    </row>
    <row r="1545" customHeight="1" spans="1:59">
      <c r="A1545" s="9"/>
      <c r="B1545" s="5"/>
      <c r="C1545" s="5"/>
      <c r="D1545" s="5"/>
      <c r="E1545" s="7"/>
      <c r="F1545" s="8"/>
      <c r="G1545" s="8"/>
      <c r="H1545" s="8"/>
      <c r="I1545" s="14"/>
      <c r="J1545" s="14"/>
      <c r="K1545" s="14"/>
      <c r="L1545" s="14"/>
      <c r="M1545" s="7"/>
      <c r="N1545" s="8"/>
      <c r="O1545" s="8"/>
      <c r="P1545" s="8"/>
      <c r="Q1545" s="7"/>
      <c r="R1545" s="16"/>
      <c r="S1545" s="17"/>
      <c r="T1545" s="8"/>
      <c r="U1545" s="8"/>
      <c r="V1545" s="8"/>
      <c r="W1545" s="7"/>
      <c r="X1545" s="7"/>
      <c r="Y1545" s="7"/>
      <c r="Z1545" s="7"/>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7"/>
      <c r="BD1545" s="7"/>
      <c r="BE1545" s="7"/>
      <c r="BF1545" s="7"/>
      <c r="BG1545" s="7"/>
    </row>
    <row r="1546" customHeight="1" spans="1:59">
      <c r="A1546" s="9"/>
      <c r="B1546" s="5"/>
      <c r="C1546" s="5"/>
      <c r="D1546" s="5"/>
      <c r="E1546" s="7"/>
      <c r="F1546" s="8"/>
      <c r="G1546" s="8"/>
      <c r="H1546" s="8"/>
      <c r="I1546" s="14"/>
      <c r="J1546" s="14"/>
      <c r="K1546" s="14"/>
      <c r="L1546" s="14"/>
      <c r="M1546" s="7"/>
      <c r="N1546" s="8"/>
      <c r="O1546" s="8"/>
      <c r="P1546" s="8"/>
      <c r="Q1546" s="7"/>
      <c r="R1546" s="16"/>
      <c r="S1546" s="17"/>
      <c r="T1546" s="8"/>
      <c r="U1546" s="8"/>
      <c r="V1546" s="8"/>
      <c r="W1546" s="7"/>
      <c r="X1546" s="7"/>
      <c r="Y1546" s="7"/>
      <c r="Z1546" s="7"/>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7"/>
      <c r="AX1546" s="7"/>
      <c r="AY1546" s="7"/>
      <c r="AZ1546" s="7"/>
      <c r="BA1546" s="7"/>
      <c r="BB1546" s="7"/>
      <c r="BC1546" s="7"/>
      <c r="BD1546" s="7"/>
      <c r="BE1546" s="7"/>
      <c r="BF1546" s="7"/>
      <c r="BG1546" s="7"/>
    </row>
    <row r="1547" customHeight="1" spans="1:59">
      <c r="A1547" s="9"/>
      <c r="B1547" s="5"/>
      <c r="C1547" s="5"/>
      <c r="D1547" s="5"/>
      <c r="E1547" s="7"/>
      <c r="F1547" s="8"/>
      <c r="G1547" s="8"/>
      <c r="H1547" s="8"/>
      <c r="I1547" s="14"/>
      <c r="J1547" s="14"/>
      <c r="K1547" s="14"/>
      <c r="L1547" s="14"/>
      <c r="M1547" s="7"/>
      <c r="N1547" s="8"/>
      <c r="O1547" s="8"/>
      <c r="P1547" s="8"/>
      <c r="Q1547" s="7"/>
      <c r="R1547" s="16"/>
      <c r="S1547" s="17"/>
      <c r="T1547" s="8"/>
      <c r="U1547" s="8"/>
      <c r="V1547" s="8"/>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c r="BA1547" s="7"/>
      <c r="BB1547" s="7"/>
      <c r="BC1547" s="7"/>
      <c r="BD1547" s="7"/>
      <c r="BE1547" s="7"/>
      <c r="BF1547" s="7"/>
      <c r="BG1547" s="7"/>
    </row>
    <row r="1548" customHeight="1" spans="1:59">
      <c r="A1548" s="9"/>
      <c r="B1548" s="5"/>
      <c r="C1548" s="5"/>
      <c r="D1548" s="5"/>
      <c r="E1548" s="7"/>
      <c r="F1548" s="8"/>
      <c r="G1548" s="8"/>
      <c r="H1548" s="8"/>
      <c r="I1548" s="14"/>
      <c r="J1548" s="14"/>
      <c r="K1548" s="14"/>
      <c r="L1548" s="14"/>
      <c r="M1548" s="7"/>
      <c r="N1548" s="8"/>
      <c r="O1548" s="8"/>
      <c r="P1548" s="8"/>
      <c r="Q1548" s="7"/>
      <c r="R1548" s="16"/>
      <c r="S1548" s="17"/>
      <c r="T1548" s="8"/>
      <c r="U1548" s="8"/>
      <c r="V1548" s="8"/>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7"/>
      <c r="AX1548" s="7"/>
      <c r="AY1548" s="7"/>
      <c r="AZ1548" s="7"/>
      <c r="BA1548" s="7"/>
      <c r="BB1548" s="7"/>
      <c r="BC1548" s="7"/>
      <c r="BD1548" s="7"/>
      <c r="BE1548" s="7"/>
      <c r="BF1548" s="7"/>
      <c r="BG1548" s="7"/>
    </row>
    <row r="1549" customHeight="1" spans="1:59">
      <c r="A1549" s="9"/>
      <c r="B1549" s="5"/>
      <c r="C1549" s="5"/>
      <c r="D1549" s="5"/>
      <c r="E1549" s="7"/>
      <c r="F1549" s="8"/>
      <c r="G1549" s="8"/>
      <c r="H1549" s="8"/>
      <c r="I1549" s="14"/>
      <c r="J1549" s="14"/>
      <c r="K1549" s="14"/>
      <c r="L1549" s="14"/>
      <c r="M1549" s="7"/>
      <c r="N1549" s="8"/>
      <c r="O1549" s="8"/>
      <c r="P1549" s="8"/>
      <c r="Q1549" s="7"/>
      <c r="R1549" s="16"/>
      <c r="S1549" s="17"/>
      <c r="T1549" s="8"/>
      <c r="U1549" s="8"/>
      <c r="V1549" s="8"/>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7"/>
      <c r="AU1549" s="7"/>
      <c r="AV1549" s="7"/>
      <c r="AW1549" s="7"/>
      <c r="AX1549" s="7"/>
      <c r="AY1549" s="7"/>
      <c r="AZ1549" s="7"/>
      <c r="BA1549" s="7"/>
      <c r="BB1549" s="7"/>
      <c r="BC1549" s="7"/>
      <c r="BD1549" s="7"/>
      <c r="BE1549" s="7"/>
      <c r="BF1549" s="7"/>
      <c r="BG1549" s="7"/>
    </row>
    <row r="1550" customHeight="1" spans="1:59">
      <c r="A1550" s="9"/>
      <c r="B1550" s="5"/>
      <c r="C1550" s="5"/>
      <c r="D1550" s="5"/>
      <c r="E1550" s="7"/>
      <c r="F1550" s="8"/>
      <c r="G1550" s="8"/>
      <c r="H1550" s="8"/>
      <c r="I1550" s="14"/>
      <c r="J1550" s="14"/>
      <c r="K1550" s="14"/>
      <c r="L1550" s="14"/>
      <c r="M1550" s="7"/>
      <c r="N1550" s="8"/>
      <c r="O1550" s="8"/>
      <c r="P1550" s="8"/>
      <c r="Q1550" s="7"/>
      <c r="R1550" s="16"/>
      <c r="S1550" s="17"/>
      <c r="T1550" s="8"/>
      <c r="U1550" s="8"/>
      <c r="V1550" s="8"/>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7"/>
      <c r="BD1550" s="7"/>
      <c r="BE1550" s="7"/>
      <c r="BF1550" s="7"/>
      <c r="BG1550" s="7"/>
    </row>
    <row r="1551" customHeight="1" spans="1:59">
      <c r="A1551" s="9"/>
      <c r="B1551" s="5"/>
      <c r="C1551" s="5"/>
      <c r="D1551" s="5"/>
      <c r="E1551" s="7"/>
      <c r="F1551" s="8"/>
      <c r="G1551" s="8"/>
      <c r="H1551" s="8"/>
      <c r="I1551" s="14"/>
      <c r="J1551" s="14"/>
      <c r="K1551" s="14"/>
      <c r="L1551" s="14"/>
      <c r="M1551" s="7"/>
      <c r="N1551" s="8"/>
      <c r="O1551" s="8"/>
      <c r="P1551" s="8"/>
      <c r="Q1551" s="7"/>
      <c r="R1551" s="16"/>
      <c r="S1551" s="17"/>
      <c r="T1551" s="8"/>
      <c r="U1551" s="8"/>
      <c r="V1551" s="8"/>
      <c r="W1551" s="7"/>
      <c r="X1551" s="7"/>
      <c r="Y1551" s="7"/>
      <c r="Z1551" s="7"/>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7"/>
      <c r="AX1551" s="7"/>
      <c r="AY1551" s="7"/>
      <c r="AZ1551" s="7"/>
      <c r="BA1551" s="7"/>
      <c r="BB1551" s="7"/>
      <c r="BC1551" s="7"/>
      <c r="BD1551" s="7"/>
      <c r="BE1551" s="7"/>
      <c r="BF1551" s="7"/>
      <c r="BG1551" s="7"/>
    </row>
    <row r="1552" customHeight="1" spans="1:59">
      <c r="A1552" s="9"/>
      <c r="B1552" s="5"/>
      <c r="C1552" s="5"/>
      <c r="D1552" s="5"/>
      <c r="E1552" s="7"/>
      <c r="F1552" s="8"/>
      <c r="G1552" s="8"/>
      <c r="H1552" s="8"/>
      <c r="I1552" s="14"/>
      <c r="J1552" s="14"/>
      <c r="K1552" s="14"/>
      <c r="L1552" s="14"/>
      <c r="M1552" s="7"/>
      <c r="N1552" s="8"/>
      <c r="O1552" s="8"/>
      <c r="P1552" s="8"/>
      <c r="Q1552" s="7"/>
      <c r="R1552" s="16"/>
      <c r="S1552" s="17"/>
      <c r="T1552" s="8"/>
      <c r="U1552" s="8"/>
      <c r="V1552" s="8"/>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7"/>
      <c r="AX1552" s="7"/>
      <c r="AY1552" s="7"/>
      <c r="AZ1552" s="7"/>
      <c r="BA1552" s="7"/>
      <c r="BB1552" s="7"/>
      <c r="BC1552" s="7"/>
      <c r="BD1552" s="7"/>
      <c r="BE1552" s="7"/>
      <c r="BF1552" s="7"/>
      <c r="BG1552" s="7"/>
    </row>
    <row r="1553" customHeight="1" spans="1:59">
      <c r="A1553" s="9"/>
      <c r="B1553" s="5"/>
      <c r="C1553" s="5"/>
      <c r="D1553" s="5"/>
      <c r="E1553" s="7"/>
      <c r="F1553" s="8"/>
      <c r="G1553" s="8"/>
      <c r="H1553" s="8"/>
      <c r="I1553" s="14"/>
      <c r="J1553" s="14"/>
      <c r="K1553" s="14"/>
      <c r="L1553" s="14"/>
      <c r="M1553" s="7"/>
      <c r="N1553" s="8"/>
      <c r="O1553" s="8"/>
      <c r="P1553" s="8"/>
      <c r="Q1553" s="7"/>
      <c r="R1553" s="16"/>
      <c r="S1553" s="17"/>
      <c r="T1553" s="8"/>
      <c r="U1553" s="8"/>
      <c r="V1553" s="8"/>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7"/>
      <c r="AX1553" s="7"/>
      <c r="AY1553" s="7"/>
      <c r="AZ1553" s="7"/>
      <c r="BA1553" s="7"/>
      <c r="BB1553" s="7"/>
      <c r="BC1553" s="7"/>
      <c r="BD1553" s="7"/>
      <c r="BE1553" s="7"/>
      <c r="BF1553" s="7"/>
      <c r="BG1553" s="7"/>
    </row>
    <row r="1554" customHeight="1" spans="1:59">
      <c r="A1554" s="9"/>
      <c r="B1554" s="5"/>
      <c r="C1554" s="5"/>
      <c r="D1554" s="5"/>
      <c r="E1554" s="7"/>
      <c r="F1554" s="8"/>
      <c r="G1554" s="8"/>
      <c r="H1554" s="8"/>
      <c r="I1554" s="14"/>
      <c r="J1554" s="14"/>
      <c r="K1554" s="14"/>
      <c r="L1554" s="14"/>
      <c r="M1554" s="7"/>
      <c r="N1554" s="8"/>
      <c r="O1554" s="8"/>
      <c r="P1554" s="8"/>
      <c r="Q1554" s="7"/>
      <c r="R1554" s="16"/>
      <c r="S1554" s="17"/>
      <c r="T1554" s="8"/>
      <c r="U1554" s="8"/>
      <c r="V1554" s="8"/>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7"/>
      <c r="BD1554" s="7"/>
      <c r="BE1554" s="7"/>
      <c r="BF1554" s="7"/>
      <c r="BG1554" s="7"/>
    </row>
    <row r="1555" customHeight="1" spans="1:59">
      <c r="A1555" s="9"/>
      <c r="B1555" s="5"/>
      <c r="C1555" s="5"/>
      <c r="D1555" s="5"/>
      <c r="E1555" s="7"/>
      <c r="F1555" s="8"/>
      <c r="G1555" s="8"/>
      <c r="H1555" s="8"/>
      <c r="I1555" s="14"/>
      <c r="J1555" s="14"/>
      <c r="K1555" s="14"/>
      <c r="L1555" s="14"/>
      <c r="M1555" s="7"/>
      <c r="N1555" s="8"/>
      <c r="O1555" s="8"/>
      <c r="P1555" s="8"/>
      <c r="Q1555" s="7"/>
      <c r="R1555" s="16"/>
      <c r="S1555" s="17"/>
      <c r="T1555" s="8"/>
      <c r="U1555" s="8"/>
      <c r="V1555" s="8"/>
      <c r="W1555" s="7"/>
      <c r="X1555" s="7"/>
      <c r="Y1555" s="7"/>
      <c r="Z1555" s="7"/>
      <c r="AA1555" s="7"/>
      <c r="AB1555" s="7"/>
      <c r="AC1555" s="7"/>
      <c r="AD1555" s="7"/>
      <c r="AE1555" s="7"/>
      <c r="AF1555" s="7"/>
      <c r="AG1555" s="7"/>
      <c r="AH1555" s="7"/>
      <c r="AI1555" s="7"/>
      <c r="AJ1555" s="7"/>
      <c r="AK1555" s="7"/>
      <c r="AL1555" s="7"/>
      <c r="AM1555" s="7"/>
      <c r="AN1555" s="7"/>
      <c r="AO1555" s="7"/>
      <c r="AP1555" s="7"/>
      <c r="AQ1555" s="7"/>
      <c r="AR1555" s="7"/>
      <c r="AS1555" s="7"/>
      <c r="AT1555" s="7"/>
      <c r="AU1555" s="7"/>
      <c r="AV1555" s="7"/>
      <c r="AW1555" s="7"/>
      <c r="AX1555" s="7"/>
      <c r="AY1555" s="7"/>
      <c r="AZ1555" s="7"/>
      <c r="BA1555" s="7"/>
      <c r="BB1555" s="7"/>
      <c r="BC1555" s="7"/>
      <c r="BD1555" s="7"/>
      <c r="BE1555" s="7"/>
      <c r="BF1555" s="7"/>
      <c r="BG1555" s="7"/>
    </row>
    <row r="1556" customHeight="1" spans="1:59">
      <c r="A1556" s="9"/>
      <c r="B1556" s="5"/>
      <c r="C1556" s="5"/>
      <c r="D1556" s="5"/>
      <c r="E1556" s="7"/>
      <c r="F1556" s="8"/>
      <c r="G1556" s="8"/>
      <c r="H1556" s="8"/>
      <c r="I1556" s="14"/>
      <c r="J1556" s="14"/>
      <c r="K1556" s="14"/>
      <c r="L1556" s="14"/>
      <c r="M1556" s="7"/>
      <c r="N1556" s="8"/>
      <c r="O1556" s="8"/>
      <c r="P1556" s="8"/>
      <c r="Q1556" s="7"/>
      <c r="R1556" s="16"/>
      <c r="S1556" s="17"/>
      <c r="T1556" s="8"/>
      <c r="U1556" s="8"/>
      <c r="V1556" s="8"/>
      <c r="W1556" s="7"/>
      <c r="X1556" s="7"/>
      <c r="Y1556" s="7"/>
      <c r="Z1556" s="7"/>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7"/>
      <c r="BD1556" s="7"/>
      <c r="BE1556" s="7"/>
      <c r="BF1556" s="7"/>
      <c r="BG1556" s="7"/>
    </row>
    <row r="1557" customHeight="1" spans="1:59">
      <c r="A1557" s="9"/>
      <c r="B1557" s="5"/>
      <c r="C1557" s="5"/>
      <c r="D1557" s="5"/>
      <c r="E1557" s="7"/>
      <c r="F1557" s="8"/>
      <c r="G1557" s="8"/>
      <c r="H1557" s="8"/>
      <c r="I1557" s="14"/>
      <c r="J1557" s="14"/>
      <c r="K1557" s="14"/>
      <c r="L1557" s="14"/>
      <c r="M1557" s="7"/>
      <c r="N1557" s="8"/>
      <c r="O1557" s="8"/>
      <c r="P1557" s="8"/>
      <c r="Q1557" s="7"/>
      <c r="R1557" s="16"/>
      <c r="S1557" s="17"/>
      <c r="T1557" s="8"/>
      <c r="U1557" s="8"/>
      <c r="V1557" s="8"/>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7"/>
      <c r="BD1557" s="7"/>
      <c r="BE1557" s="7"/>
      <c r="BF1557" s="7"/>
      <c r="BG1557" s="7"/>
    </row>
    <row r="1558" customHeight="1" spans="1:59">
      <c r="A1558" s="9"/>
      <c r="B1558" s="5"/>
      <c r="C1558" s="5"/>
      <c r="D1558" s="5"/>
      <c r="E1558" s="7"/>
      <c r="F1558" s="8"/>
      <c r="G1558" s="8"/>
      <c r="H1558" s="8"/>
      <c r="I1558" s="14"/>
      <c r="J1558" s="14"/>
      <c r="K1558" s="14"/>
      <c r="L1558" s="14"/>
      <c r="M1558" s="7"/>
      <c r="N1558" s="8"/>
      <c r="O1558" s="8"/>
      <c r="P1558" s="8"/>
      <c r="Q1558" s="7"/>
      <c r="R1558" s="16"/>
      <c r="S1558" s="17"/>
      <c r="T1558" s="8"/>
      <c r="U1558" s="8"/>
      <c r="V1558" s="8"/>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7"/>
      <c r="AX1558" s="7"/>
      <c r="AY1558" s="7"/>
      <c r="AZ1558" s="7"/>
      <c r="BA1558" s="7"/>
      <c r="BB1558" s="7"/>
      <c r="BC1558" s="7"/>
      <c r="BD1558" s="7"/>
      <c r="BE1558" s="7"/>
      <c r="BF1558" s="7"/>
      <c r="BG1558" s="7"/>
    </row>
    <row r="1559" customHeight="1" spans="1:59">
      <c r="A1559" s="9"/>
      <c r="B1559" s="5"/>
      <c r="C1559" s="5"/>
      <c r="D1559" s="5"/>
      <c r="E1559" s="7"/>
      <c r="F1559" s="8"/>
      <c r="G1559" s="8"/>
      <c r="H1559" s="8"/>
      <c r="I1559" s="14"/>
      <c r="J1559" s="14"/>
      <c r="K1559" s="14"/>
      <c r="L1559" s="14"/>
      <c r="M1559" s="7"/>
      <c r="N1559" s="8"/>
      <c r="O1559" s="8"/>
      <c r="P1559" s="8"/>
      <c r="Q1559" s="7"/>
      <c r="R1559" s="16"/>
      <c r="S1559" s="17"/>
      <c r="T1559" s="8"/>
      <c r="U1559" s="8"/>
      <c r="V1559" s="8"/>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7"/>
      <c r="AX1559" s="7"/>
      <c r="AY1559" s="7"/>
      <c r="AZ1559" s="7"/>
      <c r="BA1559" s="7"/>
      <c r="BB1559" s="7"/>
      <c r="BC1559" s="7"/>
      <c r="BD1559" s="7"/>
      <c r="BE1559" s="7"/>
      <c r="BF1559" s="7"/>
      <c r="BG1559" s="7"/>
    </row>
    <row r="1560" customHeight="1" spans="1:59">
      <c r="A1560" s="9"/>
      <c r="B1560" s="5"/>
      <c r="C1560" s="5"/>
      <c r="D1560" s="5"/>
      <c r="E1560" s="7"/>
      <c r="F1560" s="8"/>
      <c r="G1560" s="8"/>
      <c r="H1560" s="8"/>
      <c r="I1560" s="14"/>
      <c r="J1560" s="14"/>
      <c r="K1560" s="14"/>
      <c r="L1560" s="14"/>
      <c r="M1560" s="7"/>
      <c r="N1560" s="8"/>
      <c r="O1560" s="8"/>
      <c r="P1560" s="8"/>
      <c r="Q1560" s="7"/>
      <c r="R1560" s="16"/>
      <c r="S1560" s="17"/>
      <c r="T1560" s="8"/>
      <c r="U1560" s="8"/>
      <c r="V1560" s="8"/>
      <c r="W1560" s="7"/>
      <c r="X1560" s="7"/>
      <c r="Y1560" s="7"/>
      <c r="Z1560" s="7"/>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7"/>
      <c r="AX1560" s="7"/>
      <c r="AY1560" s="7"/>
      <c r="AZ1560" s="7"/>
      <c r="BA1560" s="7"/>
      <c r="BB1560" s="7"/>
      <c r="BC1560" s="7"/>
      <c r="BD1560" s="7"/>
      <c r="BE1560" s="7"/>
      <c r="BF1560" s="7"/>
      <c r="BG1560" s="7"/>
    </row>
    <row r="1561" customHeight="1" spans="1:59">
      <c r="A1561" s="9"/>
      <c r="B1561" s="5"/>
      <c r="C1561" s="5"/>
      <c r="D1561" s="5"/>
      <c r="E1561" s="7"/>
      <c r="F1561" s="8"/>
      <c r="G1561" s="8"/>
      <c r="H1561" s="8"/>
      <c r="I1561" s="14"/>
      <c r="J1561" s="14"/>
      <c r="K1561" s="14"/>
      <c r="L1561" s="14"/>
      <c r="M1561" s="7"/>
      <c r="N1561" s="8"/>
      <c r="O1561" s="8"/>
      <c r="P1561" s="8"/>
      <c r="Q1561" s="7"/>
      <c r="R1561" s="16"/>
      <c r="S1561" s="17"/>
      <c r="T1561" s="8"/>
      <c r="U1561" s="8"/>
      <c r="V1561" s="8"/>
      <c r="W1561" s="7"/>
      <c r="X1561" s="7"/>
      <c r="Y1561" s="7"/>
      <c r="Z1561" s="7"/>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7"/>
      <c r="AX1561" s="7"/>
      <c r="AY1561" s="7"/>
      <c r="AZ1561" s="7"/>
      <c r="BA1561" s="7"/>
      <c r="BB1561" s="7"/>
      <c r="BC1561" s="7"/>
      <c r="BD1561" s="7"/>
      <c r="BE1561" s="7"/>
      <c r="BF1561" s="7"/>
      <c r="BG1561" s="7"/>
    </row>
    <row r="1562" customHeight="1" spans="1:59">
      <c r="A1562" s="9"/>
      <c r="B1562" s="5"/>
      <c r="C1562" s="5"/>
      <c r="D1562" s="5"/>
      <c r="E1562" s="7"/>
      <c r="F1562" s="8"/>
      <c r="G1562" s="8"/>
      <c r="H1562" s="8"/>
      <c r="I1562" s="14"/>
      <c r="J1562" s="14"/>
      <c r="K1562" s="14"/>
      <c r="L1562" s="14"/>
      <c r="M1562" s="7"/>
      <c r="N1562" s="8"/>
      <c r="O1562" s="8"/>
      <c r="P1562" s="8"/>
      <c r="Q1562" s="7"/>
      <c r="R1562" s="16"/>
      <c r="S1562" s="17"/>
      <c r="T1562" s="8"/>
      <c r="U1562" s="8"/>
      <c r="V1562" s="8"/>
      <c r="W1562" s="7"/>
      <c r="X1562" s="7"/>
      <c r="Y1562" s="7"/>
      <c r="Z1562" s="7"/>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7"/>
      <c r="AX1562" s="7"/>
      <c r="AY1562" s="7"/>
      <c r="AZ1562" s="7"/>
      <c r="BA1562" s="7"/>
      <c r="BB1562" s="7"/>
      <c r="BC1562" s="7"/>
      <c r="BD1562" s="7"/>
      <c r="BE1562" s="7"/>
      <c r="BF1562" s="7"/>
      <c r="BG1562" s="7"/>
    </row>
    <row r="1563" customHeight="1" spans="1:59">
      <c r="A1563" s="9"/>
      <c r="B1563" s="5"/>
      <c r="C1563" s="5"/>
      <c r="D1563" s="5"/>
      <c r="E1563" s="7"/>
      <c r="F1563" s="8"/>
      <c r="G1563" s="8"/>
      <c r="H1563" s="8"/>
      <c r="I1563" s="14"/>
      <c r="J1563" s="14"/>
      <c r="K1563" s="14"/>
      <c r="L1563" s="14"/>
      <c r="M1563" s="7"/>
      <c r="N1563" s="8"/>
      <c r="O1563" s="8"/>
      <c r="P1563" s="8"/>
      <c r="Q1563" s="7"/>
      <c r="R1563" s="16"/>
      <c r="S1563" s="17"/>
      <c r="T1563" s="8"/>
      <c r="U1563" s="8"/>
      <c r="V1563" s="8"/>
      <c r="W1563" s="7"/>
      <c r="X1563" s="7"/>
      <c r="Y1563" s="7"/>
      <c r="Z1563" s="7"/>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7"/>
      <c r="AX1563" s="7"/>
      <c r="AY1563" s="7"/>
      <c r="AZ1563" s="7"/>
      <c r="BA1563" s="7"/>
      <c r="BB1563" s="7"/>
      <c r="BC1563" s="7"/>
      <c r="BD1563" s="7"/>
      <c r="BE1563" s="7"/>
      <c r="BF1563" s="7"/>
      <c r="BG1563" s="7"/>
    </row>
    <row r="1564" customHeight="1" spans="1:59">
      <c r="A1564" s="9"/>
      <c r="B1564" s="5"/>
      <c r="C1564" s="5"/>
      <c r="D1564" s="5"/>
      <c r="E1564" s="7"/>
      <c r="F1564" s="8"/>
      <c r="G1564" s="8"/>
      <c r="H1564" s="8"/>
      <c r="I1564" s="14"/>
      <c r="J1564" s="14"/>
      <c r="K1564" s="14"/>
      <c r="L1564" s="14"/>
      <c r="M1564" s="7"/>
      <c r="N1564" s="8"/>
      <c r="O1564" s="8"/>
      <c r="P1564" s="8"/>
      <c r="Q1564" s="7"/>
      <c r="R1564" s="16"/>
      <c r="S1564" s="17"/>
      <c r="T1564" s="8"/>
      <c r="U1564" s="8"/>
      <c r="V1564" s="8"/>
      <c r="W1564" s="7"/>
      <c r="X1564" s="7"/>
      <c r="Y1564" s="7"/>
      <c r="Z1564" s="7"/>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7"/>
      <c r="AX1564" s="7"/>
      <c r="AY1564" s="7"/>
      <c r="AZ1564" s="7"/>
      <c r="BA1564" s="7"/>
      <c r="BB1564" s="7"/>
      <c r="BC1564" s="7"/>
      <c r="BD1564" s="7"/>
      <c r="BE1564" s="7"/>
      <c r="BF1564" s="7"/>
      <c r="BG1564" s="7"/>
    </row>
    <row r="1565" customHeight="1" spans="1:59">
      <c r="A1565" s="9"/>
      <c r="B1565" s="5"/>
      <c r="C1565" s="5"/>
      <c r="D1565" s="5"/>
      <c r="E1565" s="7"/>
      <c r="F1565" s="8"/>
      <c r="G1565" s="8"/>
      <c r="H1565" s="8"/>
      <c r="I1565" s="14"/>
      <c r="J1565" s="14"/>
      <c r="K1565" s="14"/>
      <c r="L1565" s="14"/>
      <c r="M1565" s="7"/>
      <c r="N1565" s="8"/>
      <c r="O1565" s="8"/>
      <c r="P1565" s="8"/>
      <c r="Q1565" s="7"/>
      <c r="R1565" s="16"/>
      <c r="S1565" s="17"/>
      <c r="T1565" s="8"/>
      <c r="U1565" s="8"/>
      <c r="V1565" s="8"/>
      <c r="W1565" s="7"/>
      <c r="X1565" s="7"/>
      <c r="Y1565" s="7"/>
      <c r="Z1565" s="7"/>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7"/>
      <c r="AX1565" s="7"/>
      <c r="AY1565" s="7"/>
      <c r="AZ1565" s="7"/>
      <c r="BA1565" s="7"/>
      <c r="BB1565" s="7"/>
      <c r="BC1565" s="7"/>
      <c r="BD1565" s="7"/>
      <c r="BE1565" s="7"/>
      <c r="BF1565" s="7"/>
      <c r="BG1565" s="7"/>
    </row>
    <row r="1566" customHeight="1" spans="1:59">
      <c r="A1566" s="9"/>
      <c r="B1566" s="5"/>
      <c r="C1566" s="5"/>
      <c r="D1566" s="5"/>
      <c r="E1566" s="7"/>
      <c r="F1566" s="8"/>
      <c r="G1566" s="8"/>
      <c r="H1566" s="8"/>
      <c r="I1566" s="14"/>
      <c r="J1566" s="14"/>
      <c r="K1566" s="14"/>
      <c r="L1566" s="14"/>
      <c r="M1566" s="7"/>
      <c r="N1566" s="8"/>
      <c r="O1566" s="8"/>
      <c r="P1566" s="8"/>
      <c r="Q1566" s="7"/>
      <c r="R1566" s="16"/>
      <c r="S1566" s="17"/>
      <c r="T1566" s="8"/>
      <c r="U1566" s="8"/>
      <c r="V1566" s="8"/>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7"/>
      <c r="AY1566" s="7"/>
      <c r="AZ1566" s="7"/>
      <c r="BA1566" s="7"/>
      <c r="BB1566" s="7"/>
      <c r="BC1566" s="7"/>
      <c r="BD1566" s="7"/>
      <c r="BE1566" s="7"/>
      <c r="BF1566" s="7"/>
      <c r="BG1566" s="7"/>
    </row>
    <row r="1567" customHeight="1" spans="1:59">
      <c r="A1567" s="9"/>
      <c r="B1567" s="5"/>
      <c r="C1567" s="5"/>
      <c r="D1567" s="5"/>
      <c r="E1567" s="7"/>
      <c r="F1567" s="8"/>
      <c r="G1567" s="8"/>
      <c r="H1567" s="8"/>
      <c r="I1567" s="14"/>
      <c r="J1567" s="14"/>
      <c r="K1567" s="14"/>
      <c r="L1567" s="14"/>
      <c r="M1567" s="7"/>
      <c r="N1567" s="8"/>
      <c r="O1567" s="8"/>
      <c r="P1567" s="8"/>
      <c r="Q1567" s="7"/>
      <c r="R1567" s="16"/>
      <c r="S1567" s="17"/>
      <c r="T1567" s="8"/>
      <c r="U1567" s="8"/>
      <c r="V1567" s="8"/>
      <c r="W1567" s="7"/>
      <c r="X1567" s="7"/>
      <c r="Y1567" s="7"/>
      <c r="Z1567" s="7"/>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7"/>
      <c r="AX1567" s="7"/>
      <c r="AY1567" s="7"/>
      <c r="AZ1567" s="7"/>
      <c r="BA1567" s="7"/>
      <c r="BB1567" s="7"/>
      <c r="BC1567" s="7"/>
      <c r="BD1567" s="7"/>
      <c r="BE1567" s="7"/>
      <c r="BF1567" s="7"/>
      <c r="BG1567" s="7"/>
    </row>
    <row r="1568" customHeight="1" spans="1:59">
      <c r="A1568" s="9"/>
      <c r="B1568" s="5"/>
      <c r="C1568" s="5"/>
      <c r="D1568" s="5"/>
      <c r="E1568" s="7"/>
      <c r="F1568" s="8"/>
      <c r="G1568" s="8"/>
      <c r="H1568" s="8"/>
      <c r="I1568" s="14"/>
      <c r="J1568" s="14"/>
      <c r="K1568" s="14"/>
      <c r="L1568" s="14"/>
      <c r="M1568" s="7"/>
      <c r="N1568" s="8"/>
      <c r="O1568" s="8"/>
      <c r="P1568" s="8"/>
      <c r="Q1568" s="7"/>
      <c r="R1568" s="16"/>
      <c r="S1568" s="17"/>
      <c r="T1568" s="8"/>
      <c r="U1568" s="8"/>
      <c r="V1568" s="8"/>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7"/>
      <c r="BF1568" s="7"/>
      <c r="BG1568" s="7"/>
    </row>
    <row r="1569" customHeight="1" spans="1:59">
      <c r="A1569" s="9"/>
      <c r="B1569" s="5"/>
      <c r="C1569" s="5"/>
      <c r="D1569" s="5"/>
      <c r="E1569" s="7"/>
      <c r="F1569" s="8"/>
      <c r="G1569" s="8"/>
      <c r="H1569" s="8"/>
      <c r="I1569" s="14"/>
      <c r="J1569" s="14"/>
      <c r="K1569" s="14"/>
      <c r="L1569" s="14"/>
      <c r="M1569" s="7"/>
      <c r="N1569" s="8"/>
      <c r="O1569" s="8"/>
      <c r="P1569" s="8"/>
      <c r="Q1569" s="7"/>
      <c r="R1569" s="16"/>
      <c r="S1569" s="17"/>
      <c r="T1569" s="8"/>
      <c r="U1569" s="8"/>
      <c r="V1569" s="8"/>
      <c r="W1569" s="7"/>
      <c r="X1569" s="7"/>
      <c r="Y1569" s="7"/>
      <c r="Z1569" s="7"/>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7"/>
      <c r="AX1569" s="7"/>
      <c r="AY1569" s="7"/>
      <c r="AZ1569" s="7"/>
      <c r="BA1569" s="7"/>
      <c r="BB1569" s="7"/>
      <c r="BC1569" s="7"/>
      <c r="BD1569" s="7"/>
      <c r="BE1569" s="7"/>
      <c r="BF1569" s="7"/>
      <c r="BG1569" s="7"/>
    </row>
    <row r="1570" customHeight="1" spans="1:59">
      <c r="A1570" s="9"/>
      <c r="B1570" s="5"/>
      <c r="C1570" s="5"/>
      <c r="D1570" s="5"/>
      <c r="E1570" s="7"/>
      <c r="F1570" s="8"/>
      <c r="G1570" s="8"/>
      <c r="H1570" s="8"/>
      <c r="I1570" s="14"/>
      <c r="J1570" s="14"/>
      <c r="K1570" s="14"/>
      <c r="L1570" s="14"/>
      <c r="M1570" s="7"/>
      <c r="N1570" s="8"/>
      <c r="O1570" s="8"/>
      <c r="P1570" s="8"/>
      <c r="Q1570" s="7"/>
      <c r="R1570" s="16"/>
      <c r="S1570" s="17"/>
      <c r="T1570" s="8"/>
      <c r="U1570" s="8"/>
      <c r="V1570" s="8"/>
      <c r="W1570" s="7"/>
      <c r="X1570" s="7"/>
      <c r="Y1570" s="7"/>
      <c r="Z1570" s="7"/>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7"/>
      <c r="AX1570" s="7"/>
      <c r="AY1570" s="7"/>
      <c r="AZ1570" s="7"/>
      <c r="BA1570" s="7"/>
      <c r="BB1570" s="7"/>
      <c r="BC1570" s="7"/>
      <c r="BD1570" s="7"/>
      <c r="BE1570" s="7"/>
      <c r="BF1570" s="7"/>
      <c r="BG1570" s="7"/>
    </row>
    <row r="1571" customHeight="1" spans="1:59">
      <c r="A1571" s="9"/>
      <c r="B1571" s="5"/>
      <c r="C1571" s="5"/>
      <c r="D1571" s="5"/>
      <c r="E1571" s="7"/>
      <c r="F1571" s="8"/>
      <c r="G1571" s="8"/>
      <c r="H1571" s="8"/>
      <c r="I1571" s="14"/>
      <c r="J1571" s="14"/>
      <c r="K1571" s="14"/>
      <c r="L1571" s="14"/>
      <c r="M1571" s="7"/>
      <c r="N1571" s="8"/>
      <c r="O1571" s="8"/>
      <c r="P1571" s="8"/>
      <c r="Q1571" s="7"/>
      <c r="R1571" s="16"/>
      <c r="S1571" s="17"/>
      <c r="T1571" s="8"/>
      <c r="U1571" s="8"/>
      <c r="V1571" s="8"/>
      <c r="W1571" s="7"/>
      <c r="X1571" s="7"/>
      <c r="Y1571" s="7"/>
      <c r="Z1571" s="7"/>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7"/>
      <c r="AX1571" s="7"/>
      <c r="AY1571" s="7"/>
      <c r="AZ1571" s="7"/>
      <c r="BA1571" s="7"/>
      <c r="BB1571" s="7"/>
      <c r="BC1571" s="7"/>
      <c r="BD1571" s="7"/>
      <c r="BE1571" s="7"/>
      <c r="BF1571" s="7"/>
      <c r="BG1571" s="7"/>
    </row>
    <row r="1572" customHeight="1" spans="1:59">
      <c r="A1572" s="9"/>
      <c r="B1572" s="5"/>
      <c r="C1572" s="5"/>
      <c r="D1572" s="5"/>
      <c r="E1572" s="7"/>
      <c r="F1572" s="8"/>
      <c r="G1572" s="8"/>
      <c r="H1572" s="8"/>
      <c r="I1572" s="14"/>
      <c r="J1572" s="14"/>
      <c r="K1572" s="14"/>
      <c r="L1572" s="14"/>
      <c r="M1572" s="7"/>
      <c r="N1572" s="8"/>
      <c r="O1572" s="8"/>
      <c r="P1572" s="8"/>
      <c r="Q1572" s="7"/>
      <c r="R1572" s="16"/>
      <c r="S1572" s="17"/>
      <c r="T1572" s="8"/>
      <c r="U1572" s="8"/>
      <c r="V1572" s="8"/>
      <c r="W1572" s="7"/>
      <c r="X1572" s="7"/>
      <c r="Y1572" s="7"/>
      <c r="Z1572" s="7"/>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7"/>
      <c r="AX1572" s="7"/>
      <c r="AY1572" s="7"/>
      <c r="AZ1572" s="7"/>
      <c r="BA1572" s="7"/>
      <c r="BB1572" s="7"/>
      <c r="BC1572" s="7"/>
      <c r="BD1572" s="7"/>
      <c r="BE1572" s="7"/>
      <c r="BF1572" s="7"/>
      <c r="BG1572" s="7"/>
    </row>
    <row r="1573" customHeight="1" spans="1:59">
      <c r="A1573" s="9"/>
      <c r="B1573" s="5"/>
      <c r="C1573" s="5"/>
      <c r="D1573" s="5"/>
      <c r="E1573" s="7"/>
      <c r="F1573" s="8"/>
      <c r="G1573" s="8"/>
      <c r="H1573" s="8"/>
      <c r="I1573" s="14"/>
      <c r="J1573" s="14"/>
      <c r="K1573" s="14"/>
      <c r="L1573" s="14"/>
      <c r="M1573" s="7"/>
      <c r="N1573" s="8"/>
      <c r="O1573" s="8"/>
      <c r="P1573" s="8"/>
      <c r="Q1573" s="7"/>
      <c r="R1573" s="16"/>
      <c r="S1573" s="17"/>
      <c r="T1573" s="8"/>
      <c r="U1573" s="8"/>
      <c r="V1573" s="8"/>
      <c r="W1573" s="7"/>
      <c r="X1573" s="7"/>
      <c r="Y1573" s="7"/>
      <c r="Z1573" s="7"/>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7"/>
      <c r="AX1573" s="7"/>
      <c r="AY1573" s="7"/>
      <c r="AZ1573" s="7"/>
      <c r="BA1573" s="7"/>
      <c r="BB1573" s="7"/>
      <c r="BC1573" s="7"/>
      <c r="BD1573" s="7"/>
      <c r="BE1573" s="7"/>
      <c r="BF1573" s="7"/>
      <c r="BG1573" s="7"/>
    </row>
    <row r="1574" customHeight="1" spans="1:59">
      <c r="A1574" s="9"/>
      <c r="B1574" s="5"/>
      <c r="C1574" s="5"/>
      <c r="D1574" s="5"/>
      <c r="E1574" s="7"/>
      <c r="F1574" s="8"/>
      <c r="G1574" s="8"/>
      <c r="H1574" s="8"/>
      <c r="I1574" s="14"/>
      <c r="J1574" s="14"/>
      <c r="K1574" s="14"/>
      <c r="L1574" s="14"/>
      <c r="M1574" s="7"/>
      <c r="N1574" s="8"/>
      <c r="O1574" s="8"/>
      <c r="P1574" s="8"/>
      <c r="Q1574" s="7"/>
      <c r="R1574" s="16"/>
      <c r="S1574" s="17"/>
      <c r="T1574" s="8"/>
      <c r="U1574" s="8"/>
      <c r="V1574" s="8"/>
      <c r="W1574" s="7"/>
      <c r="X1574" s="7"/>
      <c r="Y1574" s="7"/>
      <c r="Z1574" s="7"/>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7"/>
      <c r="AX1574" s="7"/>
      <c r="AY1574" s="7"/>
      <c r="AZ1574" s="7"/>
      <c r="BA1574" s="7"/>
      <c r="BB1574" s="7"/>
      <c r="BC1574" s="7"/>
      <c r="BD1574" s="7"/>
      <c r="BE1574" s="7"/>
      <c r="BF1574" s="7"/>
      <c r="BG1574" s="7"/>
    </row>
    <row r="1575" customHeight="1" spans="1:59">
      <c r="A1575" s="9"/>
      <c r="B1575" s="5"/>
      <c r="C1575" s="5"/>
      <c r="D1575" s="5"/>
      <c r="E1575" s="7"/>
      <c r="F1575" s="8"/>
      <c r="G1575" s="8"/>
      <c r="H1575" s="8"/>
      <c r="I1575" s="14"/>
      <c r="J1575" s="14"/>
      <c r="K1575" s="14"/>
      <c r="L1575" s="14"/>
      <c r="M1575" s="7"/>
      <c r="N1575" s="8"/>
      <c r="O1575" s="8"/>
      <c r="P1575" s="8"/>
      <c r="Q1575" s="7"/>
      <c r="R1575" s="16"/>
      <c r="S1575" s="17"/>
      <c r="T1575" s="8"/>
      <c r="U1575" s="8"/>
      <c r="V1575" s="8"/>
      <c r="W1575" s="7"/>
      <c r="X1575" s="7"/>
      <c r="Y1575" s="7"/>
      <c r="Z1575" s="7"/>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7"/>
      <c r="AX1575" s="7"/>
      <c r="AY1575" s="7"/>
      <c r="AZ1575" s="7"/>
      <c r="BA1575" s="7"/>
      <c r="BB1575" s="7"/>
      <c r="BC1575" s="7"/>
      <c r="BD1575" s="7"/>
      <c r="BE1575" s="7"/>
      <c r="BF1575" s="7"/>
      <c r="BG1575" s="7"/>
    </row>
    <row r="1576" customHeight="1" spans="1:59">
      <c r="A1576" s="9"/>
      <c r="B1576" s="5"/>
      <c r="C1576" s="5"/>
      <c r="D1576" s="5"/>
      <c r="E1576" s="7"/>
      <c r="F1576" s="8"/>
      <c r="G1576" s="8"/>
      <c r="H1576" s="8"/>
      <c r="I1576" s="14"/>
      <c r="J1576" s="14"/>
      <c r="K1576" s="14"/>
      <c r="L1576" s="14"/>
      <c r="M1576" s="7"/>
      <c r="N1576" s="8"/>
      <c r="O1576" s="8"/>
      <c r="P1576" s="8"/>
      <c r="Q1576" s="7"/>
      <c r="R1576" s="16"/>
      <c r="S1576" s="17"/>
      <c r="T1576" s="8"/>
      <c r="U1576" s="8"/>
      <c r="V1576" s="8"/>
      <c r="W1576" s="7"/>
      <c r="X1576" s="7"/>
      <c r="Y1576" s="7"/>
      <c r="Z1576" s="7"/>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7"/>
      <c r="AX1576" s="7"/>
      <c r="AY1576" s="7"/>
      <c r="AZ1576" s="7"/>
      <c r="BA1576" s="7"/>
      <c r="BB1576" s="7"/>
      <c r="BC1576" s="7"/>
      <c r="BD1576" s="7"/>
      <c r="BE1576" s="7"/>
      <c r="BF1576" s="7"/>
      <c r="BG1576" s="7"/>
    </row>
    <row r="1577" customHeight="1" spans="1:59">
      <c r="A1577" s="9"/>
      <c r="B1577" s="5"/>
      <c r="C1577" s="5"/>
      <c r="D1577" s="5"/>
      <c r="E1577" s="7"/>
      <c r="F1577" s="8"/>
      <c r="G1577" s="8"/>
      <c r="H1577" s="8"/>
      <c r="I1577" s="14"/>
      <c r="J1577" s="14"/>
      <c r="K1577" s="14"/>
      <c r="L1577" s="14"/>
      <c r="M1577" s="7"/>
      <c r="N1577" s="8"/>
      <c r="O1577" s="8"/>
      <c r="P1577" s="8"/>
      <c r="Q1577" s="7"/>
      <c r="R1577" s="16"/>
      <c r="S1577" s="17"/>
      <c r="T1577" s="8"/>
      <c r="U1577" s="8"/>
      <c r="V1577" s="8"/>
      <c r="W1577" s="7"/>
      <c r="X1577" s="7"/>
      <c r="Y1577" s="7"/>
      <c r="Z1577" s="7"/>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7"/>
      <c r="AX1577" s="7"/>
      <c r="AY1577" s="7"/>
      <c r="AZ1577" s="7"/>
      <c r="BA1577" s="7"/>
      <c r="BB1577" s="7"/>
      <c r="BC1577" s="7"/>
      <c r="BD1577" s="7"/>
      <c r="BE1577" s="7"/>
      <c r="BF1577" s="7"/>
      <c r="BG1577" s="7"/>
    </row>
    <row r="1578" customHeight="1" spans="1:59">
      <c r="A1578" s="9"/>
      <c r="B1578" s="5"/>
      <c r="C1578" s="5"/>
      <c r="D1578" s="5"/>
      <c r="E1578" s="7"/>
      <c r="F1578" s="8"/>
      <c r="G1578" s="8"/>
      <c r="H1578" s="8"/>
      <c r="I1578" s="14"/>
      <c r="J1578" s="14"/>
      <c r="K1578" s="14"/>
      <c r="L1578" s="14"/>
      <c r="M1578" s="7"/>
      <c r="N1578" s="8"/>
      <c r="O1578" s="8"/>
      <c r="P1578" s="8"/>
      <c r="Q1578" s="7"/>
      <c r="R1578" s="16"/>
      <c r="S1578" s="17"/>
      <c r="T1578" s="8"/>
      <c r="U1578" s="8"/>
      <c r="V1578" s="8"/>
      <c r="W1578" s="7"/>
      <c r="X1578" s="7"/>
      <c r="Y1578" s="7"/>
      <c r="Z1578" s="7"/>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7"/>
      <c r="AX1578" s="7"/>
      <c r="AY1578" s="7"/>
      <c r="AZ1578" s="7"/>
      <c r="BA1578" s="7"/>
      <c r="BB1578" s="7"/>
      <c r="BC1578" s="7"/>
      <c r="BD1578" s="7"/>
      <c r="BE1578" s="7"/>
      <c r="BF1578" s="7"/>
      <c r="BG1578" s="7"/>
    </row>
    <row r="1579" customHeight="1" spans="1:59">
      <c r="A1579" s="9"/>
      <c r="B1579" s="5"/>
      <c r="C1579" s="5"/>
      <c r="D1579" s="5"/>
      <c r="E1579" s="7"/>
      <c r="F1579" s="8"/>
      <c r="G1579" s="8"/>
      <c r="H1579" s="8"/>
      <c r="I1579" s="14"/>
      <c r="J1579" s="14"/>
      <c r="K1579" s="14"/>
      <c r="L1579" s="14"/>
      <c r="M1579" s="7"/>
      <c r="N1579" s="8"/>
      <c r="O1579" s="8"/>
      <c r="P1579" s="8"/>
      <c r="Q1579" s="7"/>
      <c r="R1579" s="16"/>
      <c r="S1579" s="17"/>
      <c r="T1579" s="8"/>
      <c r="U1579" s="8"/>
      <c r="V1579" s="8"/>
      <c r="W1579" s="7"/>
      <c r="X1579" s="7"/>
      <c r="Y1579" s="7"/>
      <c r="Z1579" s="7"/>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7"/>
      <c r="AX1579" s="7"/>
      <c r="AY1579" s="7"/>
      <c r="AZ1579" s="7"/>
      <c r="BA1579" s="7"/>
      <c r="BB1579" s="7"/>
      <c r="BC1579" s="7"/>
      <c r="BD1579" s="7"/>
      <c r="BE1579" s="7"/>
      <c r="BF1579" s="7"/>
      <c r="BG1579" s="7"/>
    </row>
    <row r="1580" customHeight="1" spans="1:59">
      <c r="A1580" s="9"/>
      <c r="B1580" s="5"/>
      <c r="C1580" s="5"/>
      <c r="D1580" s="5"/>
      <c r="E1580" s="7"/>
      <c r="F1580" s="8"/>
      <c r="G1580" s="8"/>
      <c r="H1580" s="8"/>
      <c r="I1580" s="14"/>
      <c r="J1580" s="14"/>
      <c r="K1580" s="14"/>
      <c r="L1580" s="14"/>
      <c r="M1580" s="7"/>
      <c r="N1580" s="8"/>
      <c r="O1580" s="8"/>
      <c r="P1580" s="8"/>
      <c r="Q1580" s="7"/>
      <c r="R1580" s="16"/>
      <c r="S1580" s="17"/>
      <c r="T1580" s="8"/>
      <c r="U1580" s="8"/>
      <c r="V1580" s="8"/>
      <c r="W1580" s="7"/>
      <c r="X1580" s="7"/>
      <c r="Y1580" s="7"/>
      <c r="Z1580" s="7"/>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7"/>
      <c r="AX1580" s="7"/>
      <c r="AY1580" s="7"/>
      <c r="AZ1580" s="7"/>
      <c r="BA1580" s="7"/>
      <c r="BB1580" s="7"/>
      <c r="BC1580" s="7"/>
      <c r="BD1580" s="7"/>
      <c r="BE1580" s="7"/>
      <c r="BF1580" s="7"/>
      <c r="BG1580" s="7"/>
    </row>
    <row r="1581" customHeight="1" spans="1:59">
      <c r="A1581" s="9"/>
      <c r="B1581" s="5"/>
      <c r="C1581" s="5"/>
      <c r="D1581" s="5"/>
      <c r="E1581" s="7"/>
      <c r="F1581" s="8"/>
      <c r="G1581" s="8"/>
      <c r="H1581" s="8"/>
      <c r="I1581" s="14"/>
      <c r="J1581" s="14"/>
      <c r="K1581" s="14"/>
      <c r="L1581" s="14"/>
      <c r="M1581" s="7"/>
      <c r="N1581" s="8"/>
      <c r="O1581" s="8"/>
      <c r="P1581" s="8"/>
      <c r="Q1581" s="7"/>
      <c r="R1581" s="16"/>
      <c r="S1581" s="17"/>
      <c r="T1581" s="8"/>
      <c r="U1581" s="8"/>
      <c r="V1581" s="8"/>
      <c r="W1581" s="7"/>
      <c r="X1581" s="7"/>
      <c r="Y1581" s="7"/>
      <c r="Z1581" s="7"/>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7"/>
      <c r="AX1581" s="7"/>
      <c r="AY1581" s="7"/>
      <c r="AZ1581" s="7"/>
      <c r="BA1581" s="7"/>
      <c r="BB1581" s="7"/>
      <c r="BC1581" s="7"/>
      <c r="BD1581" s="7"/>
      <c r="BE1581" s="7"/>
      <c r="BF1581" s="7"/>
      <c r="BG1581" s="7"/>
    </row>
    <row r="1582" customHeight="1" spans="1:59">
      <c r="A1582" s="9"/>
      <c r="B1582" s="5"/>
      <c r="C1582" s="5"/>
      <c r="D1582" s="5"/>
      <c r="E1582" s="7"/>
      <c r="F1582" s="8"/>
      <c r="G1582" s="8"/>
      <c r="H1582" s="8"/>
      <c r="I1582" s="14"/>
      <c r="J1582" s="14"/>
      <c r="K1582" s="14"/>
      <c r="L1582" s="14"/>
      <c r="M1582" s="7"/>
      <c r="N1582" s="8"/>
      <c r="O1582" s="8"/>
      <c r="P1582" s="8"/>
      <c r="Q1582" s="7"/>
      <c r="R1582" s="16"/>
      <c r="S1582" s="17"/>
      <c r="T1582" s="8"/>
      <c r="U1582" s="8"/>
      <c r="V1582" s="8"/>
      <c r="W1582" s="7"/>
      <c r="X1582" s="7"/>
      <c r="Y1582" s="7"/>
      <c r="Z1582" s="7"/>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7"/>
      <c r="AX1582" s="7"/>
      <c r="AY1582" s="7"/>
      <c r="AZ1582" s="7"/>
      <c r="BA1582" s="7"/>
      <c r="BB1582" s="7"/>
      <c r="BC1582" s="7"/>
      <c r="BD1582" s="7"/>
      <c r="BE1582" s="7"/>
      <c r="BF1582" s="7"/>
      <c r="BG1582" s="7"/>
    </row>
    <row r="1583" customHeight="1" spans="1:59">
      <c r="A1583" s="9"/>
      <c r="B1583" s="5"/>
      <c r="C1583" s="5"/>
      <c r="D1583" s="5"/>
      <c r="E1583" s="7"/>
      <c r="F1583" s="8"/>
      <c r="G1583" s="8"/>
      <c r="H1583" s="8"/>
      <c r="I1583" s="14"/>
      <c r="J1583" s="14"/>
      <c r="K1583" s="14"/>
      <c r="L1583" s="14"/>
      <c r="M1583" s="7"/>
      <c r="N1583" s="8"/>
      <c r="O1583" s="8"/>
      <c r="P1583" s="8"/>
      <c r="Q1583" s="7"/>
      <c r="R1583" s="16"/>
      <c r="S1583" s="17"/>
      <c r="T1583" s="8"/>
      <c r="U1583" s="8"/>
      <c r="V1583" s="8"/>
      <c r="W1583" s="7"/>
      <c r="X1583" s="7"/>
      <c r="Y1583" s="7"/>
      <c r="Z1583" s="7"/>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7"/>
      <c r="AX1583" s="7"/>
      <c r="AY1583" s="7"/>
      <c r="AZ1583" s="7"/>
      <c r="BA1583" s="7"/>
      <c r="BB1583" s="7"/>
      <c r="BC1583" s="7"/>
      <c r="BD1583" s="7"/>
      <c r="BE1583" s="7"/>
      <c r="BF1583" s="7"/>
      <c r="BG1583" s="7"/>
    </row>
    <row r="1584" customHeight="1" spans="1:59">
      <c r="A1584" s="9"/>
      <c r="B1584" s="5"/>
      <c r="C1584" s="5"/>
      <c r="D1584" s="5"/>
      <c r="E1584" s="7"/>
      <c r="F1584" s="8"/>
      <c r="G1584" s="8"/>
      <c r="H1584" s="8"/>
      <c r="I1584" s="14"/>
      <c r="J1584" s="14"/>
      <c r="K1584" s="14"/>
      <c r="L1584" s="14"/>
      <c r="M1584" s="7"/>
      <c r="N1584" s="8"/>
      <c r="O1584" s="8"/>
      <c r="P1584" s="8"/>
      <c r="Q1584" s="7"/>
      <c r="R1584" s="16"/>
      <c r="S1584" s="17"/>
      <c r="T1584" s="8"/>
      <c r="U1584" s="8"/>
      <c r="V1584" s="8"/>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7"/>
      <c r="AX1584" s="7"/>
      <c r="AY1584" s="7"/>
      <c r="AZ1584" s="7"/>
      <c r="BA1584" s="7"/>
      <c r="BB1584" s="7"/>
      <c r="BC1584" s="7"/>
      <c r="BD1584" s="7"/>
      <c r="BE1584" s="7"/>
      <c r="BF1584" s="7"/>
      <c r="BG1584" s="7"/>
    </row>
    <row r="1585" customHeight="1" spans="1:59">
      <c r="A1585" s="9"/>
      <c r="B1585" s="5"/>
      <c r="C1585" s="5"/>
      <c r="D1585" s="5"/>
      <c r="E1585" s="7"/>
      <c r="F1585" s="8"/>
      <c r="G1585" s="8"/>
      <c r="H1585" s="8"/>
      <c r="I1585" s="14"/>
      <c r="J1585" s="14"/>
      <c r="K1585" s="14"/>
      <c r="L1585" s="14"/>
      <c r="M1585" s="7"/>
      <c r="N1585" s="8"/>
      <c r="O1585" s="8"/>
      <c r="P1585" s="8"/>
      <c r="Q1585" s="7"/>
      <c r="R1585" s="16"/>
      <c r="S1585" s="17"/>
      <c r="T1585" s="8"/>
      <c r="U1585" s="8"/>
      <c r="V1585" s="8"/>
      <c r="W1585" s="7"/>
      <c r="X1585" s="7"/>
      <c r="Y1585" s="7"/>
      <c r="Z1585" s="7"/>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7"/>
      <c r="AX1585" s="7"/>
      <c r="AY1585" s="7"/>
      <c r="AZ1585" s="7"/>
      <c r="BA1585" s="7"/>
      <c r="BB1585" s="7"/>
      <c r="BC1585" s="7"/>
      <c r="BD1585" s="7"/>
      <c r="BE1585" s="7"/>
      <c r="BF1585" s="7"/>
      <c r="BG1585" s="7"/>
    </row>
    <row r="1586" customHeight="1" spans="1:59">
      <c r="A1586" s="9"/>
      <c r="B1586" s="5"/>
      <c r="C1586" s="5"/>
      <c r="D1586" s="5"/>
      <c r="E1586" s="7"/>
      <c r="F1586" s="8"/>
      <c r="G1586" s="8"/>
      <c r="H1586" s="8"/>
      <c r="I1586" s="14"/>
      <c r="J1586" s="14"/>
      <c r="K1586" s="14"/>
      <c r="L1586" s="14"/>
      <c r="M1586" s="7"/>
      <c r="N1586" s="8"/>
      <c r="O1586" s="8"/>
      <c r="P1586" s="8"/>
      <c r="Q1586" s="7"/>
      <c r="R1586" s="16"/>
      <c r="S1586" s="17"/>
      <c r="T1586" s="8"/>
      <c r="U1586" s="8"/>
      <c r="V1586" s="8"/>
      <c r="W1586" s="7"/>
      <c r="X1586" s="7"/>
      <c r="Y1586" s="7"/>
      <c r="Z1586" s="7"/>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7"/>
      <c r="BB1586" s="7"/>
      <c r="BC1586" s="7"/>
      <c r="BD1586" s="7"/>
      <c r="BE1586" s="7"/>
      <c r="BF1586" s="7"/>
      <c r="BG1586" s="7"/>
    </row>
    <row r="1587" customHeight="1" spans="1:59">
      <c r="A1587" s="9"/>
      <c r="B1587" s="5"/>
      <c r="C1587" s="5"/>
      <c r="D1587" s="5"/>
      <c r="E1587" s="7"/>
      <c r="F1587" s="8"/>
      <c r="G1587" s="8"/>
      <c r="H1587" s="8"/>
      <c r="I1587" s="14"/>
      <c r="J1587" s="14"/>
      <c r="K1587" s="14"/>
      <c r="L1587" s="14"/>
      <c r="M1587" s="7"/>
      <c r="N1587" s="8"/>
      <c r="O1587" s="8"/>
      <c r="P1587" s="8"/>
      <c r="Q1587" s="7"/>
      <c r="R1587" s="16"/>
      <c r="S1587" s="17"/>
      <c r="T1587" s="8"/>
      <c r="U1587" s="8"/>
      <c r="V1587" s="8"/>
      <c r="W1587" s="7"/>
      <c r="X1587" s="7"/>
      <c r="Y1587" s="7"/>
      <c r="Z1587" s="7"/>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7"/>
      <c r="AX1587" s="7"/>
      <c r="AY1587" s="7"/>
      <c r="AZ1587" s="7"/>
      <c r="BA1587" s="7"/>
      <c r="BB1587" s="7"/>
      <c r="BC1587" s="7"/>
      <c r="BD1587" s="7"/>
      <c r="BE1587" s="7"/>
      <c r="BF1587" s="7"/>
      <c r="BG1587" s="7"/>
    </row>
    <row r="1588" customHeight="1" spans="1:59">
      <c r="A1588" s="9"/>
      <c r="B1588" s="5"/>
      <c r="C1588" s="5"/>
      <c r="D1588" s="5"/>
      <c r="E1588" s="7"/>
      <c r="F1588" s="8"/>
      <c r="G1588" s="8"/>
      <c r="H1588" s="8"/>
      <c r="I1588" s="14"/>
      <c r="J1588" s="14"/>
      <c r="K1588" s="14"/>
      <c r="L1588" s="14"/>
      <c r="M1588" s="7"/>
      <c r="N1588" s="8"/>
      <c r="O1588" s="8"/>
      <c r="P1588" s="8"/>
      <c r="Q1588" s="7"/>
      <c r="R1588" s="16"/>
      <c r="S1588" s="17"/>
      <c r="T1588" s="8"/>
      <c r="U1588" s="8"/>
      <c r="V1588" s="8"/>
      <c r="W1588" s="7"/>
      <c r="X1588" s="7"/>
      <c r="Y1588" s="7"/>
      <c r="Z1588" s="7"/>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7"/>
      <c r="AX1588" s="7"/>
      <c r="AY1588" s="7"/>
      <c r="AZ1588" s="7"/>
      <c r="BA1588" s="7"/>
      <c r="BB1588" s="7"/>
      <c r="BC1588" s="7"/>
      <c r="BD1588" s="7"/>
      <c r="BE1588" s="7"/>
      <c r="BF1588" s="7"/>
      <c r="BG1588" s="7"/>
    </row>
    <row r="1589" customHeight="1" spans="1:59">
      <c r="A1589" s="9"/>
      <c r="B1589" s="5"/>
      <c r="C1589" s="5"/>
      <c r="D1589" s="5"/>
      <c r="E1589" s="7"/>
      <c r="F1589" s="8"/>
      <c r="G1589" s="8"/>
      <c r="H1589" s="8"/>
      <c r="I1589" s="14"/>
      <c r="J1589" s="14"/>
      <c r="K1589" s="14"/>
      <c r="L1589" s="14"/>
      <c r="M1589" s="7"/>
      <c r="N1589" s="8"/>
      <c r="O1589" s="8"/>
      <c r="P1589" s="8"/>
      <c r="Q1589" s="7"/>
      <c r="R1589" s="16"/>
      <c r="S1589" s="17"/>
      <c r="T1589" s="8"/>
      <c r="U1589" s="8"/>
      <c r="V1589" s="8"/>
      <c r="W1589" s="7"/>
      <c r="X1589" s="7"/>
      <c r="Y1589" s="7"/>
      <c r="Z1589" s="7"/>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7"/>
      <c r="BD1589" s="7"/>
      <c r="BE1589" s="7"/>
      <c r="BF1589" s="7"/>
      <c r="BG1589" s="7"/>
    </row>
    <row r="1590" customHeight="1" spans="1:59">
      <c r="A1590" s="9"/>
      <c r="B1590" s="5"/>
      <c r="C1590" s="5"/>
      <c r="D1590" s="5"/>
      <c r="E1590" s="7"/>
      <c r="F1590" s="8"/>
      <c r="G1590" s="8"/>
      <c r="H1590" s="8"/>
      <c r="I1590" s="14"/>
      <c r="J1590" s="14"/>
      <c r="K1590" s="14"/>
      <c r="L1590" s="14"/>
      <c r="M1590" s="7"/>
      <c r="N1590" s="8"/>
      <c r="O1590" s="8"/>
      <c r="P1590" s="8"/>
      <c r="Q1590" s="7"/>
      <c r="R1590" s="16"/>
      <c r="S1590" s="17"/>
      <c r="T1590" s="8"/>
      <c r="U1590" s="8"/>
      <c r="V1590" s="8"/>
      <c r="W1590" s="7"/>
      <c r="X1590" s="7"/>
      <c r="Y1590" s="7"/>
      <c r="Z1590" s="7"/>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7"/>
      <c r="AX1590" s="7"/>
      <c r="AY1590" s="7"/>
      <c r="AZ1590" s="7"/>
      <c r="BA1590" s="7"/>
      <c r="BB1590" s="7"/>
      <c r="BC1590" s="7"/>
      <c r="BD1590" s="7"/>
      <c r="BE1590" s="7"/>
      <c r="BF1590" s="7"/>
      <c r="BG1590" s="7"/>
    </row>
    <row r="1591" customHeight="1" spans="1:59">
      <c r="A1591" s="9"/>
      <c r="B1591" s="5"/>
      <c r="C1591" s="5"/>
      <c r="D1591" s="5"/>
      <c r="E1591" s="7"/>
      <c r="F1591" s="8"/>
      <c r="G1591" s="8"/>
      <c r="H1591" s="8"/>
      <c r="I1591" s="14"/>
      <c r="J1591" s="14"/>
      <c r="K1591" s="14"/>
      <c r="L1591" s="14"/>
      <c r="M1591" s="7"/>
      <c r="N1591" s="8"/>
      <c r="O1591" s="8"/>
      <c r="P1591" s="8"/>
      <c r="Q1591" s="7"/>
      <c r="R1591" s="16"/>
      <c r="S1591" s="17"/>
      <c r="T1591" s="8"/>
      <c r="U1591" s="8"/>
      <c r="V1591" s="8"/>
      <c r="W1591" s="7"/>
      <c r="X1591" s="7"/>
      <c r="Y1591" s="7"/>
      <c r="Z1591" s="7"/>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7"/>
      <c r="AX1591" s="7"/>
      <c r="AY1591" s="7"/>
      <c r="AZ1591" s="7"/>
      <c r="BA1591" s="7"/>
      <c r="BB1591" s="7"/>
      <c r="BC1591" s="7"/>
      <c r="BD1591" s="7"/>
      <c r="BE1591" s="7"/>
      <c r="BF1591" s="7"/>
      <c r="BG1591" s="7"/>
    </row>
    <row r="1592" customHeight="1" spans="1:59">
      <c r="A1592" s="9"/>
      <c r="B1592" s="5"/>
      <c r="C1592" s="5"/>
      <c r="D1592" s="5"/>
      <c r="E1592" s="7"/>
      <c r="F1592" s="8"/>
      <c r="G1592" s="8"/>
      <c r="H1592" s="8"/>
      <c r="I1592" s="14"/>
      <c r="J1592" s="14"/>
      <c r="K1592" s="14"/>
      <c r="L1592" s="14"/>
      <c r="M1592" s="7"/>
      <c r="N1592" s="8"/>
      <c r="O1592" s="8"/>
      <c r="P1592" s="8"/>
      <c r="Q1592" s="7"/>
      <c r="R1592" s="16"/>
      <c r="S1592" s="17"/>
      <c r="T1592" s="8"/>
      <c r="U1592" s="8"/>
      <c r="V1592" s="8"/>
      <c r="W1592" s="7"/>
      <c r="X1592" s="7"/>
      <c r="Y1592" s="7"/>
      <c r="Z1592" s="7"/>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7"/>
      <c r="AX1592" s="7"/>
      <c r="AY1592" s="7"/>
      <c r="AZ1592" s="7"/>
      <c r="BA1592" s="7"/>
      <c r="BB1592" s="7"/>
      <c r="BC1592" s="7"/>
      <c r="BD1592" s="7"/>
      <c r="BE1592" s="7"/>
      <c r="BF1592" s="7"/>
      <c r="BG1592" s="7"/>
    </row>
    <row r="1593" customHeight="1" spans="1:59">
      <c r="A1593" s="9"/>
      <c r="B1593" s="5"/>
      <c r="C1593" s="5"/>
      <c r="D1593" s="5"/>
      <c r="E1593" s="7"/>
      <c r="F1593" s="8"/>
      <c r="G1593" s="8"/>
      <c r="H1593" s="8"/>
      <c r="I1593" s="14"/>
      <c r="J1593" s="14"/>
      <c r="K1593" s="14"/>
      <c r="L1593" s="14"/>
      <c r="M1593" s="7"/>
      <c r="N1593" s="8"/>
      <c r="O1593" s="8"/>
      <c r="P1593" s="8"/>
      <c r="Q1593" s="7"/>
      <c r="R1593" s="16"/>
      <c r="S1593" s="17"/>
      <c r="T1593" s="8"/>
      <c r="U1593" s="8"/>
      <c r="V1593" s="8"/>
      <c r="W1593" s="7"/>
      <c r="X1593" s="7"/>
      <c r="Y1593" s="7"/>
      <c r="Z1593" s="7"/>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row>
    <row r="1594" customHeight="1" spans="1:59">
      <c r="A1594" s="9"/>
      <c r="B1594" s="5"/>
      <c r="C1594" s="5"/>
      <c r="D1594" s="5"/>
      <c r="E1594" s="7"/>
      <c r="F1594" s="8"/>
      <c r="G1594" s="8"/>
      <c r="H1594" s="8"/>
      <c r="I1594" s="14"/>
      <c r="J1594" s="14"/>
      <c r="K1594" s="14"/>
      <c r="L1594" s="14"/>
      <c r="M1594" s="7"/>
      <c r="N1594" s="8"/>
      <c r="O1594" s="8"/>
      <c r="P1594" s="8"/>
      <c r="Q1594" s="7"/>
      <c r="R1594" s="16"/>
      <c r="S1594" s="17"/>
      <c r="T1594" s="8"/>
      <c r="U1594" s="8"/>
      <c r="V1594" s="8"/>
      <c r="W1594" s="7"/>
      <c r="X1594" s="7"/>
      <c r="Y1594" s="7"/>
      <c r="Z1594" s="7"/>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7"/>
      <c r="AX1594" s="7"/>
      <c r="AY1594" s="7"/>
      <c r="AZ1594" s="7"/>
      <c r="BA1594" s="7"/>
      <c r="BB1594" s="7"/>
      <c r="BC1594" s="7"/>
      <c r="BD1594" s="7"/>
      <c r="BE1594" s="7"/>
      <c r="BF1594" s="7"/>
      <c r="BG1594" s="7"/>
    </row>
    <row r="1595" customHeight="1" spans="1:59">
      <c r="A1595" s="9"/>
      <c r="B1595" s="5"/>
      <c r="C1595" s="5"/>
      <c r="D1595" s="5"/>
      <c r="E1595" s="7"/>
      <c r="F1595" s="8"/>
      <c r="G1595" s="8"/>
      <c r="H1595" s="8"/>
      <c r="I1595" s="14"/>
      <c r="J1595" s="14"/>
      <c r="K1595" s="14"/>
      <c r="L1595" s="14"/>
      <c r="M1595" s="7"/>
      <c r="N1595" s="8"/>
      <c r="O1595" s="8"/>
      <c r="P1595" s="8"/>
      <c r="Q1595" s="7"/>
      <c r="R1595" s="16"/>
      <c r="S1595" s="17"/>
      <c r="T1595" s="8"/>
      <c r="U1595" s="8"/>
      <c r="V1595" s="8"/>
      <c r="W1595" s="7"/>
      <c r="X1595" s="7"/>
      <c r="Y1595" s="7"/>
      <c r="Z1595" s="7"/>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7"/>
      <c r="AX1595" s="7"/>
      <c r="AY1595" s="7"/>
      <c r="AZ1595" s="7"/>
      <c r="BA1595" s="7"/>
      <c r="BB1595" s="7"/>
      <c r="BC1595" s="7"/>
      <c r="BD1595" s="7"/>
      <c r="BE1595" s="7"/>
      <c r="BF1595" s="7"/>
      <c r="BG1595" s="7"/>
    </row>
    <row r="1596" customHeight="1" spans="1:59">
      <c r="A1596" s="9"/>
      <c r="B1596" s="5"/>
      <c r="C1596" s="5"/>
      <c r="D1596" s="5"/>
      <c r="E1596" s="7"/>
      <c r="F1596" s="8"/>
      <c r="G1596" s="8"/>
      <c r="H1596" s="8"/>
      <c r="I1596" s="14"/>
      <c r="J1596" s="14"/>
      <c r="K1596" s="14"/>
      <c r="L1596" s="14"/>
      <c r="M1596" s="7"/>
      <c r="N1596" s="8"/>
      <c r="O1596" s="8"/>
      <c r="P1596" s="8"/>
      <c r="Q1596" s="7"/>
      <c r="R1596" s="16"/>
      <c r="S1596" s="17"/>
      <c r="T1596" s="8"/>
      <c r="U1596" s="8"/>
      <c r="V1596" s="8"/>
      <c r="W1596" s="7"/>
      <c r="X1596" s="7"/>
      <c r="Y1596" s="7"/>
      <c r="Z1596" s="7"/>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7"/>
      <c r="AX1596" s="7"/>
      <c r="AY1596" s="7"/>
      <c r="AZ1596" s="7"/>
      <c r="BA1596" s="7"/>
      <c r="BB1596" s="7"/>
      <c r="BC1596" s="7"/>
      <c r="BD1596" s="7"/>
      <c r="BE1596" s="7"/>
      <c r="BF1596" s="7"/>
      <c r="BG1596" s="7"/>
    </row>
    <row r="1597" customHeight="1" spans="1:59">
      <c r="A1597" s="9"/>
      <c r="B1597" s="5"/>
      <c r="C1597" s="5"/>
      <c r="D1597" s="5"/>
      <c r="E1597" s="7"/>
      <c r="F1597" s="8"/>
      <c r="G1597" s="8"/>
      <c r="H1597" s="8"/>
      <c r="I1597" s="14"/>
      <c r="J1597" s="14"/>
      <c r="K1597" s="14"/>
      <c r="L1597" s="14"/>
      <c r="M1597" s="7"/>
      <c r="N1597" s="8"/>
      <c r="O1597" s="8"/>
      <c r="P1597" s="8"/>
      <c r="Q1597" s="7"/>
      <c r="R1597" s="16"/>
      <c r="S1597" s="17"/>
      <c r="T1597" s="8"/>
      <c r="U1597" s="8"/>
      <c r="V1597" s="8"/>
      <c r="W1597" s="7"/>
      <c r="X1597" s="7"/>
      <c r="Y1597" s="7"/>
      <c r="Z1597" s="7"/>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7"/>
      <c r="AX1597" s="7"/>
      <c r="AY1597" s="7"/>
      <c r="AZ1597" s="7"/>
      <c r="BA1597" s="7"/>
      <c r="BB1597" s="7"/>
      <c r="BC1597" s="7"/>
      <c r="BD1597" s="7"/>
      <c r="BE1597" s="7"/>
      <c r="BF1597" s="7"/>
      <c r="BG1597" s="7"/>
    </row>
    <row r="1598" customHeight="1" spans="1:59">
      <c r="A1598" s="9"/>
      <c r="B1598" s="5"/>
      <c r="C1598" s="5"/>
      <c r="D1598" s="5"/>
      <c r="E1598" s="7"/>
      <c r="F1598" s="8"/>
      <c r="G1598" s="8"/>
      <c r="H1598" s="8"/>
      <c r="I1598" s="14"/>
      <c r="J1598" s="14"/>
      <c r="K1598" s="14"/>
      <c r="L1598" s="14"/>
      <c r="M1598" s="7"/>
      <c r="N1598" s="8"/>
      <c r="O1598" s="8"/>
      <c r="P1598" s="8"/>
      <c r="Q1598" s="7"/>
      <c r="R1598" s="16"/>
      <c r="S1598" s="17"/>
      <c r="T1598" s="8"/>
      <c r="U1598" s="8"/>
      <c r="V1598" s="8"/>
      <c r="W1598" s="7"/>
      <c r="X1598" s="7"/>
      <c r="Y1598" s="7"/>
      <c r="Z1598" s="7"/>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7"/>
      <c r="AX1598" s="7"/>
      <c r="AY1598" s="7"/>
      <c r="AZ1598" s="7"/>
      <c r="BA1598" s="7"/>
      <c r="BB1598" s="7"/>
      <c r="BC1598" s="7"/>
      <c r="BD1598" s="7"/>
      <c r="BE1598" s="7"/>
      <c r="BF1598" s="7"/>
      <c r="BG1598" s="7"/>
    </row>
    <row r="1599" customHeight="1" spans="1:59">
      <c r="A1599" s="9"/>
      <c r="B1599" s="5"/>
      <c r="C1599" s="5"/>
      <c r="D1599" s="5"/>
      <c r="E1599" s="7"/>
      <c r="F1599" s="8"/>
      <c r="G1599" s="8"/>
      <c r="H1599" s="8"/>
      <c r="I1599" s="14"/>
      <c r="J1599" s="14"/>
      <c r="K1599" s="14"/>
      <c r="L1599" s="14"/>
      <c r="M1599" s="7"/>
      <c r="N1599" s="8"/>
      <c r="O1599" s="8"/>
      <c r="P1599" s="8"/>
      <c r="Q1599" s="7"/>
      <c r="R1599" s="16"/>
      <c r="S1599" s="17"/>
      <c r="T1599" s="8"/>
      <c r="U1599" s="8"/>
      <c r="V1599" s="8"/>
      <c r="W1599" s="7"/>
      <c r="X1599" s="7"/>
      <c r="Y1599" s="7"/>
      <c r="Z1599" s="7"/>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7"/>
      <c r="AX1599" s="7"/>
      <c r="AY1599" s="7"/>
      <c r="AZ1599" s="7"/>
      <c r="BA1599" s="7"/>
      <c r="BB1599" s="7"/>
      <c r="BC1599" s="7"/>
      <c r="BD1599" s="7"/>
      <c r="BE1599" s="7"/>
      <c r="BF1599" s="7"/>
      <c r="BG1599" s="7"/>
    </row>
    <row r="1600" customHeight="1" spans="1:59">
      <c r="A1600" s="9"/>
      <c r="B1600" s="5"/>
      <c r="C1600" s="5"/>
      <c r="D1600" s="5"/>
      <c r="E1600" s="7"/>
      <c r="F1600" s="8"/>
      <c r="G1600" s="8"/>
      <c r="H1600" s="8"/>
      <c r="I1600" s="14"/>
      <c r="J1600" s="14"/>
      <c r="K1600" s="14"/>
      <c r="L1600" s="14"/>
      <c r="M1600" s="7"/>
      <c r="N1600" s="8"/>
      <c r="O1600" s="8"/>
      <c r="P1600" s="8"/>
      <c r="Q1600" s="7"/>
      <c r="R1600" s="16"/>
      <c r="S1600" s="17"/>
      <c r="T1600" s="8"/>
      <c r="U1600" s="8"/>
      <c r="V1600" s="8"/>
      <c r="W1600" s="7"/>
      <c r="X1600" s="7"/>
      <c r="Y1600" s="7"/>
      <c r="Z1600" s="7"/>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7"/>
      <c r="AX1600" s="7"/>
      <c r="AY1600" s="7"/>
      <c r="AZ1600" s="7"/>
      <c r="BA1600" s="7"/>
      <c r="BB1600" s="7"/>
      <c r="BC1600" s="7"/>
      <c r="BD1600" s="7"/>
      <c r="BE1600" s="7"/>
      <c r="BF1600" s="7"/>
      <c r="BG1600" s="7"/>
    </row>
    <row r="1601" customHeight="1" spans="1:59">
      <c r="A1601" s="9"/>
      <c r="B1601" s="5"/>
      <c r="C1601" s="5"/>
      <c r="D1601" s="5"/>
      <c r="E1601" s="7"/>
      <c r="F1601" s="8"/>
      <c r="G1601" s="8"/>
      <c r="H1601" s="8"/>
      <c r="I1601" s="14"/>
      <c r="J1601" s="14"/>
      <c r="K1601" s="14"/>
      <c r="L1601" s="14"/>
      <c r="M1601" s="7"/>
      <c r="N1601" s="8"/>
      <c r="O1601" s="8"/>
      <c r="P1601" s="8"/>
      <c r="Q1601" s="7"/>
      <c r="R1601" s="16"/>
      <c r="S1601" s="17"/>
      <c r="T1601" s="8"/>
      <c r="U1601" s="8"/>
      <c r="V1601" s="8"/>
      <c r="W1601" s="7"/>
      <c r="X1601" s="7"/>
      <c r="Y1601" s="7"/>
      <c r="Z1601" s="7"/>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7"/>
      <c r="AX1601" s="7"/>
      <c r="AY1601" s="7"/>
      <c r="AZ1601" s="7"/>
      <c r="BA1601" s="7"/>
      <c r="BB1601" s="7"/>
      <c r="BC1601" s="7"/>
      <c r="BD1601" s="7"/>
      <c r="BE1601" s="7"/>
      <c r="BF1601" s="7"/>
      <c r="BG1601" s="7"/>
    </row>
    <row r="1602" customHeight="1" spans="1:59">
      <c r="A1602" s="9"/>
      <c r="B1602" s="5"/>
      <c r="C1602" s="5"/>
      <c r="D1602" s="5"/>
      <c r="E1602" s="7"/>
      <c r="F1602" s="8"/>
      <c r="G1602" s="8"/>
      <c r="H1602" s="8"/>
      <c r="I1602" s="14"/>
      <c r="J1602" s="14"/>
      <c r="K1602" s="14"/>
      <c r="L1602" s="14"/>
      <c r="M1602" s="7"/>
      <c r="N1602" s="8"/>
      <c r="O1602" s="8"/>
      <c r="P1602" s="8"/>
      <c r="Q1602" s="7"/>
      <c r="R1602" s="16"/>
      <c r="S1602" s="17"/>
      <c r="T1602" s="8"/>
      <c r="U1602" s="8"/>
      <c r="V1602" s="8"/>
      <c r="W1602" s="7"/>
      <c r="X1602" s="7"/>
      <c r="Y1602" s="7"/>
      <c r="Z1602" s="7"/>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7"/>
      <c r="AX1602" s="7"/>
      <c r="AY1602" s="7"/>
      <c r="AZ1602" s="7"/>
      <c r="BA1602" s="7"/>
      <c r="BB1602" s="7"/>
      <c r="BC1602" s="7"/>
      <c r="BD1602" s="7"/>
      <c r="BE1602" s="7"/>
      <c r="BF1602" s="7"/>
      <c r="BG1602" s="7"/>
    </row>
    <row r="1603" customHeight="1" spans="1:59">
      <c r="A1603" s="9"/>
      <c r="B1603" s="5"/>
      <c r="C1603" s="5"/>
      <c r="D1603" s="5"/>
      <c r="E1603" s="7"/>
      <c r="F1603" s="8"/>
      <c r="G1603" s="8"/>
      <c r="H1603" s="8"/>
      <c r="I1603" s="14"/>
      <c r="J1603" s="14"/>
      <c r="K1603" s="14"/>
      <c r="L1603" s="14"/>
      <c r="M1603" s="7"/>
      <c r="N1603" s="8"/>
      <c r="O1603" s="8"/>
      <c r="P1603" s="8"/>
      <c r="Q1603" s="7"/>
      <c r="R1603" s="16"/>
      <c r="S1603" s="17"/>
      <c r="T1603" s="8"/>
      <c r="U1603" s="8"/>
      <c r="V1603" s="8"/>
      <c r="W1603" s="7"/>
      <c r="X1603" s="7"/>
      <c r="Y1603" s="7"/>
      <c r="Z1603" s="7"/>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7"/>
      <c r="AX1603" s="7"/>
      <c r="AY1603" s="7"/>
      <c r="AZ1603" s="7"/>
      <c r="BA1603" s="7"/>
      <c r="BB1603" s="7"/>
      <c r="BC1603" s="7"/>
      <c r="BD1603" s="7"/>
      <c r="BE1603" s="7"/>
      <c r="BF1603" s="7"/>
      <c r="BG1603" s="7"/>
    </row>
    <row r="1604" customHeight="1" spans="1:59">
      <c r="A1604" s="9"/>
      <c r="B1604" s="5"/>
      <c r="C1604" s="5"/>
      <c r="D1604" s="5"/>
      <c r="E1604" s="7"/>
      <c r="F1604" s="8"/>
      <c r="G1604" s="8"/>
      <c r="H1604" s="8"/>
      <c r="I1604" s="14"/>
      <c r="J1604" s="14"/>
      <c r="K1604" s="14"/>
      <c r="L1604" s="14"/>
      <c r="M1604" s="7"/>
      <c r="N1604" s="8"/>
      <c r="O1604" s="8"/>
      <c r="P1604" s="8"/>
      <c r="Q1604" s="7"/>
      <c r="R1604" s="16"/>
      <c r="S1604" s="17"/>
      <c r="T1604" s="8"/>
      <c r="U1604" s="8"/>
      <c r="V1604" s="8"/>
      <c r="W1604" s="7"/>
      <c r="X1604" s="7"/>
      <c r="Y1604" s="7"/>
      <c r="Z1604" s="7"/>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7"/>
      <c r="AX1604" s="7"/>
      <c r="AY1604" s="7"/>
      <c r="AZ1604" s="7"/>
      <c r="BA1604" s="7"/>
      <c r="BB1604" s="7"/>
      <c r="BC1604" s="7"/>
      <c r="BD1604" s="7"/>
      <c r="BE1604" s="7"/>
      <c r="BF1604" s="7"/>
      <c r="BG1604" s="7"/>
    </row>
    <row r="1605" customHeight="1" spans="1:59">
      <c r="A1605" s="9"/>
      <c r="B1605" s="5"/>
      <c r="C1605" s="5"/>
      <c r="D1605" s="5"/>
      <c r="E1605" s="7"/>
      <c r="F1605" s="8"/>
      <c r="G1605" s="8"/>
      <c r="H1605" s="8"/>
      <c r="I1605" s="14"/>
      <c r="J1605" s="14"/>
      <c r="K1605" s="14"/>
      <c r="L1605" s="14"/>
      <c r="M1605" s="7"/>
      <c r="N1605" s="8"/>
      <c r="O1605" s="8"/>
      <c r="P1605" s="8"/>
      <c r="Q1605" s="7"/>
      <c r="R1605" s="16"/>
      <c r="S1605" s="17"/>
      <c r="T1605" s="8"/>
      <c r="U1605" s="8"/>
      <c r="V1605" s="8"/>
      <c r="W1605" s="7"/>
      <c r="X1605" s="7"/>
      <c r="Y1605" s="7"/>
      <c r="Z1605" s="7"/>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7"/>
      <c r="AX1605" s="7"/>
      <c r="AY1605" s="7"/>
      <c r="AZ1605" s="7"/>
      <c r="BA1605" s="7"/>
      <c r="BB1605" s="7"/>
      <c r="BC1605" s="7"/>
      <c r="BD1605" s="7"/>
      <c r="BE1605" s="7"/>
      <c r="BF1605" s="7"/>
      <c r="BG1605" s="7"/>
    </row>
    <row r="1606" customHeight="1" spans="1:59">
      <c r="A1606" s="9"/>
      <c r="B1606" s="5"/>
      <c r="C1606" s="5"/>
      <c r="D1606" s="5"/>
      <c r="E1606" s="7"/>
      <c r="F1606" s="8"/>
      <c r="G1606" s="8"/>
      <c r="H1606" s="8"/>
      <c r="I1606" s="14"/>
      <c r="J1606" s="14"/>
      <c r="K1606" s="14"/>
      <c r="L1606" s="14"/>
      <c r="M1606" s="7"/>
      <c r="N1606" s="8"/>
      <c r="O1606" s="8"/>
      <c r="P1606" s="8"/>
      <c r="Q1606" s="7"/>
      <c r="R1606" s="16"/>
      <c r="S1606" s="17"/>
      <c r="T1606" s="8"/>
      <c r="U1606" s="8"/>
      <c r="V1606" s="8"/>
      <c r="W1606" s="7"/>
      <c r="X1606" s="7"/>
      <c r="Y1606" s="7"/>
      <c r="Z1606" s="7"/>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7"/>
      <c r="AX1606" s="7"/>
      <c r="AY1606" s="7"/>
      <c r="AZ1606" s="7"/>
      <c r="BA1606" s="7"/>
      <c r="BB1606" s="7"/>
      <c r="BC1606" s="7"/>
      <c r="BD1606" s="7"/>
      <c r="BE1606" s="7"/>
      <c r="BF1606" s="7"/>
      <c r="BG1606" s="7"/>
    </row>
    <row r="1607" customHeight="1" spans="1:59">
      <c r="A1607" s="9"/>
      <c r="B1607" s="5"/>
      <c r="C1607" s="5"/>
      <c r="D1607" s="5"/>
      <c r="E1607" s="7"/>
      <c r="F1607" s="8"/>
      <c r="G1607" s="8"/>
      <c r="H1607" s="8"/>
      <c r="I1607" s="14"/>
      <c r="J1607" s="14"/>
      <c r="K1607" s="14"/>
      <c r="L1607" s="14"/>
      <c r="M1607" s="7"/>
      <c r="N1607" s="8"/>
      <c r="O1607" s="8"/>
      <c r="P1607" s="8"/>
      <c r="Q1607" s="7"/>
      <c r="R1607" s="16"/>
      <c r="S1607" s="17"/>
      <c r="T1607" s="8"/>
      <c r="U1607" s="8"/>
      <c r="V1607" s="8"/>
      <c r="W1607" s="7"/>
      <c r="X1607" s="7"/>
      <c r="Y1607" s="7"/>
      <c r="Z1607" s="7"/>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7"/>
      <c r="AX1607" s="7"/>
      <c r="AY1607" s="7"/>
      <c r="AZ1607" s="7"/>
      <c r="BA1607" s="7"/>
      <c r="BB1607" s="7"/>
      <c r="BC1607" s="7"/>
      <c r="BD1607" s="7"/>
      <c r="BE1607" s="7"/>
      <c r="BF1607" s="7"/>
      <c r="BG1607" s="7"/>
    </row>
    <row r="1608" customHeight="1" spans="1:59">
      <c r="A1608" s="9"/>
      <c r="B1608" s="5"/>
      <c r="C1608" s="5"/>
      <c r="D1608" s="5"/>
      <c r="E1608" s="7"/>
      <c r="F1608" s="8"/>
      <c r="G1608" s="8"/>
      <c r="H1608" s="8"/>
      <c r="I1608" s="14"/>
      <c r="J1608" s="14"/>
      <c r="K1608" s="14"/>
      <c r="L1608" s="14"/>
      <c r="M1608" s="7"/>
      <c r="N1608" s="8"/>
      <c r="O1608" s="8"/>
      <c r="P1608" s="8"/>
      <c r="Q1608" s="7"/>
      <c r="R1608" s="16"/>
      <c r="S1608" s="17"/>
      <c r="T1608" s="8"/>
      <c r="U1608" s="8"/>
      <c r="V1608" s="8"/>
      <c r="W1608" s="7"/>
      <c r="X1608" s="7"/>
      <c r="Y1608" s="7"/>
      <c r="Z1608" s="7"/>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7"/>
      <c r="AX1608" s="7"/>
      <c r="AY1608" s="7"/>
      <c r="AZ1608" s="7"/>
      <c r="BA1608" s="7"/>
      <c r="BB1608" s="7"/>
      <c r="BC1608" s="7"/>
      <c r="BD1608" s="7"/>
      <c r="BE1608" s="7"/>
      <c r="BF1608" s="7"/>
      <c r="BG1608" s="7"/>
    </row>
    <row r="1609" customHeight="1" spans="1:59">
      <c r="A1609" s="9"/>
      <c r="B1609" s="5"/>
      <c r="C1609" s="5"/>
      <c r="D1609" s="5"/>
      <c r="E1609" s="7"/>
      <c r="F1609" s="8"/>
      <c r="G1609" s="8"/>
      <c r="H1609" s="8"/>
      <c r="I1609" s="14"/>
      <c r="J1609" s="14"/>
      <c r="K1609" s="14"/>
      <c r="L1609" s="14"/>
      <c r="M1609" s="7"/>
      <c r="N1609" s="8"/>
      <c r="O1609" s="8"/>
      <c r="P1609" s="8"/>
      <c r="Q1609" s="7"/>
      <c r="R1609" s="16"/>
      <c r="S1609" s="17"/>
      <c r="T1609" s="8"/>
      <c r="U1609" s="8"/>
      <c r="V1609" s="8"/>
      <c r="W1609" s="7"/>
      <c r="X1609" s="7"/>
      <c r="Y1609" s="7"/>
      <c r="Z1609" s="7"/>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7"/>
      <c r="AX1609" s="7"/>
      <c r="AY1609" s="7"/>
      <c r="AZ1609" s="7"/>
      <c r="BA1609" s="7"/>
      <c r="BB1609" s="7"/>
      <c r="BC1609" s="7"/>
      <c r="BD1609" s="7"/>
      <c r="BE1609" s="7"/>
      <c r="BF1609" s="7"/>
      <c r="BG1609" s="7"/>
    </row>
    <row r="1610" customHeight="1" spans="1:59">
      <c r="A1610" s="9"/>
      <c r="B1610" s="5"/>
      <c r="C1610" s="5"/>
      <c r="D1610" s="5"/>
      <c r="E1610" s="7"/>
      <c r="F1610" s="8"/>
      <c r="G1610" s="8"/>
      <c r="H1610" s="8"/>
      <c r="I1610" s="14"/>
      <c r="J1610" s="14"/>
      <c r="K1610" s="14"/>
      <c r="L1610" s="14"/>
      <c r="M1610" s="7"/>
      <c r="N1610" s="8"/>
      <c r="O1610" s="8"/>
      <c r="P1610" s="8"/>
      <c r="Q1610" s="7"/>
      <c r="R1610" s="16"/>
      <c r="S1610" s="17"/>
      <c r="T1610" s="8"/>
      <c r="U1610" s="8"/>
      <c r="V1610" s="8"/>
      <c r="W1610" s="7"/>
      <c r="X1610" s="7"/>
      <c r="Y1610" s="7"/>
      <c r="Z1610" s="7"/>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7"/>
      <c r="AX1610" s="7"/>
      <c r="AY1610" s="7"/>
      <c r="AZ1610" s="7"/>
      <c r="BA1610" s="7"/>
      <c r="BB1610" s="7"/>
      <c r="BC1610" s="7"/>
      <c r="BD1610" s="7"/>
      <c r="BE1610" s="7"/>
      <c r="BF1610" s="7"/>
      <c r="BG1610" s="7"/>
    </row>
    <row r="1611" customHeight="1" spans="1:59">
      <c r="A1611" s="9"/>
      <c r="B1611" s="5"/>
      <c r="C1611" s="5"/>
      <c r="D1611" s="5"/>
      <c r="E1611" s="7"/>
      <c r="F1611" s="8"/>
      <c r="G1611" s="8"/>
      <c r="H1611" s="8"/>
      <c r="I1611" s="14"/>
      <c r="J1611" s="14"/>
      <c r="K1611" s="14"/>
      <c r="L1611" s="14"/>
      <c r="M1611" s="7"/>
      <c r="N1611" s="8"/>
      <c r="O1611" s="8"/>
      <c r="P1611" s="8"/>
      <c r="Q1611" s="7"/>
      <c r="R1611" s="16"/>
      <c r="S1611" s="17"/>
      <c r="T1611" s="8"/>
      <c r="U1611" s="8"/>
      <c r="V1611" s="8"/>
      <c r="W1611" s="7"/>
      <c r="X1611" s="7"/>
      <c r="Y1611" s="7"/>
      <c r="Z1611" s="7"/>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7"/>
      <c r="BA1611" s="7"/>
      <c r="BB1611" s="7"/>
      <c r="BC1611" s="7"/>
      <c r="BD1611" s="7"/>
      <c r="BE1611" s="7"/>
      <c r="BF1611" s="7"/>
      <c r="BG1611" s="7"/>
    </row>
    <row r="1612" customHeight="1" spans="1:59">
      <c r="A1612" s="9"/>
      <c r="B1612" s="5"/>
      <c r="C1612" s="5"/>
      <c r="D1612" s="5"/>
      <c r="E1612" s="7"/>
      <c r="F1612" s="8"/>
      <c r="G1612" s="8"/>
      <c r="H1612" s="8"/>
      <c r="I1612" s="14"/>
      <c r="J1612" s="14"/>
      <c r="K1612" s="14"/>
      <c r="L1612" s="14"/>
      <c r="M1612" s="7"/>
      <c r="N1612" s="8"/>
      <c r="O1612" s="8"/>
      <c r="P1612" s="8"/>
      <c r="Q1612" s="7"/>
      <c r="R1612" s="16"/>
      <c r="S1612" s="17"/>
      <c r="T1612" s="8"/>
      <c r="U1612" s="8"/>
      <c r="V1612" s="8"/>
      <c r="W1612" s="7"/>
      <c r="X1612" s="7"/>
      <c r="Y1612" s="7"/>
      <c r="Z1612" s="7"/>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7"/>
      <c r="AX1612" s="7"/>
      <c r="AY1612" s="7"/>
      <c r="AZ1612" s="7"/>
      <c r="BA1612" s="7"/>
      <c r="BB1612" s="7"/>
      <c r="BC1612" s="7"/>
      <c r="BD1612" s="7"/>
      <c r="BE1612" s="7"/>
      <c r="BF1612" s="7"/>
      <c r="BG1612" s="7"/>
    </row>
    <row r="1613" customHeight="1" spans="1:59">
      <c r="A1613" s="9"/>
      <c r="B1613" s="5"/>
      <c r="C1613" s="5"/>
      <c r="D1613" s="5"/>
      <c r="E1613" s="7"/>
      <c r="F1613" s="8"/>
      <c r="G1613" s="8"/>
      <c r="H1613" s="8"/>
      <c r="I1613" s="14"/>
      <c r="J1613" s="14"/>
      <c r="K1613" s="14"/>
      <c r="L1613" s="14"/>
      <c r="M1613" s="7"/>
      <c r="N1613" s="8"/>
      <c r="O1613" s="8"/>
      <c r="P1613" s="8"/>
      <c r="Q1613" s="7"/>
      <c r="R1613" s="16"/>
      <c r="S1613" s="17"/>
      <c r="T1613" s="8"/>
      <c r="U1613" s="8"/>
      <c r="V1613" s="8"/>
      <c r="W1613" s="7"/>
      <c r="X1613" s="7"/>
      <c r="Y1613" s="7"/>
      <c r="Z1613" s="7"/>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7"/>
      <c r="AX1613" s="7"/>
      <c r="AY1613" s="7"/>
      <c r="AZ1613" s="7"/>
      <c r="BA1613" s="7"/>
      <c r="BB1613" s="7"/>
      <c r="BC1613" s="7"/>
      <c r="BD1613" s="7"/>
      <c r="BE1613" s="7"/>
      <c r="BF1613" s="7"/>
      <c r="BG1613" s="7"/>
    </row>
    <row r="1614" customHeight="1" spans="1:59">
      <c r="A1614" s="9"/>
      <c r="B1614" s="5"/>
      <c r="C1614" s="5"/>
      <c r="D1614" s="5"/>
      <c r="E1614" s="7"/>
      <c r="F1614" s="8"/>
      <c r="G1614" s="8"/>
      <c r="H1614" s="8"/>
      <c r="I1614" s="14"/>
      <c r="J1614" s="14"/>
      <c r="K1614" s="14"/>
      <c r="L1614" s="14"/>
      <c r="M1614" s="7"/>
      <c r="N1614" s="8"/>
      <c r="O1614" s="8"/>
      <c r="P1614" s="8"/>
      <c r="Q1614" s="7"/>
      <c r="R1614" s="16"/>
      <c r="S1614" s="17"/>
      <c r="T1614" s="8"/>
      <c r="U1614" s="8"/>
      <c r="V1614" s="8"/>
      <c r="W1614" s="7"/>
      <c r="X1614" s="7"/>
      <c r="Y1614" s="7"/>
      <c r="Z1614" s="7"/>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7"/>
      <c r="AX1614" s="7"/>
      <c r="AY1614" s="7"/>
      <c r="AZ1614" s="7"/>
      <c r="BA1614" s="7"/>
      <c r="BB1614" s="7"/>
      <c r="BC1614" s="7"/>
      <c r="BD1614" s="7"/>
      <c r="BE1614" s="7"/>
      <c r="BF1614" s="7"/>
      <c r="BG1614" s="7"/>
    </row>
    <row r="1615" customHeight="1" spans="1:59">
      <c r="A1615" s="9"/>
      <c r="B1615" s="5"/>
      <c r="C1615" s="5"/>
      <c r="D1615" s="5"/>
      <c r="E1615" s="7"/>
      <c r="F1615" s="8"/>
      <c r="G1615" s="8"/>
      <c r="H1615" s="8"/>
      <c r="I1615" s="14"/>
      <c r="J1615" s="14"/>
      <c r="K1615" s="14"/>
      <c r="L1615" s="14"/>
      <c r="M1615" s="7"/>
      <c r="N1615" s="8"/>
      <c r="O1615" s="8"/>
      <c r="P1615" s="8"/>
      <c r="Q1615" s="7"/>
      <c r="R1615" s="16"/>
      <c r="S1615" s="17"/>
      <c r="T1615" s="8"/>
      <c r="U1615" s="8"/>
      <c r="V1615" s="8"/>
      <c r="W1615" s="7"/>
      <c r="X1615" s="7"/>
      <c r="Y1615" s="7"/>
      <c r="Z1615" s="7"/>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7"/>
      <c r="AX1615" s="7"/>
      <c r="AY1615" s="7"/>
      <c r="AZ1615" s="7"/>
      <c r="BA1615" s="7"/>
      <c r="BB1615" s="7"/>
      <c r="BC1615" s="7"/>
      <c r="BD1615" s="7"/>
      <c r="BE1615" s="7"/>
      <c r="BF1615" s="7"/>
      <c r="BG1615" s="7"/>
    </row>
    <row r="1616" customHeight="1" spans="1:59">
      <c r="A1616" s="9"/>
      <c r="B1616" s="5"/>
      <c r="C1616" s="5"/>
      <c r="D1616" s="5"/>
      <c r="E1616" s="7"/>
      <c r="F1616" s="8"/>
      <c r="G1616" s="8"/>
      <c r="H1616" s="8"/>
      <c r="I1616" s="14"/>
      <c r="J1616" s="14"/>
      <c r="K1616" s="14"/>
      <c r="L1616" s="14"/>
      <c r="M1616" s="7"/>
      <c r="N1616" s="8"/>
      <c r="O1616" s="8"/>
      <c r="P1616" s="8"/>
      <c r="Q1616" s="7"/>
      <c r="R1616" s="16"/>
      <c r="S1616" s="17"/>
      <c r="T1616" s="8"/>
      <c r="U1616" s="8"/>
      <c r="V1616" s="8"/>
      <c r="W1616" s="7"/>
      <c r="X1616" s="7"/>
      <c r="Y1616" s="7"/>
      <c r="Z1616" s="7"/>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7"/>
      <c r="AX1616" s="7"/>
      <c r="AY1616" s="7"/>
      <c r="AZ1616" s="7"/>
      <c r="BA1616" s="7"/>
      <c r="BB1616" s="7"/>
      <c r="BC1616" s="7"/>
      <c r="BD1616" s="7"/>
      <c r="BE1616" s="7"/>
      <c r="BF1616" s="7"/>
      <c r="BG1616" s="7"/>
    </row>
    <row r="1617" customHeight="1" spans="1:59">
      <c r="A1617" s="9"/>
      <c r="B1617" s="5"/>
      <c r="C1617" s="5"/>
      <c r="D1617" s="5"/>
      <c r="E1617" s="7"/>
      <c r="F1617" s="8"/>
      <c r="G1617" s="8"/>
      <c r="H1617" s="8"/>
      <c r="I1617" s="14"/>
      <c r="J1617" s="14"/>
      <c r="K1617" s="14"/>
      <c r="L1617" s="14"/>
      <c r="M1617" s="7"/>
      <c r="N1617" s="8"/>
      <c r="O1617" s="8"/>
      <c r="P1617" s="8"/>
      <c r="Q1617" s="7"/>
      <c r="R1617" s="16"/>
      <c r="S1617" s="17"/>
      <c r="T1617" s="8"/>
      <c r="U1617" s="8"/>
      <c r="V1617" s="8"/>
      <c r="W1617" s="7"/>
      <c r="X1617" s="7"/>
      <c r="Y1617" s="7"/>
      <c r="Z1617" s="7"/>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7"/>
      <c r="AX1617" s="7"/>
      <c r="AY1617" s="7"/>
      <c r="AZ1617" s="7"/>
      <c r="BA1617" s="7"/>
      <c r="BB1617" s="7"/>
      <c r="BC1617" s="7"/>
      <c r="BD1617" s="7"/>
      <c r="BE1617" s="7"/>
      <c r="BF1617" s="7"/>
      <c r="BG1617" s="7"/>
    </row>
    <row r="1618" customHeight="1" spans="1:59">
      <c r="A1618" s="9"/>
      <c r="B1618" s="5"/>
      <c r="C1618" s="5"/>
      <c r="D1618" s="5"/>
      <c r="E1618" s="7"/>
      <c r="F1618" s="8"/>
      <c r="G1618" s="8"/>
      <c r="H1618" s="8"/>
      <c r="I1618" s="14"/>
      <c r="J1618" s="14"/>
      <c r="K1618" s="14"/>
      <c r="L1618" s="14"/>
      <c r="M1618" s="7"/>
      <c r="N1618" s="8"/>
      <c r="O1618" s="8"/>
      <c r="P1618" s="8"/>
      <c r="Q1618" s="7"/>
      <c r="R1618" s="16"/>
      <c r="S1618" s="17"/>
      <c r="T1618" s="8"/>
      <c r="U1618" s="8"/>
      <c r="V1618" s="8"/>
      <c r="W1618" s="7"/>
      <c r="X1618" s="7"/>
      <c r="Y1618" s="7"/>
      <c r="Z1618" s="7"/>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7"/>
      <c r="AX1618" s="7"/>
      <c r="AY1618" s="7"/>
      <c r="AZ1618" s="7"/>
      <c r="BA1618" s="7"/>
      <c r="BB1618" s="7"/>
      <c r="BC1618" s="7"/>
      <c r="BD1618" s="7"/>
      <c r="BE1618" s="7"/>
      <c r="BF1618" s="7"/>
      <c r="BG1618" s="7"/>
    </row>
    <row r="1619" customHeight="1" spans="1:59">
      <c r="A1619" s="9"/>
      <c r="B1619" s="5"/>
      <c r="C1619" s="5"/>
      <c r="D1619" s="5"/>
      <c r="E1619" s="7"/>
      <c r="F1619" s="8"/>
      <c r="G1619" s="8"/>
      <c r="H1619" s="8"/>
      <c r="I1619" s="14"/>
      <c r="J1619" s="14"/>
      <c r="K1619" s="14"/>
      <c r="L1619" s="14"/>
      <c r="M1619" s="7"/>
      <c r="N1619" s="8"/>
      <c r="O1619" s="8"/>
      <c r="P1619" s="8"/>
      <c r="Q1619" s="7"/>
      <c r="R1619" s="16"/>
      <c r="S1619" s="17"/>
      <c r="T1619" s="8"/>
      <c r="U1619" s="8"/>
      <c r="V1619" s="8"/>
      <c r="W1619" s="7"/>
      <c r="X1619" s="7"/>
      <c r="Y1619" s="7"/>
      <c r="Z1619" s="7"/>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7"/>
      <c r="AX1619" s="7"/>
      <c r="AY1619" s="7"/>
      <c r="AZ1619" s="7"/>
      <c r="BA1619" s="7"/>
      <c r="BB1619" s="7"/>
      <c r="BC1619" s="7"/>
      <c r="BD1619" s="7"/>
      <c r="BE1619" s="7"/>
      <c r="BF1619" s="7"/>
      <c r="BG1619" s="7"/>
    </row>
    <row r="1620" customHeight="1" spans="1:59">
      <c r="A1620" s="9"/>
      <c r="B1620" s="5"/>
      <c r="C1620" s="5"/>
      <c r="D1620" s="5"/>
      <c r="E1620" s="7"/>
      <c r="F1620" s="8"/>
      <c r="G1620" s="8"/>
      <c r="H1620" s="8"/>
      <c r="I1620" s="14"/>
      <c r="J1620" s="14"/>
      <c r="K1620" s="14"/>
      <c r="L1620" s="14"/>
      <c r="M1620" s="7"/>
      <c r="N1620" s="8"/>
      <c r="O1620" s="8"/>
      <c r="P1620" s="8"/>
      <c r="Q1620" s="7"/>
      <c r="R1620" s="16"/>
      <c r="S1620" s="17"/>
      <c r="T1620" s="8"/>
      <c r="U1620" s="8"/>
      <c r="V1620" s="8"/>
      <c r="W1620" s="7"/>
      <c r="X1620" s="7"/>
      <c r="Y1620" s="7"/>
      <c r="Z1620" s="7"/>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7"/>
      <c r="AX1620" s="7"/>
      <c r="AY1620" s="7"/>
      <c r="AZ1620" s="7"/>
      <c r="BA1620" s="7"/>
      <c r="BB1620" s="7"/>
      <c r="BC1620" s="7"/>
      <c r="BD1620" s="7"/>
      <c r="BE1620" s="7"/>
      <c r="BF1620" s="7"/>
      <c r="BG1620" s="7"/>
    </row>
    <row r="1621" customHeight="1" spans="1:59">
      <c r="A1621" s="9"/>
      <c r="B1621" s="5"/>
      <c r="C1621" s="5"/>
      <c r="D1621" s="5"/>
      <c r="E1621" s="7"/>
      <c r="F1621" s="8"/>
      <c r="G1621" s="8"/>
      <c r="H1621" s="8"/>
      <c r="I1621" s="14"/>
      <c r="J1621" s="14"/>
      <c r="K1621" s="14"/>
      <c r="L1621" s="14"/>
      <c r="M1621" s="7"/>
      <c r="N1621" s="8"/>
      <c r="O1621" s="8"/>
      <c r="P1621" s="8"/>
      <c r="Q1621" s="7"/>
      <c r="R1621" s="16"/>
      <c r="S1621" s="17"/>
      <c r="T1621" s="8"/>
      <c r="U1621" s="8"/>
      <c r="V1621" s="8"/>
      <c r="W1621" s="7"/>
      <c r="X1621" s="7"/>
      <c r="Y1621" s="7"/>
      <c r="Z1621" s="7"/>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7"/>
      <c r="AX1621" s="7"/>
      <c r="AY1621" s="7"/>
      <c r="AZ1621" s="7"/>
      <c r="BA1621" s="7"/>
      <c r="BB1621" s="7"/>
      <c r="BC1621" s="7"/>
      <c r="BD1621" s="7"/>
      <c r="BE1621" s="7"/>
      <c r="BF1621" s="7"/>
      <c r="BG1621" s="7"/>
    </row>
    <row r="1622" customHeight="1" spans="1:59">
      <c r="A1622" s="9"/>
      <c r="B1622" s="5"/>
      <c r="C1622" s="5"/>
      <c r="D1622" s="5"/>
      <c r="E1622" s="7"/>
      <c r="F1622" s="8"/>
      <c r="G1622" s="8"/>
      <c r="H1622" s="8"/>
      <c r="I1622" s="14"/>
      <c r="J1622" s="14"/>
      <c r="K1622" s="14"/>
      <c r="L1622" s="14"/>
      <c r="M1622" s="7"/>
      <c r="N1622" s="8"/>
      <c r="O1622" s="8"/>
      <c r="P1622" s="8"/>
      <c r="Q1622" s="7"/>
      <c r="R1622" s="16"/>
      <c r="S1622" s="17"/>
      <c r="T1622" s="8"/>
      <c r="U1622" s="8"/>
      <c r="V1622" s="8"/>
      <c r="W1622" s="7"/>
      <c r="X1622" s="7"/>
      <c r="Y1622" s="7"/>
      <c r="Z1622" s="7"/>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7"/>
      <c r="AX1622" s="7"/>
      <c r="AY1622" s="7"/>
      <c r="AZ1622" s="7"/>
      <c r="BA1622" s="7"/>
      <c r="BB1622" s="7"/>
      <c r="BC1622" s="7"/>
      <c r="BD1622" s="7"/>
      <c r="BE1622" s="7"/>
      <c r="BF1622" s="7"/>
      <c r="BG1622" s="7"/>
    </row>
    <row r="1623" customHeight="1" spans="1:59">
      <c r="A1623" s="9"/>
      <c r="B1623" s="5"/>
      <c r="C1623" s="5"/>
      <c r="D1623" s="5"/>
      <c r="E1623" s="7"/>
      <c r="F1623" s="8"/>
      <c r="G1623" s="8"/>
      <c r="H1623" s="8"/>
      <c r="I1623" s="14"/>
      <c r="J1623" s="14"/>
      <c r="K1623" s="14"/>
      <c r="L1623" s="14"/>
      <c r="M1623" s="7"/>
      <c r="N1623" s="8"/>
      <c r="O1623" s="8"/>
      <c r="P1623" s="8"/>
      <c r="Q1623" s="7"/>
      <c r="R1623" s="16"/>
      <c r="S1623" s="17"/>
      <c r="T1623" s="8"/>
      <c r="U1623" s="8"/>
      <c r="V1623" s="8"/>
      <c r="W1623" s="7"/>
      <c r="X1623" s="7"/>
      <c r="Y1623" s="7"/>
      <c r="Z1623" s="7"/>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7"/>
      <c r="AX1623" s="7"/>
      <c r="AY1623" s="7"/>
      <c r="AZ1623" s="7"/>
      <c r="BA1623" s="7"/>
      <c r="BB1623" s="7"/>
      <c r="BC1623" s="7"/>
      <c r="BD1623" s="7"/>
      <c r="BE1623" s="7"/>
      <c r="BF1623" s="7"/>
      <c r="BG1623" s="7"/>
    </row>
    <row r="1624" customHeight="1" spans="1:59">
      <c r="A1624" s="9"/>
      <c r="B1624" s="5"/>
      <c r="C1624" s="5"/>
      <c r="D1624" s="5"/>
      <c r="E1624" s="7"/>
      <c r="F1624" s="8"/>
      <c r="G1624" s="8"/>
      <c r="H1624" s="8"/>
      <c r="I1624" s="14"/>
      <c r="J1624" s="14"/>
      <c r="K1624" s="14"/>
      <c r="L1624" s="14"/>
      <c r="M1624" s="7"/>
      <c r="N1624" s="8"/>
      <c r="O1624" s="8"/>
      <c r="P1624" s="8"/>
      <c r="Q1624" s="7"/>
      <c r="R1624" s="16"/>
      <c r="S1624" s="17"/>
      <c r="T1624" s="8"/>
      <c r="U1624" s="8"/>
      <c r="V1624" s="8"/>
      <c r="W1624" s="7"/>
      <c r="X1624" s="7"/>
      <c r="Y1624" s="7"/>
      <c r="Z1624" s="7"/>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7"/>
      <c r="AX1624" s="7"/>
      <c r="AY1624" s="7"/>
      <c r="AZ1624" s="7"/>
      <c r="BA1624" s="7"/>
      <c r="BB1624" s="7"/>
      <c r="BC1624" s="7"/>
      <c r="BD1624" s="7"/>
      <c r="BE1624" s="7"/>
      <c r="BF1624" s="7"/>
      <c r="BG1624" s="7"/>
    </row>
    <row r="1625" customHeight="1" spans="1:59">
      <c r="A1625" s="9"/>
      <c r="B1625" s="5"/>
      <c r="C1625" s="5"/>
      <c r="D1625" s="5"/>
      <c r="E1625" s="7"/>
      <c r="F1625" s="8"/>
      <c r="G1625" s="8"/>
      <c r="H1625" s="8"/>
      <c r="I1625" s="14"/>
      <c r="J1625" s="14"/>
      <c r="K1625" s="14"/>
      <c r="L1625" s="14"/>
      <c r="M1625" s="7"/>
      <c r="N1625" s="8"/>
      <c r="O1625" s="8"/>
      <c r="P1625" s="8"/>
      <c r="Q1625" s="7"/>
      <c r="R1625" s="16"/>
      <c r="S1625" s="17"/>
      <c r="T1625" s="8"/>
      <c r="U1625" s="8"/>
      <c r="V1625" s="8"/>
      <c r="W1625" s="7"/>
      <c r="X1625" s="7"/>
      <c r="Y1625" s="7"/>
      <c r="Z1625" s="7"/>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7"/>
      <c r="AX1625" s="7"/>
      <c r="AY1625" s="7"/>
      <c r="AZ1625" s="7"/>
      <c r="BA1625" s="7"/>
      <c r="BB1625" s="7"/>
      <c r="BC1625" s="7"/>
      <c r="BD1625" s="7"/>
      <c r="BE1625" s="7"/>
      <c r="BF1625" s="7"/>
      <c r="BG1625" s="7"/>
    </row>
    <row r="1626" customHeight="1" spans="1:59">
      <c r="A1626" s="9"/>
      <c r="B1626" s="5"/>
      <c r="C1626" s="5"/>
      <c r="D1626" s="5"/>
      <c r="E1626" s="7"/>
      <c r="F1626" s="8"/>
      <c r="G1626" s="8"/>
      <c r="H1626" s="8"/>
      <c r="I1626" s="14"/>
      <c r="J1626" s="14"/>
      <c r="K1626" s="14"/>
      <c r="L1626" s="14"/>
      <c r="M1626" s="7"/>
      <c r="N1626" s="8"/>
      <c r="O1626" s="8"/>
      <c r="P1626" s="8"/>
      <c r="Q1626" s="7"/>
      <c r="R1626" s="16"/>
      <c r="S1626" s="17"/>
      <c r="T1626" s="8"/>
      <c r="U1626" s="8"/>
      <c r="V1626" s="8"/>
      <c r="W1626" s="7"/>
      <c r="X1626" s="7"/>
      <c r="Y1626" s="7"/>
      <c r="Z1626" s="7"/>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7"/>
      <c r="BD1626" s="7"/>
      <c r="BE1626" s="7"/>
      <c r="BF1626" s="7"/>
      <c r="BG1626" s="7"/>
    </row>
    <row r="1627" customHeight="1" spans="1:59">
      <c r="A1627" s="9"/>
      <c r="B1627" s="5"/>
      <c r="C1627" s="5"/>
      <c r="D1627" s="5"/>
      <c r="E1627" s="7"/>
      <c r="F1627" s="8"/>
      <c r="G1627" s="8"/>
      <c r="H1627" s="8"/>
      <c r="I1627" s="14"/>
      <c r="J1627" s="14"/>
      <c r="K1627" s="14"/>
      <c r="L1627" s="14"/>
      <c r="M1627" s="7"/>
      <c r="N1627" s="8"/>
      <c r="O1627" s="8"/>
      <c r="P1627" s="8"/>
      <c r="Q1627" s="7"/>
      <c r="R1627" s="16"/>
      <c r="S1627" s="17"/>
      <c r="T1627" s="8"/>
      <c r="U1627" s="8"/>
      <c r="V1627" s="8"/>
      <c r="W1627" s="7"/>
      <c r="X1627" s="7"/>
      <c r="Y1627" s="7"/>
      <c r="Z1627" s="7"/>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7"/>
      <c r="AX1627" s="7"/>
      <c r="AY1627" s="7"/>
      <c r="AZ1627" s="7"/>
      <c r="BA1627" s="7"/>
      <c r="BB1627" s="7"/>
      <c r="BC1627" s="7"/>
      <c r="BD1627" s="7"/>
      <c r="BE1627" s="7"/>
      <c r="BF1627" s="7"/>
      <c r="BG1627" s="7"/>
    </row>
    <row r="1628" customHeight="1" spans="1:59">
      <c r="A1628" s="9"/>
      <c r="B1628" s="5"/>
      <c r="C1628" s="5"/>
      <c r="D1628" s="5"/>
      <c r="E1628" s="7"/>
      <c r="F1628" s="8"/>
      <c r="G1628" s="8"/>
      <c r="H1628" s="8"/>
      <c r="I1628" s="14"/>
      <c r="J1628" s="14"/>
      <c r="K1628" s="14"/>
      <c r="L1628" s="14"/>
      <c r="M1628" s="7"/>
      <c r="N1628" s="8"/>
      <c r="O1628" s="8"/>
      <c r="P1628" s="8"/>
      <c r="Q1628" s="7"/>
      <c r="R1628" s="16"/>
      <c r="S1628" s="17"/>
      <c r="T1628" s="8"/>
      <c r="U1628" s="8"/>
      <c r="V1628" s="8"/>
      <c r="W1628" s="7"/>
      <c r="X1628" s="7"/>
      <c r="Y1628" s="7"/>
      <c r="Z1628" s="7"/>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7"/>
      <c r="AX1628" s="7"/>
      <c r="AY1628" s="7"/>
      <c r="AZ1628" s="7"/>
      <c r="BA1628" s="7"/>
      <c r="BB1628" s="7"/>
      <c r="BC1628" s="7"/>
      <c r="BD1628" s="7"/>
      <c r="BE1628" s="7"/>
      <c r="BF1628" s="7"/>
      <c r="BG1628" s="7"/>
    </row>
    <row r="1629" customHeight="1" spans="1:59">
      <c r="A1629" s="9"/>
      <c r="B1629" s="5"/>
      <c r="C1629" s="5"/>
      <c r="D1629" s="5"/>
      <c r="E1629" s="7"/>
      <c r="F1629" s="8"/>
      <c r="G1629" s="8"/>
      <c r="H1629" s="8"/>
      <c r="I1629" s="14"/>
      <c r="J1629" s="14"/>
      <c r="K1629" s="14"/>
      <c r="L1629" s="14"/>
      <c r="M1629" s="7"/>
      <c r="N1629" s="8"/>
      <c r="O1629" s="8"/>
      <c r="P1629" s="8"/>
      <c r="Q1629" s="7"/>
      <c r="R1629" s="16"/>
      <c r="S1629" s="17"/>
      <c r="T1629" s="8"/>
      <c r="U1629" s="8"/>
      <c r="V1629" s="8"/>
      <c r="W1629" s="7"/>
      <c r="X1629" s="7"/>
      <c r="Y1629" s="7"/>
      <c r="Z1629" s="7"/>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7"/>
      <c r="AX1629" s="7"/>
      <c r="AY1629" s="7"/>
      <c r="AZ1629" s="7"/>
      <c r="BA1629" s="7"/>
      <c r="BB1629" s="7"/>
      <c r="BC1629" s="7"/>
      <c r="BD1629" s="7"/>
      <c r="BE1629" s="7"/>
      <c r="BF1629" s="7"/>
      <c r="BG1629" s="7"/>
    </row>
    <row r="1630" customHeight="1" spans="1:59">
      <c r="A1630" s="9"/>
      <c r="B1630" s="5"/>
      <c r="C1630" s="5"/>
      <c r="D1630" s="5"/>
      <c r="E1630" s="7"/>
      <c r="F1630" s="8"/>
      <c r="G1630" s="8"/>
      <c r="H1630" s="8"/>
      <c r="I1630" s="14"/>
      <c r="J1630" s="14"/>
      <c r="K1630" s="14"/>
      <c r="L1630" s="14"/>
      <c r="M1630" s="7"/>
      <c r="N1630" s="8"/>
      <c r="O1630" s="8"/>
      <c r="P1630" s="8"/>
      <c r="Q1630" s="7"/>
      <c r="R1630" s="16"/>
      <c r="S1630" s="17"/>
      <c r="T1630" s="8"/>
      <c r="U1630" s="8"/>
      <c r="V1630" s="8"/>
      <c r="W1630" s="7"/>
      <c r="X1630" s="7"/>
      <c r="Y1630" s="7"/>
      <c r="Z1630" s="7"/>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7"/>
      <c r="AX1630" s="7"/>
      <c r="AY1630" s="7"/>
      <c r="AZ1630" s="7"/>
      <c r="BA1630" s="7"/>
      <c r="BB1630" s="7"/>
      <c r="BC1630" s="7"/>
      <c r="BD1630" s="7"/>
      <c r="BE1630" s="7"/>
      <c r="BF1630" s="7"/>
      <c r="BG1630" s="7"/>
    </row>
    <row r="1631" customHeight="1" spans="1:59">
      <c r="A1631" s="9"/>
      <c r="B1631" s="5"/>
      <c r="C1631" s="5"/>
      <c r="D1631" s="5"/>
      <c r="E1631" s="7"/>
      <c r="F1631" s="8"/>
      <c r="G1631" s="8"/>
      <c r="H1631" s="8"/>
      <c r="I1631" s="14"/>
      <c r="J1631" s="14"/>
      <c r="K1631" s="14"/>
      <c r="L1631" s="14"/>
      <c r="M1631" s="7"/>
      <c r="N1631" s="8"/>
      <c r="O1631" s="8"/>
      <c r="P1631" s="8"/>
      <c r="Q1631" s="7"/>
      <c r="R1631" s="16"/>
      <c r="S1631" s="17"/>
      <c r="T1631" s="8"/>
      <c r="U1631" s="8"/>
      <c r="V1631" s="8"/>
      <c r="W1631" s="7"/>
      <c r="X1631" s="7"/>
      <c r="Y1631" s="7"/>
      <c r="Z1631" s="7"/>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7"/>
      <c r="AX1631" s="7"/>
      <c r="AY1631" s="7"/>
      <c r="AZ1631" s="7"/>
      <c r="BA1631" s="7"/>
      <c r="BB1631" s="7"/>
      <c r="BC1631" s="7"/>
      <c r="BD1631" s="7"/>
      <c r="BE1631" s="7"/>
      <c r="BF1631" s="7"/>
      <c r="BG1631" s="7"/>
    </row>
    <row r="1632" customHeight="1" spans="1:59">
      <c r="A1632" s="9"/>
      <c r="B1632" s="5"/>
      <c r="C1632" s="5"/>
      <c r="D1632" s="5"/>
      <c r="E1632" s="7"/>
      <c r="F1632" s="8"/>
      <c r="G1632" s="8"/>
      <c r="H1632" s="8"/>
      <c r="I1632" s="14"/>
      <c r="J1632" s="14"/>
      <c r="K1632" s="14"/>
      <c r="L1632" s="14"/>
      <c r="M1632" s="7"/>
      <c r="N1632" s="8"/>
      <c r="O1632" s="8"/>
      <c r="P1632" s="8"/>
      <c r="Q1632" s="7"/>
      <c r="R1632" s="16"/>
      <c r="S1632" s="17"/>
      <c r="T1632" s="8"/>
      <c r="U1632" s="8"/>
      <c r="V1632" s="8"/>
      <c r="W1632" s="7"/>
      <c r="X1632" s="7"/>
      <c r="Y1632" s="7"/>
      <c r="Z1632" s="7"/>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7"/>
      <c r="AX1632" s="7"/>
      <c r="AY1632" s="7"/>
      <c r="AZ1632" s="7"/>
      <c r="BA1632" s="7"/>
      <c r="BB1632" s="7"/>
      <c r="BC1632" s="7"/>
      <c r="BD1632" s="7"/>
      <c r="BE1632" s="7"/>
      <c r="BF1632" s="7"/>
      <c r="BG1632" s="7"/>
    </row>
    <row r="1633" customHeight="1" spans="1:59">
      <c r="A1633" s="9"/>
      <c r="B1633" s="5"/>
      <c r="C1633" s="5"/>
      <c r="D1633" s="5"/>
      <c r="E1633" s="7"/>
      <c r="F1633" s="8"/>
      <c r="G1633" s="8"/>
      <c r="H1633" s="8"/>
      <c r="I1633" s="14"/>
      <c r="J1633" s="14"/>
      <c r="K1633" s="14"/>
      <c r="L1633" s="14"/>
      <c r="M1633" s="7"/>
      <c r="N1633" s="8"/>
      <c r="O1633" s="8"/>
      <c r="P1633" s="8"/>
      <c r="Q1633" s="7"/>
      <c r="R1633" s="16"/>
      <c r="S1633" s="17"/>
      <c r="T1633" s="8"/>
      <c r="U1633" s="8"/>
      <c r="V1633" s="8"/>
      <c r="W1633" s="7"/>
      <c r="X1633" s="7"/>
      <c r="Y1633" s="7"/>
      <c r="Z1633" s="7"/>
      <c r="AA1633" s="7"/>
      <c r="AB1633" s="7"/>
      <c r="AC1633" s="7"/>
      <c r="AD1633" s="7"/>
      <c r="AE1633" s="7"/>
      <c r="AF1633" s="7"/>
      <c r="AG1633" s="7"/>
      <c r="AH1633" s="7"/>
      <c r="AI1633" s="7"/>
      <c r="AJ1633" s="7"/>
      <c r="AK1633" s="7"/>
      <c r="AL1633" s="7"/>
      <c r="AM1633" s="7"/>
      <c r="AN1633" s="7"/>
      <c r="AO1633" s="7"/>
      <c r="AP1633" s="7"/>
      <c r="AQ1633" s="7"/>
      <c r="AR1633" s="7"/>
      <c r="AS1633" s="7"/>
      <c r="AT1633" s="7"/>
      <c r="AU1633" s="7"/>
      <c r="AV1633" s="7"/>
      <c r="AW1633" s="7"/>
      <c r="AX1633" s="7"/>
      <c r="AY1633" s="7"/>
      <c r="AZ1633" s="7"/>
      <c r="BA1633" s="7"/>
      <c r="BB1633" s="7"/>
      <c r="BC1633" s="7"/>
      <c r="BD1633" s="7"/>
      <c r="BE1633" s="7"/>
      <c r="BF1633" s="7"/>
      <c r="BG1633" s="7"/>
    </row>
    <row r="1634" customHeight="1" spans="1:59">
      <c r="A1634" s="9"/>
      <c r="B1634" s="5"/>
      <c r="C1634" s="5"/>
      <c r="D1634" s="5"/>
      <c r="E1634" s="7"/>
      <c r="F1634" s="8"/>
      <c r="G1634" s="8"/>
      <c r="H1634" s="8"/>
      <c r="I1634" s="14"/>
      <c r="J1634" s="14"/>
      <c r="K1634" s="14"/>
      <c r="L1634" s="14"/>
      <c r="M1634" s="7"/>
      <c r="N1634" s="8"/>
      <c r="O1634" s="8"/>
      <c r="P1634" s="8"/>
      <c r="Q1634" s="7"/>
      <c r="R1634" s="16"/>
      <c r="S1634" s="17"/>
      <c r="T1634" s="8"/>
      <c r="U1634" s="8"/>
      <c r="V1634" s="8"/>
      <c r="W1634" s="7"/>
      <c r="X1634" s="7"/>
      <c r="Y1634" s="7"/>
      <c r="Z1634" s="7"/>
      <c r="AA1634" s="7"/>
      <c r="AB1634" s="7"/>
      <c r="AC1634" s="7"/>
      <c r="AD1634" s="7"/>
      <c r="AE1634" s="7"/>
      <c r="AF1634" s="7"/>
      <c r="AG1634" s="7"/>
      <c r="AH1634" s="7"/>
      <c r="AI1634" s="7"/>
      <c r="AJ1634" s="7"/>
      <c r="AK1634" s="7"/>
      <c r="AL1634" s="7"/>
      <c r="AM1634" s="7"/>
      <c r="AN1634" s="7"/>
      <c r="AO1634" s="7"/>
      <c r="AP1634" s="7"/>
      <c r="AQ1634" s="7"/>
      <c r="AR1634" s="7"/>
      <c r="AS1634" s="7"/>
      <c r="AT1634" s="7"/>
      <c r="AU1634" s="7"/>
      <c r="AV1634" s="7"/>
      <c r="AW1634" s="7"/>
      <c r="AX1634" s="7"/>
      <c r="AY1634" s="7"/>
      <c r="AZ1634" s="7"/>
      <c r="BA1634" s="7"/>
      <c r="BB1634" s="7"/>
      <c r="BC1634" s="7"/>
      <c r="BD1634" s="7"/>
      <c r="BE1634" s="7"/>
      <c r="BF1634" s="7"/>
      <c r="BG1634" s="7"/>
    </row>
    <row r="1635" customHeight="1" spans="1:59">
      <c r="A1635" s="9"/>
      <c r="B1635" s="5"/>
      <c r="C1635" s="5"/>
      <c r="D1635" s="5"/>
      <c r="E1635" s="7"/>
      <c r="F1635" s="8"/>
      <c r="G1635" s="8"/>
      <c r="H1635" s="8"/>
      <c r="I1635" s="14"/>
      <c r="J1635" s="14"/>
      <c r="K1635" s="14"/>
      <c r="L1635" s="14"/>
      <c r="M1635" s="7"/>
      <c r="N1635" s="8"/>
      <c r="O1635" s="8"/>
      <c r="P1635" s="8"/>
      <c r="Q1635" s="7"/>
      <c r="R1635" s="16"/>
      <c r="S1635" s="17"/>
      <c r="T1635" s="8"/>
      <c r="U1635" s="8"/>
      <c r="V1635" s="8"/>
      <c r="W1635" s="7"/>
      <c r="X1635" s="7"/>
      <c r="Y1635" s="7"/>
      <c r="Z1635" s="7"/>
      <c r="AA1635" s="7"/>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7"/>
      <c r="BD1635" s="7"/>
      <c r="BE1635" s="7"/>
      <c r="BF1635" s="7"/>
      <c r="BG1635" s="7"/>
    </row>
    <row r="1636" customHeight="1" spans="1:59">
      <c r="A1636" s="9"/>
      <c r="B1636" s="5"/>
      <c r="C1636" s="5"/>
      <c r="D1636" s="5"/>
      <c r="E1636" s="7"/>
      <c r="F1636" s="8"/>
      <c r="G1636" s="8"/>
      <c r="H1636" s="8"/>
      <c r="I1636" s="14"/>
      <c r="J1636" s="14"/>
      <c r="K1636" s="14"/>
      <c r="L1636" s="14"/>
      <c r="M1636" s="7"/>
      <c r="N1636" s="8"/>
      <c r="O1636" s="8"/>
      <c r="P1636" s="8"/>
      <c r="Q1636" s="7"/>
      <c r="R1636" s="16"/>
      <c r="S1636" s="17"/>
      <c r="T1636" s="8"/>
      <c r="U1636" s="8"/>
      <c r="V1636" s="8"/>
      <c r="W1636" s="7"/>
      <c r="X1636" s="7"/>
      <c r="Y1636" s="7"/>
      <c r="Z1636" s="7"/>
      <c r="AA1636" s="7"/>
      <c r="AB1636" s="7"/>
      <c r="AC1636" s="7"/>
      <c r="AD1636" s="7"/>
      <c r="AE1636" s="7"/>
      <c r="AF1636" s="7"/>
      <c r="AG1636" s="7"/>
      <c r="AH1636" s="7"/>
      <c r="AI1636" s="7"/>
      <c r="AJ1636" s="7"/>
      <c r="AK1636" s="7"/>
      <c r="AL1636" s="7"/>
      <c r="AM1636" s="7"/>
      <c r="AN1636" s="7"/>
      <c r="AO1636" s="7"/>
      <c r="AP1636" s="7"/>
      <c r="AQ1636" s="7"/>
      <c r="AR1636" s="7"/>
      <c r="AS1636" s="7"/>
      <c r="AT1636" s="7"/>
      <c r="AU1636" s="7"/>
      <c r="AV1636" s="7"/>
      <c r="AW1636" s="7"/>
      <c r="AX1636" s="7"/>
      <c r="AY1636" s="7"/>
      <c r="AZ1636" s="7"/>
      <c r="BA1636" s="7"/>
      <c r="BB1636" s="7"/>
      <c r="BC1636" s="7"/>
      <c r="BD1636" s="7"/>
      <c r="BE1636" s="7"/>
      <c r="BF1636" s="7"/>
      <c r="BG1636" s="7"/>
    </row>
    <row r="1637" customHeight="1" spans="1:59">
      <c r="A1637" s="9"/>
      <c r="B1637" s="5"/>
      <c r="C1637" s="5"/>
      <c r="D1637" s="5"/>
      <c r="E1637" s="7"/>
      <c r="F1637" s="8"/>
      <c r="G1637" s="8"/>
      <c r="H1637" s="8"/>
      <c r="I1637" s="14"/>
      <c r="J1637" s="14"/>
      <c r="K1637" s="14"/>
      <c r="L1637" s="14"/>
      <c r="M1637" s="7"/>
      <c r="N1637" s="8"/>
      <c r="O1637" s="8"/>
      <c r="P1637" s="8"/>
      <c r="Q1637" s="7"/>
      <c r="R1637" s="16"/>
      <c r="S1637" s="17"/>
      <c r="T1637" s="8"/>
      <c r="U1637" s="8"/>
      <c r="V1637" s="8"/>
      <c r="W1637" s="7"/>
      <c r="X1637" s="7"/>
      <c r="Y1637" s="7"/>
      <c r="Z1637" s="7"/>
      <c r="AA1637" s="7"/>
      <c r="AB1637" s="7"/>
      <c r="AC1637" s="7"/>
      <c r="AD1637" s="7"/>
      <c r="AE1637" s="7"/>
      <c r="AF1637" s="7"/>
      <c r="AG1637" s="7"/>
      <c r="AH1637" s="7"/>
      <c r="AI1637" s="7"/>
      <c r="AJ1637" s="7"/>
      <c r="AK1637" s="7"/>
      <c r="AL1637" s="7"/>
      <c r="AM1637" s="7"/>
      <c r="AN1637" s="7"/>
      <c r="AO1637" s="7"/>
      <c r="AP1637" s="7"/>
      <c r="AQ1637" s="7"/>
      <c r="AR1637" s="7"/>
      <c r="AS1637" s="7"/>
      <c r="AT1637" s="7"/>
      <c r="AU1637" s="7"/>
      <c r="AV1637" s="7"/>
      <c r="AW1637" s="7"/>
      <c r="AX1637" s="7"/>
      <c r="AY1637" s="7"/>
      <c r="AZ1637" s="7"/>
      <c r="BA1637" s="7"/>
      <c r="BB1637" s="7"/>
      <c r="BC1637" s="7"/>
      <c r="BD1637" s="7"/>
      <c r="BE1637" s="7"/>
      <c r="BF1637" s="7"/>
      <c r="BG1637" s="7"/>
    </row>
    <row r="1638" customHeight="1" spans="1:59">
      <c r="A1638" s="9"/>
      <c r="B1638" s="5"/>
      <c r="C1638" s="5"/>
      <c r="D1638" s="5"/>
      <c r="E1638" s="7"/>
      <c r="F1638" s="8"/>
      <c r="G1638" s="8"/>
      <c r="H1638" s="8"/>
      <c r="I1638" s="14"/>
      <c r="J1638" s="14"/>
      <c r="K1638" s="14"/>
      <c r="L1638" s="14"/>
      <c r="M1638" s="7"/>
      <c r="N1638" s="8"/>
      <c r="O1638" s="8"/>
      <c r="P1638" s="8"/>
      <c r="Q1638" s="7"/>
      <c r="R1638" s="16"/>
      <c r="S1638" s="17"/>
      <c r="T1638" s="8"/>
      <c r="U1638" s="8"/>
      <c r="V1638" s="8"/>
      <c r="W1638" s="7"/>
      <c r="X1638" s="7"/>
      <c r="Y1638" s="7"/>
      <c r="Z1638" s="7"/>
      <c r="AA1638" s="7"/>
      <c r="AB1638" s="7"/>
      <c r="AC1638" s="7"/>
      <c r="AD1638" s="7"/>
      <c r="AE1638" s="7"/>
      <c r="AF1638" s="7"/>
      <c r="AG1638" s="7"/>
      <c r="AH1638" s="7"/>
      <c r="AI1638" s="7"/>
      <c r="AJ1638" s="7"/>
      <c r="AK1638" s="7"/>
      <c r="AL1638" s="7"/>
      <c r="AM1638" s="7"/>
      <c r="AN1638" s="7"/>
      <c r="AO1638" s="7"/>
      <c r="AP1638" s="7"/>
      <c r="AQ1638" s="7"/>
      <c r="AR1638" s="7"/>
      <c r="AS1638" s="7"/>
      <c r="AT1638" s="7"/>
      <c r="AU1638" s="7"/>
      <c r="AV1638" s="7"/>
      <c r="AW1638" s="7"/>
      <c r="AX1638" s="7"/>
      <c r="AY1638" s="7"/>
      <c r="AZ1638" s="7"/>
      <c r="BA1638" s="7"/>
      <c r="BB1638" s="7"/>
      <c r="BC1638" s="7"/>
      <c r="BD1638" s="7"/>
      <c r="BE1638" s="7"/>
      <c r="BF1638" s="7"/>
      <c r="BG1638" s="7"/>
    </row>
    <row r="1639" customHeight="1" spans="1:59">
      <c r="A1639" s="9"/>
      <c r="B1639" s="5"/>
      <c r="C1639" s="5"/>
      <c r="D1639" s="5"/>
      <c r="E1639" s="7"/>
      <c r="F1639" s="8"/>
      <c r="G1639" s="8"/>
      <c r="H1639" s="8"/>
      <c r="I1639" s="14"/>
      <c r="J1639" s="14"/>
      <c r="K1639" s="14"/>
      <c r="L1639" s="14"/>
      <c r="M1639" s="7"/>
      <c r="N1639" s="8"/>
      <c r="O1639" s="8"/>
      <c r="P1639" s="8"/>
      <c r="Q1639" s="7"/>
      <c r="R1639" s="16"/>
      <c r="S1639" s="17"/>
      <c r="T1639" s="8"/>
      <c r="U1639" s="8"/>
      <c r="V1639" s="8"/>
      <c r="W1639" s="7"/>
      <c r="X1639" s="7"/>
      <c r="Y1639" s="7"/>
      <c r="Z1639" s="7"/>
      <c r="AA1639" s="7"/>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7"/>
      <c r="AX1639" s="7"/>
      <c r="AY1639" s="7"/>
      <c r="AZ1639" s="7"/>
      <c r="BA1639" s="7"/>
      <c r="BB1639" s="7"/>
      <c r="BC1639" s="7"/>
      <c r="BD1639" s="7"/>
      <c r="BE1639" s="7"/>
      <c r="BF1639" s="7"/>
      <c r="BG1639" s="7"/>
    </row>
    <row r="1640" customHeight="1" spans="1:59">
      <c r="A1640" s="9"/>
      <c r="B1640" s="5"/>
      <c r="C1640" s="5"/>
      <c r="D1640" s="5"/>
      <c r="E1640" s="7"/>
      <c r="F1640" s="8"/>
      <c r="G1640" s="8"/>
      <c r="H1640" s="8"/>
      <c r="I1640" s="14"/>
      <c r="J1640" s="14"/>
      <c r="K1640" s="14"/>
      <c r="L1640" s="14"/>
      <c r="M1640" s="7"/>
      <c r="N1640" s="8"/>
      <c r="O1640" s="8"/>
      <c r="P1640" s="8"/>
      <c r="Q1640" s="7"/>
      <c r="R1640" s="16"/>
      <c r="S1640" s="17"/>
      <c r="T1640" s="8"/>
      <c r="U1640" s="8"/>
      <c r="V1640" s="8"/>
      <c r="W1640" s="7"/>
      <c r="X1640" s="7"/>
      <c r="Y1640" s="7"/>
      <c r="Z1640" s="7"/>
      <c r="AA1640" s="7"/>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7"/>
      <c r="AX1640" s="7"/>
      <c r="AY1640" s="7"/>
      <c r="AZ1640" s="7"/>
      <c r="BA1640" s="7"/>
      <c r="BB1640" s="7"/>
      <c r="BC1640" s="7"/>
      <c r="BD1640" s="7"/>
      <c r="BE1640" s="7"/>
      <c r="BF1640" s="7"/>
      <c r="BG1640" s="7"/>
    </row>
    <row r="1641" customHeight="1" spans="1:59">
      <c r="A1641" s="9"/>
      <c r="B1641" s="5"/>
      <c r="C1641" s="5"/>
      <c r="D1641" s="5"/>
      <c r="E1641" s="7"/>
      <c r="F1641" s="8"/>
      <c r="G1641" s="8"/>
      <c r="H1641" s="8"/>
      <c r="I1641" s="14"/>
      <c r="J1641" s="14"/>
      <c r="K1641" s="14"/>
      <c r="L1641" s="14"/>
      <c r="M1641" s="7"/>
      <c r="N1641" s="8"/>
      <c r="O1641" s="8"/>
      <c r="P1641" s="8"/>
      <c r="Q1641" s="7"/>
      <c r="R1641" s="16"/>
      <c r="S1641" s="17"/>
      <c r="T1641" s="8"/>
      <c r="U1641" s="8"/>
      <c r="V1641" s="8"/>
      <c r="W1641" s="7"/>
      <c r="X1641" s="7"/>
      <c r="Y1641" s="7"/>
      <c r="Z1641" s="7"/>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7"/>
      <c r="AX1641" s="7"/>
      <c r="AY1641" s="7"/>
      <c r="AZ1641" s="7"/>
      <c r="BA1641" s="7"/>
      <c r="BB1641" s="7"/>
      <c r="BC1641" s="7"/>
      <c r="BD1641" s="7"/>
      <c r="BE1641" s="7"/>
      <c r="BF1641" s="7"/>
      <c r="BG1641" s="7"/>
    </row>
    <row r="1642" customHeight="1" spans="1:59">
      <c r="A1642" s="9"/>
      <c r="B1642" s="5"/>
      <c r="C1642" s="5"/>
      <c r="D1642" s="5"/>
      <c r="E1642" s="7"/>
      <c r="F1642" s="8"/>
      <c r="G1642" s="8"/>
      <c r="H1642" s="8"/>
      <c r="I1642" s="14"/>
      <c r="J1642" s="14"/>
      <c r="K1642" s="14"/>
      <c r="L1642" s="14"/>
      <c r="M1642" s="7"/>
      <c r="N1642" s="8"/>
      <c r="O1642" s="8"/>
      <c r="P1642" s="8"/>
      <c r="Q1642" s="7"/>
      <c r="R1642" s="16"/>
      <c r="S1642" s="17"/>
      <c r="T1642" s="8"/>
      <c r="U1642" s="8"/>
      <c r="V1642" s="8"/>
      <c r="W1642" s="7"/>
      <c r="X1642" s="7"/>
      <c r="Y1642" s="7"/>
      <c r="Z1642" s="7"/>
      <c r="AA1642" s="7"/>
      <c r="AB1642" s="7"/>
      <c r="AC1642" s="7"/>
      <c r="AD1642" s="7"/>
      <c r="AE1642" s="7"/>
      <c r="AF1642" s="7"/>
      <c r="AG1642" s="7"/>
      <c r="AH1642" s="7"/>
      <c r="AI1642" s="7"/>
      <c r="AJ1642" s="7"/>
      <c r="AK1642" s="7"/>
      <c r="AL1642" s="7"/>
      <c r="AM1642" s="7"/>
      <c r="AN1642" s="7"/>
      <c r="AO1642" s="7"/>
      <c r="AP1642" s="7"/>
      <c r="AQ1642" s="7"/>
      <c r="AR1642" s="7"/>
      <c r="AS1642" s="7"/>
      <c r="AT1642" s="7"/>
      <c r="AU1642" s="7"/>
      <c r="AV1642" s="7"/>
      <c r="AW1642" s="7"/>
      <c r="AX1642" s="7"/>
      <c r="AY1642" s="7"/>
      <c r="AZ1642" s="7"/>
      <c r="BA1642" s="7"/>
      <c r="BB1642" s="7"/>
      <c r="BC1642" s="7"/>
      <c r="BD1642" s="7"/>
      <c r="BE1642" s="7"/>
      <c r="BF1642" s="7"/>
      <c r="BG1642" s="7"/>
    </row>
    <row r="1643" customHeight="1" spans="1:59">
      <c r="A1643" s="9"/>
      <c r="B1643" s="5"/>
      <c r="C1643" s="5"/>
      <c r="D1643" s="5"/>
      <c r="E1643" s="7"/>
      <c r="F1643" s="8"/>
      <c r="G1643" s="8"/>
      <c r="H1643" s="8"/>
      <c r="I1643" s="14"/>
      <c r="J1643" s="14"/>
      <c r="K1643" s="14"/>
      <c r="L1643" s="14"/>
      <c r="M1643" s="7"/>
      <c r="N1643" s="8"/>
      <c r="O1643" s="8"/>
      <c r="P1643" s="8"/>
      <c r="Q1643" s="7"/>
      <c r="R1643" s="16"/>
      <c r="S1643" s="17"/>
      <c r="T1643" s="8"/>
      <c r="U1643" s="8"/>
      <c r="V1643" s="8"/>
      <c r="W1643" s="7"/>
      <c r="X1643" s="7"/>
      <c r="Y1643" s="7"/>
      <c r="Z1643" s="7"/>
      <c r="AA1643" s="7"/>
      <c r="AB1643" s="7"/>
      <c r="AC1643" s="7"/>
      <c r="AD1643" s="7"/>
      <c r="AE1643" s="7"/>
      <c r="AF1643" s="7"/>
      <c r="AG1643" s="7"/>
      <c r="AH1643" s="7"/>
      <c r="AI1643" s="7"/>
      <c r="AJ1643" s="7"/>
      <c r="AK1643" s="7"/>
      <c r="AL1643" s="7"/>
      <c r="AM1643" s="7"/>
      <c r="AN1643" s="7"/>
      <c r="AO1643" s="7"/>
      <c r="AP1643" s="7"/>
      <c r="AQ1643" s="7"/>
      <c r="AR1643" s="7"/>
      <c r="AS1643" s="7"/>
      <c r="AT1643" s="7"/>
      <c r="AU1643" s="7"/>
      <c r="AV1643" s="7"/>
      <c r="AW1643" s="7"/>
      <c r="AX1643" s="7"/>
      <c r="AY1643" s="7"/>
      <c r="AZ1643" s="7"/>
      <c r="BA1643" s="7"/>
      <c r="BB1643" s="7"/>
      <c r="BC1643" s="7"/>
      <c r="BD1643" s="7"/>
      <c r="BE1643" s="7"/>
      <c r="BF1643" s="7"/>
      <c r="BG1643" s="7"/>
    </row>
    <row r="1644" customHeight="1" spans="1:59">
      <c r="A1644" s="9"/>
      <c r="B1644" s="5"/>
      <c r="C1644" s="5"/>
      <c r="D1644" s="5"/>
      <c r="E1644" s="7"/>
      <c r="F1644" s="8"/>
      <c r="G1644" s="8"/>
      <c r="H1644" s="8"/>
      <c r="I1644" s="14"/>
      <c r="J1644" s="14"/>
      <c r="K1644" s="14"/>
      <c r="L1644" s="14"/>
      <c r="M1644" s="7"/>
      <c r="N1644" s="8"/>
      <c r="O1644" s="8"/>
      <c r="P1644" s="8"/>
      <c r="Q1644" s="7"/>
      <c r="R1644" s="16"/>
      <c r="S1644" s="17"/>
      <c r="T1644" s="8"/>
      <c r="U1644" s="8"/>
      <c r="V1644" s="8"/>
      <c r="W1644" s="7"/>
      <c r="X1644" s="7"/>
      <c r="Y1644" s="7"/>
      <c r="Z1644" s="7"/>
      <c r="AA1644" s="7"/>
      <c r="AB1644" s="7"/>
      <c r="AC1644" s="7"/>
      <c r="AD1644" s="7"/>
      <c r="AE1644" s="7"/>
      <c r="AF1644" s="7"/>
      <c r="AG1644" s="7"/>
      <c r="AH1644" s="7"/>
      <c r="AI1644" s="7"/>
      <c r="AJ1644" s="7"/>
      <c r="AK1644" s="7"/>
      <c r="AL1644" s="7"/>
      <c r="AM1644" s="7"/>
      <c r="AN1644" s="7"/>
      <c r="AO1644" s="7"/>
      <c r="AP1644" s="7"/>
      <c r="AQ1644" s="7"/>
      <c r="AR1644" s="7"/>
      <c r="AS1644" s="7"/>
      <c r="AT1644" s="7"/>
      <c r="AU1644" s="7"/>
      <c r="AV1644" s="7"/>
      <c r="AW1644" s="7"/>
      <c r="AX1644" s="7"/>
      <c r="AY1644" s="7"/>
      <c r="AZ1644" s="7"/>
      <c r="BA1644" s="7"/>
      <c r="BB1644" s="7"/>
      <c r="BC1644" s="7"/>
      <c r="BD1644" s="7"/>
      <c r="BE1644" s="7"/>
      <c r="BF1644" s="7"/>
      <c r="BG1644" s="7"/>
    </row>
    <row r="1645" customHeight="1" spans="1:59">
      <c r="A1645" s="9"/>
      <c r="B1645" s="5"/>
      <c r="C1645" s="5"/>
      <c r="D1645" s="5"/>
      <c r="E1645" s="7"/>
      <c r="F1645" s="8"/>
      <c r="G1645" s="8"/>
      <c r="H1645" s="8"/>
      <c r="I1645" s="14"/>
      <c r="J1645" s="14"/>
      <c r="K1645" s="14"/>
      <c r="L1645" s="14"/>
      <c r="M1645" s="7"/>
      <c r="N1645" s="8"/>
      <c r="O1645" s="8"/>
      <c r="P1645" s="8"/>
      <c r="Q1645" s="7"/>
      <c r="R1645" s="16"/>
      <c r="S1645" s="17"/>
      <c r="T1645" s="8"/>
      <c r="U1645" s="8"/>
      <c r="V1645" s="8"/>
      <c r="W1645" s="7"/>
      <c r="X1645" s="7"/>
      <c r="Y1645" s="7"/>
      <c r="Z1645" s="7"/>
      <c r="AA1645" s="7"/>
      <c r="AB1645" s="7"/>
      <c r="AC1645" s="7"/>
      <c r="AD1645" s="7"/>
      <c r="AE1645" s="7"/>
      <c r="AF1645" s="7"/>
      <c r="AG1645" s="7"/>
      <c r="AH1645" s="7"/>
      <c r="AI1645" s="7"/>
      <c r="AJ1645" s="7"/>
      <c r="AK1645" s="7"/>
      <c r="AL1645" s="7"/>
      <c r="AM1645" s="7"/>
      <c r="AN1645" s="7"/>
      <c r="AO1645" s="7"/>
      <c r="AP1645" s="7"/>
      <c r="AQ1645" s="7"/>
      <c r="AR1645" s="7"/>
      <c r="AS1645" s="7"/>
      <c r="AT1645" s="7"/>
      <c r="AU1645" s="7"/>
      <c r="AV1645" s="7"/>
      <c r="AW1645" s="7"/>
      <c r="AX1645" s="7"/>
      <c r="AY1645" s="7"/>
      <c r="AZ1645" s="7"/>
      <c r="BA1645" s="7"/>
      <c r="BB1645" s="7"/>
      <c r="BC1645" s="7"/>
      <c r="BD1645" s="7"/>
      <c r="BE1645" s="7"/>
      <c r="BF1645" s="7"/>
      <c r="BG1645" s="7"/>
    </row>
    <row r="1646" customHeight="1" spans="1:59">
      <c r="A1646" s="9"/>
      <c r="B1646" s="5"/>
      <c r="C1646" s="5"/>
      <c r="D1646" s="5"/>
      <c r="E1646" s="7"/>
      <c r="F1646" s="8"/>
      <c r="G1646" s="8"/>
      <c r="H1646" s="8"/>
      <c r="I1646" s="14"/>
      <c r="J1646" s="14"/>
      <c r="K1646" s="14"/>
      <c r="L1646" s="14"/>
      <c r="M1646" s="7"/>
      <c r="N1646" s="8"/>
      <c r="O1646" s="8"/>
      <c r="P1646" s="8"/>
      <c r="Q1646" s="7"/>
      <c r="R1646" s="16"/>
      <c r="S1646" s="17"/>
      <c r="T1646" s="8"/>
      <c r="U1646" s="8"/>
      <c r="V1646" s="8"/>
      <c r="W1646" s="7"/>
      <c r="X1646" s="7"/>
      <c r="Y1646" s="7"/>
      <c r="Z1646" s="7"/>
      <c r="AA1646" s="7"/>
      <c r="AB1646" s="7"/>
      <c r="AC1646" s="7"/>
      <c r="AD1646" s="7"/>
      <c r="AE1646" s="7"/>
      <c r="AF1646" s="7"/>
      <c r="AG1646" s="7"/>
      <c r="AH1646" s="7"/>
      <c r="AI1646" s="7"/>
      <c r="AJ1646" s="7"/>
      <c r="AK1646" s="7"/>
      <c r="AL1646" s="7"/>
      <c r="AM1646" s="7"/>
      <c r="AN1646" s="7"/>
      <c r="AO1646" s="7"/>
      <c r="AP1646" s="7"/>
      <c r="AQ1646" s="7"/>
      <c r="AR1646" s="7"/>
      <c r="AS1646" s="7"/>
      <c r="AT1646" s="7"/>
      <c r="AU1646" s="7"/>
      <c r="AV1646" s="7"/>
      <c r="AW1646" s="7"/>
      <c r="AX1646" s="7"/>
      <c r="AY1646" s="7"/>
      <c r="AZ1646" s="7"/>
      <c r="BA1646" s="7"/>
      <c r="BB1646" s="7"/>
      <c r="BC1646" s="7"/>
      <c r="BD1646" s="7"/>
      <c r="BE1646" s="7"/>
      <c r="BF1646" s="7"/>
      <c r="BG1646" s="7"/>
    </row>
    <row r="1647" customHeight="1" spans="1:59">
      <c r="A1647" s="9"/>
      <c r="B1647" s="5"/>
      <c r="C1647" s="5"/>
      <c r="D1647" s="5"/>
      <c r="E1647" s="7"/>
      <c r="F1647" s="8"/>
      <c r="G1647" s="8"/>
      <c r="H1647" s="8"/>
      <c r="I1647" s="14"/>
      <c r="J1647" s="14"/>
      <c r="K1647" s="14"/>
      <c r="L1647" s="14"/>
      <c r="M1647" s="7"/>
      <c r="N1647" s="8"/>
      <c r="O1647" s="8"/>
      <c r="P1647" s="8"/>
      <c r="Q1647" s="7"/>
      <c r="R1647" s="16"/>
      <c r="S1647" s="17"/>
      <c r="T1647" s="8"/>
      <c r="U1647" s="8"/>
      <c r="V1647" s="8"/>
      <c r="W1647" s="7"/>
      <c r="X1647" s="7"/>
      <c r="Y1647" s="7"/>
      <c r="Z1647" s="7"/>
      <c r="AA1647" s="7"/>
      <c r="AB1647" s="7"/>
      <c r="AC1647" s="7"/>
      <c r="AD1647" s="7"/>
      <c r="AE1647" s="7"/>
      <c r="AF1647" s="7"/>
      <c r="AG1647" s="7"/>
      <c r="AH1647" s="7"/>
      <c r="AI1647" s="7"/>
      <c r="AJ1647" s="7"/>
      <c r="AK1647" s="7"/>
      <c r="AL1647" s="7"/>
      <c r="AM1647" s="7"/>
      <c r="AN1647" s="7"/>
      <c r="AO1647" s="7"/>
      <c r="AP1647" s="7"/>
      <c r="AQ1647" s="7"/>
      <c r="AR1647" s="7"/>
      <c r="AS1647" s="7"/>
      <c r="AT1647" s="7"/>
      <c r="AU1647" s="7"/>
      <c r="AV1647" s="7"/>
      <c r="AW1647" s="7"/>
      <c r="AX1647" s="7"/>
      <c r="AY1647" s="7"/>
      <c r="AZ1647" s="7"/>
      <c r="BA1647" s="7"/>
      <c r="BB1647" s="7"/>
      <c r="BC1647" s="7"/>
      <c r="BD1647" s="7"/>
      <c r="BE1647" s="7"/>
      <c r="BF1647" s="7"/>
      <c r="BG1647" s="7"/>
    </row>
    <row r="1648" customHeight="1" spans="1:59">
      <c r="A1648" s="9"/>
      <c r="B1648" s="5"/>
      <c r="C1648" s="5"/>
      <c r="D1648" s="5"/>
      <c r="E1648" s="7"/>
      <c r="F1648" s="8"/>
      <c r="G1648" s="8"/>
      <c r="H1648" s="8"/>
      <c r="I1648" s="14"/>
      <c r="J1648" s="14"/>
      <c r="K1648" s="14"/>
      <c r="L1648" s="14"/>
      <c r="M1648" s="7"/>
      <c r="N1648" s="8"/>
      <c r="O1648" s="8"/>
      <c r="P1648" s="8"/>
      <c r="Q1648" s="7"/>
      <c r="R1648" s="16"/>
      <c r="S1648" s="17"/>
      <c r="T1648" s="8"/>
      <c r="U1648" s="8"/>
      <c r="V1648" s="8"/>
      <c r="W1648" s="7"/>
      <c r="X1648" s="7"/>
      <c r="Y1648" s="7"/>
      <c r="Z1648" s="7"/>
      <c r="AA1648" s="7"/>
      <c r="AB1648" s="7"/>
      <c r="AC1648" s="7"/>
      <c r="AD1648" s="7"/>
      <c r="AE1648" s="7"/>
      <c r="AF1648" s="7"/>
      <c r="AG1648" s="7"/>
      <c r="AH1648" s="7"/>
      <c r="AI1648" s="7"/>
      <c r="AJ1648" s="7"/>
      <c r="AK1648" s="7"/>
      <c r="AL1648" s="7"/>
      <c r="AM1648" s="7"/>
      <c r="AN1648" s="7"/>
      <c r="AO1648" s="7"/>
      <c r="AP1648" s="7"/>
      <c r="AQ1648" s="7"/>
      <c r="AR1648" s="7"/>
      <c r="AS1648" s="7"/>
      <c r="AT1648" s="7"/>
      <c r="AU1648" s="7"/>
      <c r="AV1648" s="7"/>
      <c r="AW1648" s="7"/>
      <c r="AX1648" s="7"/>
      <c r="AY1648" s="7"/>
      <c r="AZ1648" s="7"/>
      <c r="BA1648" s="7"/>
      <c r="BB1648" s="7"/>
      <c r="BC1648" s="7"/>
      <c r="BD1648" s="7"/>
      <c r="BE1648" s="7"/>
      <c r="BF1648" s="7"/>
      <c r="BG1648" s="7"/>
    </row>
    <row r="1649" customHeight="1" spans="1:59">
      <c r="A1649" s="9"/>
      <c r="B1649" s="5"/>
      <c r="C1649" s="5"/>
      <c r="D1649" s="5"/>
      <c r="E1649" s="7"/>
      <c r="F1649" s="8"/>
      <c r="G1649" s="8"/>
      <c r="H1649" s="8"/>
      <c r="I1649" s="14"/>
      <c r="J1649" s="14"/>
      <c r="K1649" s="14"/>
      <c r="L1649" s="14"/>
      <c r="M1649" s="7"/>
      <c r="N1649" s="8"/>
      <c r="O1649" s="8"/>
      <c r="P1649" s="8"/>
      <c r="Q1649" s="7"/>
      <c r="R1649" s="16"/>
      <c r="S1649" s="17"/>
      <c r="T1649" s="8"/>
      <c r="U1649" s="8"/>
      <c r="V1649" s="8"/>
      <c r="W1649" s="7"/>
      <c r="X1649" s="7"/>
      <c r="Y1649" s="7"/>
      <c r="Z1649" s="7"/>
      <c r="AA1649" s="7"/>
      <c r="AB1649" s="7"/>
      <c r="AC1649" s="7"/>
      <c r="AD1649" s="7"/>
      <c r="AE1649" s="7"/>
      <c r="AF1649" s="7"/>
      <c r="AG1649" s="7"/>
      <c r="AH1649" s="7"/>
      <c r="AI1649" s="7"/>
      <c r="AJ1649" s="7"/>
      <c r="AK1649" s="7"/>
      <c r="AL1649" s="7"/>
      <c r="AM1649" s="7"/>
      <c r="AN1649" s="7"/>
      <c r="AO1649" s="7"/>
      <c r="AP1649" s="7"/>
      <c r="AQ1649" s="7"/>
      <c r="AR1649" s="7"/>
      <c r="AS1649" s="7"/>
      <c r="AT1649" s="7"/>
      <c r="AU1649" s="7"/>
      <c r="AV1649" s="7"/>
      <c r="AW1649" s="7"/>
      <c r="AX1649" s="7"/>
      <c r="AY1649" s="7"/>
      <c r="AZ1649" s="7"/>
      <c r="BA1649" s="7"/>
      <c r="BB1649" s="7"/>
      <c r="BC1649" s="7"/>
      <c r="BD1649" s="7"/>
      <c r="BE1649" s="7"/>
      <c r="BF1649" s="7"/>
      <c r="BG1649" s="7"/>
    </row>
    <row r="1650" customHeight="1" spans="1:59">
      <c r="A1650" s="9"/>
      <c r="B1650" s="5"/>
      <c r="C1650" s="5"/>
      <c r="D1650" s="5"/>
      <c r="E1650" s="7"/>
      <c r="F1650" s="8"/>
      <c r="G1650" s="8"/>
      <c r="H1650" s="8"/>
      <c r="I1650" s="14"/>
      <c r="J1650" s="14"/>
      <c r="K1650" s="14"/>
      <c r="L1650" s="14"/>
      <c r="M1650" s="7"/>
      <c r="N1650" s="8"/>
      <c r="O1650" s="8"/>
      <c r="P1650" s="8"/>
      <c r="Q1650" s="7"/>
      <c r="R1650" s="16"/>
      <c r="S1650" s="17"/>
      <c r="T1650" s="8"/>
      <c r="U1650" s="8"/>
      <c r="V1650" s="8"/>
      <c r="W1650" s="7"/>
      <c r="X1650" s="7"/>
      <c r="Y1650" s="7"/>
      <c r="Z1650" s="7"/>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7"/>
      <c r="AX1650" s="7"/>
      <c r="AY1650" s="7"/>
      <c r="AZ1650" s="7"/>
      <c r="BA1650" s="7"/>
      <c r="BB1650" s="7"/>
      <c r="BC1650" s="7"/>
      <c r="BD1650" s="7"/>
      <c r="BE1650" s="7"/>
      <c r="BF1650" s="7"/>
      <c r="BG1650" s="7"/>
    </row>
    <row r="1651" customHeight="1" spans="1:59">
      <c r="A1651" s="9"/>
      <c r="B1651" s="5"/>
      <c r="C1651" s="5"/>
      <c r="D1651" s="5"/>
      <c r="E1651" s="7"/>
      <c r="F1651" s="8"/>
      <c r="G1651" s="8"/>
      <c r="H1651" s="8"/>
      <c r="I1651" s="14"/>
      <c r="J1651" s="14"/>
      <c r="K1651" s="14"/>
      <c r="L1651" s="14"/>
      <c r="M1651" s="7"/>
      <c r="N1651" s="8"/>
      <c r="O1651" s="8"/>
      <c r="P1651" s="8"/>
      <c r="Q1651" s="7"/>
      <c r="R1651" s="16"/>
      <c r="S1651" s="17"/>
      <c r="T1651" s="8"/>
      <c r="U1651" s="8"/>
      <c r="V1651" s="8"/>
      <c r="W1651" s="7"/>
      <c r="X1651" s="7"/>
      <c r="Y1651" s="7"/>
      <c r="Z1651" s="7"/>
      <c r="AA1651" s="7"/>
      <c r="AB1651" s="7"/>
      <c r="AC1651" s="7"/>
      <c r="AD1651" s="7"/>
      <c r="AE1651" s="7"/>
      <c r="AF1651" s="7"/>
      <c r="AG1651" s="7"/>
      <c r="AH1651" s="7"/>
      <c r="AI1651" s="7"/>
      <c r="AJ1651" s="7"/>
      <c r="AK1651" s="7"/>
      <c r="AL1651" s="7"/>
      <c r="AM1651" s="7"/>
      <c r="AN1651" s="7"/>
      <c r="AO1651" s="7"/>
      <c r="AP1651" s="7"/>
      <c r="AQ1651" s="7"/>
      <c r="AR1651" s="7"/>
      <c r="AS1651" s="7"/>
      <c r="AT1651" s="7"/>
      <c r="AU1651" s="7"/>
      <c r="AV1651" s="7"/>
      <c r="AW1651" s="7"/>
      <c r="AX1651" s="7"/>
      <c r="AY1651" s="7"/>
      <c r="AZ1651" s="7"/>
      <c r="BA1651" s="7"/>
      <c r="BB1651" s="7"/>
      <c r="BC1651" s="7"/>
      <c r="BD1651" s="7"/>
      <c r="BE1651" s="7"/>
      <c r="BF1651" s="7"/>
      <c r="BG1651" s="7"/>
    </row>
    <row r="1652" customHeight="1" spans="1:59">
      <c r="A1652" s="9"/>
      <c r="B1652" s="5"/>
      <c r="C1652" s="5"/>
      <c r="D1652" s="5"/>
      <c r="E1652" s="7"/>
      <c r="F1652" s="8"/>
      <c r="G1652" s="8"/>
      <c r="H1652" s="8"/>
      <c r="I1652" s="14"/>
      <c r="J1652" s="14"/>
      <c r="K1652" s="14"/>
      <c r="L1652" s="14"/>
      <c r="M1652" s="7"/>
      <c r="N1652" s="8"/>
      <c r="O1652" s="8"/>
      <c r="P1652" s="8"/>
      <c r="Q1652" s="7"/>
      <c r="R1652" s="16"/>
      <c r="S1652" s="17"/>
      <c r="T1652" s="8"/>
      <c r="U1652" s="8"/>
      <c r="V1652" s="8"/>
      <c r="W1652" s="7"/>
      <c r="X1652" s="7"/>
      <c r="Y1652" s="7"/>
      <c r="Z1652" s="7"/>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7"/>
      <c r="AX1652" s="7"/>
      <c r="AY1652" s="7"/>
      <c r="AZ1652" s="7"/>
      <c r="BA1652" s="7"/>
      <c r="BB1652" s="7"/>
      <c r="BC1652" s="7"/>
      <c r="BD1652" s="7"/>
      <c r="BE1652" s="7"/>
      <c r="BF1652" s="7"/>
      <c r="BG1652" s="7"/>
    </row>
    <row r="1653" customHeight="1" spans="1:59">
      <c r="A1653" s="9"/>
      <c r="B1653" s="5"/>
      <c r="C1653" s="5"/>
      <c r="D1653" s="5"/>
      <c r="E1653" s="7"/>
      <c r="F1653" s="8"/>
      <c r="G1653" s="8"/>
      <c r="H1653" s="8"/>
      <c r="I1653" s="14"/>
      <c r="J1653" s="14"/>
      <c r="K1653" s="14"/>
      <c r="L1653" s="14"/>
      <c r="M1653" s="7"/>
      <c r="N1653" s="8"/>
      <c r="O1653" s="8"/>
      <c r="P1653" s="8"/>
      <c r="Q1653" s="7"/>
      <c r="R1653" s="16"/>
      <c r="S1653" s="17"/>
      <c r="T1653" s="8"/>
      <c r="U1653" s="8"/>
      <c r="V1653" s="8"/>
      <c r="W1653" s="7"/>
      <c r="X1653" s="7"/>
      <c r="Y1653" s="7"/>
      <c r="Z1653" s="7"/>
      <c r="AA1653" s="7"/>
      <c r="AB1653" s="7"/>
      <c r="AC1653" s="7"/>
      <c r="AD1653" s="7"/>
      <c r="AE1653" s="7"/>
      <c r="AF1653" s="7"/>
      <c r="AG1653" s="7"/>
      <c r="AH1653" s="7"/>
      <c r="AI1653" s="7"/>
      <c r="AJ1653" s="7"/>
      <c r="AK1653" s="7"/>
      <c r="AL1653" s="7"/>
      <c r="AM1653" s="7"/>
      <c r="AN1653" s="7"/>
      <c r="AO1653" s="7"/>
      <c r="AP1653" s="7"/>
      <c r="AQ1653" s="7"/>
      <c r="AR1653" s="7"/>
      <c r="AS1653" s="7"/>
      <c r="AT1653" s="7"/>
      <c r="AU1653" s="7"/>
      <c r="AV1653" s="7"/>
      <c r="AW1653" s="7"/>
      <c r="AX1653" s="7"/>
      <c r="AY1653" s="7"/>
      <c r="AZ1653" s="7"/>
      <c r="BA1653" s="7"/>
      <c r="BB1653" s="7"/>
      <c r="BC1653" s="7"/>
      <c r="BD1653" s="7"/>
      <c r="BE1653" s="7"/>
      <c r="BF1653" s="7"/>
      <c r="BG1653" s="7"/>
    </row>
    <row r="1654" customHeight="1" spans="1:59">
      <c r="A1654" s="9"/>
      <c r="B1654" s="5"/>
      <c r="C1654" s="5"/>
      <c r="D1654" s="5"/>
      <c r="E1654" s="7"/>
      <c r="F1654" s="8"/>
      <c r="G1654" s="8"/>
      <c r="H1654" s="8"/>
      <c r="I1654" s="14"/>
      <c r="J1654" s="14"/>
      <c r="K1654" s="14"/>
      <c r="L1654" s="14"/>
      <c r="M1654" s="7"/>
      <c r="N1654" s="8"/>
      <c r="O1654" s="8"/>
      <c r="P1654" s="8"/>
      <c r="Q1654" s="7"/>
      <c r="R1654" s="16"/>
      <c r="S1654" s="17"/>
      <c r="T1654" s="8"/>
      <c r="U1654" s="8"/>
      <c r="V1654" s="8"/>
      <c r="W1654" s="7"/>
      <c r="X1654" s="7"/>
      <c r="Y1654" s="7"/>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7"/>
      <c r="BD1654" s="7"/>
      <c r="BE1654" s="7"/>
      <c r="BF1654" s="7"/>
      <c r="BG1654" s="7"/>
    </row>
    <row r="1655" customHeight="1" spans="1:59">
      <c r="A1655" s="9"/>
      <c r="B1655" s="5"/>
      <c r="C1655" s="5"/>
      <c r="D1655" s="5"/>
      <c r="E1655" s="7"/>
      <c r="F1655" s="8"/>
      <c r="G1655" s="8"/>
      <c r="H1655" s="8"/>
      <c r="I1655" s="14"/>
      <c r="J1655" s="14"/>
      <c r="K1655" s="14"/>
      <c r="L1655" s="14"/>
      <c r="M1655" s="7"/>
      <c r="N1655" s="8"/>
      <c r="O1655" s="8"/>
      <c r="P1655" s="8"/>
      <c r="Q1655" s="7"/>
      <c r="R1655" s="16"/>
      <c r="S1655" s="17"/>
      <c r="T1655" s="8"/>
      <c r="U1655" s="8"/>
      <c r="V1655" s="8"/>
      <c r="W1655" s="7"/>
      <c r="X1655" s="7"/>
      <c r="Y1655" s="7"/>
      <c r="Z1655" s="7"/>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7"/>
      <c r="AZ1655" s="7"/>
      <c r="BA1655" s="7"/>
      <c r="BB1655" s="7"/>
      <c r="BC1655" s="7"/>
      <c r="BD1655" s="7"/>
      <c r="BE1655" s="7"/>
      <c r="BF1655" s="7"/>
      <c r="BG1655" s="7"/>
    </row>
    <row r="1656" customHeight="1" spans="1:59">
      <c r="A1656" s="9"/>
      <c r="B1656" s="5"/>
      <c r="C1656" s="5"/>
      <c r="D1656" s="5"/>
      <c r="E1656" s="7"/>
      <c r="F1656" s="8"/>
      <c r="G1656" s="8"/>
      <c r="H1656" s="8"/>
      <c r="I1656" s="14"/>
      <c r="J1656" s="14"/>
      <c r="K1656" s="14"/>
      <c r="L1656" s="14"/>
      <c r="M1656" s="7"/>
      <c r="N1656" s="8"/>
      <c r="O1656" s="8"/>
      <c r="P1656" s="8"/>
      <c r="Q1656" s="7"/>
      <c r="R1656" s="16"/>
      <c r="S1656" s="17"/>
      <c r="T1656" s="8"/>
      <c r="U1656" s="8"/>
      <c r="V1656" s="8"/>
      <c r="W1656" s="7"/>
      <c r="X1656" s="7"/>
      <c r="Y1656" s="7"/>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7"/>
      <c r="BD1656" s="7"/>
      <c r="BE1656" s="7"/>
      <c r="BF1656" s="7"/>
      <c r="BG1656" s="7"/>
    </row>
    <row r="1657" customHeight="1" spans="1:59">
      <c r="A1657" s="9"/>
      <c r="B1657" s="5"/>
      <c r="C1657" s="5"/>
      <c r="D1657" s="5"/>
      <c r="E1657" s="7"/>
      <c r="F1657" s="8"/>
      <c r="G1657" s="8"/>
      <c r="H1657" s="8"/>
      <c r="I1657" s="14"/>
      <c r="J1657" s="14"/>
      <c r="K1657" s="14"/>
      <c r="L1657" s="14"/>
      <c r="M1657" s="7"/>
      <c r="N1657" s="8"/>
      <c r="O1657" s="8"/>
      <c r="P1657" s="8"/>
      <c r="Q1657" s="7"/>
      <c r="R1657" s="16"/>
      <c r="S1657" s="17"/>
      <c r="T1657" s="8"/>
      <c r="U1657" s="8"/>
      <c r="V1657" s="8"/>
      <c r="W1657" s="7"/>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7"/>
      <c r="AX1657" s="7"/>
      <c r="AY1657" s="7"/>
      <c r="AZ1657" s="7"/>
      <c r="BA1657" s="7"/>
      <c r="BB1657" s="7"/>
      <c r="BC1657" s="7"/>
      <c r="BD1657" s="7"/>
      <c r="BE1657" s="7"/>
      <c r="BF1657" s="7"/>
      <c r="BG1657" s="7"/>
    </row>
    <row r="1658" customHeight="1" spans="1:59">
      <c r="A1658" s="9"/>
      <c r="B1658" s="5"/>
      <c r="C1658" s="5"/>
      <c r="D1658" s="5"/>
      <c r="E1658" s="7"/>
      <c r="F1658" s="8"/>
      <c r="G1658" s="8"/>
      <c r="H1658" s="8"/>
      <c r="I1658" s="14"/>
      <c r="J1658" s="14"/>
      <c r="K1658" s="14"/>
      <c r="L1658" s="14"/>
      <c r="M1658" s="7"/>
      <c r="N1658" s="8"/>
      <c r="O1658" s="8"/>
      <c r="P1658" s="8"/>
      <c r="Q1658" s="7"/>
      <c r="R1658" s="16"/>
      <c r="S1658" s="17"/>
      <c r="T1658" s="8"/>
      <c r="U1658" s="8"/>
      <c r="V1658" s="8"/>
      <c r="W1658" s="7"/>
      <c r="X1658" s="7"/>
      <c r="Y1658" s="7"/>
      <c r="Z1658" s="7"/>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7"/>
      <c r="AX1658" s="7"/>
      <c r="AY1658" s="7"/>
      <c r="AZ1658" s="7"/>
      <c r="BA1658" s="7"/>
      <c r="BB1658" s="7"/>
      <c r="BC1658" s="7"/>
      <c r="BD1658" s="7"/>
      <c r="BE1658" s="7"/>
      <c r="BF1658" s="7"/>
      <c r="BG1658" s="7"/>
    </row>
    <row r="1659" customHeight="1" spans="1:59">
      <c r="A1659" s="9"/>
      <c r="B1659" s="5"/>
      <c r="C1659" s="5"/>
      <c r="D1659" s="5"/>
      <c r="E1659" s="7"/>
      <c r="F1659" s="8"/>
      <c r="G1659" s="8"/>
      <c r="H1659" s="8"/>
      <c r="I1659" s="14"/>
      <c r="J1659" s="14"/>
      <c r="K1659" s="14"/>
      <c r="L1659" s="14"/>
      <c r="M1659" s="7"/>
      <c r="N1659" s="8"/>
      <c r="O1659" s="8"/>
      <c r="P1659" s="8"/>
      <c r="Q1659" s="7"/>
      <c r="R1659" s="16"/>
      <c r="S1659" s="17"/>
      <c r="T1659" s="8"/>
      <c r="U1659" s="8"/>
      <c r="V1659" s="8"/>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7"/>
      <c r="BD1659" s="7"/>
      <c r="BE1659" s="7"/>
      <c r="BF1659" s="7"/>
      <c r="BG1659" s="7"/>
    </row>
    <row r="1660" customHeight="1" spans="1:59">
      <c r="A1660" s="9"/>
      <c r="B1660" s="5"/>
      <c r="C1660" s="5"/>
      <c r="D1660" s="5"/>
      <c r="E1660" s="7"/>
      <c r="F1660" s="8"/>
      <c r="G1660" s="8"/>
      <c r="H1660" s="8"/>
      <c r="I1660" s="14"/>
      <c r="J1660" s="14"/>
      <c r="K1660" s="14"/>
      <c r="L1660" s="14"/>
      <c r="M1660" s="7"/>
      <c r="N1660" s="8"/>
      <c r="O1660" s="8"/>
      <c r="P1660" s="8"/>
      <c r="Q1660" s="7"/>
      <c r="R1660" s="16"/>
      <c r="S1660" s="17"/>
      <c r="T1660" s="8"/>
      <c r="U1660" s="8"/>
      <c r="V1660" s="8"/>
      <c r="W1660" s="7"/>
      <c r="X1660" s="7"/>
      <c r="Y1660" s="7"/>
      <c r="Z1660" s="7"/>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7"/>
      <c r="AX1660" s="7"/>
      <c r="AY1660" s="7"/>
      <c r="AZ1660" s="7"/>
      <c r="BA1660" s="7"/>
      <c r="BB1660" s="7"/>
      <c r="BC1660" s="7"/>
      <c r="BD1660" s="7"/>
      <c r="BE1660" s="7"/>
      <c r="BF1660" s="7"/>
      <c r="BG1660" s="7"/>
    </row>
    <row r="1661" customHeight="1" spans="1:59">
      <c r="A1661" s="9"/>
      <c r="B1661" s="5"/>
      <c r="C1661" s="5"/>
      <c r="D1661" s="5"/>
      <c r="E1661" s="7"/>
      <c r="F1661" s="8"/>
      <c r="G1661" s="8"/>
      <c r="H1661" s="8"/>
      <c r="I1661" s="14"/>
      <c r="J1661" s="14"/>
      <c r="K1661" s="14"/>
      <c r="L1661" s="14"/>
      <c r="M1661" s="7"/>
      <c r="N1661" s="8"/>
      <c r="O1661" s="8"/>
      <c r="P1661" s="8"/>
      <c r="Q1661" s="7"/>
      <c r="R1661" s="16"/>
      <c r="S1661" s="17"/>
      <c r="T1661" s="8"/>
      <c r="U1661" s="8"/>
      <c r="V1661" s="8"/>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c r="AW1661" s="7"/>
      <c r="AX1661" s="7"/>
      <c r="AY1661" s="7"/>
      <c r="AZ1661" s="7"/>
      <c r="BA1661" s="7"/>
      <c r="BB1661" s="7"/>
      <c r="BC1661" s="7"/>
      <c r="BD1661" s="7"/>
      <c r="BE1661" s="7"/>
      <c r="BF1661" s="7"/>
      <c r="BG1661" s="7"/>
    </row>
    <row r="1662" customHeight="1" spans="1:59">
      <c r="A1662" s="9"/>
      <c r="B1662" s="5"/>
      <c r="C1662" s="5"/>
      <c r="D1662" s="5"/>
      <c r="E1662" s="7"/>
      <c r="F1662" s="8"/>
      <c r="G1662" s="8"/>
      <c r="H1662" s="8"/>
      <c r="I1662" s="14"/>
      <c r="J1662" s="14"/>
      <c r="K1662" s="14"/>
      <c r="L1662" s="14"/>
      <c r="M1662" s="7"/>
      <c r="N1662" s="8"/>
      <c r="O1662" s="8"/>
      <c r="P1662" s="8"/>
      <c r="Q1662" s="7"/>
      <c r="R1662" s="16"/>
      <c r="S1662" s="17"/>
      <c r="T1662" s="8"/>
      <c r="U1662" s="8"/>
      <c r="V1662" s="8"/>
      <c r="W1662" s="7"/>
      <c r="X1662" s="7"/>
      <c r="Y1662" s="7"/>
      <c r="Z1662" s="7"/>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7"/>
      <c r="AX1662" s="7"/>
      <c r="AY1662" s="7"/>
      <c r="AZ1662" s="7"/>
      <c r="BA1662" s="7"/>
      <c r="BB1662" s="7"/>
      <c r="BC1662" s="7"/>
      <c r="BD1662" s="7"/>
      <c r="BE1662" s="7"/>
      <c r="BF1662" s="7"/>
      <c r="BG1662" s="7"/>
    </row>
    <row r="1663" customHeight="1" spans="1:59">
      <c r="A1663" s="9"/>
      <c r="B1663" s="5"/>
      <c r="C1663" s="5"/>
      <c r="D1663" s="5"/>
      <c r="E1663" s="7"/>
      <c r="F1663" s="8"/>
      <c r="G1663" s="8"/>
      <c r="H1663" s="8"/>
      <c r="I1663" s="14"/>
      <c r="J1663" s="14"/>
      <c r="K1663" s="14"/>
      <c r="L1663" s="14"/>
      <c r="M1663" s="7"/>
      <c r="N1663" s="8"/>
      <c r="O1663" s="8"/>
      <c r="P1663" s="8"/>
      <c r="Q1663" s="7"/>
      <c r="R1663" s="16"/>
      <c r="S1663" s="17"/>
      <c r="T1663" s="8"/>
      <c r="U1663" s="8"/>
      <c r="V1663" s="8"/>
      <c r="W1663" s="7"/>
      <c r="X1663" s="7"/>
      <c r="Y1663" s="7"/>
      <c r="Z1663" s="7"/>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7"/>
      <c r="AX1663" s="7"/>
      <c r="AY1663" s="7"/>
      <c r="AZ1663" s="7"/>
      <c r="BA1663" s="7"/>
      <c r="BB1663" s="7"/>
      <c r="BC1663" s="7"/>
      <c r="BD1663" s="7"/>
      <c r="BE1663" s="7"/>
      <c r="BF1663" s="7"/>
      <c r="BG1663" s="7"/>
    </row>
    <row r="1664" customHeight="1" spans="1:59">
      <c r="A1664" s="9"/>
      <c r="B1664" s="5"/>
      <c r="C1664" s="5"/>
      <c r="D1664" s="5"/>
      <c r="E1664" s="7"/>
      <c r="F1664" s="8"/>
      <c r="G1664" s="8"/>
      <c r="H1664" s="8"/>
      <c r="I1664" s="14"/>
      <c r="J1664" s="14"/>
      <c r="K1664" s="14"/>
      <c r="L1664" s="14"/>
      <c r="M1664" s="7"/>
      <c r="N1664" s="8"/>
      <c r="O1664" s="8"/>
      <c r="P1664" s="8"/>
      <c r="Q1664" s="7"/>
      <c r="R1664" s="16"/>
      <c r="S1664" s="17"/>
      <c r="T1664" s="8"/>
      <c r="U1664" s="8"/>
      <c r="V1664" s="8"/>
      <c r="W1664" s="7"/>
      <c r="X1664" s="7"/>
      <c r="Y1664" s="7"/>
      <c r="Z1664" s="7"/>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7"/>
      <c r="AX1664" s="7"/>
      <c r="AY1664" s="7"/>
      <c r="AZ1664" s="7"/>
      <c r="BA1664" s="7"/>
      <c r="BB1664" s="7"/>
      <c r="BC1664" s="7"/>
      <c r="BD1664" s="7"/>
      <c r="BE1664" s="7"/>
      <c r="BF1664" s="7"/>
      <c r="BG1664" s="7"/>
    </row>
    <row r="1665" customHeight="1" spans="1:59">
      <c r="A1665" s="9"/>
      <c r="B1665" s="5"/>
      <c r="C1665" s="5"/>
      <c r="D1665" s="5"/>
      <c r="E1665" s="7"/>
      <c r="F1665" s="8"/>
      <c r="G1665" s="8"/>
      <c r="H1665" s="8"/>
      <c r="I1665" s="14"/>
      <c r="J1665" s="14"/>
      <c r="K1665" s="14"/>
      <c r="L1665" s="14"/>
      <c r="M1665" s="7"/>
      <c r="N1665" s="8"/>
      <c r="O1665" s="8"/>
      <c r="P1665" s="8"/>
      <c r="Q1665" s="7"/>
      <c r="R1665" s="16"/>
      <c r="S1665" s="17"/>
      <c r="T1665" s="8"/>
      <c r="U1665" s="8"/>
      <c r="V1665" s="8"/>
      <c r="W1665" s="7"/>
      <c r="X1665" s="7"/>
      <c r="Y1665" s="7"/>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7"/>
      <c r="BD1665" s="7"/>
      <c r="BE1665" s="7"/>
      <c r="BF1665" s="7"/>
      <c r="BG1665" s="7"/>
    </row>
    <row r="1666" customHeight="1" spans="1:59">
      <c r="A1666" s="9"/>
      <c r="B1666" s="5"/>
      <c r="C1666" s="5"/>
      <c r="D1666" s="5"/>
      <c r="E1666" s="7"/>
      <c r="F1666" s="8"/>
      <c r="G1666" s="8"/>
      <c r="H1666" s="8"/>
      <c r="I1666" s="14"/>
      <c r="J1666" s="14"/>
      <c r="K1666" s="14"/>
      <c r="L1666" s="14"/>
      <c r="M1666" s="7"/>
      <c r="N1666" s="8"/>
      <c r="O1666" s="8"/>
      <c r="P1666" s="8"/>
      <c r="Q1666" s="7"/>
      <c r="R1666" s="16"/>
      <c r="S1666" s="17"/>
      <c r="T1666" s="8"/>
      <c r="U1666" s="8"/>
      <c r="V1666" s="8"/>
      <c r="W1666" s="7"/>
      <c r="X1666" s="7"/>
      <c r="Y1666" s="7"/>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7"/>
      <c r="BD1666" s="7"/>
      <c r="BE1666" s="7"/>
      <c r="BF1666" s="7"/>
      <c r="BG1666" s="7"/>
    </row>
    <row r="1667" customHeight="1" spans="1:59">
      <c r="A1667" s="9"/>
      <c r="B1667" s="5"/>
      <c r="C1667" s="5"/>
      <c r="D1667" s="5"/>
      <c r="E1667" s="7"/>
      <c r="F1667" s="8"/>
      <c r="G1667" s="8"/>
      <c r="H1667" s="8"/>
      <c r="I1667" s="14"/>
      <c r="J1667" s="14"/>
      <c r="K1667" s="14"/>
      <c r="L1667" s="14"/>
      <c r="M1667" s="7"/>
      <c r="N1667" s="8"/>
      <c r="O1667" s="8"/>
      <c r="P1667" s="8"/>
      <c r="Q1667" s="7"/>
      <c r="R1667" s="16"/>
      <c r="S1667" s="17"/>
      <c r="T1667" s="8"/>
      <c r="U1667" s="8"/>
      <c r="V1667" s="8"/>
      <c r="W1667" s="7"/>
      <c r="X1667" s="7"/>
      <c r="Y1667" s="7"/>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7"/>
      <c r="BD1667" s="7"/>
      <c r="BE1667" s="7"/>
      <c r="BF1667" s="7"/>
      <c r="BG1667" s="7"/>
    </row>
    <row r="1668" customHeight="1" spans="1:59">
      <c r="A1668" s="9"/>
      <c r="B1668" s="5"/>
      <c r="C1668" s="5"/>
      <c r="D1668" s="5"/>
      <c r="E1668" s="7"/>
      <c r="F1668" s="8"/>
      <c r="G1668" s="8"/>
      <c r="H1668" s="8"/>
      <c r="I1668" s="14"/>
      <c r="J1668" s="14"/>
      <c r="K1668" s="14"/>
      <c r="L1668" s="14"/>
      <c r="M1668" s="7"/>
      <c r="N1668" s="8"/>
      <c r="O1668" s="8"/>
      <c r="P1668" s="8"/>
      <c r="Q1668" s="7"/>
      <c r="R1668" s="16"/>
      <c r="S1668" s="17"/>
      <c r="T1668" s="8"/>
      <c r="U1668" s="8"/>
      <c r="V1668" s="8"/>
      <c r="W1668" s="7"/>
      <c r="X1668" s="7"/>
      <c r="Y1668" s="7"/>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7"/>
      <c r="BD1668" s="7"/>
      <c r="BE1668" s="7"/>
      <c r="BF1668" s="7"/>
      <c r="BG1668" s="7"/>
    </row>
    <row r="1669" customHeight="1" spans="1:59">
      <c r="A1669" s="9"/>
      <c r="B1669" s="5"/>
      <c r="C1669" s="5"/>
      <c r="D1669" s="5"/>
      <c r="E1669" s="7"/>
      <c r="F1669" s="8"/>
      <c r="G1669" s="8"/>
      <c r="H1669" s="8"/>
      <c r="I1669" s="14"/>
      <c r="J1669" s="14"/>
      <c r="K1669" s="14"/>
      <c r="L1669" s="14"/>
      <c r="M1669" s="7"/>
      <c r="N1669" s="8"/>
      <c r="O1669" s="8"/>
      <c r="P1669" s="8"/>
      <c r="Q1669" s="7"/>
      <c r="R1669" s="16"/>
      <c r="S1669" s="17"/>
      <c r="T1669" s="8"/>
      <c r="U1669" s="8"/>
      <c r="V1669" s="8"/>
      <c r="W1669" s="7"/>
      <c r="X1669" s="7"/>
      <c r="Y1669" s="7"/>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7"/>
      <c r="BD1669" s="7"/>
      <c r="BE1669" s="7"/>
      <c r="BF1669" s="7"/>
      <c r="BG1669" s="7"/>
    </row>
    <row r="1670" customHeight="1" spans="1:59">
      <c r="A1670" s="9"/>
      <c r="B1670" s="5"/>
      <c r="C1670" s="5"/>
      <c r="D1670" s="5"/>
      <c r="E1670" s="7"/>
      <c r="F1670" s="8"/>
      <c r="G1670" s="8"/>
      <c r="H1670" s="8"/>
      <c r="I1670" s="14"/>
      <c r="J1670" s="14"/>
      <c r="K1670" s="14"/>
      <c r="L1670" s="14"/>
      <c r="M1670" s="7"/>
      <c r="N1670" s="8"/>
      <c r="O1670" s="8"/>
      <c r="P1670" s="8"/>
      <c r="Q1670" s="7"/>
      <c r="R1670" s="16"/>
      <c r="S1670" s="17"/>
      <c r="T1670" s="8"/>
      <c r="U1670" s="8"/>
      <c r="V1670" s="8"/>
      <c r="W1670" s="7"/>
      <c r="X1670" s="7"/>
      <c r="Y1670" s="7"/>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7"/>
      <c r="BD1670" s="7"/>
      <c r="BE1670" s="7"/>
      <c r="BF1670" s="7"/>
      <c r="BG1670" s="7"/>
    </row>
    <row r="1671" customHeight="1" spans="1:59">
      <c r="A1671" s="9"/>
      <c r="B1671" s="5"/>
      <c r="C1671" s="5"/>
      <c r="D1671" s="5"/>
      <c r="E1671" s="7"/>
      <c r="F1671" s="8"/>
      <c r="G1671" s="8"/>
      <c r="H1671" s="8"/>
      <c r="I1671" s="14"/>
      <c r="J1671" s="14"/>
      <c r="K1671" s="14"/>
      <c r="L1671" s="14"/>
      <c r="M1671" s="7"/>
      <c r="N1671" s="8"/>
      <c r="O1671" s="8"/>
      <c r="P1671" s="8"/>
      <c r="Q1671" s="7"/>
      <c r="R1671" s="16"/>
      <c r="S1671" s="17"/>
      <c r="T1671" s="8"/>
      <c r="U1671" s="8"/>
      <c r="V1671" s="8"/>
      <c r="W1671" s="7"/>
      <c r="X1671" s="7"/>
      <c r="Y1671" s="7"/>
      <c r="Z1671" s="7"/>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7"/>
      <c r="AX1671" s="7"/>
      <c r="AY1671" s="7"/>
      <c r="AZ1671" s="7"/>
      <c r="BA1671" s="7"/>
      <c r="BB1671" s="7"/>
      <c r="BC1671" s="7"/>
      <c r="BD1671" s="7"/>
      <c r="BE1671" s="7"/>
      <c r="BF1671" s="7"/>
      <c r="BG1671" s="7"/>
    </row>
    <row r="1672" customHeight="1" spans="1:59">
      <c r="A1672" s="9"/>
      <c r="B1672" s="5"/>
      <c r="C1672" s="5"/>
      <c r="D1672" s="5"/>
      <c r="E1672" s="7"/>
      <c r="F1672" s="8"/>
      <c r="G1672" s="8"/>
      <c r="H1672" s="8"/>
      <c r="I1672" s="14"/>
      <c r="J1672" s="14"/>
      <c r="K1672" s="14"/>
      <c r="L1672" s="14"/>
      <c r="M1672" s="7"/>
      <c r="N1672" s="8"/>
      <c r="O1672" s="8"/>
      <c r="P1672" s="8"/>
      <c r="Q1672" s="7"/>
      <c r="R1672" s="16"/>
      <c r="S1672" s="17"/>
      <c r="T1672" s="8"/>
      <c r="U1672" s="8"/>
      <c r="V1672" s="8"/>
      <c r="W1672" s="7"/>
      <c r="X1672" s="7"/>
      <c r="Y1672" s="7"/>
      <c r="Z1672" s="7"/>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7"/>
      <c r="AX1672" s="7"/>
      <c r="AY1672" s="7"/>
      <c r="AZ1672" s="7"/>
      <c r="BA1672" s="7"/>
      <c r="BB1672" s="7"/>
      <c r="BC1672" s="7"/>
      <c r="BD1672" s="7"/>
      <c r="BE1672" s="7"/>
      <c r="BF1672" s="7"/>
      <c r="BG1672" s="7"/>
    </row>
    <row r="1673" customHeight="1" spans="1:59">
      <c r="A1673" s="9"/>
      <c r="B1673" s="5"/>
      <c r="C1673" s="5"/>
      <c r="D1673" s="5"/>
      <c r="E1673" s="7"/>
      <c r="F1673" s="8"/>
      <c r="G1673" s="8"/>
      <c r="H1673" s="8"/>
      <c r="I1673" s="14"/>
      <c r="J1673" s="14"/>
      <c r="K1673" s="14"/>
      <c r="L1673" s="14"/>
      <c r="M1673" s="7"/>
      <c r="N1673" s="8"/>
      <c r="O1673" s="8"/>
      <c r="P1673" s="8"/>
      <c r="Q1673" s="7"/>
      <c r="R1673" s="16"/>
      <c r="S1673" s="17"/>
      <c r="T1673" s="8"/>
      <c r="U1673" s="8"/>
      <c r="V1673" s="8"/>
      <c r="W1673" s="7"/>
      <c r="X1673" s="7"/>
      <c r="Y1673" s="7"/>
      <c r="Z1673" s="7"/>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7"/>
      <c r="AX1673" s="7"/>
      <c r="AY1673" s="7"/>
      <c r="AZ1673" s="7"/>
      <c r="BA1673" s="7"/>
      <c r="BB1673" s="7"/>
      <c r="BC1673" s="7"/>
      <c r="BD1673" s="7"/>
      <c r="BE1673" s="7"/>
      <c r="BF1673" s="7"/>
      <c r="BG1673" s="7"/>
    </row>
    <row r="1674" customHeight="1" spans="1:59">
      <c r="A1674" s="9"/>
      <c r="B1674" s="5"/>
      <c r="C1674" s="5"/>
      <c r="D1674" s="5"/>
      <c r="E1674" s="7"/>
      <c r="F1674" s="8"/>
      <c r="G1674" s="8"/>
      <c r="H1674" s="8"/>
      <c r="I1674" s="14"/>
      <c r="J1674" s="14"/>
      <c r="K1674" s="14"/>
      <c r="L1674" s="14"/>
      <c r="M1674" s="7"/>
      <c r="N1674" s="8"/>
      <c r="O1674" s="8"/>
      <c r="P1674" s="8"/>
      <c r="Q1674" s="7"/>
      <c r="R1674" s="16"/>
      <c r="S1674" s="17"/>
      <c r="T1674" s="8"/>
      <c r="U1674" s="8"/>
      <c r="V1674" s="8"/>
      <c r="W1674" s="7"/>
      <c r="X1674" s="7"/>
      <c r="Y1674" s="7"/>
      <c r="Z1674" s="7"/>
      <c r="AA1674" s="7"/>
      <c r="AB1674" s="7"/>
      <c r="AC1674" s="7"/>
      <c r="AD1674" s="7"/>
      <c r="AE1674" s="7"/>
      <c r="AF1674" s="7"/>
      <c r="AG1674" s="7"/>
      <c r="AH1674" s="7"/>
      <c r="AI1674" s="7"/>
      <c r="AJ1674" s="7"/>
      <c r="AK1674" s="7"/>
      <c r="AL1674" s="7"/>
      <c r="AM1674" s="7"/>
      <c r="AN1674" s="7"/>
      <c r="AO1674" s="7"/>
      <c r="AP1674" s="7"/>
      <c r="AQ1674" s="7"/>
      <c r="AR1674" s="7"/>
      <c r="AS1674" s="7"/>
      <c r="AT1674" s="7"/>
      <c r="AU1674" s="7"/>
      <c r="AV1674" s="7"/>
      <c r="AW1674" s="7"/>
      <c r="AX1674" s="7"/>
      <c r="AY1674" s="7"/>
      <c r="AZ1674" s="7"/>
      <c r="BA1674" s="7"/>
      <c r="BB1674" s="7"/>
      <c r="BC1674" s="7"/>
      <c r="BD1674" s="7"/>
      <c r="BE1674" s="7"/>
      <c r="BF1674" s="7"/>
      <c r="BG1674" s="7"/>
    </row>
    <row r="1675" customHeight="1" spans="1:59">
      <c r="A1675" s="9"/>
      <c r="B1675" s="5"/>
      <c r="C1675" s="5"/>
      <c r="D1675" s="5"/>
      <c r="E1675" s="7"/>
      <c r="F1675" s="8"/>
      <c r="G1675" s="8"/>
      <c r="H1675" s="8"/>
      <c r="I1675" s="14"/>
      <c r="J1675" s="14"/>
      <c r="K1675" s="14"/>
      <c r="L1675" s="14"/>
      <c r="M1675" s="7"/>
      <c r="N1675" s="8"/>
      <c r="O1675" s="8"/>
      <c r="P1675" s="8"/>
      <c r="Q1675" s="7"/>
      <c r="R1675" s="16"/>
      <c r="S1675" s="17"/>
      <c r="T1675" s="8"/>
      <c r="U1675" s="8"/>
      <c r="V1675" s="8"/>
      <c r="W1675" s="7"/>
      <c r="X1675" s="7"/>
      <c r="Y1675" s="7"/>
      <c r="Z1675" s="7"/>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7"/>
      <c r="BD1675" s="7"/>
      <c r="BE1675" s="7"/>
      <c r="BF1675" s="7"/>
      <c r="BG1675" s="7"/>
    </row>
    <row r="1676" customHeight="1" spans="1:59">
      <c r="A1676" s="9"/>
      <c r="B1676" s="5"/>
      <c r="C1676" s="5"/>
      <c r="D1676" s="5"/>
      <c r="E1676" s="7"/>
      <c r="F1676" s="8"/>
      <c r="G1676" s="8"/>
      <c r="H1676" s="8"/>
      <c r="I1676" s="14"/>
      <c r="J1676" s="14"/>
      <c r="K1676" s="14"/>
      <c r="L1676" s="14"/>
      <c r="M1676" s="7"/>
      <c r="N1676" s="8"/>
      <c r="O1676" s="8"/>
      <c r="P1676" s="8"/>
      <c r="Q1676" s="7"/>
      <c r="R1676" s="16"/>
      <c r="S1676" s="17"/>
      <c r="T1676" s="8"/>
      <c r="U1676" s="8"/>
      <c r="V1676" s="8"/>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row>
    <row r="1677" customHeight="1" spans="1:59">
      <c r="A1677" s="9"/>
      <c r="B1677" s="5"/>
      <c r="C1677" s="5"/>
      <c r="D1677" s="5"/>
      <c r="E1677" s="7"/>
      <c r="F1677" s="8"/>
      <c r="G1677" s="8"/>
      <c r="H1677" s="8"/>
      <c r="I1677" s="14"/>
      <c r="J1677" s="14"/>
      <c r="K1677" s="14"/>
      <c r="L1677" s="14"/>
      <c r="M1677" s="7"/>
      <c r="N1677" s="8"/>
      <c r="O1677" s="8"/>
      <c r="P1677" s="8"/>
      <c r="Q1677" s="7"/>
      <c r="R1677" s="16"/>
      <c r="S1677" s="17"/>
      <c r="T1677" s="8"/>
      <c r="U1677" s="8"/>
      <c r="V1677" s="8"/>
      <c r="W1677" s="7"/>
      <c r="X1677" s="7"/>
      <c r="Y1677" s="7"/>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7"/>
      <c r="BD1677" s="7"/>
      <c r="BE1677" s="7"/>
      <c r="BF1677" s="7"/>
      <c r="BG1677" s="7"/>
    </row>
  </sheetData>
  <customSheetViews>
    <customSheetView guid="{2A59C315-A457-46C0-B92B-FA005B422632}" filter="1" showAutoFilter="1">
      <pageMargins left="0.7" right="0.7" top="0.75" bottom="0.75" header="0.3" footer="0.3"/>
      <headerFooter/>
      <autoFilter ref="A1:W1400">
        <filterColumn colId="0">
          <customFilters>
            <customFilter operator="equal" val="*R00*"/>
          </customFilters>
        </filterColumn>
      </autoFilter>
    </customSheetView>
  </customSheetView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1329"/>
  <sheetViews>
    <sheetView workbookViewId="0">
      <pane xSplit="5" ySplit="1" topLeftCell="F2" activePane="bottomRight" state="frozen"/>
      <selection/>
      <selection pane="topRight"/>
      <selection pane="bottomLeft"/>
      <selection pane="bottomRight" activeCell="F2" sqref="F2"/>
    </sheetView>
  </sheetViews>
  <sheetFormatPr defaultColWidth="12.6285714285714" defaultRowHeight="15.75" customHeight="1"/>
  <cols>
    <col min="1" max="3" width="12.6285714285714" customWidth="1"/>
    <col min="4" max="4" width="28.2666666666667" customWidth="1"/>
    <col min="5" max="5" width="8.90476190476191" customWidth="1"/>
    <col min="6" max="8" width="15.7238095238095" customWidth="1"/>
    <col min="9" max="12" width="13.9047619047619" customWidth="1"/>
    <col min="13" max="14" width="8.26666666666667" customWidth="1"/>
    <col min="15" max="15" width="10.7238095238095" customWidth="1"/>
    <col min="16" max="17" width="8.26666666666667" customWidth="1"/>
    <col min="18" max="18" width="12.6285714285714" customWidth="1"/>
  </cols>
  <sheetData>
    <row r="1" customHeight="1" spans="1:27">
      <c r="A1" s="29" t="str">
        <f>IFERROR(__xludf.DUMMYFUNCTION("IMPORTRANGE('Database Control'!J3,'Database Control'!K3)"),"3.23.0-LIVE 9171682")</f>
        <v>3.23.0-LIVE 9171682</v>
      </c>
      <c r="B1" s="1" t="str">
        <f>IFERROR(__xludf.DUMMYFUNCTION("""COMPUTED_VALUE"""),"Outpost Index")</f>
        <v>Outpost Index</v>
      </c>
      <c r="C1" s="1" t="str">
        <f>IFERROR(__xludf.DUMMYFUNCTION("""COMPUTED_VALUE"""),"Time Index")</f>
        <v>Time Index</v>
      </c>
      <c r="D1" s="1" t="str">
        <f>IFERROR(__xludf.DUMMYFUNCTION("""COMPUTED_VALUE"""),"Waypoint Name")</f>
        <v>Waypoint Name</v>
      </c>
      <c r="E1" s="30" t="str">
        <f>IFERROR(__xludf.DUMMYFUNCTION("""COMPUTED_VALUE"""),"Short Name")</f>
        <v>Short Name</v>
      </c>
      <c r="F1" s="31" t="str">
        <f>IFERROR(__xludf.DUMMYFUNCTION("""COMPUTED_VALUE"""),"Cartesian Coordinate (x y z) in km")</f>
        <v>Cartesian Coordinate (x y z) in km</v>
      </c>
      <c r="G1" s="10"/>
      <c r="H1" s="10"/>
      <c r="I1" s="32" t="str">
        <f>IFERROR(__xludf.DUMMYFUNCTION("""COMPUTED_VALUE"""),"Rotation Quaternion (w,x,y,z)")</f>
        <v>Rotation Quaternion (w,x,y,z)</v>
      </c>
      <c r="J1" s="13"/>
      <c r="K1" s="13"/>
      <c r="L1" s="13"/>
      <c r="M1" s="29" t="str">
        <f>IFERROR(__xludf.DUMMYFUNCTION("""COMPUTED_VALUE"""),"QTMarker")</f>
        <v>QTMarker</v>
      </c>
      <c r="N1" s="31" t="str">
        <f>IFERROR(__xludf.DUMMYFUNCTION("""COMPUTED_VALUE"""),"OM Radius")</f>
        <v>OM Radius</v>
      </c>
      <c r="O1" s="31" t="str">
        <f>IFERROR(__xludf.DUMMYFUNCTION("""COMPUTED_VALUE"""),"Body Radius")</f>
        <v>Body Radius</v>
      </c>
      <c r="P1" s="31" t="str">
        <f>IFERROR(__xludf.DUMMYFUNCTION("""COMPUTED_VALUE"""),"Arrival Radius")</f>
        <v>Arrival Radius</v>
      </c>
      <c r="Q1" s="29" t="str">
        <f>IFERROR(__xludf.DUMMYFUNCTION("""COMPUTED_VALUE"""),"Time Lines")</f>
        <v>Time Lines</v>
      </c>
      <c r="R1" s="33" t="str">
        <f>IFERROR(__xludf.DUMMYFUNCTION("""COMPUTED_VALUE"""),"Rotation Speed")</f>
        <v>Rotation Speed</v>
      </c>
      <c r="S1" s="34" t="str">
        <f>IFERROR(__xludf.DUMMYFUNCTION("""COMPUTED_VALUE"""),"Rotation Adjust")</f>
        <v>Rotation Adjust</v>
      </c>
      <c r="T1" s="31" t="str">
        <f>IFERROR(__xludf.DUMMYFUNCTION("""COMPUTED_VALUE"""),"Orbital Radius")</f>
        <v>Orbital Radius</v>
      </c>
      <c r="U1" s="31" t="str">
        <f>IFERROR(__xludf.DUMMYFUNCTION("""COMPUTED_VALUE"""),"Orbital Speed")</f>
        <v>Orbital Speed</v>
      </c>
      <c r="V1" s="31" t="str">
        <f>IFERROR(__xludf.DUMMYFUNCTION("""COMPUTED_VALUE"""),"Orbital Angle")</f>
        <v>Orbital Angle</v>
      </c>
      <c r="W1" s="31" t="str">
        <f>IFERROR(__xludf.DUMMYFUNCTION("""COMPUTED_VALUE"""),"Grid Radius")</f>
        <v>Grid Radius</v>
      </c>
      <c r="X1" s="34" t="str">
        <f>IFERROR(__xludf.DUMMYFUNCTION("""COMPUTED_VALUE"""),"Adjustment Date")</f>
        <v>Adjustment Date</v>
      </c>
      <c r="Y1" s="1" t="str">
        <f>IFERROR(__xludf.DUMMYFUNCTION("""COMPUTED_VALUE"""),"Chart Info")</f>
        <v>Chart Info</v>
      </c>
      <c r="Z1" s="1" t="str">
        <f>IFERROR(__xludf.DUMMYFUNCTION("""COMPUTED_VALUE"""),"Stanton")</f>
        <v>Stanton</v>
      </c>
      <c r="AA1" s="1" t="str">
        <f>IFERROR(__xludf.DUMMYFUNCTION("""COMPUTED_VALUE"""),"Body Selection")</f>
        <v>Body Selection</v>
      </c>
    </row>
    <row r="2" customHeight="1" spans="1:27">
      <c r="A2" s="1" t="str">
        <f>IFERROR(__xludf.DUMMYFUNCTION("""COMPUTED_VALUE"""),"Aberdeen R00")</f>
        <v>Aberdeen R00</v>
      </c>
      <c r="B2" s="1"/>
      <c r="C2" s="1"/>
      <c r="D2" s="1" t="str">
        <f>IFERROR(__xludf.DUMMYFUNCTION("""COMPUTED_VALUE"""),"Aberdeen")</f>
        <v>Aberdeen</v>
      </c>
      <c r="E2" s="30" t="str">
        <f>IFERROR(__xludf.DUMMYFUNCTION("""COMPUTED_VALUE"""),"Aberdeen")</f>
        <v>Aberdeen</v>
      </c>
      <c r="F2" s="10">
        <f>IFERROR(__xludf.DUMMYFUNCTION("""COMPUTED_VALUE"""),12905757.636431)</f>
        <v>12905757.636431</v>
      </c>
      <c r="G2" s="10">
        <f>IFERROR(__xludf.DUMMYFUNCTION("""COMPUTED_VALUE"""),40955.550560376)</f>
        <v>40955.550560376</v>
      </c>
      <c r="H2" s="10">
        <f>IFERROR(__xludf.DUMMYFUNCTION("""COMPUTED_VALUE"""),0)</f>
        <v>0</v>
      </c>
      <c r="I2" s="13">
        <f>IFERROR(__xludf.DUMMYFUNCTION("""COMPUTED_VALUE"""),1)</f>
        <v>1</v>
      </c>
      <c r="J2" s="13">
        <f>IFERROR(__xludf.DUMMYFUNCTION("""COMPUTED_VALUE"""),0)</f>
        <v>0</v>
      </c>
      <c r="K2" s="13">
        <f>IFERROR(__xludf.DUMMYFUNCTION("""COMPUTED_VALUE"""),0)</f>
        <v>0</v>
      </c>
      <c r="L2" s="13">
        <f>IFERROR(__xludf.DUMMYFUNCTION("""COMPUTED_VALUE"""),0)</f>
        <v>0</v>
      </c>
      <c r="M2" s="1" t="b">
        <f>IFERROR(__xludf.DUMMYFUNCTION("""COMPUTED_VALUE"""),TRUE)</f>
        <v>1</v>
      </c>
      <c r="N2" s="10">
        <f>IFERROR(__xludf.DUMMYFUNCTION("""COMPUTED_VALUE"""),402.708)</f>
        <v>402.708</v>
      </c>
      <c r="O2" s="10">
        <f>IFERROR(__xludf.DUMMYFUNCTION("""COMPUTED_VALUE"""),274)</f>
        <v>274</v>
      </c>
      <c r="P2" s="10">
        <f>IFERROR(__xludf.DUMMYFUNCTION("""COMPUTED_VALUE"""),437.7)</f>
        <v>437.7</v>
      </c>
      <c r="Q2" s="30">
        <f>IFERROR(__xludf.DUMMYFUNCTION("""COMPUTED_VALUE"""),21)</f>
        <v>21</v>
      </c>
      <c r="R2" s="18">
        <f>IFERROR(__xludf.DUMMYFUNCTION("""COMPUTED_VALUE"""),2.5999999)</f>
        <v>2.5999999</v>
      </c>
      <c r="S2" s="19">
        <f>IFERROR(__xludf.DUMMYFUNCTION("""COMPUTED_VALUE"""),234.432468044749)</f>
        <v>234.432468044749</v>
      </c>
      <c r="T2" s="10">
        <f>IFERROR(__xludf.DUMMYFUNCTION("""COMPUTED_VALUE"""),68815.024)</f>
        <v>68815.024</v>
      </c>
      <c r="U2" s="10">
        <f>IFERROR(__xludf.DUMMYFUNCTION("""COMPUTED_VALUE"""),0)</f>
        <v>0</v>
      </c>
      <c r="V2" s="10">
        <f>IFERROR(__xludf.DUMMYFUNCTION("""COMPUTED_VALUE"""),36.524)</f>
        <v>36.524</v>
      </c>
      <c r="W2" s="10">
        <f>IFERROR(__xludf.DUMMYFUNCTION("""COMPUTED_VALUE"""),548)</f>
        <v>548</v>
      </c>
      <c r="X2" s="19">
        <f>IFERROR(__xludf.DUMMYFUNCTION("""COMPUTED_VALUE"""),45475.75798)</f>
        <v>45475.75798</v>
      </c>
      <c r="Y2" s="1"/>
      <c r="Z2" s="1"/>
      <c r="AA2" s="30" t="str">
        <f>IFERROR(__xludf.DUMMYFUNCTION("""COMPUTED_VALUE"""),"Aberdeen")</f>
        <v>Aberdeen</v>
      </c>
    </row>
    <row r="3" customHeight="1" spans="1:27">
      <c r="A3" s="1" t="str">
        <f>IFERROR(__xludf.DUMMYFUNCTION("""COMPUTED_VALUE"""),"ArcCorp R00")</f>
        <v>ArcCorp R00</v>
      </c>
      <c r="B3" s="1"/>
      <c r="C3" s="1"/>
      <c r="D3" s="1" t="str">
        <f>IFERROR(__xludf.DUMMYFUNCTION("""COMPUTED_VALUE"""),"ArcCorp")</f>
        <v>ArcCorp</v>
      </c>
      <c r="E3" s="30" t="str">
        <f>IFERROR(__xludf.DUMMYFUNCTION("""COMPUTED_VALUE"""),"ArcCorp")</f>
        <v>ArcCorp</v>
      </c>
      <c r="F3" s="10">
        <f>IFERROR(__xludf.DUMMYFUNCTION("""COMPUTED_VALUE"""),18587664.7398559)</f>
        <v>18587664.7398559</v>
      </c>
      <c r="G3" s="10">
        <f>IFERROR(__xludf.DUMMYFUNCTION("""COMPUTED_VALUE"""),-22151916.9203125)</f>
        <v>-22151916.9203125</v>
      </c>
      <c r="H3" s="10">
        <f>IFERROR(__xludf.DUMMYFUNCTION("""COMPUTED_VALUE"""),0)</f>
        <v>0</v>
      </c>
      <c r="I3" s="13">
        <f>IFERROR(__xludf.DUMMYFUNCTION("""COMPUTED_VALUE"""),1)</f>
        <v>1</v>
      </c>
      <c r="J3" s="13">
        <f>IFERROR(__xludf.DUMMYFUNCTION("""COMPUTED_VALUE"""),0)</f>
        <v>0</v>
      </c>
      <c r="K3" s="13">
        <f>IFERROR(__xludf.DUMMYFUNCTION("""COMPUTED_VALUE"""),0)</f>
        <v>0</v>
      </c>
      <c r="L3" s="13">
        <f>IFERROR(__xludf.DUMMYFUNCTION("""COMPUTED_VALUE"""),0)</f>
        <v>0</v>
      </c>
      <c r="M3" s="1" t="b">
        <f>IFERROR(__xludf.DUMMYFUNCTION("""COMPUTED_VALUE"""),TRUE)</f>
        <v>1</v>
      </c>
      <c r="N3" s="10">
        <f>IFERROR(__xludf.DUMMYFUNCTION("""COMPUTED_VALUE"""),1151.452)</f>
        <v>1151.452</v>
      </c>
      <c r="O3" s="10">
        <f>IFERROR(__xludf.DUMMYFUNCTION("""COMPUTED_VALUE"""),800)</f>
        <v>800</v>
      </c>
      <c r="P3" s="10">
        <f>IFERROR(__xludf.DUMMYFUNCTION("""COMPUTED_VALUE"""),990)</f>
        <v>990</v>
      </c>
      <c r="Q3" s="30">
        <f>IFERROR(__xludf.DUMMYFUNCTION("""COMPUTED_VALUE"""),14)</f>
        <v>14</v>
      </c>
      <c r="R3" s="18">
        <f>IFERROR(__xludf.DUMMYFUNCTION("""COMPUTED_VALUE"""),3.1099999)</f>
        <v>3.1099999</v>
      </c>
      <c r="S3" s="19">
        <f>IFERROR(__xludf.DUMMYFUNCTION("""COMPUTED_VALUE"""),88.4109476372397)</f>
        <v>88.4109476372397</v>
      </c>
      <c r="T3" s="10">
        <f>IFERROR(__xludf.DUMMYFUNCTION("""COMPUTED_VALUE"""),28917272.576)</f>
        <v>28917272.576</v>
      </c>
      <c r="U3" s="10">
        <f>IFERROR(__xludf.DUMMYFUNCTION("""COMPUTED_VALUE"""),0)</f>
        <v>0</v>
      </c>
      <c r="V3" s="10">
        <f>IFERROR(__xludf.DUMMYFUNCTION("""COMPUTED_VALUE"""),310)</f>
        <v>310</v>
      </c>
      <c r="W3" s="10">
        <f>IFERROR(__xludf.DUMMYFUNCTION("""COMPUTED_VALUE"""),1900)</f>
        <v>1900</v>
      </c>
      <c r="X3" s="19">
        <f>IFERROR(__xludf.DUMMYFUNCTION("""COMPUTED_VALUE"""),45473.88681)</f>
        <v>45473.88681</v>
      </c>
      <c r="Y3" s="1"/>
      <c r="Z3" s="1"/>
      <c r="AA3" s="30" t="str">
        <f>IFERROR(__xludf.DUMMYFUNCTION("""COMPUTED_VALUE"""),"ArcCorp")</f>
        <v>ArcCorp</v>
      </c>
    </row>
    <row r="4" customHeight="1" spans="1:27">
      <c r="A4" s="1" t="str">
        <f>IFERROR(__xludf.DUMMYFUNCTION("""COMPUTED_VALUE"""),"Arial R00")</f>
        <v>Arial R00</v>
      </c>
      <c r="B4" s="1"/>
      <c r="C4" s="1"/>
      <c r="D4" s="1" t="str">
        <f>IFERROR(__xludf.DUMMYFUNCTION("""COMPUTED_VALUE"""),"Arial")</f>
        <v>Arial</v>
      </c>
      <c r="E4" s="30" t="str">
        <f>IFERROR(__xludf.DUMMYFUNCTION("""COMPUTED_VALUE"""),"Arial")</f>
        <v>Arial</v>
      </c>
      <c r="F4" s="10">
        <f>IFERROR(__xludf.DUMMYFUNCTION("""COMPUTED_VALUE"""),12892673.3088608)</f>
        <v>12892673.3088608</v>
      </c>
      <c r="G4" s="10">
        <f>IFERROR(__xludf.DUMMYFUNCTION("""COMPUTED_VALUE"""),-31476.128840109)</f>
        <v>-31476.128840109</v>
      </c>
      <c r="H4" s="10">
        <f>IFERROR(__xludf.DUMMYFUNCTION("""COMPUTED_VALUE"""),0)</f>
        <v>0</v>
      </c>
      <c r="I4" s="13">
        <f>IFERROR(__xludf.DUMMYFUNCTION("""COMPUTED_VALUE"""),1)</f>
        <v>1</v>
      </c>
      <c r="J4" s="13">
        <f>IFERROR(__xludf.DUMMYFUNCTION("""COMPUTED_VALUE"""),0)</f>
        <v>0</v>
      </c>
      <c r="K4" s="13">
        <f>IFERROR(__xludf.DUMMYFUNCTION("""COMPUTED_VALUE"""),0)</f>
        <v>0</v>
      </c>
      <c r="L4" s="13">
        <f>IFERROR(__xludf.DUMMYFUNCTION("""COMPUTED_VALUE"""),0)</f>
        <v>0</v>
      </c>
      <c r="M4" s="1" t="b">
        <f>IFERROR(__xludf.DUMMYFUNCTION("""COMPUTED_VALUE"""),TRUE)</f>
        <v>1</v>
      </c>
      <c r="N4" s="10">
        <f>IFERROR(__xludf.DUMMYFUNCTION("""COMPUTED_VALUE"""),501.542)</f>
        <v>501.542</v>
      </c>
      <c r="O4" s="10">
        <f>IFERROR(__xludf.DUMMYFUNCTION("""COMPUTED_VALUE"""),344.5)</f>
        <v>344.5</v>
      </c>
      <c r="P4" s="10">
        <f>IFERROR(__xludf.DUMMYFUNCTION("""COMPUTED_VALUE"""),511.725)</f>
        <v>511.725</v>
      </c>
      <c r="Q4" s="30">
        <f>IFERROR(__xludf.DUMMYFUNCTION("""COMPUTED_VALUE"""),12)</f>
        <v>12</v>
      </c>
      <c r="R4" s="18">
        <f>IFERROR(__xludf.DUMMYFUNCTION("""COMPUTED_VALUE"""),5.5100002)</f>
        <v>5.5100002</v>
      </c>
      <c r="S4" s="19">
        <f>IFERROR(__xludf.DUMMYFUNCTION("""COMPUTED_VALUE"""),311.408723418269)</f>
        <v>311.408723418269</v>
      </c>
      <c r="T4" s="10">
        <f>IFERROR(__xludf.DUMMYFUNCTION("""COMPUTED_VALUE"""),52658.856)</f>
        <v>52658.856</v>
      </c>
      <c r="U4" s="10">
        <f>IFERROR(__xludf.DUMMYFUNCTION("""COMPUTED_VALUE"""),0)</f>
        <v>0</v>
      </c>
      <c r="V4" s="10">
        <f>IFERROR(__xludf.DUMMYFUNCTION("""COMPUTED_VALUE"""),323.292)</f>
        <v>323.292</v>
      </c>
      <c r="W4" s="10">
        <f>IFERROR(__xludf.DUMMYFUNCTION("""COMPUTED_VALUE"""),689)</f>
        <v>689</v>
      </c>
      <c r="X4" s="19">
        <f>IFERROR(__xludf.DUMMYFUNCTION("""COMPUTED_VALUE"""),45475.76181)</f>
        <v>45475.76181</v>
      </c>
      <c r="Y4" s="1"/>
      <c r="Z4" s="1"/>
      <c r="AA4" s="30" t="str">
        <f>IFERROR(__xludf.DUMMYFUNCTION("""COMPUTED_VALUE"""),"Arial")</f>
        <v>Arial</v>
      </c>
    </row>
    <row r="5" customHeight="1" spans="1:27">
      <c r="A5" s="1" t="str">
        <f>IFERROR(__xludf.DUMMYFUNCTION("""COMPUTED_VALUE"""),"Calliope R00")</f>
        <v>Calliope R00</v>
      </c>
      <c r="B5" s="1"/>
      <c r="C5" s="1"/>
      <c r="D5" s="1" t="str">
        <f>IFERROR(__xludf.DUMMYFUNCTION("""COMPUTED_VALUE"""),"Calliope")</f>
        <v>Calliope</v>
      </c>
      <c r="E5" s="30" t="str">
        <f>IFERROR(__xludf.DUMMYFUNCTION("""COMPUTED_VALUE"""),"Calliope")</f>
        <v>Calliope</v>
      </c>
      <c r="F5" s="10">
        <f>IFERROR(__xludf.DUMMYFUNCTION("""COMPUTED_VALUE"""),22398369.3082472)</f>
        <v>22398369.3082472</v>
      </c>
      <c r="G5" s="10">
        <f>IFERROR(__xludf.DUMMYFUNCTION("""COMPUTED_VALUE"""),37168840.6790112)</f>
        <v>37168840.6790112</v>
      </c>
      <c r="H5" s="10">
        <f>IFERROR(__xludf.DUMMYFUNCTION("""COMPUTED_VALUE"""),0)</f>
        <v>0</v>
      </c>
      <c r="I5" s="13">
        <f>IFERROR(__xludf.DUMMYFUNCTION("""COMPUTED_VALUE"""),1)</f>
        <v>1</v>
      </c>
      <c r="J5" s="13">
        <f>IFERROR(__xludf.DUMMYFUNCTION("""COMPUTED_VALUE"""),0)</f>
        <v>0</v>
      </c>
      <c r="K5" s="13">
        <f>IFERROR(__xludf.DUMMYFUNCTION("""COMPUTED_VALUE"""),0)</f>
        <v>0</v>
      </c>
      <c r="L5" s="13">
        <f>IFERROR(__xludf.DUMMYFUNCTION("""COMPUTED_VALUE"""),0)</f>
        <v>0</v>
      </c>
      <c r="M5" s="1" t="b">
        <f>IFERROR(__xludf.DUMMYFUNCTION("""COMPUTED_VALUE"""),TRUE)</f>
        <v>1</v>
      </c>
      <c r="N5" s="10">
        <f>IFERROR(__xludf.DUMMYFUNCTION("""COMPUTED_VALUE"""),352.214)</f>
        <v>352.214</v>
      </c>
      <c r="O5" s="10">
        <f>IFERROR(__xludf.DUMMYFUNCTION("""COMPUTED_VALUE"""),240)</f>
        <v>240</v>
      </c>
      <c r="P5" s="10">
        <f>IFERROR(__xludf.DUMMYFUNCTION("""COMPUTED_VALUE"""),402.35)</f>
        <v>402.35</v>
      </c>
      <c r="Q5" s="30">
        <f>IFERROR(__xludf.DUMMYFUNCTION("""COMPUTED_VALUE"""),22)</f>
        <v>22</v>
      </c>
      <c r="R5" s="18">
        <f>IFERROR(__xludf.DUMMYFUNCTION("""COMPUTED_VALUE"""),4.5900002)</f>
        <v>4.5900002</v>
      </c>
      <c r="S5" s="19">
        <f>IFERROR(__xludf.DUMMYFUNCTION("""COMPUTED_VALUE"""),114.210406658708)</f>
        <v>114.210406658708</v>
      </c>
      <c r="T5" s="10">
        <f>IFERROR(__xludf.DUMMYFUNCTION("""COMPUTED_VALUE"""),65823.064)</f>
        <v>65823.064</v>
      </c>
      <c r="U5" s="10">
        <f>IFERROR(__xludf.DUMMYFUNCTION("""COMPUTED_VALUE"""),0)</f>
        <v>0</v>
      </c>
      <c r="V5" s="10">
        <f>IFERROR(__xludf.DUMMYFUNCTION("""COMPUTED_VALUE"""),194.774)</f>
        <v>194.774</v>
      </c>
      <c r="W5" s="10">
        <f>IFERROR(__xludf.DUMMYFUNCTION("""COMPUTED_VALUE"""),480.666)</f>
        <v>480.666</v>
      </c>
      <c r="X5" s="19">
        <f>IFERROR(__xludf.DUMMYFUNCTION("""COMPUTED_VALUE"""),45476.55417)</f>
        <v>45476.55417</v>
      </c>
      <c r="Y5" s="1"/>
      <c r="Z5" s="1"/>
      <c r="AA5" s="30" t="str">
        <f>IFERROR(__xludf.DUMMYFUNCTION("""COMPUTED_VALUE"""),"Calliope")</f>
        <v>Calliope</v>
      </c>
    </row>
    <row r="6" customHeight="1" spans="1:27">
      <c r="A6" s="1" t="str">
        <f>IFERROR(__xludf.DUMMYFUNCTION("""COMPUTED_VALUE"""),"Cellin R00")</f>
        <v>Cellin R00</v>
      </c>
      <c r="B6" s="1"/>
      <c r="C6" s="1"/>
      <c r="D6" s="1" t="str">
        <f>IFERROR(__xludf.DUMMYFUNCTION("""COMPUTED_VALUE"""),"Cellin")</f>
        <v>Cellin</v>
      </c>
      <c r="E6" s="30" t="str">
        <f>IFERROR(__xludf.DUMMYFUNCTION("""COMPUTED_VALUE"""),"Cellin")</f>
        <v>Cellin</v>
      </c>
      <c r="F6" s="10">
        <f>IFERROR(__xludf.DUMMYFUNCTION("""COMPUTED_VALUE"""),-18987611.1192333)</f>
        <v>-18987611.1192333</v>
      </c>
      <c r="G6" s="10">
        <f>IFERROR(__xludf.DUMMYFUNCTION("""COMPUTED_VALUE"""),-2709009.66070514)</f>
        <v>-2709009.66070514</v>
      </c>
      <c r="H6" s="10">
        <f>IFERROR(__xludf.DUMMYFUNCTION("""COMPUTED_VALUE"""),0)</f>
        <v>0</v>
      </c>
      <c r="I6" s="13">
        <f>IFERROR(__xludf.DUMMYFUNCTION("""COMPUTED_VALUE"""),1)</f>
        <v>1</v>
      </c>
      <c r="J6" s="13">
        <f>IFERROR(__xludf.DUMMYFUNCTION("""COMPUTED_VALUE"""),0)</f>
        <v>0</v>
      </c>
      <c r="K6" s="13">
        <f>IFERROR(__xludf.DUMMYFUNCTION("""COMPUTED_VALUE"""),0)</f>
        <v>0</v>
      </c>
      <c r="L6" s="13">
        <f>IFERROR(__xludf.DUMMYFUNCTION("""COMPUTED_VALUE"""),0)</f>
        <v>0</v>
      </c>
      <c r="M6" s="1" t="b">
        <f>IFERROR(__xludf.DUMMYFUNCTION("""COMPUTED_VALUE"""),TRUE)</f>
        <v>1</v>
      </c>
      <c r="N6" s="10">
        <f>IFERROR(__xludf.DUMMYFUNCTION("""COMPUTED_VALUE"""),380.53)</f>
        <v>380.53</v>
      </c>
      <c r="O6" s="10">
        <f>IFERROR(__xludf.DUMMYFUNCTION("""COMPUTED_VALUE"""),260)</f>
        <v>260</v>
      </c>
      <c r="P6" s="10">
        <f>IFERROR(__xludf.DUMMYFUNCTION("""COMPUTED_VALUE"""),423.35)</f>
        <v>423.35</v>
      </c>
      <c r="Q6" s="30">
        <f>IFERROR(__xludf.DUMMYFUNCTION("""COMPUTED_VALUE"""),26)</f>
        <v>26</v>
      </c>
      <c r="R6" s="18">
        <f>IFERROR(__xludf.DUMMYFUNCTION("""COMPUTED_VALUE"""),4.4499998)</f>
        <v>4.4499998</v>
      </c>
      <c r="S6" s="19">
        <f>IFERROR(__xludf.DUMMYFUNCTION("""COMPUTED_VALUE"""),300.264786541541)</f>
        <v>300.264786541541</v>
      </c>
      <c r="T6" s="10">
        <f>IFERROR(__xludf.DUMMYFUNCTION("""COMPUTED_VALUE"""),50863.26)</f>
        <v>50863.26</v>
      </c>
      <c r="U6" s="10">
        <f>IFERROR(__xludf.DUMMYFUNCTION("""COMPUTED_VALUE"""),0)</f>
        <v>0</v>
      </c>
      <c r="V6" s="10">
        <f>IFERROR(__xludf.DUMMYFUNCTION("""COMPUTED_VALUE"""),240)</f>
        <v>240</v>
      </c>
      <c r="W6" s="10">
        <f>IFERROR(__xludf.DUMMYFUNCTION("""COMPUTED_VALUE"""),520.666)</f>
        <v>520.666</v>
      </c>
      <c r="X6" s="19">
        <f>IFERROR(__xludf.DUMMYFUNCTION("""COMPUTED_VALUE"""),45475.78136)</f>
        <v>45475.78136</v>
      </c>
      <c r="Y6" s="1"/>
      <c r="Z6" s="1"/>
      <c r="AA6" s="30" t="str">
        <f>IFERROR(__xludf.DUMMYFUNCTION("""COMPUTED_VALUE"""),"Cellin")</f>
        <v>Cellin</v>
      </c>
    </row>
    <row r="7" customHeight="1" spans="1:27">
      <c r="A7" s="1" t="str">
        <f>IFERROR(__xludf.DUMMYFUNCTION("""COMPUTED_VALUE"""),"Clio R00")</f>
        <v>Clio R00</v>
      </c>
      <c r="B7" s="1"/>
      <c r="C7" s="1"/>
      <c r="D7" s="1" t="str">
        <f>IFERROR(__xludf.DUMMYFUNCTION("""COMPUTED_VALUE"""),"Clio")</f>
        <v>Clio</v>
      </c>
      <c r="E7" s="30" t="str">
        <f>IFERROR(__xludf.DUMMYFUNCTION("""COMPUTED_VALUE"""),"Clio")</f>
        <v>Clio</v>
      </c>
      <c r="F7" s="10">
        <f>IFERROR(__xludf.DUMMYFUNCTION("""COMPUTED_VALUE"""),22476728.22051)</f>
        <v>22476728.22051</v>
      </c>
      <c r="G7" s="10">
        <f>IFERROR(__xludf.DUMMYFUNCTION("""COMPUTED_VALUE"""),37091020.0743755)</f>
        <v>37091020.0743755</v>
      </c>
      <c r="H7" s="10">
        <f>IFERROR(__xludf.DUMMYFUNCTION("""COMPUTED_VALUE"""),0)</f>
        <v>0</v>
      </c>
      <c r="I7" s="13">
        <f>IFERROR(__xludf.DUMMYFUNCTION("""COMPUTED_VALUE"""),1)</f>
        <v>1</v>
      </c>
      <c r="J7" s="13">
        <f>IFERROR(__xludf.DUMMYFUNCTION("""COMPUTED_VALUE"""),0)</f>
        <v>0</v>
      </c>
      <c r="K7" s="13">
        <f>IFERROR(__xludf.DUMMYFUNCTION("""COMPUTED_VALUE"""),0)</f>
        <v>0</v>
      </c>
      <c r="L7" s="13">
        <f>IFERROR(__xludf.DUMMYFUNCTION("""COMPUTED_VALUE"""),0)</f>
        <v>0</v>
      </c>
      <c r="M7" s="1" t="b">
        <f>IFERROR(__xludf.DUMMYFUNCTION("""COMPUTED_VALUE"""),TRUE)</f>
        <v>1</v>
      </c>
      <c r="N7" s="10">
        <f>IFERROR(__xludf.DUMMYFUNCTION("""COMPUTED_VALUE"""),489.867)</f>
        <v>489.867</v>
      </c>
      <c r="O7" s="10">
        <f>IFERROR(__xludf.DUMMYFUNCTION("""COMPUTED_VALUE"""),337.17)</f>
        <v>337.17</v>
      </c>
      <c r="P7" s="10">
        <f>IFERROR(__xludf.DUMMYFUNCTION("""COMPUTED_VALUE"""),504.025)</f>
        <v>504.025</v>
      </c>
      <c r="Q7" s="30">
        <f>IFERROR(__xludf.DUMMYFUNCTION("""COMPUTED_VALUE"""),20)</f>
        <v>20</v>
      </c>
      <c r="R7" s="18">
        <f>IFERROR(__xludf.DUMMYFUNCTION("""COMPUTED_VALUE"""),3.25)</f>
        <v>3.25</v>
      </c>
      <c r="S7" s="19">
        <f>IFERROR(__xludf.DUMMYFUNCTION("""COMPUTED_VALUE"""),320.736808241731)</f>
        <v>320.736808241731</v>
      </c>
      <c r="T7" s="10">
        <f>IFERROR(__xludf.DUMMYFUNCTION("""COMPUTED_VALUE"""),95742.64)</f>
        <v>95742.64</v>
      </c>
      <c r="U7" s="10">
        <f>IFERROR(__xludf.DUMMYFUNCTION("""COMPUTED_VALUE"""),0)</f>
        <v>0</v>
      </c>
      <c r="V7" s="10">
        <f>IFERROR(__xludf.DUMMYFUNCTION("""COMPUTED_VALUE"""),278.839)</f>
        <v>278.839</v>
      </c>
      <c r="W7" s="10">
        <f>IFERROR(__xludf.DUMMYFUNCTION("""COMPUTED_VALUE"""),674.334)</f>
        <v>674.334</v>
      </c>
      <c r="X7" s="19">
        <f>IFERROR(__xludf.DUMMYFUNCTION("""COMPUTED_VALUE"""),45476.57125)</f>
        <v>45476.57125</v>
      </c>
      <c r="Y7" s="1"/>
      <c r="Z7" s="1"/>
      <c r="AA7" s="30" t="str">
        <f>IFERROR(__xludf.DUMMYFUNCTION("""COMPUTED_VALUE"""),"Clio")</f>
        <v>Clio</v>
      </c>
    </row>
    <row r="8" customHeight="1" spans="1:27">
      <c r="A8" s="1" t="str">
        <f>IFERROR(__xludf.DUMMYFUNCTION("""COMPUTED_VALUE"""),"Crusader R00")</f>
        <v>Crusader R00</v>
      </c>
      <c r="B8" s="1"/>
      <c r="C8" s="1"/>
      <c r="D8" s="1" t="str">
        <f>IFERROR(__xludf.DUMMYFUNCTION("""COMPUTED_VALUE"""),"Crusader")</f>
        <v>Crusader</v>
      </c>
      <c r="E8" s="30" t="str">
        <f>IFERROR(__xludf.DUMMYFUNCTION("""COMPUTED_VALUE"""),"Crusader")</f>
        <v>Crusader</v>
      </c>
      <c r="F8" s="10">
        <f>IFERROR(__xludf.DUMMYFUNCTION("""COMPUTED_VALUE"""),-18962176)</f>
        <v>-18962176</v>
      </c>
      <c r="G8" s="10">
        <f>IFERROR(__xludf.DUMMYFUNCTION("""COMPUTED_VALUE"""),-2664959.99999998)</f>
        <v>-2664959.99999998</v>
      </c>
      <c r="H8" s="10">
        <f>IFERROR(__xludf.DUMMYFUNCTION("""COMPUTED_VALUE"""),0)</f>
        <v>0</v>
      </c>
      <c r="I8" s="13">
        <f>IFERROR(__xludf.DUMMYFUNCTION("""COMPUTED_VALUE"""),1)</f>
        <v>1</v>
      </c>
      <c r="J8" s="13">
        <f>IFERROR(__xludf.DUMMYFUNCTION("""COMPUTED_VALUE"""),0)</f>
        <v>0</v>
      </c>
      <c r="K8" s="13">
        <f>IFERROR(__xludf.DUMMYFUNCTION("""COMPUTED_VALUE"""),0)</f>
        <v>0</v>
      </c>
      <c r="L8" s="13">
        <f>IFERROR(__xludf.DUMMYFUNCTION("""COMPUTED_VALUE"""),0)</f>
        <v>0</v>
      </c>
      <c r="M8" s="1" t="b">
        <f>IFERROR(__xludf.DUMMYFUNCTION("""COMPUTED_VALUE"""),TRUE)</f>
        <v>1</v>
      </c>
      <c r="N8" s="10">
        <f>IFERROR(__xludf.DUMMYFUNCTION("""COMPUTED_VALUE"""),10673.17)</f>
        <v>10673.17</v>
      </c>
      <c r="O8" s="10">
        <f>IFERROR(__xludf.DUMMYFUNCTION("""COMPUTED_VALUE"""),7450.01)</f>
        <v>7450.01</v>
      </c>
      <c r="P8" s="10">
        <f>IFERROR(__xludf.DUMMYFUNCTION("""COMPUTED_VALUE"""),7972.5)</f>
        <v>7972.5</v>
      </c>
      <c r="Q8" s="30">
        <f>IFERROR(__xludf.DUMMYFUNCTION("""COMPUTED_VALUE"""),12)</f>
        <v>12</v>
      </c>
      <c r="R8" s="18">
        <f>IFERROR(__xludf.DUMMYFUNCTION("""COMPUTED_VALUE"""),5.0999999)</f>
        <v>5.0999999</v>
      </c>
      <c r="S8" s="19">
        <f>IFERROR(__xludf.DUMMYFUNCTION("""COMPUTED_VALUE"""),169.960320900157)</f>
        <v>169.960320900157</v>
      </c>
      <c r="T8" s="10">
        <f>IFERROR(__xludf.DUMMYFUNCTION("""COMPUTED_VALUE"""),19148527.616)</f>
        <v>19148527.616</v>
      </c>
      <c r="U8" s="10">
        <f>IFERROR(__xludf.DUMMYFUNCTION("""COMPUTED_VALUE"""),0)</f>
        <v>0</v>
      </c>
      <c r="V8" s="10">
        <f>IFERROR(__xludf.DUMMYFUNCTION("""COMPUTED_VALUE"""),188)</f>
        <v>188</v>
      </c>
      <c r="W8" s="10">
        <f>IFERROR(__xludf.DUMMYFUNCTION("""COMPUTED_VALUE"""),14900)</f>
        <v>14900</v>
      </c>
      <c r="X8" s="19">
        <f>IFERROR(__xludf.DUMMYFUNCTION("""COMPUTED_VALUE"""),45475.77739)</f>
        <v>45475.77739</v>
      </c>
      <c r="Y8" s="1"/>
      <c r="Z8" s="1"/>
      <c r="AA8" s="30" t="str">
        <f>IFERROR(__xludf.DUMMYFUNCTION("""COMPUTED_VALUE"""),"Crusader")</f>
        <v>Crusader</v>
      </c>
    </row>
    <row r="9" customHeight="1" spans="1:27">
      <c r="A9" s="1" t="str">
        <f>IFERROR(__xludf.DUMMYFUNCTION("""COMPUTED_VALUE"""),"Daymar R00")</f>
        <v>Daymar R00</v>
      </c>
      <c r="B9" s="1"/>
      <c r="C9" s="1"/>
      <c r="D9" s="1" t="str">
        <f>IFERROR(__xludf.DUMMYFUNCTION("""COMPUTED_VALUE"""),"Daymar")</f>
        <v>Daymar</v>
      </c>
      <c r="E9" s="30" t="str">
        <f>IFERROR(__xludf.DUMMYFUNCTION("""COMPUTED_VALUE"""),"Daymar")</f>
        <v>Daymar</v>
      </c>
      <c r="F9" s="10">
        <f>IFERROR(__xludf.DUMMYFUNCTION("""COMPUTED_VALUE"""),-18930539.5395348)</f>
        <v>-18930539.5395348</v>
      </c>
      <c r="G9" s="10">
        <f>IFERROR(__xludf.DUMMYFUNCTION("""COMPUTED_VALUE"""),-2610158.76549855)</f>
        <v>-2610158.76549855</v>
      </c>
      <c r="H9" s="10">
        <f>IFERROR(__xludf.DUMMYFUNCTION("""COMPUTED_VALUE"""),0)</f>
        <v>0</v>
      </c>
      <c r="I9" s="13">
        <f>IFERROR(__xludf.DUMMYFUNCTION("""COMPUTED_VALUE"""),1)</f>
        <v>1</v>
      </c>
      <c r="J9" s="13">
        <f>IFERROR(__xludf.DUMMYFUNCTION("""COMPUTED_VALUE"""),0)</f>
        <v>0</v>
      </c>
      <c r="K9" s="13">
        <f>IFERROR(__xludf.DUMMYFUNCTION("""COMPUTED_VALUE"""),0)</f>
        <v>0</v>
      </c>
      <c r="L9" s="13">
        <f>IFERROR(__xludf.DUMMYFUNCTION("""COMPUTED_VALUE"""),0)</f>
        <v>0</v>
      </c>
      <c r="M9" s="1" t="b">
        <f>IFERROR(__xludf.DUMMYFUNCTION("""COMPUTED_VALUE"""),TRUE)</f>
        <v>1</v>
      </c>
      <c r="N9" s="10">
        <f>IFERROR(__xludf.DUMMYFUNCTION("""COMPUTED_VALUE"""),430.028)</f>
        <v>430.028</v>
      </c>
      <c r="O9" s="10">
        <f>IFERROR(__xludf.DUMMYFUNCTION("""COMPUTED_VALUE"""),295)</f>
        <v>295</v>
      </c>
      <c r="P9" s="10">
        <f>IFERROR(__xludf.DUMMYFUNCTION("""COMPUTED_VALUE"""),459.75)</f>
        <v>459.75</v>
      </c>
      <c r="Q9" s="30">
        <f>IFERROR(__xludf.DUMMYFUNCTION("""COMPUTED_VALUE"""),74)</f>
        <v>74</v>
      </c>
      <c r="R9" s="18">
        <f>IFERROR(__xludf.DUMMYFUNCTION("""COMPUTED_VALUE"""),2.48)</f>
        <v>2.48</v>
      </c>
      <c r="S9" s="19">
        <f>IFERROR(__xludf.DUMMYFUNCTION("""COMPUTED_VALUE"""),97.9266280127811)</f>
        <v>97.9266280127811</v>
      </c>
      <c r="T9" s="10">
        <f>IFERROR(__xludf.DUMMYFUNCTION("""COMPUTED_VALUE"""),63279.908)</f>
        <v>63279.908</v>
      </c>
      <c r="U9" s="10">
        <f>IFERROR(__xludf.DUMMYFUNCTION("""COMPUTED_VALUE"""),0)</f>
        <v>0</v>
      </c>
      <c r="V9" s="10">
        <f>IFERROR(__xludf.DUMMYFUNCTION("""COMPUTED_VALUE"""),60)</f>
        <v>60</v>
      </c>
      <c r="W9" s="10">
        <f>IFERROR(__xludf.DUMMYFUNCTION("""COMPUTED_VALUE"""),590)</f>
        <v>590</v>
      </c>
      <c r="X9" s="19">
        <f>IFERROR(__xludf.DUMMYFUNCTION("""COMPUTED_VALUE"""),45475.79209)</f>
        <v>45475.79209</v>
      </c>
      <c r="Y9" s="1"/>
      <c r="Z9" s="1"/>
      <c r="AA9" s="30" t="str">
        <f>IFERROR(__xludf.DUMMYFUNCTION("""COMPUTED_VALUE"""),"Daymar")</f>
        <v>Daymar</v>
      </c>
    </row>
    <row r="10" customHeight="1" spans="1:27">
      <c r="A10" s="1" t="str">
        <f>IFERROR(__xludf.DUMMYFUNCTION("""COMPUTED_VALUE"""),"Delamar R00")</f>
        <v>Delamar R00</v>
      </c>
      <c r="B10" s="1"/>
      <c r="C10" s="1"/>
      <c r="D10" s="1" t="str">
        <f>IFERROR(__xludf.DUMMYFUNCTION("""COMPUTED_VALUE"""),"Delamar")</f>
        <v>Delamar</v>
      </c>
      <c r="E10" s="30" t="str">
        <f>IFERROR(__xludf.DUMMYFUNCTION("""COMPUTED_VALUE"""),"Delamar")</f>
        <v>Delamar</v>
      </c>
      <c r="F10" s="10">
        <f>IFERROR(__xludf.DUMMYFUNCTION("""COMPUTED_VALUE"""),-10531703.4784293)</f>
        <v>-10531703.4784293</v>
      </c>
      <c r="G10" s="10">
        <f>IFERROR(__xludf.DUMMYFUNCTION("""COMPUTED_VALUE"""),18241438.6638409)</f>
        <v>18241438.6638409</v>
      </c>
      <c r="H10" s="10">
        <f>IFERROR(__xludf.DUMMYFUNCTION("""COMPUTED_VALUE"""),0)</f>
        <v>0</v>
      </c>
      <c r="I10" s="13">
        <f>IFERROR(__xludf.DUMMYFUNCTION("""COMPUTED_VALUE"""),-0.02566203)</f>
        <v>-0.02566203</v>
      </c>
      <c r="J10" s="13">
        <f>IFERROR(__xludf.DUMMYFUNCTION("""COMPUTED_VALUE"""),0.76970404)</f>
        <v>0.76970404</v>
      </c>
      <c r="K10" s="13">
        <f>IFERROR(__xludf.DUMMYFUNCTION("""COMPUTED_VALUE"""),-0.45771712)</f>
        <v>-0.45771712</v>
      </c>
      <c r="L10" s="13">
        <f>IFERROR(__xludf.DUMMYFUNCTION("""COMPUTED_VALUE"""),-0.44428843)</f>
        <v>-0.44428843</v>
      </c>
      <c r="M10" s="1" t="b">
        <f>IFERROR(__xludf.DUMMYFUNCTION("""COMPUTED_VALUE"""),TRUE)</f>
        <v>1</v>
      </c>
      <c r="N10" s="10">
        <f>IFERROR(__xludf.DUMMYFUNCTION("""COMPUTED_VALUE"""),118.89)</f>
        <v>118.89</v>
      </c>
      <c r="O10" s="10">
        <f>IFERROR(__xludf.DUMMYFUNCTION("""COMPUTED_VALUE"""),75)</f>
        <v>75</v>
      </c>
      <c r="P10" s="10">
        <f>IFERROR(__xludf.DUMMYFUNCTION("""COMPUTED_VALUE"""),228.75)</f>
        <v>228.75</v>
      </c>
      <c r="Q10" s="30">
        <f>IFERROR(__xludf.DUMMYFUNCTION("""COMPUTED_VALUE"""),10)</f>
        <v>10</v>
      </c>
      <c r="R10" s="18">
        <f>IFERROR(__xludf.DUMMYFUNCTION("""COMPUTED_VALUE"""),0)</f>
        <v>0</v>
      </c>
      <c r="S10" s="19">
        <f>IFERROR(__xludf.DUMMYFUNCTION("""COMPUTED_VALUE"""),0)</f>
        <v>0</v>
      </c>
      <c r="T10" s="10">
        <f>IFERROR(__xludf.DUMMYFUNCTION("""COMPUTED_VALUE"""),21063401.472)</f>
        <v>21063401.472</v>
      </c>
      <c r="U10" s="10">
        <f>IFERROR(__xludf.DUMMYFUNCTION("""COMPUTED_VALUE"""),0)</f>
        <v>0</v>
      </c>
      <c r="V10" s="10">
        <f>IFERROR(__xludf.DUMMYFUNCTION("""COMPUTED_VALUE"""),120)</f>
        <v>120</v>
      </c>
      <c r="W10" s="10">
        <f>IFERROR(__xludf.DUMMYFUNCTION("""COMPUTED_VALUE"""),700)</f>
        <v>700</v>
      </c>
      <c r="X10" s="19"/>
      <c r="Y10" s="1"/>
      <c r="Z10" s="1"/>
      <c r="AA10" s="30" t="str">
        <f>IFERROR(__xludf.DUMMYFUNCTION("""COMPUTED_VALUE"""),"Euterpe")</f>
        <v>Euterpe</v>
      </c>
    </row>
    <row r="11" customHeight="1" spans="1:27">
      <c r="A11" s="1" t="str">
        <f>IFERROR(__xludf.DUMMYFUNCTION("""COMPUTED_VALUE"""),"Euterpe R00")</f>
        <v>Euterpe R00</v>
      </c>
      <c r="B11" s="1"/>
      <c r="C11" s="1"/>
      <c r="D11" s="1" t="str">
        <f>IFERROR(__xludf.DUMMYFUNCTION("""COMPUTED_VALUE"""),"Euterpe")</f>
        <v>Euterpe</v>
      </c>
      <c r="E11" s="30" t="str">
        <f>IFERROR(__xludf.DUMMYFUNCTION("""COMPUTED_VALUE"""),"Euterpe")</f>
        <v>Euterpe</v>
      </c>
      <c r="F11" s="10">
        <f>IFERROR(__xludf.DUMMYFUNCTION("""COMPUTED_VALUE"""),22488109.735701)</f>
        <v>22488109.735701</v>
      </c>
      <c r="G11" s="10">
        <f>IFERROR(__xludf.DUMMYFUNCTION("""COMPUTED_VALUE"""),37081123.5646791)</f>
        <v>37081123.5646791</v>
      </c>
      <c r="H11" s="10">
        <f>IFERROR(__xludf.DUMMYFUNCTION("""COMPUTED_VALUE"""),0)</f>
        <v>0</v>
      </c>
      <c r="I11" s="13">
        <f>IFERROR(__xludf.DUMMYFUNCTION("""COMPUTED_VALUE"""),1)</f>
        <v>1</v>
      </c>
      <c r="J11" s="13">
        <f>IFERROR(__xludf.DUMMYFUNCTION("""COMPUTED_VALUE"""),0)</f>
        <v>0</v>
      </c>
      <c r="K11" s="13">
        <f>IFERROR(__xludf.DUMMYFUNCTION("""COMPUTED_VALUE"""),0)</f>
        <v>0</v>
      </c>
      <c r="L11" s="13">
        <f>IFERROR(__xludf.DUMMYFUNCTION("""COMPUTED_VALUE"""),0)</f>
        <v>0</v>
      </c>
      <c r="M11" s="1" t="b">
        <f>IFERROR(__xludf.DUMMYFUNCTION("""COMPUTED_VALUE"""),TRUE)</f>
        <v>1</v>
      </c>
      <c r="N11" s="10">
        <f>IFERROR(__xludf.DUMMYFUNCTION("""COMPUTED_VALUE"""),314.031)</f>
        <v>314.031</v>
      </c>
      <c r="O11" s="10">
        <f>IFERROR(__xludf.DUMMYFUNCTION("""COMPUTED_VALUE"""),213)</f>
        <v>213</v>
      </c>
      <c r="P11" s="10">
        <f>IFERROR(__xludf.DUMMYFUNCTION("""COMPUTED_VALUE"""),373.475)</f>
        <v>373.475</v>
      </c>
      <c r="Q11" s="30">
        <f>IFERROR(__xludf.DUMMYFUNCTION("""COMPUTED_VALUE"""),27)</f>
        <v>27</v>
      </c>
      <c r="R11" s="18">
        <f>IFERROR(__xludf.DUMMYFUNCTION("""COMPUTED_VALUE"""),4.2800002)</f>
        <v>4.2800002</v>
      </c>
      <c r="S11" s="19">
        <f>IFERROR(__xludf.DUMMYFUNCTION("""COMPUTED_VALUE"""),99.1054730380663)</f>
        <v>99.1054730380663</v>
      </c>
      <c r="T11" s="10">
        <f>IFERROR(__xludf.DUMMYFUNCTION("""COMPUTED_VALUE"""),107710.472)</f>
        <v>107710.472</v>
      </c>
      <c r="U11" s="10">
        <f>IFERROR(__xludf.DUMMYFUNCTION("""COMPUTED_VALUE"""),0)</f>
        <v>0</v>
      </c>
      <c r="V11" s="10">
        <f>IFERROR(__xludf.DUMMYFUNCTION("""COMPUTED_VALUE"""),284.02)</f>
        <v>284.02</v>
      </c>
      <c r="W11" s="10">
        <f>IFERROR(__xludf.DUMMYFUNCTION("""COMPUTED_VALUE"""),425.666)</f>
        <v>425.666</v>
      </c>
      <c r="X11" s="19">
        <f>IFERROR(__xludf.DUMMYFUNCTION("""COMPUTED_VALUE"""),45476.56575)</f>
        <v>45476.56575</v>
      </c>
      <c r="Y11" s="1"/>
      <c r="Z11" s="1"/>
      <c r="AA11" s="30" t="str">
        <f>IFERROR(__xludf.DUMMYFUNCTION("""COMPUTED_VALUE"""),"Hurston")</f>
        <v>Hurston</v>
      </c>
    </row>
    <row r="12" customHeight="1" spans="1:27">
      <c r="A12" s="1" t="str">
        <f>IFERROR(__xludf.DUMMYFUNCTION("""COMPUTED_VALUE"""),"Hurston R00")</f>
        <v>Hurston R00</v>
      </c>
      <c r="B12" s="1"/>
      <c r="C12" s="1"/>
      <c r="D12" s="1" t="str">
        <f>IFERROR(__xludf.DUMMYFUNCTION("""COMPUTED_VALUE"""),"Hurston")</f>
        <v>Hurston</v>
      </c>
      <c r="E12" s="30" t="str">
        <f>IFERROR(__xludf.DUMMYFUNCTION("""COMPUTED_VALUE"""),"Hurston")</f>
        <v>Hurston</v>
      </c>
      <c r="F12" s="10">
        <f>IFERROR(__xludf.DUMMYFUNCTION("""COMPUTED_VALUE"""),12850457.093)</f>
        <v>12850457.093</v>
      </c>
      <c r="G12" s="10">
        <f>IFERROR(__xludf.DUMMYFUNCTION("""COMPUTED_VALUE"""),0)</f>
        <v>0</v>
      </c>
      <c r="H12" s="10">
        <f>IFERROR(__xludf.DUMMYFUNCTION("""COMPUTED_VALUE"""),0)</f>
        <v>0</v>
      </c>
      <c r="I12" s="13">
        <f>IFERROR(__xludf.DUMMYFUNCTION("""COMPUTED_VALUE"""),1)</f>
        <v>1</v>
      </c>
      <c r="J12" s="13">
        <f>IFERROR(__xludf.DUMMYFUNCTION("""COMPUTED_VALUE"""),0)</f>
        <v>0</v>
      </c>
      <c r="K12" s="13">
        <f>IFERROR(__xludf.DUMMYFUNCTION("""COMPUTED_VALUE"""),0)</f>
        <v>0</v>
      </c>
      <c r="L12" s="13">
        <f>IFERROR(__xludf.DUMMYFUNCTION("""COMPUTED_VALUE"""),0)</f>
        <v>0</v>
      </c>
      <c r="M12" s="1" t="b">
        <f>IFERROR(__xludf.DUMMYFUNCTION("""COMPUTED_VALUE"""),TRUE)</f>
        <v>1</v>
      </c>
      <c r="N12" s="10">
        <f>IFERROR(__xludf.DUMMYFUNCTION("""COMPUTED_VALUE"""),1436.814)</f>
        <v>1436.814</v>
      </c>
      <c r="O12" s="10">
        <f>IFERROR(__xludf.DUMMYFUNCTION("""COMPUTED_VALUE"""),1000)</f>
        <v>1000</v>
      </c>
      <c r="P12" s="10">
        <f>IFERROR(__xludf.DUMMYFUNCTION("""COMPUTED_VALUE"""),1200)</f>
        <v>1200</v>
      </c>
      <c r="Q12" s="30">
        <f>IFERROR(__xludf.DUMMYFUNCTION("""COMPUTED_VALUE"""),145)</f>
        <v>145</v>
      </c>
      <c r="R12" s="18">
        <f>IFERROR(__xludf.DUMMYFUNCTION("""COMPUTED_VALUE"""),2.48)</f>
        <v>2.48</v>
      </c>
      <c r="S12" s="19">
        <f>IFERROR(__xludf.DUMMYFUNCTION("""COMPUTED_VALUE"""),62.7219070339505)</f>
        <v>62.7219070339505</v>
      </c>
      <c r="T12" s="10">
        <f>IFERROR(__xludf.DUMMYFUNCTION("""COMPUTED_VALUE"""),12850457.6)</f>
        <v>12850457.6</v>
      </c>
      <c r="U12" s="10">
        <f>IFERROR(__xludf.DUMMYFUNCTION("""COMPUTED_VALUE"""),0)</f>
        <v>0</v>
      </c>
      <c r="V12" s="10">
        <f>IFERROR(__xludf.DUMMYFUNCTION("""COMPUTED_VALUE"""),0)</f>
        <v>0</v>
      </c>
      <c r="W12" s="10">
        <f>IFERROR(__xludf.DUMMYFUNCTION("""COMPUTED_VALUE"""),2000)</f>
        <v>2000</v>
      </c>
      <c r="X12" s="19">
        <f>IFERROR(__xludf.DUMMYFUNCTION("""COMPUTED_VALUE"""),45475.76707)</f>
        <v>45475.76707</v>
      </c>
      <c r="Y12" s="1"/>
      <c r="Z12" s="1"/>
      <c r="AA12" s="30" t="str">
        <f>IFERROR(__xludf.DUMMYFUNCTION("""COMPUTED_VALUE"""),"Ita")</f>
        <v>Ita</v>
      </c>
    </row>
    <row r="13" customHeight="1" spans="1:27">
      <c r="A13" s="1" t="str">
        <f>IFERROR(__xludf.DUMMYFUNCTION("""COMPUTED_VALUE"""),"Ita R00")</f>
        <v>Ita R00</v>
      </c>
      <c r="B13" s="1"/>
      <c r="C13" s="1"/>
      <c r="D13" s="1" t="str">
        <f>IFERROR(__xludf.DUMMYFUNCTION("""COMPUTED_VALUE"""),"Ita")</f>
        <v>Ita</v>
      </c>
      <c r="E13" s="30" t="str">
        <f>IFERROR(__xludf.DUMMYFUNCTION("""COMPUTED_VALUE"""),"Ita")</f>
        <v>Ita</v>
      </c>
      <c r="F13" s="10">
        <f>IFERROR(__xludf.DUMMYFUNCTION("""COMPUTED_VALUE"""),12830194.7158127)</f>
        <v>12830194.7158127</v>
      </c>
      <c r="G13" s="10">
        <f>IFERROR(__xludf.DUMMYFUNCTION("""COMPUTED_VALUE"""),114913.608600052)</f>
        <v>114913.608600052</v>
      </c>
      <c r="H13" s="10">
        <f>IFERROR(__xludf.DUMMYFUNCTION("""COMPUTED_VALUE"""),0)</f>
        <v>0</v>
      </c>
      <c r="I13" s="13">
        <f>IFERROR(__xludf.DUMMYFUNCTION("""COMPUTED_VALUE"""),1)</f>
        <v>1</v>
      </c>
      <c r="J13" s="13">
        <f>IFERROR(__xludf.DUMMYFUNCTION("""COMPUTED_VALUE"""),0)</f>
        <v>0</v>
      </c>
      <c r="K13" s="13">
        <f>IFERROR(__xludf.DUMMYFUNCTION("""COMPUTED_VALUE"""),0)</f>
        <v>0</v>
      </c>
      <c r="L13" s="13">
        <f>IFERROR(__xludf.DUMMYFUNCTION("""COMPUTED_VALUE"""),0)</f>
        <v>0</v>
      </c>
      <c r="M13" s="1" t="b">
        <f>IFERROR(__xludf.DUMMYFUNCTION("""COMPUTED_VALUE"""),TRUE)</f>
        <v>1</v>
      </c>
      <c r="N13" s="10">
        <f>IFERROR(__xludf.DUMMYFUNCTION("""COMPUTED_VALUE"""),472.453)</f>
        <v>472.453</v>
      </c>
      <c r="O13" s="10">
        <f>IFERROR(__xludf.DUMMYFUNCTION("""COMPUTED_VALUE"""),325)</f>
        <v>325</v>
      </c>
      <c r="P13" s="10">
        <f>IFERROR(__xludf.DUMMYFUNCTION("""COMPUTED_VALUE"""),491.25)</f>
        <v>491.25</v>
      </c>
      <c r="Q13" s="30">
        <f>IFERROR(__xludf.DUMMYFUNCTION("""COMPUTED_VALUE"""),44)</f>
        <v>44</v>
      </c>
      <c r="R13" s="18">
        <f>IFERROR(__xludf.DUMMYFUNCTION("""COMPUTED_VALUE"""),4.8499999)</f>
        <v>4.8499999</v>
      </c>
      <c r="S13" s="19">
        <f>IFERROR(__xludf.DUMMYFUNCTION("""COMPUTED_VALUE"""),143.590549570971)</f>
        <v>143.590549570971</v>
      </c>
      <c r="T13" s="10">
        <f>IFERROR(__xludf.DUMMYFUNCTION("""COMPUTED_VALUE"""),116686.336)</f>
        <v>116686.336</v>
      </c>
      <c r="U13" s="10">
        <f>IFERROR(__xludf.DUMMYFUNCTION("""COMPUTED_VALUE"""),0)</f>
        <v>0</v>
      </c>
      <c r="V13" s="10">
        <f>IFERROR(__xludf.DUMMYFUNCTION("""COMPUTED_VALUE"""),100)</f>
        <v>100</v>
      </c>
      <c r="W13" s="10">
        <f>IFERROR(__xludf.DUMMYFUNCTION("""COMPUTED_VALUE"""),650)</f>
        <v>650</v>
      </c>
      <c r="X13" s="19">
        <f>IFERROR(__xludf.DUMMYFUNCTION("""COMPUTED_VALUE"""),45475.75244)</f>
        <v>45475.75244</v>
      </c>
      <c r="Y13" s="1"/>
      <c r="Z13" s="1"/>
      <c r="AA13" s="30" t="str">
        <f>IFERROR(__xludf.DUMMYFUNCTION("""COMPUTED_VALUE"""),"Lyria")</f>
        <v>Lyria</v>
      </c>
    </row>
    <row r="14" customHeight="1" spans="1:27">
      <c r="A14" s="1" t="str">
        <f>IFERROR(__xludf.DUMMYFUNCTION("""COMPUTED_VALUE"""),"Lyria R00")</f>
        <v>Lyria R00</v>
      </c>
      <c r="B14" s="1"/>
      <c r="C14" s="1"/>
      <c r="D14" s="1" t="str">
        <f>IFERROR(__xludf.DUMMYFUNCTION("""COMPUTED_VALUE"""),"Lyria")</f>
        <v>Lyria</v>
      </c>
      <c r="E14" s="30" t="str">
        <f>IFERROR(__xludf.DUMMYFUNCTION("""COMPUTED_VALUE"""),"Lyria")</f>
        <v>Lyria</v>
      </c>
      <c r="F14" s="10">
        <f>IFERROR(__xludf.DUMMYFUNCTION("""COMPUTED_VALUE"""),18703607.1715559)</f>
        <v>18703607.1715559</v>
      </c>
      <c r="G14" s="10">
        <f>IFERROR(__xludf.DUMMYFUNCTION("""COMPUTED_VALUE"""),-22121650.1338641)</f>
        <v>-22121650.1338641</v>
      </c>
      <c r="H14" s="10">
        <f>IFERROR(__xludf.DUMMYFUNCTION("""COMPUTED_VALUE"""),0)</f>
        <v>0</v>
      </c>
      <c r="I14" s="13">
        <f>IFERROR(__xludf.DUMMYFUNCTION("""COMPUTED_VALUE"""),1)</f>
        <v>1</v>
      </c>
      <c r="J14" s="13">
        <f>IFERROR(__xludf.DUMMYFUNCTION("""COMPUTED_VALUE"""),0)</f>
        <v>0</v>
      </c>
      <c r="K14" s="13">
        <f>IFERROR(__xludf.DUMMYFUNCTION("""COMPUTED_VALUE"""),0)</f>
        <v>0</v>
      </c>
      <c r="L14" s="13">
        <f>IFERROR(__xludf.DUMMYFUNCTION("""COMPUTED_VALUE"""),0)</f>
        <v>0</v>
      </c>
      <c r="M14" s="1" t="b">
        <f>IFERROR(__xludf.DUMMYFUNCTION("""COMPUTED_VALUE"""),TRUE)</f>
        <v>1</v>
      </c>
      <c r="N14" s="10">
        <f>IFERROR(__xludf.DUMMYFUNCTION("""COMPUTED_VALUE"""),328.204)</f>
        <v>328.204</v>
      </c>
      <c r="O14" s="10">
        <f>IFERROR(__xludf.DUMMYFUNCTION("""COMPUTED_VALUE"""),223)</f>
        <v>223</v>
      </c>
      <c r="P14" s="10">
        <f>IFERROR(__xludf.DUMMYFUNCTION("""COMPUTED_VALUE"""),384.15)</f>
        <v>384.15</v>
      </c>
      <c r="Q14" s="30">
        <f>IFERROR(__xludf.DUMMYFUNCTION("""COMPUTED_VALUE"""),29)</f>
        <v>29</v>
      </c>
      <c r="R14" s="18">
        <f>IFERROR(__xludf.DUMMYFUNCTION("""COMPUTED_VALUE"""),6.4299998)</f>
        <v>6.4299998</v>
      </c>
      <c r="S14" s="19">
        <f>IFERROR(__xludf.DUMMYFUNCTION("""COMPUTED_VALUE"""),103.057214156613)</f>
        <v>103.057214156613</v>
      </c>
      <c r="T14" s="10">
        <f>IFERROR(__xludf.DUMMYFUNCTION("""COMPUTED_VALUE"""),119827.896)</f>
        <v>119827.896</v>
      </c>
      <c r="U14" s="10">
        <f>IFERROR(__xludf.DUMMYFUNCTION("""COMPUTED_VALUE"""),0)</f>
        <v>0</v>
      </c>
      <c r="V14" s="10">
        <f>IFERROR(__xludf.DUMMYFUNCTION("""COMPUTED_VALUE"""),14.631)</f>
        <v>14.631</v>
      </c>
      <c r="W14" s="10">
        <f>IFERROR(__xludf.DUMMYFUNCTION("""COMPUTED_VALUE"""),446)</f>
        <v>446</v>
      </c>
      <c r="X14" s="19">
        <f>IFERROR(__xludf.DUMMYFUNCTION("""COMPUTED_VALUE"""),45473.8807)</f>
        <v>45473.8807</v>
      </c>
      <c r="Y14" s="1"/>
      <c r="Z14" s="1"/>
      <c r="AA14" s="30" t="str">
        <f>IFERROR(__xludf.DUMMYFUNCTION("""COMPUTED_VALUE"""),"Magda")</f>
        <v>Magda</v>
      </c>
    </row>
    <row r="15" customHeight="1" spans="1:27">
      <c r="A15" s="1" t="str">
        <f>IFERROR(__xludf.DUMMYFUNCTION("""COMPUTED_VALUE"""),"Magda R00")</f>
        <v>Magda R00</v>
      </c>
      <c r="B15" s="1"/>
      <c r="C15" s="1"/>
      <c r="D15" s="1" t="str">
        <f>IFERROR(__xludf.DUMMYFUNCTION("""COMPUTED_VALUE"""),"Magda")</f>
        <v>Magda</v>
      </c>
      <c r="E15" s="30" t="str">
        <f>IFERROR(__xludf.DUMMYFUNCTION("""COMPUTED_VALUE"""),"Magda")</f>
        <v>Magda</v>
      </c>
      <c r="F15" s="10">
        <f>IFERROR(__xludf.DUMMYFUNCTION("""COMPUTED_VALUE"""),12792686.3594182)</f>
        <v>12792686.3594182</v>
      </c>
      <c r="G15" s="10">
        <f>IFERROR(__xludf.DUMMYFUNCTION("""COMPUTED_VALUE"""),-74464.580982047)</f>
        <v>-74464.580982047</v>
      </c>
      <c r="H15" s="10">
        <f>IFERROR(__xludf.DUMMYFUNCTION("""COMPUTED_VALUE"""),0)</f>
        <v>0</v>
      </c>
      <c r="I15" s="13">
        <f>IFERROR(__xludf.DUMMYFUNCTION("""COMPUTED_VALUE"""),1)</f>
        <v>1</v>
      </c>
      <c r="J15" s="13">
        <f>IFERROR(__xludf.DUMMYFUNCTION("""COMPUTED_VALUE"""),0)</f>
        <v>0</v>
      </c>
      <c r="K15" s="13">
        <f>IFERROR(__xludf.DUMMYFUNCTION("""COMPUTED_VALUE"""),0)</f>
        <v>0</v>
      </c>
      <c r="L15" s="13">
        <f>IFERROR(__xludf.DUMMYFUNCTION("""COMPUTED_VALUE"""),0)</f>
        <v>0</v>
      </c>
      <c r="M15" s="1" t="b">
        <f>IFERROR(__xludf.DUMMYFUNCTION("""COMPUTED_VALUE"""),TRUE)</f>
        <v>1</v>
      </c>
      <c r="N15" s="10">
        <f>IFERROR(__xludf.DUMMYFUNCTION("""COMPUTED_VALUE"""),494.84)</f>
        <v>494.84</v>
      </c>
      <c r="O15" s="10">
        <f>IFERROR(__xludf.DUMMYFUNCTION("""COMPUTED_VALUE"""),340.83)</f>
        <v>340.83</v>
      </c>
      <c r="P15" s="10">
        <f>IFERROR(__xludf.DUMMYFUNCTION("""COMPUTED_VALUE"""),507.875)</f>
        <v>507.875</v>
      </c>
      <c r="Q15" s="30">
        <f>IFERROR(__xludf.DUMMYFUNCTION("""COMPUTED_VALUE"""),55)</f>
        <v>55</v>
      </c>
      <c r="R15" s="18">
        <f>IFERROR(__xludf.DUMMYFUNCTION("""COMPUTED_VALUE"""),1.9400001)</f>
        <v>1.9400001</v>
      </c>
      <c r="S15" s="19">
        <f>IFERROR(__xludf.DUMMYFUNCTION("""COMPUTED_VALUE"""),116.846258382685)</f>
        <v>116.846258382685</v>
      </c>
      <c r="T15" s="10">
        <f>IFERROR(__xludf.DUMMYFUNCTION("""COMPUTED_VALUE"""),94246.656)</f>
        <v>94246.656</v>
      </c>
      <c r="U15" s="10">
        <f>IFERROR(__xludf.DUMMYFUNCTION("""COMPUTED_VALUE"""),0)</f>
        <v>0</v>
      </c>
      <c r="V15" s="10">
        <f>IFERROR(__xludf.DUMMYFUNCTION("""COMPUTED_VALUE"""),232.195)</f>
        <v>232.195</v>
      </c>
      <c r="W15" s="10">
        <f>IFERROR(__xludf.DUMMYFUNCTION("""COMPUTED_VALUE"""),681.666)</f>
        <v>681.666</v>
      </c>
      <c r="X15" s="19">
        <f>IFERROR(__xludf.DUMMYFUNCTION("""COMPUTED_VALUE"""),45475.74653)</f>
        <v>45475.74653</v>
      </c>
      <c r="Y15" s="1"/>
      <c r="Z15" s="1"/>
      <c r="AA15" s="30" t="str">
        <f>IFERROR(__xludf.DUMMYFUNCTION("""COMPUTED_VALUE"""),"microTech")</f>
        <v>microTech</v>
      </c>
    </row>
    <row r="16" customHeight="1" spans="1:27">
      <c r="A16" s="1" t="str">
        <f>IFERROR(__xludf.DUMMYFUNCTION("""COMPUTED_VALUE"""),"microTech R00")</f>
        <v>microTech R00</v>
      </c>
      <c r="B16" s="1"/>
      <c r="C16" s="1"/>
      <c r="D16" s="1" t="str">
        <f>IFERROR(__xludf.DUMMYFUNCTION("""COMPUTED_VALUE"""),"microTech")</f>
        <v>microTech</v>
      </c>
      <c r="E16" s="30" t="str">
        <f>IFERROR(__xludf.DUMMYFUNCTION("""COMPUTED_VALUE"""),"microTech")</f>
        <v>microTech</v>
      </c>
      <c r="F16" s="10">
        <f>IFERROR(__xludf.DUMMYFUNCTION("""COMPUTED_VALUE"""),22462085.2524846)</f>
        <v>22462085.2524846</v>
      </c>
      <c r="G16" s="10">
        <f>IFERROR(__xludf.DUMMYFUNCTION("""COMPUTED_VALUE"""),37185744.9648301)</f>
        <v>37185744.9648301</v>
      </c>
      <c r="H16" s="10">
        <f>IFERROR(__xludf.DUMMYFUNCTION("""COMPUTED_VALUE"""),0)</f>
        <v>0</v>
      </c>
      <c r="I16" s="13">
        <f>IFERROR(__xludf.DUMMYFUNCTION("""COMPUTED_VALUE"""),1)</f>
        <v>1</v>
      </c>
      <c r="J16" s="13">
        <f>IFERROR(__xludf.DUMMYFUNCTION("""COMPUTED_VALUE"""),0)</f>
        <v>0</v>
      </c>
      <c r="K16" s="13">
        <f>IFERROR(__xludf.DUMMYFUNCTION("""COMPUTED_VALUE"""),0)</f>
        <v>0</v>
      </c>
      <c r="L16" s="13">
        <f>IFERROR(__xludf.DUMMYFUNCTION("""COMPUTED_VALUE"""),0)</f>
        <v>0</v>
      </c>
      <c r="M16" s="1" t="b">
        <f>IFERROR(__xludf.DUMMYFUNCTION("""COMPUTED_VALUE"""),TRUE)</f>
        <v>1</v>
      </c>
      <c r="N16" s="10">
        <f>IFERROR(__xludf.DUMMYFUNCTION("""COMPUTED_VALUE"""),1439.593)</f>
        <v>1439.593</v>
      </c>
      <c r="O16" s="10">
        <f>IFERROR(__xludf.DUMMYFUNCTION("""COMPUTED_VALUE"""),1000)</f>
        <v>1000</v>
      </c>
      <c r="P16" s="10">
        <f>IFERROR(__xludf.DUMMYFUNCTION("""COMPUTED_VALUE"""),1800)</f>
        <v>1800</v>
      </c>
      <c r="Q16" s="30">
        <f>IFERROR(__xludf.DUMMYFUNCTION("""COMPUTED_VALUE"""),101)</f>
        <v>101</v>
      </c>
      <c r="R16" s="18">
        <f>IFERROR(__xludf.DUMMYFUNCTION("""COMPUTED_VALUE"""),4.1199999)</f>
        <v>4.1199999</v>
      </c>
      <c r="S16" s="19">
        <f>IFERROR(__xludf.DUMMYFUNCTION("""COMPUTED_VALUE"""),158.012884649985)</f>
        <v>158.012884649985</v>
      </c>
      <c r="T16" s="10">
        <f>IFERROR(__xludf.DUMMYFUNCTION("""COMPUTED_VALUE"""),43443216.384)</f>
        <v>43443216.384</v>
      </c>
      <c r="U16" s="10">
        <f>IFERROR(__xludf.DUMMYFUNCTION("""COMPUTED_VALUE"""),0)</f>
        <v>0</v>
      </c>
      <c r="V16" s="10">
        <f>IFERROR(__xludf.DUMMYFUNCTION("""COMPUTED_VALUE"""),58.866)</f>
        <v>58.866</v>
      </c>
      <c r="W16" s="10">
        <f>IFERROR(__xludf.DUMMYFUNCTION("""COMPUTED_VALUE"""),2300)</f>
        <v>2300</v>
      </c>
      <c r="X16" s="19">
        <f>IFERROR(__xludf.DUMMYFUNCTION("""COMPUTED_VALUE"""),45476.5594)</f>
        <v>45476.5594</v>
      </c>
      <c r="Y16" s="1"/>
      <c r="Z16" s="1"/>
      <c r="AA16" s="30" t="str">
        <f>IFERROR(__xludf.DUMMYFUNCTION("""COMPUTED_VALUE"""),"Wala")</f>
        <v>Wala</v>
      </c>
    </row>
    <row r="17" customHeight="1" spans="1:27">
      <c r="A17" s="1" t="str">
        <f>IFERROR(__xludf.DUMMYFUNCTION("""COMPUTED_VALUE"""),"Stanton R00")</f>
        <v>Stanton R00</v>
      </c>
      <c r="B17" s="1"/>
      <c r="C17" s="1"/>
      <c r="D17" s="1" t="str">
        <f>IFERROR(__xludf.DUMMYFUNCTION("""COMPUTED_VALUE"""),"Stanton")</f>
        <v>Stanton</v>
      </c>
      <c r="E17" s="30" t="str">
        <f>IFERROR(__xludf.DUMMYFUNCTION("""COMPUTED_VALUE"""),"Stanton")</f>
        <v>Stanton</v>
      </c>
      <c r="F17" s="10">
        <f>IFERROR(__xludf.DUMMYFUNCTION("""COMPUTED_VALUE"""),136049.869550902)</f>
        <v>136049.869550902</v>
      </c>
      <c r="G17" s="10">
        <f>IFERROR(__xludf.DUMMYFUNCTION("""COMPUTED_VALUE"""),1294427.3997762)</f>
        <v>1294427.3997762</v>
      </c>
      <c r="H17" s="10">
        <f>IFERROR(__xludf.DUMMYFUNCTION("""COMPUTED_VALUE"""),2923345.3678455)</f>
        <v>2923345.3678455</v>
      </c>
      <c r="I17" s="13">
        <f>IFERROR(__xludf.DUMMYFUNCTION("""COMPUTED_VALUE"""),1)</f>
        <v>1</v>
      </c>
      <c r="J17" s="13">
        <f>IFERROR(__xludf.DUMMYFUNCTION("""COMPUTED_VALUE"""),0)</f>
        <v>0</v>
      </c>
      <c r="K17" s="13">
        <f>IFERROR(__xludf.DUMMYFUNCTION("""COMPUTED_VALUE"""),0.00000001)</f>
        <v>1e-8</v>
      </c>
      <c r="L17" s="13">
        <f>IFERROR(__xludf.DUMMYFUNCTION("""COMPUTED_VALUE"""),0.00000002)</f>
        <v>2e-8</v>
      </c>
      <c r="M17" s="1" t="b">
        <f>IFERROR(__xludf.DUMMYFUNCTION("""COMPUTED_VALUE"""),TRUE)</f>
        <v>1</v>
      </c>
      <c r="N17" s="10"/>
      <c r="O17" s="10">
        <f>IFERROR(__xludf.DUMMYFUNCTION("""COMPUTED_VALUE"""),696000)</f>
        <v>696000</v>
      </c>
      <c r="P17" s="10"/>
      <c r="Q17" s="30"/>
      <c r="R17" s="18"/>
      <c r="S17" s="19"/>
      <c r="T17" s="10"/>
      <c r="U17" s="10"/>
      <c r="V17" s="10"/>
      <c r="W17" s="10"/>
      <c r="X17" s="19"/>
      <c r="Y17" s="1"/>
      <c r="Z17" s="1"/>
      <c r="AA17" s="30" t="str">
        <f>IFERROR(__xludf.DUMMYFUNCTION("""COMPUTED_VALUE"""),"Yela")</f>
        <v>Yela</v>
      </c>
    </row>
    <row r="18" customHeight="1" spans="1:27">
      <c r="A18" s="1" t="str">
        <f>IFERROR(__xludf.DUMMYFUNCTION("""COMPUTED_VALUE"""),"Wala R00")</f>
        <v>Wala R00</v>
      </c>
      <c r="B18" s="1"/>
      <c r="C18" s="1"/>
      <c r="D18" s="1" t="str">
        <f>IFERROR(__xludf.DUMMYFUNCTION("""COMPUTED_VALUE"""),"Wala")</f>
        <v>Wala</v>
      </c>
      <c r="E18" s="30" t="str">
        <f>IFERROR(__xludf.DUMMYFUNCTION("""COMPUTED_VALUE"""),"Wala")</f>
        <v>Wala</v>
      </c>
      <c r="F18" s="10">
        <f>IFERROR(__xludf.DUMMYFUNCTION("""COMPUTED_VALUE"""),18379649.3098674)</f>
        <v>18379649.3098674</v>
      </c>
      <c r="G18" s="10">
        <f>IFERROR(__xludf.DUMMYFUNCTION("""COMPUTED_VALUE"""),-22000466.7680382)</f>
        <v>-22000466.7680382</v>
      </c>
      <c r="H18" s="10">
        <f>IFERROR(__xludf.DUMMYFUNCTION("""COMPUTED_VALUE"""),0)</f>
        <v>0</v>
      </c>
      <c r="I18" s="13">
        <f>IFERROR(__xludf.DUMMYFUNCTION("""COMPUTED_VALUE"""),1)</f>
        <v>1</v>
      </c>
      <c r="J18" s="13">
        <f>IFERROR(__xludf.DUMMYFUNCTION("""COMPUTED_VALUE"""),0)</f>
        <v>0</v>
      </c>
      <c r="K18" s="13">
        <f>IFERROR(__xludf.DUMMYFUNCTION("""COMPUTED_VALUE"""),0)</f>
        <v>0</v>
      </c>
      <c r="L18" s="13">
        <f>IFERROR(__xludf.DUMMYFUNCTION("""COMPUTED_VALUE"""),0)</f>
        <v>0</v>
      </c>
      <c r="M18" s="1" t="b">
        <f>IFERROR(__xludf.DUMMYFUNCTION("""COMPUTED_VALUE"""),TRUE)</f>
        <v>1</v>
      </c>
      <c r="N18" s="10">
        <f>IFERROR(__xludf.DUMMYFUNCTION("""COMPUTED_VALUE"""),413.056)</f>
        <v>413.056</v>
      </c>
      <c r="O18" s="10">
        <f>IFERROR(__xludf.DUMMYFUNCTION("""COMPUTED_VALUE"""),283)</f>
        <v>283</v>
      </c>
      <c r="P18" s="10">
        <f>IFERROR(__xludf.DUMMYFUNCTION("""COMPUTED_VALUE"""),447.308)</f>
        <v>447.308</v>
      </c>
      <c r="Q18" s="30">
        <f>IFERROR(__xludf.DUMMYFUNCTION("""COMPUTED_VALUE"""),42)</f>
        <v>42</v>
      </c>
      <c r="R18" s="18">
        <f>IFERROR(__xludf.DUMMYFUNCTION("""COMPUTED_VALUE"""),6.3200002)</f>
        <v>6.3200002</v>
      </c>
      <c r="S18" s="19">
        <f>IFERROR(__xludf.DUMMYFUNCTION("""COMPUTED_VALUE"""),294.677991953506)</f>
        <v>294.677991953506</v>
      </c>
      <c r="T18" s="10">
        <f>IFERROR(__xludf.DUMMYFUNCTION("""COMPUTED_VALUE"""),257308.32)</f>
        <v>257308.32</v>
      </c>
      <c r="U18" s="10">
        <f>IFERROR(__xludf.DUMMYFUNCTION("""COMPUTED_VALUE"""),0)</f>
        <v>0</v>
      </c>
      <c r="V18" s="10">
        <f>IFERROR(__xludf.DUMMYFUNCTION("""COMPUTED_VALUE"""),143.943)</f>
        <v>143.943</v>
      </c>
      <c r="W18" s="10">
        <f>IFERROR(__xludf.DUMMYFUNCTION("""COMPUTED_VALUE"""),566.3)</f>
        <v>566.3</v>
      </c>
      <c r="X18" s="19">
        <f>IFERROR(__xludf.DUMMYFUNCTION("""COMPUTED_VALUE"""),45473.87405)</f>
        <v>45473.87405</v>
      </c>
      <c r="Y18" s="1"/>
      <c r="Z18" s="1"/>
      <c r="AA18" s="30" t="str">
        <f>IFERROR(__xludf.DUMMYFUNCTION("""COMPUTED_VALUE"""),"HUR-L1")</f>
        <v>HUR-L1</v>
      </c>
    </row>
    <row r="19" customHeight="1" spans="1:27">
      <c r="A19" s="1" t="str">
        <f>IFERROR(__xludf.DUMMYFUNCTION("""COMPUTED_VALUE"""),"Yela R00")</f>
        <v>Yela R00</v>
      </c>
      <c r="B19" s="1"/>
      <c r="C19" s="1"/>
      <c r="D19" s="1" t="str">
        <f>IFERROR(__xludf.DUMMYFUNCTION("""COMPUTED_VALUE"""),"Yela")</f>
        <v>Yela</v>
      </c>
      <c r="E19" s="30" t="str">
        <f>IFERROR(__xludf.DUMMYFUNCTION("""COMPUTED_VALUE"""),"Yela")</f>
        <v>Yela</v>
      </c>
      <c r="F19" s="10">
        <f>IFERROR(__xludf.DUMMYFUNCTION("""COMPUTED_VALUE"""),-19022916.7989273)</f>
        <v>-19022916.7989273</v>
      </c>
      <c r="G19" s="10">
        <f>IFERROR(__xludf.DUMMYFUNCTION("""COMPUTED_VALUE"""),-2613996.15199846)</f>
        <v>-2613996.15199846</v>
      </c>
      <c r="H19" s="10">
        <f>IFERROR(__xludf.DUMMYFUNCTION("""COMPUTED_VALUE"""),0)</f>
        <v>0</v>
      </c>
      <c r="I19" s="13">
        <f>IFERROR(__xludf.DUMMYFUNCTION("""COMPUTED_VALUE"""),1)</f>
        <v>1</v>
      </c>
      <c r="J19" s="13">
        <f>IFERROR(__xludf.DUMMYFUNCTION("""COMPUTED_VALUE"""),0)</f>
        <v>0</v>
      </c>
      <c r="K19" s="13">
        <f>IFERROR(__xludf.DUMMYFUNCTION("""COMPUTED_VALUE"""),0)</f>
        <v>0</v>
      </c>
      <c r="L19" s="13">
        <f>IFERROR(__xludf.DUMMYFUNCTION("""COMPUTED_VALUE"""),0)</f>
        <v>0</v>
      </c>
      <c r="M19" s="1" t="b">
        <f>IFERROR(__xludf.DUMMYFUNCTION("""COMPUTED_VALUE"""),TRUE)</f>
        <v>1</v>
      </c>
      <c r="N19" s="10">
        <f>IFERROR(__xludf.DUMMYFUNCTION("""COMPUTED_VALUE"""),455.483)</f>
        <v>455.483</v>
      </c>
      <c r="O19" s="10">
        <f>IFERROR(__xludf.DUMMYFUNCTION("""COMPUTED_VALUE"""),313)</f>
        <v>313</v>
      </c>
      <c r="P19" s="10">
        <f>IFERROR(__xludf.DUMMYFUNCTION("""COMPUTED_VALUE"""),478.65)</f>
        <v>478.65</v>
      </c>
      <c r="Q19" s="30">
        <f>IFERROR(__xludf.DUMMYFUNCTION("""COMPUTED_VALUE"""),31)</f>
        <v>31</v>
      </c>
      <c r="R19" s="18">
        <f>IFERROR(__xludf.DUMMYFUNCTION("""COMPUTED_VALUE"""),1.8200001)</f>
        <v>1.8200001</v>
      </c>
      <c r="S19" s="19">
        <f>IFERROR(__xludf.DUMMYFUNCTION("""COMPUTED_VALUE"""),268.80398404542)</f>
        <v>268.80398404542</v>
      </c>
      <c r="T19" s="10">
        <f>IFERROR(__xludf.DUMMYFUNCTION("""COMPUTED_VALUE"""),79286.88)</f>
        <v>79286.88</v>
      </c>
      <c r="U19" s="10">
        <f>IFERROR(__xludf.DUMMYFUNCTION("""COMPUTED_VALUE"""),0)</f>
        <v>0</v>
      </c>
      <c r="V19" s="10">
        <f>IFERROR(__xludf.DUMMYFUNCTION("""COMPUTED_VALUE"""),140)</f>
        <v>140</v>
      </c>
      <c r="W19" s="10">
        <f>IFERROR(__xludf.DUMMYFUNCTION("""COMPUTED_VALUE"""),1016.6)</f>
        <v>1016.6</v>
      </c>
      <c r="X19" s="19">
        <f>IFERROR(__xludf.DUMMYFUNCTION("""COMPUTED_VALUE"""),45475.78765)</f>
        <v>45475.78765</v>
      </c>
      <c r="Y19" s="1"/>
      <c r="Z19" s="1"/>
      <c r="AA19" s="30" t="str">
        <f>IFERROR(__xludf.DUMMYFUNCTION("""COMPUTED_VALUE"""),"HUR-L2")</f>
        <v>HUR-L2</v>
      </c>
    </row>
    <row r="20" customHeight="1" spans="1:27">
      <c r="A20" s="1" t="str">
        <f>IFERROR(__xludf.DUMMYFUNCTION("""COMPUTED_VALUE"""),"Earth R00")</f>
        <v>Earth R00</v>
      </c>
      <c r="B20" s="1"/>
      <c r="C20" s="1"/>
      <c r="D20" s="1" t="str">
        <f>IFERROR(__xludf.DUMMYFUNCTION("""COMPUTED_VALUE"""),"Earth")</f>
        <v>Earth</v>
      </c>
      <c r="E20" s="30" t="str">
        <f>IFERROR(__xludf.DUMMYFUNCTION("""COMPUTED_VALUE"""),"Earth")</f>
        <v>Earth</v>
      </c>
      <c r="F20" s="10"/>
      <c r="G20" s="10"/>
      <c r="H20" s="10"/>
      <c r="I20" s="13"/>
      <c r="J20" s="13"/>
      <c r="K20" s="13"/>
      <c r="L20" s="13"/>
      <c r="M20" s="1"/>
      <c r="N20" s="10">
        <f>IFERROR(__xludf.DUMMYFUNCTION("""COMPUTED_VALUE"""),9239.782)</f>
        <v>9239.782</v>
      </c>
      <c r="O20" s="10">
        <f>IFERROR(__xludf.DUMMYFUNCTION("""COMPUTED_VALUE"""),6378.1)</f>
        <v>6378.1</v>
      </c>
      <c r="P20" s="10"/>
      <c r="Q20" s="30"/>
      <c r="R20" s="18"/>
      <c r="S20" s="19"/>
      <c r="T20" s="10"/>
      <c r="U20" s="10"/>
      <c r="V20" s="10"/>
      <c r="W20" s="10"/>
      <c r="X20" s="19"/>
      <c r="Y20" s="1"/>
      <c r="Z20" s="1"/>
      <c r="AA20" s="30" t="str">
        <f>IFERROR(__xludf.DUMMYFUNCTION("""COMPUTED_VALUE"""),"HUR-L3")</f>
        <v>HUR-L3</v>
      </c>
    </row>
    <row r="21" customHeight="1" spans="1:27">
      <c r="A21" s="1" t="str">
        <f>IFERROR(__xludf.DUMMYFUNCTION("""COMPUTED_VALUE"""),"ARC-L1 R00")</f>
        <v>ARC-L1 R00</v>
      </c>
      <c r="B21" s="1"/>
      <c r="C21" s="1"/>
      <c r="D21" s="1" t="str">
        <f>IFERROR(__xludf.DUMMYFUNCTION("""COMPUTED_VALUE"""),"ARC-L1")</f>
        <v>ARC-L1</v>
      </c>
      <c r="E21" s="30" t="str">
        <f>IFERROR(__xludf.DUMMYFUNCTION("""COMPUTED_VALUE"""),"ARC-L1")</f>
        <v>ARC-L1</v>
      </c>
      <c r="F21" s="10">
        <f>IFERROR(__xludf.DUMMYFUNCTION("""COMPUTED_VALUE"""),16729134.6373846)</f>
        <v>16729134.6373846</v>
      </c>
      <c r="G21" s="10">
        <f>IFERROR(__xludf.DUMMYFUNCTION("""COMPUTED_VALUE"""),-19937006.9248913)</f>
        <v>-19937006.9248913</v>
      </c>
      <c r="H21" s="10">
        <f>IFERROR(__xludf.DUMMYFUNCTION("""COMPUTED_VALUE"""),8.076625)</f>
        <v>8.076625</v>
      </c>
      <c r="I21" s="13">
        <f>IFERROR(__xludf.DUMMYFUNCTION("""COMPUTED_VALUE"""),1)</f>
        <v>1</v>
      </c>
      <c r="J21" s="13">
        <f>IFERROR(__xludf.DUMMYFUNCTION("""COMPUTED_VALUE"""),0)</f>
        <v>0</v>
      </c>
      <c r="K21" s="13">
        <f>IFERROR(__xludf.DUMMYFUNCTION("""COMPUTED_VALUE"""),0)</f>
        <v>0</v>
      </c>
      <c r="L21" s="13">
        <f>IFERROR(__xludf.DUMMYFUNCTION("""COMPUTED_VALUE"""),0)</f>
        <v>0</v>
      </c>
      <c r="M21" s="1" t="b">
        <f>IFERROR(__xludf.DUMMYFUNCTION("""COMPUTED_VALUE"""),TRUE)</f>
        <v>1</v>
      </c>
      <c r="N21" s="10">
        <f>IFERROR(__xludf.DUMMYFUNCTION("""COMPUTED_VALUE"""),0)</f>
        <v>0</v>
      </c>
      <c r="O21" s="10">
        <f>IFERROR(__xludf.DUMMYFUNCTION("""COMPUTED_VALUE"""),0)</f>
        <v>0</v>
      </c>
      <c r="P21" s="10"/>
      <c r="Q21" s="30"/>
      <c r="R21" s="18">
        <f>IFERROR(__xludf.DUMMYFUNCTION("""COMPUTED_VALUE"""),0)</f>
        <v>0</v>
      </c>
      <c r="S21" s="19">
        <f>IFERROR(__xludf.DUMMYFUNCTION("""COMPUTED_VALUE"""),0)</f>
        <v>0</v>
      </c>
      <c r="T21" s="10"/>
      <c r="U21" s="10"/>
      <c r="V21" s="10"/>
      <c r="W21" s="10"/>
      <c r="X21" s="19"/>
      <c r="Y21" s="1"/>
      <c r="Z21" s="1"/>
      <c r="AA21" s="30" t="str">
        <f>IFERROR(__xludf.DUMMYFUNCTION("""COMPUTED_VALUE"""),"HUR-L4")</f>
        <v>HUR-L4</v>
      </c>
    </row>
    <row r="22" customHeight="1" spans="1:27">
      <c r="A22" s="1" t="str">
        <f>IFERROR(__xludf.DUMMYFUNCTION("""COMPUTED_VALUE"""),"ARC-L2 R00")</f>
        <v>ARC-L2 R00</v>
      </c>
      <c r="B22" s="1"/>
      <c r="C22" s="1"/>
      <c r="D22" s="1" t="str">
        <f>IFERROR(__xludf.DUMMYFUNCTION("""COMPUTED_VALUE"""),"ARC-L2")</f>
        <v>ARC-L2</v>
      </c>
      <c r="E22" s="30" t="str">
        <f>IFERROR(__xludf.DUMMYFUNCTION("""COMPUTED_VALUE"""),"ARC-L2")</f>
        <v>ARC-L2</v>
      </c>
      <c r="F22" s="10">
        <f>IFERROR(__xludf.DUMMYFUNCTION("""COMPUTED_VALUE"""),20446718.5033901)</f>
        <v>20446718.5033901</v>
      </c>
      <c r="G22" s="10">
        <f>IFERROR(__xludf.DUMMYFUNCTION("""COMPUTED_VALUE"""),-24367450.990706)</f>
        <v>-24367450.990706</v>
      </c>
      <c r="H22" s="10">
        <f>IFERROR(__xludf.DUMMYFUNCTION("""COMPUTED_VALUE"""),8.076625)</f>
        <v>8.076625</v>
      </c>
      <c r="I22" s="13">
        <f>IFERROR(__xludf.DUMMYFUNCTION("""COMPUTED_VALUE"""),1)</f>
        <v>1</v>
      </c>
      <c r="J22" s="13">
        <f>IFERROR(__xludf.DUMMYFUNCTION("""COMPUTED_VALUE"""),0)</f>
        <v>0</v>
      </c>
      <c r="K22" s="13">
        <f>IFERROR(__xludf.DUMMYFUNCTION("""COMPUTED_VALUE"""),0)</f>
        <v>0</v>
      </c>
      <c r="L22" s="13">
        <f>IFERROR(__xludf.DUMMYFUNCTION("""COMPUTED_VALUE"""),0)</f>
        <v>0</v>
      </c>
      <c r="M22" s="1" t="b">
        <f>IFERROR(__xludf.DUMMYFUNCTION("""COMPUTED_VALUE"""),TRUE)</f>
        <v>1</v>
      </c>
      <c r="N22" s="10">
        <f>IFERROR(__xludf.DUMMYFUNCTION("""COMPUTED_VALUE"""),0)</f>
        <v>0</v>
      </c>
      <c r="O22" s="10">
        <f>IFERROR(__xludf.DUMMYFUNCTION("""COMPUTED_VALUE"""),0)</f>
        <v>0</v>
      </c>
      <c r="P22" s="10"/>
      <c r="Q22" s="30"/>
      <c r="R22" s="18">
        <f>IFERROR(__xludf.DUMMYFUNCTION("""COMPUTED_VALUE"""),0)</f>
        <v>0</v>
      </c>
      <c r="S22" s="19">
        <f>IFERROR(__xludf.DUMMYFUNCTION("""COMPUTED_VALUE"""),0)</f>
        <v>0</v>
      </c>
      <c r="T22" s="10"/>
      <c r="U22" s="10"/>
      <c r="V22" s="10"/>
      <c r="W22" s="10"/>
      <c r="X22" s="19"/>
      <c r="Y22" s="1"/>
      <c r="Z22" s="1"/>
      <c r="AA22" s="30" t="str">
        <f>IFERROR(__xludf.DUMMYFUNCTION("""COMPUTED_VALUE"""),"HUR-L5")</f>
        <v>HUR-L5</v>
      </c>
    </row>
    <row r="23" customHeight="1" spans="1:27">
      <c r="A23" s="1" t="str">
        <f>IFERROR(__xludf.DUMMYFUNCTION("""COMPUTED_VALUE"""),"ARC-L3 R00")</f>
        <v>ARC-L3 R00</v>
      </c>
      <c r="B23" s="1"/>
      <c r="C23" s="1"/>
      <c r="D23" s="1" t="str">
        <f>IFERROR(__xludf.DUMMYFUNCTION("""COMPUTED_VALUE"""),"ARC-L3")</f>
        <v>ARC-L3</v>
      </c>
      <c r="E23" s="30" t="str">
        <f>IFERROR(__xludf.DUMMYFUNCTION("""COMPUTED_VALUE"""),"ARC-L3")</f>
        <v>ARC-L3</v>
      </c>
      <c r="F23" s="10">
        <f>IFERROR(__xludf.DUMMYFUNCTION("""COMPUTED_VALUE"""),-25043446.8835029)</f>
        <v>-25043446.8835029</v>
      </c>
      <c r="G23" s="10">
        <f>IFERROR(__xludf.DUMMYFUNCTION("""COMPUTED_VALUE"""),14458841.787628)</f>
        <v>14458841.787628</v>
      </c>
      <c r="H23" s="10">
        <f>IFERROR(__xludf.DUMMYFUNCTION("""COMPUTED_VALUE"""),8.076625)</f>
        <v>8.076625</v>
      </c>
      <c r="I23" s="13">
        <f>IFERROR(__xludf.DUMMYFUNCTION("""COMPUTED_VALUE"""),1)</f>
        <v>1</v>
      </c>
      <c r="J23" s="13">
        <f>IFERROR(__xludf.DUMMYFUNCTION("""COMPUTED_VALUE"""),0)</f>
        <v>0</v>
      </c>
      <c r="K23" s="13">
        <f>IFERROR(__xludf.DUMMYFUNCTION("""COMPUTED_VALUE"""),0)</f>
        <v>0</v>
      </c>
      <c r="L23" s="13">
        <f>IFERROR(__xludf.DUMMYFUNCTION("""COMPUTED_VALUE"""),0)</f>
        <v>0</v>
      </c>
      <c r="M23" s="1" t="b">
        <f>IFERROR(__xludf.DUMMYFUNCTION("""COMPUTED_VALUE"""),TRUE)</f>
        <v>1</v>
      </c>
      <c r="N23" s="10">
        <f>IFERROR(__xludf.DUMMYFUNCTION("""COMPUTED_VALUE"""),0)</f>
        <v>0</v>
      </c>
      <c r="O23" s="10">
        <f>IFERROR(__xludf.DUMMYFUNCTION("""COMPUTED_VALUE"""),0)</f>
        <v>0</v>
      </c>
      <c r="P23" s="10"/>
      <c r="Q23" s="30"/>
      <c r="R23" s="18">
        <f>IFERROR(__xludf.DUMMYFUNCTION("""COMPUTED_VALUE"""),0)</f>
        <v>0</v>
      </c>
      <c r="S23" s="19">
        <f>IFERROR(__xludf.DUMMYFUNCTION("""COMPUTED_VALUE"""),0)</f>
        <v>0</v>
      </c>
      <c r="T23" s="10"/>
      <c r="U23" s="10"/>
      <c r="V23" s="10"/>
      <c r="W23" s="10"/>
      <c r="X23" s="19"/>
      <c r="Y23" s="1"/>
      <c r="Z23" s="1"/>
      <c r="AA23" s="30" t="str">
        <f>IFERROR(__xludf.DUMMYFUNCTION("""COMPUTED_VALUE"""),"CRU-L1")</f>
        <v>CRU-L1</v>
      </c>
    </row>
    <row r="24" customHeight="1" spans="1:27">
      <c r="A24" s="1" t="str">
        <f>IFERROR(__xludf.DUMMYFUNCTION("""COMPUTED_VALUE"""),"ARC-L4 R00")</f>
        <v>ARC-L4 R00</v>
      </c>
      <c r="B24" s="1"/>
      <c r="C24" s="1"/>
      <c r="D24" s="1" t="str">
        <f>IFERROR(__xludf.DUMMYFUNCTION("""COMPUTED_VALUE"""),"ARC-L4")</f>
        <v>ARC-L4</v>
      </c>
      <c r="E24" s="30" t="str">
        <f>IFERROR(__xludf.DUMMYFUNCTION("""COMPUTED_VALUE"""),"ARC-L4")</f>
        <v>ARC-L4</v>
      </c>
      <c r="F24" s="10">
        <f>IFERROR(__xludf.DUMMYFUNCTION("""COMPUTED_VALUE"""),28478354.9156557)</f>
        <v>28478354.9156557</v>
      </c>
      <c r="G24" s="10">
        <f>IFERROR(__xludf.DUMMYFUNCTION("""COMPUTED_VALUE"""),5021502.48291174)</f>
        <v>5021502.48291174</v>
      </c>
      <c r="H24" s="10">
        <f>IFERROR(__xludf.DUMMYFUNCTION("""COMPUTED_VALUE"""),8.076625)</f>
        <v>8.076625</v>
      </c>
      <c r="I24" s="13">
        <f>IFERROR(__xludf.DUMMYFUNCTION("""COMPUTED_VALUE"""),1)</f>
        <v>1</v>
      </c>
      <c r="J24" s="13">
        <f>IFERROR(__xludf.DUMMYFUNCTION("""COMPUTED_VALUE"""),0)</f>
        <v>0</v>
      </c>
      <c r="K24" s="13">
        <f>IFERROR(__xludf.DUMMYFUNCTION("""COMPUTED_VALUE"""),0)</f>
        <v>0</v>
      </c>
      <c r="L24" s="13">
        <f>IFERROR(__xludf.DUMMYFUNCTION("""COMPUTED_VALUE"""),0)</f>
        <v>0</v>
      </c>
      <c r="M24" s="1" t="b">
        <f>IFERROR(__xludf.DUMMYFUNCTION("""COMPUTED_VALUE"""),TRUE)</f>
        <v>1</v>
      </c>
      <c r="N24" s="10">
        <f>IFERROR(__xludf.DUMMYFUNCTION("""COMPUTED_VALUE"""),0)</f>
        <v>0</v>
      </c>
      <c r="O24" s="10">
        <f>IFERROR(__xludf.DUMMYFUNCTION("""COMPUTED_VALUE"""),0)</f>
        <v>0</v>
      </c>
      <c r="P24" s="10"/>
      <c r="Q24" s="30"/>
      <c r="R24" s="18">
        <f>IFERROR(__xludf.DUMMYFUNCTION("""COMPUTED_VALUE"""),0)</f>
        <v>0</v>
      </c>
      <c r="S24" s="19">
        <f>IFERROR(__xludf.DUMMYFUNCTION("""COMPUTED_VALUE"""),0)</f>
        <v>0</v>
      </c>
      <c r="T24" s="10"/>
      <c r="U24" s="10"/>
      <c r="V24" s="10"/>
      <c r="W24" s="10"/>
      <c r="X24" s="19"/>
      <c r="Y24" s="1"/>
      <c r="Z24" s="1"/>
      <c r="AA24" s="30" t="str">
        <f>IFERROR(__xludf.DUMMYFUNCTION("""COMPUTED_VALUE"""),"CRU-L2")</f>
        <v>CRU-L2</v>
      </c>
    </row>
    <row r="25" customHeight="1" spans="1:27">
      <c r="A25" s="1" t="str">
        <f>IFERROR(__xludf.DUMMYFUNCTION("""COMPUTED_VALUE"""),"ARC-L5 R00")</f>
        <v>ARC-L5 R00</v>
      </c>
      <c r="B25" s="1"/>
      <c r="C25" s="1"/>
      <c r="D25" s="1" t="str">
        <f>IFERROR(__xludf.DUMMYFUNCTION("""COMPUTED_VALUE"""),"ARC-L5")</f>
        <v>ARC-L5</v>
      </c>
      <c r="E25" s="30" t="str">
        <f>IFERROR(__xludf.DUMMYFUNCTION("""COMPUTED_VALUE"""),"ARC-L5")</f>
        <v>ARC-L5</v>
      </c>
      <c r="F25" s="10">
        <f>IFERROR(__xludf.DUMMYFUNCTION("""COMPUTED_VALUE"""),-9890422.51616967)</f>
        <v>-9890422.51616967</v>
      </c>
      <c r="G25" s="10">
        <f>IFERROR(__xludf.DUMMYFUNCTION("""COMPUTED_VALUE"""),-27173732.2251399)</f>
        <v>-27173732.2251399</v>
      </c>
      <c r="H25" s="10">
        <f>IFERROR(__xludf.DUMMYFUNCTION("""COMPUTED_VALUE"""),8.076625)</f>
        <v>8.076625</v>
      </c>
      <c r="I25" s="13">
        <f>IFERROR(__xludf.DUMMYFUNCTION("""COMPUTED_VALUE"""),1)</f>
        <v>1</v>
      </c>
      <c r="J25" s="13">
        <f>IFERROR(__xludf.DUMMYFUNCTION("""COMPUTED_VALUE"""),0)</f>
        <v>0</v>
      </c>
      <c r="K25" s="13">
        <f>IFERROR(__xludf.DUMMYFUNCTION("""COMPUTED_VALUE"""),0)</f>
        <v>0</v>
      </c>
      <c r="L25" s="13">
        <f>IFERROR(__xludf.DUMMYFUNCTION("""COMPUTED_VALUE"""),0)</f>
        <v>0</v>
      </c>
      <c r="M25" s="1" t="b">
        <f>IFERROR(__xludf.DUMMYFUNCTION("""COMPUTED_VALUE"""),TRUE)</f>
        <v>1</v>
      </c>
      <c r="N25" s="10">
        <f>IFERROR(__xludf.DUMMYFUNCTION("""COMPUTED_VALUE"""),0)</f>
        <v>0</v>
      </c>
      <c r="O25" s="10">
        <f>IFERROR(__xludf.DUMMYFUNCTION("""COMPUTED_VALUE"""),0)</f>
        <v>0</v>
      </c>
      <c r="P25" s="10"/>
      <c r="Q25" s="30"/>
      <c r="R25" s="18">
        <f>IFERROR(__xludf.DUMMYFUNCTION("""COMPUTED_VALUE"""),0)</f>
        <v>0</v>
      </c>
      <c r="S25" s="19">
        <f>IFERROR(__xludf.DUMMYFUNCTION("""COMPUTED_VALUE"""),0)</f>
        <v>0</v>
      </c>
      <c r="T25" s="10"/>
      <c r="U25" s="10"/>
      <c r="V25" s="10"/>
      <c r="W25" s="10"/>
      <c r="X25" s="19"/>
      <c r="Y25" s="1"/>
      <c r="Z25" s="1"/>
      <c r="AA25" s="30" t="str">
        <f>IFERROR(__xludf.DUMMYFUNCTION("""COMPUTED_VALUE"""),"CRU-L3")</f>
        <v>CRU-L3</v>
      </c>
    </row>
    <row r="26" customHeight="1" spans="1:27">
      <c r="A26" s="1" t="str">
        <f>IFERROR(__xludf.DUMMYFUNCTION("""COMPUTED_VALUE"""),"CRU-L1 R00")</f>
        <v>CRU-L1 R00</v>
      </c>
      <c r="B26" s="1"/>
      <c r="C26" s="1"/>
      <c r="D26" s="1" t="str">
        <f>IFERROR(__xludf.DUMMYFUNCTION("""COMPUTED_VALUE"""),"CRU-L1")</f>
        <v>CRU-L1</v>
      </c>
      <c r="E26" s="30" t="str">
        <f>IFERROR(__xludf.DUMMYFUNCTION("""COMPUTED_VALUE"""),"CRU-L1")</f>
        <v>CRU-L1</v>
      </c>
      <c r="F26" s="10">
        <f>IFERROR(__xludf.DUMMYFUNCTION("""COMPUTED_VALUE"""),-17065957.3759999)</f>
        <v>-17065957.3759999</v>
      </c>
      <c r="G26" s="10">
        <f>IFERROR(__xludf.DUMMYFUNCTION("""COMPUTED_VALUE"""),-2398463.99999998)</f>
        <v>-2398463.99999998</v>
      </c>
      <c r="H26" s="10">
        <f>IFERROR(__xludf.DUMMYFUNCTION("""COMPUTED_VALUE"""),0)</f>
        <v>0</v>
      </c>
      <c r="I26" s="13">
        <f>IFERROR(__xludf.DUMMYFUNCTION("""COMPUTED_VALUE"""),0.96363044)</f>
        <v>0.96363044</v>
      </c>
      <c r="J26" s="13">
        <f>IFERROR(__xludf.DUMMYFUNCTION("""COMPUTED_VALUE"""),0)</f>
        <v>0</v>
      </c>
      <c r="K26" s="13">
        <f>IFERROR(__xludf.DUMMYFUNCTION("""COMPUTED_VALUE"""),0)</f>
        <v>0</v>
      </c>
      <c r="L26" s="13">
        <f>IFERROR(__xludf.DUMMYFUNCTION("""COMPUTED_VALUE"""),-0.26723838)</f>
        <v>-0.26723838</v>
      </c>
      <c r="M26" s="1" t="b">
        <f>IFERROR(__xludf.DUMMYFUNCTION("""COMPUTED_VALUE"""),TRUE)</f>
        <v>1</v>
      </c>
      <c r="N26" s="10">
        <f>IFERROR(__xludf.DUMMYFUNCTION("""COMPUTED_VALUE"""),0)</f>
        <v>0</v>
      </c>
      <c r="O26" s="10">
        <f>IFERROR(__xludf.DUMMYFUNCTION("""COMPUTED_VALUE"""),0)</f>
        <v>0</v>
      </c>
      <c r="P26" s="10"/>
      <c r="Q26" s="30"/>
      <c r="R26" s="18">
        <f>IFERROR(__xludf.DUMMYFUNCTION("""COMPUTED_VALUE"""),0)</f>
        <v>0</v>
      </c>
      <c r="S26" s="19">
        <f>IFERROR(__xludf.DUMMYFUNCTION("""COMPUTED_VALUE"""),0)</f>
        <v>0</v>
      </c>
      <c r="T26" s="10"/>
      <c r="U26" s="10"/>
      <c r="V26" s="10"/>
      <c r="W26" s="10"/>
      <c r="X26" s="19"/>
      <c r="Y26" s="1"/>
      <c r="Z26" s="1"/>
      <c r="AA26" s="30" t="str">
        <f>IFERROR(__xludf.DUMMYFUNCTION("""COMPUTED_VALUE"""),"CRU-L4")</f>
        <v>CRU-L4</v>
      </c>
    </row>
    <row r="27" customHeight="1" spans="1:27">
      <c r="A27" s="1" t="str">
        <f>IFERROR(__xludf.DUMMYFUNCTION("""COMPUTED_VALUE"""),"CRU-L2 R00")</f>
        <v>CRU-L2 R00</v>
      </c>
      <c r="B27" s="1"/>
      <c r="C27" s="1"/>
      <c r="D27" s="1" t="str">
        <f>IFERROR(__xludf.DUMMYFUNCTION("""COMPUTED_VALUE"""),"CRU-L2")</f>
        <v>CRU-L2</v>
      </c>
      <c r="E27" s="30" t="str">
        <f>IFERROR(__xludf.DUMMYFUNCTION("""COMPUTED_VALUE"""),"CRU-L2")</f>
        <v>CRU-L2</v>
      </c>
      <c r="F27" s="10">
        <f>IFERROR(__xludf.DUMMYFUNCTION("""COMPUTED_VALUE"""),-20858376.4854332)</f>
        <v>-20858376.4854332</v>
      </c>
      <c r="G27" s="10">
        <f>IFERROR(__xludf.DUMMYFUNCTION("""COMPUTED_VALUE"""),-2931474.40205844)</f>
        <v>-2931474.40205844</v>
      </c>
      <c r="H27" s="10">
        <f>IFERROR(__xludf.DUMMYFUNCTION("""COMPUTED_VALUE"""),0)</f>
        <v>0</v>
      </c>
      <c r="I27" s="13">
        <f>IFERROR(__xludf.DUMMYFUNCTION("""COMPUTED_VALUE"""),0.96363044)</f>
        <v>0.96363044</v>
      </c>
      <c r="J27" s="13">
        <f>IFERROR(__xludf.DUMMYFUNCTION("""COMPUTED_VALUE"""),0)</f>
        <v>0</v>
      </c>
      <c r="K27" s="13">
        <f>IFERROR(__xludf.DUMMYFUNCTION("""COMPUTED_VALUE"""),0)</f>
        <v>0</v>
      </c>
      <c r="L27" s="13">
        <f>IFERROR(__xludf.DUMMYFUNCTION("""COMPUTED_VALUE"""),-0.26723838)</f>
        <v>-0.26723838</v>
      </c>
      <c r="M27" s="1" t="b">
        <f>IFERROR(__xludf.DUMMYFUNCTION("""COMPUTED_VALUE"""),TRUE)</f>
        <v>1</v>
      </c>
      <c r="N27" s="10">
        <f>IFERROR(__xludf.DUMMYFUNCTION("""COMPUTED_VALUE"""),0)</f>
        <v>0</v>
      </c>
      <c r="O27" s="10">
        <f>IFERROR(__xludf.DUMMYFUNCTION("""COMPUTED_VALUE"""),0)</f>
        <v>0</v>
      </c>
      <c r="P27" s="10"/>
      <c r="Q27" s="30"/>
      <c r="R27" s="18">
        <f>IFERROR(__xludf.DUMMYFUNCTION("""COMPUTED_VALUE"""),0)</f>
        <v>0</v>
      </c>
      <c r="S27" s="19">
        <f>IFERROR(__xludf.DUMMYFUNCTION("""COMPUTED_VALUE"""),0)</f>
        <v>0</v>
      </c>
      <c r="T27" s="10"/>
      <c r="U27" s="10"/>
      <c r="V27" s="10"/>
      <c r="W27" s="10"/>
      <c r="X27" s="19"/>
      <c r="Y27" s="1"/>
      <c r="Z27" s="1"/>
      <c r="AA27" s="30" t="str">
        <f>IFERROR(__xludf.DUMMYFUNCTION("""COMPUTED_VALUE"""),"CRU-L5")</f>
        <v>CRU-L5</v>
      </c>
    </row>
    <row r="28" customHeight="1" spans="1:27">
      <c r="A28" s="1" t="str">
        <f>IFERROR(__xludf.DUMMYFUNCTION("""COMPUTED_VALUE"""),"CRU-L3 R00")</f>
        <v>CRU-L3 R00</v>
      </c>
      <c r="B28" s="1"/>
      <c r="C28" s="1"/>
      <c r="D28" s="1" t="str">
        <f>IFERROR(__xludf.DUMMYFUNCTION("""COMPUTED_VALUE"""),"CRU-L3")</f>
        <v>CRU-L3</v>
      </c>
      <c r="E28" s="30" t="str">
        <f>IFERROR(__xludf.DUMMYFUNCTION("""COMPUTED_VALUE"""),"CRU-L3")</f>
        <v>CRU-L3</v>
      </c>
      <c r="F28" s="10">
        <f>IFERROR(__xludf.DUMMYFUNCTION("""COMPUTED_VALUE"""),18962164.826094)</f>
        <v>18962164.826094</v>
      </c>
      <c r="G28" s="10">
        <f>IFERROR(__xludf.DUMMYFUNCTION("""COMPUTED_VALUE"""),2664965.04050172)</f>
        <v>2664965.04050172</v>
      </c>
      <c r="H28" s="10">
        <f>IFERROR(__xludf.DUMMYFUNCTION("""COMPUTED_VALUE"""),0)</f>
        <v>0</v>
      </c>
      <c r="I28" s="13">
        <f>IFERROR(__xludf.DUMMYFUNCTION("""COMPUTED_VALUE"""),0.96363044)</f>
        <v>0.96363044</v>
      </c>
      <c r="J28" s="13">
        <f>IFERROR(__xludf.DUMMYFUNCTION("""COMPUTED_VALUE"""),0)</f>
        <v>0</v>
      </c>
      <c r="K28" s="13">
        <f>IFERROR(__xludf.DUMMYFUNCTION("""COMPUTED_VALUE"""),0)</f>
        <v>0</v>
      </c>
      <c r="L28" s="13">
        <f>IFERROR(__xludf.DUMMYFUNCTION("""COMPUTED_VALUE"""),-0.26723838)</f>
        <v>-0.26723838</v>
      </c>
      <c r="M28" s="1" t="b">
        <f>IFERROR(__xludf.DUMMYFUNCTION("""COMPUTED_VALUE"""),TRUE)</f>
        <v>1</v>
      </c>
      <c r="N28" s="10">
        <f>IFERROR(__xludf.DUMMYFUNCTION("""COMPUTED_VALUE"""),0)</f>
        <v>0</v>
      </c>
      <c r="O28" s="10">
        <f>IFERROR(__xludf.DUMMYFUNCTION("""COMPUTED_VALUE"""),0)</f>
        <v>0</v>
      </c>
      <c r="P28" s="10"/>
      <c r="Q28" s="30"/>
      <c r="R28" s="18">
        <f>IFERROR(__xludf.DUMMYFUNCTION("""COMPUTED_VALUE"""),0)</f>
        <v>0</v>
      </c>
      <c r="S28" s="19">
        <f>IFERROR(__xludf.DUMMYFUNCTION("""COMPUTED_VALUE"""),0)</f>
        <v>0</v>
      </c>
      <c r="T28" s="10"/>
      <c r="U28" s="10"/>
      <c r="V28" s="10"/>
      <c r="W28" s="10"/>
      <c r="X28" s="19"/>
      <c r="Y28" s="1"/>
      <c r="Z28" s="1"/>
      <c r="AA28" s="30" t="str">
        <f>IFERROR(__xludf.DUMMYFUNCTION("""COMPUTED_VALUE"""),"ARC-L1")</f>
        <v>ARC-L1</v>
      </c>
    </row>
    <row r="29" customHeight="1" spans="1:27">
      <c r="A29" s="1" t="str">
        <f>IFERROR(__xludf.DUMMYFUNCTION("""COMPUTED_VALUE"""),"CRU-L4 R00")</f>
        <v>CRU-L4 R00</v>
      </c>
      <c r="B29" s="1"/>
      <c r="C29" s="1"/>
      <c r="D29" s="1" t="str">
        <f>IFERROR(__xludf.DUMMYFUNCTION("""COMPUTED_VALUE"""),"CRU-L4")</f>
        <v>CRU-L4</v>
      </c>
      <c r="E29" s="30" t="str">
        <f>IFERROR(__xludf.DUMMYFUNCTION("""COMPUTED_VALUE"""),"CRU-L4")</f>
        <v>CRU-L4</v>
      </c>
      <c r="F29" s="10">
        <f>IFERROR(__xludf.DUMMYFUNCTION("""COMPUTED_VALUE"""),-7173168.63999999)</f>
        <v>-7173168.63999999</v>
      </c>
      <c r="G29" s="10">
        <f>IFERROR(__xludf.DUMMYFUNCTION("""COMPUTED_VALUE"""),-17754204.16)</f>
        <v>-17754204.16</v>
      </c>
      <c r="H29" s="10">
        <f>IFERROR(__xludf.DUMMYFUNCTION("""COMPUTED_VALUE"""),0)</f>
        <v>0</v>
      </c>
      <c r="I29" s="13">
        <f>IFERROR(__xludf.DUMMYFUNCTION("""COMPUTED_VALUE"""),0.96363044)</f>
        <v>0.96363044</v>
      </c>
      <c r="J29" s="13">
        <f>IFERROR(__xludf.DUMMYFUNCTION("""COMPUTED_VALUE"""),0)</f>
        <v>0</v>
      </c>
      <c r="K29" s="13">
        <f>IFERROR(__xludf.DUMMYFUNCTION("""COMPUTED_VALUE"""),0)</f>
        <v>0</v>
      </c>
      <c r="L29" s="13">
        <f>IFERROR(__xludf.DUMMYFUNCTION("""COMPUTED_VALUE"""),-0.26723838)</f>
        <v>-0.26723838</v>
      </c>
      <c r="M29" s="1" t="b">
        <f>IFERROR(__xludf.DUMMYFUNCTION("""COMPUTED_VALUE"""),TRUE)</f>
        <v>1</v>
      </c>
      <c r="N29" s="10">
        <f>IFERROR(__xludf.DUMMYFUNCTION("""COMPUTED_VALUE"""),0)</f>
        <v>0</v>
      </c>
      <c r="O29" s="10">
        <f>IFERROR(__xludf.DUMMYFUNCTION("""COMPUTED_VALUE"""),0)</f>
        <v>0</v>
      </c>
      <c r="P29" s="10"/>
      <c r="Q29" s="30"/>
      <c r="R29" s="18">
        <f>IFERROR(__xludf.DUMMYFUNCTION("""COMPUTED_VALUE"""),0)</f>
        <v>0</v>
      </c>
      <c r="S29" s="19">
        <f>IFERROR(__xludf.DUMMYFUNCTION("""COMPUTED_VALUE"""),0)</f>
        <v>0</v>
      </c>
      <c r="T29" s="10"/>
      <c r="U29" s="10"/>
      <c r="V29" s="10"/>
      <c r="W29" s="10"/>
      <c r="X29" s="19"/>
      <c r="Y29" s="1"/>
      <c r="Z29" s="1"/>
      <c r="AA29" s="30" t="str">
        <f>IFERROR(__xludf.DUMMYFUNCTION("""COMPUTED_VALUE"""),"ARC-L2")</f>
        <v>ARC-L2</v>
      </c>
    </row>
    <row r="30" customHeight="1" spans="1:27">
      <c r="A30" s="1" t="str">
        <f>IFERROR(__xludf.DUMMYFUNCTION("""COMPUTED_VALUE"""),"CRU-L5 R00")</f>
        <v>CRU-L5 R00</v>
      </c>
      <c r="B30" s="1"/>
      <c r="C30" s="1"/>
      <c r="D30" s="1" t="str">
        <f>IFERROR(__xludf.DUMMYFUNCTION("""COMPUTED_VALUE"""),"CRU-L5")</f>
        <v>CRU-L5</v>
      </c>
      <c r="E30" s="30" t="str">
        <f>IFERROR(__xludf.DUMMYFUNCTION("""COMPUTED_VALUE"""),"CRU-L5")</f>
        <v>CRU-L5</v>
      </c>
      <c r="F30" s="10">
        <f>IFERROR(__xludf.DUMMYFUNCTION("""COMPUTED_VALUE"""),-11789008.9882602)</f>
        <v>-11789008.9882602</v>
      </c>
      <c r="G30" s="10">
        <f>IFERROR(__xludf.DUMMYFUNCTION("""COMPUTED_VALUE"""),15089246.1067637)</f>
        <v>15089246.1067637</v>
      </c>
      <c r="H30" s="10">
        <f>IFERROR(__xludf.DUMMYFUNCTION("""COMPUTED_VALUE"""),0)</f>
        <v>0</v>
      </c>
      <c r="I30" s="13">
        <f>IFERROR(__xludf.DUMMYFUNCTION("""COMPUTED_VALUE"""),0.96363044)</f>
        <v>0.96363044</v>
      </c>
      <c r="J30" s="13">
        <f>IFERROR(__xludf.DUMMYFUNCTION("""COMPUTED_VALUE"""),0)</f>
        <v>0</v>
      </c>
      <c r="K30" s="13">
        <f>IFERROR(__xludf.DUMMYFUNCTION("""COMPUTED_VALUE"""),0)</f>
        <v>0</v>
      </c>
      <c r="L30" s="13">
        <f>IFERROR(__xludf.DUMMYFUNCTION("""COMPUTED_VALUE"""),-0.26723838)</f>
        <v>-0.26723838</v>
      </c>
      <c r="M30" s="1" t="b">
        <f>IFERROR(__xludf.DUMMYFUNCTION("""COMPUTED_VALUE"""),TRUE)</f>
        <v>1</v>
      </c>
      <c r="N30" s="10">
        <f>IFERROR(__xludf.DUMMYFUNCTION("""COMPUTED_VALUE"""),0)</f>
        <v>0</v>
      </c>
      <c r="O30" s="10">
        <f>IFERROR(__xludf.DUMMYFUNCTION("""COMPUTED_VALUE"""),0)</f>
        <v>0</v>
      </c>
      <c r="P30" s="10"/>
      <c r="Q30" s="30"/>
      <c r="R30" s="18">
        <f>IFERROR(__xludf.DUMMYFUNCTION("""COMPUTED_VALUE"""),0)</f>
        <v>0</v>
      </c>
      <c r="S30" s="19">
        <f>IFERROR(__xludf.DUMMYFUNCTION("""COMPUTED_VALUE"""),0)</f>
        <v>0</v>
      </c>
      <c r="T30" s="10"/>
      <c r="U30" s="10"/>
      <c r="V30" s="10"/>
      <c r="W30" s="10"/>
      <c r="X30" s="19"/>
      <c r="Y30" s="1"/>
      <c r="Z30" s="1"/>
      <c r="AA30" s="30" t="str">
        <f>IFERROR(__xludf.DUMMYFUNCTION("""COMPUTED_VALUE"""),"ARC-L3")</f>
        <v>ARC-L3</v>
      </c>
    </row>
    <row r="31" customHeight="1" spans="1:27">
      <c r="A31" s="1" t="str">
        <f>IFERROR(__xludf.DUMMYFUNCTION("""COMPUTED_VALUE"""),"HUR-L1 R00")</f>
        <v>HUR-L1 R00</v>
      </c>
      <c r="B31" s="1"/>
      <c r="C31" s="1"/>
      <c r="D31" s="1" t="str">
        <f>IFERROR(__xludf.DUMMYFUNCTION("""COMPUTED_VALUE"""),"HUR-L1")</f>
        <v>HUR-L1</v>
      </c>
      <c r="E31" s="30" t="str">
        <f>IFERROR(__xludf.DUMMYFUNCTION("""COMPUTED_VALUE"""),"HUR-L1")</f>
        <v>HUR-L1</v>
      </c>
      <c r="F31" s="10">
        <f>IFERROR(__xludf.DUMMYFUNCTION("""COMPUTED_VALUE"""),11565411.328)</f>
        <v>11565411.328</v>
      </c>
      <c r="G31" s="10">
        <f>IFERROR(__xludf.DUMMYFUNCTION("""COMPUTED_VALUE"""),0)</f>
        <v>0</v>
      </c>
      <c r="H31" s="10">
        <f>IFERROR(__xludf.DUMMYFUNCTION("""COMPUTED_VALUE"""),0)</f>
        <v>0</v>
      </c>
      <c r="I31" s="13">
        <f>IFERROR(__xludf.DUMMYFUNCTION("""COMPUTED_VALUE"""),1)</f>
        <v>1</v>
      </c>
      <c r="J31" s="13">
        <f>IFERROR(__xludf.DUMMYFUNCTION("""COMPUTED_VALUE"""),0)</f>
        <v>0</v>
      </c>
      <c r="K31" s="13">
        <f>IFERROR(__xludf.DUMMYFUNCTION("""COMPUTED_VALUE"""),0)</f>
        <v>0</v>
      </c>
      <c r="L31" s="13">
        <f>IFERROR(__xludf.DUMMYFUNCTION("""COMPUTED_VALUE"""),0)</f>
        <v>0</v>
      </c>
      <c r="M31" s="1" t="b">
        <f>IFERROR(__xludf.DUMMYFUNCTION("""COMPUTED_VALUE"""),TRUE)</f>
        <v>1</v>
      </c>
      <c r="N31" s="10">
        <f>IFERROR(__xludf.DUMMYFUNCTION("""COMPUTED_VALUE"""),0)</f>
        <v>0</v>
      </c>
      <c r="O31" s="10">
        <f>IFERROR(__xludf.DUMMYFUNCTION("""COMPUTED_VALUE"""),0)</f>
        <v>0</v>
      </c>
      <c r="P31" s="10"/>
      <c r="Q31" s="30"/>
      <c r="R31" s="18">
        <f>IFERROR(__xludf.DUMMYFUNCTION("""COMPUTED_VALUE"""),0)</f>
        <v>0</v>
      </c>
      <c r="S31" s="19">
        <f>IFERROR(__xludf.DUMMYFUNCTION("""COMPUTED_VALUE"""),0)</f>
        <v>0</v>
      </c>
      <c r="T31" s="10"/>
      <c r="U31" s="10"/>
      <c r="V31" s="10"/>
      <c r="W31" s="10"/>
      <c r="X31" s="19"/>
      <c r="Y31" s="1"/>
      <c r="Z31" s="1"/>
      <c r="AA31" s="30" t="str">
        <f>IFERROR(__xludf.DUMMYFUNCTION("""COMPUTED_VALUE"""),"ARC-L4")</f>
        <v>ARC-L4</v>
      </c>
    </row>
    <row r="32" customHeight="1" spans="1:27">
      <c r="A32" s="1" t="str">
        <f>IFERROR(__xludf.DUMMYFUNCTION("""COMPUTED_VALUE"""),"HUR-L2 R00")</f>
        <v>HUR-L2 R00</v>
      </c>
      <c r="B32" s="1"/>
      <c r="C32" s="1"/>
      <c r="D32" s="1" t="str">
        <f>IFERROR(__xludf.DUMMYFUNCTION("""COMPUTED_VALUE"""),"HUR-L2")</f>
        <v>HUR-L2</v>
      </c>
      <c r="E32" s="30" t="str">
        <f>IFERROR(__xludf.DUMMYFUNCTION("""COMPUTED_VALUE"""),"HUR-L2")</f>
        <v>HUR-L2</v>
      </c>
      <c r="F32" s="10">
        <f>IFERROR(__xludf.DUMMYFUNCTION("""COMPUTED_VALUE"""),14135502.848)</f>
        <v>14135502.848</v>
      </c>
      <c r="G32" s="10">
        <f>IFERROR(__xludf.DUMMYFUNCTION("""COMPUTED_VALUE"""),0)</f>
        <v>0</v>
      </c>
      <c r="H32" s="10">
        <f>IFERROR(__xludf.DUMMYFUNCTION("""COMPUTED_VALUE"""),0)</f>
        <v>0</v>
      </c>
      <c r="I32" s="13">
        <f>IFERROR(__xludf.DUMMYFUNCTION("""COMPUTED_VALUE"""),1)</f>
        <v>1</v>
      </c>
      <c r="J32" s="13">
        <f>IFERROR(__xludf.DUMMYFUNCTION("""COMPUTED_VALUE"""),0)</f>
        <v>0</v>
      </c>
      <c r="K32" s="13">
        <f>IFERROR(__xludf.DUMMYFUNCTION("""COMPUTED_VALUE"""),0)</f>
        <v>0</v>
      </c>
      <c r="L32" s="13">
        <f>IFERROR(__xludf.DUMMYFUNCTION("""COMPUTED_VALUE"""),0)</f>
        <v>0</v>
      </c>
      <c r="M32" s="1" t="b">
        <f>IFERROR(__xludf.DUMMYFUNCTION("""COMPUTED_VALUE"""),TRUE)</f>
        <v>1</v>
      </c>
      <c r="N32" s="10">
        <f>IFERROR(__xludf.DUMMYFUNCTION("""COMPUTED_VALUE"""),0)</f>
        <v>0</v>
      </c>
      <c r="O32" s="10">
        <f>IFERROR(__xludf.DUMMYFUNCTION("""COMPUTED_VALUE"""),0)</f>
        <v>0</v>
      </c>
      <c r="P32" s="10"/>
      <c r="Q32" s="30"/>
      <c r="R32" s="18">
        <f>IFERROR(__xludf.DUMMYFUNCTION("""COMPUTED_VALUE"""),0)</f>
        <v>0</v>
      </c>
      <c r="S32" s="19">
        <f>IFERROR(__xludf.DUMMYFUNCTION("""COMPUTED_VALUE"""),0)</f>
        <v>0</v>
      </c>
      <c r="T32" s="10"/>
      <c r="U32" s="10"/>
      <c r="V32" s="10"/>
      <c r="W32" s="10"/>
      <c r="X32" s="19"/>
      <c r="Y32" s="1"/>
      <c r="Z32" s="1"/>
      <c r="AA32" s="30" t="str">
        <f>IFERROR(__xludf.DUMMYFUNCTION("""COMPUTED_VALUE"""),"ARC-L5")</f>
        <v>ARC-L5</v>
      </c>
    </row>
    <row r="33" customHeight="1" spans="1:27">
      <c r="A33" s="1" t="str">
        <f>IFERROR(__xludf.DUMMYFUNCTION("""COMPUTED_VALUE"""),"HUR-L3 R00")</f>
        <v>HUR-L3 R00</v>
      </c>
      <c r="B33" s="1"/>
      <c r="C33" s="1"/>
      <c r="D33" s="1" t="str">
        <f>IFERROR(__xludf.DUMMYFUNCTION("""COMPUTED_VALUE"""),"HUR-L3")</f>
        <v>HUR-L3</v>
      </c>
      <c r="E33" s="30" t="str">
        <f>IFERROR(__xludf.DUMMYFUNCTION("""COMPUTED_VALUE"""),"HUR-L3")</f>
        <v>HUR-L3</v>
      </c>
      <c r="F33" s="10">
        <f>IFERROR(__xludf.DUMMYFUNCTION("""COMPUTED_VALUE"""),-12850457.6)</f>
        <v>-12850457.6</v>
      </c>
      <c r="G33" s="10">
        <f>IFERROR(__xludf.DUMMYFUNCTION("""COMPUTED_VALUE"""),-1.12342272899999)</f>
        <v>-1.12342272899999</v>
      </c>
      <c r="H33" s="10">
        <f>IFERROR(__xludf.DUMMYFUNCTION("""COMPUTED_VALUE"""),0)</f>
        <v>0</v>
      </c>
      <c r="I33" s="13">
        <f>IFERROR(__xludf.DUMMYFUNCTION("""COMPUTED_VALUE"""),1)</f>
        <v>1</v>
      </c>
      <c r="J33" s="13">
        <f>IFERROR(__xludf.DUMMYFUNCTION("""COMPUTED_VALUE"""),0)</f>
        <v>0</v>
      </c>
      <c r="K33" s="13">
        <f>IFERROR(__xludf.DUMMYFUNCTION("""COMPUTED_VALUE"""),0)</f>
        <v>0</v>
      </c>
      <c r="L33" s="13">
        <f>IFERROR(__xludf.DUMMYFUNCTION("""COMPUTED_VALUE"""),0)</f>
        <v>0</v>
      </c>
      <c r="M33" s="1" t="b">
        <f>IFERROR(__xludf.DUMMYFUNCTION("""COMPUTED_VALUE"""),TRUE)</f>
        <v>1</v>
      </c>
      <c r="N33" s="10">
        <f>IFERROR(__xludf.DUMMYFUNCTION("""COMPUTED_VALUE"""),0)</f>
        <v>0</v>
      </c>
      <c r="O33" s="10">
        <f>IFERROR(__xludf.DUMMYFUNCTION("""COMPUTED_VALUE"""),0)</f>
        <v>0</v>
      </c>
      <c r="P33" s="10"/>
      <c r="Q33" s="30"/>
      <c r="R33" s="18">
        <f>IFERROR(__xludf.DUMMYFUNCTION("""COMPUTED_VALUE"""),0)</f>
        <v>0</v>
      </c>
      <c r="S33" s="19">
        <f>IFERROR(__xludf.DUMMYFUNCTION("""COMPUTED_VALUE"""),0)</f>
        <v>0</v>
      </c>
      <c r="T33" s="10"/>
      <c r="U33" s="10"/>
      <c r="V33" s="10"/>
      <c r="W33" s="10"/>
      <c r="X33" s="19"/>
      <c r="Y33" s="1"/>
      <c r="Z33" s="1"/>
      <c r="AA33" s="30" t="str">
        <f>IFERROR(__xludf.DUMMYFUNCTION("""COMPUTED_VALUE"""),"MIC-L1")</f>
        <v>MIC-L1</v>
      </c>
    </row>
    <row r="34" customHeight="1" spans="1:27">
      <c r="A34" s="1" t="str">
        <f>IFERROR(__xludf.DUMMYFUNCTION("""COMPUTED_VALUE"""),"HUR-L4 R00")</f>
        <v>HUR-L4 R00</v>
      </c>
      <c r="B34" s="1"/>
      <c r="C34" s="1"/>
      <c r="D34" s="1" t="str">
        <f>IFERROR(__xludf.DUMMYFUNCTION("""COMPUTED_VALUE"""),"HUR-L4")</f>
        <v>HUR-L4</v>
      </c>
      <c r="E34" s="30" t="str">
        <f>IFERROR(__xludf.DUMMYFUNCTION("""COMPUTED_VALUE"""),"HUR-L4")</f>
        <v>HUR-L4</v>
      </c>
      <c r="F34" s="10">
        <f>IFERROR(__xludf.DUMMYFUNCTION("""COMPUTED_VALUE"""),6425228.288)</f>
        <v>6425228.288</v>
      </c>
      <c r="G34" s="10">
        <f>IFERROR(__xludf.DUMMYFUNCTION("""COMPUTED_VALUE"""),11128823.808)</f>
        <v>11128823.808</v>
      </c>
      <c r="H34" s="10">
        <f>IFERROR(__xludf.DUMMYFUNCTION("""COMPUTED_VALUE"""),0)</f>
        <v>0</v>
      </c>
      <c r="I34" s="13">
        <f>IFERROR(__xludf.DUMMYFUNCTION("""COMPUTED_VALUE"""),1)</f>
        <v>1</v>
      </c>
      <c r="J34" s="13">
        <f>IFERROR(__xludf.DUMMYFUNCTION("""COMPUTED_VALUE"""),0)</f>
        <v>0</v>
      </c>
      <c r="K34" s="13">
        <f>IFERROR(__xludf.DUMMYFUNCTION("""COMPUTED_VALUE"""),0)</f>
        <v>0</v>
      </c>
      <c r="L34" s="13">
        <f>IFERROR(__xludf.DUMMYFUNCTION("""COMPUTED_VALUE"""),0)</f>
        <v>0</v>
      </c>
      <c r="M34" s="1" t="b">
        <f>IFERROR(__xludf.DUMMYFUNCTION("""COMPUTED_VALUE"""),TRUE)</f>
        <v>1</v>
      </c>
      <c r="N34" s="10">
        <f>IFERROR(__xludf.DUMMYFUNCTION("""COMPUTED_VALUE"""),0)</f>
        <v>0</v>
      </c>
      <c r="O34" s="10">
        <f>IFERROR(__xludf.DUMMYFUNCTION("""COMPUTED_VALUE"""),0)</f>
        <v>0</v>
      </c>
      <c r="P34" s="10"/>
      <c r="Q34" s="30"/>
      <c r="R34" s="18">
        <f>IFERROR(__xludf.DUMMYFUNCTION("""COMPUTED_VALUE"""),0)</f>
        <v>0</v>
      </c>
      <c r="S34" s="19">
        <f>IFERROR(__xludf.DUMMYFUNCTION("""COMPUTED_VALUE"""),0)</f>
        <v>0</v>
      </c>
      <c r="T34" s="10"/>
      <c r="U34" s="10"/>
      <c r="V34" s="10"/>
      <c r="W34" s="10"/>
      <c r="X34" s="19"/>
      <c r="Y34" s="1"/>
      <c r="Z34" s="1"/>
      <c r="AA34" s="30" t="str">
        <f>IFERROR(__xludf.DUMMYFUNCTION("""COMPUTED_VALUE"""),"MIC-L2")</f>
        <v>MIC-L2</v>
      </c>
    </row>
    <row r="35" customHeight="1" spans="1:27">
      <c r="A35" s="1" t="str">
        <f>IFERROR(__xludf.DUMMYFUNCTION("""COMPUTED_VALUE"""),"HUR-L5 R00")</f>
        <v>HUR-L5 R00</v>
      </c>
      <c r="B35" s="1"/>
      <c r="C35" s="1"/>
      <c r="D35" s="1" t="str">
        <f>IFERROR(__xludf.DUMMYFUNCTION("""COMPUTED_VALUE"""),"HUR-L5")</f>
        <v>HUR-L5</v>
      </c>
      <c r="E35" s="30" t="str">
        <f>IFERROR(__xludf.DUMMYFUNCTION("""COMPUTED_VALUE"""),"HUR-L5")</f>
        <v>HUR-L5</v>
      </c>
      <c r="F35" s="10">
        <f>IFERROR(__xludf.DUMMYFUNCTION("""COMPUTED_VALUE"""),6425227.776)</f>
        <v>6425227.776</v>
      </c>
      <c r="G35" s="10">
        <f>IFERROR(__xludf.DUMMYFUNCTION("""COMPUTED_VALUE"""),-11128823.808)</f>
        <v>-11128823.808</v>
      </c>
      <c r="H35" s="10">
        <f>IFERROR(__xludf.DUMMYFUNCTION("""COMPUTED_VALUE"""),0)</f>
        <v>0</v>
      </c>
      <c r="I35" s="13">
        <f>IFERROR(__xludf.DUMMYFUNCTION("""COMPUTED_VALUE"""),1)</f>
        <v>1</v>
      </c>
      <c r="J35" s="13">
        <f>IFERROR(__xludf.DUMMYFUNCTION("""COMPUTED_VALUE"""),0)</f>
        <v>0</v>
      </c>
      <c r="K35" s="13">
        <f>IFERROR(__xludf.DUMMYFUNCTION("""COMPUTED_VALUE"""),0)</f>
        <v>0</v>
      </c>
      <c r="L35" s="13">
        <f>IFERROR(__xludf.DUMMYFUNCTION("""COMPUTED_VALUE"""),0)</f>
        <v>0</v>
      </c>
      <c r="M35" s="1" t="b">
        <f>IFERROR(__xludf.DUMMYFUNCTION("""COMPUTED_VALUE"""),TRUE)</f>
        <v>1</v>
      </c>
      <c r="N35" s="10">
        <f>IFERROR(__xludf.DUMMYFUNCTION("""COMPUTED_VALUE"""),0)</f>
        <v>0</v>
      </c>
      <c r="O35" s="10">
        <f>IFERROR(__xludf.DUMMYFUNCTION("""COMPUTED_VALUE"""),0)</f>
        <v>0</v>
      </c>
      <c r="P35" s="10"/>
      <c r="Q35" s="30"/>
      <c r="R35" s="18">
        <f>IFERROR(__xludf.DUMMYFUNCTION("""COMPUTED_VALUE"""),0)</f>
        <v>0</v>
      </c>
      <c r="S35" s="19">
        <f>IFERROR(__xludf.DUMMYFUNCTION("""COMPUTED_VALUE"""),0)</f>
        <v>0</v>
      </c>
      <c r="T35" s="10"/>
      <c r="U35" s="10"/>
      <c r="V35" s="10"/>
      <c r="W35" s="10"/>
      <c r="X35" s="19"/>
      <c r="Y35" s="1"/>
      <c r="Z35" s="1"/>
      <c r="AA35" s="30" t="str">
        <f>IFERROR(__xludf.DUMMYFUNCTION("""COMPUTED_VALUE"""),"MIC-L3")</f>
        <v>MIC-L3</v>
      </c>
    </row>
    <row r="36" customHeight="1" spans="1:27">
      <c r="A36" s="1" t="str">
        <f>IFERROR(__xludf.DUMMYFUNCTION("""COMPUTED_VALUE"""),"MIC-L1 R00")</f>
        <v>MIC-L1 R00</v>
      </c>
      <c r="B36" s="1"/>
      <c r="C36" s="1"/>
      <c r="D36" s="1" t="str">
        <f>IFERROR(__xludf.DUMMYFUNCTION("""COMPUTED_VALUE"""),"MIC-L1")</f>
        <v>MIC-L1</v>
      </c>
      <c r="E36" s="30" t="str">
        <f>IFERROR(__xludf.DUMMYFUNCTION("""COMPUTED_VALUE"""),"MIC-L1")</f>
        <v>MIC-L1</v>
      </c>
      <c r="F36" s="10">
        <f>IFERROR(__xludf.DUMMYFUNCTION("""COMPUTED_VALUE"""),20215824.238186)</f>
        <v>20215824.238186</v>
      </c>
      <c r="G36" s="10">
        <f>IFERROR(__xludf.DUMMYFUNCTION("""COMPUTED_VALUE"""),33467065.0076147)</f>
        <v>33467065.0076147</v>
      </c>
      <c r="H36" s="10">
        <f>IFERROR(__xludf.DUMMYFUNCTION("""COMPUTED_VALUE"""),0)</f>
        <v>0</v>
      </c>
      <c r="I36" s="13">
        <f>IFERROR(__xludf.DUMMYFUNCTION("""COMPUTED_VALUE"""),1)</f>
        <v>1</v>
      </c>
      <c r="J36" s="13">
        <f>IFERROR(__xludf.DUMMYFUNCTION("""COMPUTED_VALUE"""),0)</f>
        <v>0</v>
      </c>
      <c r="K36" s="13">
        <f>IFERROR(__xludf.DUMMYFUNCTION("""COMPUTED_VALUE"""),0)</f>
        <v>0</v>
      </c>
      <c r="L36" s="13">
        <f>IFERROR(__xludf.DUMMYFUNCTION("""COMPUTED_VALUE"""),0)</f>
        <v>0</v>
      </c>
      <c r="M36" s="1" t="b">
        <f>IFERROR(__xludf.DUMMYFUNCTION("""COMPUTED_VALUE"""),TRUE)</f>
        <v>1</v>
      </c>
      <c r="N36" s="10">
        <f>IFERROR(__xludf.DUMMYFUNCTION("""COMPUTED_VALUE"""),0)</f>
        <v>0</v>
      </c>
      <c r="O36" s="10">
        <f>IFERROR(__xludf.DUMMYFUNCTION("""COMPUTED_VALUE"""),0)</f>
        <v>0</v>
      </c>
      <c r="P36" s="10"/>
      <c r="Q36" s="30"/>
      <c r="R36" s="18">
        <f>IFERROR(__xludf.DUMMYFUNCTION("""COMPUTED_VALUE"""),0)</f>
        <v>0</v>
      </c>
      <c r="S36" s="19">
        <f>IFERROR(__xludf.DUMMYFUNCTION("""COMPUTED_VALUE"""),0)</f>
        <v>0</v>
      </c>
      <c r="T36" s="10"/>
      <c r="U36" s="10"/>
      <c r="V36" s="10"/>
      <c r="W36" s="10"/>
      <c r="X36" s="19"/>
      <c r="Y36" s="1"/>
      <c r="Z36" s="1"/>
      <c r="AA36" s="30" t="str">
        <f>IFERROR(__xludf.DUMMYFUNCTION("""COMPUTED_VALUE"""),"MIC-L4")</f>
        <v>MIC-L4</v>
      </c>
    </row>
    <row r="37" customHeight="1" spans="1:27">
      <c r="A37" s="1" t="str">
        <f>IFERROR(__xludf.DUMMYFUNCTION("""COMPUTED_VALUE"""),"MIC-L2 R00")</f>
        <v>MIC-L2 R00</v>
      </c>
      <c r="B37" s="1"/>
      <c r="C37" s="1"/>
      <c r="D37" s="1" t="str">
        <f>IFERROR(__xludf.DUMMYFUNCTION("""COMPUTED_VALUE"""),"MIC-L2")</f>
        <v>MIC-L2</v>
      </c>
      <c r="E37" s="30" t="str">
        <f>IFERROR(__xludf.DUMMYFUNCTION("""COMPUTED_VALUE"""),"MIC-L2")</f>
        <v>MIC-L2</v>
      </c>
      <c r="F37" s="10">
        <f>IFERROR(__xludf.DUMMYFUNCTION("""COMPUTED_VALUE"""),24708827.1534754)</f>
        <v>24708827.1534754</v>
      </c>
      <c r="G37" s="10">
        <f>IFERROR(__xludf.DUMMYFUNCTION("""COMPUTED_VALUE"""),40905202.4592227)</f>
        <v>40905202.4592227</v>
      </c>
      <c r="H37" s="10">
        <f>IFERROR(__xludf.DUMMYFUNCTION("""COMPUTED_VALUE"""),-0.000050088)</f>
        <v>-5.0088e-5</v>
      </c>
      <c r="I37" s="13">
        <f>IFERROR(__xludf.DUMMYFUNCTION("""COMPUTED_VALUE"""),1)</f>
        <v>1</v>
      </c>
      <c r="J37" s="13">
        <f>IFERROR(__xludf.DUMMYFUNCTION("""COMPUTED_VALUE"""),0)</f>
        <v>0</v>
      </c>
      <c r="K37" s="13">
        <f>IFERROR(__xludf.DUMMYFUNCTION("""COMPUTED_VALUE"""),0)</f>
        <v>0</v>
      </c>
      <c r="L37" s="13">
        <f>IFERROR(__xludf.DUMMYFUNCTION("""COMPUTED_VALUE"""),0)</f>
        <v>0</v>
      </c>
      <c r="M37" s="1" t="b">
        <f>IFERROR(__xludf.DUMMYFUNCTION("""COMPUTED_VALUE"""),TRUE)</f>
        <v>1</v>
      </c>
      <c r="N37" s="10">
        <f>IFERROR(__xludf.DUMMYFUNCTION("""COMPUTED_VALUE"""),0)</f>
        <v>0</v>
      </c>
      <c r="O37" s="10">
        <f>IFERROR(__xludf.DUMMYFUNCTION("""COMPUTED_VALUE"""),0)</f>
        <v>0</v>
      </c>
      <c r="P37" s="10"/>
      <c r="Q37" s="30"/>
      <c r="R37" s="18">
        <f>IFERROR(__xludf.DUMMYFUNCTION("""COMPUTED_VALUE"""),0)</f>
        <v>0</v>
      </c>
      <c r="S37" s="19">
        <f>IFERROR(__xludf.DUMMYFUNCTION("""COMPUTED_VALUE"""),0)</f>
        <v>0</v>
      </c>
      <c r="T37" s="10"/>
      <c r="U37" s="10"/>
      <c r="V37" s="10"/>
      <c r="W37" s="10"/>
      <c r="X37" s="19"/>
      <c r="Y37" s="1"/>
      <c r="Z37" s="1"/>
      <c r="AA37" s="30" t="str">
        <f>IFERROR(__xludf.DUMMYFUNCTION("""COMPUTED_VALUE"""),"MIC-L5")</f>
        <v>MIC-L5</v>
      </c>
    </row>
    <row r="38" customHeight="1" spans="1:27">
      <c r="A38" s="1" t="str">
        <f>IFERROR(__xludf.DUMMYFUNCTION("""COMPUTED_VALUE"""),"MIC-L3 R00")</f>
        <v>MIC-L3 R00</v>
      </c>
      <c r="B38" s="1"/>
      <c r="C38" s="1"/>
      <c r="D38" s="1" t="str">
        <f>IFERROR(__xludf.DUMMYFUNCTION("""COMPUTED_VALUE"""),"MIC-L3")</f>
        <v>MIC-L3</v>
      </c>
      <c r="E38" s="30" t="str">
        <f>IFERROR(__xludf.DUMMYFUNCTION("""COMPUTED_VALUE"""),"MIC-L3")</f>
        <v>MIC-L3</v>
      </c>
      <c r="F38" s="10">
        <f>IFERROR(__xludf.DUMMYFUNCTION("""COMPUTED_VALUE"""),-22457170.2657861)</f>
        <v>-22457170.2657861</v>
      </c>
      <c r="G38" s="10">
        <f>IFERROR(__xludf.DUMMYFUNCTION("""COMPUTED_VALUE"""),-37187612.39564)</f>
        <v>-37187612.39564</v>
      </c>
      <c r="H38" s="10">
        <f>IFERROR(__xludf.DUMMYFUNCTION("""COMPUTED_VALUE"""),0)</f>
        <v>0</v>
      </c>
      <c r="I38" s="13">
        <f>IFERROR(__xludf.DUMMYFUNCTION("""COMPUTED_VALUE"""),1)</f>
        <v>1</v>
      </c>
      <c r="J38" s="13">
        <f>IFERROR(__xludf.DUMMYFUNCTION("""COMPUTED_VALUE"""),0)</f>
        <v>0</v>
      </c>
      <c r="K38" s="13">
        <f>IFERROR(__xludf.DUMMYFUNCTION("""COMPUTED_VALUE"""),0)</f>
        <v>0</v>
      </c>
      <c r="L38" s="13">
        <f>IFERROR(__xludf.DUMMYFUNCTION("""COMPUTED_VALUE"""),0)</f>
        <v>0</v>
      </c>
      <c r="M38" s="1" t="b">
        <f>IFERROR(__xludf.DUMMYFUNCTION("""COMPUTED_VALUE"""),TRUE)</f>
        <v>1</v>
      </c>
      <c r="N38" s="10">
        <f>IFERROR(__xludf.DUMMYFUNCTION("""COMPUTED_VALUE"""),0)</f>
        <v>0</v>
      </c>
      <c r="O38" s="10">
        <f>IFERROR(__xludf.DUMMYFUNCTION("""COMPUTED_VALUE"""),0)</f>
        <v>0</v>
      </c>
      <c r="P38" s="10"/>
      <c r="Q38" s="30"/>
      <c r="R38" s="18">
        <f>IFERROR(__xludf.DUMMYFUNCTION("""COMPUTED_VALUE"""),0)</f>
        <v>0</v>
      </c>
      <c r="S38" s="19">
        <f>IFERROR(__xludf.DUMMYFUNCTION("""COMPUTED_VALUE"""),0)</f>
        <v>0</v>
      </c>
      <c r="T38" s="10"/>
      <c r="U38" s="10"/>
      <c r="V38" s="10"/>
      <c r="W38" s="10"/>
      <c r="X38" s="19"/>
      <c r="Y38" s="1"/>
      <c r="Z38" s="1"/>
      <c r="AA38" s="1" t="str">
        <f>IFERROR(__xludf.DUMMYFUNCTION("""COMPUTED_VALUE"""),"Magnus Jump Point")</f>
        <v>Magnus Jump Point</v>
      </c>
    </row>
    <row r="39" customHeight="1" spans="1:27">
      <c r="A39" s="1" t="str">
        <f>IFERROR(__xludf.DUMMYFUNCTION("""COMPUTED_VALUE"""),"MIC-L4 R00")</f>
        <v>MIC-L4 R00</v>
      </c>
      <c r="B39" s="1"/>
      <c r="C39" s="1"/>
      <c r="D39" s="1" t="str">
        <f>IFERROR(__xludf.DUMMYFUNCTION("""COMPUTED_VALUE"""),"MIC-L4")</f>
        <v>MIC-L4</v>
      </c>
      <c r="E39" s="30" t="str">
        <f>IFERROR(__xludf.DUMMYFUNCTION("""COMPUTED_VALUE"""),"MIC-L4")</f>
        <v>MIC-L4</v>
      </c>
      <c r="F39" s="10">
        <f>IFERROR(__xludf.DUMMYFUNCTION("""COMPUTED_VALUE"""),-20971933.2301658)</f>
        <v>-20971933.2301658</v>
      </c>
      <c r="G39" s="10">
        <f>IFERROR(__xludf.DUMMYFUNCTION("""COMPUTED_VALUE"""),38045504.0320193)</f>
        <v>38045504.0320193</v>
      </c>
      <c r="H39" s="10">
        <f>IFERROR(__xludf.DUMMYFUNCTION("""COMPUTED_VALUE"""),0)</f>
        <v>0</v>
      </c>
      <c r="I39" s="13">
        <f>IFERROR(__xludf.DUMMYFUNCTION("""COMPUTED_VALUE"""),1)</f>
        <v>1</v>
      </c>
      <c r="J39" s="13">
        <f>IFERROR(__xludf.DUMMYFUNCTION("""COMPUTED_VALUE"""),0)</f>
        <v>0</v>
      </c>
      <c r="K39" s="13">
        <f>IFERROR(__xludf.DUMMYFUNCTION("""COMPUTED_VALUE"""),0)</f>
        <v>0</v>
      </c>
      <c r="L39" s="13">
        <f>IFERROR(__xludf.DUMMYFUNCTION("""COMPUTED_VALUE"""),0)</f>
        <v>0</v>
      </c>
      <c r="M39" s="1" t="b">
        <f>IFERROR(__xludf.DUMMYFUNCTION("""COMPUTED_VALUE"""),TRUE)</f>
        <v>1</v>
      </c>
      <c r="N39" s="10">
        <f>IFERROR(__xludf.DUMMYFUNCTION("""COMPUTED_VALUE"""),0)</f>
        <v>0</v>
      </c>
      <c r="O39" s="10">
        <f>IFERROR(__xludf.DUMMYFUNCTION("""COMPUTED_VALUE"""),0)</f>
        <v>0</v>
      </c>
      <c r="P39" s="10"/>
      <c r="Q39" s="30"/>
      <c r="R39" s="18">
        <f>IFERROR(__xludf.DUMMYFUNCTION("""COMPUTED_VALUE"""),0)</f>
        <v>0</v>
      </c>
      <c r="S39" s="19">
        <f>IFERROR(__xludf.DUMMYFUNCTION("""COMPUTED_VALUE"""),0)</f>
        <v>0</v>
      </c>
      <c r="T39" s="10"/>
      <c r="U39" s="10"/>
      <c r="V39" s="10"/>
      <c r="W39" s="10"/>
      <c r="X39" s="19"/>
      <c r="Y39" s="1"/>
      <c r="Z39" s="1"/>
      <c r="AA39" s="1" t="str">
        <f>IFERROR(__xludf.DUMMYFUNCTION("""COMPUTED_VALUE"""),"Pyro Jump Point")</f>
        <v>Pyro Jump Point</v>
      </c>
    </row>
    <row r="40" customHeight="1" spans="1:27">
      <c r="A40" s="1" t="str">
        <f>IFERROR(__xludf.DUMMYFUNCTION("""COMPUTED_VALUE"""),"MIC-L5 R00")</f>
        <v>MIC-L5 R00</v>
      </c>
      <c r="B40" s="1"/>
      <c r="C40" s="1"/>
      <c r="D40" s="1" t="str">
        <f>IFERROR(__xludf.DUMMYFUNCTION("""COMPUTED_VALUE"""),"MIC-L5")</f>
        <v>MIC-L5</v>
      </c>
      <c r="E40" s="30" t="str">
        <f>IFERROR(__xludf.DUMMYFUNCTION("""COMPUTED_VALUE"""),"MIC-L5")</f>
        <v>MIC-L5</v>
      </c>
      <c r="F40" s="10">
        <f>IFERROR(__xludf.DUMMYFUNCTION("""COMPUTED_VALUE"""),43435204.2882185)</f>
        <v>43435204.2882185</v>
      </c>
      <c r="G40" s="10">
        <f>IFERROR(__xludf.DUMMYFUNCTION("""COMPUTED_VALUE"""),-851406.955908429)</f>
        <v>-851406.955908429</v>
      </c>
      <c r="H40" s="10">
        <f>IFERROR(__xludf.DUMMYFUNCTION("""COMPUTED_VALUE"""),0)</f>
        <v>0</v>
      </c>
      <c r="I40" s="13">
        <f>IFERROR(__xludf.DUMMYFUNCTION("""COMPUTED_VALUE"""),1)</f>
        <v>1</v>
      </c>
      <c r="J40" s="13">
        <f>IFERROR(__xludf.DUMMYFUNCTION("""COMPUTED_VALUE"""),0)</f>
        <v>0</v>
      </c>
      <c r="K40" s="13">
        <f>IFERROR(__xludf.DUMMYFUNCTION("""COMPUTED_VALUE"""),0)</f>
        <v>0</v>
      </c>
      <c r="L40" s="13">
        <f>IFERROR(__xludf.DUMMYFUNCTION("""COMPUTED_VALUE"""),0)</f>
        <v>0</v>
      </c>
      <c r="M40" s="1" t="b">
        <f>IFERROR(__xludf.DUMMYFUNCTION("""COMPUTED_VALUE"""),TRUE)</f>
        <v>1</v>
      </c>
      <c r="N40" s="10">
        <f>IFERROR(__xludf.DUMMYFUNCTION("""COMPUTED_VALUE"""),0)</f>
        <v>0</v>
      </c>
      <c r="O40" s="10">
        <f>IFERROR(__xludf.DUMMYFUNCTION("""COMPUTED_VALUE"""),0)</f>
        <v>0</v>
      </c>
      <c r="P40" s="10"/>
      <c r="Q40" s="30"/>
      <c r="R40" s="18">
        <f>IFERROR(__xludf.DUMMYFUNCTION("""COMPUTED_VALUE"""),0)</f>
        <v>0</v>
      </c>
      <c r="S40" s="19">
        <f>IFERROR(__xludf.DUMMYFUNCTION("""COMPUTED_VALUE"""),0)</f>
        <v>0</v>
      </c>
      <c r="T40" s="10"/>
      <c r="U40" s="10"/>
      <c r="V40" s="10"/>
      <c r="W40" s="10"/>
      <c r="X40" s="19"/>
      <c r="Y40" s="1"/>
      <c r="Z40" s="1"/>
      <c r="AA40" s="1" t="str">
        <f>IFERROR(__xludf.DUMMYFUNCTION("""COMPUTED_VALUE"""),"Terra Jump Point")</f>
        <v>Terra Jump Point</v>
      </c>
    </row>
    <row r="41" customHeight="1" spans="1:27">
      <c r="A41" s="1" t="str">
        <f>IFERROR(__xludf.DUMMYFUNCTION("""COMPUTED_VALUE"""),"MagnusJP R00")</f>
        <v>MagnusJP R00</v>
      </c>
      <c r="B41" s="1"/>
      <c r="C41" s="1"/>
      <c r="D41" s="1" t="str">
        <f>IFERROR(__xludf.DUMMYFUNCTION("""COMPUTED_VALUE"""),"Stanton-Magnus Jump Point")</f>
        <v>Stanton-Magnus Jump Point</v>
      </c>
      <c r="E41" s="30" t="str">
        <f>IFERROR(__xludf.DUMMYFUNCTION("""COMPUTED_VALUE"""),"Magnus JP")</f>
        <v>Magnus JP</v>
      </c>
      <c r="F41" s="10">
        <f>IFERROR(__xludf.DUMMYFUNCTION("""COMPUTED_VALUE"""),-62284273.8607205)</f>
        <v>-62284273.8607205</v>
      </c>
      <c r="G41" s="10">
        <f>IFERROR(__xludf.DUMMYFUNCTION("""COMPUTED_VALUE"""),23467618.0513957)</f>
        <v>23467618.0513957</v>
      </c>
      <c r="H41" s="10">
        <f>IFERROR(__xludf.DUMMYFUNCTION("""COMPUTED_VALUE"""),20198396.608)</f>
        <v>20198396.608</v>
      </c>
      <c r="I41" s="13">
        <f>IFERROR(__xludf.DUMMYFUNCTION("""COMPUTED_VALUE"""),0.30793616)</f>
        <v>0.30793616</v>
      </c>
      <c r="J41" s="13">
        <f>IFERROR(__xludf.DUMMYFUNCTION("""COMPUTED_VALUE"""),-0.14839508)</f>
        <v>-0.14839508</v>
      </c>
      <c r="K41" s="13">
        <f>IFERROR(__xludf.DUMMYFUNCTION("""COMPUTED_VALUE"""),-0.027259013)</f>
        <v>-0.027259013</v>
      </c>
      <c r="L41" s="13">
        <f>IFERROR(__xludf.DUMMYFUNCTION("""COMPUTED_VALUE"""),0.93936741)</f>
        <v>0.93936741</v>
      </c>
      <c r="M41" s="1" t="b">
        <f>IFERROR(__xludf.DUMMYFUNCTION("""COMPUTED_VALUE"""),TRUE)</f>
        <v>1</v>
      </c>
      <c r="N41" s="10"/>
      <c r="O41" s="10"/>
      <c r="P41" s="10"/>
      <c r="Q41" s="30"/>
      <c r="R41" s="18"/>
      <c r="S41" s="19"/>
      <c r="T41" s="10"/>
      <c r="U41" s="10"/>
      <c r="V41" s="10"/>
      <c r="W41" s="10"/>
      <c r="X41" s="19"/>
      <c r="Y41" s="1"/>
      <c r="Z41" s="1"/>
      <c r="AA41" s="1"/>
    </row>
    <row r="42" customHeight="1" spans="1:27">
      <c r="A42" s="1" t="str">
        <f>IFERROR(__xludf.DUMMYFUNCTION("""COMPUTED_VALUE"""),"PyroJP R00")</f>
        <v>PyroJP R00</v>
      </c>
      <c r="B42" s="1"/>
      <c r="C42" s="1"/>
      <c r="D42" s="1" t="str">
        <f>IFERROR(__xludf.DUMMYFUNCTION("""COMPUTED_VALUE"""),"Stanton-Pyro Jump Point")</f>
        <v>Stanton-Pyro Jump Point</v>
      </c>
      <c r="E42" s="30" t="str">
        <f>IFERROR(__xludf.DUMMYFUNCTION("""COMPUTED_VALUE"""),"Pyro JP")</f>
        <v>Pyro JP</v>
      </c>
      <c r="F42" s="10">
        <f>IFERROR(__xludf.DUMMYFUNCTION("""COMPUTED_VALUE"""),3310491.63980217)</f>
        <v>3310491.63980217</v>
      </c>
      <c r="G42" s="10">
        <f>IFERROR(__xludf.DUMMYFUNCTION("""COMPUTED_VALUE"""),-27979408.2214568)</f>
        <v>-27979408.2214568</v>
      </c>
      <c r="H42" s="10">
        <f>IFERROR(__xludf.DUMMYFUNCTION("""COMPUTED_VALUE"""),-2676285.679)</f>
        <v>-2676285.679</v>
      </c>
      <c r="I42" s="13">
        <f>IFERROR(__xludf.DUMMYFUNCTION("""COMPUTED_VALUE"""),-0.10573804)</f>
        <v>-0.10573804</v>
      </c>
      <c r="J42" s="13">
        <f>IFERROR(__xludf.DUMMYFUNCTION("""COMPUTED_VALUE"""),0.13918006)</f>
        <v>0.13918006</v>
      </c>
      <c r="K42" s="13">
        <f>IFERROR(__xludf.DUMMYFUNCTION("""COMPUTED_VALUE"""),-0.22767709)</f>
        <v>-0.22767709</v>
      </c>
      <c r="L42" s="13">
        <f>IFERROR(__xludf.DUMMYFUNCTION("""COMPUTED_VALUE"""),0.95792043)</f>
        <v>0.95792043</v>
      </c>
      <c r="M42" s="1" t="b">
        <f>IFERROR(__xludf.DUMMYFUNCTION("""COMPUTED_VALUE"""),TRUE)</f>
        <v>1</v>
      </c>
      <c r="N42" s="10"/>
      <c r="O42" s="10"/>
      <c r="P42" s="10"/>
      <c r="Q42" s="30"/>
      <c r="R42" s="18"/>
      <c r="S42" s="19"/>
      <c r="T42" s="10"/>
      <c r="U42" s="10"/>
      <c r="V42" s="10"/>
      <c r="W42" s="10"/>
      <c r="X42" s="19"/>
      <c r="Y42" s="1"/>
      <c r="Z42" s="1"/>
      <c r="AA42" s="1"/>
    </row>
    <row r="43" customHeight="1" spans="1:27">
      <c r="A43" s="1" t="str">
        <f>IFERROR(__xludf.DUMMYFUNCTION("""COMPUTED_VALUE"""),"TerraJP R00")</f>
        <v>TerraJP R00</v>
      </c>
      <c r="B43" s="1"/>
      <c r="C43" s="1"/>
      <c r="D43" s="1" t="str">
        <f>IFERROR(__xludf.DUMMYFUNCTION("""COMPUTED_VALUE"""),"Stanton-Terra Jump Point")</f>
        <v>Stanton-Terra Jump Point</v>
      </c>
      <c r="E43" s="30" t="str">
        <f>IFERROR(__xludf.DUMMYFUNCTION("""COMPUTED_VALUE"""),"Terra JP")</f>
        <v>Terra JP</v>
      </c>
      <c r="F43" s="10">
        <f>IFERROR(__xludf.DUMMYFUNCTION("""COMPUTED_VALUE"""),51118221.6169033)</f>
        <v>51118221.6169033</v>
      </c>
      <c r="G43" s="10">
        <f>IFERROR(__xludf.DUMMYFUNCTION("""COMPUTED_VALUE"""),-5269981.30311381)</f>
        <v>-5269981.30311381</v>
      </c>
      <c r="H43" s="10">
        <f>IFERROR(__xludf.DUMMYFUNCTION("""COMPUTED_VALUE"""),-4339551.619)</f>
        <v>-4339551.619</v>
      </c>
      <c r="I43" s="13">
        <f>IFERROR(__xludf.DUMMYFUNCTION("""COMPUTED_VALUE"""),0.84275234)</f>
        <v>0.84275234</v>
      </c>
      <c r="J43" s="13">
        <f>IFERROR(__xludf.DUMMYFUNCTION("""COMPUTED_VALUE"""),-0.15849306)</f>
        <v>-0.15849306</v>
      </c>
      <c r="K43" s="13">
        <f>IFERROR(__xludf.DUMMYFUNCTION("""COMPUTED_VALUE"""),-0.091506034)</f>
        <v>-0.091506034</v>
      </c>
      <c r="L43" s="13">
        <f>IFERROR(__xludf.DUMMYFUNCTION("""COMPUTED_VALUE"""),-0.5062362)</f>
        <v>-0.5062362</v>
      </c>
      <c r="M43" s="1" t="b">
        <f>IFERROR(__xludf.DUMMYFUNCTION("""COMPUTED_VALUE"""),TRUE)</f>
        <v>1</v>
      </c>
      <c r="N43" s="10"/>
      <c r="O43" s="10"/>
      <c r="P43" s="10"/>
      <c r="Q43" s="30"/>
      <c r="R43" s="18"/>
      <c r="S43" s="19"/>
      <c r="T43" s="10"/>
      <c r="U43" s="10"/>
      <c r="V43" s="10"/>
      <c r="W43" s="10"/>
      <c r="X43" s="19"/>
      <c r="Y43" s="1"/>
      <c r="Z43" s="1"/>
      <c r="AA43" s="1"/>
    </row>
    <row r="44" customHeight="1" spans="1:27">
      <c r="A44" s="1"/>
      <c r="B44" s="1"/>
      <c r="C44" s="1"/>
      <c r="D44" s="1"/>
      <c r="E44" s="30"/>
      <c r="F44" s="10"/>
      <c r="G44" s="10"/>
      <c r="H44" s="10"/>
      <c r="I44" s="13"/>
      <c r="J44" s="13"/>
      <c r="K44" s="13"/>
      <c r="L44" s="13"/>
      <c r="M44" s="1"/>
      <c r="N44" s="10" t="str">
        <f>IFERROR(__xludf.DUMMYFUNCTION("""COMPUTED_VALUE"""),"Rise Corr")</f>
        <v>Rise Corr</v>
      </c>
      <c r="O44" s="10" t="str">
        <f>IFERROR(__xludf.DUMMYFUNCTION("""COMPUTED_VALUE"""),"Set Corr")</f>
        <v>Set Corr</v>
      </c>
      <c r="P44" s="10"/>
      <c r="Q44" s="30"/>
      <c r="R44" s="18"/>
      <c r="S44" s="19"/>
      <c r="T44" s="10"/>
      <c r="U44" s="10"/>
      <c r="V44" s="10"/>
      <c r="W44" s="10"/>
      <c r="X44" s="19"/>
      <c r="Y44" s="1"/>
      <c r="Z44" s="1"/>
      <c r="AA44" s="1"/>
    </row>
    <row r="45" customHeight="1" spans="1:27">
      <c r="A45" s="1" t="str">
        <f>IFERROR(__xludf.DUMMYFUNCTION("""COMPUTED_VALUE"""),"Aberdeen R01")</f>
        <v>Aberdeen R01</v>
      </c>
      <c r="B45" s="1" t="str">
        <f>IFERROR(__xludf.DUMMYFUNCTION("""COMPUTED_VALUE"""),"Aberdeen 29")</f>
        <v>Aberdeen 29</v>
      </c>
      <c r="C45" s="1"/>
      <c r="D45" s="1" t="str">
        <f>IFERROR(__xludf.DUMMYFUNCTION("""COMPUTED_VALUE"""),"OM-1")</f>
        <v>OM-1</v>
      </c>
      <c r="E45" s="30" t="str">
        <f>IFERROR(__xludf.DUMMYFUNCTION("""COMPUTED_VALUE"""),"OM1")</f>
        <v>OM1</v>
      </c>
      <c r="F45" s="10">
        <f>IFERROR(__xludf.DUMMYFUNCTION("""COMPUTED_VALUE"""),0)</f>
        <v>0</v>
      </c>
      <c r="G45" s="10">
        <f>IFERROR(__xludf.DUMMYFUNCTION("""COMPUTED_VALUE"""),0)</f>
        <v>0</v>
      </c>
      <c r="H45" s="10">
        <f>IFERROR(__xludf.DUMMYFUNCTION("""COMPUTED_VALUE"""),402.708)</f>
        <v>402.708</v>
      </c>
      <c r="I45" s="13"/>
      <c r="J45" s="13"/>
      <c r="K45" s="13"/>
      <c r="L45" s="13"/>
      <c r="M45" s="1" t="b">
        <f>IFERROR(__xludf.DUMMYFUNCTION("""COMPUTED_VALUE"""),TRUE)</f>
        <v>1</v>
      </c>
      <c r="N45" s="10">
        <f>IFERROR(__xludf.DUMMYFUNCTION("""COMPUTED_VALUE"""),0)</f>
        <v>0</v>
      </c>
      <c r="O45" s="10">
        <f>IFERROR(__xludf.DUMMYFUNCTION("""COMPUTED_VALUE"""),0)</f>
        <v>0</v>
      </c>
      <c r="P45" s="10"/>
      <c r="Q45" s="30"/>
      <c r="R45" s="18"/>
      <c r="S45" s="19"/>
      <c r="T45" s="10"/>
      <c r="U45" s="10"/>
      <c r="V45" s="10"/>
      <c r="W45" s="10"/>
      <c r="X45" s="19"/>
      <c r="Y45" s="1"/>
      <c r="Z45" s="1"/>
      <c r="AA45" s="1"/>
    </row>
    <row r="46" customHeight="1" spans="1:27">
      <c r="A46" s="1" t="str">
        <f>IFERROR(__xludf.DUMMYFUNCTION("""COMPUTED_VALUE"""),"Aberdeen R02")</f>
        <v>Aberdeen R02</v>
      </c>
      <c r="B46" s="1" t="str">
        <f>IFERROR(__xludf.DUMMYFUNCTION("""COMPUTED_VALUE"""),"Aberdeen 30")</f>
        <v>Aberdeen 30</v>
      </c>
      <c r="C46" s="1"/>
      <c r="D46" s="1" t="str">
        <f>IFERROR(__xludf.DUMMYFUNCTION("""COMPUTED_VALUE"""),"OM-2")</f>
        <v>OM-2</v>
      </c>
      <c r="E46" s="30" t="str">
        <f>IFERROR(__xludf.DUMMYFUNCTION("""COMPUTED_VALUE"""),"OM2")</f>
        <v>OM2</v>
      </c>
      <c r="F46" s="10">
        <f>IFERROR(__xludf.DUMMYFUNCTION("""COMPUTED_VALUE"""),0)</f>
        <v>0</v>
      </c>
      <c r="G46" s="10">
        <f>IFERROR(__xludf.DUMMYFUNCTION("""COMPUTED_VALUE"""),0)</f>
        <v>0</v>
      </c>
      <c r="H46" s="10">
        <f>IFERROR(__xludf.DUMMYFUNCTION("""COMPUTED_VALUE"""),-402.708)</f>
        <v>-402.708</v>
      </c>
      <c r="I46" s="13"/>
      <c r="J46" s="13"/>
      <c r="K46" s="13"/>
      <c r="L46" s="13"/>
      <c r="M46" s="1" t="b">
        <f>IFERROR(__xludf.DUMMYFUNCTION("""COMPUTED_VALUE"""),TRUE)</f>
        <v>1</v>
      </c>
      <c r="N46" s="10">
        <f>IFERROR(__xludf.DUMMYFUNCTION("""COMPUTED_VALUE"""),0)</f>
        <v>0</v>
      </c>
      <c r="O46" s="10">
        <f>IFERROR(__xludf.DUMMYFUNCTION("""COMPUTED_VALUE"""),0)</f>
        <v>0</v>
      </c>
      <c r="P46" s="10"/>
      <c r="Q46" s="30"/>
      <c r="R46" s="18"/>
      <c r="S46" s="19"/>
      <c r="T46" s="10"/>
      <c r="U46" s="10"/>
      <c r="V46" s="10"/>
      <c r="W46" s="10"/>
      <c r="X46" s="19"/>
      <c r="Y46" s="1"/>
      <c r="Z46" s="1"/>
      <c r="AA46" s="1"/>
    </row>
    <row r="47" customHeight="1" spans="1:27">
      <c r="A47" s="1" t="str">
        <f>IFERROR(__xludf.DUMMYFUNCTION("""COMPUTED_VALUE"""),"Aberdeen R03")</f>
        <v>Aberdeen R03</v>
      </c>
      <c r="B47" s="1" t="str">
        <f>IFERROR(__xludf.DUMMYFUNCTION("""COMPUTED_VALUE"""),"Aberdeen 31")</f>
        <v>Aberdeen 31</v>
      </c>
      <c r="C47" s="1" t="str">
        <f>IFERROR(__xludf.DUMMYFUNCTION("""COMPUTED_VALUE"""),"Aberdeen 07")</f>
        <v>Aberdeen 07</v>
      </c>
      <c r="D47" s="1" t="str">
        <f>IFERROR(__xludf.DUMMYFUNCTION("""COMPUTED_VALUE"""),"OM-3")</f>
        <v>OM-3</v>
      </c>
      <c r="E47" s="30" t="str">
        <f>IFERROR(__xludf.DUMMYFUNCTION("""COMPUTED_VALUE"""),"OM3")</f>
        <v>OM3</v>
      </c>
      <c r="F47" s="10">
        <f>IFERROR(__xludf.DUMMYFUNCTION("""COMPUTED_VALUE"""),0)</f>
        <v>0</v>
      </c>
      <c r="G47" s="10">
        <f>IFERROR(__xludf.DUMMYFUNCTION("""COMPUTED_VALUE"""),402.708)</f>
        <v>402.708</v>
      </c>
      <c r="H47" s="10">
        <f>IFERROR(__xludf.DUMMYFUNCTION("""COMPUTED_VALUE"""),0)</f>
        <v>0</v>
      </c>
      <c r="I47" s="13"/>
      <c r="J47" s="13"/>
      <c r="K47" s="13"/>
      <c r="L47" s="13"/>
      <c r="M47" s="1" t="b">
        <f>IFERROR(__xludf.DUMMYFUNCTION("""COMPUTED_VALUE"""),TRUE)</f>
        <v>1</v>
      </c>
      <c r="N47" s="10">
        <f>IFERROR(__xludf.DUMMYFUNCTION("""COMPUTED_VALUE"""),0)</f>
        <v>0</v>
      </c>
      <c r="O47" s="10">
        <f>IFERROR(__xludf.DUMMYFUNCTION("""COMPUTED_VALUE"""),0)</f>
        <v>0</v>
      </c>
      <c r="P47" s="10"/>
      <c r="Q47" s="30"/>
      <c r="R47" s="18"/>
      <c r="S47" s="19"/>
      <c r="T47" s="10"/>
      <c r="U47" s="10"/>
      <c r="V47" s="10"/>
      <c r="W47" s="10"/>
      <c r="X47" s="19"/>
      <c r="Y47" s="1"/>
      <c r="Z47" s="1"/>
      <c r="AA47" s="1"/>
    </row>
    <row r="48" customHeight="1" spans="1:27">
      <c r="A48" s="1" t="str">
        <f>IFERROR(__xludf.DUMMYFUNCTION("""COMPUTED_VALUE"""),"Aberdeen R04")</f>
        <v>Aberdeen R04</v>
      </c>
      <c r="B48" s="1" t="str">
        <f>IFERROR(__xludf.DUMMYFUNCTION("""COMPUTED_VALUE"""),"Aberdeen 32")</f>
        <v>Aberdeen 32</v>
      </c>
      <c r="C48" s="1" t="str">
        <f>IFERROR(__xludf.DUMMYFUNCTION("""COMPUTED_VALUE"""),"Aberdeen 19")</f>
        <v>Aberdeen 19</v>
      </c>
      <c r="D48" s="1" t="str">
        <f>IFERROR(__xludf.DUMMYFUNCTION("""COMPUTED_VALUE"""),"OM-4")</f>
        <v>OM-4</v>
      </c>
      <c r="E48" s="30" t="str">
        <f>IFERROR(__xludf.DUMMYFUNCTION("""COMPUTED_VALUE"""),"OM4")</f>
        <v>OM4</v>
      </c>
      <c r="F48" s="10">
        <f>IFERROR(__xludf.DUMMYFUNCTION("""COMPUTED_VALUE"""),0)</f>
        <v>0</v>
      </c>
      <c r="G48" s="10">
        <f>IFERROR(__xludf.DUMMYFUNCTION("""COMPUTED_VALUE"""),-402.708)</f>
        <v>-402.708</v>
      </c>
      <c r="H48" s="10">
        <f>IFERROR(__xludf.DUMMYFUNCTION("""COMPUTED_VALUE"""),0)</f>
        <v>0</v>
      </c>
      <c r="I48" s="13"/>
      <c r="J48" s="13"/>
      <c r="K48" s="13"/>
      <c r="L48" s="13"/>
      <c r="M48" s="1" t="b">
        <f>IFERROR(__xludf.DUMMYFUNCTION("""COMPUTED_VALUE"""),TRUE)</f>
        <v>1</v>
      </c>
      <c r="N48" s="10">
        <f>IFERROR(__xludf.DUMMYFUNCTION("""COMPUTED_VALUE"""),0)</f>
        <v>0</v>
      </c>
      <c r="O48" s="10">
        <f>IFERROR(__xludf.DUMMYFUNCTION("""COMPUTED_VALUE"""),0)</f>
        <v>0</v>
      </c>
      <c r="P48" s="10"/>
      <c r="Q48" s="30"/>
      <c r="R48" s="18"/>
      <c r="S48" s="19"/>
      <c r="T48" s="10"/>
      <c r="U48" s="10"/>
      <c r="V48" s="10"/>
      <c r="W48" s="10"/>
      <c r="X48" s="19"/>
      <c r="Y48" s="1"/>
      <c r="Z48" s="1"/>
      <c r="AA48" s="1"/>
    </row>
    <row r="49" customHeight="1" spans="1:27">
      <c r="A49" s="1" t="str">
        <f>IFERROR(__xludf.DUMMYFUNCTION("""COMPUTED_VALUE"""),"Aberdeen R05")</f>
        <v>Aberdeen R05</v>
      </c>
      <c r="B49" s="1" t="str">
        <f>IFERROR(__xludf.DUMMYFUNCTION("""COMPUTED_VALUE"""),"Aberdeen 33")</f>
        <v>Aberdeen 33</v>
      </c>
      <c r="C49" s="1" t="str">
        <f>IFERROR(__xludf.DUMMYFUNCTION("""COMPUTED_VALUE"""),"Aberdeen 15")</f>
        <v>Aberdeen 15</v>
      </c>
      <c r="D49" s="1" t="str">
        <f>IFERROR(__xludf.DUMMYFUNCTION("""COMPUTED_VALUE"""),"OM-5")</f>
        <v>OM-5</v>
      </c>
      <c r="E49" s="30" t="str">
        <f>IFERROR(__xludf.DUMMYFUNCTION("""COMPUTED_VALUE"""),"OM5")</f>
        <v>OM5</v>
      </c>
      <c r="F49" s="10">
        <f>IFERROR(__xludf.DUMMYFUNCTION("""COMPUTED_VALUE"""),402.708)</f>
        <v>402.708</v>
      </c>
      <c r="G49" s="10">
        <f>IFERROR(__xludf.DUMMYFUNCTION("""COMPUTED_VALUE"""),0)</f>
        <v>0</v>
      </c>
      <c r="H49" s="10">
        <f>IFERROR(__xludf.DUMMYFUNCTION("""COMPUTED_VALUE"""),0)</f>
        <v>0</v>
      </c>
      <c r="I49" s="13"/>
      <c r="J49" s="13"/>
      <c r="K49" s="13"/>
      <c r="L49" s="13"/>
      <c r="M49" s="1" t="b">
        <f>IFERROR(__xludf.DUMMYFUNCTION("""COMPUTED_VALUE"""),TRUE)</f>
        <v>1</v>
      </c>
      <c r="N49" s="10">
        <f>IFERROR(__xludf.DUMMYFUNCTION("""COMPUTED_VALUE"""),0)</f>
        <v>0</v>
      </c>
      <c r="O49" s="10">
        <f>IFERROR(__xludf.DUMMYFUNCTION("""COMPUTED_VALUE"""),0)</f>
        <v>0</v>
      </c>
      <c r="P49" s="10"/>
      <c r="Q49" s="30"/>
      <c r="R49" s="18"/>
      <c r="S49" s="19"/>
      <c r="T49" s="10"/>
      <c r="U49" s="10"/>
      <c r="V49" s="10"/>
      <c r="W49" s="10"/>
      <c r="X49" s="19"/>
      <c r="Y49" s="1"/>
      <c r="Z49" s="1"/>
      <c r="AA49" s="1"/>
    </row>
    <row r="50" customHeight="1" spans="1:27">
      <c r="A50" s="1" t="str">
        <f>IFERROR(__xludf.DUMMYFUNCTION("""COMPUTED_VALUE"""),"Aberdeen R06")</f>
        <v>Aberdeen R06</v>
      </c>
      <c r="B50" s="1" t="str">
        <f>IFERROR(__xludf.DUMMYFUNCTION("""COMPUTED_VALUE"""),"Aberdeen 34")</f>
        <v>Aberdeen 34</v>
      </c>
      <c r="C50" s="1" t="str">
        <f>IFERROR(__xludf.DUMMYFUNCTION("""COMPUTED_VALUE"""),"Aberdeen 21")</f>
        <v>Aberdeen 21</v>
      </c>
      <c r="D50" s="1" t="str">
        <f>IFERROR(__xludf.DUMMYFUNCTION("""COMPUTED_VALUE"""),"OM-6")</f>
        <v>OM-6</v>
      </c>
      <c r="E50" s="30" t="str">
        <f>IFERROR(__xludf.DUMMYFUNCTION("""COMPUTED_VALUE"""),"OM6")</f>
        <v>OM6</v>
      </c>
      <c r="F50" s="10">
        <f>IFERROR(__xludf.DUMMYFUNCTION("""COMPUTED_VALUE"""),-402.708)</f>
        <v>-402.708</v>
      </c>
      <c r="G50" s="10">
        <f>IFERROR(__xludf.DUMMYFUNCTION("""COMPUTED_VALUE"""),0)</f>
        <v>0</v>
      </c>
      <c r="H50" s="10">
        <f>IFERROR(__xludf.DUMMYFUNCTION("""COMPUTED_VALUE"""),0)</f>
        <v>0</v>
      </c>
      <c r="I50" s="13"/>
      <c r="J50" s="13"/>
      <c r="K50" s="13"/>
      <c r="L50" s="13"/>
      <c r="M50" s="1" t="b">
        <f>IFERROR(__xludf.DUMMYFUNCTION("""COMPUTED_VALUE"""),TRUE)</f>
        <v>1</v>
      </c>
      <c r="N50" s="10">
        <f>IFERROR(__xludf.DUMMYFUNCTION("""COMPUTED_VALUE"""),0)</f>
        <v>0</v>
      </c>
      <c r="O50" s="10">
        <f>IFERROR(__xludf.DUMMYFUNCTION("""COMPUTED_VALUE"""),0)</f>
        <v>0</v>
      </c>
      <c r="P50" s="10"/>
      <c r="Q50" s="30"/>
      <c r="R50" s="18"/>
      <c r="S50" s="19"/>
      <c r="T50" s="10"/>
      <c r="U50" s="10"/>
      <c r="V50" s="10"/>
      <c r="W50" s="10"/>
      <c r="X50" s="19"/>
      <c r="Y50" s="1"/>
      <c r="Z50" s="1"/>
      <c r="AA50" s="1"/>
    </row>
    <row r="51" customHeight="1" spans="1:27">
      <c r="A51" s="1" t="str">
        <f>IFERROR(__xludf.DUMMYFUNCTION("""COMPUTED_VALUE"""),"Aberdeen")</f>
        <v>Aberdeen</v>
      </c>
      <c r="B51" s="1" t="str">
        <f>IFERROR(__xludf.DUMMYFUNCTION("""COMPUTED_VALUE"""),"Aberdeen 00")</f>
        <v>Aberdeen 00</v>
      </c>
      <c r="C51" s="1"/>
      <c r="D51" s="1" t="str">
        <f>IFERROR(__xludf.DUMMYFUNCTION("""COMPUTED_VALUE"""),"Trading Terminals")</f>
        <v>Trading Terminals</v>
      </c>
      <c r="E51" s="30"/>
      <c r="F51" s="10"/>
      <c r="G51" s="10"/>
      <c r="H51" s="10"/>
      <c r="I51" s="13"/>
      <c r="J51" s="13"/>
      <c r="K51" s="13"/>
      <c r="L51" s="13"/>
      <c r="M51" s="1"/>
      <c r="N51" s="10"/>
      <c r="O51" s="10"/>
      <c r="P51" s="10"/>
      <c r="Q51" s="30"/>
      <c r="R51" s="18"/>
      <c r="S51" s="19"/>
      <c r="T51" s="10"/>
      <c r="U51" s="10"/>
      <c r="V51" s="10"/>
      <c r="W51" s="10"/>
      <c r="X51" s="19"/>
      <c r="Y51" s="1"/>
      <c r="Z51" s="1"/>
      <c r="AA51" s="1"/>
    </row>
    <row r="52" customHeight="1" spans="1:27">
      <c r="A52" s="1" t="str">
        <f>IFERROR(__xludf.DUMMYFUNCTION("""COMPUTED_VALUE"""),"Aberdeen 01")</f>
        <v>Aberdeen 01</v>
      </c>
      <c r="B52" s="1" t="str">
        <f>IFERROR(__xludf.DUMMYFUNCTION("""COMPUTED_VALUE"""),"Aberdeen 01")</f>
        <v>Aberdeen 01</v>
      </c>
      <c r="C52" s="1" t="str">
        <f>IFERROR(__xludf.DUMMYFUNCTION("""COMPUTED_VALUE"""),"Aberdeen 06")</f>
        <v>Aberdeen 06</v>
      </c>
      <c r="D52" s="1" t="str">
        <f>IFERROR(__xludf.DUMMYFUNCTION("""COMPUTED_VALUE"""),"HDMS Anderson (PB)")</f>
        <v>HDMS Anderson (PB)</v>
      </c>
      <c r="E52" s="30" t="str">
        <f>IFERROR(__xludf.DUMMYFUNCTION("""COMPUTED_VALUE"""),"Anderson")</f>
        <v>Anderson</v>
      </c>
      <c r="F52" s="10">
        <f>IFERROR(__xludf.DUMMYFUNCTION("""COMPUTED_VALUE"""),-26.950086108)</f>
        <v>-26.950086108</v>
      </c>
      <c r="G52" s="10">
        <f>IFERROR(__xludf.DUMMYFUNCTION("""COMPUTED_VALUE"""),180.220820853999)</f>
        <v>180.220820853999</v>
      </c>
      <c r="H52" s="10">
        <f>IFERROR(__xludf.DUMMYFUNCTION("""COMPUTED_VALUE"""),206.879088917999)</f>
        <v>206.879088917999</v>
      </c>
      <c r="I52" s="13"/>
      <c r="J52" s="13"/>
      <c r="K52" s="13"/>
      <c r="L52" s="13"/>
      <c r="M52" s="1" t="b">
        <f>IFERROR(__xludf.DUMMYFUNCTION("""COMPUTED_VALUE"""),TRUE)</f>
        <v>1</v>
      </c>
      <c r="N52" s="10">
        <f>IFERROR(__xludf.DUMMYFUNCTION("""COMPUTED_VALUE"""),0)</f>
        <v>0</v>
      </c>
      <c r="O52" s="10">
        <f>IFERROR(__xludf.DUMMYFUNCTION("""COMPUTED_VALUE"""),0)</f>
        <v>0</v>
      </c>
      <c r="P52" s="10"/>
      <c r="Q52" s="30"/>
      <c r="R52" s="18"/>
      <c r="S52" s="19"/>
      <c r="T52" s="10"/>
      <c r="U52" s="10"/>
      <c r="V52" s="10"/>
      <c r="W52" s="10"/>
      <c r="X52" s="19"/>
      <c r="Y52" s="1"/>
      <c r="Z52" s="1"/>
      <c r="AA52" s="1"/>
    </row>
    <row r="53" customHeight="1" spans="1:27">
      <c r="A53" s="1" t="str">
        <f>IFERROR(__xludf.DUMMYFUNCTION("""COMPUTED_VALUE"""),"Aberdeen 02")</f>
        <v>Aberdeen 02</v>
      </c>
      <c r="B53" s="1" t="str">
        <f>IFERROR(__xludf.DUMMYFUNCTION("""COMPUTED_VALUE"""),"Aberdeen 02")</f>
        <v>Aberdeen 02</v>
      </c>
      <c r="C53" s="1" t="str">
        <f>IFERROR(__xludf.DUMMYFUNCTION("""COMPUTED_VALUE"""),"Aberdeen 04")</f>
        <v>Aberdeen 04</v>
      </c>
      <c r="D53" s="1" t="str">
        <f>IFERROR(__xludf.DUMMYFUNCTION("""COMPUTED_VALUE"""),"HDMS Norgaard (PB)")</f>
        <v>HDMS Norgaard (PB)</v>
      </c>
      <c r="E53" s="30" t="str">
        <f>IFERROR(__xludf.DUMMYFUNCTION("""COMPUTED_VALUE"""),"Norgaard")</f>
        <v>Norgaard</v>
      </c>
      <c r="F53" s="10">
        <f>IFERROR(__xludf.DUMMYFUNCTION("""COMPUTED_VALUE"""),-141.571902032)</f>
        <v>-141.571902032</v>
      </c>
      <c r="G53" s="10">
        <f>IFERROR(__xludf.DUMMYFUNCTION("""COMPUTED_VALUE"""),195.318175168999)</f>
        <v>195.318175168999</v>
      </c>
      <c r="H53" s="10">
        <f>IFERROR(__xludf.DUMMYFUNCTION("""COMPUTED_VALUE"""),132.097599225)</f>
        <v>132.097599225</v>
      </c>
      <c r="I53" s="13"/>
      <c r="J53" s="13"/>
      <c r="K53" s="13"/>
      <c r="L53" s="13"/>
      <c r="M53" s="1" t="b">
        <f>IFERROR(__xludf.DUMMYFUNCTION("""COMPUTED_VALUE"""),TRUE)</f>
        <v>1</v>
      </c>
      <c r="N53" s="10">
        <f>IFERROR(__xludf.DUMMYFUNCTION("""COMPUTED_VALUE"""),4)</f>
        <v>4</v>
      </c>
      <c r="O53" s="10">
        <f>IFERROR(__xludf.DUMMYFUNCTION("""COMPUTED_VALUE"""),0)</f>
        <v>0</v>
      </c>
      <c r="P53" s="10"/>
      <c r="Q53" s="30"/>
      <c r="R53" s="18"/>
      <c r="S53" s="19"/>
      <c r="T53" s="10"/>
      <c r="U53" s="10"/>
      <c r="V53" s="10"/>
      <c r="W53" s="10"/>
      <c r="X53" s="19"/>
      <c r="Y53" s="1"/>
      <c r="Z53" s="1"/>
      <c r="AA53" s="1"/>
    </row>
    <row r="54" customHeight="1" spans="1:27">
      <c r="A54" s="1" t="str">
        <f>IFERROR(__xludf.DUMMYFUNCTION("""COMPUTED_VALUE"""),"Aberdeen")</f>
        <v>Aberdeen</v>
      </c>
      <c r="B54" s="1" t="str">
        <f>IFERROR(__xludf.DUMMYFUNCTION("""COMPUTED_VALUE"""),"Aberdeen 04")</f>
        <v>Aberdeen 04</v>
      </c>
      <c r="C54" s="1"/>
      <c r="D54" s="1" t="str">
        <f>IFERROR(__xludf.DUMMYFUNCTION("""COMPUTED_VALUE"""),"Correctional Facility")</f>
        <v>Correctional Facility</v>
      </c>
      <c r="E54" s="30"/>
      <c r="F54" s="10"/>
      <c r="G54" s="10"/>
      <c r="H54" s="10"/>
      <c r="I54" s="13"/>
      <c r="J54" s="13"/>
      <c r="K54" s="13"/>
      <c r="L54" s="13"/>
      <c r="M54" s="1"/>
      <c r="N54" s="10"/>
      <c r="O54" s="10"/>
      <c r="P54" s="10"/>
      <c r="Q54" s="30"/>
      <c r="R54" s="18"/>
      <c r="S54" s="19"/>
      <c r="T54" s="10"/>
      <c r="U54" s="10"/>
      <c r="V54" s="10"/>
      <c r="W54" s="10"/>
      <c r="X54" s="19"/>
      <c r="Y54" s="1"/>
      <c r="Z54" s="1"/>
      <c r="AA54" s="1"/>
    </row>
    <row r="55" customHeight="1" spans="1:27">
      <c r="A55" s="1" t="str">
        <f>IFERROR(__xludf.DUMMYFUNCTION("""COMPUTED_VALUE"""),"Aberdeen 03")</f>
        <v>Aberdeen 03</v>
      </c>
      <c r="B55" s="1" t="str">
        <f>IFERROR(__xludf.DUMMYFUNCTION("""COMPUTED_VALUE"""),"Aberdeen 05")</f>
        <v>Aberdeen 05</v>
      </c>
      <c r="C55" s="1" t="str">
        <f>IFERROR(__xludf.DUMMYFUNCTION("""COMPUTED_VALUE"""),"Aberdeen 08")</f>
        <v>Aberdeen 08</v>
      </c>
      <c r="D55" s="1" t="str">
        <f>IFERROR(__xludf.DUMMYFUNCTION("""COMPUTED_VALUE"""),"Klescher Rehabilitation Facility")</f>
        <v>Klescher Rehabilitation Facility</v>
      </c>
      <c r="E55" s="30" t="str">
        <f>IFERROR(__xludf.DUMMYFUNCTION("""COMPUTED_VALUE"""),"Klescher")</f>
        <v>Klescher</v>
      </c>
      <c r="F55" s="10">
        <f>IFERROR(__xludf.DUMMYFUNCTION("""COMPUTED_VALUE"""),44.975809179)</f>
        <v>44.975809179</v>
      </c>
      <c r="G55" s="10">
        <f>IFERROR(__xludf.DUMMYFUNCTION("""COMPUTED_VALUE"""),221.563853468999)</f>
        <v>221.563853468999</v>
      </c>
      <c r="H55" s="10">
        <f>IFERROR(__xludf.DUMMYFUNCTION("""COMPUTED_VALUE"""),-156.583812527)</f>
        <v>-156.583812527</v>
      </c>
      <c r="I55" s="13"/>
      <c r="J55" s="13"/>
      <c r="K55" s="13"/>
      <c r="L55" s="13"/>
      <c r="M55" s="1" t="b">
        <f>IFERROR(__xludf.DUMMYFUNCTION("""COMPUTED_VALUE"""),TRUE)</f>
        <v>1</v>
      </c>
      <c r="N55" s="10">
        <f>IFERROR(__xludf.DUMMYFUNCTION("""COMPUTED_VALUE"""),0)</f>
        <v>0</v>
      </c>
      <c r="O55" s="10">
        <f>IFERROR(__xludf.DUMMYFUNCTION("""COMPUTED_VALUE"""),0)</f>
        <v>0</v>
      </c>
      <c r="P55" s="10"/>
      <c r="Q55" s="30"/>
      <c r="R55" s="18"/>
      <c r="S55" s="19"/>
      <c r="T55" s="10"/>
      <c r="U55" s="10"/>
      <c r="V55" s="10"/>
      <c r="W55" s="10"/>
      <c r="X55" s="19"/>
      <c r="Y55" s="1"/>
      <c r="Z55" s="1"/>
      <c r="AA55" s="1"/>
    </row>
    <row r="56" customHeight="1" spans="1:27">
      <c r="A56" s="1" t="str">
        <f>IFERROR(__xludf.DUMMYFUNCTION("""COMPUTED_VALUE"""),"Aberdeen")</f>
        <v>Aberdeen</v>
      </c>
      <c r="B56" s="1" t="str">
        <f>IFERROR(__xludf.DUMMYFUNCTION("""COMPUTED_VALUE"""),"Aberdeen 07")</f>
        <v>Aberdeen 07</v>
      </c>
      <c r="C56" s="1"/>
      <c r="D56" s="1" t="str">
        <f>IFERROR(__xludf.DUMMYFUNCTION("""COMPUTED_VALUE"""),"Emergency Shelters")</f>
        <v>Emergency Shelters</v>
      </c>
      <c r="E56" s="30"/>
      <c r="F56" s="10"/>
      <c r="G56" s="10"/>
      <c r="H56" s="10"/>
      <c r="I56" s="13"/>
      <c r="J56" s="13"/>
      <c r="K56" s="13"/>
      <c r="L56" s="13"/>
      <c r="M56" s="1"/>
      <c r="N56" s="10"/>
      <c r="O56" s="10"/>
      <c r="P56" s="10"/>
      <c r="Q56" s="30"/>
      <c r="R56" s="18"/>
      <c r="S56" s="19"/>
      <c r="T56" s="10"/>
      <c r="U56" s="10"/>
      <c r="V56" s="10"/>
      <c r="W56" s="10"/>
      <c r="X56" s="19"/>
      <c r="Y56" s="1"/>
      <c r="Z56" s="1"/>
      <c r="AA56" s="1"/>
    </row>
    <row r="57" customHeight="1" spans="1:27">
      <c r="A57" s="1" t="str">
        <f>IFERROR(__xludf.DUMMYFUNCTION("""COMPUTED_VALUE"""),"Aberdeen 04")</f>
        <v>Aberdeen 04</v>
      </c>
      <c r="B57" s="1" t="str">
        <f>IFERROR(__xludf.DUMMYFUNCTION("""COMPUTED_VALUE"""),"Aberdeen 08")</f>
        <v>Aberdeen 08</v>
      </c>
      <c r="C57" s="1" t="str">
        <f>IFERROR(__xludf.DUMMYFUNCTION("""COMPUTED_VALUE"""),"Aberdeen 10")</f>
        <v>Aberdeen 10</v>
      </c>
      <c r="D57" s="1" t="str">
        <f>IFERROR(__xludf.DUMMYFUNCTION("""COMPUTED_VALUE"""),"Barton Flats Aid Shelter (PB)")</f>
        <v>Barton Flats Aid Shelter (PB)</v>
      </c>
      <c r="E57" s="30" t="str">
        <f>IFERROR(__xludf.DUMMYFUNCTION("""COMPUTED_VALUE"""),"Barton")</f>
        <v>Barton</v>
      </c>
      <c r="F57" s="10">
        <f>IFERROR(__xludf.DUMMYFUNCTION("""COMPUTED_VALUE"""),54.340769739)</f>
        <v>54.340769739</v>
      </c>
      <c r="G57" s="10">
        <f>IFERROR(__xludf.DUMMYFUNCTION("""COMPUTED_VALUE"""),217.120485204)</f>
        <v>217.120485204</v>
      </c>
      <c r="H57" s="10">
        <f>IFERROR(__xludf.DUMMYFUNCTION("""COMPUTED_VALUE"""),-159.881078736)</f>
        <v>-159.881078736</v>
      </c>
      <c r="I57" s="13"/>
      <c r="J57" s="13"/>
      <c r="K57" s="13"/>
      <c r="L57" s="13"/>
      <c r="M57" s="1" t="b">
        <f>IFERROR(__xludf.DUMMYFUNCTION("""COMPUTED_VALUE"""),TRUE)</f>
        <v>1</v>
      </c>
      <c r="N57" s="10">
        <f>IFERROR(__xludf.DUMMYFUNCTION("""COMPUTED_VALUE"""),0)</f>
        <v>0</v>
      </c>
      <c r="O57" s="10">
        <f>IFERROR(__xludf.DUMMYFUNCTION("""COMPUTED_VALUE"""),0)</f>
        <v>0</v>
      </c>
      <c r="P57" s="10"/>
      <c r="Q57" s="30"/>
      <c r="R57" s="18"/>
      <c r="S57" s="19"/>
      <c r="T57" s="10"/>
      <c r="U57" s="10"/>
      <c r="V57" s="10"/>
      <c r="W57" s="10"/>
      <c r="X57" s="19"/>
      <c r="Y57" s="1"/>
      <c r="Z57" s="1"/>
      <c r="AA57" s="1"/>
    </row>
    <row r="58" customHeight="1" spans="1:27">
      <c r="A58" s="1" t="str">
        <f>IFERROR(__xludf.DUMMYFUNCTION("""COMPUTED_VALUE"""),"Aberdeen")</f>
        <v>Aberdeen</v>
      </c>
      <c r="B58" s="1" t="str">
        <f>IFERROR(__xludf.DUMMYFUNCTION("""COMPUTED_VALUE"""),"Aberdeen 10")</f>
        <v>Aberdeen 10</v>
      </c>
      <c r="C58" s="1"/>
      <c r="D58" s="1" t="str">
        <f>IFERROR(__xludf.DUMMYFUNCTION("""COMPUTED_VALUE"""),"Caves")</f>
        <v>Caves</v>
      </c>
      <c r="E58" s="30"/>
      <c r="F58" s="10"/>
      <c r="G58" s="10"/>
      <c r="H58" s="10"/>
      <c r="I58" s="13"/>
      <c r="J58" s="13"/>
      <c r="K58" s="13"/>
      <c r="L58" s="13"/>
      <c r="M58" s="1"/>
      <c r="N58" s="10"/>
      <c r="O58" s="10"/>
      <c r="P58" s="10"/>
      <c r="Q58" s="30"/>
      <c r="R58" s="18"/>
      <c r="S58" s="19"/>
      <c r="T58" s="10"/>
      <c r="U58" s="10"/>
      <c r="V58" s="10"/>
      <c r="W58" s="10"/>
      <c r="X58" s="19"/>
      <c r="Y58" s="1"/>
      <c r="Z58" s="1"/>
      <c r="AA58" s="1"/>
    </row>
    <row r="59" customHeight="1" spans="1:27">
      <c r="A59" s="1" t="str">
        <f>IFERROR(__xludf.DUMMYFUNCTION("""COMPUTED_VALUE"""),"Aberdeen 05")</f>
        <v>Aberdeen 05</v>
      </c>
      <c r="B59" s="1" t="str">
        <f>IFERROR(__xludf.DUMMYFUNCTION("""COMPUTED_VALUE"""),"Aberdeen 11")</f>
        <v>Aberdeen 11</v>
      </c>
      <c r="C59" s="1" t="str">
        <f>IFERROR(__xludf.DUMMYFUNCTION("""COMPUTED_VALUE"""),"Aberdeen 14")</f>
        <v>Aberdeen 14</v>
      </c>
      <c r="D59" s="1" t="str">
        <f>IFERROR(__xludf.DUMMYFUNCTION("""COMPUTED_VALUE"""),"HDES Dobbs (NA)")</f>
        <v>HDES Dobbs (NA)</v>
      </c>
      <c r="E59" s="30" t="str">
        <f>IFERROR(__xludf.DUMMYFUNCTION("""COMPUTED_VALUE"""),"Dobbs")</f>
        <v>Dobbs</v>
      </c>
      <c r="F59" s="10">
        <f>IFERROR(__xludf.DUMMYFUNCTION("""COMPUTED_VALUE"""),270.579075483)</f>
        <v>270.579075483</v>
      </c>
      <c r="G59" s="10">
        <f>IFERROR(__xludf.DUMMYFUNCTION("""COMPUTED_VALUE"""),47.399275712)</f>
        <v>47.399275712</v>
      </c>
      <c r="H59" s="10">
        <f>IFERROR(__xludf.DUMMYFUNCTION("""COMPUTED_VALUE"""),-11.403672422)</f>
        <v>-11.403672422</v>
      </c>
      <c r="I59" s="13"/>
      <c r="J59" s="13"/>
      <c r="K59" s="13"/>
      <c r="L59" s="13"/>
      <c r="M59" s="1" t="b">
        <f>IFERROR(__xludf.DUMMYFUNCTION("""COMPUTED_VALUE"""),TRUE)</f>
        <v>1</v>
      </c>
      <c r="N59" s="10">
        <f>IFERROR(__xludf.DUMMYFUNCTION("""COMPUTED_VALUE"""),0)</f>
        <v>0</v>
      </c>
      <c r="O59" s="10">
        <f>IFERROR(__xludf.DUMMYFUNCTION("""COMPUTED_VALUE"""),0)</f>
        <v>0</v>
      </c>
      <c r="P59" s="10"/>
      <c r="Q59" s="30"/>
      <c r="R59" s="18"/>
      <c r="S59" s="19"/>
      <c r="T59" s="10"/>
      <c r="U59" s="10"/>
      <c r="V59" s="10"/>
      <c r="W59" s="10"/>
      <c r="X59" s="19"/>
      <c r="Y59" s="1"/>
      <c r="Z59" s="1"/>
      <c r="AA59" s="1"/>
    </row>
    <row r="60" customHeight="1" spans="1:27">
      <c r="A60" s="1" t="str">
        <f>IFERROR(__xludf.DUMMYFUNCTION("""COMPUTED_VALUE"""),"Aberdeen 07")</f>
        <v>Aberdeen 07</v>
      </c>
      <c r="B60" s="1" t="str">
        <f>IFERROR(__xludf.DUMMYFUNCTION("""COMPUTED_VALUE"""),"Aberdeen 12")</f>
        <v>Aberdeen 12</v>
      </c>
      <c r="C60" s="1" t="str">
        <f>IFERROR(__xludf.DUMMYFUNCTION("""COMPUTED_VALUE"""),"Aberdeen 18")</f>
        <v>Aberdeen 18</v>
      </c>
      <c r="D60" s="1" t="str">
        <f>IFERROR(__xludf.DUMMYFUNCTION("""COMPUTED_VALUE"""),"Rock Cave 20V")</f>
        <v>Rock Cave 20V</v>
      </c>
      <c r="E60" s="30" t="str">
        <f>IFERROR(__xludf.DUMMYFUNCTION("""COMPUTED_VALUE"""),"RCave 20V")</f>
        <v>RCave 20V</v>
      </c>
      <c r="F60" s="10">
        <f>IFERROR(__xludf.DUMMYFUNCTION("""COMPUTED_VALUE"""),56.811249685)</f>
        <v>56.811249685</v>
      </c>
      <c r="G60" s="10">
        <f>IFERROR(__xludf.DUMMYFUNCTION("""COMPUTED_VALUE"""),-124.614960246)</f>
        <v>-124.614960246</v>
      </c>
      <c r="H60" s="10">
        <f>IFERROR(__xludf.DUMMYFUNCTION("""COMPUTED_VALUE"""),238.531967426999)</f>
        <v>238.531967426999</v>
      </c>
      <c r="I60" s="13"/>
      <c r="J60" s="13"/>
      <c r="K60" s="13"/>
      <c r="L60" s="13"/>
      <c r="M60" s="1" t="b">
        <f>IFERROR(__xludf.DUMMYFUNCTION("""COMPUTED_VALUE"""),FALSE)</f>
        <v>0</v>
      </c>
      <c r="N60" s="10">
        <f>IFERROR(__xludf.DUMMYFUNCTION("""COMPUTED_VALUE"""),0)</f>
        <v>0</v>
      </c>
      <c r="O60" s="10">
        <f>IFERROR(__xludf.DUMMYFUNCTION("""COMPUTED_VALUE"""),0)</f>
        <v>0</v>
      </c>
      <c r="P60" s="10"/>
      <c r="Q60" s="30"/>
      <c r="R60" s="18"/>
      <c r="S60" s="19"/>
      <c r="T60" s="10"/>
      <c r="U60" s="10"/>
      <c r="V60" s="10"/>
      <c r="W60" s="10"/>
      <c r="X60" s="19"/>
      <c r="Y60" s="1"/>
      <c r="Z60" s="1"/>
      <c r="AA60" s="1"/>
    </row>
    <row r="61" customHeight="1" spans="1:27">
      <c r="A61" s="1" t="str">
        <f>IFERROR(__xludf.DUMMYFUNCTION("""COMPUTED_VALUE"""),"Aberdeen 10")</f>
        <v>Aberdeen 10</v>
      </c>
      <c r="B61" s="1" t="str">
        <f>IFERROR(__xludf.DUMMYFUNCTION("""COMPUTED_VALUE"""),"Aberdeen 15")</f>
        <v>Aberdeen 15</v>
      </c>
      <c r="C61" s="1" t="str">
        <f>IFERROR(__xludf.DUMMYFUNCTION("""COMPUTED_VALUE"""),"Aberdeen 13")</f>
        <v>Aberdeen 13</v>
      </c>
      <c r="D61" s="1" t="str">
        <f>IFERROR(__xludf.DUMMYFUNCTION("""COMPUTED_VALUE"""),"Rock Cave 33X")</f>
        <v>Rock Cave 33X</v>
      </c>
      <c r="E61" s="30" t="str">
        <f>IFERROR(__xludf.DUMMYFUNCTION("""COMPUTED_VALUE"""),"RCave 33X")</f>
        <v>RCave 33X</v>
      </c>
      <c r="F61" s="10">
        <f>IFERROR(__xludf.DUMMYFUNCTION("""COMPUTED_VALUE"""),77.253226039)</f>
        <v>77.253226039</v>
      </c>
      <c r="G61" s="10">
        <f>IFERROR(__xludf.DUMMYFUNCTION("""COMPUTED_VALUE"""),19.426333853)</f>
        <v>19.426333853</v>
      </c>
      <c r="H61" s="10">
        <f>IFERROR(__xludf.DUMMYFUNCTION("""COMPUTED_VALUE"""),263.113060717999)</f>
        <v>263.113060717999</v>
      </c>
      <c r="I61" s="13"/>
      <c r="J61" s="13"/>
      <c r="K61" s="13"/>
      <c r="L61" s="13"/>
      <c r="M61" s="1" t="b">
        <f>IFERROR(__xludf.DUMMYFUNCTION("""COMPUTED_VALUE"""),FALSE)</f>
        <v>0</v>
      </c>
      <c r="N61" s="10">
        <f>IFERROR(__xludf.DUMMYFUNCTION("""COMPUTED_VALUE"""),0)</f>
        <v>0</v>
      </c>
      <c r="O61" s="10">
        <f>IFERROR(__xludf.DUMMYFUNCTION("""COMPUTED_VALUE"""),0)</f>
        <v>0</v>
      </c>
      <c r="P61" s="10"/>
      <c r="Q61" s="30"/>
      <c r="R61" s="18"/>
      <c r="S61" s="19"/>
      <c r="T61" s="10"/>
      <c r="U61" s="10"/>
      <c r="V61" s="10"/>
      <c r="W61" s="10"/>
      <c r="X61" s="19"/>
      <c r="Y61" s="1"/>
      <c r="Z61" s="1"/>
      <c r="AA61" s="1"/>
    </row>
    <row r="62" customHeight="1" spans="1:27">
      <c r="A62" s="1" t="str">
        <f>IFERROR(__xludf.DUMMYFUNCTION("""COMPUTED_VALUE"""),"Aberdeen 11")</f>
        <v>Aberdeen 11</v>
      </c>
      <c r="B62" s="1" t="str">
        <f>IFERROR(__xludf.DUMMYFUNCTION("""COMPUTED_VALUE"""),"Aberdeen 16")</f>
        <v>Aberdeen 16</v>
      </c>
      <c r="C62" s="1" t="str">
        <f>IFERROR(__xludf.DUMMYFUNCTION("""COMPUTED_VALUE"""),"Aberdeen 02")</f>
        <v>Aberdeen 02</v>
      </c>
      <c r="D62" s="1" t="str">
        <f>IFERROR(__xludf.DUMMYFUNCTION("""COMPUTED_VALUE"""),"Rock Cave 52L")</f>
        <v>Rock Cave 52L</v>
      </c>
      <c r="E62" s="30" t="str">
        <f>IFERROR(__xludf.DUMMYFUNCTION("""COMPUTED_VALUE"""),"RCave 52L")</f>
        <v>RCave 52L</v>
      </c>
      <c r="F62" s="10">
        <f>IFERROR(__xludf.DUMMYFUNCTION("""COMPUTED_VALUE"""),-177.481967337999)</f>
        <v>-177.481967337999</v>
      </c>
      <c r="G62" s="10">
        <f>IFERROR(__xludf.DUMMYFUNCTION("""COMPUTED_VALUE"""),203.52396713)</f>
        <v>203.52396713</v>
      </c>
      <c r="H62" s="10">
        <f>IFERROR(__xludf.DUMMYFUNCTION("""COMPUTED_VALUE"""),-53.400698794)</f>
        <v>-53.400698794</v>
      </c>
      <c r="I62" s="13"/>
      <c r="J62" s="13"/>
      <c r="K62" s="13"/>
      <c r="L62" s="13"/>
      <c r="M62" s="1" t="b">
        <f>IFERROR(__xludf.DUMMYFUNCTION("""COMPUTED_VALUE"""),FALSE)</f>
        <v>0</v>
      </c>
      <c r="N62" s="10">
        <f>IFERROR(__xludf.DUMMYFUNCTION("""COMPUTED_VALUE"""),0)</f>
        <v>0</v>
      </c>
      <c r="O62" s="10">
        <f>IFERROR(__xludf.DUMMYFUNCTION("""COMPUTED_VALUE"""),0)</f>
        <v>0</v>
      </c>
      <c r="P62" s="10"/>
      <c r="Q62" s="30"/>
      <c r="R62" s="18"/>
      <c r="S62" s="19"/>
      <c r="T62" s="10"/>
      <c r="U62" s="10"/>
      <c r="V62" s="10"/>
      <c r="W62" s="10"/>
      <c r="X62" s="19"/>
      <c r="Y62" s="1"/>
      <c r="Z62" s="1"/>
      <c r="AA62" s="1"/>
    </row>
    <row r="63" customHeight="1" spans="1:27">
      <c r="A63" s="1" t="str">
        <f>IFERROR(__xludf.DUMMYFUNCTION("""COMPUTED_VALUE"""),"Aberdeen 09")</f>
        <v>Aberdeen 09</v>
      </c>
      <c r="B63" s="1" t="str">
        <f>IFERROR(__xludf.DUMMYFUNCTION("""COMPUTED_VALUE"""),"Aberdeen 14")</f>
        <v>Aberdeen 14</v>
      </c>
      <c r="C63" s="1" t="str">
        <f>IFERROR(__xludf.DUMMYFUNCTION("""COMPUTED_VALUE"""),"Aberdeen 16")</f>
        <v>Aberdeen 16</v>
      </c>
      <c r="D63" s="1" t="str">
        <f>IFERROR(__xludf.DUMMYFUNCTION("""COMPUTED_VALUE"""),"Rock Cave 26K")</f>
        <v>Rock Cave 26K</v>
      </c>
      <c r="E63" s="30" t="str">
        <f>IFERROR(__xludf.DUMMYFUNCTION("""COMPUTED_VALUE"""),"RCave 26K")</f>
        <v>RCave 26K</v>
      </c>
      <c r="F63" s="10">
        <f>IFERROR(__xludf.DUMMYFUNCTION("""COMPUTED_VALUE"""),230.505937647999)</f>
        <v>230.505937647999</v>
      </c>
      <c r="G63" s="10">
        <f>IFERROR(__xludf.DUMMYFUNCTION("""COMPUTED_VALUE"""),-109.037625069999)</f>
        <v>-109.037625069999</v>
      </c>
      <c r="H63" s="10">
        <f>IFERROR(__xludf.DUMMYFUNCTION("""COMPUTED_VALUE"""),-103.945554754)</f>
        <v>-103.945554754</v>
      </c>
      <c r="I63" s="13"/>
      <c r="J63" s="13"/>
      <c r="K63" s="13"/>
      <c r="L63" s="13"/>
      <c r="M63" s="1" t="b">
        <f>IFERROR(__xludf.DUMMYFUNCTION("""COMPUTED_VALUE"""),FALSE)</f>
        <v>0</v>
      </c>
      <c r="N63" s="10">
        <f>IFERROR(__xludf.DUMMYFUNCTION("""COMPUTED_VALUE"""),0)</f>
        <v>0</v>
      </c>
      <c r="O63" s="10">
        <f>IFERROR(__xludf.DUMMYFUNCTION("""COMPUTED_VALUE"""),0)</f>
        <v>0</v>
      </c>
      <c r="P63" s="10"/>
      <c r="Q63" s="30"/>
      <c r="R63" s="18"/>
      <c r="S63" s="19"/>
      <c r="T63" s="10"/>
      <c r="U63" s="10"/>
      <c r="V63" s="10"/>
      <c r="W63" s="10"/>
      <c r="X63" s="19"/>
      <c r="Y63" s="1"/>
      <c r="Z63" s="1"/>
      <c r="AA63" s="1"/>
    </row>
    <row r="64" customHeight="1" spans="1:27">
      <c r="A64" s="1" t="str">
        <f>IFERROR(__xludf.DUMMYFUNCTION("""COMPUTED_VALUE"""),"Aberdeen 08")</f>
        <v>Aberdeen 08</v>
      </c>
      <c r="B64" s="1" t="str">
        <f>IFERROR(__xludf.DUMMYFUNCTION("""COMPUTED_VALUE"""),"Aberdeen 13")</f>
        <v>Aberdeen 13</v>
      </c>
      <c r="C64" s="1" t="str">
        <f>IFERROR(__xludf.DUMMYFUNCTION("""COMPUTED_VALUE"""),"Aberdeen 17")</f>
        <v>Aberdeen 17</v>
      </c>
      <c r="D64" s="1" t="str">
        <f>IFERROR(__xludf.DUMMYFUNCTION("""COMPUTED_VALUE"""),"Rock Cave 24H")</f>
        <v>Rock Cave 24H</v>
      </c>
      <c r="E64" s="30" t="str">
        <f>IFERROR(__xludf.DUMMYFUNCTION("""COMPUTED_VALUE"""),"RCave 24H")</f>
        <v>RCave 24H</v>
      </c>
      <c r="F64" s="10">
        <f>IFERROR(__xludf.DUMMYFUNCTION("""COMPUTED_VALUE"""),175.925709069)</f>
        <v>175.925709069</v>
      </c>
      <c r="G64" s="10">
        <f>IFERROR(__xludf.DUMMYFUNCTION("""COMPUTED_VALUE"""),-151.288136015)</f>
        <v>-151.288136015</v>
      </c>
      <c r="H64" s="10">
        <f>IFERROR(__xludf.DUMMYFUNCTION("""COMPUTED_VALUE"""),-146.452409775999)</f>
        <v>-146.452409775999</v>
      </c>
      <c r="I64" s="13"/>
      <c r="J64" s="13"/>
      <c r="K64" s="13"/>
      <c r="L64" s="13"/>
      <c r="M64" s="1" t="b">
        <f>IFERROR(__xludf.DUMMYFUNCTION("""COMPUTED_VALUE"""),FALSE)</f>
        <v>0</v>
      </c>
      <c r="N64" s="10">
        <f>IFERROR(__xludf.DUMMYFUNCTION("""COMPUTED_VALUE"""),0)</f>
        <v>0</v>
      </c>
      <c r="O64" s="10">
        <f>IFERROR(__xludf.DUMMYFUNCTION("""COMPUTED_VALUE"""),0)</f>
        <v>0</v>
      </c>
      <c r="P64" s="10"/>
      <c r="Q64" s="30"/>
      <c r="R64" s="18"/>
      <c r="S64" s="19"/>
      <c r="T64" s="10"/>
      <c r="U64" s="10"/>
      <c r="V64" s="10"/>
      <c r="W64" s="10"/>
      <c r="X64" s="19"/>
      <c r="Y64" s="1"/>
      <c r="Z64" s="1"/>
      <c r="AA64" s="1"/>
    </row>
    <row r="65" customHeight="1" spans="1:27">
      <c r="A65" s="1" t="str">
        <f>IFERROR(__xludf.DUMMYFUNCTION("""COMPUTED_VALUE"""),"Aberdeen")</f>
        <v>Aberdeen</v>
      </c>
      <c r="B65" s="1" t="str">
        <f>IFERROR(__xludf.DUMMYFUNCTION("""COMPUTED_VALUE"""),"Aberdeen 18")</f>
        <v>Aberdeen 18</v>
      </c>
      <c r="C65" s="1"/>
      <c r="D65" s="1" t="str">
        <f>IFERROR(__xludf.DUMMYFUNCTION("""COMPUTED_VALUE"""),"Wrecks")</f>
        <v>Wrecks</v>
      </c>
      <c r="E65" s="30"/>
      <c r="F65" s="10"/>
      <c r="G65" s="10"/>
      <c r="H65" s="10"/>
      <c r="I65" s="13"/>
      <c r="J65" s="13"/>
      <c r="K65" s="13"/>
      <c r="L65" s="13"/>
      <c r="M65" s="1"/>
      <c r="N65" s="10"/>
      <c r="O65" s="10"/>
      <c r="P65" s="10"/>
      <c r="Q65" s="30"/>
      <c r="R65" s="18"/>
      <c r="S65" s="19"/>
      <c r="T65" s="10"/>
      <c r="U65" s="10"/>
      <c r="V65" s="10"/>
      <c r="W65" s="10"/>
      <c r="X65" s="19"/>
      <c r="Y65" s="1"/>
      <c r="Z65" s="1"/>
      <c r="AA65" s="1"/>
    </row>
    <row r="66" customHeight="1" spans="1:27">
      <c r="A66" s="1" t="str">
        <f>IFERROR(__xludf.DUMMYFUNCTION("""COMPUTED_VALUE"""),"Aberdeen 13")</f>
        <v>Aberdeen 13</v>
      </c>
      <c r="B66" s="1" t="str">
        <f>IFERROR(__xludf.DUMMYFUNCTION("""COMPUTED_VALUE"""),"Aberdeen 20")</f>
        <v>Aberdeen 20</v>
      </c>
      <c r="C66" s="1" t="str">
        <f>IFERROR(__xludf.DUMMYFUNCTION("""COMPUTED_VALUE"""),"Aberdeen 03")</f>
        <v>Aberdeen 03</v>
      </c>
      <c r="D66" s="1" t="str">
        <f>IFERROR(__xludf.DUMMYFUNCTION("""COMPUTED_VALUE"""),"Caterpillar Wreck 52R")</f>
        <v>Caterpillar Wreck 52R</v>
      </c>
      <c r="E66" s="30" t="str">
        <f>IFERROR(__xludf.DUMMYFUNCTION("""COMPUTED_VALUE"""),"Caterpillar 52R")</f>
        <v>Caterpillar 52R</v>
      </c>
      <c r="F66" s="10">
        <f>IFERROR(__xludf.DUMMYFUNCTION("""COMPUTED_VALUE"""),-160.519985745999)</f>
        <v>-160.519985745999</v>
      </c>
      <c r="G66" s="10">
        <f>IFERROR(__xludf.DUMMYFUNCTION("""COMPUTED_VALUE"""),187.064562421)</f>
        <v>187.064562421</v>
      </c>
      <c r="H66" s="10">
        <f>IFERROR(__xludf.DUMMYFUNCTION("""COMPUTED_VALUE"""),122.157253146999)</f>
        <v>122.157253146999</v>
      </c>
      <c r="I66" s="13"/>
      <c r="J66" s="13"/>
      <c r="K66" s="13"/>
      <c r="L66" s="13"/>
      <c r="M66" s="1" t="b">
        <f>IFERROR(__xludf.DUMMYFUNCTION("""COMPUTED_VALUE"""),FALSE)</f>
        <v>0</v>
      </c>
      <c r="N66" s="10">
        <f>IFERROR(__xludf.DUMMYFUNCTION("""COMPUTED_VALUE"""),0)</f>
        <v>0</v>
      </c>
      <c r="O66" s="10">
        <f>IFERROR(__xludf.DUMMYFUNCTION("""COMPUTED_VALUE"""),0)</f>
        <v>0</v>
      </c>
      <c r="P66" s="10"/>
      <c r="Q66" s="30"/>
      <c r="R66" s="18"/>
      <c r="S66" s="19"/>
      <c r="T66" s="10"/>
      <c r="U66" s="10"/>
      <c r="V66" s="10"/>
      <c r="W66" s="10"/>
      <c r="X66" s="19"/>
      <c r="Y66" s="1"/>
      <c r="Z66" s="1"/>
      <c r="AA66" s="1"/>
    </row>
    <row r="67" customHeight="1" spans="1:27">
      <c r="A67" s="1" t="str">
        <f>IFERROR(__xludf.DUMMYFUNCTION("""COMPUTED_VALUE"""),"Aberdeen 12")</f>
        <v>Aberdeen 12</v>
      </c>
      <c r="B67" s="1" t="str">
        <f>IFERROR(__xludf.DUMMYFUNCTION("""COMPUTED_VALUE"""),"Aberdeen 19")</f>
        <v>Aberdeen 19</v>
      </c>
      <c r="C67" s="1" t="str">
        <f>IFERROR(__xludf.DUMMYFUNCTION("""COMPUTED_VALUE"""),"Aberdeen 05")</f>
        <v>Aberdeen 05</v>
      </c>
      <c r="D67" s="1" t="str">
        <f>IFERROR(__xludf.DUMMYFUNCTION("""COMPUTED_VALUE"""),"Caterpillar Wreck 51W")</f>
        <v>Caterpillar Wreck 51W</v>
      </c>
      <c r="E67" s="30" t="str">
        <f>IFERROR(__xludf.DUMMYFUNCTION("""COMPUTED_VALUE"""),"Caterpillar 51W")</f>
        <v>Caterpillar 51W</v>
      </c>
      <c r="F67" s="10">
        <f>IFERROR(__xludf.DUMMYFUNCTION("""COMPUTED_VALUE"""),-61.992268491)</f>
        <v>-61.992268491</v>
      </c>
      <c r="G67" s="10">
        <f>IFERROR(__xludf.DUMMYFUNCTION("""COMPUTED_VALUE"""),94.0448265459999)</f>
        <v>94.0448265459999</v>
      </c>
      <c r="H67" s="10">
        <f>IFERROR(__xludf.DUMMYFUNCTION("""COMPUTED_VALUE"""),251.030948911)</f>
        <v>251.030948911</v>
      </c>
      <c r="I67" s="13"/>
      <c r="J67" s="13"/>
      <c r="K67" s="13"/>
      <c r="L67" s="13"/>
      <c r="M67" s="1" t="b">
        <f>IFERROR(__xludf.DUMMYFUNCTION("""COMPUTED_VALUE"""),FALSE)</f>
        <v>0</v>
      </c>
      <c r="N67" s="10">
        <f>IFERROR(__xludf.DUMMYFUNCTION("""COMPUTED_VALUE"""),0)</f>
        <v>0</v>
      </c>
      <c r="O67" s="10">
        <f>IFERROR(__xludf.DUMMYFUNCTION("""COMPUTED_VALUE"""),0)</f>
        <v>0</v>
      </c>
      <c r="P67" s="10"/>
      <c r="Q67" s="30"/>
      <c r="R67" s="18"/>
      <c r="S67" s="19"/>
      <c r="T67" s="10"/>
      <c r="U67" s="10"/>
      <c r="V67" s="10"/>
      <c r="W67" s="10"/>
      <c r="X67" s="19"/>
      <c r="Y67" s="1"/>
      <c r="Z67" s="1"/>
      <c r="AA67" s="1"/>
    </row>
    <row r="68" customHeight="1" spans="1:27">
      <c r="A68" s="1" t="str">
        <f>IFERROR(__xludf.DUMMYFUNCTION("""COMPUTED_VALUE"""),"Aberdeen 14")</f>
        <v>Aberdeen 14</v>
      </c>
      <c r="B68" s="1" t="str">
        <f>IFERROR(__xludf.DUMMYFUNCTION("""COMPUTED_VALUE"""),"Aberdeen 21")</f>
        <v>Aberdeen 21</v>
      </c>
      <c r="C68" s="1" t="str">
        <f>IFERROR(__xludf.DUMMYFUNCTION("""COMPUTED_VALUE"""),"Aberdeen 01")</f>
        <v>Aberdeen 01</v>
      </c>
      <c r="D68" s="1" t="str">
        <f>IFERROR(__xludf.DUMMYFUNCTION("""COMPUTED_VALUE"""),"Constellation Wreck")</f>
        <v>Constellation Wreck</v>
      </c>
      <c r="E68" s="30" t="str">
        <f>IFERROR(__xludf.DUMMYFUNCTION("""COMPUTED_VALUE"""),"Constellation")</f>
        <v>Constellation</v>
      </c>
      <c r="F68" s="10">
        <f>IFERROR(__xludf.DUMMYFUNCTION("""COMPUTED_VALUE"""),-207.122457713)</f>
        <v>-207.122457713</v>
      </c>
      <c r="G68" s="10">
        <f>IFERROR(__xludf.DUMMYFUNCTION("""COMPUTED_VALUE"""),163.655097375)</f>
        <v>163.655097375</v>
      </c>
      <c r="H68" s="10">
        <f>IFERROR(__xludf.DUMMYFUNCTION("""COMPUTED_VALUE"""),75.8243688669998)</f>
        <v>75.8243688669998</v>
      </c>
      <c r="I68" s="13"/>
      <c r="J68" s="13"/>
      <c r="K68" s="13"/>
      <c r="L68" s="13"/>
      <c r="M68" s="1" t="b">
        <f>IFERROR(__xludf.DUMMYFUNCTION("""COMPUTED_VALUE"""),FALSE)</f>
        <v>0</v>
      </c>
      <c r="N68" s="10">
        <f>IFERROR(__xludf.DUMMYFUNCTION("""COMPUTED_VALUE"""),0)</f>
        <v>0</v>
      </c>
      <c r="O68" s="10">
        <f>IFERROR(__xludf.DUMMYFUNCTION("""COMPUTED_VALUE"""),0)</f>
        <v>0</v>
      </c>
      <c r="P68" s="10"/>
      <c r="Q68" s="30"/>
      <c r="R68" s="18"/>
      <c r="S68" s="19"/>
      <c r="T68" s="10"/>
      <c r="U68" s="10"/>
      <c r="V68" s="10"/>
      <c r="W68" s="10"/>
      <c r="X68" s="19"/>
      <c r="Y68" s="1"/>
      <c r="Z68" s="1"/>
      <c r="AA68" s="1"/>
    </row>
    <row r="69" customHeight="1" spans="1:27">
      <c r="A69" s="1" t="str">
        <f>IFERROR(__xludf.DUMMYFUNCTION("""COMPUTED_VALUE"""),"Aberdeen 16")</f>
        <v>Aberdeen 16</v>
      </c>
      <c r="B69" s="1" t="str">
        <f>IFERROR(__xludf.DUMMYFUNCTION("""COMPUTED_VALUE"""),"Aberdeen 23")</f>
        <v>Aberdeen 23</v>
      </c>
      <c r="C69" s="1" t="str">
        <f>IFERROR(__xludf.DUMMYFUNCTION("""COMPUTED_VALUE"""),"Aberdeen 11")</f>
        <v>Aberdeen 11</v>
      </c>
      <c r="D69" s="1" t="str">
        <f>IFERROR(__xludf.DUMMYFUNCTION("""COMPUTED_VALUE"""),"Freelancer Wreck")</f>
        <v>Freelancer Wreck</v>
      </c>
      <c r="E69" s="30" t="str">
        <f>IFERROR(__xludf.DUMMYFUNCTION("""COMPUTED_VALUE"""),"Freelancer")</f>
        <v>Freelancer</v>
      </c>
      <c r="F69" s="2">
        <f>IFERROR(__xludf.DUMMYFUNCTION("""COMPUTED_VALUE"""),239.132150683999)</f>
        <v>239.132150683999</v>
      </c>
      <c r="G69" s="2">
        <f>IFERROR(__xludf.DUMMYFUNCTION("""COMPUTED_VALUE"""),116.814567593999)</f>
        <v>116.814567593999</v>
      </c>
      <c r="H69" s="2">
        <f>IFERROR(__xludf.DUMMYFUNCTION("""COMPUTED_VALUE"""),68.700639026)</f>
        <v>68.700639026</v>
      </c>
      <c r="I69" s="1"/>
      <c r="J69" s="1"/>
      <c r="K69" s="1"/>
      <c r="L69" s="1"/>
      <c r="M69" s="1" t="b">
        <f>IFERROR(__xludf.DUMMYFUNCTION("""COMPUTED_VALUE"""),FALSE)</f>
        <v>0</v>
      </c>
      <c r="N69" s="2">
        <f>IFERROR(__xludf.DUMMYFUNCTION("""COMPUTED_VALUE"""),0)</f>
        <v>0</v>
      </c>
      <c r="O69" s="2">
        <f>IFERROR(__xludf.DUMMYFUNCTION("""COMPUTED_VALUE"""),0)</f>
        <v>0</v>
      </c>
      <c r="P69" s="1"/>
      <c r="Q69" s="1"/>
      <c r="R69" s="1"/>
      <c r="S69" s="1"/>
      <c r="T69" s="1"/>
      <c r="U69" s="1"/>
      <c r="V69" s="1"/>
      <c r="W69" s="1"/>
      <c r="X69" s="1"/>
      <c r="Y69" s="1"/>
      <c r="Z69" s="1"/>
      <c r="AA69" s="1"/>
    </row>
    <row r="70" customHeight="1" spans="1:27">
      <c r="A70" s="1" t="str">
        <f>IFERROR(__xludf.DUMMYFUNCTION("""COMPUTED_VALUE"""),"Aberdeen 17")</f>
        <v>Aberdeen 17</v>
      </c>
      <c r="B70" s="1" t="str">
        <f>IFERROR(__xludf.DUMMYFUNCTION("""COMPUTED_VALUE"""),"Aberdeen 24")</f>
        <v>Aberdeen 24</v>
      </c>
      <c r="C70" s="1" t="str">
        <f>IFERROR(__xludf.DUMMYFUNCTION("""COMPUTED_VALUE"""),"Aberdeen 12")</f>
        <v>Aberdeen 12</v>
      </c>
      <c r="D70" s="1" t="str">
        <f>IFERROR(__xludf.DUMMYFUNCTION("""COMPUTED_VALUE"""),"Starfarer Wreck")</f>
        <v>Starfarer Wreck</v>
      </c>
      <c r="E70" s="30" t="str">
        <f>IFERROR(__xludf.DUMMYFUNCTION("""COMPUTED_VALUE"""),"Starfarer")</f>
        <v>Starfarer</v>
      </c>
      <c r="F70" s="10">
        <f>IFERROR(__xludf.DUMMYFUNCTION("""COMPUTED_VALUE"""),153.456221401999)</f>
        <v>153.456221401999</v>
      </c>
      <c r="G70" s="10">
        <f>IFERROR(__xludf.DUMMYFUNCTION("""COMPUTED_VALUE"""),48.4436297439999)</f>
        <v>48.4436297439999</v>
      </c>
      <c r="H70" s="10">
        <f>IFERROR(__xludf.DUMMYFUNCTION("""COMPUTED_VALUE"""),223.124503857)</f>
        <v>223.124503857</v>
      </c>
      <c r="I70" s="13"/>
      <c r="J70" s="13"/>
      <c r="K70" s="13"/>
      <c r="L70" s="13"/>
      <c r="M70" s="1" t="b">
        <f>IFERROR(__xludf.DUMMYFUNCTION("""COMPUTED_VALUE"""),FALSE)</f>
        <v>0</v>
      </c>
      <c r="N70" s="10">
        <f>IFERROR(__xludf.DUMMYFUNCTION("""COMPUTED_VALUE"""),0)</f>
        <v>0</v>
      </c>
      <c r="O70" s="10">
        <f>IFERROR(__xludf.DUMMYFUNCTION("""COMPUTED_VALUE"""),0)</f>
        <v>0</v>
      </c>
      <c r="P70" s="10"/>
      <c r="Q70" s="30"/>
      <c r="R70" s="18"/>
      <c r="S70" s="19"/>
      <c r="T70" s="10"/>
      <c r="U70" s="10"/>
      <c r="V70" s="10"/>
      <c r="W70" s="10"/>
      <c r="X70" s="19"/>
      <c r="Y70" s="1"/>
      <c r="Z70" s="1"/>
      <c r="AA70" s="1"/>
    </row>
    <row r="71" customHeight="1" spans="1:27">
      <c r="A71" s="1" t="str">
        <f>IFERROR(__xludf.DUMMYFUNCTION("""COMPUTED_VALUE"""),"Aberdeen 15")</f>
        <v>Aberdeen 15</v>
      </c>
      <c r="B71" s="1" t="str">
        <f>IFERROR(__xludf.DUMMYFUNCTION("""COMPUTED_VALUE"""),"Aberdeen 22")</f>
        <v>Aberdeen 22</v>
      </c>
      <c r="C71" s="1" t="str">
        <f>IFERROR(__xludf.DUMMYFUNCTION("""COMPUTED_VALUE"""),"Aberdeen 09")</f>
        <v>Aberdeen 09</v>
      </c>
      <c r="D71" s="1" t="str">
        <f>IFERROR(__xludf.DUMMYFUNCTION("""COMPUTED_VALUE"""),"Cutlass Wreck")</f>
        <v>Cutlass Wreck</v>
      </c>
      <c r="E71" s="30" t="str">
        <f>IFERROR(__xludf.DUMMYFUNCTION("""COMPUTED_VALUE"""),"Cutlass")</f>
        <v>Cutlass</v>
      </c>
      <c r="F71" s="10">
        <f>IFERROR(__xludf.DUMMYFUNCTION("""COMPUTED_VALUE"""),48.390643083)</f>
        <v>48.390643083</v>
      </c>
      <c r="G71" s="10">
        <f>IFERROR(__xludf.DUMMYFUNCTION("""COMPUTED_VALUE"""),219.891078516999)</f>
        <v>219.891078516999</v>
      </c>
      <c r="H71" s="10">
        <f>IFERROR(__xludf.DUMMYFUNCTION("""COMPUTED_VALUE"""),-157.839092374)</f>
        <v>-157.839092374</v>
      </c>
      <c r="I71" s="13"/>
      <c r="J71" s="13"/>
      <c r="K71" s="13"/>
      <c r="L71" s="13"/>
      <c r="M71" s="1" t="b">
        <f>IFERROR(__xludf.DUMMYFUNCTION("""COMPUTED_VALUE"""),FALSE)</f>
        <v>0</v>
      </c>
      <c r="N71" s="10">
        <f>IFERROR(__xludf.DUMMYFUNCTION("""COMPUTED_VALUE"""),0)</f>
        <v>0</v>
      </c>
      <c r="O71" s="10">
        <f>IFERROR(__xludf.DUMMYFUNCTION("""COMPUTED_VALUE"""),0)</f>
        <v>0</v>
      </c>
      <c r="P71" s="10"/>
      <c r="Q71" s="30"/>
      <c r="R71" s="18"/>
      <c r="S71" s="19"/>
      <c r="T71" s="10"/>
      <c r="U71" s="10"/>
      <c r="V71" s="10"/>
      <c r="W71" s="10"/>
      <c r="X71" s="19"/>
      <c r="Y71" s="1"/>
      <c r="Z71" s="1"/>
      <c r="AA71" s="1"/>
    </row>
    <row r="72" customHeight="1" spans="1:27">
      <c r="A72" s="1" t="str">
        <f>IFERROR(__xludf.DUMMYFUNCTION("""COMPUTED_VALUE"""),"Aberdeen")</f>
        <v>Aberdeen</v>
      </c>
      <c r="B72" s="1" t="str">
        <f>IFERROR(__xludf.DUMMYFUNCTION("""COMPUTED_VALUE"""),"Aberdeen 26")</f>
        <v>Aberdeen 26</v>
      </c>
      <c r="C72" s="1"/>
      <c r="D72" s="1" t="str">
        <f>IFERROR(__xludf.DUMMYFUNCTION("""COMPUTED_VALUE"""),"Comm Array")</f>
        <v>Comm Array</v>
      </c>
      <c r="E72" s="30"/>
      <c r="F72" s="10"/>
      <c r="G72" s="10"/>
      <c r="H72" s="10"/>
      <c r="I72" s="13"/>
      <c r="J72" s="13"/>
      <c r="K72" s="13"/>
      <c r="L72" s="13"/>
      <c r="M72" s="1"/>
      <c r="N72" s="10"/>
      <c r="O72" s="10"/>
      <c r="P72" s="10"/>
      <c r="Q72" s="30"/>
      <c r="R72" s="18"/>
      <c r="S72" s="19"/>
      <c r="T72" s="10"/>
      <c r="U72" s="10"/>
      <c r="V72" s="10"/>
      <c r="W72" s="10"/>
      <c r="X72" s="19"/>
      <c r="Y72" s="1"/>
      <c r="Z72" s="1"/>
      <c r="AA72" s="1"/>
    </row>
    <row r="73" customHeight="1" spans="1:27">
      <c r="A73" s="1" t="str">
        <f>IFERROR(__xludf.DUMMYFUNCTION("""COMPUTED_VALUE"""),"Aberdeen 06")</f>
        <v>Aberdeen 06</v>
      </c>
      <c r="B73" s="1" t="str">
        <f>IFERROR(__xludf.DUMMYFUNCTION("""COMPUTED_VALUE"""),"Aberdeen 27")</f>
        <v>Aberdeen 27</v>
      </c>
      <c r="C73" s="1" t="str">
        <f>IFERROR(__xludf.DUMMYFUNCTION("""COMPUTED_VALUE"""),"Aberdeen 20")</f>
        <v>Aberdeen 20</v>
      </c>
      <c r="D73" s="1" t="str">
        <f>IFERROR(__xludf.DUMMYFUNCTION("""COMPUTED_VALUE"""),"Comm Array ST1-92")</f>
        <v>Comm Array ST1-92</v>
      </c>
      <c r="E73" s="30" t="str">
        <f>IFERROR(__xludf.DUMMYFUNCTION("""COMPUTED_VALUE"""),"ST1-92")</f>
        <v>ST1-92</v>
      </c>
      <c r="F73" s="10">
        <f>IFERROR(__xludf.DUMMYFUNCTION("""COMPUTED_VALUE"""),-435.358516500473)</f>
        <v>-435.358516500473</v>
      </c>
      <c r="G73" s="10">
        <f>IFERROR(__xludf.DUMMYFUNCTION("""COMPUTED_VALUE"""),-45.213629606001)</f>
        <v>-45.213629606001</v>
      </c>
      <c r="H73" s="10">
        <f>IFERROR(__xludf.DUMMYFUNCTION("""COMPUTED_VALUE"""),24)</f>
        <v>24</v>
      </c>
      <c r="I73" s="13"/>
      <c r="J73" s="13"/>
      <c r="K73" s="13"/>
      <c r="L73" s="13"/>
      <c r="M73" s="1" t="b">
        <f>IFERROR(__xludf.DUMMYFUNCTION("""COMPUTED_VALUE"""),TRUE)</f>
        <v>1</v>
      </c>
      <c r="N73" s="10">
        <f>IFERROR(__xludf.DUMMYFUNCTION("""COMPUTED_VALUE"""),0)</f>
        <v>0</v>
      </c>
      <c r="O73" s="10">
        <f>IFERROR(__xludf.DUMMYFUNCTION("""COMPUTED_VALUE"""),0)</f>
        <v>0</v>
      </c>
      <c r="P73" s="10"/>
      <c r="Q73" s="30"/>
      <c r="R73" s="18"/>
      <c r="S73" s="19"/>
      <c r="T73" s="10"/>
      <c r="U73" s="10"/>
      <c r="V73" s="10"/>
      <c r="W73" s="10"/>
      <c r="X73" s="19"/>
      <c r="Y73" s="1"/>
      <c r="Z73" s="1"/>
      <c r="AA73" s="1"/>
    </row>
    <row r="74" customHeight="1" spans="1:27">
      <c r="A74" s="1"/>
      <c r="B74" s="1"/>
      <c r="C74" s="1"/>
      <c r="D74" s="1"/>
      <c r="E74" s="30"/>
      <c r="F74" s="10"/>
      <c r="G74" s="10"/>
      <c r="H74" s="10"/>
      <c r="I74" s="13"/>
      <c r="J74" s="13"/>
      <c r="K74" s="13"/>
      <c r="L74" s="13"/>
      <c r="M74" s="1"/>
      <c r="N74" s="10"/>
      <c r="O74" s="10"/>
      <c r="P74" s="10"/>
      <c r="Q74" s="30"/>
      <c r="R74" s="18"/>
      <c r="S74" s="19"/>
      <c r="T74" s="10"/>
      <c r="U74" s="10"/>
      <c r="V74" s="10"/>
      <c r="W74" s="10"/>
      <c r="X74" s="19"/>
      <c r="Y74" s="1"/>
      <c r="Z74" s="1"/>
      <c r="AA74" s="1"/>
    </row>
    <row r="75" customHeight="1" spans="1:27">
      <c r="A75" s="1" t="str">
        <f>IFERROR(__xludf.DUMMYFUNCTION("""COMPUTED_VALUE"""),"ArcCorp R01")</f>
        <v>ArcCorp R01</v>
      </c>
      <c r="B75" s="1" t="str">
        <f>IFERROR(__xludf.DUMMYFUNCTION("""COMPUTED_VALUE"""),"ArcCorp 18")</f>
        <v>ArcCorp 18</v>
      </c>
      <c r="C75" s="1"/>
      <c r="D75" s="1" t="str">
        <f>IFERROR(__xludf.DUMMYFUNCTION("""COMPUTED_VALUE"""),"OM-1")</f>
        <v>OM-1</v>
      </c>
      <c r="E75" s="30" t="str">
        <f>IFERROR(__xludf.DUMMYFUNCTION("""COMPUTED_VALUE"""),"OM1")</f>
        <v>OM1</v>
      </c>
      <c r="F75" s="10">
        <f>IFERROR(__xludf.DUMMYFUNCTION("""COMPUTED_VALUE"""),0)</f>
        <v>0</v>
      </c>
      <c r="G75" s="10">
        <f>IFERROR(__xludf.DUMMYFUNCTION("""COMPUTED_VALUE"""),0)</f>
        <v>0</v>
      </c>
      <c r="H75" s="10">
        <f>IFERROR(__xludf.DUMMYFUNCTION("""COMPUTED_VALUE"""),1151.452)</f>
        <v>1151.452</v>
      </c>
      <c r="I75" s="13"/>
      <c r="J75" s="13"/>
      <c r="K75" s="13"/>
      <c r="L75" s="13"/>
      <c r="M75" s="1" t="b">
        <f>IFERROR(__xludf.DUMMYFUNCTION("""COMPUTED_VALUE"""),TRUE)</f>
        <v>1</v>
      </c>
      <c r="N75" s="10">
        <f>IFERROR(__xludf.DUMMYFUNCTION("""COMPUTED_VALUE"""),0)</f>
        <v>0</v>
      </c>
      <c r="O75" s="10">
        <f>IFERROR(__xludf.DUMMYFUNCTION("""COMPUTED_VALUE"""),0)</f>
        <v>0</v>
      </c>
      <c r="P75" s="10"/>
      <c r="Q75" s="30"/>
      <c r="R75" s="18"/>
      <c r="S75" s="19"/>
      <c r="T75" s="10"/>
      <c r="U75" s="10"/>
      <c r="V75" s="10"/>
      <c r="W75" s="10"/>
      <c r="X75" s="19"/>
      <c r="Y75" s="1"/>
      <c r="Z75" s="1"/>
      <c r="AA75" s="1"/>
    </row>
    <row r="76" customHeight="1" spans="1:27">
      <c r="A76" s="1" t="str">
        <f>IFERROR(__xludf.DUMMYFUNCTION("""COMPUTED_VALUE"""),"ArcCorp R02")</f>
        <v>ArcCorp R02</v>
      </c>
      <c r="B76" s="1" t="str">
        <f>IFERROR(__xludf.DUMMYFUNCTION("""COMPUTED_VALUE"""),"ArcCorp 19")</f>
        <v>ArcCorp 19</v>
      </c>
      <c r="C76" s="1"/>
      <c r="D76" s="1" t="str">
        <f>IFERROR(__xludf.DUMMYFUNCTION("""COMPUTED_VALUE"""),"OM-2")</f>
        <v>OM-2</v>
      </c>
      <c r="E76" s="30" t="str">
        <f>IFERROR(__xludf.DUMMYFUNCTION("""COMPUTED_VALUE"""),"OM2")</f>
        <v>OM2</v>
      </c>
      <c r="F76" s="10">
        <f>IFERROR(__xludf.DUMMYFUNCTION("""COMPUTED_VALUE"""),0)</f>
        <v>0</v>
      </c>
      <c r="G76" s="10">
        <f>IFERROR(__xludf.DUMMYFUNCTION("""COMPUTED_VALUE"""),0)</f>
        <v>0</v>
      </c>
      <c r="H76" s="10">
        <f>IFERROR(__xludf.DUMMYFUNCTION("""COMPUTED_VALUE"""),-1151.452)</f>
        <v>-1151.452</v>
      </c>
      <c r="I76" s="13"/>
      <c r="J76" s="13"/>
      <c r="K76" s="13"/>
      <c r="L76" s="13"/>
      <c r="M76" s="1" t="b">
        <f>IFERROR(__xludf.DUMMYFUNCTION("""COMPUTED_VALUE"""),TRUE)</f>
        <v>1</v>
      </c>
      <c r="N76" s="10">
        <f>IFERROR(__xludf.DUMMYFUNCTION("""COMPUTED_VALUE"""),0)</f>
        <v>0</v>
      </c>
      <c r="O76" s="10">
        <f>IFERROR(__xludf.DUMMYFUNCTION("""COMPUTED_VALUE"""),0)</f>
        <v>0</v>
      </c>
      <c r="P76" s="10"/>
      <c r="Q76" s="30"/>
      <c r="R76" s="18"/>
      <c r="S76" s="19"/>
      <c r="T76" s="10"/>
      <c r="U76" s="10"/>
      <c r="V76" s="10"/>
      <c r="W76" s="10"/>
      <c r="X76" s="19"/>
      <c r="Y76" s="1"/>
      <c r="Z76" s="1"/>
      <c r="AA76" s="1"/>
    </row>
    <row r="77" customHeight="1" spans="1:27">
      <c r="A77" s="1" t="str">
        <f>IFERROR(__xludf.DUMMYFUNCTION("""COMPUTED_VALUE"""),"ArcCorp R03")</f>
        <v>ArcCorp R03</v>
      </c>
      <c r="B77" s="1" t="str">
        <f>IFERROR(__xludf.DUMMYFUNCTION("""COMPUTED_VALUE"""),"ArcCorp 20")</f>
        <v>ArcCorp 20</v>
      </c>
      <c r="C77" s="1" t="str">
        <f>IFERROR(__xludf.DUMMYFUNCTION("""COMPUTED_VALUE"""),"ArcCorp 01")</f>
        <v>ArcCorp 01</v>
      </c>
      <c r="D77" s="1" t="str">
        <f>IFERROR(__xludf.DUMMYFUNCTION("""COMPUTED_VALUE"""),"OM-3")</f>
        <v>OM-3</v>
      </c>
      <c r="E77" s="30" t="str">
        <f>IFERROR(__xludf.DUMMYFUNCTION("""COMPUTED_VALUE"""),"OM3")</f>
        <v>OM3</v>
      </c>
      <c r="F77" s="10">
        <f>IFERROR(__xludf.DUMMYFUNCTION("""COMPUTED_VALUE"""),0)</f>
        <v>0</v>
      </c>
      <c r="G77" s="10">
        <f>IFERROR(__xludf.DUMMYFUNCTION("""COMPUTED_VALUE"""),1151.452)</f>
        <v>1151.452</v>
      </c>
      <c r="H77" s="10">
        <f>IFERROR(__xludf.DUMMYFUNCTION("""COMPUTED_VALUE"""),0)</f>
        <v>0</v>
      </c>
      <c r="I77" s="13"/>
      <c r="J77" s="13"/>
      <c r="K77" s="13"/>
      <c r="L77" s="13"/>
      <c r="M77" s="1" t="b">
        <f>IFERROR(__xludf.DUMMYFUNCTION("""COMPUTED_VALUE"""),TRUE)</f>
        <v>1</v>
      </c>
      <c r="N77" s="10">
        <f>IFERROR(__xludf.DUMMYFUNCTION("""COMPUTED_VALUE"""),0)</f>
        <v>0</v>
      </c>
      <c r="O77" s="10">
        <f>IFERROR(__xludf.DUMMYFUNCTION("""COMPUTED_VALUE"""),0)</f>
        <v>0</v>
      </c>
      <c r="P77" s="10"/>
      <c r="Q77" s="30"/>
      <c r="R77" s="18"/>
      <c r="S77" s="19"/>
      <c r="T77" s="10"/>
      <c r="U77" s="10"/>
      <c r="V77" s="10"/>
      <c r="W77" s="10"/>
      <c r="X77" s="19"/>
      <c r="Y77" s="1"/>
      <c r="Z77" s="1"/>
      <c r="AA77" s="1"/>
    </row>
    <row r="78" customHeight="1" spans="1:27">
      <c r="A78" s="1" t="str">
        <f>IFERROR(__xludf.DUMMYFUNCTION("""COMPUTED_VALUE"""),"ArcCorp R04")</f>
        <v>ArcCorp R04</v>
      </c>
      <c r="B78" s="1" t="str">
        <f>IFERROR(__xludf.DUMMYFUNCTION("""COMPUTED_VALUE"""),"ArcCorp 21")</f>
        <v>ArcCorp 21</v>
      </c>
      <c r="C78" s="1" t="str">
        <f>IFERROR(__xludf.DUMMYFUNCTION("""COMPUTED_VALUE"""),"ArcCorp 06")</f>
        <v>ArcCorp 06</v>
      </c>
      <c r="D78" s="1" t="str">
        <f>IFERROR(__xludf.DUMMYFUNCTION("""COMPUTED_VALUE"""),"OM-4")</f>
        <v>OM-4</v>
      </c>
      <c r="E78" s="30" t="str">
        <f>IFERROR(__xludf.DUMMYFUNCTION("""COMPUTED_VALUE"""),"OM4")</f>
        <v>OM4</v>
      </c>
      <c r="F78" s="10">
        <f>IFERROR(__xludf.DUMMYFUNCTION("""COMPUTED_VALUE"""),0)</f>
        <v>0</v>
      </c>
      <c r="G78" s="10">
        <f>IFERROR(__xludf.DUMMYFUNCTION("""COMPUTED_VALUE"""),-1151.452)</f>
        <v>-1151.452</v>
      </c>
      <c r="H78" s="10">
        <f>IFERROR(__xludf.DUMMYFUNCTION("""COMPUTED_VALUE"""),0)</f>
        <v>0</v>
      </c>
      <c r="I78" s="13"/>
      <c r="J78" s="13"/>
      <c r="K78" s="13"/>
      <c r="L78" s="13"/>
      <c r="M78" s="1" t="b">
        <f>IFERROR(__xludf.DUMMYFUNCTION("""COMPUTED_VALUE"""),TRUE)</f>
        <v>1</v>
      </c>
      <c r="N78" s="10">
        <f>IFERROR(__xludf.DUMMYFUNCTION("""COMPUTED_VALUE"""),0)</f>
        <v>0</v>
      </c>
      <c r="O78" s="10">
        <f>IFERROR(__xludf.DUMMYFUNCTION("""COMPUTED_VALUE"""),0)</f>
        <v>0</v>
      </c>
      <c r="P78" s="10"/>
      <c r="Q78" s="30"/>
      <c r="R78" s="18"/>
      <c r="S78" s="19"/>
      <c r="T78" s="10"/>
      <c r="U78" s="10"/>
      <c r="V78" s="10"/>
      <c r="W78" s="10"/>
      <c r="X78" s="19"/>
      <c r="Y78" s="1"/>
      <c r="Z78" s="1"/>
      <c r="AA78" s="1"/>
    </row>
    <row r="79" customHeight="1" spans="1:27">
      <c r="A79" s="1" t="str">
        <f>IFERROR(__xludf.DUMMYFUNCTION("""COMPUTED_VALUE"""),"ArcCorp R05")</f>
        <v>ArcCorp R05</v>
      </c>
      <c r="B79" s="1" t="str">
        <f>IFERROR(__xludf.DUMMYFUNCTION("""COMPUTED_VALUE"""),"ArcCorp 22")</f>
        <v>ArcCorp 22</v>
      </c>
      <c r="C79" s="1" t="str">
        <f>IFERROR(__xludf.DUMMYFUNCTION("""COMPUTED_VALUE"""),"ArcCorp 04")</f>
        <v>ArcCorp 04</v>
      </c>
      <c r="D79" s="1" t="str">
        <f>IFERROR(__xludf.DUMMYFUNCTION("""COMPUTED_VALUE"""),"OM-5")</f>
        <v>OM-5</v>
      </c>
      <c r="E79" s="30" t="str">
        <f>IFERROR(__xludf.DUMMYFUNCTION("""COMPUTED_VALUE"""),"OM5")</f>
        <v>OM5</v>
      </c>
      <c r="F79" s="10">
        <f>IFERROR(__xludf.DUMMYFUNCTION("""COMPUTED_VALUE"""),1151.452)</f>
        <v>1151.452</v>
      </c>
      <c r="G79" s="10">
        <f>IFERROR(__xludf.DUMMYFUNCTION("""COMPUTED_VALUE"""),0)</f>
        <v>0</v>
      </c>
      <c r="H79" s="10">
        <f>IFERROR(__xludf.DUMMYFUNCTION("""COMPUTED_VALUE"""),0)</f>
        <v>0</v>
      </c>
      <c r="I79" s="13"/>
      <c r="J79" s="13"/>
      <c r="K79" s="13"/>
      <c r="L79" s="13"/>
      <c r="M79" s="1" t="b">
        <f>IFERROR(__xludf.DUMMYFUNCTION("""COMPUTED_VALUE"""),TRUE)</f>
        <v>1</v>
      </c>
      <c r="N79" s="10">
        <f>IFERROR(__xludf.DUMMYFUNCTION("""COMPUTED_VALUE"""),0)</f>
        <v>0</v>
      </c>
      <c r="O79" s="10">
        <f>IFERROR(__xludf.DUMMYFUNCTION("""COMPUTED_VALUE"""),0)</f>
        <v>0</v>
      </c>
      <c r="P79" s="10"/>
      <c r="Q79" s="30"/>
      <c r="R79" s="18"/>
      <c r="S79" s="19"/>
      <c r="T79" s="10"/>
      <c r="U79" s="10"/>
      <c r="V79" s="10"/>
      <c r="W79" s="10"/>
      <c r="X79" s="19"/>
      <c r="Y79" s="1"/>
      <c r="Z79" s="1"/>
      <c r="AA79" s="1"/>
    </row>
    <row r="80" customHeight="1" spans="1:27">
      <c r="A80" s="1" t="str">
        <f>IFERROR(__xludf.DUMMYFUNCTION("""COMPUTED_VALUE"""),"ArcCorp R06")</f>
        <v>ArcCorp R06</v>
      </c>
      <c r="B80" s="1" t="str">
        <f>IFERROR(__xludf.DUMMYFUNCTION("""COMPUTED_VALUE"""),"ArcCorp 23")</f>
        <v>ArcCorp 23</v>
      </c>
      <c r="C80" s="1" t="str">
        <f>IFERROR(__xludf.DUMMYFUNCTION("""COMPUTED_VALUE"""),"ArcCorp 14")</f>
        <v>ArcCorp 14</v>
      </c>
      <c r="D80" s="1" t="str">
        <f>IFERROR(__xludf.DUMMYFUNCTION("""COMPUTED_VALUE"""),"OM-6")</f>
        <v>OM-6</v>
      </c>
      <c r="E80" s="30" t="str">
        <f>IFERROR(__xludf.DUMMYFUNCTION("""COMPUTED_VALUE"""),"OM6")</f>
        <v>OM6</v>
      </c>
      <c r="F80" s="10">
        <f>IFERROR(__xludf.DUMMYFUNCTION("""COMPUTED_VALUE"""),-1151.452)</f>
        <v>-1151.452</v>
      </c>
      <c r="G80" s="10">
        <f>IFERROR(__xludf.DUMMYFUNCTION("""COMPUTED_VALUE"""),0)</f>
        <v>0</v>
      </c>
      <c r="H80" s="10">
        <f>IFERROR(__xludf.DUMMYFUNCTION("""COMPUTED_VALUE"""),0)</f>
        <v>0</v>
      </c>
      <c r="I80" s="13"/>
      <c r="J80" s="13"/>
      <c r="K80" s="13"/>
      <c r="L80" s="13"/>
      <c r="M80" s="1" t="b">
        <f>IFERROR(__xludf.DUMMYFUNCTION("""COMPUTED_VALUE"""),TRUE)</f>
        <v>1</v>
      </c>
      <c r="N80" s="10">
        <f>IFERROR(__xludf.DUMMYFUNCTION("""COMPUTED_VALUE"""),0)</f>
        <v>0</v>
      </c>
      <c r="O80" s="10">
        <f>IFERROR(__xludf.DUMMYFUNCTION("""COMPUTED_VALUE"""),0)</f>
        <v>0</v>
      </c>
      <c r="P80" s="10"/>
      <c r="Q80" s="30"/>
      <c r="R80" s="18"/>
      <c r="S80" s="19"/>
      <c r="T80" s="10"/>
      <c r="U80" s="10"/>
      <c r="V80" s="10"/>
      <c r="W80" s="10"/>
      <c r="X80" s="19"/>
      <c r="Y80" s="1"/>
      <c r="Z80" s="1"/>
      <c r="AA80" s="1"/>
    </row>
    <row r="81" customHeight="1" spans="1:27">
      <c r="A81" s="1" t="str">
        <f>IFERROR(__xludf.DUMMYFUNCTION("""COMPUTED_VALUE"""),"ArcCorp")</f>
        <v>ArcCorp</v>
      </c>
      <c r="B81" s="1" t="str">
        <f>IFERROR(__xludf.DUMMYFUNCTION("""COMPUTED_VALUE"""),"ArcCorp 00")</f>
        <v>ArcCorp 00</v>
      </c>
      <c r="C81" s="1"/>
      <c r="D81" s="1" t="str">
        <f>IFERROR(__xludf.DUMMYFUNCTION("""COMPUTED_VALUE"""),"Landing Zone")</f>
        <v>Landing Zone</v>
      </c>
      <c r="E81" s="30"/>
      <c r="F81" s="10"/>
      <c r="G81" s="10"/>
      <c r="H81" s="10"/>
      <c r="I81" s="13"/>
      <c r="J81" s="13"/>
      <c r="K81" s="13"/>
      <c r="L81" s="13"/>
      <c r="M81" s="1"/>
      <c r="N81" s="10"/>
      <c r="O81" s="10"/>
      <c r="P81" s="10"/>
      <c r="Q81" s="30"/>
      <c r="R81" s="18"/>
      <c r="S81" s="19"/>
      <c r="T81" s="10"/>
      <c r="U81" s="10"/>
      <c r="V81" s="10"/>
      <c r="W81" s="10"/>
      <c r="X81" s="19"/>
      <c r="Y81" s="1"/>
      <c r="Z81" s="1"/>
      <c r="AA81" s="1"/>
    </row>
    <row r="82" customHeight="1" spans="1:27">
      <c r="A82" s="1" t="str">
        <f>IFERROR(__xludf.DUMMYFUNCTION("""COMPUTED_VALUE"""),"ArcCorp 01")</f>
        <v>ArcCorp 01</v>
      </c>
      <c r="B82" s="1" t="str">
        <f>IFERROR(__xludf.DUMMYFUNCTION("""COMPUTED_VALUE"""),"ArcCorp 01")</f>
        <v>ArcCorp 01</v>
      </c>
      <c r="C82" s="1" t="str">
        <f>IFERROR(__xludf.DUMMYFUNCTION("""COMPUTED_VALUE"""),"ArcCorp 11")</f>
        <v>ArcCorp 11</v>
      </c>
      <c r="D82" s="1" t="str">
        <f>IFERROR(__xludf.DUMMYFUNCTION("""COMPUTED_VALUE"""),"Area 18")</f>
        <v>Area 18</v>
      </c>
      <c r="E82" s="30" t="str">
        <f>IFERROR(__xludf.DUMMYFUNCTION("""COMPUTED_VALUE"""),"Area 18")</f>
        <v>Area 18</v>
      </c>
      <c r="F82" s="10">
        <f>IFERROR(__xludf.DUMMYFUNCTION("""COMPUTED_VALUE"""),-747.409136838)</f>
        <v>-747.409136838</v>
      </c>
      <c r="G82" s="10">
        <f>IFERROR(__xludf.DUMMYFUNCTION("""COMPUTED_VALUE"""),-116.733519176)</f>
        <v>-116.733519176</v>
      </c>
      <c r="H82" s="10">
        <f>IFERROR(__xludf.DUMMYFUNCTION("""COMPUTED_VALUE"""),-262.094438105999)</f>
        <v>-262.094438105999</v>
      </c>
      <c r="I82" s="13"/>
      <c r="J82" s="13"/>
      <c r="K82" s="13"/>
      <c r="L82" s="13"/>
      <c r="M82" s="1" t="b">
        <f>IFERROR(__xludf.DUMMYFUNCTION("""COMPUTED_VALUE"""),TRUE)</f>
        <v>1</v>
      </c>
      <c r="N82" s="10">
        <f>IFERROR(__xludf.DUMMYFUNCTION("""COMPUTED_VALUE"""),0)</f>
        <v>0</v>
      </c>
      <c r="O82" s="10">
        <f>IFERROR(__xludf.DUMMYFUNCTION("""COMPUTED_VALUE"""),0)</f>
        <v>0</v>
      </c>
      <c r="P82" s="10"/>
      <c r="Q82" s="30"/>
      <c r="R82" s="18"/>
      <c r="S82" s="19"/>
      <c r="T82" s="10"/>
      <c r="U82" s="10"/>
      <c r="V82" s="10"/>
      <c r="W82" s="10"/>
      <c r="X82" s="19"/>
      <c r="Y82" s="1"/>
      <c r="Z82" s="1"/>
      <c r="AA82" s="1"/>
    </row>
    <row r="83" customHeight="1" spans="1:27">
      <c r="A83" s="1" t="str">
        <f>IFERROR(__xludf.DUMMYFUNCTION("""COMPUTED_VALUE"""),"ArcCorp 10")</f>
        <v>ArcCorp 10</v>
      </c>
      <c r="B83" s="1" t="str">
        <f>IFERROR(__xludf.DUMMYFUNCTION("""COMPUTED_VALUE"""),"ArcCorp 02")</f>
        <v>ArcCorp 02</v>
      </c>
      <c r="C83" s="1" t="str">
        <f>IFERROR(__xludf.DUMMYFUNCTION("""COMPUTED_VALUE"""),"ArcCorp 13")</f>
        <v>ArcCorp 13</v>
      </c>
      <c r="D83" s="1" t="str">
        <f>IFERROR(__xludf.DUMMYFUNCTION("""COMPUTED_VALUE"""),"Riker Memorial Spaceport")</f>
        <v>Riker Memorial Spaceport</v>
      </c>
      <c r="E83" s="30" t="str">
        <f>IFERROR(__xludf.DUMMYFUNCTION("""COMPUTED_VALUE"""),"Riker")</f>
        <v>Riker</v>
      </c>
      <c r="F83" s="10">
        <f>IFERROR(__xludf.DUMMYFUNCTION("""COMPUTED_VALUE"""),-748.361331199837)</f>
        <v>-748.361331199837</v>
      </c>
      <c r="G83" s="10">
        <f>IFERROR(__xludf.DUMMYFUNCTION("""COMPUTED_VALUE"""),-103.662810667519)</f>
        <v>-103.662810667519</v>
      </c>
      <c r="H83" s="10">
        <f>IFERROR(__xludf.DUMMYFUNCTION("""COMPUTED_VALUE"""),-263.811313496571)</f>
        <v>-263.811313496571</v>
      </c>
      <c r="I83" s="13"/>
      <c r="J83" s="13"/>
      <c r="K83" s="13"/>
      <c r="L83" s="13"/>
      <c r="M83" s="1" t="b">
        <f>IFERROR(__xludf.DUMMYFUNCTION("""COMPUTED_VALUE"""),FALSE)</f>
        <v>0</v>
      </c>
      <c r="N83" s="10">
        <f>IFERROR(__xludf.DUMMYFUNCTION("""COMPUTED_VALUE"""),0)</f>
        <v>0</v>
      </c>
      <c r="O83" s="10">
        <f>IFERROR(__xludf.DUMMYFUNCTION("""COMPUTED_VALUE"""),0)</f>
        <v>0</v>
      </c>
      <c r="P83" s="10"/>
      <c r="Q83" s="30"/>
      <c r="R83" s="18"/>
      <c r="S83" s="19"/>
      <c r="T83" s="10"/>
      <c r="U83" s="10"/>
      <c r="V83" s="10"/>
      <c r="W83" s="10"/>
      <c r="X83" s="19"/>
      <c r="Y83" s="1"/>
      <c r="Z83" s="1"/>
      <c r="AA83" s="1"/>
    </row>
    <row r="84" customHeight="1" spans="1:27">
      <c r="A84" s="1" t="str">
        <f>IFERROR(__xludf.DUMMYFUNCTION("""COMPUTED_VALUE"""),"ArcCorp 02")</f>
        <v>ArcCorp 02</v>
      </c>
      <c r="B84" s="1" t="str">
        <f>IFERROR(__xludf.DUMMYFUNCTION("""COMPUTED_VALUE"""),"ArcCorp 03")</f>
        <v>ArcCorp 03</v>
      </c>
      <c r="C84" s="1" t="str">
        <f>IFERROR(__xludf.DUMMYFUNCTION("""COMPUTED_VALUE"""),"ArcCorp 09")</f>
        <v>ArcCorp 09</v>
      </c>
      <c r="D84" s="1" t="str">
        <f>IFERROR(__xludf.DUMMYFUNCTION("""COMPUTED_VALUE"""),"Baijini Point")</f>
        <v>Baijini Point</v>
      </c>
      <c r="E84" s="30" t="str">
        <f>IFERROR(__xludf.DUMMYFUNCTION("""COMPUTED_VALUE"""),"Baijini")</f>
        <v>Baijini</v>
      </c>
      <c r="F84" s="10">
        <f>IFERROR(__xludf.DUMMYFUNCTION("""COMPUTED_VALUE"""),-771.9605625)</f>
        <v>-771.9605625</v>
      </c>
      <c r="G84" s="10">
        <f>IFERROR(__xludf.DUMMYFUNCTION("""COMPUTED_VALUE"""),-321.34721875)</f>
        <v>-321.34721875</v>
      </c>
      <c r="H84" s="10">
        <f>IFERROR(__xludf.DUMMYFUNCTION("""COMPUTED_VALUE"""),-359.50934375)</f>
        <v>-359.50934375</v>
      </c>
      <c r="I84" s="13"/>
      <c r="J84" s="13"/>
      <c r="K84" s="13"/>
      <c r="L84" s="13"/>
      <c r="M84" s="1" t="b">
        <f>IFERROR(__xludf.DUMMYFUNCTION("""COMPUTED_VALUE"""),TRUE)</f>
        <v>1</v>
      </c>
      <c r="N84" s="10">
        <f>IFERROR(__xludf.DUMMYFUNCTION("""COMPUTED_VALUE"""),0)</f>
        <v>0</v>
      </c>
      <c r="O84" s="10">
        <f>IFERROR(__xludf.DUMMYFUNCTION("""COMPUTED_VALUE"""),0)</f>
        <v>0</v>
      </c>
      <c r="P84" s="10"/>
      <c r="Q84" s="30"/>
      <c r="R84" s="18"/>
      <c r="S84" s="19"/>
      <c r="T84" s="10"/>
      <c r="U84" s="10"/>
      <c r="V84" s="10"/>
      <c r="W84" s="10"/>
      <c r="X84" s="19"/>
      <c r="Y84" s="1"/>
      <c r="Z84" s="1"/>
      <c r="AA84" s="1"/>
    </row>
    <row r="85" customHeight="1" spans="1:27">
      <c r="A85" s="1" t="str">
        <f>IFERROR(__xludf.DUMMYFUNCTION("""COMPUTED_VALUE"""),"ArcCorp")</f>
        <v>ArcCorp</v>
      </c>
      <c r="B85" s="1" t="str">
        <f>IFERROR(__xludf.DUMMYFUNCTION("""COMPUTED_VALUE"""),"ArcCorp 05")</f>
        <v>ArcCorp 05</v>
      </c>
      <c r="C85" s="1"/>
      <c r="D85" s="1" t="str">
        <f>IFERROR(__xludf.DUMMYFUNCTION("""COMPUTED_VALUE"""),"Other Areas")</f>
        <v>Other Areas</v>
      </c>
      <c r="E85" s="30"/>
      <c r="F85" s="10"/>
      <c r="G85" s="10"/>
      <c r="H85" s="10"/>
      <c r="I85" s="13"/>
      <c r="J85" s="13"/>
      <c r="K85" s="13"/>
      <c r="L85" s="13"/>
      <c r="M85" s="1"/>
      <c r="N85" s="10"/>
      <c r="O85" s="10"/>
      <c r="P85" s="10"/>
      <c r="Q85" s="30"/>
      <c r="R85" s="18"/>
      <c r="S85" s="19"/>
      <c r="T85" s="10"/>
      <c r="U85" s="10"/>
      <c r="V85" s="10"/>
      <c r="W85" s="10"/>
      <c r="X85" s="19"/>
      <c r="Y85" s="1"/>
      <c r="Z85" s="1"/>
      <c r="AA85" s="1"/>
    </row>
    <row r="86" customHeight="1" spans="1:27">
      <c r="A86" s="1" t="str">
        <f>IFERROR(__xludf.DUMMYFUNCTION("""COMPUTED_VALUE"""),"ArcCorp 04")</f>
        <v>ArcCorp 04</v>
      </c>
      <c r="B86" s="1" t="str">
        <f>IFERROR(__xludf.DUMMYFUNCTION("""COMPUTED_VALUE"""),"ArcCorp 06")</f>
        <v>ArcCorp 06</v>
      </c>
      <c r="C86" s="1" t="str">
        <f>IFERROR(__xludf.DUMMYFUNCTION("""COMPUTED_VALUE"""),"ArcCorp 08")</f>
        <v>ArcCorp 08</v>
      </c>
      <c r="D86" s="1" t="str">
        <f>IFERROR(__xludf.DUMMYFUNCTION("""COMPUTED_VALUE"""),"Area 04")</f>
        <v>Area 04</v>
      </c>
      <c r="E86" s="30" t="str">
        <f>IFERROR(__xludf.DUMMYFUNCTION("""COMPUTED_VALUE"""),"Area 04")</f>
        <v>Area 04</v>
      </c>
      <c r="F86" s="10">
        <f>IFERROR(__xludf.DUMMYFUNCTION("""COMPUTED_VALUE"""),-314.30627262595)</f>
        <v>-314.30627262595</v>
      </c>
      <c r="G86" s="10">
        <f>IFERROR(__xludf.DUMMYFUNCTION("""COMPUTED_VALUE"""),-601.435300324063)</f>
        <v>-601.435300324063</v>
      </c>
      <c r="H86" s="10">
        <f>IFERROR(__xludf.DUMMYFUNCTION("""COMPUTED_VALUE"""),423.658971631491)</f>
        <v>423.658971631491</v>
      </c>
      <c r="I86" s="13"/>
      <c r="J86" s="13"/>
      <c r="K86" s="13"/>
      <c r="L86" s="13"/>
      <c r="M86" s="1" t="b">
        <f>IFERROR(__xludf.DUMMYFUNCTION("""COMPUTED_VALUE"""),TRUE)</f>
        <v>1</v>
      </c>
      <c r="N86" s="10">
        <f>IFERROR(__xludf.DUMMYFUNCTION("""COMPUTED_VALUE"""),0)</f>
        <v>0</v>
      </c>
      <c r="O86" s="10">
        <f>IFERROR(__xludf.DUMMYFUNCTION("""COMPUTED_VALUE"""),0)</f>
        <v>0</v>
      </c>
      <c r="P86" s="10"/>
      <c r="Q86" s="30"/>
      <c r="R86" s="18"/>
      <c r="S86" s="19"/>
      <c r="T86" s="10"/>
      <c r="U86" s="10"/>
      <c r="V86" s="10"/>
      <c r="W86" s="10"/>
      <c r="X86" s="19"/>
      <c r="Y86" s="1"/>
      <c r="Z86" s="1"/>
      <c r="AA86" s="1"/>
    </row>
    <row r="87" customHeight="1" spans="1:27">
      <c r="A87" s="1" t="str">
        <f>IFERROR(__xludf.DUMMYFUNCTION("""COMPUTED_VALUE"""),"ArcCorp 05")</f>
        <v>ArcCorp 05</v>
      </c>
      <c r="B87" s="1" t="str">
        <f>IFERROR(__xludf.DUMMYFUNCTION("""COMPUTED_VALUE"""),"ArcCorp 07")</f>
        <v>ArcCorp 07</v>
      </c>
      <c r="C87" s="1" t="str">
        <f>IFERROR(__xludf.DUMMYFUNCTION("""COMPUTED_VALUE"""),"ArcCorp 12")</f>
        <v>ArcCorp 12</v>
      </c>
      <c r="D87" s="1" t="str">
        <f>IFERROR(__xludf.DUMMYFUNCTION("""COMPUTED_VALUE"""),"Area 06")</f>
        <v>Area 06</v>
      </c>
      <c r="E87" s="30" t="str">
        <f>IFERROR(__xludf.DUMMYFUNCTION("""COMPUTED_VALUE"""),"Area 06")</f>
        <v>Area 06</v>
      </c>
      <c r="F87" s="10">
        <f>IFERROR(__xludf.DUMMYFUNCTION("""COMPUTED_VALUE"""),-745.806098015556)</f>
        <v>-745.806098015556</v>
      </c>
      <c r="G87" s="10">
        <f>IFERROR(__xludf.DUMMYFUNCTION("""COMPUTED_VALUE"""),-111.306101015363)</f>
        <v>-111.306101015363</v>
      </c>
      <c r="H87" s="10">
        <f>IFERROR(__xludf.DUMMYFUNCTION("""COMPUTED_VALUE"""),267.379807230525)</f>
        <v>267.379807230525</v>
      </c>
      <c r="I87" s="13"/>
      <c r="J87" s="13"/>
      <c r="K87" s="13"/>
      <c r="L87" s="13"/>
      <c r="M87" s="1" t="b">
        <f>IFERROR(__xludf.DUMMYFUNCTION("""COMPUTED_VALUE"""),TRUE)</f>
        <v>1</v>
      </c>
      <c r="N87" s="10">
        <f>IFERROR(__xludf.DUMMYFUNCTION("""COMPUTED_VALUE"""),0)</f>
        <v>0</v>
      </c>
      <c r="O87" s="10">
        <f>IFERROR(__xludf.DUMMYFUNCTION("""COMPUTED_VALUE"""),0)</f>
        <v>0</v>
      </c>
      <c r="P87" s="10"/>
      <c r="Q87" s="30"/>
      <c r="R87" s="18"/>
      <c r="S87" s="19"/>
      <c r="T87" s="10"/>
      <c r="U87" s="10"/>
      <c r="V87" s="10"/>
      <c r="W87" s="10"/>
      <c r="X87" s="19"/>
      <c r="Y87" s="1"/>
      <c r="Z87" s="1"/>
      <c r="AA87" s="1"/>
    </row>
    <row r="88" customHeight="1" spans="1:27">
      <c r="A88" s="1" t="str">
        <f>IFERROR(__xludf.DUMMYFUNCTION("""COMPUTED_VALUE"""),"ArcCorp 06")</f>
        <v>ArcCorp 06</v>
      </c>
      <c r="B88" s="1" t="str">
        <f>IFERROR(__xludf.DUMMYFUNCTION("""COMPUTED_VALUE"""),"ArcCorp 08")</f>
        <v>ArcCorp 08</v>
      </c>
      <c r="C88" s="1" t="str">
        <f>IFERROR(__xludf.DUMMYFUNCTION("""COMPUTED_VALUE"""),"ArcCorp 03")</f>
        <v>ArcCorp 03</v>
      </c>
      <c r="D88" s="1" t="str">
        <f>IFERROR(__xludf.DUMMYFUNCTION("""COMPUTED_VALUE"""),"Area 11")</f>
        <v>Area 11</v>
      </c>
      <c r="E88" s="30" t="str">
        <f>IFERROR(__xludf.DUMMYFUNCTION("""COMPUTED_VALUE"""),"Area 11")</f>
        <v>Area 11</v>
      </c>
      <c r="F88" s="10">
        <f>IFERROR(__xludf.DUMMYFUNCTION("""COMPUTED_VALUE"""),508.203690113667)</f>
        <v>508.203690113667</v>
      </c>
      <c r="G88" s="10">
        <f>IFERROR(__xludf.DUMMYFUNCTION("""COMPUTED_VALUE"""),397.589314300851)</f>
        <v>397.589314300851</v>
      </c>
      <c r="H88" s="10">
        <f>IFERROR(__xludf.DUMMYFUNCTION("""COMPUTED_VALUE"""),472.921663609141)</f>
        <v>472.921663609141</v>
      </c>
      <c r="I88" s="13"/>
      <c r="J88" s="13"/>
      <c r="K88" s="13"/>
      <c r="L88" s="13"/>
      <c r="M88" s="1" t="b">
        <f>IFERROR(__xludf.DUMMYFUNCTION("""COMPUTED_VALUE"""),TRUE)</f>
        <v>1</v>
      </c>
      <c r="N88" s="10">
        <f>IFERROR(__xludf.DUMMYFUNCTION("""COMPUTED_VALUE"""),0)</f>
        <v>0</v>
      </c>
      <c r="O88" s="10">
        <f>IFERROR(__xludf.DUMMYFUNCTION("""COMPUTED_VALUE"""),0)</f>
        <v>0</v>
      </c>
      <c r="P88" s="10"/>
      <c r="Q88" s="30"/>
      <c r="R88" s="18"/>
      <c r="S88" s="19"/>
      <c r="T88" s="10"/>
      <c r="U88" s="10"/>
      <c r="V88" s="10"/>
      <c r="W88" s="10"/>
      <c r="X88" s="19"/>
      <c r="Y88" s="1"/>
      <c r="Z88" s="1"/>
      <c r="AA88" s="1"/>
    </row>
    <row r="89" customHeight="1" spans="1:27">
      <c r="A89" s="1" t="str">
        <f>IFERROR(__xludf.DUMMYFUNCTION("""COMPUTED_VALUE"""),"ArcCorp 07")</f>
        <v>ArcCorp 07</v>
      </c>
      <c r="B89" s="1" t="str">
        <f>IFERROR(__xludf.DUMMYFUNCTION("""COMPUTED_VALUE"""),"ArcCorp 09")</f>
        <v>ArcCorp 09</v>
      </c>
      <c r="C89" s="1" t="str">
        <f>IFERROR(__xludf.DUMMYFUNCTION("""COMPUTED_VALUE"""),"ArcCorp 07")</f>
        <v>ArcCorp 07</v>
      </c>
      <c r="D89" s="1" t="str">
        <f>IFERROR(__xludf.DUMMYFUNCTION("""COMPUTED_VALUE"""),"Area 17")</f>
        <v>Area 17</v>
      </c>
      <c r="E89" s="30" t="str">
        <f>IFERROR(__xludf.DUMMYFUNCTION("""COMPUTED_VALUE"""),"Area 17")</f>
        <v>Area 17</v>
      </c>
      <c r="F89" s="10">
        <f>IFERROR(__xludf.DUMMYFUNCTION("""COMPUTED_VALUE"""),-310.289620619919)</f>
        <v>-310.289620619919</v>
      </c>
      <c r="G89" s="10">
        <f>IFERROR(__xludf.DUMMYFUNCTION("""COMPUTED_VALUE"""),-601.810944957003)</f>
        <v>-601.810944957003</v>
      </c>
      <c r="H89" s="10">
        <f>IFERROR(__xludf.DUMMYFUNCTION("""COMPUTED_VALUE"""),-425.980479792219)</f>
        <v>-425.980479792219</v>
      </c>
      <c r="I89" s="13"/>
      <c r="J89" s="13"/>
      <c r="K89" s="13"/>
      <c r="L89" s="13"/>
      <c r="M89" s="1" t="b">
        <f>IFERROR(__xludf.DUMMYFUNCTION("""COMPUTED_VALUE"""),TRUE)</f>
        <v>1</v>
      </c>
      <c r="N89" s="10">
        <f>IFERROR(__xludf.DUMMYFUNCTION("""COMPUTED_VALUE"""),0)</f>
        <v>0</v>
      </c>
      <c r="O89" s="10">
        <f>IFERROR(__xludf.DUMMYFUNCTION("""COMPUTED_VALUE"""),0)</f>
        <v>0</v>
      </c>
      <c r="P89" s="10"/>
      <c r="Q89" s="30"/>
      <c r="R89" s="18"/>
      <c r="S89" s="19"/>
      <c r="T89" s="10"/>
      <c r="U89" s="10"/>
      <c r="V89" s="10"/>
      <c r="W89" s="10"/>
      <c r="X89" s="19"/>
      <c r="Y89" s="1"/>
      <c r="Z89" s="1"/>
      <c r="AA89" s="1"/>
    </row>
    <row r="90" customHeight="1" spans="1:27">
      <c r="A90" s="1" t="str">
        <f>IFERROR(__xludf.DUMMYFUNCTION("""COMPUTED_VALUE"""),"ArcCorp 08")</f>
        <v>ArcCorp 08</v>
      </c>
      <c r="B90" s="1" t="str">
        <f>IFERROR(__xludf.DUMMYFUNCTION("""COMPUTED_VALUE"""),"ArcCorp 10")</f>
        <v>ArcCorp 10</v>
      </c>
      <c r="C90" s="1" t="str">
        <f>IFERROR(__xludf.DUMMYFUNCTION("""COMPUTED_VALUE"""),"ArcCorp 02")</f>
        <v>ArcCorp 02</v>
      </c>
      <c r="D90" s="1" t="str">
        <f>IFERROR(__xludf.DUMMYFUNCTION("""COMPUTED_VALUE"""),"Area 20")</f>
        <v>Area 20</v>
      </c>
      <c r="E90" s="1" t="str">
        <f>IFERROR(__xludf.DUMMYFUNCTION("""COMPUTED_VALUE"""),"Area 20")</f>
        <v>Area 20</v>
      </c>
      <c r="F90" s="2">
        <f>IFERROR(__xludf.DUMMYFUNCTION("""COMPUTED_VALUE"""),506.936537780362)</f>
        <v>506.936537780362</v>
      </c>
      <c r="G90" s="2">
        <f>IFERROR(__xludf.DUMMYFUNCTION("""COMPUTED_VALUE"""),401.103654273606)</f>
        <v>401.103654273606</v>
      </c>
      <c r="H90" s="2">
        <f>IFERROR(__xludf.DUMMYFUNCTION("""COMPUTED_VALUE"""),-471.307950960836)</f>
        <v>-471.307950960836</v>
      </c>
      <c r="I90" s="1"/>
      <c r="J90" s="1"/>
      <c r="K90" s="1"/>
      <c r="L90" s="1"/>
      <c r="M90" s="1" t="b">
        <f>IFERROR(__xludf.DUMMYFUNCTION("""COMPUTED_VALUE"""),TRUE)</f>
        <v>1</v>
      </c>
      <c r="N90" s="2">
        <f>IFERROR(__xludf.DUMMYFUNCTION("""COMPUTED_VALUE"""),0)</f>
        <v>0</v>
      </c>
      <c r="O90" s="2">
        <f>IFERROR(__xludf.DUMMYFUNCTION("""COMPUTED_VALUE"""),0)</f>
        <v>0</v>
      </c>
      <c r="P90" s="1"/>
      <c r="Q90" s="1"/>
      <c r="R90" s="1"/>
      <c r="S90" s="1"/>
      <c r="T90" s="1"/>
      <c r="U90" s="1"/>
      <c r="V90" s="1"/>
      <c r="W90" s="1"/>
      <c r="X90" s="1"/>
      <c r="Y90" s="1"/>
      <c r="Z90" s="1"/>
      <c r="AA90" s="1"/>
    </row>
    <row r="91" customHeight="1" spans="1:27">
      <c r="A91" s="1" t="str">
        <f>IFERROR(__xludf.DUMMYFUNCTION("""COMPUTED_VALUE"""),"ArcCorp")</f>
        <v>ArcCorp</v>
      </c>
      <c r="B91" s="1" t="str">
        <f>IFERROR(__xludf.DUMMYFUNCTION("""COMPUTED_VALUE"""),"ArcCorp 12")</f>
        <v>ArcCorp 12</v>
      </c>
      <c r="C91" s="1"/>
      <c r="D91" s="1" t="str">
        <f>IFERROR(__xludf.DUMMYFUNCTION("""COMPUTED_VALUE"""),"Racetracks")</f>
        <v>Racetracks</v>
      </c>
      <c r="E91" s="30"/>
      <c r="F91" s="10"/>
      <c r="G91" s="10"/>
      <c r="H91" s="10"/>
      <c r="I91" s="13"/>
      <c r="J91" s="13"/>
      <c r="K91" s="13"/>
      <c r="L91" s="13"/>
      <c r="M91" s="1"/>
      <c r="N91" s="10"/>
      <c r="O91" s="10"/>
      <c r="P91" s="10"/>
      <c r="Q91" s="30"/>
      <c r="R91" s="18"/>
      <c r="S91" s="19"/>
      <c r="T91" s="10"/>
      <c r="U91" s="10"/>
      <c r="V91" s="10"/>
      <c r="W91" s="10"/>
      <c r="X91" s="19"/>
      <c r="Y91" s="1"/>
      <c r="Z91" s="1"/>
      <c r="AA91" s="1"/>
    </row>
    <row r="92" customHeight="1" spans="1:27">
      <c r="A92" s="1" t="str">
        <f>IFERROR(__xludf.DUMMYFUNCTION("""COMPUTED_VALUE"""),"ArcCorp 03")</f>
        <v>ArcCorp 03</v>
      </c>
      <c r="B92" s="1" t="str">
        <f>IFERROR(__xludf.DUMMYFUNCTION("""COMPUTED_VALUE"""),"ArcCorp 13")</f>
        <v>ArcCorp 13</v>
      </c>
      <c r="C92" s="1" t="str">
        <f>IFERROR(__xludf.DUMMYFUNCTION("""COMPUTED_VALUE"""),"ArcCorp 10")</f>
        <v>ArcCorp 10</v>
      </c>
      <c r="D92" s="1" t="str">
        <f>IFERROR(__xludf.DUMMYFUNCTION("""COMPUTED_VALUE"""),"The Sky Scraper")</f>
        <v>The Sky Scraper</v>
      </c>
      <c r="E92" s="30" t="str">
        <f>IFERROR(__xludf.DUMMYFUNCTION("""COMPUTED_VALUE"""),"SkyScraper")</f>
        <v>SkyScraper</v>
      </c>
      <c r="F92" s="10">
        <f>IFERROR(__xludf.DUMMYFUNCTION("""COMPUTED_VALUE"""),-746.272)</f>
        <v>-746.272</v>
      </c>
      <c r="G92" s="10">
        <f>IFERROR(__xludf.DUMMYFUNCTION("""COMPUTED_VALUE"""),-155.436)</f>
        <v>-155.436</v>
      </c>
      <c r="H92" s="10">
        <f>IFERROR(__xludf.DUMMYFUNCTION("""COMPUTED_VALUE"""),-245.264)</f>
        <v>-245.264</v>
      </c>
      <c r="I92" s="13"/>
      <c r="J92" s="13"/>
      <c r="K92" s="13"/>
      <c r="L92" s="13"/>
      <c r="M92" s="1" t="b">
        <f>IFERROR(__xludf.DUMMYFUNCTION("""COMPUTED_VALUE"""),TRUE)</f>
        <v>1</v>
      </c>
      <c r="N92" s="10">
        <f>IFERROR(__xludf.DUMMYFUNCTION("""COMPUTED_VALUE"""),0)</f>
        <v>0</v>
      </c>
      <c r="O92" s="10">
        <f>IFERROR(__xludf.DUMMYFUNCTION("""COMPUTED_VALUE"""),0)</f>
        <v>0</v>
      </c>
      <c r="P92" s="10"/>
      <c r="Q92" s="30"/>
      <c r="R92" s="18"/>
      <c r="S92" s="19"/>
      <c r="T92" s="10"/>
      <c r="U92" s="10"/>
      <c r="V92" s="10"/>
      <c r="W92" s="10"/>
      <c r="X92" s="19"/>
      <c r="Y92" s="1"/>
      <c r="Z92" s="1"/>
      <c r="AA92" s="1"/>
    </row>
    <row r="93" customHeight="1" spans="1:27">
      <c r="A93" s="1" t="str">
        <f>IFERROR(__xludf.DUMMYFUNCTION("""COMPUTED_VALUE"""),"ArcCorp")</f>
        <v>ArcCorp</v>
      </c>
      <c r="B93" s="1" t="str">
        <f>IFERROR(__xludf.DUMMYFUNCTION("""COMPUTED_VALUE"""),"ArcCorp 15")</f>
        <v>ArcCorp 15</v>
      </c>
      <c r="C93" s="1"/>
      <c r="D93" s="1" t="str">
        <f>IFERROR(__xludf.DUMMYFUNCTION("""COMPUTED_VALUE"""),"Comm Array")</f>
        <v>Comm Array</v>
      </c>
      <c r="E93" s="30"/>
      <c r="F93" s="10"/>
      <c r="G93" s="10"/>
      <c r="H93" s="10"/>
      <c r="I93" s="13"/>
      <c r="J93" s="13"/>
      <c r="K93" s="13"/>
      <c r="L93" s="13"/>
      <c r="M93" s="1"/>
      <c r="N93" s="10"/>
      <c r="O93" s="10"/>
      <c r="P93" s="10"/>
      <c r="Q93" s="30"/>
      <c r="R93" s="18"/>
      <c r="S93" s="19"/>
      <c r="T93" s="10"/>
      <c r="U93" s="10"/>
      <c r="V93" s="10"/>
      <c r="W93" s="10"/>
      <c r="X93" s="19"/>
      <c r="Y93" s="1"/>
      <c r="Z93" s="1"/>
      <c r="AA93" s="1"/>
    </row>
    <row r="94" customHeight="1" spans="1:27">
      <c r="A94" s="1" t="str">
        <f>IFERROR(__xludf.DUMMYFUNCTION("""COMPUTED_VALUE"""),"ArcCorp 09")</f>
        <v>ArcCorp 09</v>
      </c>
      <c r="B94" s="1" t="str">
        <f>IFERROR(__xludf.DUMMYFUNCTION("""COMPUTED_VALUE"""),"ArcCorp 16")</f>
        <v>ArcCorp 16</v>
      </c>
      <c r="C94" s="1" t="str">
        <f>IFERROR(__xludf.DUMMYFUNCTION("""COMPUTED_VALUE"""),"ArcCorp 05")</f>
        <v>ArcCorp 05</v>
      </c>
      <c r="D94" s="1" t="str">
        <f>IFERROR(__xludf.DUMMYFUNCTION("""COMPUTED_VALUE"""),"Comm Array ST3-90")</f>
        <v>Comm Array ST3-90</v>
      </c>
      <c r="E94" s="30" t="str">
        <f>IFERROR(__xludf.DUMMYFUNCTION("""COMPUTED_VALUE"""),"ST3-90")</f>
        <v>ST3-90</v>
      </c>
      <c r="F94" s="10">
        <f>IFERROR(__xludf.DUMMYFUNCTION("""COMPUTED_VALUE"""),758.384130001068)</f>
        <v>758.384130001068</v>
      </c>
      <c r="G94" s="10">
        <f>IFERROR(__xludf.DUMMYFUNCTION("""COMPUTED_VALUE"""),-636.359991600037)</f>
        <v>-636.359991600037</v>
      </c>
      <c r="H94" s="10">
        <f>IFERROR(__xludf.DUMMYFUNCTION("""COMPUTED_VALUE"""),24)</f>
        <v>24</v>
      </c>
      <c r="I94" s="13"/>
      <c r="J94" s="13"/>
      <c r="K94" s="13"/>
      <c r="L94" s="13"/>
      <c r="M94" s="1" t="b">
        <f>IFERROR(__xludf.DUMMYFUNCTION("""COMPUTED_VALUE"""),TRUE)</f>
        <v>1</v>
      </c>
      <c r="N94" s="10">
        <f>IFERROR(__xludf.DUMMYFUNCTION("""COMPUTED_VALUE"""),0)</f>
        <v>0</v>
      </c>
      <c r="O94" s="10">
        <f>IFERROR(__xludf.DUMMYFUNCTION("""COMPUTED_VALUE"""),0)</f>
        <v>0</v>
      </c>
      <c r="P94" s="10"/>
      <c r="Q94" s="30"/>
      <c r="R94" s="18"/>
      <c r="S94" s="19"/>
      <c r="T94" s="10"/>
      <c r="U94" s="10"/>
      <c r="V94" s="10"/>
      <c r="W94" s="10"/>
      <c r="X94" s="19"/>
      <c r="Y94" s="1"/>
      <c r="Z94" s="1"/>
      <c r="AA94" s="1"/>
    </row>
    <row r="95" customHeight="1" spans="1:27">
      <c r="A95" s="1"/>
      <c r="B95" s="1"/>
      <c r="C95" s="1"/>
      <c r="D95" s="1"/>
      <c r="E95" s="30"/>
      <c r="F95" s="10"/>
      <c r="G95" s="10"/>
      <c r="H95" s="10"/>
      <c r="I95" s="13"/>
      <c r="J95" s="13"/>
      <c r="K95" s="13"/>
      <c r="L95" s="13"/>
      <c r="M95" s="1"/>
      <c r="N95" s="10"/>
      <c r="O95" s="10"/>
      <c r="P95" s="10"/>
      <c r="Q95" s="30"/>
      <c r="R95" s="18"/>
      <c r="S95" s="19"/>
      <c r="T95" s="10"/>
      <c r="U95" s="10"/>
      <c r="V95" s="10"/>
      <c r="W95" s="10"/>
      <c r="X95" s="19"/>
      <c r="Y95" s="1"/>
      <c r="Z95" s="1"/>
      <c r="AA95" s="1"/>
    </row>
    <row r="96" customHeight="1" spans="1:27">
      <c r="A96" s="1" t="str">
        <f>IFERROR(__xludf.DUMMYFUNCTION("""COMPUTED_VALUE"""),"Arial R01")</f>
        <v>Arial R01</v>
      </c>
      <c r="B96" s="1" t="str">
        <f>IFERROR(__xludf.DUMMYFUNCTION("""COMPUTED_VALUE"""),"Arial 14")</f>
        <v>Arial 14</v>
      </c>
      <c r="C96" s="1"/>
      <c r="D96" s="1" t="str">
        <f>IFERROR(__xludf.DUMMYFUNCTION("""COMPUTED_VALUE"""),"OM-1")</f>
        <v>OM-1</v>
      </c>
      <c r="E96" s="30" t="str">
        <f>IFERROR(__xludf.DUMMYFUNCTION("""COMPUTED_VALUE"""),"OM1")</f>
        <v>OM1</v>
      </c>
      <c r="F96" s="10">
        <f>IFERROR(__xludf.DUMMYFUNCTION("""COMPUTED_VALUE"""),0)</f>
        <v>0</v>
      </c>
      <c r="G96" s="10">
        <f>IFERROR(__xludf.DUMMYFUNCTION("""COMPUTED_VALUE"""),0)</f>
        <v>0</v>
      </c>
      <c r="H96" s="10">
        <f>IFERROR(__xludf.DUMMYFUNCTION("""COMPUTED_VALUE"""),501.542)</f>
        <v>501.542</v>
      </c>
      <c r="I96" s="13"/>
      <c r="J96" s="13"/>
      <c r="K96" s="13"/>
      <c r="L96" s="13"/>
      <c r="M96" s="1" t="b">
        <f>IFERROR(__xludf.DUMMYFUNCTION("""COMPUTED_VALUE"""),TRUE)</f>
        <v>1</v>
      </c>
      <c r="N96" s="10">
        <f>IFERROR(__xludf.DUMMYFUNCTION("""COMPUTED_VALUE"""),0)</f>
        <v>0</v>
      </c>
      <c r="O96" s="10">
        <f>IFERROR(__xludf.DUMMYFUNCTION("""COMPUTED_VALUE"""),0)</f>
        <v>0</v>
      </c>
      <c r="P96" s="10"/>
      <c r="Q96" s="30"/>
      <c r="R96" s="18"/>
      <c r="S96" s="19"/>
      <c r="T96" s="10"/>
      <c r="U96" s="10"/>
      <c r="V96" s="10"/>
      <c r="W96" s="10"/>
      <c r="X96" s="19"/>
      <c r="Y96" s="1"/>
      <c r="Z96" s="1"/>
      <c r="AA96" s="1"/>
    </row>
    <row r="97" customHeight="1" spans="1:27">
      <c r="A97" s="1" t="str">
        <f>IFERROR(__xludf.DUMMYFUNCTION("""COMPUTED_VALUE"""),"Arial R02")</f>
        <v>Arial R02</v>
      </c>
      <c r="B97" s="1" t="str">
        <f>IFERROR(__xludf.DUMMYFUNCTION("""COMPUTED_VALUE"""),"Arial 15")</f>
        <v>Arial 15</v>
      </c>
      <c r="C97" s="1"/>
      <c r="D97" s="1" t="str">
        <f>IFERROR(__xludf.DUMMYFUNCTION("""COMPUTED_VALUE"""),"OM-2")</f>
        <v>OM-2</v>
      </c>
      <c r="E97" s="30" t="str">
        <f>IFERROR(__xludf.DUMMYFUNCTION("""COMPUTED_VALUE"""),"OM2")</f>
        <v>OM2</v>
      </c>
      <c r="F97" s="10">
        <f>IFERROR(__xludf.DUMMYFUNCTION("""COMPUTED_VALUE"""),0)</f>
        <v>0</v>
      </c>
      <c r="G97" s="10">
        <f>IFERROR(__xludf.DUMMYFUNCTION("""COMPUTED_VALUE"""),0)</f>
        <v>0</v>
      </c>
      <c r="H97" s="10">
        <f>IFERROR(__xludf.DUMMYFUNCTION("""COMPUTED_VALUE"""),-501.542)</f>
        <v>-501.542</v>
      </c>
      <c r="I97" s="13"/>
      <c r="J97" s="13"/>
      <c r="K97" s="13"/>
      <c r="L97" s="13"/>
      <c r="M97" s="1" t="b">
        <f>IFERROR(__xludf.DUMMYFUNCTION("""COMPUTED_VALUE"""),TRUE)</f>
        <v>1</v>
      </c>
      <c r="N97" s="10">
        <f>IFERROR(__xludf.DUMMYFUNCTION("""COMPUTED_VALUE"""),0)</f>
        <v>0</v>
      </c>
      <c r="O97" s="10">
        <f>IFERROR(__xludf.DUMMYFUNCTION("""COMPUTED_VALUE"""),0)</f>
        <v>0</v>
      </c>
      <c r="P97" s="10"/>
      <c r="Q97" s="30"/>
      <c r="R97" s="18"/>
      <c r="S97" s="19"/>
      <c r="T97" s="10"/>
      <c r="U97" s="10"/>
      <c r="V97" s="10"/>
      <c r="W97" s="10"/>
      <c r="X97" s="19"/>
      <c r="Y97" s="1"/>
      <c r="Z97" s="1"/>
      <c r="AA97" s="1"/>
    </row>
    <row r="98" customHeight="1" spans="1:27">
      <c r="A98" s="1" t="str">
        <f>IFERROR(__xludf.DUMMYFUNCTION("""COMPUTED_VALUE"""),"Arial R03")</f>
        <v>Arial R03</v>
      </c>
      <c r="B98" s="1" t="str">
        <f>IFERROR(__xludf.DUMMYFUNCTION("""COMPUTED_VALUE"""),"Arial 16")</f>
        <v>Arial 16</v>
      </c>
      <c r="C98" s="1" t="str">
        <f>IFERROR(__xludf.DUMMYFUNCTION("""COMPUTED_VALUE"""),"Arial 03")</f>
        <v>Arial 03</v>
      </c>
      <c r="D98" s="1" t="str">
        <f>IFERROR(__xludf.DUMMYFUNCTION("""COMPUTED_VALUE"""),"OM-3")</f>
        <v>OM-3</v>
      </c>
      <c r="E98" s="30" t="str">
        <f>IFERROR(__xludf.DUMMYFUNCTION("""COMPUTED_VALUE"""),"OM3")</f>
        <v>OM3</v>
      </c>
      <c r="F98" s="10">
        <f>IFERROR(__xludf.DUMMYFUNCTION("""COMPUTED_VALUE"""),0)</f>
        <v>0</v>
      </c>
      <c r="G98" s="10">
        <f>IFERROR(__xludf.DUMMYFUNCTION("""COMPUTED_VALUE"""),501.542)</f>
        <v>501.542</v>
      </c>
      <c r="H98" s="10">
        <f>IFERROR(__xludf.DUMMYFUNCTION("""COMPUTED_VALUE"""),0)</f>
        <v>0</v>
      </c>
      <c r="I98" s="13"/>
      <c r="J98" s="13"/>
      <c r="K98" s="13"/>
      <c r="L98" s="13"/>
      <c r="M98" s="1" t="b">
        <f>IFERROR(__xludf.DUMMYFUNCTION("""COMPUTED_VALUE"""),TRUE)</f>
        <v>1</v>
      </c>
      <c r="N98" s="10">
        <f>IFERROR(__xludf.DUMMYFUNCTION("""COMPUTED_VALUE"""),0)</f>
        <v>0</v>
      </c>
      <c r="O98" s="10">
        <f>IFERROR(__xludf.DUMMYFUNCTION("""COMPUTED_VALUE"""),0)</f>
        <v>0</v>
      </c>
      <c r="P98" s="10"/>
      <c r="Q98" s="30"/>
      <c r="R98" s="18"/>
      <c r="S98" s="19"/>
      <c r="T98" s="10"/>
      <c r="U98" s="10"/>
      <c r="V98" s="10"/>
      <c r="W98" s="10"/>
      <c r="X98" s="19"/>
      <c r="Y98" s="1"/>
      <c r="Z98" s="1"/>
      <c r="AA98" s="1"/>
    </row>
    <row r="99" customHeight="1" spans="1:27">
      <c r="A99" s="1" t="str">
        <f>IFERROR(__xludf.DUMMYFUNCTION("""COMPUTED_VALUE"""),"Arial R04")</f>
        <v>Arial R04</v>
      </c>
      <c r="B99" s="1" t="str">
        <f>IFERROR(__xludf.DUMMYFUNCTION("""COMPUTED_VALUE"""),"Arial 17")</f>
        <v>Arial 17</v>
      </c>
      <c r="C99" s="1" t="str">
        <f>IFERROR(__xludf.DUMMYFUNCTION("""COMPUTED_VALUE"""),"Arial 10")</f>
        <v>Arial 10</v>
      </c>
      <c r="D99" s="1" t="str">
        <f>IFERROR(__xludf.DUMMYFUNCTION("""COMPUTED_VALUE"""),"OM-4")</f>
        <v>OM-4</v>
      </c>
      <c r="E99" s="30" t="str">
        <f>IFERROR(__xludf.DUMMYFUNCTION("""COMPUTED_VALUE"""),"OM4")</f>
        <v>OM4</v>
      </c>
      <c r="F99" s="10">
        <f>IFERROR(__xludf.DUMMYFUNCTION("""COMPUTED_VALUE"""),0)</f>
        <v>0</v>
      </c>
      <c r="G99" s="10">
        <f>IFERROR(__xludf.DUMMYFUNCTION("""COMPUTED_VALUE"""),-501.542)</f>
        <v>-501.542</v>
      </c>
      <c r="H99" s="10">
        <f>IFERROR(__xludf.DUMMYFUNCTION("""COMPUTED_VALUE"""),0)</f>
        <v>0</v>
      </c>
      <c r="I99" s="13"/>
      <c r="J99" s="13"/>
      <c r="K99" s="13"/>
      <c r="L99" s="13"/>
      <c r="M99" s="1" t="b">
        <f>IFERROR(__xludf.DUMMYFUNCTION("""COMPUTED_VALUE"""),TRUE)</f>
        <v>1</v>
      </c>
      <c r="N99" s="10">
        <f>IFERROR(__xludf.DUMMYFUNCTION("""COMPUTED_VALUE"""),0)</f>
        <v>0</v>
      </c>
      <c r="O99" s="10">
        <f>IFERROR(__xludf.DUMMYFUNCTION("""COMPUTED_VALUE"""),0)</f>
        <v>0</v>
      </c>
      <c r="P99" s="10"/>
      <c r="Q99" s="30"/>
      <c r="R99" s="18"/>
      <c r="S99" s="19"/>
      <c r="T99" s="10"/>
      <c r="U99" s="10"/>
      <c r="V99" s="10"/>
      <c r="W99" s="10"/>
      <c r="X99" s="19"/>
      <c r="Y99" s="1"/>
      <c r="Z99" s="1"/>
      <c r="AA99" s="1"/>
    </row>
    <row r="100" customHeight="1" spans="1:27">
      <c r="A100" s="1" t="str">
        <f>IFERROR(__xludf.DUMMYFUNCTION("""COMPUTED_VALUE"""),"Arial R05")</f>
        <v>Arial R05</v>
      </c>
      <c r="B100" s="1" t="str">
        <f>IFERROR(__xludf.DUMMYFUNCTION("""COMPUTED_VALUE"""),"Arial 18")</f>
        <v>Arial 18</v>
      </c>
      <c r="C100" s="1" t="str">
        <f>IFERROR(__xludf.DUMMYFUNCTION("""COMPUTED_VALUE"""),"Arial 05")</f>
        <v>Arial 05</v>
      </c>
      <c r="D100" s="1" t="str">
        <f>IFERROR(__xludf.DUMMYFUNCTION("""COMPUTED_VALUE"""),"OM-5")</f>
        <v>OM-5</v>
      </c>
      <c r="E100" s="30" t="str">
        <f>IFERROR(__xludf.DUMMYFUNCTION("""COMPUTED_VALUE"""),"OM5")</f>
        <v>OM5</v>
      </c>
      <c r="F100" s="10">
        <f>IFERROR(__xludf.DUMMYFUNCTION("""COMPUTED_VALUE"""),501.542)</f>
        <v>501.542</v>
      </c>
      <c r="G100" s="10">
        <f>IFERROR(__xludf.DUMMYFUNCTION("""COMPUTED_VALUE"""),0)</f>
        <v>0</v>
      </c>
      <c r="H100" s="10">
        <f>IFERROR(__xludf.DUMMYFUNCTION("""COMPUTED_VALUE"""),0)</f>
        <v>0</v>
      </c>
      <c r="I100" s="13"/>
      <c r="J100" s="13"/>
      <c r="K100" s="13"/>
      <c r="L100" s="13"/>
      <c r="M100" s="1" t="b">
        <f>IFERROR(__xludf.DUMMYFUNCTION("""COMPUTED_VALUE"""),TRUE)</f>
        <v>1</v>
      </c>
      <c r="N100" s="10">
        <f>IFERROR(__xludf.DUMMYFUNCTION("""COMPUTED_VALUE"""),0)</f>
        <v>0</v>
      </c>
      <c r="O100" s="10">
        <f>IFERROR(__xludf.DUMMYFUNCTION("""COMPUTED_VALUE"""),0)</f>
        <v>0</v>
      </c>
      <c r="P100" s="10"/>
      <c r="Q100" s="30"/>
      <c r="R100" s="18"/>
      <c r="S100" s="19"/>
      <c r="T100" s="10"/>
      <c r="U100" s="10"/>
      <c r="V100" s="10"/>
      <c r="W100" s="10"/>
      <c r="X100" s="19"/>
      <c r="Y100" s="1"/>
      <c r="Z100" s="1"/>
      <c r="AA100" s="1"/>
    </row>
    <row r="101" customHeight="1" spans="1:27">
      <c r="A101" s="1" t="str">
        <f>IFERROR(__xludf.DUMMYFUNCTION("""COMPUTED_VALUE"""),"Arial R06")</f>
        <v>Arial R06</v>
      </c>
      <c r="B101" s="1" t="str">
        <f>IFERROR(__xludf.DUMMYFUNCTION("""COMPUTED_VALUE"""),"Arial 19")</f>
        <v>Arial 19</v>
      </c>
      <c r="C101" s="1" t="str">
        <f>IFERROR(__xludf.DUMMYFUNCTION("""COMPUTED_VALUE"""),"Arial 12")</f>
        <v>Arial 12</v>
      </c>
      <c r="D101" s="1" t="str">
        <f>IFERROR(__xludf.DUMMYFUNCTION("""COMPUTED_VALUE"""),"OM-6")</f>
        <v>OM-6</v>
      </c>
      <c r="E101" s="30" t="str">
        <f>IFERROR(__xludf.DUMMYFUNCTION("""COMPUTED_VALUE"""),"OM6")</f>
        <v>OM6</v>
      </c>
      <c r="F101" s="10">
        <f>IFERROR(__xludf.DUMMYFUNCTION("""COMPUTED_VALUE"""),-501.542)</f>
        <v>-501.542</v>
      </c>
      <c r="G101" s="10">
        <f>IFERROR(__xludf.DUMMYFUNCTION("""COMPUTED_VALUE"""),0)</f>
        <v>0</v>
      </c>
      <c r="H101" s="10">
        <f>IFERROR(__xludf.DUMMYFUNCTION("""COMPUTED_VALUE"""),0)</f>
        <v>0</v>
      </c>
      <c r="I101" s="13"/>
      <c r="J101" s="13"/>
      <c r="K101" s="13"/>
      <c r="L101" s="13"/>
      <c r="M101" s="1" t="b">
        <f>IFERROR(__xludf.DUMMYFUNCTION("""COMPUTED_VALUE"""),TRUE)</f>
        <v>1</v>
      </c>
      <c r="N101" s="10">
        <f>IFERROR(__xludf.DUMMYFUNCTION("""COMPUTED_VALUE"""),0)</f>
        <v>0</v>
      </c>
      <c r="O101" s="10">
        <f>IFERROR(__xludf.DUMMYFUNCTION("""COMPUTED_VALUE"""),0)</f>
        <v>0</v>
      </c>
      <c r="P101" s="10"/>
      <c r="Q101" s="30"/>
      <c r="R101" s="18"/>
      <c r="S101" s="19"/>
      <c r="T101" s="10"/>
      <c r="U101" s="10"/>
      <c r="V101" s="10"/>
      <c r="W101" s="10"/>
      <c r="X101" s="19"/>
      <c r="Y101" s="1"/>
      <c r="Z101" s="1"/>
      <c r="AA101" s="1"/>
    </row>
    <row r="102" customHeight="1" spans="1:27">
      <c r="A102" s="1" t="str">
        <f>IFERROR(__xludf.DUMMYFUNCTION("""COMPUTED_VALUE"""),"Arial")</f>
        <v>Arial</v>
      </c>
      <c r="B102" s="1" t="str">
        <f>IFERROR(__xludf.DUMMYFUNCTION("""COMPUTED_VALUE"""),"Arial 00")</f>
        <v>Arial 00</v>
      </c>
      <c r="C102" s="1"/>
      <c r="D102" s="1" t="str">
        <f>IFERROR(__xludf.DUMMYFUNCTION("""COMPUTED_VALUE"""),"Trading Terminals")</f>
        <v>Trading Terminals</v>
      </c>
      <c r="E102" s="30"/>
      <c r="F102" s="10"/>
      <c r="G102" s="10"/>
      <c r="H102" s="10"/>
      <c r="I102" s="13"/>
      <c r="J102" s="13"/>
      <c r="K102" s="13"/>
      <c r="L102" s="13"/>
      <c r="M102" s="1"/>
      <c r="N102" s="10"/>
      <c r="O102" s="10"/>
      <c r="P102" s="10"/>
      <c r="Q102" s="30"/>
      <c r="R102" s="18"/>
      <c r="S102" s="19"/>
      <c r="T102" s="10"/>
      <c r="U102" s="10"/>
      <c r="V102" s="10"/>
      <c r="W102" s="10"/>
      <c r="X102" s="19"/>
      <c r="Y102" s="1"/>
      <c r="Z102" s="1"/>
      <c r="AA102" s="1"/>
    </row>
    <row r="103" customHeight="1" spans="1:27">
      <c r="A103" s="1" t="str">
        <f>IFERROR(__xludf.DUMMYFUNCTION("""COMPUTED_VALUE"""),"Arial 01")</f>
        <v>Arial 01</v>
      </c>
      <c r="B103" s="1" t="str">
        <f>IFERROR(__xludf.DUMMYFUNCTION("""COMPUTED_VALUE"""),"Arial 01")</f>
        <v>Arial 01</v>
      </c>
      <c r="C103" s="1" t="str">
        <f>IFERROR(__xludf.DUMMYFUNCTION("""COMPUTED_VALUE"""),"Arial 08")</f>
        <v>Arial 08</v>
      </c>
      <c r="D103" s="1" t="str">
        <f>IFERROR(__xludf.DUMMYFUNCTION("""COMPUTED_VALUE"""),"HDMS Bezdek (PB)")</f>
        <v>HDMS Bezdek (PB)</v>
      </c>
      <c r="E103" s="30" t="str">
        <f>IFERROR(__xludf.DUMMYFUNCTION("""COMPUTED_VALUE"""),"Bezdek")</f>
        <v>Bezdek</v>
      </c>
      <c r="F103" s="10">
        <f>IFERROR(__xludf.DUMMYFUNCTION("""COMPUTED_VALUE"""),26.735388974)</f>
        <v>26.735388974</v>
      </c>
      <c r="G103" s="10">
        <f>IFERROR(__xludf.DUMMYFUNCTION("""COMPUTED_VALUE"""),-234.697649360999)</f>
        <v>-234.697649360999</v>
      </c>
      <c r="H103" s="10">
        <f>IFERROR(__xludf.DUMMYFUNCTION("""COMPUTED_VALUE"""),251.505154463)</f>
        <v>251.505154463</v>
      </c>
      <c r="I103" s="13"/>
      <c r="J103" s="13"/>
      <c r="K103" s="13"/>
      <c r="L103" s="13"/>
      <c r="M103" s="1" t="b">
        <f>IFERROR(__xludf.DUMMYFUNCTION("""COMPUTED_VALUE"""),TRUE)</f>
        <v>1</v>
      </c>
      <c r="N103" s="10">
        <f>IFERROR(__xludf.DUMMYFUNCTION("""COMPUTED_VALUE"""),0)</f>
        <v>0</v>
      </c>
      <c r="O103" s="10">
        <f>IFERROR(__xludf.DUMMYFUNCTION("""COMPUTED_VALUE"""),0)</f>
        <v>0</v>
      </c>
      <c r="P103" s="10"/>
      <c r="Q103" s="30"/>
      <c r="R103" s="18"/>
      <c r="S103" s="19"/>
      <c r="T103" s="10"/>
      <c r="U103" s="10"/>
      <c r="V103" s="10"/>
      <c r="W103" s="10"/>
      <c r="X103" s="19"/>
      <c r="Y103" s="1"/>
      <c r="Z103" s="1"/>
      <c r="AA103" s="1"/>
    </row>
    <row r="104" customHeight="1" spans="1:27">
      <c r="A104" s="1" t="str">
        <f>IFERROR(__xludf.DUMMYFUNCTION("""COMPUTED_VALUE"""),"Arial 02")</f>
        <v>Arial 02</v>
      </c>
      <c r="B104" s="1" t="str">
        <f>IFERROR(__xludf.DUMMYFUNCTION("""COMPUTED_VALUE"""),"Arial 02")</f>
        <v>Arial 02</v>
      </c>
      <c r="C104" s="1" t="str">
        <f>IFERROR(__xludf.DUMMYFUNCTION("""COMPUTED_VALUE"""),"Arial 04")</f>
        <v>Arial 04</v>
      </c>
      <c r="D104" s="1" t="str">
        <f>IFERROR(__xludf.DUMMYFUNCTION("""COMPUTED_VALUE"""),"HDMS Lathan (PB)")</f>
        <v>HDMS Lathan (PB)</v>
      </c>
      <c r="E104" s="30" t="str">
        <f>IFERROR(__xludf.DUMMYFUNCTION("""COMPUTED_VALUE"""),"Lathan")</f>
        <v>Lathan</v>
      </c>
      <c r="F104" s="10">
        <f>IFERROR(__xludf.DUMMYFUNCTION("""COMPUTED_VALUE"""),339.192706534)</f>
        <v>339.192706534</v>
      </c>
      <c r="G104" s="10">
        <f>IFERROR(__xludf.DUMMYFUNCTION("""COMPUTED_VALUE"""),33.6857956619999)</f>
        <v>33.6857956619999</v>
      </c>
      <c r="H104" s="10">
        <f>IFERROR(__xludf.DUMMYFUNCTION("""COMPUTED_VALUE"""),55.843185489)</f>
        <v>55.843185489</v>
      </c>
      <c r="I104" s="13"/>
      <c r="J104" s="13"/>
      <c r="K104" s="13"/>
      <c r="L104" s="13"/>
      <c r="M104" s="1" t="b">
        <f>IFERROR(__xludf.DUMMYFUNCTION("""COMPUTED_VALUE"""),TRUE)</f>
        <v>1</v>
      </c>
      <c r="N104" s="10">
        <f>IFERROR(__xludf.DUMMYFUNCTION("""COMPUTED_VALUE"""),0)</f>
        <v>0</v>
      </c>
      <c r="O104" s="10">
        <f>IFERROR(__xludf.DUMMYFUNCTION("""COMPUTED_VALUE"""),0)</f>
        <v>0</v>
      </c>
      <c r="P104" s="10"/>
      <c r="Q104" s="30"/>
      <c r="R104" s="18"/>
      <c r="S104" s="19"/>
      <c r="T104" s="10"/>
      <c r="U104" s="10"/>
      <c r="V104" s="10"/>
      <c r="W104" s="10"/>
      <c r="X104" s="19"/>
      <c r="Y104" s="1"/>
      <c r="Z104" s="1"/>
      <c r="AA104" s="1"/>
    </row>
    <row r="105" customHeight="1" spans="1:27">
      <c r="A105" s="1" t="str">
        <f>IFERROR(__xludf.DUMMYFUNCTION("""COMPUTED_VALUE"""),"Arial")</f>
        <v>Arial</v>
      </c>
      <c r="B105" s="1" t="str">
        <f>IFERROR(__xludf.DUMMYFUNCTION("""COMPUTED_VALUE"""),"Arial 04")</f>
        <v>Arial 04</v>
      </c>
      <c r="C105" s="1"/>
      <c r="D105" s="1" t="str">
        <f>IFERROR(__xludf.DUMMYFUNCTION("""COMPUTED_VALUE"""),"Wrecks")</f>
        <v>Wrecks</v>
      </c>
      <c r="E105" s="30"/>
      <c r="F105" s="10"/>
      <c r="G105" s="10"/>
      <c r="H105" s="10"/>
      <c r="I105" s="13"/>
      <c r="J105" s="13"/>
      <c r="K105" s="13"/>
      <c r="L105" s="13"/>
      <c r="M105" s="1"/>
      <c r="N105" s="10"/>
      <c r="O105" s="10"/>
      <c r="P105" s="10"/>
      <c r="Q105" s="30"/>
      <c r="R105" s="18"/>
      <c r="S105" s="19"/>
      <c r="T105" s="10"/>
      <c r="U105" s="10"/>
      <c r="V105" s="10"/>
      <c r="W105" s="10"/>
      <c r="X105" s="19"/>
      <c r="Y105" s="1"/>
      <c r="Z105" s="1"/>
      <c r="AA105" s="1"/>
    </row>
    <row r="106" customHeight="1" spans="1:27">
      <c r="A106" s="1" t="str">
        <f>IFERROR(__xludf.DUMMYFUNCTION("""COMPUTED_VALUE"""),"Arial 05")</f>
        <v>Arial 05</v>
      </c>
      <c r="B106" s="1" t="str">
        <f>IFERROR(__xludf.DUMMYFUNCTION("""COMPUTED_VALUE"""),"Arial 06")</f>
        <v>Arial 06</v>
      </c>
      <c r="C106" s="1" t="str">
        <f>IFERROR(__xludf.DUMMYFUNCTION("""COMPUTED_VALUE"""),"Arial 09")</f>
        <v>Arial 09</v>
      </c>
      <c r="D106" s="1" t="str">
        <f>IFERROR(__xludf.DUMMYFUNCTION("""COMPUTED_VALUE"""),"Caterpillar Wreck 16T")</f>
        <v>Caterpillar Wreck 16T</v>
      </c>
      <c r="E106" s="30" t="str">
        <f>IFERROR(__xludf.DUMMYFUNCTION("""COMPUTED_VALUE"""),"Caterpillar 16T")</f>
        <v>Caterpillar 16T</v>
      </c>
      <c r="F106" s="10">
        <f>IFERROR(__xludf.DUMMYFUNCTION("""COMPUTED_VALUE"""),21.29)</f>
        <v>21.29</v>
      </c>
      <c r="G106" s="10">
        <f>IFERROR(__xludf.DUMMYFUNCTION("""COMPUTED_VALUE"""),-234.274)</f>
        <v>-234.274</v>
      </c>
      <c r="H106" s="10">
        <f>IFERROR(__xludf.DUMMYFUNCTION("""COMPUTED_VALUE"""),252.404)</f>
        <v>252.404</v>
      </c>
      <c r="I106" s="13"/>
      <c r="J106" s="13"/>
      <c r="K106" s="13"/>
      <c r="L106" s="13"/>
      <c r="M106" s="1" t="b">
        <f>IFERROR(__xludf.DUMMYFUNCTION("""COMPUTED_VALUE"""),FALSE)</f>
        <v>0</v>
      </c>
      <c r="N106" s="10">
        <f>IFERROR(__xludf.DUMMYFUNCTION("""COMPUTED_VALUE"""),0)</f>
        <v>0</v>
      </c>
      <c r="O106" s="10">
        <f>IFERROR(__xludf.DUMMYFUNCTION("""COMPUTED_VALUE"""),0)</f>
        <v>0</v>
      </c>
      <c r="P106" s="10"/>
      <c r="Q106" s="30"/>
      <c r="R106" s="18"/>
      <c r="S106" s="19"/>
      <c r="T106" s="10"/>
      <c r="U106" s="10"/>
      <c r="V106" s="10"/>
      <c r="W106" s="10"/>
      <c r="X106" s="19"/>
      <c r="Y106" s="1"/>
      <c r="Z106" s="1"/>
      <c r="AA106" s="1"/>
    </row>
    <row r="107" customHeight="1" spans="1:27">
      <c r="A107" s="1" t="str">
        <f>IFERROR(__xludf.DUMMYFUNCTION("""COMPUTED_VALUE"""),"Arial 04")</f>
        <v>Arial 04</v>
      </c>
      <c r="B107" s="1" t="str">
        <f>IFERROR(__xludf.DUMMYFUNCTION("""COMPUTED_VALUE"""),"Arial 05")</f>
        <v>Arial 05</v>
      </c>
      <c r="C107" s="1" t="str">
        <f>IFERROR(__xludf.DUMMYFUNCTION("""COMPUTED_VALUE"""),"Arial 11")</f>
        <v>Arial 11</v>
      </c>
      <c r="D107" s="1" t="str">
        <f>IFERROR(__xludf.DUMMYFUNCTION("""COMPUTED_VALUE"""),"Caterpillar Wreck 05V")</f>
        <v>Caterpillar Wreck 05V</v>
      </c>
      <c r="E107" s="30" t="str">
        <f>IFERROR(__xludf.DUMMYFUNCTION("""COMPUTED_VALUE"""),"Caterpillar 05V")</f>
        <v>Caterpillar 05V</v>
      </c>
      <c r="F107" s="10">
        <f>IFERROR(__xludf.DUMMYFUNCTION("""COMPUTED_VALUE"""),-140.054254599998)</f>
        <v>-140.054254599998</v>
      </c>
      <c r="G107" s="10">
        <f>IFERROR(__xludf.DUMMYFUNCTION("""COMPUTED_VALUE"""),-74.603768075)</f>
        <v>-74.603768075</v>
      </c>
      <c r="H107" s="10">
        <f>IFERROR(__xludf.DUMMYFUNCTION("""COMPUTED_VALUE"""),306.556197569)</f>
        <v>306.556197569</v>
      </c>
      <c r="I107" s="13"/>
      <c r="J107" s="13"/>
      <c r="K107" s="13"/>
      <c r="L107" s="13"/>
      <c r="M107" s="1" t="b">
        <f>IFERROR(__xludf.DUMMYFUNCTION("""COMPUTED_VALUE"""),FALSE)</f>
        <v>0</v>
      </c>
      <c r="N107" s="10">
        <f>IFERROR(__xludf.DUMMYFUNCTION("""COMPUTED_VALUE"""),0)</f>
        <v>0</v>
      </c>
      <c r="O107" s="10">
        <f>IFERROR(__xludf.DUMMYFUNCTION("""COMPUTED_VALUE"""),0)</f>
        <v>0</v>
      </c>
      <c r="P107" s="10"/>
      <c r="Q107" s="30"/>
      <c r="R107" s="18"/>
      <c r="S107" s="19"/>
      <c r="T107" s="10"/>
      <c r="U107" s="10"/>
      <c r="V107" s="10"/>
      <c r="W107" s="10"/>
      <c r="X107" s="19"/>
      <c r="Y107" s="1"/>
      <c r="Z107" s="1"/>
      <c r="AA107" s="1"/>
    </row>
    <row r="108" customHeight="1" spans="1:27">
      <c r="A108" s="1" t="str">
        <f>IFERROR(__xludf.DUMMYFUNCTION("""COMPUTED_VALUE"""),"Arial 06")</f>
        <v>Arial 06</v>
      </c>
      <c r="B108" s="1" t="str">
        <f>IFERROR(__xludf.DUMMYFUNCTION("""COMPUTED_VALUE"""),"Arial 07")</f>
        <v>Arial 07</v>
      </c>
      <c r="C108" s="1" t="str">
        <f>IFERROR(__xludf.DUMMYFUNCTION("""COMPUTED_VALUE"""),"Arial 06")</f>
        <v>Arial 06</v>
      </c>
      <c r="D108" s="1" t="str">
        <f>IFERROR(__xludf.DUMMYFUNCTION("""COMPUTED_VALUE"""),"Cutlass Wreck")</f>
        <v>Cutlass Wreck</v>
      </c>
      <c r="E108" s="30" t="str">
        <f>IFERROR(__xludf.DUMMYFUNCTION("""COMPUTED_VALUE"""),"Cutlass")</f>
        <v>Cutlass</v>
      </c>
      <c r="F108" s="10">
        <f>IFERROR(__xludf.DUMMYFUNCTION("""COMPUTED_VALUE"""),216.539735167)</f>
        <v>216.539735167</v>
      </c>
      <c r="G108" s="10">
        <f>IFERROR(__xludf.DUMMYFUNCTION("""COMPUTED_VALUE"""),-124.124250453999)</f>
        <v>-124.124250453999</v>
      </c>
      <c r="H108" s="10">
        <f>IFERROR(__xludf.DUMMYFUNCTION("""COMPUTED_VALUE"""),238.388594621)</f>
        <v>238.388594621</v>
      </c>
      <c r="I108" s="13"/>
      <c r="J108" s="13"/>
      <c r="K108" s="13"/>
      <c r="L108" s="13"/>
      <c r="M108" s="1" t="b">
        <f>IFERROR(__xludf.DUMMYFUNCTION("""COMPUTED_VALUE"""),FALSE)</f>
        <v>0</v>
      </c>
      <c r="N108" s="10">
        <f>IFERROR(__xludf.DUMMYFUNCTION("""COMPUTED_VALUE"""),0)</f>
        <v>0</v>
      </c>
      <c r="O108" s="10">
        <f>IFERROR(__xludf.DUMMYFUNCTION("""COMPUTED_VALUE"""),0)</f>
        <v>0</v>
      </c>
      <c r="P108" s="10"/>
      <c r="Q108" s="30"/>
      <c r="R108" s="18"/>
      <c r="S108" s="19"/>
      <c r="T108" s="10"/>
      <c r="U108" s="10"/>
      <c r="V108" s="10"/>
      <c r="W108" s="10"/>
      <c r="X108" s="19"/>
      <c r="Y108" s="1"/>
      <c r="Z108" s="1"/>
      <c r="AA108" s="1"/>
    </row>
    <row r="109" customHeight="1" spans="1:27">
      <c r="A109" s="1" t="str">
        <f>IFERROR(__xludf.DUMMYFUNCTION("""COMPUTED_VALUE"""),"Arial 07")</f>
        <v>Arial 07</v>
      </c>
      <c r="B109" s="1" t="str">
        <f>IFERROR(__xludf.DUMMYFUNCTION("""COMPUTED_VALUE"""),"Arial 08")</f>
        <v>Arial 08</v>
      </c>
      <c r="C109" s="1" t="str">
        <f>IFERROR(__xludf.DUMMYFUNCTION("""COMPUTED_VALUE"""),"Arial 01")</f>
        <v>Arial 01</v>
      </c>
      <c r="D109" s="1" t="str">
        <f>IFERROR(__xludf.DUMMYFUNCTION("""COMPUTED_VALUE"""),"Freelancer Wreck")</f>
        <v>Freelancer Wreck</v>
      </c>
      <c r="E109" s="30" t="str">
        <f>IFERROR(__xludf.DUMMYFUNCTION("""COMPUTED_VALUE"""),"Freelancer")</f>
        <v>Freelancer</v>
      </c>
      <c r="F109" s="10">
        <f>IFERROR(__xludf.DUMMYFUNCTION("""COMPUTED_VALUE"""),-210.193300263)</f>
        <v>-210.193300263</v>
      </c>
      <c r="G109" s="10">
        <f>IFERROR(__xludf.DUMMYFUNCTION("""COMPUTED_VALUE"""),258.977597924)</f>
        <v>258.977597924</v>
      </c>
      <c r="H109" s="10">
        <f>IFERROR(__xludf.DUMMYFUNCTION("""COMPUTED_VALUE"""),-89.4431420669999)</f>
        <v>-89.4431420669999</v>
      </c>
      <c r="I109" s="13"/>
      <c r="J109" s="13"/>
      <c r="K109" s="13"/>
      <c r="L109" s="13"/>
      <c r="M109" s="1" t="b">
        <f>IFERROR(__xludf.DUMMYFUNCTION("""COMPUTED_VALUE"""),FALSE)</f>
        <v>0</v>
      </c>
      <c r="N109" s="10">
        <f>IFERROR(__xludf.DUMMYFUNCTION("""COMPUTED_VALUE"""),0)</f>
        <v>0</v>
      </c>
      <c r="O109" s="10">
        <f>IFERROR(__xludf.DUMMYFUNCTION("""COMPUTED_VALUE"""),0)</f>
        <v>0</v>
      </c>
      <c r="P109" s="10"/>
      <c r="Q109" s="30"/>
      <c r="R109" s="18"/>
      <c r="S109" s="19"/>
      <c r="T109" s="10"/>
      <c r="U109" s="10"/>
      <c r="V109" s="10"/>
      <c r="W109" s="10"/>
      <c r="X109" s="19"/>
      <c r="Y109" s="1"/>
      <c r="Z109" s="1"/>
      <c r="AA109" s="1"/>
    </row>
    <row r="110" customHeight="1" spans="1:27">
      <c r="A110" s="1" t="str">
        <f>IFERROR(__xludf.DUMMYFUNCTION("""COMPUTED_VALUE"""),"Arial 08")</f>
        <v>Arial 08</v>
      </c>
      <c r="B110" s="1" t="str">
        <f>IFERROR(__xludf.DUMMYFUNCTION("""COMPUTED_VALUE"""),"Arial 09")</f>
        <v>Arial 09</v>
      </c>
      <c r="C110" s="1" t="str">
        <f>IFERROR(__xludf.DUMMYFUNCTION("""COMPUTED_VALUE"""),"Arial 07")</f>
        <v>Arial 07</v>
      </c>
      <c r="D110" s="1" t="str">
        <f>IFERROR(__xludf.DUMMYFUNCTION("""COMPUTED_VALUE"""),"Starfarer Wreck")</f>
        <v>Starfarer Wreck</v>
      </c>
      <c r="E110" s="30" t="str">
        <f>IFERROR(__xludf.DUMMYFUNCTION("""COMPUTED_VALUE"""),"Starfarer")</f>
        <v>Starfarer</v>
      </c>
      <c r="F110" s="10">
        <f>IFERROR(__xludf.DUMMYFUNCTION("""COMPUTED_VALUE"""),223.890612681)</f>
        <v>223.890612681</v>
      </c>
      <c r="G110" s="10">
        <f>IFERROR(__xludf.DUMMYFUNCTION("""COMPUTED_VALUE"""),-230.405034652)</f>
        <v>-230.405034652</v>
      </c>
      <c r="H110" s="10">
        <f>IFERROR(__xludf.DUMMYFUNCTION("""COMPUTED_VALUE"""),126.732908121)</f>
        <v>126.732908121</v>
      </c>
      <c r="I110" s="13"/>
      <c r="J110" s="13"/>
      <c r="K110" s="13"/>
      <c r="L110" s="13"/>
      <c r="M110" s="1" t="b">
        <f>IFERROR(__xludf.DUMMYFUNCTION("""COMPUTED_VALUE"""),FALSE)</f>
        <v>0</v>
      </c>
      <c r="N110" s="10">
        <f>IFERROR(__xludf.DUMMYFUNCTION("""COMPUTED_VALUE"""),0)</f>
        <v>0</v>
      </c>
      <c r="O110" s="10">
        <f>IFERROR(__xludf.DUMMYFUNCTION("""COMPUTED_VALUE"""),0)</f>
        <v>0</v>
      </c>
      <c r="P110" s="10"/>
      <c r="Q110" s="30"/>
      <c r="R110" s="18"/>
      <c r="S110" s="19"/>
      <c r="T110" s="10"/>
      <c r="U110" s="10"/>
      <c r="V110" s="10"/>
      <c r="W110" s="10"/>
      <c r="X110" s="19"/>
      <c r="Y110" s="1"/>
      <c r="Z110" s="1"/>
      <c r="AA110" s="1"/>
    </row>
    <row r="111" customHeight="1" spans="1:27">
      <c r="A111" s="1" t="str">
        <f>IFERROR(__xludf.DUMMYFUNCTION("""COMPUTED_VALUE"""),"Arial")</f>
        <v>Arial</v>
      </c>
      <c r="B111" s="1" t="str">
        <f>IFERROR(__xludf.DUMMYFUNCTION("""COMPUTED_VALUE"""),"Arial 11")</f>
        <v>Arial 11</v>
      </c>
      <c r="C111" s="1"/>
      <c r="D111" s="1" t="str">
        <f>IFERROR(__xludf.DUMMYFUNCTION("""COMPUTED_VALUE"""),"Comm Array")</f>
        <v>Comm Array</v>
      </c>
      <c r="E111" s="30"/>
      <c r="F111" s="10"/>
      <c r="G111" s="10"/>
      <c r="H111" s="10"/>
      <c r="I111" s="13"/>
      <c r="J111" s="13"/>
      <c r="K111" s="13"/>
      <c r="L111" s="13"/>
      <c r="M111" s="1"/>
      <c r="N111" s="10"/>
      <c r="O111" s="10"/>
      <c r="P111" s="10"/>
      <c r="Q111" s="30"/>
      <c r="R111" s="18"/>
      <c r="S111" s="19"/>
      <c r="T111" s="10"/>
      <c r="U111" s="10"/>
      <c r="V111" s="10"/>
      <c r="W111" s="10"/>
      <c r="X111" s="19"/>
      <c r="Y111" s="1"/>
      <c r="Z111" s="1"/>
      <c r="AA111" s="1"/>
    </row>
    <row r="112" customHeight="1" spans="1:27">
      <c r="A112" s="1" t="str">
        <f>IFERROR(__xludf.DUMMYFUNCTION("""COMPUTED_VALUE"""),"Arial 03")</f>
        <v>Arial 03</v>
      </c>
      <c r="B112" s="1" t="str">
        <f>IFERROR(__xludf.DUMMYFUNCTION("""COMPUTED_VALUE"""),"Arial 12")</f>
        <v>Arial 12</v>
      </c>
      <c r="C112" s="1" t="str">
        <f>IFERROR(__xludf.DUMMYFUNCTION("""COMPUTED_VALUE"""),"Arial 02")</f>
        <v>Arial 02</v>
      </c>
      <c r="D112" s="1" t="str">
        <f>IFERROR(__xludf.DUMMYFUNCTION("""COMPUTED_VALUE"""),"Comm Array ST1-13")</f>
        <v>Comm Array ST1-13</v>
      </c>
      <c r="E112" s="30" t="str">
        <f>IFERROR(__xludf.DUMMYFUNCTION("""COMPUTED_VALUE"""),"ST1-13")</f>
        <v>ST1-13</v>
      </c>
      <c r="F112" s="10">
        <f>IFERROR(__xludf.DUMMYFUNCTION("""COMPUTED_VALUE"""),-78.760189498901)</f>
        <v>-78.760189498901</v>
      </c>
      <c r="G112" s="10">
        <f>IFERROR(__xludf.DUMMYFUNCTION("""COMPUTED_VALUE"""),505.627721415002)</f>
        <v>505.627721415002</v>
      </c>
      <c r="H112" s="10">
        <f>IFERROR(__xludf.DUMMYFUNCTION("""COMPUTED_VALUE"""),24)</f>
        <v>24</v>
      </c>
      <c r="I112" s="13"/>
      <c r="J112" s="13"/>
      <c r="K112" s="13"/>
      <c r="L112" s="13"/>
      <c r="M112" s="1" t="b">
        <f>IFERROR(__xludf.DUMMYFUNCTION("""COMPUTED_VALUE"""),TRUE)</f>
        <v>1</v>
      </c>
      <c r="N112" s="10">
        <f>IFERROR(__xludf.DUMMYFUNCTION("""COMPUTED_VALUE"""),0)</f>
        <v>0</v>
      </c>
      <c r="O112" s="10">
        <f>IFERROR(__xludf.DUMMYFUNCTION("""COMPUTED_VALUE"""),0)</f>
        <v>0</v>
      </c>
      <c r="P112" s="10"/>
      <c r="Q112" s="30"/>
      <c r="R112" s="18"/>
      <c r="S112" s="19"/>
      <c r="T112" s="10"/>
      <c r="U112" s="10"/>
      <c r="V112" s="10"/>
      <c r="W112" s="10"/>
      <c r="X112" s="19"/>
      <c r="Y112" s="1"/>
      <c r="Z112" s="1"/>
      <c r="AA112" s="1"/>
    </row>
    <row r="113" customHeight="1" spans="1:27">
      <c r="A113" s="1"/>
      <c r="B113" s="1"/>
      <c r="C113" s="1"/>
      <c r="D113" s="1"/>
      <c r="E113" s="30"/>
      <c r="F113" s="10"/>
      <c r="G113" s="10"/>
      <c r="H113" s="10"/>
      <c r="I113" s="13"/>
      <c r="J113" s="13"/>
      <c r="K113" s="13"/>
      <c r="L113" s="13"/>
      <c r="M113" s="1"/>
      <c r="N113" s="10"/>
      <c r="O113" s="10"/>
      <c r="P113" s="10"/>
      <c r="Q113" s="30"/>
      <c r="R113" s="18"/>
      <c r="S113" s="19"/>
      <c r="T113" s="10"/>
      <c r="U113" s="10"/>
      <c r="V113" s="10"/>
      <c r="W113" s="10"/>
      <c r="X113" s="19"/>
      <c r="Y113" s="1"/>
      <c r="Z113" s="1"/>
      <c r="AA113" s="1"/>
    </row>
    <row r="114" customHeight="1" spans="1:27">
      <c r="A114" s="1" t="str">
        <f>IFERROR(__xludf.DUMMYFUNCTION("""COMPUTED_VALUE"""),"Calliope R01")</f>
        <v>Calliope R01</v>
      </c>
      <c r="B114" s="1" t="str">
        <f>IFERROR(__xludf.DUMMYFUNCTION("""COMPUTED_VALUE"""),"Calliope 29")</f>
        <v>Calliope 29</v>
      </c>
      <c r="C114" s="1"/>
      <c r="D114" s="1" t="str">
        <f>IFERROR(__xludf.DUMMYFUNCTION("""COMPUTED_VALUE"""),"OM-1")</f>
        <v>OM-1</v>
      </c>
      <c r="E114" s="30" t="str">
        <f>IFERROR(__xludf.DUMMYFUNCTION("""COMPUTED_VALUE"""),"OM1")</f>
        <v>OM1</v>
      </c>
      <c r="F114" s="10">
        <f>IFERROR(__xludf.DUMMYFUNCTION("""COMPUTED_VALUE"""),0)</f>
        <v>0</v>
      </c>
      <c r="G114" s="10">
        <f>IFERROR(__xludf.DUMMYFUNCTION("""COMPUTED_VALUE"""),0)</f>
        <v>0</v>
      </c>
      <c r="H114" s="10">
        <f>IFERROR(__xludf.DUMMYFUNCTION("""COMPUTED_VALUE"""),352.214)</f>
        <v>352.214</v>
      </c>
      <c r="I114" s="13"/>
      <c r="J114" s="13"/>
      <c r="K114" s="13"/>
      <c r="L114" s="13"/>
      <c r="M114" s="1" t="b">
        <f>IFERROR(__xludf.DUMMYFUNCTION("""COMPUTED_VALUE"""),TRUE)</f>
        <v>1</v>
      </c>
      <c r="N114" s="10">
        <f>IFERROR(__xludf.DUMMYFUNCTION("""COMPUTED_VALUE"""),0)</f>
        <v>0</v>
      </c>
      <c r="O114" s="10">
        <f>IFERROR(__xludf.DUMMYFUNCTION("""COMPUTED_VALUE"""),0)</f>
        <v>0</v>
      </c>
      <c r="P114" s="10"/>
      <c r="Q114" s="30"/>
      <c r="R114" s="18"/>
      <c r="S114" s="19"/>
      <c r="T114" s="10"/>
      <c r="U114" s="10"/>
      <c r="V114" s="10"/>
      <c r="W114" s="10"/>
      <c r="X114" s="19"/>
      <c r="Y114" s="1"/>
      <c r="Z114" s="1"/>
      <c r="AA114" s="1"/>
    </row>
    <row r="115" customHeight="1" spans="1:27">
      <c r="A115" s="1" t="str">
        <f>IFERROR(__xludf.DUMMYFUNCTION("""COMPUTED_VALUE"""),"Calliope R02")</f>
        <v>Calliope R02</v>
      </c>
      <c r="B115" s="1" t="str">
        <f>IFERROR(__xludf.DUMMYFUNCTION("""COMPUTED_VALUE"""),"Calliope 30")</f>
        <v>Calliope 30</v>
      </c>
      <c r="C115" s="1"/>
      <c r="D115" s="1" t="str">
        <f>IFERROR(__xludf.DUMMYFUNCTION("""COMPUTED_VALUE"""),"OM-2")</f>
        <v>OM-2</v>
      </c>
      <c r="E115" s="30" t="str">
        <f>IFERROR(__xludf.DUMMYFUNCTION("""COMPUTED_VALUE"""),"OM2")</f>
        <v>OM2</v>
      </c>
      <c r="F115" s="10">
        <f>IFERROR(__xludf.DUMMYFUNCTION("""COMPUTED_VALUE"""),0)</f>
        <v>0</v>
      </c>
      <c r="G115" s="10">
        <f>IFERROR(__xludf.DUMMYFUNCTION("""COMPUTED_VALUE"""),0)</f>
        <v>0</v>
      </c>
      <c r="H115" s="10">
        <f>IFERROR(__xludf.DUMMYFUNCTION("""COMPUTED_VALUE"""),-352.214)</f>
        <v>-352.214</v>
      </c>
      <c r="I115" s="13"/>
      <c r="J115" s="13"/>
      <c r="K115" s="13"/>
      <c r="L115" s="13"/>
      <c r="M115" s="1" t="b">
        <f>IFERROR(__xludf.DUMMYFUNCTION("""COMPUTED_VALUE"""),TRUE)</f>
        <v>1</v>
      </c>
      <c r="N115" s="10">
        <f>IFERROR(__xludf.DUMMYFUNCTION("""COMPUTED_VALUE"""),0)</f>
        <v>0</v>
      </c>
      <c r="O115" s="10">
        <f>IFERROR(__xludf.DUMMYFUNCTION("""COMPUTED_VALUE"""),0)</f>
        <v>0</v>
      </c>
      <c r="P115" s="10"/>
      <c r="Q115" s="30"/>
      <c r="R115" s="18"/>
      <c r="S115" s="19"/>
      <c r="T115" s="10"/>
      <c r="U115" s="10"/>
      <c r="V115" s="10"/>
      <c r="W115" s="10"/>
      <c r="X115" s="19"/>
      <c r="Y115" s="1"/>
      <c r="Z115" s="1"/>
      <c r="AA115" s="1"/>
    </row>
    <row r="116" customHeight="1" spans="1:27">
      <c r="A116" s="1" t="str">
        <f>IFERROR(__xludf.DUMMYFUNCTION("""COMPUTED_VALUE"""),"Calliope R03")</f>
        <v>Calliope R03</v>
      </c>
      <c r="B116" s="1" t="str">
        <f>IFERROR(__xludf.DUMMYFUNCTION("""COMPUTED_VALUE"""),"Calliope 31")</f>
        <v>Calliope 31</v>
      </c>
      <c r="C116" s="1" t="str">
        <f>IFERROR(__xludf.DUMMYFUNCTION("""COMPUTED_VALUE"""),"Calliope 02")</f>
        <v>Calliope 02</v>
      </c>
      <c r="D116" s="1" t="str">
        <f>IFERROR(__xludf.DUMMYFUNCTION("""COMPUTED_VALUE"""),"OM-3")</f>
        <v>OM-3</v>
      </c>
      <c r="E116" s="30" t="str">
        <f>IFERROR(__xludf.DUMMYFUNCTION("""COMPUTED_VALUE"""),"OM3")</f>
        <v>OM3</v>
      </c>
      <c r="F116" s="10">
        <f>IFERROR(__xludf.DUMMYFUNCTION("""COMPUTED_VALUE"""),0)</f>
        <v>0</v>
      </c>
      <c r="G116" s="10">
        <f>IFERROR(__xludf.DUMMYFUNCTION("""COMPUTED_VALUE"""),352.214)</f>
        <v>352.214</v>
      </c>
      <c r="H116" s="10">
        <f>IFERROR(__xludf.DUMMYFUNCTION("""COMPUTED_VALUE"""),0)</f>
        <v>0</v>
      </c>
      <c r="I116" s="13"/>
      <c r="J116" s="13"/>
      <c r="K116" s="13"/>
      <c r="L116" s="13"/>
      <c r="M116" s="1" t="b">
        <f>IFERROR(__xludf.DUMMYFUNCTION("""COMPUTED_VALUE"""),TRUE)</f>
        <v>1</v>
      </c>
      <c r="N116" s="10">
        <f>IFERROR(__xludf.DUMMYFUNCTION("""COMPUTED_VALUE"""),0)</f>
        <v>0</v>
      </c>
      <c r="O116" s="10">
        <f>IFERROR(__xludf.DUMMYFUNCTION("""COMPUTED_VALUE"""),0)</f>
        <v>0</v>
      </c>
      <c r="P116" s="10"/>
      <c r="Q116" s="30"/>
      <c r="R116" s="18"/>
      <c r="S116" s="19"/>
      <c r="T116" s="10"/>
      <c r="U116" s="10"/>
      <c r="V116" s="10"/>
      <c r="W116" s="10"/>
      <c r="X116" s="19"/>
      <c r="Y116" s="1"/>
      <c r="Z116" s="1"/>
      <c r="AA116" s="1"/>
    </row>
    <row r="117" customHeight="1" spans="1:27">
      <c r="A117" s="1" t="str">
        <f>IFERROR(__xludf.DUMMYFUNCTION("""COMPUTED_VALUE"""),"Calliope R04")</f>
        <v>Calliope R04</v>
      </c>
      <c r="B117" s="1" t="str">
        <f>IFERROR(__xludf.DUMMYFUNCTION("""COMPUTED_VALUE"""),"Calliope 32")</f>
        <v>Calliope 32</v>
      </c>
      <c r="C117" s="1" t="str">
        <f>IFERROR(__xludf.DUMMYFUNCTION("""COMPUTED_VALUE"""),"Calliope 19")</f>
        <v>Calliope 19</v>
      </c>
      <c r="D117" s="1" t="str">
        <f>IFERROR(__xludf.DUMMYFUNCTION("""COMPUTED_VALUE"""),"OM-4")</f>
        <v>OM-4</v>
      </c>
      <c r="E117" s="30" t="str">
        <f>IFERROR(__xludf.DUMMYFUNCTION("""COMPUTED_VALUE"""),"OM4")</f>
        <v>OM4</v>
      </c>
      <c r="F117" s="10">
        <f>IFERROR(__xludf.DUMMYFUNCTION("""COMPUTED_VALUE"""),0)</f>
        <v>0</v>
      </c>
      <c r="G117" s="10">
        <f>IFERROR(__xludf.DUMMYFUNCTION("""COMPUTED_VALUE"""),-352.214)</f>
        <v>-352.214</v>
      </c>
      <c r="H117" s="10">
        <f>IFERROR(__xludf.DUMMYFUNCTION("""COMPUTED_VALUE"""),0)</f>
        <v>0</v>
      </c>
      <c r="I117" s="13"/>
      <c r="J117" s="13"/>
      <c r="K117" s="13"/>
      <c r="L117" s="13"/>
      <c r="M117" s="1" t="b">
        <f>IFERROR(__xludf.DUMMYFUNCTION("""COMPUTED_VALUE"""),TRUE)</f>
        <v>1</v>
      </c>
      <c r="N117" s="10">
        <f>IFERROR(__xludf.DUMMYFUNCTION("""COMPUTED_VALUE"""),0)</f>
        <v>0</v>
      </c>
      <c r="O117" s="10">
        <f>IFERROR(__xludf.DUMMYFUNCTION("""COMPUTED_VALUE"""),0)</f>
        <v>0</v>
      </c>
      <c r="P117" s="10"/>
      <c r="Q117" s="30"/>
      <c r="R117" s="18"/>
      <c r="S117" s="19"/>
      <c r="T117" s="10"/>
      <c r="U117" s="10"/>
      <c r="V117" s="10"/>
      <c r="W117" s="10"/>
      <c r="X117" s="19"/>
      <c r="Y117" s="1"/>
      <c r="Z117" s="1"/>
      <c r="AA117" s="1"/>
    </row>
    <row r="118" customHeight="1" spans="1:27">
      <c r="A118" s="1" t="str">
        <f>IFERROR(__xludf.DUMMYFUNCTION("""COMPUTED_VALUE"""),"Calliope R05")</f>
        <v>Calliope R05</v>
      </c>
      <c r="B118" s="1" t="str">
        <f>IFERROR(__xludf.DUMMYFUNCTION("""COMPUTED_VALUE"""),"Calliope 33")</f>
        <v>Calliope 33</v>
      </c>
      <c r="C118" s="1" t="str">
        <f>IFERROR(__xludf.DUMMYFUNCTION("""COMPUTED_VALUE"""),"Calliope 08")</f>
        <v>Calliope 08</v>
      </c>
      <c r="D118" s="1" t="str">
        <f>IFERROR(__xludf.DUMMYFUNCTION("""COMPUTED_VALUE"""),"OM-5")</f>
        <v>OM-5</v>
      </c>
      <c r="E118" s="30" t="str">
        <f>IFERROR(__xludf.DUMMYFUNCTION("""COMPUTED_VALUE"""),"OM5")</f>
        <v>OM5</v>
      </c>
      <c r="F118" s="10">
        <f>IFERROR(__xludf.DUMMYFUNCTION("""COMPUTED_VALUE"""),352.214)</f>
        <v>352.214</v>
      </c>
      <c r="G118" s="10">
        <f>IFERROR(__xludf.DUMMYFUNCTION("""COMPUTED_VALUE"""),0)</f>
        <v>0</v>
      </c>
      <c r="H118" s="10">
        <f>IFERROR(__xludf.DUMMYFUNCTION("""COMPUTED_VALUE"""),0)</f>
        <v>0</v>
      </c>
      <c r="I118" s="13"/>
      <c r="J118" s="13"/>
      <c r="K118" s="13"/>
      <c r="L118" s="13"/>
      <c r="M118" s="1" t="b">
        <f>IFERROR(__xludf.DUMMYFUNCTION("""COMPUTED_VALUE"""),TRUE)</f>
        <v>1</v>
      </c>
      <c r="N118" s="10">
        <f>IFERROR(__xludf.DUMMYFUNCTION("""COMPUTED_VALUE"""),0)</f>
        <v>0</v>
      </c>
      <c r="O118" s="10">
        <f>IFERROR(__xludf.DUMMYFUNCTION("""COMPUTED_VALUE"""),0)</f>
        <v>0</v>
      </c>
      <c r="P118" s="10"/>
      <c r="Q118" s="30"/>
      <c r="R118" s="18"/>
      <c r="S118" s="19"/>
      <c r="T118" s="10"/>
      <c r="U118" s="10"/>
      <c r="V118" s="10"/>
      <c r="W118" s="10"/>
      <c r="X118" s="19"/>
      <c r="Y118" s="1"/>
      <c r="Z118" s="1"/>
      <c r="AA118" s="1"/>
    </row>
    <row r="119" customHeight="1" spans="1:27">
      <c r="A119" s="1" t="str">
        <f>IFERROR(__xludf.DUMMYFUNCTION("""COMPUTED_VALUE"""),"Calliope R06")</f>
        <v>Calliope R06</v>
      </c>
      <c r="B119" s="1" t="str">
        <f>IFERROR(__xludf.DUMMYFUNCTION("""COMPUTED_VALUE"""),"Calliope 34")</f>
        <v>Calliope 34</v>
      </c>
      <c r="C119" s="1" t="str">
        <f>IFERROR(__xludf.DUMMYFUNCTION("""COMPUTED_VALUE"""),"Calliope 22")</f>
        <v>Calliope 22</v>
      </c>
      <c r="D119" s="1" t="str">
        <f>IFERROR(__xludf.DUMMYFUNCTION("""COMPUTED_VALUE"""),"OM-6")</f>
        <v>OM-6</v>
      </c>
      <c r="E119" s="30" t="str">
        <f>IFERROR(__xludf.DUMMYFUNCTION("""COMPUTED_VALUE"""),"OM6")</f>
        <v>OM6</v>
      </c>
      <c r="F119" s="10">
        <f>IFERROR(__xludf.DUMMYFUNCTION("""COMPUTED_VALUE"""),-352.214)</f>
        <v>-352.214</v>
      </c>
      <c r="G119" s="10">
        <f>IFERROR(__xludf.DUMMYFUNCTION("""COMPUTED_VALUE"""),0)</f>
        <v>0</v>
      </c>
      <c r="H119" s="10">
        <f>IFERROR(__xludf.DUMMYFUNCTION("""COMPUTED_VALUE"""),0)</f>
        <v>0</v>
      </c>
      <c r="I119" s="13"/>
      <c r="J119" s="13"/>
      <c r="K119" s="13"/>
      <c r="L119" s="13"/>
      <c r="M119" s="1" t="b">
        <f>IFERROR(__xludf.DUMMYFUNCTION("""COMPUTED_VALUE"""),TRUE)</f>
        <v>1</v>
      </c>
      <c r="N119" s="10">
        <f>IFERROR(__xludf.DUMMYFUNCTION("""COMPUTED_VALUE"""),0)</f>
        <v>0</v>
      </c>
      <c r="O119" s="10">
        <f>IFERROR(__xludf.DUMMYFUNCTION("""COMPUTED_VALUE"""),0)</f>
        <v>0</v>
      </c>
      <c r="P119" s="10"/>
      <c r="Q119" s="30"/>
      <c r="R119" s="18"/>
      <c r="S119" s="19"/>
      <c r="T119" s="10"/>
      <c r="U119" s="10"/>
      <c r="V119" s="10"/>
      <c r="W119" s="10"/>
      <c r="X119" s="19"/>
      <c r="Y119" s="1"/>
      <c r="Z119" s="1"/>
      <c r="AA119" s="1"/>
    </row>
    <row r="120" customHeight="1" spans="1:27">
      <c r="A120" s="1" t="str">
        <f>IFERROR(__xludf.DUMMYFUNCTION("""COMPUTED_VALUE"""),"Calliope")</f>
        <v>Calliope</v>
      </c>
      <c r="B120" s="1" t="str">
        <f>IFERROR(__xludf.DUMMYFUNCTION("""COMPUTED_VALUE"""),"Calliope 00")</f>
        <v>Calliope 00</v>
      </c>
      <c r="C120" s="1"/>
      <c r="D120" s="1" t="str">
        <f>IFERROR(__xludf.DUMMYFUNCTION("""COMPUTED_VALUE"""),"Trading Terminals")</f>
        <v>Trading Terminals</v>
      </c>
      <c r="E120" s="30"/>
      <c r="F120" s="10"/>
      <c r="G120" s="10"/>
      <c r="H120" s="10"/>
      <c r="I120" s="13"/>
      <c r="J120" s="13"/>
      <c r="K120" s="13"/>
      <c r="L120" s="13"/>
      <c r="M120" s="1"/>
      <c r="N120" s="10"/>
      <c r="O120" s="10"/>
      <c r="P120" s="10"/>
      <c r="Q120" s="30"/>
      <c r="R120" s="18"/>
      <c r="S120" s="19"/>
      <c r="T120" s="10"/>
      <c r="U120" s="10"/>
      <c r="V120" s="10"/>
      <c r="W120" s="10"/>
      <c r="X120" s="19"/>
      <c r="Y120" s="1"/>
      <c r="Z120" s="1"/>
      <c r="AA120" s="1"/>
    </row>
    <row r="121" customHeight="1" spans="1:27">
      <c r="A121" s="1" t="str">
        <f>IFERROR(__xludf.DUMMYFUNCTION("""COMPUTED_VALUE"""),"Calliope 01")</f>
        <v>Calliope 01</v>
      </c>
      <c r="B121" s="1" t="str">
        <f>IFERROR(__xludf.DUMMYFUNCTION("""COMPUTED_VALUE"""),"Calliope 01")</f>
        <v>Calliope 01</v>
      </c>
      <c r="C121" s="1" t="str">
        <f>IFERROR(__xludf.DUMMYFUNCTION("""COMPUTED_VALUE"""),"Calliope 20")</f>
        <v>Calliope 20</v>
      </c>
      <c r="D121" s="1" t="str">
        <f>IFERROR(__xludf.DUMMYFUNCTION("""COMPUTED_VALUE"""),"Rayari Anvik Research Outpost")</f>
        <v>Rayari Anvik Research Outpost</v>
      </c>
      <c r="E121" s="30" t="str">
        <f>IFERROR(__xludf.DUMMYFUNCTION("""COMPUTED_VALUE"""),"Anvik")</f>
        <v>Anvik</v>
      </c>
      <c r="F121" s="10">
        <f>IFERROR(__xludf.DUMMYFUNCTION("""COMPUTED_VALUE"""),-184.63233374)</f>
        <v>-184.63233374</v>
      </c>
      <c r="G121" s="10">
        <f>IFERROR(__xludf.DUMMYFUNCTION("""COMPUTED_VALUE"""),-127.794332011)</f>
        <v>-127.794332011</v>
      </c>
      <c r="H121" s="10">
        <f>IFERROR(__xludf.DUMMYFUNCTION("""COMPUTED_VALUE"""),84.7238775759999)</f>
        <v>84.7238775759999</v>
      </c>
      <c r="I121" s="13"/>
      <c r="J121" s="13"/>
      <c r="K121" s="13"/>
      <c r="L121" s="13"/>
      <c r="M121" s="1" t="b">
        <f>IFERROR(__xludf.DUMMYFUNCTION("""COMPUTED_VALUE"""),TRUE)</f>
        <v>1</v>
      </c>
      <c r="N121" s="10">
        <f>IFERROR(__xludf.DUMMYFUNCTION("""COMPUTED_VALUE"""),0)</f>
        <v>0</v>
      </c>
      <c r="O121" s="10">
        <f>IFERROR(__xludf.DUMMYFUNCTION("""COMPUTED_VALUE"""),0)</f>
        <v>0</v>
      </c>
      <c r="P121" s="10"/>
      <c r="Q121" s="30"/>
      <c r="R121" s="18"/>
      <c r="S121" s="19"/>
      <c r="T121" s="10"/>
      <c r="U121" s="10"/>
      <c r="V121" s="10"/>
      <c r="W121" s="10"/>
      <c r="X121" s="19"/>
      <c r="Y121" s="1"/>
      <c r="Z121" s="1"/>
      <c r="AA121" s="1"/>
    </row>
    <row r="122" customHeight="1" spans="1:27">
      <c r="A122" s="1" t="str">
        <f>IFERROR(__xludf.DUMMYFUNCTION("""COMPUTED_VALUE"""),"Calliope 02")</f>
        <v>Calliope 02</v>
      </c>
      <c r="B122" s="1" t="str">
        <f>IFERROR(__xludf.DUMMYFUNCTION("""COMPUTED_VALUE"""),"Calliope 02")</f>
        <v>Calliope 02</v>
      </c>
      <c r="C122" s="1" t="str">
        <f>IFERROR(__xludf.DUMMYFUNCTION("""COMPUTED_VALUE"""),"Calliope 07")</f>
        <v>Calliope 07</v>
      </c>
      <c r="D122" s="1" t="str">
        <f>IFERROR(__xludf.DUMMYFUNCTION("""COMPUTED_VALUE"""),"Rayari Kaltag Research Outpost")</f>
        <v>Rayari Kaltag Research Outpost</v>
      </c>
      <c r="E122" s="30" t="str">
        <f>IFERROR(__xludf.DUMMYFUNCTION("""COMPUTED_VALUE"""),"Kaltag")</f>
        <v>Kaltag</v>
      </c>
      <c r="F122" s="10">
        <f>IFERROR(__xludf.DUMMYFUNCTION("""COMPUTED_VALUE"""),205.267012524999)</f>
        <v>205.267012524999</v>
      </c>
      <c r="G122" s="10">
        <f>IFERROR(__xludf.DUMMYFUNCTION("""COMPUTED_VALUE"""),6.260750882)</f>
        <v>6.260750882</v>
      </c>
      <c r="H122" s="10">
        <f>IFERROR(__xludf.DUMMYFUNCTION("""COMPUTED_VALUE"""),-124.485412182999)</f>
        <v>-124.485412182999</v>
      </c>
      <c r="I122" s="13"/>
      <c r="J122" s="13"/>
      <c r="K122" s="13"/>
      <c r="L122" s="13"/>
      <c r="M122" s="1" t="b">
        <f>IFERROR(__xludf.DUMMYFUNCTION("""COMPUTED_VALUE"""),TRUE)</f>
        <v>1</v>
      </c>
      <c r="N122" s="10">
        <f>IFERROR(__xludf.DUMMYFUNCTION("""COMPUTED_VALUE"""),0)</f>
        <v>0</v>
      </c>
      <c r="O122" s="10">
        <f>IFERROR(__xludf.DUMMYFUNCTION("""COMPUTED_VALUE"""),0)</f>
        <v>0</v>
      </c>
      <c r="P122" s="10"/>
      <c r="Q122" s="30"/>
      <c r="R122" s="18"/>
      <c r="S122" s="19"/>
      <c r="T122" s="10"/>
      <c r="U122" s="10"/>
      <c r="V122" s="10"/>
      <c r="W122" s="10"/>
      <c r="X122" s="19"/>
      <c r="Y122" s="1"/>
      <c r="Z122" s="1"/>
      <c r="AA122" s="1"/>
    </row>
    <row r="123" customHeight="1" spans="1:27">
      <c r="A123" s="1" t="str">
        <f>IFERROR(__xludf.DUMMYFUNCTION("""COMPUTED_VALUE"""),"Calliope 03")</f>
        <v>Calliope 03</v>
      </c>
      <c r="B123" s="1" t="str">
        <f>IFERROR(__xludf.DUMMYFUNCTION("""COMPUTED_VALUE"""),"Calliope 03")</f>
        <v>Calliope 03</v>
      </c>
      <c r="C123" s="1" t="str">
        <f>IFERROR(__xludf.DUMMYFUNCTION("""COMPUTED_VALUE"""),"Calliope 03")</f>
        <v>Calliope 03</v>
      </c>
      <c r="D123" s="1" t="str">
        <f>IFERROR(__xludf.DUMMYFUNCTION("""COMPUTED_VALUE"""),"Shubin Mining Facility SMCa-6 (PB)")</f>
        <v>Shubin Mining Facility SMCa-6 (PB)</v>
      </c>
      <c r="E123" s="30" t="str">
        <f>IFERROR(__xludf.DUMMYFUNCTION("""COMPUTED_VALUE"""),"SMCa6")</f>
        <v>SMCa6</v>
      </c>
      <c r="F123" s="10">
        <f>IFERROR(__xludf.DUMMYFUNCTION("""COMPUTED_VALUE"""),50.066359611)</f>
        <v>50.066359611</v>
      </c>
      <c r="G123" s="10">
        <f>IFERROR(__xludf.DUMMYFUNCTION("""COMPUTED_VALUE"""),233.437251098)</f>
        <v>233.437251098</v>
      </c>
      <c r="H123" s="10">
        <f>IFERROR(__xludf.DUMMYFUNCTION("""COMPUTED_VALUE"""),24.935519649)</f>
        <v>24.935519649</v>
      </c>
      <c r="I123" s="13"/>
      <c r="J123" s="13"/>
      <c r="K123" s="13"/>
      <c r="L123" s="13"/>
      <c r="M123" s="1" t="b">
        <f>IFERROR(__xludf.DUMMYFUNCTION("""COMPUTED_VALUE"""),TRUE)</f>
        <v>1</v>
      </c>
      <c r="N123" s="10">
        <f>IFERROR(__xludf.DUMMYFUNCTION("""COMPUTED_VALUE"""),0)</f>
        <v>0</v>
      </c>
      <c r="O123" s="10">
        <f>IFERROR(__xludf.DUMMYFUNCTION("""COMPUTED_VALUE"""),0)</f>
        <v>0</v>
      </c>
      <c r="P123" s="10"/>
      <c r="Q123" s="30"/>
      <c r="R123" s="18"/>
      <c r="S123" s="19"/>
      <c r="T123" s="10"/>
      <c r="U123" s="10"/>
      <c r="V123" s="10"/>
      <c r="W123" s="10"/>
      <c r="X123" s="19"/>
      <c r="Y123" s="1"/>
      <c r="Z123" s="1"/>
      <c r="AA123" s="1"/>
    </row>
    <row r="124" customHeight="1" spans="1:27">
      <c r="A124" s="1" t="str">
        <f>IFERROR(__xludf.DUMMYFUNCTION("""COMPUTED_VALUE"""),"Calliope 04")</f>
        <v>Calliope 04</v>
      </c>
      <c r="B124" s="1" t="str">
        <f>IFERROR(__xludf.DUMMYFUNCTION("""COMPUTED_VALUE"""),"Calliope 04")</f>
        <v>Calliope 04</v>
      </c>
      <c r="C124" s="1" t="str">
        <f>IFERROR(__xludf.DUMMYFUNCTION("""COMPUTED_VALUE"""),"Calliope 06")</f>
        <v>Calliope 06</v>
      </c>
      <c r="D124" s="1" t="str">
        <f>IFERROR(__xludf.DUMMYFUNCTION("""COMPUTED_VALUE"""),"Shubin Mining Facility SMCa-8 (PB)")</f>
        <v>Shubin Mining Facility SMCa-8 (PB)</v>
      </c>
      <c r="E124" s="30" t="str">
        <f>IFERROR(__xludf.DUMMYFUNCTION("""COMPUTED_VALUE"""),"SMCa8")</f>
        <v>SMCa8</v>
      </c>
      <c r="F124" s="10">
        <f>IFERROR(__xludf.DUMMYFUNCTION("""COMPUTED_VALUE"""),160.165810537999)</f>
        <v>160.165810537999</v>
      </c>
      <c r="G124" s="10">
        <f>IFERROR(__xludf.DUMMYFUNCTION("""COMPUTED_VALUE"""),168.986607305)</f>
        <v>168.986607305</v>
      </c>
      <c r="H124" s="10">
        <f>IFERROR(__xludf.DUMMYFUNCTION("""COMPUTED_VALUE"""),-58.4003274099999)</f>
        <v>-58.4003274099999</v>
      </c>
      <c r="I124" s="13"/>
      <c r="J124" s="13"/>
      <c r="K124" s="13"/>
      <c r="L124" s="13"/>
      <c r="M124" s="1" t="b">
        <f>IFERROR(__xludf.DUMMYFUNCTION("""COMPUTED_VALUE"""),TRUE)</f>
        <v>1</v>
      </c>
      <c r="N124" s="10">
        <f>IFERROR(__xludf.DUMMYFUNCTION("""COMPUTED_VALUE"""),0)</f>
        <v>0</v>
      </c>
      <c r="O124" s="10">
        <f>IFERROR(__xludf.DUMMYFUNCTION("""COMPUTED_VALUE"""),0)</f>
        <v>0</v>
      </c>
      <c r="P124" s="10"/>
      <c r="Q124" s="30"/>
      <c r="R124" s="18"/>
      <c r="S124" s="19"/>
      <c r="T124" s="10"/>
      <c r="U124" s="10"/>
      <c r="V124" s="10"/>
      <c r="W124" s="10"/>
      <c r="X124" s="19"/>
      <c r="Y124" s="1"/>
      <c r="Z124" s="1"/>
      <c r="AA124" s="1"/>
    </row>
    <row r="125" customHeight="1" spans="1:27">
      <c r="A125" s="1" t="str">
        <f>IFERROR(__xludf.DUMMYFUNCTION("""COMPUTED_VALUE"""),"Calliope")</f>
        <v>Calliope</v>
      </c>
      <c r="B125" s="1" t="str">
        <f>IFERROR(__xludf.DUMMYFUNCTION("""COMPUTED_VALUE"""),"Calliope 06")</f>
        <v>Calliope 06</v>
      </c>
      <c r="C125" s="1"/>
      <c r="D125" s="1" t="str">
        <f>IFERROR(__xludf.DUMMYFUNCTION("""COMPUTED_VALUE"""),"Underground Bunker Facilities")</f>
        <v>Underground Bunker Facilities</v>
      </c>
      <c r="E125" s="30"/>
      <c r="F125" s="10"/>
      <c r="G125" s="10"/>
      <c r="H125" s="10"/>
      <c r="I125" s="13"/>
      <c r="J125" s="13"/>
      <c r="K125" s="13"/>
      <c r="L125" s="13"/>
      <c r="M125" s="1"/>
      <c r="N125" s="10"/>
      <c r="O125" s="10"/>
      <c r="P125" s="10"/>
      <c r="Q125" s="30"/>
      <c r="R125" s="18"/>
      <c r="S125" s="19"/>
      <c r="T125" s="10"/>
      <c r="U125" s="10"/>
      <c r="V125" s="10"/>
      <c r="W125" s="10"/>
      <c r="X125" s="19"/>
      <c r="Y125" s="1"/>
      <c r="Z125" s="1"/>
      <c r="AA125" s="1"/>
    </row>
    <row r="126" customHeight="1" spans="1:27">
      <c r="A126" s="1" t="str">
        <f>IFERROR(__xludf.DUMMYFUNCTION("""COMPUTED_VALUE"""),"Calliope")</f>
        <v>Calliope</v>
      </c>
      <c r="B126" s="1" t="str">
        <f>IFERROR(__xludf.DUMMYFUNCTION("""COMPUTED_VALUE"""),"Calliope")</f>
        <v>Calliope</v>
      </c>
      <c r="C126" s="1" t="str">
        <f>IFERROR(__xludf.DUMMYFUNCTION("""COMPUTED_VALUE"""),"Calliope")</f>
        <v>Calliope</v>
      </c>
      <c r="D126" s="1" t="str">
        <f>IFERROR(__xludf.DUMMYFUNCTION("""COMPUTED_VALUE"""),"Shubin Processing Facility SPMC-1")</f>
        <v>Shubin Processing Facility SPMC-1</v>
      </c>
      <c r="E126" s="30" t="str">
        <f>IFERROR(__xludf.DUMMYFUNCTION("""COMPUTED_VALUE"""),"SPMC1")</f>
        <v>SPMC1</v>
      </c>
      <c r="F126" s="10">
        <f>IFERROR(__xludf.DUMMYFUNCTION("""COMPUTED_VALUE"""),231.078493220959)</f>
        <v>231.078493220959</v>
      </c>
      <c r="G126" s="10">
        <f>IFERROR(__xludf.DUMMYFUNCTION("""COMPUTED_VALUE"""),-34.373483366601)</f>
        <v>-34.373483366601</v>
      </c>
      <c r="H126" s="10">
        <f>IFERROR(__xludf.DUMMYFUNCTION("""COMPUTED_VALUE"""),-55.892607735305)</f>
        <v>-55.892607735305</v>
      </c>
      <c r="I126" s="13"/>
      <c r="J126" s="13"/>
      <c r="K126" s="13"/>
      <c r="L126" s="13"/>
      <c r="M126" s="1" t="b">
        <f>IFERROR(__xludf.DUMMYFUNCTION("""COMPUTED_VALUE"""),FALSE)</f>
        <v>0</v>
      </c>
      <c r="N126" s="10">
        <f>IFERROR(__xludf.DUMMYFUNCTION("""COMPUTED_VALUE"""),0)</f>
        <v>0</v>
      </c>
      <c r="O126" s="10">
        <f>IFERROR(__xludf.DUMMYFUNCTION("""COMPUTED_VALUE"""),0)</f>
        <v>0</v>
      </c>
      <c r="P126" s="10"/>
      <c r="Q126" s="30"/>
      <c r="R126" s="18"/>
      <c r="S126" s="19"/>
      <c r="T126" s="10"/>
      <c r="U126" s="10"/>
      <c r="V126" s="10"/>
      <c r="W126" s="10"/>
      <c r="X126" s="19"/>
      <c r="Y126" s="1"/>
      <c r="Z126" s="1"/>
      <c r="AA126" s="1"/>
    </row>
    <row r="127" customHeight="1" spans="1:27">
      <c r="A127" s="1" t="str">
        <f>IFERROR(__xludf.DUMMYFUNCTION("""COMPUTED_VALUE"""),"Calliope 05")</f>
        <v>Calliope 05</v>
      </c>
      <c r="B127" s="1" t="str">
        <f>IFERROR(__xludf.DUMMYFUNCTION("""COMPUTED_VALUE"""),"Calliope 07")</f>
        <v>Calliope 07</v>
      </c>
      <c r="C127" s="1" t="str">
        <f>IFERROR(__xludf.DUMMYFUNCTION("""COMPUTED_VALUE"""),"Calliope 11")</f>
        <v>Calliope 11</v>
      </c>
      <c r="D127" s="1" t="str">
        <f>IFERROR(__xludf.DUMMYFUNCTION("""COMPUTED_VALUE"""),"Shubin Processing Facility SPMC-3")</f>
        <v>Shubin Processing Facility SPMC-3</v>
      </c>
      <c r="E127" s="30" t="str">
        <f>IFERROR(__xludf.DUMMYFUNCTION("""COMPUTED_VALUE"""),"SPMC3")</f>
        <v>SPMC3</v>
      </c>
      <c r="F127" s="10">
        <f>IFERROR(__xludf.DUMMYFUNCTION("""COMPUTED_VALUE"""),239.598205565)</f>
        <v>239.598205565</v>
      </c>
      <c r="G127" s="10">
        <f>IFERROR(__xludf.DUMMYFUNCTION("""COMPUTED_VALUE"""),-11.4700475009999)</f>
        <v>-11.4700475009999</v>
      </c>
      <c r="H127" s="10">
        <f>IFERROR(__xludf.DUMMYFUNCTION("""COMPUTED_VALUE"""),8.829588243)</f>
        <v>8.829588243</v>
      </c>
      <c r="I127" s="13"/>
      <c r="J127" s="13"/>
      <c r="K127" s="13"/>
      <c r="L127" s="13"/>
      <c r="M127" s="1" t="b">
        <f>IFERROR(__xludf.DUMMYFUNCTION("""COMPUTED_VALUE"""),TRUE)</f>
        <v>1</v>
      </c>
      <c r="N127" s="10">
        <f>IFERROR(__xludf.DUMMYFUNCTION("""COMPUTED_VALUE"""),0)</f>
        <v>0</v>
      </c>
      <c r="O127" s="10">
        <f>IFERROR(__xludf.DUMMYFUNCTION("""COMPUTED_VALUE"""),0)</f>
        <v>0</v>
      </c>
      <c r="P127" s="10"/>
      <c r="Q127" s="30"/>
      <c r="R127" s="18"/>
      <c r="S127" s="19"/>
      <c r="T127" s="10"/>
      <c r="U127" s="10"/>
      <c r="V127" s="10"/>
      <c r="W127" s="10"/>
      <c r="X127" s="19"/>
      <c r="Y127" s="1"/>
      <c r="Z127" s="1"/>
      <c r="AA127" s="1"/>
    </row>
    <row r="128" customHeight="1" spans="1:27">
      <c r="A128" s="1" t="str">
        <f>IFERROR(__xludf.DUMMYFUNCTION("""COMPUTED_VALUE"""),"Calliope 06")</f>
        <v>Calliope 06</v>
      </c>
      <c r="B128" s="1" t="str">
        <f>IFERROR(__xludf.DUMMYFUNCTION("""COMPUTED_VALUE"""),"Calliope 08")</f>
        <v>Calliope 08</v>
      </c>
      <c r="C128" s="1" t="str">
        <f>IFERROR(__xludf.DUMMYFUNCTION("""COMPUTED_VALUE"""),"Calliope 01")</f>
        <v>Calliope 01</v>
      </c>
      <c r="D128" s="1" t="str">
        <f>IFERROR(__xludf.DUMMYFUNCTION("""COMPUTED_VALUE"""),"Shubin Processing Facility SPMC-5")</f>
        <v>Shubin Processing Facility SPMC-5</v>
      </c>
      <c r="E128" s="30" t="str">
        <f>IFERROR(__xludf.DUMMYFUNCTION("""COMPUTED_VALUE"""),"SPMC5")</f>
        <v>SPMC5</v>
      </c>
      <c r="F128" s="10">
        <f>IFERROR(__xludf.DUMMYFUNCTION("""COMPUTED_VALUE"""),-230.045632036)</f>
        <v>-230.045632036</v>
      </c>
      <c r="G128" s="10">
        <f>IFERROR(__xludf.DUMMYFUNCTION("""COMPUTED_VALUE"""),66.60371803)</f>
        <v>66.60371803</v>
      </c>
      <c r="H128" s="10">
        <f>IFERROR(__xludf.DUMMYFUNCTION("""COMPUTED_VALUE"""),19.440895829)</f>
        <v>19.440895829</v>
      </c>
      <c r="I128" s="13"/>
      <c r="J128" s="13"/>
      <c r="K128" s="13"/>
      <c r="L128" s="13"/>
      <c r="M128" s="1" t="b">
        <f>IFERROR(__xludf.DUMMYFUNCTION("""COMPUTED_VALUE"""),TRUE)</f>
        <v>1</v>
      </c>
      <c r="N128" s="10">
        <f>IFERROR(__xludf.DUMMYFUNCTION("""COMPUTED_VALUE"""),0)</f>
        <v>0</v>
      </c>
      <c r="O128" s="10">
        <f>IFERROR(__xludf.DUMMYFUNCTION("""COMPUTED_VALUE"""),0)</f>
        <v>0</v>
      </c>
      <c r="P128" s="10"/>
      <c r="Q128" s="30"/>
      <c r="R128" s="18"/>
      <c r="S128" s="19"/>
      <c r="T128" s="10"/>
      <c r="U128" s="10"/>
      <c r="V128" s="10"/>
      <c r="W128" s="10"/>
      <c r="X128" s="19"/>
      <c r="Y128" s="1"/>
      <c r="Z128" s="1"/>
      <c r="AA128" s="1"/>
    </row>
    <row r="129" customHeight="1" spans="1:27">
      <c r="A129" s="1" t="str">
        <f>IFERROR(__xludf.DUMMYFUNCTION("""COMPUTED_VALUE"""),"Calliope 07")</f>
        <v>Calliope 07</v>
      </c>
      <c r="B129" s="1" t="str">
        <f>IFERROR(__xludf.DUMMYFUNCTION("""COMPUTED_VALUE"""),"Calliope 09")</f>
        <v>Calliope 09</v>
      </c>
      <c r="C129" s="1" t="str">
        <f>IFERROR(__xludf.DUMMYFUNCTION("""COMPUTED_VALUE"""),"Calliope 21")</f>
        <v>Calliope 21</v>
      </c>
      <c r="D129" s="1" t="str">
        <f>IFERROR(__xludf.DUMMYFUNCTION("""COMPUTED_VALUE"""),"Shubin Processing Facility SPMC-10")</f>
        <v>Shubin Processing Facility SPMC-10</v>
      </c>
      <c r="E129" s="30" t="str">
        <f>IFERROR(__xludf.DUMMYFUNCTION("""COMPUTED_VALUE"""),"SPMC10")</f>
        <v>SPMC10</v>
      </c>
      <c r="F129" s="10">
        <f>IFERROR(__xludf.DUMMYFUNCTION("""COMPUTED_VALUE"""),-222.947307221)</f>
        <v>-222.947307221</v>
      </c>
      <c r="G129" s="10">
        <f>IFERROR(__xludf.DUMMYFUNCTION("""COMPUTED_VALUE"""),-74.1550350809999)</f>
        <v>-74.1550350809999</v>
      </c>
      <c r="H129" s="10">
        <f>IFERROR(__xludf.DUMMYFUNCTION("""COMPUTED_VALUE"""),-48.946056788)</f>
        <v>-48.946056788</v>
      </c>
      <c r="I129" s="13"/>
      <c r="J129" s="13"/>
      <c r="K129" s="13"/>
      <c r="L129" s="13"/>
      <c r="M129" s="1" t="b">
        <f>IFERROR(__xludf.DUMMYFUNCTION("""COMPUTED_VALUE"""),TRUE)</f>
        <v>1</v>
      </c>
      <c r="N129" s="10">
        <f>IFERROR(__xludf.DUMMYFUNCTION("""COMPUTED_VALUE"""),0)</f>
        <v>0</v>
      </c>
      <c r="O129" s="10">
        <f>IFERROR(__xludf.DUMMYFUNCTION("""COMPUTED_VALUE"""),0)</f>
        <v>0</v>
      </c>
      <c r="P129" s="10"/>
      <c r="Q129" s="30"/>
      <c r="R129" s="18"/>
      <c r="S129" s="19"/>
      <c r="T129" s="10"/>
      <c r="U129" s="10"/>
      <c r="V129" s="10"/>
      <c r="W129" s="10"/>
      <c r="X129" s="19"/>
      <c r="Y129" s="1"/>
      <c r="Z129" s="1"/>
      <c r="AA129" s="1"/>
    </row>
    <row r="130" customHeight="1" spans="1:27">
      <c r="A130" s="1" t="str">
        <f>IFERROR(__xludf.DUMMYFUNCTION("""COMPUTED_VALUE"""),"Calliope 08")</f>
        <v>Calliope 08</v>
      </c>
      <c r="B130" s="1" t="str">
        <f>IFERROR(__xludf.DUMMYFUNCTION("""COMPUTED_VALUE"""),"Calliope 10")</f>
        <v>Calliope 10</v>
      </c>
      <c r="C130" s="1" t="str">
        <f>IFERROR(__xludf.DUMMYFUNCTION("""COMPUTED_VALUE"""),"Calliope 18")</f>
        <v>Calliope 18</v>
      </c>
      <c r="D130" s="1" t="str">
        <f>IFERROR(__xludf.DUMMYFUNCTION("""COMPUTED_VALUE"""),"Shubin Processing Facility SPMC-11")</f>
        <v>Shubin Processing Facility SPMC-11</v>
      </c>
      <c r="E130" s="30" t="str">
        <f>IFERROR(__xludf.DUMMYFUNCTION("""COMPUTED_VALUE"""),"SPMC11")</f>
        <v>SPMC11</v>
      </c>
      <c r="F130" s="10">
        <f>IFERROR(__xludf.DUMMYFUNCTION("""COMPUTED_VALUE"""),72.651900267)</f>
        <v>72.651900267</v>
      </c>
      <c r="G130" s="10">
        <f>IFERROR(__xludf.DUMMYFUNCTION("""COMPUTED_VALUE"""),-187.770018499)</f>
        <v>-187.770018499</v>
      </c>
      <c r="H130" s="10">
        <f>IFERROR(__xludf.DUMMYFUNCTION("""COMPUTED_VALUE"""),131.024502718)</f>
        <v>131.024502718</v>
      </c>
      <c r="I130" s="13"/>
      <c r="J130" s="13"/>
      <c r="K130" s="13"/>
      <c r="L130" s="13"/>
      <c r="M130" s="1" t="b">
        <f>IFERROR(__xludf.DUMMYFUNCTION("""COMPUTED_VALUE"""),TRUE)</f>
        <v>1</v>
      </c>
      <c r="N130" s="10">
        <f>IFERROR(__xludf.DUMMYFUNCTION("""COMPUTED_VALUE"""),0)</f>
        <v>0</v>
      </c>
      <c r="O130" s="10">
        <f>IFERROR(__xludf.DUMMYFUNCTION("""COMPUTED_VALUE"""),0)</f>
        <v>0</v>
      </c>
      <c r="P130" s="10"/>
      <c r="Q130" s="30"/>
      <c r="R130" s="18"/>
      <c r="S130" s="19"/>
      <c r="T130" s="10"/>
      <c r="U130" s="10"/>
      <c r="V130" s="10"/>
      <c r="W130" s="10"/>
      <c r="X130" s="19"/>
      <c r="Y130" s="1"/>
      <c r="Z130" s="1"/>
      <c r="AA130" s="1"/>
    </row>
    <row r="131" customHeight="1" spans="1:27">
      <c r="A131" s="1" t="str">
        <f>IFERROR(__xludf.DUMMYFUNCTION("""COMPUTED_VALUE"""),"Calliope 09")</f>
        <v>Calliope 09</v>
      </c>
      <c r="B131" s="1" t="str">
        <f>IFERROR(__xludf.DUMMYFUNCTION("""COMPUTED_VALUE"""),"Calliope 11")</f>
        <v>Calliope 11</v>
      </c>
      <c r="C131" s="1" t="str">
        <f>IFERROR(__xludf.DUMMYFUNCTION("""COMPUTED_VALUE"""),"Calliope 12")</f>
        <v>Calliope 12</v>
      </c>
      <c r="D131" s="1" t="str">
        <f>IFERROR(__xludf.DUMMYFUNCTION("""COMPUTED_VALUE"""),"Shubin Processing Facility SPMC-14")</f>
        <v>Shubin Processing Facility SPMC-14</v>
      </c>
      <c r="E131" s="30" t="str">
        <f>IFERROR(__xludf.DUMMYFUNCTION("""COMPUTED_VALUE"""),"SPMC14")</f>
        <v>SPMC14</v>
      </c>
      <c r="F131" s="10">
        <f>IFERROR(__xludf.DUMMYFUNCTION("""COMPUTED_VALUE"""),228.647183370999)</f>
        <v>228.647183370999</v>
      </c>
      <c r="G131" s="10">
        <f>IFERROR(__xludf.DUMMYFUNCTION("""COMPUTED_VALUE"""),-21.167935533)</f>
        <v>-21.167935533</v>
      </c>
      <c r="H131" s="10">
        <f>IFERROR(__xludf.DUMMYFUNCTION("""COMPUTED_VALUE"""),71.031798834)</f>
        <v>71.031798834</v>
      </c>
      <c r="I131" s="13"/>
      <c r="J131" s="13"/>
      <c r="K131" s="13"/>
      <c r="L131" s="13"/>
      <c r="M131" s="1" t="b">
        <f>IFERROR(__xludf.DUMMYFUNCTION("""COMPUTED_VALUE"""),TRUE)</f>
        <v>1</v>
      </c>
      <c r="N131" s="10">
        <f>IFERROR(__xludf.DUMMYFUNCTION("""COMPUTED_VALUE"""),0)</f>
        <v>0</v>
      </c>
      <c r="O131" s="10">
        <f>IFERROR(__xludf.DUMMYFUNCTION("""COMPUTED_VALUE"""),0)</f>
        <v>0</v>
      </c>
      <c r="P131" s="10"/>
      <c r="Q131" s="30"/>
      <c r="R131" s="18"/>
      <c r="S131" s="19"/>
      <c r="T131" s="10"/>
      <c r="U131" s="10"/>
      <c r="V131" s="10"/>
      <c r="W131" s="10"/>
      <c r="X131" s="19"/>
      <c r="Y131" s="1"/>
      <c r="Z131" s="1"/>
      <c r="AA131" s="1"/>
    </row>
    <row r="132" customHeight="1" spans="1:27">
      <c r="A132" s="1" t="str">
        <f>IFERROR(__xludf.DUMMYFUNCTION("""COMPUTED_VALUE"""),"Calliope")</f>
        <v>Calliope</v>
      </c>
      <c r="B132" s="1" t="str">
        <f>IFERROR(__xludf.DUMMYFUNCTION("""COMPUTED_VALUE"""),"Calliope 13")</f>
        <v>Calliope 13</v>
      </c>
      <c r="C132" s="1"/>
      <c r="D132" s="1" t="str">
        <f>IFERROR(__xludf.DUMMYFUNCTION("""COMPUTED_VALUE"""),"Caves")</f>
        <v>Caves</v>
      </c>
      <c r="E132" s="30"/>
      <c r="F132" s="10"/>
      <c r="G132" s="10"/>
      <c r="H132" s="10"/>
      <c r="I132" s="13"/>
      <c r="J132" s="13"/>
      <c r="K132" s="13"/>
      <c r="L132" s="13"/>
      <c r="M132" s="1"/>
      <c r="N132" s="10"/>
      <c r="O132" s="10"/>
      <c r="P132" s="10"/>
      <c r="Q132" s="30"/>
      <c r="R132" s="18"/>
      <c r="S132" s="19"/>
      <c r="T132" s="10"/>
      <c r="U132" s="10"/>
      <c r="V132" s="10"/>
      <c r="W132" s="10"/>
      <c r="X132" s="19"/>
      <c r="Y132" s="1"/>
      <c r="Z132" s="1"/>
      <c r="AA132" s="1"/>
    </row>
    <row r="133" customHeight="1" spans="1:27">
      <c r="A133" s="1" t="str">
        <f>IFERROR(__xludf.DUMMYFUNCTION("""COMPUTED_VALUE"""),"Calliope 12")</f>
        <v>Calliope 12</v>
      </c>
      <c r="B133" s="1" t="str">
        <f>IFERROR(__xludf.DUMMYFUNCTION("""COMPUTED_VALUE"""),"Calliope 15")</f>
        <v>Calliope 15</v>
      </c>
      <c r="C133" s="1" t="str">
        <f>IFERROR(__xludf.DUMMYFUNCTION("""COMPUTED_VALUE"""),"Calliope 16")</f>
        <v>Calliope 16</v>
      </c>
      <c r="D133" s="1" t="str">
        <f>IFERROR(__xludf.DUMMYFUNCTION("""COMPUTED_VALUE"""),"Rock Cave 26P")</f>
        <v>Rock Cave 26P</v>
      </c>
      <c r="E133" s="30" t="str">
        <f>IFERROR(__xludf.DUMMYFUNCTION("""COMPUTED_VALUE"""),"RCave 26P")</f>
        <v>RCave 26P</v>
      </c>
      <c r="F133" s="10">
        <f>IFERROR(__xludf.DUMMYFUNCTION("""COMPUTED_VALUE"""),207.343295357)</f>
        <v>207.343295357</v>
      </c>
      <c r="G133" s="10">
        <f>IFERROR(__xludf.DUMMYFUNCTION("""COMPUTED_VALUE"""),-107.084616404)</f>
        <v>-107.084616404</v>
      </c>
      <c r="H133" s="10">
        <f>IFERROR(__xludf.DUMMYFUNCTION("""COMPUTED_VALUE"""),55.951304278)</f>
        <v>55.951304278</v>
      </c>
      <c r="I133" s="13"/>
      <c r="J133" s="13"/>
      <c r="K133" s="13"/>
      <c r="L133" s="13"/>
      <c r="M133" s="1" t="b">
        <f>IFERROR(__xludf.DUMMYFUNCTION("""COMPUTED_VALUE"""),FALSE)</f>
        <v>0</v>
      </c>
      <c r="N133" s="10">
        <f>IFERROR(__xludf.DUMMYFUNCTION("""COMPUTED_VALUE"""),0)</f>
        <v>0</v>
      </c>
      <c r="O133" s="10">
        <f>IFERROR(__xludf.DUMMYFUNCTION("""COMPUTED_VALUE"""),0)</f>
        <v>0</v>
      </c>
      <c r="P133" s="10"/>
      <c r="Q133" s="30"/>
      <c r="R133" s="18"/>
      <c r="S133" s="19"/>
      <c r="T133" s="10"/>
      <c r="U133" s="10"/>
      <c r="V133" s="10"/>
      <c r="W133" s="10"/>
      <c r="X133" s="19"/>
      <c r="Y133" s="1"/>
      <c r="Z133" s="1"/>
      <c r="AA133" s="1"/>
    </row>
    <row r="134" customHeight="1" spans="1:27">
      <c r="A134" s="1" t="str">
        <f>IFERROR(__xludf.DUMMYFUNCTION("""COMPUTED_VALUE"""),"Calliope 11")</f>
        <v>Calliope 11</v>
      </c>
      <c r="B134" s="1" t="str">
        <f>IFERROR(__xludf.DUMMYFUNCTION("""COMPUTED_VALUE"""),"Calliope 14")</f>
        <v>Calliope 14</v>
      </c>
      <c r="C134" s="1" t="str">
        <f>IFERROR(__xludf.DUMMYFUNCTION("""COMPUTED_VALUE"""),"Calliope 15")</f>
        <v>Calliope 15</v>
      </c>
      <c r="D134" s="1" t="str">
        <f>IFERROR(__xludf.DUMMYFUNCTION("""COMPUTED_VALUE"""),"Rock Cave 25R")</f>
        <v>Rock Cave 25R</v>
      </c>
      <c r="E134" s="30" t="str">
        <f>IFERROR(__xludf.DUMMYFUNCTION("""COMPUTED_VALUE"""),"RCave 25R")</f>
        <v>RCave 25R</v>
      </c>
      <c r="F134" s="10">
        <f>IFERROR(__xludf.DUMMYFUNCTION("""COMPUTED_VALUE"""),213.196319319)</f>
        <v>213.196319319</v>
      </c>
      <c r="G134" s="10">
        <f>IFERROR(__xludf.DUMMYFUNCTION("""COMPUTED_VALUE"""),-40.555954422)</f>
        <v>-40.555954422</v>
      </c>
      <c r="H134" s="10">
        <f>IFERROR(__xludf.DUMMYFUNCTION("""COMPUTED_VALUE"""),102.893182979)</f>
        <v>102.893182979</v>
      </c>
      <c r="I134" s="13"/>
      <c r="J134" s="13"/>
      <c r="K134" s="13"/>
      <c r="L134" s="13"/>
      <c r="M134" s="1" t="b">
        <f>IFERROR(__xludf.DUMMYFUNCTION("""COMPUTED_VALUE"""),FALSE)</f>
        <v>0</v>
      </c>
      <c r="N134" s="10">
        <f>IFERROR(__xludf.DUMMYFUNCTION("""COMPUTED_VALUE"""),0)</f>
        <v>0</v>
      </c>
      <c r="O134" s="10">
        <f>IFERROR(__xludf.DUMMYFUNCTION("""COMPUTED_VALUE"""),0)</f>
        <v>0</v>
      </c>
      <c r="P134" s="10"/>
      <c r="Q134" s="30"/>
      <c r="R134" s="18"/>
      <c r="S134" s="19"/>
      <c r="T134" s="10"/>
      <c r="U134" s="10"/>
      <c r="V134" s="10"/>
      <c r="W134" s="10"/>
      <c r="X134" s="19"/>
      <c r="Y134" s="1"/>
      <c r="Z134" s="1"/>
      <c r="AA134" s="1"/>
    </row>
    <row r="135" customHeight="1" spans="1:27">
      <c r="A135" s="1" t="str">
        <f>IFERROR(__xludf.DUMMYFUNCTION("""COMPUTED_VALUE"""),"Calliope 13")</f>
        <v>Calliope 13</v>
      </c>
      <c r="B135" s="1" t="str">
        <f>IFERROR(__xludf.DUMMYFUNCTION("""COMPUTED_VALUE"""),"Calliope 16")</f>
        <v>Calliope 16</v>
      </c>
      <c r="C135" s="1" t="str">
        <f>IFERROR(__xludf.DUMMYFUNCTION("""COMPUTED_VALUE"""),"Calliope 09")</f>
        <v>Calliope 09</v>
      </c>
      <c r="D135" s="1" t="str">
        <f>IFERROR(__xludf.DUMMYFUNCTION("""COMPUTED_VALUE"""),"Rock Cave 30T")</f>
        <v>Rock Cave 30T</v>
      </c>
      <c r="E135" s="30" t="str">
        <f>IFERROR(__xludf.DUMMYFUNCTION("""COMPUTED_VALUE"""),"RCave 30T")</f>
        <v>RCave 30T</v>
      </c>
      <c r="F135" s="10">
        <f>IFERROR(__xludf.DUMMYFUNCTION("""COMPUTED_VALUE"""),181.300399053)</f>
        <v>181.300399053</v>
      </c>
      <c r="G135" s="10">
        <f>IFERROR(__xludf.DUMMYFUNCTION("""COMPUTED_VALUE"""),-3.049119508)</f>
        <v>-3.049119508</v>
      </c>
      <c r="H135" s="10">
        <f>IFERROR(__xludf.DUMMYFUNCTION("""COMPUTED_VALUE"""),157.240353132999)</f>
        <v>157.240353132999</v>
      </c>
      <c r="I135" s="13"/>
      <c r="J135" s="13"/>
      <c r="K135" s="13"/>
      <c r="L135" s="13"/>
      <c r="M135" s="1" t="b">
        <f>IFERROR(__xludf.DUMMYFUNCTION("""COMPUTED_VALUE"""),FALSE)</f>
        <v>0</v>
      </c>
      <c r="N135" s="10">
        <f>IFERROR(__xludf.DUMMYFUNCTION("""COMPUTED_VALUE"""),0)</f>
        <v>0</v>
      </c>
      <c r="O135" s="10">
        <f>IFERROR(__xludf.DUMMYFUNCTION("""COMPUTED_VALUE"""),0)</f>
        <v>0</v>
      </c>
      <c r="P135" s="10"/>
      <c r="Q135" s="30"/>
      <c r="R135" s="18"/>
      <c r="S135" s="19"/>
      <c r="T135" s="10"/>
      <c r="U135" s="10"/>
      <c r="V135" s="10"/>
      <c r="W135" s="10"/>
      <c r="X135" s="19"/>
      <c r="Y135" s="1"/>
      <c r="Z135" s="1"/>
      <c r="AA135" s="1"/>
    </row>
    <row r="136" customHeight="1" spans="1:27">
      <c r="A136" s="1" t="str">
        <f>IFERROR(__xludf.DUMMYFUNCTION("""COMPUTED_VALUE"""),"Calliope")</f>
        <v>Calliope</v>
      </c>
      <c r="B136" s="1" t="str">
        <f>IFERROR(__xludf.DUMMYFUNCTION("""COMPUTED_VALUE"""),"Calliope 18")</f>
        <v>Calliope 18</v>
      </c>
      <c r="C136" s="1"/>
      <c r="D136" s="1" t="str">
        <f>IFERROR(__xludf.DUMMYFUNCTION("""COMPUTED_VALUE"""),"Wrecks")</f>
        <v>Wrecks</v>
      </c>
      <c r="E136" s="30"/>
      <c r="F136" s="10"/>
      <c r="G136" s="10"/>
      <c r="H136" s="10"/>
      <c r="I136" s="13"/>
      <c r="J136" s="13"/>
      <c r="K136" s="13"/>
      <c r="L136" s="13"/>
      <c r="M136" s="1"/>
      <c r="N136" s="10"/>
      <c r="O136" s="10"/>
      <c r="P136" s="10"/>
      <c r="Q136" s="30"/>
      <c r="R136" s="18"/>
      <c r="S136" s="19"/>
      <c r="T136" s="10"/>
      <c r="U136" s="10"/>
      <c r="V136" s="10"/>
      <c r="W136" s="10"/>
      <c r="X136" s="19"/>
      <c r="Y136" s="1"/>
      <c r="Z136" s="1"/>
      <c r="AA136" s="1"/>
    </row>
    <row r="137" customHeight="1" spans="1:27">
      <c r="A137" s="1" t="str">
        <f>IFERROR(__xludf.DUMMYFUNCTION("""COMPUTED_VALUE"""),"Calliope 14")</f>
        <v>Calliope 14</v>
      </c>
      <c r="B137" s="1" t="str">
        <f>IFERROR(__xludf.DUMMYFUNCTION("""COMPUTED_VALUE"""),"Calliope 19")</f>
        <v>Calliope 19</v>
      </c>
      <c r="C137" s="1" t="str">
        <f>IFERROR(__xludf.DUMMYFUNCTION("""COMPUTED_VALUE"""),"Calliope 17")</f>
        <v>Calliope 17</v>
      </c>
      <c r="D137" s="1" t="str">
        <f>IFERROR(__xludf.DUMMYFUNCTION("""COMPUTED_VALUE"""),"Caterpillar Wreck 25P")</f>
        <v>Caterpillar Wreck 25P</v>
      </c>
      <c r="E137" s="30" t="str">
        <f>IFERROR(__xludf.DUMMYFUNCTION("""COMPUTED_VALUE"""),"Caterpillar 25P")</f>
        <v>Caterpillar 25P</v>
      </c>
      <c r="F137" s="10">
        <f>IFERROR(__xludf.DUMMYFUNCTION("""COMPUTED_VALUE"""),199.393000555)</f>
        <v>199.393000555</v>
      </c>
      <c r="G137" s="10">
        <f>IFERROR(__xludf.DUMMYFUNCTION("""COMPUTED_VALUE"""),-126.187863186)</f>
        <v>-126.187863186</v>
      </c>
      <c r="H137" s="10">
        <f>IFERROR(__xludf.DUMMYFUNCTION("""COMPUTED_VALUE"""),45.984564892)</f>
        <v>45.984564892</v>
      </c>
      <c r="I137" s="13"/>
      <c r="J137" s="13"/>
      <c r="K137" s="13"/>
      <c r="L137" s="13"/>
      <c r="M137" s="1" t="b">
        <f>IFERROR(__xludf.DUMMYFUNCTION("""COMPUTED_VALUE"""),FALSE)</f>
        <v>0</v>
      </c>
      <c r="N137" s="10">
        <f>IFERROR(__xludf.DUMMYFUNCTION("""COMPUTED_VALUE"""),0)</f>
        <v>0</v>
      </c>
      <c r="O137" s="10">
        <f>IFERROR(__xludf.DUMMYFUNCTION("""COMPUTED_VALUE"""),0)</f>
        <v>0</v>
      </c>
      <c r="P137" s="10"/>
      <c r="Q137" s="30"/>
      <c r="R137" s="18"/>
      <c r="S137" s="19"/>
      <c r="T137" s="10"/>
      <c r="U137" s="10"/>
      <c r="V137" s="10"/>
      <c r="W137" s="10"/>
      <c r="X137" s="19"/>
      <c r="Y137" s="1"/>
      <c r="Z137" s="1"/>
      <c r="AA137" s="1"/>
    </row>
    <row r="138" customHeight="1" spans="1:27">
      <c r="A138" s="1" t="str">
        <f>IFERROR(__xludf.DUMMYFUNCTION("""COMPUTED_VALUE"""),"Calliope 15")</f>
        <v>Calliope 15</v>
      </c>
      <c r="B138" s="1" t="str">
        <f>IFERROR(__xludf.DUMMYFUNCTION("""COMPUTED_VALUE"""),"Calliope 20")</f>
        <v>Calliope 20</v>
      </c>
      <c r="C138" s="1" t="str">
        <f>IFERROR(__xludf.DUMMYFUNCTION("""COMPUTED_VALUE"""),"Calliope 14")</f>
        <v>Calliope 14</v>
      </c>
      <c r="D138" s="1" t="str">
        <f>IFERROR(__xludf.DUMMYFUNCTION("""COMPUTED_VALUE"""),"Caterpillar Wreck 29P")</f>
        <v>Caterpillar Wreck 29P</v>
      </c>
      <c r="E138" s="30" t="str">
        <f>IFERROR(__xludf.DUMMYFUNCTION("""COMPUTED_VALUE"""),"Caterpillar 29P")</f>
        <v>Caterpillar 29P</v>
      </c>
      <c r="F138" s="10">
        <f>IFERROR(__xludf.DUMMYFUNCTION("""COMPUTED_VALUE"""),232.098918105999)</f>
        <v>232.098918105999</v>
      </c>
      <c r="G138" s="10">
        <f>IFERROR(__xludf.DUMMYFUNCTION("""COMPUTED_VALUE"""),-41.3358274539999)</f>
        <v>-41.3358274539999</v>
      </c>
      <c r="H138" s="10">
        <f>IFERROR(__xludf.DUMMYFUNCTION("""COMPUTED_VALUE"""),45.8925226919998)</f>
        <v>45.8925226919998</v>
      </c>
      <c r="I138" s="13"/>
      <c r="J138" s="13"/>
      <c r="K138" s="13"/>
      <c r="L138" s="13"/>
      <c r="M138" s="1" t="b">
        <f>IFERROR(__xludf.DUMMYFUNCTION("""COMPUTED_VALUE"""),FALSE)</f>
        <v>0</v>
      </c>
      <c r="N138" s="10">
        <f>IFERROR(__xludf.DUMMYFUNCTION("""COMPUTED_VALUE"""),0)</f>
        <v>0</v>
      </c>
      <c r="O138" s="10">
        <f>IFERROR(__xludf.DUMMYFUNCTION("""COMPUTED_VALUE"""),0)</f>
        <v>0</v>
      </c>
      <c r="P138" s="10"/>
      <c r="Q138" s="30"/>
      <c r="R138" s="18"/>
      <c r="S138" s="19"/>
      <c r="T138" s="10"/>
      <c r="U138" s="10"/>
      <c r="V138" s="10"/>
      <c r="W138" s="10"/>
      <c r="X138" s="19"/>
      <c r="Y138" s="1"/>
      <c r="Z138" s="1"/>
      <c r="AA138" s="1"/>
    </row>
    <row r="139" customHeight="1" spans="1:27">
      <c r="A139" s="1" t="str">
        <f>IFERROR(__xludf.DUMMYFUNCTION("""COMPUTED_VALUE"""),"Calliope 16")</f>
        <v>Calliope 16</v>
      </c>
      <c r="B139" s="1" t="str">
        <f>IFERROR(__xludf.DUMMYFUNCTION("""COMPUTED_VALUE"""),"Calliope 21")</f>
        <v>Calliope 21</v>
      </c>
      <c r="C139" s="1" t="str">
        <f>IFERROR(__xludf.DUMMYFUNCTION("""COMPUTED_VALUE"""),"Calliope 10")</f>
        <v>Calliope 10</v>
      </c>
      <c r="D139" s="1" t="str">
        <f>IFERROR(__xludf.DUMMYFUNCTION("""COMPUTED_VALUE"""),"Caterpillar Wreck 30R")</f>
        <v>Caterpillar Wreck 30R</v>
      </c>
      <c r="E139" s="30" t="str">
        <f>IFERROR(__xludf.DUMMYFUNCTION("""COMPUTED_VALUE"""),"Caterpillar 30R")</f>
        <v>Caterpillar 30R</v>
      </c>
      <c r="F139" s="10">
        <f>IFERROR(__xludf.DUMMYFUNCTION("""COMPUTED_VALUE"""),218.632326066)</f>
        <v>218.632326066</v>
      </c>
      <c r="G139" s="10">
        <f>IFERROR(__xludf.DUMMYFUNCTION("""COMPUTED_VALUE"""),-7.016100032)</f>
        <v>-7.016100032</v>
      </c>
      <c r="H139" s="10">
        <f>IFERROR(__xludf.DUMMYFUNCTION("""COMPUTED_VALUE"""),99.0777021919998)</f>
        <v>99.0777021919998</v>
      </c>
      <c r="I139" s="13"/>
      <c r="J139" s="13"/>
      <c r="K139" s="13"/>
      <c r="L139" s="13"/>
      <c r="M139" s="1" t="b">
        <f>IFERROR(__xludf.DUMMYFUNCTION("""COMPUTED_VALUE"""),FALSE)</f>
        <v>0</v>
      </c>
      <c r="N139" s="10">
        <f>IFERROR(__xludf.DUMMYFUNCTION("""COMPUTED_VALUE"""),0)</f>
        <v>0</v>
      </c>
      <c r="O139" s="10">
        <f>IFERROR(__xludf.DUMMYFUNCTION("""COMPUTED_VALUE"""),0)</f>
        <v>0</v>
      </c>
      <c r="P139" s="10"/>
      <c r="Q139" s="30"/>
      <c r="R139" s="18"/>
      <c r="S139" s="19"/>
      <c r="T139" s="10"/>
      <c r="U139" s="10"/>
      <c r="V139" s="10"/>
      <c r="W139" s="10"/>
      <c r="X139" s="19"/>
      <c r="Y139" s="1"/>
      <c r="Z139" s="1"/>
      <c r="AA139" s="1"/>
    </row>
    <row r="140" customHeight="1" spans="1:27">
      <c r="A140" s="1" t="str">
        <f>IFERROR(__xludf.DUMMYFUNCTION("""COMPUTED_VALUE"""),"Calliope 17")</f>
        <v>Calliope 17</v>
      </c>
      <c r="B140" s="1" t="str">
        <f>IFERROR(__xludf.DUMMYFUNCTION("""COMPUTED_VALUE"""),"Calliope 22")</f>
        <v>Calliope 22</v>
      </c>
      <c r="C140" s="1" t="str">
        <f>IFERROR(__xludf.DUMMYFUNCTION("""COMPUTED_VALUE"""),"Calliope 16")</f>
        <v>Calliope 16</v>
      </c>
      <c r="D140" s="1" t="str">
        <f>IFERROR(__xludf.DUMMYFUNCTION("""COMPUTED_VALUE"""),"Cutlass Wreck")</f>
        <v>Cutlass Wreck</v>
      </c>
      <c r="E140" s="30" t="str">
        <f>IFERROR(__xludf.DUMMYFUNCTION("""COMPUTED_VALUE"""),"Cutlass")</f>
        <v>Cutlass</v>
      </c>
      <c r="F140" s="10">
        <f>IFERROR(__xludf.DUMMYFUNCTION("""COMPUTED_VALUE"""),234.804704319)</f>
        <v>234.804704319</v>
      </c>
      <c r="G140" s="10">
        <f>IFERROR(__xludf.DUMMYFUNCTION("""COMPUTED_VALUE"""),-46.6994728939998)</f>
        <v>-46.6994728939998</v>
      </c>
      <c r="H140" s="10">
        <f>IFERROR(__xludf.DUMMYFUNCTION("""COMPUTED_VALUE"""),16.919066492)</f>
        <v>16.919066492</v>
      </c>
      <c r="I140" s="13"/>
      <c r="J140" s="13"/>
      <c r="K140" s="13"/>
      <c r="L140" s="13"/>
      <c r="M140" s="1" t="b">
        <f>IFERROR(__xludf.DUMMYFUNCTION("""COMPUTED_VALUE"""),FALSE)</f>
        <v>0</v>
      </c>
      <c r="N140" s="10">
        <f>IFERROR(__xludf.DUMMYFUNCTION("""COMPUTED_VALUE"""),0)</f>
        <v>0</v>
      </c>
      <c r="O140" s="10">
        <f>IFERROR(__xludf.DUMMYFUNCTION("""COMPUTED_VALUE"""),0)</f>
        <v>0</v>
      </c>
      <c r="P140" s="10"/>
      <c r="Q140" s="30"/>
      <c r="R140" s="18"/>
      <c r="S140" s="19"/>
      <c r="T140" s="10"/>
      <c r="U140" s="10"/>
      <c r="V140" s="10"/>
      <c r="W140" s="10"/>
      <c r="X140" s="19"/>
      <c r="Y140" s="1"/>
      <c r="Z140" s="1"/>
      <c r="AA140" s="1"/>
    </row>
    <row r="141" customHeight="1" spans="1:27">
      <c r="A141" s="1" t="str">
        <f>IFERROR(__xludf.DUMMYFUNCTION("""COMPUTED_VALUE"""),"Calliope 18")</f>
        <v>Calliope 18</v>
      </c>
      <c r="B141" s="1" t="str">
        <f>IFERROR(__xludf.DUMMYFUNCTION("""COMPUTED_VALUE"""),"Calliope 23")</f>
        <v>Calliope 23</v>
      </c>
      <c r="C141" s="1" t="str">
        <f>IFERROR(__xludf.DUMMYFUNCTION("""COMPUTED_VALUE"""),"Calliope 13")</f>
        <v>Calliope 13</v>
      </c>
      <c r="D141" s="1" t="str">
        <f>IFERROR(__xludf.DUMMYFUNCTION("""COMPUTED_VALUE"""),"Starfarer Wreck 29Q")</f>
        <v>Starfarer Wreck 29Q</v>
      </c>
      <c r="E141" s="30" t="str">
        <f>IFERROR(__xludf.DUMMYFUNCTION("""COMPUTED_VALUE"""),"Starfarer 29Q")</f>
        <v>Starfarer 29Q</v>
      </c>
      <c r="F141" s="10">
        <f>IFERROR(__xludf.DUMMYFUNCTION("""COMPUTED_VALUE"""),225.967081596)</f>
        <v>225.967081596</v>
      </c>
      <c r="G141" s="10">
        <f>IFERROR(__xludf.DUMMYFUNCTION("""COMPUTED_VALUE"""),-35.1940396029999)</f>
        <v>-35.1940396029999</v>
      </c>
      <c r="H141" s="10">
        <f>IFERROR(__xludf.DUMMYFUNCTION("""COMPUTED_VALUE"""),73.7382120699999)</f>
        <v>73.7382120699999</v>
      </c>
      <c r="I141" s="13"/>
      <c r="J141" s="13"/>
      <c r="K141" s="13"/>
      <c r="L141" s="13"/>
      <c r="M141" s="1" t="b">
        <f>IFERROR(__xludf.DUMMYFUNCTION("""COMPUTED_VALUE"""),FALSE)</f>
        <v>0</v>
      </c>
      <c r="N141" s="10">
        <f>IFERROR(__xludf.DUMMYFUNCTION("""COMPUTED_VALUE"""),0)</f>
        <v>0</v>
      </c>
      <c r="O141" s="10">
        <f>IFERROR(__xludf.DUMMYFUNCTION("""COMPUTED_VALUE"""),0)</f>
        <v>0</v>
      </c>
      <c r="P141" s="10"/>
      <c r="Q141" s="30"/>
      <c r="R141" s="18"/>
      <c r="S141" s="19"/>
      <c r="T141" s="10"/>
      <c r="U141" s="10"/>
      <c r="V141" s="10"/>
      <c r="W141" s="10"/>
      <c r="X141" s="19"/>
      <c r="Y141" s="1"/>
      <c r="Z141" s="1"/>
      <c r="AA141" s="1"/>
    </row>
    <row r="142" customHeight="1" spans="1:27">
      <c r="A142" s="1" t="str">
        <f>IFERROR(__xludf.DUMMYFUNCTION("""COMPUTED_VALUE"""),"Calliope 19")</f>
        <v>Calliope 19</v>
      </c>
      <c r="B142" s="1" t="str">
        <f>IFERROR(__xludf.DUMMYFUNCTION("""COMPUTED_VALUE"""),"Calliope 24")</f>
        <v>Calliope 24</v>
      </c>
      <c r="C142" s="1" t="str">
        <f>IFERROR(__xludf.DUMMYFUNCTION("""COMPUTED_VALUE"""),"Calliope 05")</f>
        <v>Calliope 05</v>
      </c>
      <c r="D142" s="1" t="str">
        <f>IFERROR(__xludf.DUMMYFUNCTION("""COMPUTED_VALUE"""),"Starfarer Wreck 39M")</f>
        <v>Starfarer Wreck 39M</v>
      </c>
      <c r="E142" s="30" t="str">
        <f>IFERROR(__xludf.DUMMYFUNCTION("""COMPUTED_VALUE"""),"Starfarer 39M")</f>
        <v>Starfarer 39M</v>
      </c>
      <c r="F142" s="10">
        <f>IFERROR(__xludf.DUMMYFUNCTION("""COMPUTED_VALUE"""),152.524877042)</f>
        <v>152.524877042</v>
      </c>
      <c r="G142" s="10">
        <f>IFERROR(__xludf.DUMMYFUNCTION("""COMPUTED_VALUE"""),184.795799349)</f>
        <v>184.795799349</v>
      </c>
      <c r="H142" s="10">
        <f>IFERROR(__xludf.DUMMYFUNCTION("""COMPUTED_VALUE"""),-14.615864454)</f>
        <v>-14.615864454</v>
      </c>
      <c r="I142" s="13"/>
      <c r="J142" s="13"/>
      <c r="K142" s="13"/>
      <c r="L142" s="13"/>
      <c r="M142" s="1" t="b">
        <f>IFERROR(__xludf.DUMMYFUNCTION("""COMPUTED_VALUE"""),FALSE)</f>
        <v>0</v>
      </c>
      <c r="N142" s="10">
        <f>IFERROR(__xludf.DUMMYFUNCTION("""COMPUTED_VALUE"""),0)</f>
        <v>0</v>
      </c>
      <c r="O142" s="10">
        <f>IFERROR(__xludf.DUMMYFUNCTION("""COMPUTED_VALUE"""),0)</f>
        <v>0</v>
      </c>
      <c r="P142" s="10"/>
      <c r="Q142" s="30"/>
      <c r="R142" s="18"/>
      <c r="S142" s="19"/>
      <c r="T142" s="10"/>
      <c r="U142" s="10"/>
      <c r="V142" s="10"/>
      <c r="W142" s="10"/>
      <c r="X142" s="19"/>
      <c r="Y142" s="1"/>
      <c r="Z142" s="1"/>
      <c r="AA142" s="1"/>
    </row>
    <row r="143" customHeight="1" spans="1:27">
      <c r="A143" s="1" t="str">
        <f>IFERROR(__xludf.DUMMYFUNCTION("""COMPUTED_VALUE"""),"Calliope")</f>
        <v>Calliope</v>
      </c>
      <c r="B143" s="1" t="str">
        <f>IFERROR(__xludf.DUMMYFUNCTION("""COMPUTED_VALUE"""),"Calliope 26")</f>
        <v>Calliope 26</v>
      </c>
      <c r="C143" s="1"/>
      <c r="D143" s="1" t="str">
        <f>IFERROR(__xludf.DUMMYFUNCTION("""COMPUTED_VALUE"""),"Comm Array")</f>
        <v>Comm Array</v>
      </c>
      <c r="E143" s="30"/>
      <c r="F143" s="10"/>
      <c r="G143" s="10"/>
      <c r="H143" s="10"/>
      <c r="I143" s="13"/>
      <c r="J143" s="13"/>
      <c r="K143" s="13"/>
      <c r="L143" s="13"/>
      <c r="M143" s="1"/>
      <c r="N143" s="10"/>
      <c r="O143" s="10"/>
      <c r="P143" s="10"/>
      <c r="Q143" s="30"/>
      <c r="R143" s="18"/>
      <c r="S143" s="19"/>
      <c r="T143" s="10"/>
      <c r="U143" s="10"/>
      <c r="V143" s="10"/>
      <c r="W143" s="10"/>
      <c r="X143" s="19"/>
      <c r="Y143" s="1"/>
      <c r="Z143" s="1"/>
      <c r="AA143" s="1"/>
    </row>
    <row r="144" customHeight="1" spans="1:27">
      <c r="A144" s="1" t="str">
        <f>IFERROR(__xludf.DUMMYFUNCTION("""COMPUTED_VALUE"""),"Calliope 10")</f>
        <v>Calliope 10</v>
      </c>
      <c r="B144" s="1" t="str">
        <f>IFERROR(__xludf.DUMMYFUNCTION("""COMPUTED_VALUE"""),"Calliope 27")</f>
        <v>Calliope 27</v>
      </c>
      <c r="C144" s="1" t="str">
        <f>IFERROR(__xludf.DUMMYFUNCTION("""COMPUTED_VALUE"""),"Calliope 04")</f>
        <v>Calliope 04</v>
      </c>
      <c r="D144" s="1" t="str">
        <f>IFERROR(__xludf.DUMMYFUNCTION("""COMPUTED_VALUE"""),"Comm Array ST4-31")</f>
        <v>Comm Array ST4-31</v>
      </c>
      <c r="E144" s="30" t="str">
        <f>IFERROR(__xludf.DUMMYFUNCTION("""COMPUTED_VALUE"""),"ST4-31")</f>
        <v>ST4-31</v>
      </c>
      <c r="F144" s="10">
        <f>IFERROR(__xludf.DUMMYFUNCTION("""COMPUTED_VALUE"""),258.505721000671)</f>
        <v>258.505721000671</v>
      </c>
      <c r="G144" s="10">
        <f>IFERROR(__xludf.DUMMYFUNCTION("""COMPUTED_VALUE"""),474.193314002991)</f>
        <v>474.193314002991</v>
      </c>
      <c r="H144" s="10">
        <f>IFERROR(__xludf.DUMMYFUNCTION("""COMPUTED_VALUE"""),24)</f>
        <v>24</v>
      </c>
      <c r="I144" s="13"/>
      <c r="J144" s="13"/>
      <c r="K144" s="13"/>
      <c r="L144" s="13"/>
      <c r="M144" s="1" t="b">
        <f>IFERROR(__xludf.DUMMYFUNCTION("""COMPUTED_VALUE"""),TRUE)</f>
        <v>1</v>
      </c>
      <c r="N144" s="10">
        <f>IFERROR(__xludf.DUMMYFUNCTION("""COMPUTED_VALUE"""),0)</f>
        <v>0</v>
      </c>
      <c r="O144" s="10">
        <f>IFERROR(__xludf.DUMMYFUNCTION("""COMPUTED_VALUE"""),0)</f>
        <v>0</v>
      </c>
      <c r="P144" s="10"/>
      <c r="Q144" s="30"/>
      <c r="R144" s="18"/>
      <c r="S144" s="19"/>
      <c r="T144" s="10"/>
      <c r="U144" s="10"/>
      <c r="V144" s="10"/>
      <c r="W144" s="10"/>
      <c r="X144" s="19"/>
      <c r="Y144" s="1"/>
      <c r="Z144" s="1"/>
      <c r="AA144" s="1"/>
    </row>
    <row r="145" customHeight="1" spans="1:27">
      <c r="A145" s="1"/>
      <c r="B145" s="1"/>
      <c r="C145" s="1"/>
      <c r="D145" s="1"/>
      <c r="E145" s="30"/>
      <c r="F145" s="10"/>
      <c r="G145" s="10"/>
      <c r="H145" s="10"/>
      <c r="I145" s="13"/>
      <c r="J145" s="13"/>
      <c r="K145" s="13"/>
      <c r="L145" s="13"/>
      <c r="M145" s="1"/>
      <c r="N145" s="10"/>
      <c r="O145" s="10"/>
      <c r="P145" s="10"/>
      <c r="Q145" s="30"/>
      <c r="R145" s="18"/>
      <c r="S145" s="19"/>
      <c r="T145" s="10"/>
      <c r="U145" s="10"/>
      <c r="V145" s="10"/>
      <c r="W145" s="10"/>
      <c r="X145" s="19"/>
      <c r="Y145" s="1"/>
      <c r="Z145" s="1"/>
      <c r="AA145" s="1"/>
    </row>
    <row r="146" customHeight="1" spans="1:27">
      <c r="A146" s="1" t="str">
        <f>IFERROR(__xludf.DUMMYFUNCTION("""COMPUTED_VALUE"""),"Cellin R01")</f>
        <v>Cellin R01</v>
      </c>
      <c r="B146" s="1" t="str">
        <f>IFERROR(__xludf.DUMMYFUNCTION("""COMPUTED_VALUE"""),"Cellin 34")</f>
        <v>Cellin 34</v>
      </c>
      <c r="C146" s="1"/>
      <c r="D146" s="1" t="str">
        <f>IFERROR(__xludf.DUMMYFUNCTION("""COMPUTED_VALUE"""),"OM-1")</f>
        <v>OM-1</v>
      </c>
      <c r="E146" s="30" t="str">
        <f>IFERROR(__xludf.DUMMYFUNCTION("""COMPUTED_VALUE"""),"OM1")</f>
        <v>OM1</v>
      </c>
      <c r="F146" s="10">
        <f>IFERROR(__xludf.DUMMYFUNCTION("""COMPUTED_VALUE"""),0)</f>
        <v>0</v>
      </c>
      <c r="G146" s="10">
        <f>IFERROR(__xludf.DUMMYFUNCTION("""COMPUTED_VALUE"""),0)</f>
        <v>0</v>
      </c>
      <c r="H146" s="10">
        <f>IFERROR(__xludf.DUMMYFUNCTION("""COMPUTED_VALUE"""),380.53)</f>
        <v>380.53</v>
      </c>
      <c r="I146" s="13"/>
      <c r="J146" s="13"/>
      <c r="K146" s="13"/>
      <c r="L146" s="13"/>
      <c r="M146" s="1" t="b">
        <f>IFERROR(__xludf.DUMMYFUNCTION("""COMPUTED_VALUE"""),TRUE)</f>
        <v>1</v>
      </c>
      <c r="N146" s="10">
        <f>IFERROR(__xludf.DUMMYFUNCTION("""COMPUTED_VALUE"""),0)</f>
        <v>0</v>
      </c>
      <c r="O146" s="10">
        <f>IFERROR(__xludf.DUMMYFUNCTION("""COMPUTED_VALUE"""),0)</f>
        <v>0</v>
      </c>
      <c r="P146" s="10"/>
      <c r="Q146" s="30"/>
      <c r="R146" s="18"/>
      <c r="S146" s="19"/>
      <c r="T146" s="10"/>
      <c r="U146" s="10"/>
      <c r="V146" s="10"/>
      <c r="W146" s="10"/>
      <c r="X146" s="19"/>
      <c r="Y146" s="1"/>
      <c r="Z146" s="1"/>
      <c r="AA146" s="1"/>
    </row>
    <row r="147" customHeight="1" spans="1:27">
      <c r="A147" s="1" t="str">
        <f>IFERROR(__xludf.DUMMYFUNCTION("""COMPUTED_VALUE"""),"Cellin R02")</f>
        <v>Cellin R02</v>
      </c>
      <c r="B147" s="1" t="str">
        <f>IFERROR(__xludf.DUMMYFUNCTION("""COMPUTED_VALUE"""),"Cellin 35")</f>
        <v>Cellin 35</v>
      </c>
      <c r="C147" s="1"/>
      <c r="D147" s="1" t="str">
        <f>IFERROR(__xludf.DUMMYFUNCTION("""COMPUTED_VALUE"""),"OM-2")</f>
        <v>OM-2</v>
      </c>
      <c r="E147" s="30" t="str">
        <f>IFERROR(__xludf.DUMMYFUNCTION("""COMPUTED_VALUE"""),"OM2")</f>
        <v>OM2</v>
      </c>
      <c r="F147" s="10">
        <f>IFERROR(__xludf.DUMMYFUNCTION("""COMPUTED_VALUE"""),0)</f>
        <v>0</v>
      </c>
      <c r="G147" s="10">
        <f>IFERROR(__xludf.DUMMYFUNCTION("""COMPUTED_VALUE"""),0)</f>
        <v>0</v>
      </c>
      <c r="H147" s="10">
        <f>IFERROR(__xludf.DUMMYFUNCTION("""COMPUTED_VALUE"""),-380.53)</f>
        <v>-380.53</v>
      </c>
      <c r="I147" s="13"/>
      <c r="J147" s="13"/>
      <c r="K147" s="13"/>
      <c r="L147" s="13"/>
      <c r="M147" s="1" t="b">
        <f>IFERROR(__xludf.DUMMYFUNCTION("""COMPUTED_VALUE"""),TRUE)</f>
        <v>1</v>
      </c>
      <c r="N147" s="10">
        <f>IFERROR(__xludf.DUMMYFUNCTION("""COMPUTED_VALUE"""),0)</f>
        <v>0</v>
      </c>
      <c r="O147" s="10">
        <f>IFERROR(__xludf.DUMMYFUNCTION("""COMPUTED_VALUE"""),0)</f>
        <v>0</v>
      </c>
      <c r="P147" s="10"/>
      <c r="Q147" s="30"/>
      <c r="R147" s="18"/>
      <c r="S147" s="19"/>
      <c r="T147" s="10"/>
      <c r="U147" s="10"/>
      <c r="V147" s="10"/>
      <c r="W147" s="10"/>
      <c r="X147" s="19"/>
      <c r="Y147" s="1"/>
      <c r="Z147" s="1"/>
      <c r="AA147" s="1"/>
    </row>
    <row r="148" customHeight="1" spans="1:27">
      <c r="A148" s="1" t="str">
        <f>IFERROR(__xludf.DUMMYFUNCTION("""COMPUTED_VALUE"""),"Cellin R03")</f>
        <v>Cellin R03</v>
      </c>
      <c r="B148" s="1" t="str">
        <f>IFERROR(__xludf.DUMMYFUNCTION("""COMPUTED_VALUE"""),"Cellin 36")</f>
        <v>Cellin 36</v>
      </c>
      <c r="C148" s="1" t="str">
        <f>IFERROR(__xludf.DUMMYFUNCTION("""COMPUTED_VALUE"""),"Cellin 07")</f>
        <v>Cellin 07</v>
      </c>
      <c r="D148" s="1" t="str">
        <f>IFERROR(__xludf.DUMMYFUNCTION("""COMPUTED_VALUE"""),"OM-3")</f>
        <v>OM-3</v>
      </c>
      <c r="E148" s="30" t="str">
        <f>IFERROR(__xludf.DUMMYFUNCTION("""COMPUTED_VALUE"""),"OM3")</f>
        <v>OM3</v>
      </c>
      <c r="F148" s="10">
        <f>IFERROR(__xludf.DUMMYFUNCTION("""COMPUTED_VALUE"""),0)</f>
        <v>0</v>
      </c>
      <c r="G148" s="10">
        <f>IFERROR(__xludf.DUMMYFUNCTION("""COMPUTED_VALUE"""),380.53)</f>
        <v>380.53</v>
      </c>
      <c r="H148" s="10">
        <f>IFERROR(__xludf.DUMMYFUNCTION("""COMPUTED_VALUE"""),0)</f>
        <v>0</v>
      </c>
      <c r="I148" s="13"/>
      <c r="J148" s="13"/>
      <c r="K148" s="13"/>
      <c r="L148" s="13"/>
      <c r="M148" s="1" t="b">
        <f>IFERROR(__xludf.DUMMYFUNCTION("""COMPUTED_VALUE"""),TRUE)</f>
        <v>1</v>
      </c>
      <c r="N148" s="10">
        <f>IFERROR(__xludf.DUMMYFUNCTION("""COMPUTED_VALUE"""),0)</f>
        <v>0</v>
      </c>
      <c r="O148" s="10">
        <f>IFERROR(__xludf.DUMMYFUNCTION("""COMPUTED_VALUE"""),0)</f>
        <v>0</v>
      </c>
      <c r="P148" s="10"/>
      <c r="Q148" s="30"/>
      <c r="R148" s="18"/>
      <c r="S148" s="19"/>
      <c r="T148" s="10"/>
      <c r="U148" s="10"/>
      <c r="V148" s="10"/>
      <c r="W148" s="10"/>
      <c r="X148" s="19"/>
      <c r="Y148" s="1"/>
      <c r="Z148" s="1"/>
      <c r="AA148" s="1"/>
    </row>
    <row r="149" customHeight="1" spans="1:27">
      <c r="A149" s="1" t="str">
        <f>IFERROR(__xludf.DUMMYFUNCTION("""COMPUTED_VALUE"""),"Cellin R04")</f>
        <v>Cellin R04</v>
      </c>
      <c r="B149" s="1" t="str">
        <f>IFERROR(__xludf.DUMMYFUNCTION("""COMPUTED_VALUE"""),"Cellin 37")</f>
        <v>Cellin 37</v>
      </c>
      <c r="C149" s="1" t="str">
        <f>IFERROR(__xludf.DUMMYFUNCTION("""COMPUTED_VALUE"""),"Cellin 23")</f>
        <v>Cellin 23</v>
      </c>
      <c r="D149" s="1" t="str">
        <f>IFERROR(__xludf.DUMMYFUNCTION("""COMPUTED_VALUE"""),"OM-4")</f>
        <v>OM-4</v>
      </c>
      <c r="E149" s="30" t="str">
        <f>IFERROR(__xludf.DUMMYFUNCTION("""COMPUTED_VALUE"""),"OM4")</f>
        <v>OM4</v>
      </c>
      <c r="F149" s="10">
        <f>IFERROR(__xludf.DUMMYFUNCTION("""COMPUTED_VALUE"""),0)</f>
        <v>0</v>
      </c>
      <c r="G149" s="10">
        <f>IFERROR(__xludf.DUMMYFUNCTION("""COMPUTED_VALUE"""),-380.53)</f>
        <v>-380.53</v>
      </c>
      <c r="H149" s="10">
        <f>IFERROR(__xludf.DUMMYFUNCTION("""COMPUTED_VALUE"""),0)</f>
        <v>0</v>
      </c>
      <c r="I149" s="13"/>
      <c r="J149" s="13"/>
      <c r="K149" s="13"/>
      <c r="L149" s="13"/>
      <c r="M149" s="1" t="b">
        <f>IFERROR(__xludf.DUMMYFUNCTION("""COMPUTED_VALUE"""),TRUE)</f>
        <v>1</v>
      </c>
      <c r="N149" s="10">
        <f>IFERROR(__xludf.DUMMYFUNCTION("""COMPUTED_VALUE"""),0)</f>
        <v>0</v>
      </c>
      <c r="O149" s="10">
        <f>IFERROR(__xludf.DUMMYFUNCTION("""COMPUTED_VALUE"""),0)</f>
        <v>0</v>
      </c>
      <c r="P149" s="10"/>
      <c r="Q149" s="30"/>
      <c r="R149" s="18"/>
      <c r="S149" s="19"/>
      <c r="T149" s="10"/>
      <c r="U149" s="10"/>
      <c r="V149" s="10"/>
      <c r="W149" s="10"/>
      <c r="X149" s="19"/>
      <c r="Y149" s="1"/>
      <c r="Z149" s="1"/>
      <c r="AA149" s="1"/>
    </row>
    <row r="150" customHeight="1" spans="1:27">
      <c r="A150" s="1" t="str">
        <f>IFERROR(__xludf.DUMMYFUNCTION("""COMPUTED_VALUE"""),"Cellin R05")</f>
        <v>Cellin R05</v>
      </c>
      <c r="B150" s="1" t="str">
        <f>IFERROR(__xludf.DUMMYFUNCTION("""COMPUTED_VALUE"""),"Cellin 38")</f>
        <v>Cellin 38</v>
      </c>
      <c r="C150" s="1" t="str">
        <f>IFERROR(__xludf.DUMMYFUNCTION("""COMPUTED_VALUE"""),"Cellin 17")</f>
        <v>Cellin 17</v>
      </c>
      <c r="D150" s="1" t="str">
        <f>IFERROR(__xludf.DUMMYFUNCTION("""COMPUTED_VALUE"""),"OM-5")</f>
        <v>OM-5</v>
      </c>
      <c r="E150" s="30" t="str">
        <f>IFERROR(__xludf.DUMMYFUNCTION("""COMPUTED_VALUE"""),"OM5")</f>
        <v>OM5</v>
      </c>
      <c r="F150" s="10">
        <f>IFERROR(__xludf.DUMMYFUNCTION("""COMPUTED_VALUE"""),380.53)</f>
        <v>380.53</v>
      </c>
      <c r="G150" s="10">
        <f>IFERROR(__xludf.DUMMYFUNCTION("""COMPUTED_VALUE"""),0)</f>
        <v>0</v>
      </c>
      <c r="H150" s="10">
        <f>IFERROR(__xludf.DUMMYFUNCTION("""COMPUTED_VALUE"""),0)</f>
        <v>0</v>
      </c>
      <c r="I150" s="13"/>
      <c r="J150" s="13"/>
      <c r="K150" s="13"/>
      <c r="L150" s="13"/>
      <c r="M150" s="1" t="b">
        <f>IFERROR(__xludf.DUMMYFUNCTION("""COMPUTED_VALUE"""),TRUE)</f>
        <v>1</v>
      </c>
      <c r="N150" s="10">
        <f>IFERROR(__xludf.DUMMYFUNCTION("""COMPUTED_VALUE"""),0)</f>
        <v>0</v>
      </c>
      <c r="O150" s="10">
        <f>IFERROR(__xludf.DUMMYFUNCTION("""COMPUTED_VALUE"""),0)</f>
        <v>0</v>
      </c>
      <c r="P150" s="10"/>
      <c r="Q150" s="30"/>
      <c r="R150" s="18"/>
      <c r="S150" s="19"/>
      <c r="T150" s="10"/>
      <c r="U150" s="10"/>
      <c r="V150" s="10"/>
      <c r="W150" s="10"/>
      <c r="X150" s="19"/>
      <c r="Y150" s="1"/>
      <c r="Z150" s="1"/>
      <c r="AA150" s="1"/>
    </row>
    <row r="151" customHeight="1" spans="1:27">
      <c r="A151" s="1" t="str">
        <f>IFERROR(__xludf.DUMMYFUNCTION("""COMPUTED_VALUE"""),"Cellin R06")</f>
        <v>Cellin R06</v>
      </c>
      <c r="B151" s="1" t="str">
        <f>IFERROR(__xludf.DUMMYFUNCTION("""COMPUTED_VALUE"""),"Cellin 39")</f>
        <v>Cellin 39</v>
      </c>
      <c r="C151" s="1" t="str">
        <f>IFERROR(__xludf.DUMMYFUNCTION("""COMPUTED_VALUE"""),"Cellin 26")</f>
        <v>Cellin 26</v>
      </c>
      <c r="D151" s="1" t="str">
        <f>IFERROR(__xludf.DUMMYFUNCTION("""COMPUTED_VALUE"""),"OM-6")</f>
        <v>OM-6</v>
      </c>
      <c r="E151" s="30" t="str">
        <f>IFERROR(__xludf.DUMMYFUNCTION("""COMPUTED_VALUE"""),"OM6")</f>
        <v>OM6</v>
      </c>
      <c r="F151" s="10">
        <f>IFERROR(__xludf.DUMMYFUNCTION("""COMPUTED_VALUE"""),-380.53)</f>
        <v>-380.53</v>
      </c>
      <c r="G151" s="10">
        <f>IFERROR(__xludf.DUMMYFUNCTION("""COMPUTED_VALUE"""),0)</f>
        <v>0</v>
      </c>
      <c r="H151" s="10">
        <f>IFERROR(__xludf.DUMMYFUNCTION("""COMPUTED_VALUE"""),0)</f>
        <v>0</v>
      </c>
      <c r="I151" s="13"/>
      <c r="J151" s="13"/>
      <c r="K151" s="13"/>
      <c r="L151" s="13"/>
      <c r="M151" s="1" t="b">
        <f>IFERROR(__xludf.DUMMYFUNCTION("""COMPUTED_VALUE"""),TRUE)</f>
        <v>1</v>
      </c>
      <c r="N151" s="10">
        <f>IFERROR(__xludf.DUMMYFUNCTION("""COMPUTED_VALUE"""),0)</f>
        <v>0</v>
      </c>
      <c r="O151" s="10">
        <f>IFERROR(__xludf.DUMMYFUNCTION("""COMPUTED_VALUE"""),0)</f>
        <v>0</v>
      </c>
      <c r="P151" s="10"/>
      <c r="Q151" s="30"/>
      <c r="R151" s="18"/>
      <c r="S151" s="19"/>
      <c r="T151" s="10"/>
      <c r="U151" s="10"/>
      <c r="V151" s="10"/>
      <c r="W151" s="10"/>
      <c r="X151" s="19"/>
      <c r="Y151" s="1"/>
      <c r="Z151" s="1"/>
      <c r="AA151" s="1"/>
    </row>
    <row r="152" customHeight="1" spans="1:27">
      <c r="A152" s="1" t="str">
        <f>IFERROR(__xludf.DUMMYFUNCTION("""COMPUTED_VALUE"""),"Cellin")</f>
        <v>Cellin</v>
      </c>
      <c r="B152" s="1" t="str">
        <f>IFERROR(__xludf.DUMMYFUNCTION("""COMPUTED_VALUE"""),"Cellin 00")</f>
        <v>Cellin 00</v>
      </c>
      <c r="C152" s="1"/>
      <c r="D152" s="1" t="str">
        <f>IFERROR(__xludf.DUMMYFUNCTION("""COMPUTED_VALUE"""),"Trading Terminals")</f>
        <v>Trading Terminals</v>
      </c>
      <c r="E152" s="30"/>
      <c r="F152" s="10"/>
      <c r="G152" s="10"/>
      <c r="H152" s="10"/>
      <c r="I152" s="13"/>
      <c r="J152" s="13"/>
      <c r="K152" s="13"/>
      <c r="L152" s="13"/>
      <c r="M152" s="1"/>
      <c r="N152" s="10"/>
      <c r="O152" s="10"/>
      <c r="P152" s="10"/>
      <c r="Q152" s="30"/>
      <c r="R152" s="18"/>
      <c r="S152" s="19"/>
      <c r="T152" s="10"/>
      <c r="U152" s="10"/>
      <c r="V152" s="10"/>
      <c r="W152" s="10"/>
      <c r="X152" s="19"/>
      <c r="Y152" s="1"/>
      <c r="Z152" s="1"/>
      <c r="AA152" s="1"/>
    </row>
    <row r="153" customHeight="1" spans="1:27">
      <c r="A153" s="1" t="str">
        <f>IFERROR(__xludf.DUMMYFUNCTION("""COMPUTED_VALUE"""),"Cellin 01")</f>
        <v>Cellin 01</v>
      </c>
      <c r="B153" s="1" t="str">
        <f>IFERROR(__xludf.DUMMYFUNCTION("""COMPUTED_VALUE"""),"Cellin 01")</f>
        <v>Cellin 01</v>
      </c>
      <c r="C153" s="1" t="str">
        <f>IFERROR(__xludf.DUMMYFUNCTION("""COMPUTED_VALUE"""),"Cellin 06")</f>
        <v>Cellin 06</v>
      </c>
      <c r="D153" s="1" t="str">
        <f>IFERROR(__xludf.DUMMYFUNCTION("""COMPUTED_VALUE"""),"Gallete Family Farms")</f>
        <v>Gallete Family Farms</v>
      </c>
      <c r="E153" s="30" t="str">
        <f>IFERROR(__xludf.DUMMYFUNCTION("""COMPUTED_VALUE"""),"Gallete")</f>
        <v>Gallete</v>
      </c>
      <c r="F153" s="10">
        <f>IFERROR(__xludf.DUMMYFUNCTION("""COMPUTED_VALUE"""),-89.471079746)</f>
        <v>-89.471079746</v>
      </c>
      <c r="G153" s="10">
        <f>IFERROR(__xludf.DUMMYFUNCTION("""COMPUTED_VALUE"""),106.716830059)</f>
        <v>106.716830059</v>
      </c>
      <c r="H153" s="10">
        <f>IFERROR(__xludf.DUMMYFUNCTION("""COMPUTED_VALUE"""),220.041097737)</f>
        <v>220.041097737</v>
      </c>
      <c r="I153" s="13"/>
      <c r="J153" s="13"/>
      <c r="K153" s="13"/>
      <c r="L153" s="13"/>
      <c r="M153" s="1" t="b">
        <f>IFERROR(__xludf.DUMMYFUNCTION("""COMPUTED_VALUE"""),TRUE)</f>
        <v>1</v>
      </c>
      <c r="N153" s="10">
        <f>IFERROR(__xludf.DUMMYFUNCTION("""COMPUTED_VALUE"""),0)</f>
        <v>0</v>
      </c>
      <c r="O153" s="10">
        <f>IFERROR(__xludf.DUMMYFUNCTION("""COMPUTED_VALUE"""),0)</f>
        <v>0</v>
      </c>
      <c r="P153" s="10"/>
      <c r="Q153" s="30"/>
      <c r="R153" s="18"/>
      <c r="S153" s="19"/>
      <c r="T153" s="10"/>
      <c r="U153" s="10"/>
      <c r="V153" s="10"/>
      <c r="W153" s="10"/>
      <c r="X153" s="19"/>
      <c r="Y153" s="1"/>
      <c r="Z153" s="1"/>
      <c r="AA153" s="1"/>
    </row>
    <row r="154" customHeight="1" spans="1:27">
      <c r="A154" s="1" t="str">
        <f>IFERROR(__xludf.DUMMYFUNCTION("""COMPUTED_VALUE"""),"Cellin 02")</f>
        <v>Cellin 02</v>
      </c>
      <c r="B154" s="1" t="str">
        <f>IFERROR(__xludf.DUMMYFUNCTION("""COMPUTED_VALUE"""),"Cellin 02")</f>
        <v>Cellin 02</v>
      </c>
      <c r="C154" s="1" t="str">
        <f>IFERROR(__xludf.DUMMYFUNCTION("""COMPUTED_VALUE"""),"Cellin 09")</f>
        <v>Cellin 09</v>
      </c>
      <c r="D154" s="1" t="str">
        <f>IFERROR(__xludf.DUMMYFUNCTION("""COMPUTED_VALUE"""),"Hickes Research Outpost (PB)")</f>
        <v>Hickes Research Outpost (PB)</v>
      </c>
      <c r="E154" s="30" t="str">
        <f>IFERROR(__xludf.DUMMYFUNCTION("""COMPUTED_VALUE"""),"Hickes")</f>
        <v>Hickes</v>
      </c>
      <c r="F154" s="10">
        <f>IFERROR(__xludf.DUMMYFUNCTION("""COMPUTED_VALUE"""),3.27005712499999)</f>
        <v>3.27005712499999</v>
      </c>
      <c r="G154" s="10">
        <f>IFERROR(__xludf.DUMMYFUNCTION("""COMPUTED_VALUE"""),13.090707017)</f>
        <v>13.090707017</v>
      </c>
      <c r="H154" s="10">
        <f>IFERROR(__xludf.DUMMYFUNCTION("""COMPUTED_VALUE"""),-260.315952851)</f>
        <v>-260.315952851</v>
      </c>
      <c r="I154" s="13"/>
      <c r="J154" s="13"/>
      <c r="K154" s="13"/>
      <c r="L154" s="13"/>
      <c r="M154" s="1" t="b">
        <f>IFERROR(__xludf.DUMMYFUNCTION("""COMPUTED_VALUE"""),TRUE)</f>
        <v>1</v>
      </c>
      <c r="N154" s="10">
        <f>IFERROR(__xludf.DUMMYFUNCTION("""COMPUTED_VALUE"""),0)</f>
        <v>0</v>
      </c>
      <c r="O154" s="10">
        <f>IFERROR(__xludf.DUMMYFUNCTION("""COMPUTED_VALUE"""),0)</f>
        <v>0</v>
      </c>
      <c r="P154" s="10"/>
      <c r="Q154" s="30"/>
      <c r="R154" s="18"/>
      <c r="S154" s="19"/>
      <c r="T154" s="10"/>
      <c r="U154" s="10"/>
      <c r="V154" s="10"/>
      <c r="W154" s="10"/>
      <c r="X154" s="19"/>
      <c r="Y154" s="1"/>
      <c r="Z154" s="1"/>
      <c r="AA154" s="1"/>
    </row>
    <row r="155" customHeight="1" spans="1:27">
      <c r="A155" s="1" t="str">
        <f>IFERROR(__xludf.DUMMYFUNCTION("""COMPUTED_VALUE"""),"Cellin 03")</f>
        <v>Cellin 03</v>
      </c>
      <c r="B155" s="1" t="str">
        <f>IFERROR(__xludf.DUMMYFUNCTION("""COMPUTED_VALUE"""),"Cellin 03")</f>
        <v>Cellin 03</v>
      </c>
      <c r="C155" s="1" t="str">
        <f>IFERROR(__xludf.DUMMYFUNCTION("""COMPUTED_VALUE"""),"Cellin 15")</f>
        <v>Cellin 15</v>
      </c>
      <c r="D155" s="1" t="str">
        <f>IFERROR(__xludf.DUMMYFUNCTION("""COMPUTED_VALUE"""),"Terra Mills HydroFarm (PB)")</f>
        <v>Terra Mills HydroFarm (PB)</v>
      </c>
      <c r="E155" s="30" t="str">
        <f>IFERROR(__xludf.DUMMYFUNCTION("""COMPUTED_VALUE"""),"TerraMills")</f>
        <v>TerraMills</v>
      </c>
      <c r="F155" s="10">
        <f>IFERROR(__xludf.DUMMYFUNCTION("""COMPUTED_VALUE"""),100.136911598)</f>
        <v>100.136911598</v>
      </c>
      <c r="G155" s="10">
        <f>IFERROR(__xludf.DUMMYFUNCTION("""COMPUTED_VALUE"""),27.7006790059999)</f>
        <v>27.7006790059999</v>
      </c>
      <c r="H155" s="10">
        <f>IFERROR(__xludf.DUMMYFUNCTION("""COMPUTED_VALUE"""),239.024369118)</f>
        <v>239.024369118</v>
      </c>
      <c r="I155" s="13"/>
      <c r="J155" s="13"/>
      <c r="K155" s="13"/>
      <c r="L155" s="13"/>
      <c r="M155" s="1" t="b">
        <f>IFERROR(__xludf.DUMMYFUNCTION("""COMPUTED_VALUE"""),TRUE)</f>
        <v>1</v>
      </c>
      <c r="N155" s="10">
        <f>IFERROR(__xludf.DUMMYFUNCTION("""COMPUTED_VALUE"""),0)</f>
        <v>0</v>
      </c>
      <c r="O155" s="10">
        <f>IFERROR(__xludf.DUMMYFUNCTION("""COMPUTED_VALUE"""),0)</f>
        <v>0</v>
      </c>
      <c r="P155" s="10"/>
      <c r="Q155" s="30"/>
      <c r="R155" s="18"/>
      <c r="S155" s="19"/>
      <c r="T155" s="10"/>
      <c r="U155" s="10"/>
      <c r="V155" s="10"/>
      <c r="W155" s="10"/>
      <c r="X155" s="19"/>
      <c r="Y155" s="1"/>
      <c r="Z155" s="1"/>
      <c r="AA155" s="1"/>
    </row>
    <row r="156" customHeight="1" spans="1:27">
      <c r="A156" s="1" t="str">
        <f>IFERROR(__xludf.DUMMYFUNCTION("""COMPUTED_VALUE"""),"Cellin 04")</f>
        <v>Cellin 04</v>
      </c>
      <c r="B156" s="1" t="str">
        <f>IFERROR(__xludf.DUMMYFUNCTION("""COMPUTED_VALUE"""),"Cellin 04")</f>
        <v>Cellin 04</v>
      </c>
      <c r="C156" s="1" t="str">
        <f>IFERROR(__xludf.DUMMYFUNCTION("""COMPUTED_VALUE"""),"Cellin 01")</f>
        <v>Cellin 01</v>
      </c>
      <c r="D156" s="1" t="str">
        <f>IFERROR(__xludf.DUMMYFUNCTION("""COMPUTED_VALUE"""),"Tram &amp; Myers Mining")</f>
        <v>Tram &amp; Myers Mining</v>
      </c>
      <c r="E156" s="30" t="str">
        <f>IFERROR(__xludf.DUMMYFUNCTION("""COMPUTED_VALUE"""),"TramMyers")</f>
        <v>TramMyers</v>
      </c>
      <c r="F156" s="10">
        <f>IFERROR(__xludf.DUMMYFUNCTION("""COMPUTED_VALUE"""),-241.16404418)</f>
        <v>-241.16404418</v>
      </c>
      <c r="G156" s="10">
        <f>IFERROR(__xludf.DUMMYFUNCTION("""COMPUTED_VALUE"""),2.39636862599999)</f>
        <v>2.39636862599999</v>
      </c>
      <c r="H156" s="10">
        <f>IFERROR(__xludf.DUMMYFUNCTION("""COMPUTED_VALUE"""),-98.7002332719998)</f>
        <v>-98.7002332719998</v>
      </c>
      <c r="I156" s="13"/>
      <c r="J156" s="13"/>
      <c r="K156" s="13"/>
      <c r="L156" s="13"/>
      <c r="M156" s="1" t="b">
        <f>IFERROR(__xludf.DUMMYFUNCTION("""COMPUTED_VALUE"""),TRUE)</f>
        <v>1</v>
      </c>
      <c r="N156" s="10">
        <f>IFERROR(__xludf.DUMMYFUNCTION("""COMPUTED_VALUE"""),0)</f>
        <v>0</v>
      </c>
      <c r="O156" s="10">
        <f>IFERROR(__xludf.DUMMYFUNCTION("""COMPUTED_VALUE"""),0)</f>
        <v>0</v>
      </c>
      <c r="P156" s="10"/>
      <c r="Q156" s="30"/>
      <c r="R156" s="18"/>
      <c r="S156" s="19"/>
      <c r="T156" s="10"/>
      <c r="U156" s="10"/>
      <c r="V156" s="10"/>
      <c r="W156" s="10"/>
      <c r="X156" s="19"/>
      <c r="Y156" s="1"/>
      <c r="Z156" s="1"/>
      <c r="AA156" s="1"/>
    </row>
    <row r="157" customHeight="1" spans="1:27">
      <c r="A157" s="1" t="str">
        <f>IFERROR(__xludf.DUMMYFUNCTION("""COMPUTED_VALUE"""),"Cellin 05")</f>
        <v>Cellin 05</v>
      </c>
      <c r="B157" s="1" t="str">
        <f>IFERROR(__xludf.DUMMYFUNCTION("""COMPUTED_VALUE"""),"Cellin 05")</f>
        <v>Cellin 05</v>
      </c>
      <c r="C157" s="1" t="str">
        <f>IFERROR(__xludf.DUMMYFUNCTION("""COMPUTED_VALUE"""),"Cellin 19")</f>
        <v>Cellin 19</v>
      </c>
      <c r="D157" s="1" t="str">
        <f>IFERROR(__xludf.DUMMYFUNCTION("""COMPUTED_VALUE"""),"Cellin Stash House (Private Property)")</f>
        <v>Cellin Stash House (Private Property)</v>
      </c>
      <c r="E157" s="30" t="str">
        <f>IFERROR(__xludf.DUMMYFUNCTION("""COMPUTED_VALUE"""),"Stash")</f>
        <v>Stash</v>
      </c>
      <c r="F157" s="10">
        <f>IFERROR(__xludf.DUMMYFUNCTION("""COMPUTED_VALUE"""),97.7489381589998)</f>
        <v>97.7489381589998</v>
      </c>
      <c r="G157" s="10">
        <f>IFERROR(__xludf.DUMMYFUNCTION("""COMPUTED_VALUE"""),-173.763985546999)</f>
        <v>-173.763985546999</v>
      </c>
      <c r="H157" s="10">
        <f>IFERROR(__xludf.DUMMYFUNCTION("""COMPUTED_VALUE"""),167.078469877)</f>
        <v>167.078469877</v>
      </c>
      <c r="I157" s="13"/>
      <c r="J157" s="13"/>
      <c r="K157" s="13"/>
      <c r="L157" s="13"/>
      <c r="M157" s="1" t="b">
        <f>IFERROR(__xludf.DUMMYFUNCTION("""COMPUTED_VALUE"""),TRUE)</f>
        <v>1</v>
      </c>
      <c r="N157" s="10">
        <f>IFERROR(__xludf.DUMMYFUNCTION("""COMPUTED_VALUE"""),0)</f>
        <v>0</v>
      </c>
      <c r="O157" s="10">
        <f>IFERROR(__xludf.DUMMYFUNCTION("""COMPUTED_VALUE"""),0)</f>
        <v>0</v>
      </c>
      <c r="P157" s="10"/>
      <c r="Q157" s="30"/>
      <c r="R157" s="18"/>
      <c r="S157" s="19"/>
      <c r="T157" s="10"/>
      <c r="U157" s="10"/>
      <c r="V157" s="10"/>
      <c r="W157" s="10"/>
      <c r="X157" s="19"/>
      <c r="Y157" s="1"/>
      <c r="Z157" s="1"/>
      <c r="AA157" s="1"/>
    </row>
    <row r="158" customHeight="1" spans="1:27">
      <c r="A158" s="1" t="str">
        <f>IFERROR(__xludf.DUMMYFUNCTION("""COMPUTED_VALUE"""),"Cellin")</f>
        <v>Cellin</v>
      </c>
      <c r="B158" s="1" t="str">
        <f>IFERROR(__xludf.DUMMYFUNCTION("""COMPUTED_VALUE"""),"Cellin 07")</f>
        <v>Cellin 07</v>
      </c>
      <c r="C158" s="1"/>
      <c r="D158" s="1" t="str">
        <f>IFERROR(__xludf.DUMMYFUNCTION("""COMPUTED_VALUE"""),"Underground Bunker Facilities")</f>
        <v>Underground Bunker Facilities</v>
      </c>
      <c r="E158" s="30"/>
      <c r="F158" s="10"/>
      <c r="G158" s="10"/>
      <c r="H158" s="10"/>
      <c r="I158" s="13"/>
      <c r="J158" s="13"/>
      <c r="K158" s="13"/>
      <c r="L158" s="13"/>
      <c r="M158" s="1"/>
      <c r="N158" s="10"/>
      <c r="O158" s="10"/>
      <c r="P158" s="10"/>
      <c r="Q158" s="30"/>
      <c r="R158" s="18"/>
      <c r="S158" s="19"/>
      <c r="T158" s="10"/>
      <c r="U158" s="10"/>
      <c r="V158" s="10"/>
      <c r="W158" s="10"/>
      <c r="X158" s="19"/>
      <c r="Y158" s="1"/>
      <c r="Z158" s="1"/>
      <c r="AA158" s="1"/>
    </row>
    <row r="159" customHeight="1" spans="1:27">
      <c r="A159" s="1" t="str">
        <f>IFERROR(__xludf.DUMMYFUNCTION("""COMPUTED_VALUE"""),"Cellin 06")</f>
        <v>Cellin 06</v>
      </c>
      <c r="B159" s="1" t="str">
        <f>IFERROR(__xludf.DUMMYFUNCTION("""COMPUTED_VALUE"""),"Cellin 08")</f>
        <v>Cellin 08</v>
      </c>
      <c r="C159" s="1" t="str">
        <f>IFERROR(__xludf.DUMMYFUNCTION("""COMPUTED_VALUE"""),"Cellin 13")</f>
        <v>Cellin 13</v>
      </c>
      <c r="D159" s="1" t="str">
        <f>IFERROR(__xludf.DUMMYFUNCTION("""COMPUTED_VALUE"""),"NT-999-XV")</f>
        <v>NT-999-XV</v>
      </c>
      <c r="E159" s="30" t="str">
        <f>IFERROR(__xludf.DUMMYFUNCTION("""COMPUTED_VALUE"""),"NT999XV")</f>
        <v>NT999XV</v>
      </c>
      <c r="F159" s="10">
        <f>IFERROR(__xludf.DUMMYFUNCTION("""COMPUTED_VALUE"""),146.84857443)</f>
        <v>146.84857443</v>
      </c>
      <c r="G159" s="10">
        <f>IFERROR(__xludf.DUMMYFUNCTION("""COMPUTED_VALUE"""),135.264197531)</f>
        <v>135.264197531</v>
      </c>
      <c r="H159" s="10">
        <f>IFERROR(__xludf.DUMMYFUNCTION("""COMPUTED_VALUE"""),167.452103602999)</f>
        <v>167.452103602999</v>
      </c>
      <c r="I159" s="13"/>
      <c r="J159" s="13"/>
      <c r="K159" s="13"/>
      <c r="L159" s="13"/>
      <c r="M159" s="1" t="b">
        <f>IFERROR(__xludf.DUMMYFUNCTION("""COMPUTED_VALUE"""),TRUE)</f>
        <v>1</v>
      </c>
      <c r="N159" s="10">
        <f>IFERROR(__xludf.DUMMYFUNCTION("""COMPUTED_VALUE"""),0)</f>
        <v>0</v>
      </c>
      <c r="O159" s="10">
        <f>IFERROR(__xludf.DUMMYFUNCTION("""COMPUTED_VALUE"""),0)</f>
        <v>0</v>
      </c>
      <c r="P159" s="10"/>
      <c r="Q159" s="30"/>
      <c r="R159" s="18"/>
      <c r="S159" s="19"/>
      <c r="T159" s="10"/>
      <c r="U159" s="10"/>
      <c r="V159" s="10"/>
      <c r="W159" s="10"/>
      <c r="X159" s="19"/>
      <c r="Y159" s="1"/>
      <c r="Z159" s="1"/>
      <c r="AA159" s="1"/>
    </row>
    <row r="160" customHeight="1" spans="1:27">
      <c r="A160" s="1" t="str">
        <f>IFERROR(__xludf.DUMMYFUNCTION("""COMPUTED_VALUE"""),"Cellin 07")</f>
        <v>Cellin 07</v>
      </c>
      <c r="B160" s="1" t="str">
        <f>IFERROR(__xludf.DUMMYFUNCTION("""COMPUTED_VALUE"""),"Cellin 09")</f>
        <v>Cellin 09</v>
      </c>
      <c r="C160" s="1" t="str">
        <f>IFERROR(__xludf.DUMMYFUNCTION("""COMPUTED_VALUE"""),"Cellin 16")</f>
        <v>Cellin 16</v>
      </c>
      <c r="D160" s="1" t="str">
        <f>IFERROR(__xludf.DUMMYFUNCTION("""COMPUTED_VALUE"""),"Security Post Criska")</f>
        <v>Security Post Criska</v>
      </c>
      <c r="E160" s="30" t="str">
        <f>IFERROR(__xludf.DUMMYFUNCTION("""COMPUTED_VALUE"""),"Criska")</f>
        <v>Criska</v>
      </c>
      <c r="F160" s="10">
        <f>IFERROR(__xludf.DUMMYFUNCTION("""COMPUTED_VALUE"""),252.518284892)</f>
        <v>252.518284892</v>
      </c>
      <c r="G160" s="10">
        <f>IFERROR(__xludf.DUMMYFUNCTION("""COMPUTED_VALUE"""),62.91717199)</f>
        <v>62.91717199</v>
      </c>
      <c r="H160" s="10">
        <f>IFERROR(__xludf.DUMMYFUNCTION("""COMPUTED_VALUE"""),13.987825758)</f>
        <v>13.987825758</v>
      </c>
      <c r="I160" s="13"/>
      <c r="J160" s="13"/>
      <c r="K160" s="13"/>
      <c r="L160" s="13"/>
      <c r="M160" s="1" t="b">
        <f>IFERROR(__xludf.DUMMYFUNCTION("""COMPUTED_VALUE"""),TRUE)</f>
        <v>1</v>
      </c>
      <c r="N160" s="10">
        <f>IFERROR(__xludf.DUMMYFUNCTION("""COMPUTED_VALUE"""),0)</f>
        <v>0</v>
      </c>
      <c r="O160" s="10">
        <f>IFERROR(__xludf.DUMMYFUNCTION("""COMPUTED_VALUE"""),0)</f>
        <v>0</v>
      </c>
      <c r="P160" s="10"/>
      <c r="Q160" s="30"/>
      <c r="R160" s="18"/>
      <c r="S160" s="19"/>
      <c r="T160" s="10"/>
      <c r="U160" s="10"/>
      <c r="V160" s="10"/>
      <c r="W160" s="10"/>
      <c r="X160" s="19"/>
      <c r="Y160" s="1"/>
      <c r="Z160" s="1"/>
      <c r="AA160" s="1"/>
    </row>
    <row r="161" customHeight="1" spans="1:27">
      <c r="A161" s="1" t="str">
        <f>IFERROR(__xludf.DUMMYFUNCTION("""COMPUTED_VALUE"""),"Cellin 08")</f>
        <v>Cellin 08</v>
      </c>
      <c r="B161" s="1" t="str">
        <f>IFERROR(__xludf.DUMMYFUNCTION("""COMPUTED_VALUE"""),"Cellin 10")</f>
        <v>Cellin 10</v>
      </c>
      <c r="C161" s="1" t="str">
        <f>IFERROR(__xludf.DUMMYFUNCTION("""COMPUTED_VALUE"""),"Cellin 14")</f>
        <v>Cellin 14</v>
      </c>
      <c r="D161" s="1" t="str">
        <f>IFERROR(__xludf.DUMMYFUNCTION("""COMPUTED_VALUE"""),"Security Post Dipur")</f>
        <v>Security Post Dipur</v>
      </c>
      <c r="E161" s="30" t="str">
        <f>IFERROR(__xludf.DUMMYFUNCTION("""COMPUTED_VALUE"""),"Dipur")</f>
        <v>Dipur</v>
      </c>
      <c r="F161" s="10">
        <f>IFERROR(__xludf.DUMMYFUNCTION("""COMPUTED_VALUE"""),197.594290647999)</f>
        <v>197.594290647999</v>
      </c>
      <c r="G161" s="10">
        <f>IFERROR(__xludf.DUMMYFUNCTION("""COMPUTED_VALUE"""),57.562007416)</f>
        <v>57.562007416</v>
      </c>
      <c r="H161" s="10">
        <f>IFERROR(__xludf.DUMMYFUNCTION("""COMPUTED_VALUE"""),-160.055417576999)</f>
        <v>-160.055417576999</v>
      </c>
      <c r="I161" s="13"/>
      <c r="J161" s="13"/>
      <c r="K161" s="13"/>
      <c r="L161" s="13"/>
      <c r="M161" s="1" t="b">
        <f>IFERROR(__xludf.DUMMYFUNCTION("""COMPUTED_VALUE"""),TRUE)</f>
        <v>1</v>
      </c>
      <c r="N161" s="10">
        <f>IFERROR(__xludf.DUMMYFUNCTION("""COMPUTED_VALUE"""),0)</f>
        <v>0</v>
      </c>
      <c r="O161" s="10">
        <f>IFERROR(__xludf.DUMMYFUNCTION("""COMPUTED_VALUE"""),0)</f>
        <v>0</v>
      </c>
      <c r="P161" s="10"/>
      <c r="Q161" s="30"/>
      <c r="R161" s="18"/>
      <c r="S161" s="19"/>
      <c r="T161" s="10"/>
      <c r="U161" s="10"/>
      <c r="V161" s="10"/>
      <c r="W161" s="10"/>
      <c r="X161" s="19"/>
      <c r="Y161" s="1"/>
      <c r="Z161" s="1"/>
      <c r="AA161" s="1"/>
    </row>
    <row r="162" customHeight="1" spans="1:27">
      <c r="A162" s="1" t="str">
        <f>IFERROR(__xludf.DUMMYFUNCTION("""COMPUTED_VALUE"""),"Cellin 09")</f>
        <v>Cellin 09</v>
      </c>
      <c r="B162" s="1" t="str">
        <f>IFERROR(__xludf.DUMMYFUNCTION("""COMPUTED_VALUE"""),"Cellin 11")</f>
        <v>Cellin 11</v>
      </c>
      <c r="C162" s="1" t="str">
        <f>IFERROR(__xludf.DUMMYFUNCTION("""COMPUTED_VALUE"""),"Cellin 24")</f>
        <v>Cellin 24</v>
      </c>
      <c r="D162" s="1" t="str">
        <f>IFERROR(__xludf.DUMMYFUNCTION("""COMPUTED_VALUE"""),"Security Post Lespin")</f>
        <v>Security Post Lespin</v>
      </c>
      <c r="E162" s="30" t="str">
        <f>IFERROR(__xludf.DUMMYFUNCTION("""COMPUTED_VALUE"""),"Lespin")</f>
        <v>Lespin</v>
      </c>
      <c r="F162" s="10">
        <f>IFERROR(__xludf.DUMMYFUNCTION("""COMPUTED_VALUE"""),-214.292676368999)</f>
        <v>-214.292676368999</v>
      </c>
      <c r="G162" s="10">
        <f>IFERROR(__xludf.DUMMYFUNCTION("""COMPUTED_VALUE"""),-149.183812567999)</f>
        <v>-149.183812567999</v>
      </c>
      <c r="H162" s="10">
        <f>IFERROR(__xludf.DUMMYFUNCTION("""COMPUTED_VALUE"""),4.122577671)</f>
        <v>4.122577671</v>
      </c>
      <c r="I162" s="13"/>
      <c r="J162" s="13"/>
      <c r="K162" s="13"/>
      <c r="L162" s="13"/>
      <c r="M162" s="1" t="b">
        <f>IFERROR(__xludf.DUMMYFUNCTION("""COMPUTED_VALUE"""),TRUE)</f>
        <v>1</v>
      </c>
      <c r="N162" s="10">
        <f>IFERROR(__xludf.DUMMYFUNCTION("""COMPUTED_VALUE"""),0)</f>
        <v>0</v>
      </c>
      <c r="O162" s="10">
        <f>IFERROR(__xludf.DUMMYFUNCTION("""COMPUTED_VALUE"""),0)</f>
        <v>0</v>
      </c>
      <c r="P162" s="10"/>
      <c r="Q162" s="30"/>
      <c r="R162" s="18"/>
      <c r="S162" s="19"/>
      <c r="T162" s="10"/>
      <c r="U162" s="10"/>
      <c r="V162" s="10"/>
      <c r="W162" s="10"/>
      <c r="X162" s="19"/>
      <c r="Y162" s="1"/>
      <c r="Z162" s="1"/>
      <c r="AA162" s="1"/>
    </row>
    <row r="163" customHeight="1" spans="1:27">
      <c r="A163" s="1" t="str">
        <f>IFERROR(__xludf.DUMMYFUNCTION("""COMPUTED_VALUE"""),"Cellin")</f>
        <v>Cellin</v>
      </c>
      <c r="B163" s="1" t="str">
        <f>IFERROR(__xludf.DUMMYFUNCTION("""COMPUTED_VALUE"""),"Cellin 13")</f>
        <v>Cellin 13</v>
      </c>
      <c r="C163" s="1"/>
      <c r="D163" s="1" t="str">
        <f>IFERROR(__xludf.DUMMYFUNCTION("""COMPUTED_VALUE"""),"Other Facilities")</f>
        <v>Other Facilities</v>
      </c>
      <c r="E163" s="30"/>
      <c r="F163" s="10"/>
      <c r="G163" s="10"/>
      <c r="H163" s="10"/>
      <c r="I163" s="13"/>
      <c r="J163" s="13"/>
      <c r="K163" s="13"/>
      <c r="L163" s="13"/>
      <c r="M163" s="1"/>
      <c r="N163" s="10"/>
      <c r="O163" s="10"/>
      <c r="P163" s="10"/>
      <c r="Q163" s="30"/>
      <c r="R163" s="18"/>
      <c r="S163" s="19"/>
      <c r="T163" s="10"/>
      <c r="U163" s="10"/>
      <c r="V163" s="10"/>
      <c r="W163" s="10"/>
      <c r="X163" s="19"/>
      <c r="Y163" s="1"/>
      <c r="Z163" s="1"/>
      <c r="AA163" s="1"/>
    </row>
    <row r="164" customHeight="1" spans="1:27">
      <c r="A164" s="1" t="str">
        <f>IFERROR(__xludf.DUMMYFUNCTION("""COMPUTED_VALUE"""),"Cellin 10")</f>
        <v>Cellin 10</v>
      </c>
      <c r="B164" s="1" t="str">
        <f>IFERROR(__xludf.DUMMYFUNCTION("""COMPUTED_VALUE"""),"Cellin 14")</f>
        <v>Cellin 14</v>
      </c>
      <c r="C164" s="1" t="str">
        <f>IFERROR(__xludf.DUMMYFUNCTION("""COMPUTED_VALUE"""),"Cellin 21")</f>
        <v>Cellin 21</v>
      </c>
      <c r="D164" s="1" t="str">
        <f>IFERROR(__xludf.DUMMYFUNCTION("""COMPUTED_VALUE"""),"Security Post Kareah")</f>
        <v>Security Post Kareah</v>
      </c>
      <c r="E164" s="30" t="str">
        <f>IFERROR(__xludf.DUMMYFUNCTION("""COMPUTED_VALUE"""),"Kareah")</f>
        <v>Kareah</v>
      </c>
      <c r="F164" s="10">
        <f>IFERROR(__xludf.DUMMYFUNCTION("""COMPUTED_VALUE"""),11.620356800079)</f>
        <v>11.620356800079</v>
      </c>
      <c r="G164" s="10">
        <f>IFERROR(__xludf.DUMMYFUNCTION("""COMPUTED_VALUE"""),-419.839422159672)</f>
        <v>-419.839422159672</v>
      </c>
      <c r="H164" s="10">
        <f>IFERROR(__xludf.DUMMYFUNCTION("""COMPUTED_VALUE"""),200)</f>
        <v>200</v>
      </c>
      <c r="I164" s="13"/>
      <c r="J164" s="13"/>
      <c r="K164" s="13"/>
      <c r="L164" s="13"/>
      <c r="M164" s="1" t="b">
        <f>IFERROR(__xludf.DUMMYFUNCTION("""COMPUTED_VALUE"""),TRUE)</f>
        <v>1</v>
      </c>
      <c r="N164" s="10">
        <f>IFERROR(__xludf.DUMMYFUNCTION("""COMPUTED_VALUE"""),0)</f>
        <v>0</v>
      </c>
      <c r="O164" s="10">
        <f>IFERROR(__xludf.DUMMYFUNCTION("""COMPUTED_VALUE"""),0)</f>
        <v>0</v>
      </c>
      <c r="P164" s="10"/>
      <c r="Q164" s="30"/>
      <c r="R164" s="18"/>
      <c r="S164" s="19"/>
      <c r="T164" s="10"/>
      <c r="U164" s="10"/>
      <c r="V164" s="10"/>
      <c r="W164" s="10"/>
      <c r="X164" s="19"/>
      <c r="Y164" s="1"/>
      <c r="Z164" s="1"/>
      <c r="AA164" s="1"/>
    </row>
    <row r="165" customHeight="1" spans="1:27">
      <c r="A165" s="1" t="str">
        <f>IFERROR(__xludf.DUMMYFUNCTION("""COMPUTED_VALUE"""),"Cellin 16")</f>
        <v>Cellin 16</v>
      </c>
      <c r="B165" s="1" t="str">
        <f>IFERROR(__xludf.DUMMYFUNCTION("""COMPUTED_VALUE"""),"Cellin 15")</f>
        <v>Cellin 15</v>
      </c>
      <c r="C165" s="1" t="str">
        <f>IFERROR(__xludf.DUMMYFUNCTION("""COMPUTED_VALUE"""),"Cellin 11")</f>
        <v>Cellin 11</v>
      </c>
      <c r="D165" s="1" t="str">
        <f>IFERROR(__xludf.DUMMYFUNCTION("""COMPUTED_VALUE"""),"Abandoned Outpost")</f>
        <v>Abandoned Outpost</v>
      </c>
      <c r="E165" s="30" t="str">
        <f>IFERROR(__xludf.DUMMYFUNCTION("""COMPUTED_VALUE"""),"Abandoned")</f>
        <v>Abandoned</v>
      </c>
      <c r="F165" s="10">
        <f>IFERROR(__xludf.DUMMYFUNCTION("""COMPUTED_VALUE"""),130.061649871999)</f>
        <v>130.061649871999</v>
      </c>
      <c r="G165" s="10">
        <f>IFERROR(__xludf.DUMMYFUNCTION("""COMPUTED_VALUE"""),184.915423914)</f>
        <v>184.915423914</v>
      </c>
      <c r="H165" s="10">
        <f>IFERROR(__xludf.DUMMYFUNCTION("""COMPUTED_VALUE"""),130.356376438)</f>
        <v>130.356376438</v>
      </c>
      <c r="I165" s="13"/>
      <c r="J165" s="13"/>
      <c r="K165" s="13"/>
      <c r="L165" s="13"/>
      <c r="M165" s="1" t="b">
        <f>IFERROR(__xludf.DUMMYFUNCTION("""COMPUTED_VALUE"""),FALSE)</f>
        <v>0</v>
      </c>
      <c r="N165" s="10">
        <f>IFERROR(__xludf.DUMMYFUNCTION("""COMPUTED_VALUE"""),0)</f>
        <v>0</v>
      </c>
      <c r="O165" s="10">
        <f>IFERROR(__xludf.DUMMYFUNCTION("""COMPUTED_VALUE"""),0)</f>
        <v>0</v>
      </c>
      <c r="P165" s="10"/>
      <c r="Q165" s="30"/>
      <c r="R165" s="18"/>
      <c r="S165" s="19"/>
      <c r="T165" s="10"/>
      <c r="U165" s="10"/>
      <c r="V165" s="10"/>
      <c r="W165" s="10"/>
      <c r="X165" s="19"/>
      <c r="Y165" s="1"/>
      <c r="Z165" s="1"/>
      <c r="AA165" s="1"/>
    </row>
    <row r="166" customHeight="1" spans="1:27">
      <c r="A166" s="1" t="str">
        <f>IFERROR(__xludf.DUMMYFUNCTION("""COMPUTED_VALUE"""),"Cellin")</f>
        <v>Cellin</v>
      </c>
      <c r="B166" s="1" t="str">
        <f>IFERROR(__xludf.DUMMYFUNCTION("""COMPUTED_VALUE"""),"Cellin 17")</f>
        <v>Cellin 17</v>
      </c>
      <c r="C166" s="1"/>
      <c r="D166" s="1" t="str">
        <f>IFERROR(__xludf.DUMMYFUNCTION("""COMPUTED_VALUE"""),"Emergency Shelters")</f>
        <v>Emergency Shelters</v>
      </c>
      <c r="E166" s="30"/>
      <c r="F166" s="10"/>
      <c r="G166" s="10"/>
      <c r="H166" s="10"/>
      <c r="I166" s="13"/>
      <c r="J166" s="13"/>
      <c r="K166" s="13"/>
      <c r="L166" s="13"/>
      <c r="M166" s="1"/>
      <c r="N166" s="10"/>
      <c r="O166" s="10"/>
      <c r="P166" s="10"/>
      <c r="Q166" s="30"/>
      <c r="R166" s="18"/>
      <c r="S166" s="19"/>
      <c r="T166" s="10"/>
      <c r="U166" s="10"/>
      <c r="V166" s="10"/>
      <c r="W166" s="10"/>
      <c r="X166" s="19"/>
      <c r="Y166" s="1"/>
      <c r="Z166" s="1"/>
      <c r="AA166" s="1"/>
    </row>
    <row r="167" customHeight="1" spans="1:27">
      <c r="A167" s="1" t="str">
        <f>IFERROR(__xludf.DUMMYFUNCTION("""COMPUTED_VALUE"""),"Cellin 11")</f>
        <v>Cellin 11</v>
      </c>
      <c r="B167" s="1" t="str">
        <f>IFERROR(__xludf.DUMMYFUNCTION("""COMPUTED_VALUE"""),"Cellin 18")</f>
        <v>Cellin 18</v>
      </c>
      <c r="C167" s="1" t="str">
        <f>IFERROR(__xludf.DUMMYFUNCTION("""COMPUTED_VALUE"""),"Cellin 22")</f>
        <v>Cellin 22</v>
      </c>
      <c r="D167" s="1" t="str">
        <f>IFERROR(__xludf.DUMMYFUNCTION("""COMPUTED_VALUE"""),"Ashburn Channel Aid Shelter")</f>
        <v>Ashburn Channel Aid Shelter</v>
      </c>
      <c r="E167" s="30" t="str">
        <f>IFERROR(__xludf.DUMMYFUNCTION("""COMPUTED_VALUE"""),"Ashburn")</f>
        <v>Ashburn</v>
      </c>
      <c r="F167" s="10">
        <f>IFERROR(__xludf.DUMMYFUNCTION("""COMPUTED_VALUE"""),3.02383073199998)</f>
        <v>3.02383073199998</v>
      </c>
      <c r="G167" s="10">
        <f>IFERROR(__xludf.DUMMYFUNCTION("""COMPUTED_VALUE"""),-257.942071407999)</f>
        <v>-257.942071407999</v>
      </c>
      <c r="H167" s="10">
        <f>IFERROR(__xludf.DUMMYFUNCTION("""COMPUTED_VALUE"""),-37.129182627)</f>
        <v>-37.129182627</v>
      </c>
      <c r="I167" s="13"/>
      <c r="J167" s="13"/>
      <c r="K167" s="13"/>
      <c r="L167" s="13"/>
      <c r="M167" s="1" t="b">
        <f>IFERROR(__xludf.DUMMYFUNCTION("""COMPUTED_VALUE"""),TRUE)</f>
        <v>1</v>
      </c>
      <c r="N167" s="10">
        <f>IFERROR(__xludf.DUMMYFUNCTION("""COMPUTED_VALUE"""),0)</f>
        <v>0</v>
      </c>
      <c r="O167" s="10">
        <f>IFERROR(__xludf.DUMMYFUNCTION("""COMPUTED_VALUE"""),0)</f>
        <v>0</v>
      </c>
      <c r="P167" s="10"/>
      <c r="Q167" s="30"/>
      <c r="R167" s="18"/>
      <c r="S167" s="19"/>
      <c r="T167" s="10"/>
      <c r="U167" s="10"/>
      <c r="V167" s="10"/>
      <c r="W167" s="10"/>
      <c r="X167" s="19"/>
      <c r="Y167" s="1"/>
      <c r="Z167" s="1"/>
      <c r="AA167" s="1"/>
    </row>
    <row r="168" customHeight="1" spans="1:27">
      <c r="A168" s="1" t="str">
        <f>IFERROR(__xludf.DUMMYFUNCTION("""COMPUTED_VALUE"""),"Cellin 12")</f>
        <v>Cellin 12</v>
      </c>
      <c r="B168" s="1" t="str">
        <f>IFERROR(__xludf.DUMMYFUNCTION("""COMPUTED_VALUE"""),"Cellin 19")</f>
        <v>Cellin 19</v>
      </c>
      <c r="C168" s="1" t="str">
        <f>IFERROR(__xludf.DUMMYFUNCTION("""COMPUTED_VALUE"""),"Cellin 05")</f>
        <v>Cellin 05</v>
      </c>
      <c r="D168" s="1" t="str">
        <f>IFERROR(__xludf.DUMMYFUNCTION("""COMPUTED_VALUE"""),"Flanagan's Ravine Aid Shelter")</f>
        <v>Flanagan's Ravine Aid Shelter</v>
      </c>
      <c r="E168" s="30" t="str">
        <f>IFERROR(__xludf.DUMMYFUNCTION("""COMPUTED_VALUE"""),"Flanagan")</f>
        <v>Flanagan</v>
      </c>
      <c r="F168" s="10">
        <f>IFERROR(__xludf.DUMMYFUNCTION("""COMPUTED_VALUE"""),-194.282409239)</f>
        <v>-194.282409239</v>
      </c>
      <c r="G168" s="10">
        <f>IFERROR(__xludf.DUMMYFUNCTION("""COMPUTED_VALUE"""),151.722017958999)</f>
        <v>151.722017958999</v>
      </c>
      <c r="H168" s="10">
        <f>IFERROR(__xludf.DUMMYFUNCTION("""COMPUTED_VALUE"""),84.996712245)</f>
        <v>84.996712245</v>
      </c>
      <c r="I168" s="13"/>
      <c r="J168" s="13"/>
      <c r="K168" s="13"/>
      <c r="L168" s="13"/>
      <c r="M168" s="1" t="b">
        <f>IFERROR(__xludf.DUMMYFUNCTION("""COMPUTED_VALUE"""),TRUE)</f>
        <v>1</v>
      </c>
      <c r="N168" s="10">
        <f>IFERROR(__xludf.DUMMYFUNCTION("""COMPUTED_VALUE"""),0)</f>
        <v>0</v>
      </c>
      <c r="O168" s="10">
        <f>IFERROR(__xludf.DUMMYFUNCTION("""COMPUTED_VALUE"""),0)</f>
        <v>0</v>
      </c>
      <c r="P168" s="10"/>
      <c r="Q168" s="30"/>
      <c r="R168" s="18"/>
      <c r="S168" s="19"/>
      <c r="T168" s="10"/>
      <c r="U168" s="10"/>
      <c r="V168" s="10"/>
      <c r="W168" s="10"/>
      <c r="X168" s="19"/>
      <c r="Y168" s="1"/>
      <c r="Z168" s="1"/>
      <c r="AA168" s="1"/>
    </row>
    <row r="169" customHeight="1" spans="1:27">
      <c r="A169" s="1" t="str">
        <f>IFERROR(__xludf.DUMMYFUNCTION("""COMPUTED_VALUE"""),"Cellin 13")</f>
        <v>Cellin 13</v>
      </c>
      <c r="B169" s="1" t="str">
        <f>IFERROR(__xludf.DUMMYFUNCTION("""COMPUTED_VALUE"""),"Cellin 20")</f>
        <v>Cellin 20</v>
      </c>
      <c r="C169" s="1" t="str">
        <f>IFERROR(__xludf.DUMMYFUNCTION("""COMPUTED_VALUE"""),"Cellin 25")</f>
        <v>Cellin 25</v>
      </c>
      <c r="D169" s="1" t="str">
        <f>IFERROR(__xludf.DUMMYFUNCTION("""COMPUTED_VALUE"""),"Julep Ravine Aid Shelter")</f>
        <v>Julep Ravine Aid Shelter</v>
      </c>
      <c r="E169" s="30" t="str">
        <f>IFERROR(__xludf.DUMMYFUNCTION("""COMPUTED_VALUE"""),"Julep")</f>
        <v>Julep</v>
      </c>
      <c r="F169" s="10">
        <f>IFERROR(__xludf.DUMMYFUNCTION("""COMPUTED_VALUE"""),-111.527725091999)</f>
        <v>-111.527725091999</v>
      </c>
      <c r="G169" s="10">
        <f>IFERROR(__xludf.DUMMYFUNCTION("""COMPUTED_VALUE"""),-56.296659414)</f>
        <v>-56.296659414</v>
      </c>
      <c r="H169" s="10">
        <f>IFERROR(__xludf.DUMMYFUNCTION("""COMPUTED_VALUE"""),-228.949606357)</f>
        <v>-228.949606357</v>
      </c>
      <c r="I169" s="13"/>
      <c r="J169" s="13"/>
      <c r="K169" s="13"/>
      <c r="L169" s="13"/>
      <c r="M169" s="1" t="b">
        <f>IFERROR(__xludf.DUMMYFUNCTION("""COMPUTED_VALUE"""),TRUE)</f>
        <v>1</v>
      </c>
      <c r="N169" s="10">
        <f>IFERROR(__xludf.DUMMYFUNCTION("""COMPUTED_VALUE"""),0)</f>
        <v>0</v>
      </c>
      <c r="O169" s="10">
        <f>IFERROR(__xludf.DUMMYFUNCTION("""COMPUTED_VALUE"""),0)</f>
        <v>0</v>
      </c>
      <c r="P169" s="10"/>
      <c r="Q169" s="30"/>
      <c r="R169" s="18"/>
      <c r="S169" s="19"/>
      <c r="T169" s="10"/>
      <c r="U169" s="10"/>
      <c r="V169" s="10"/>
      <c r="W169" s="10"/>
      <c r="X169" s="19"/>
      <c r="Y169" s="1"/>
      <c r="Z169" s="1"/>
      <c r="AA169" s="1"/>
    </row>
    <row r="170" customHeight="1" spans="1:27">
      <c r="A170" s="1" t="str">
        <f>IFERROR(__xludf.DUMMYFUNCTION("""COMPUTED_VALUE"""),"Cellin 14")</f>
        <v>Cellin 14</v>
      </c>
      <c r="B170" s="1" t="str">
        <f>IFERROR(__xludf.DUMMYFUNCTION("""COMPUTED_VALUE"""),"Cellin 21")</f>
        <v>Cellin 21</v>
      </c>
      <c r="C170" s="1" t="str">
        <f>IFERROR(__xludf.DUMMYFUNCTION("""COMPUTED_VALUE"""),"Cellin 02")</f>
        <v>Cellin 02</v>
      </c>
      <c r="D170" s="1" t="str">
        <f>IFERROR(__xludf.DUMMYFUNCTION("""COMPUTED_VALUE"""),"Mogote Aid Shelter")</f>
        <v>Mogote Aid Shelter</v>
      </c>
      <c r="E170" s="30" t="str">
        <f>IFERROR(__xludf.DUMMYFUNCTION("""COMPUTED_VALUE"""),"Mogate")</f>
        <v>Mogate</v>
      </c>
      <c r="F170" s="10">
        <f>IFERROR(__xludf.DUMMYFUNCTION("""COMPUTED_VALUE"""),-198.66438993)</f>
        <v>-198.66438993</v>
      </c>
      <c r="G170" s="10">
        <f>IFERROR(__xludf.DUMMYFUNCTION("""COMPUTED_VALUE"""),50.789738103)</f>
        <v>50.789738103</v>
      </c>
      <c r="H170" s="10">
        <f>IFERROR(__xludf.DUMMYFUNCTION("""COMPUTED_VALUE"""),160.874780686999)</f>
        <v>160.874780686999</v>
      </c>
      <c r="I170" s="13"/>
      <c r="J170" s="13"/>
      <c r="K170" s="13"/>
      <c r="L170" s="13"/>
      <c r="M170" s="1" t="b">
        <f>IFERROR(__xludf.DUMMYFUNCTION("""COMPUTED_VALUE"""),TRUE)</f>
        <v>1</v>
      </c>
      <c r="N170" s="10">
        <f>IFERROR(__xludf.DUMMYFUNCTION("""COMPUTED_VALUE"""),0)</f>
        <v>0</v>
      </c>
      <c r="O170" s="10">
        <f>IFERROR(__xludf.DUMMYFUNCTION("""COMPUTED_VALUE"""),0)</f>
        <v>0</v>
      </c>
      <c r="P170" s="10"/>
      <c r="Q170" s="30"/>
      <c r="R170" s="18"/>
      <c r="S170" s="19"/>
      <c r="T170" s="10"/>
      <c r="U170" s="10"/>
      <c r="V170" s="10"/>
      <c r="W170" s="10"/>
      <c r="X170" s="19"/>
      <c r="Y170" s="1"/>
      <c r="Z170" s="1"/>
      <c r="AA170" s="1"/>
    </row>
    <row r="171" customHeight="1" spans="1:27">
      <c r="A171" s="1" t="str">
        <f>IFERROR(__xludf.DUMMYFUNCTION("""COMPUTED_VALUE"""),"Cellin")</f>
        <v>Cellin</v>
      </c>
      <c r="B171" s="1" t="str">
        <f>IFERROR(__xludf.DUMMYFUNCTION("""COMPUTED_VALUE"""),"Cellin 23")</f>
        <v>Cellin 23</v>
      </c>
      <c r="C171" s="1"/>
      <c r="D171" s="1" t="str">
        <f>IFERROR(__xludf.DUMMYFUNCTION("""COMPUTED_VALUE"""),"Wrecks")</f>
        <v>Wrecks</v>
      </c>
      <c r="E171" s="30"/>
      <c r="F171" s="10"/>
      <c r="G171" s="10"/>
      <c r="H171" s="10"/>
      <c r="I171" s="13"/>
      <c r="J171" s="13"/>
      <c r="K171" s="13"/>
      <c r="L171" s="13"/>
      <c r="M171" s="1"/>
      <c r="N171" s="10"/>
      <c r="O171" s="10"/>
      <c r="P171" s="10"/>
      <c r="Q171" s="30"/>
      <c r="R171" s="18"/>
      <c r="S171" s="19"/>
      <c r="T171" s="10"/>
      <c r="U171" s="10"/>
      <c r="V171" s="10"/>
      <c r="W171" s="10"/>
      <c r="X171" s="19"/>
      <c r="Y171" s="1"/>
      <c r="Z171" s="1"/>
      <c r="AA171" s="1"/>
    </row>
    <row r="172" customHeight="1" spans="1:27">
      <c r="A172" s="1" t="str">
        <f>IFERROR(__xludf.DUMMYFUNCTION("""COMPUTED_VALUE"""),"Cellin 18")</f>
        <v>Cellin 18</v>
      </c>
      <c r="B172" s="1" t="str">
        <f>IFERROR(__xludf.DUMMYFUNCTION("""COMPUTED_VALUE"""),"Cellin 25")</f>
        <v>Cellin 25</v>
      </c>
      <c r="C172" s="1" t="str">
        <f>IFERROR(__xludf.DUMMYFUNCTION("""COMPUTED_VALUE"""),"Cellin 18")</f>
        <v>Cellin 18</v>
      </c>
      <c r="D172" s="1" t="str">
        <f>IFERROR(__xludf.DUMMYFUNCTION("""COMPUTED_VALUE"""),"Caterpillar Wreck 21T")</f>
        <v>Caterpillar Wreck 21T</v>
      </c>
      <c r="E172" s="30" t="str">
        <f>IFERROR(__xludf.DUMMYFUNCTION("""COMPUTED_VALUE"""),"Caterpillar 21T")</f>
        <v>Caterpillar 21T</v>
      </c>
      <c r="F172" s="10">
        <f>IFERROR(__xludf.DUMMYFUNCTION("""COMPUTED_VALUE"""),112.178110205)</f>
        <v>112.178110205</v>
      </c>
      <c r="G172" s="10">
        <f>IFERROR(__xludf.DUMMYFUNCTION("""COMPUTED_VALUE"""),-163.729527342999)</f>
        <v>-163.729527342999</v>
      </c>
      <c r="H172" s="10">
        <f>IFERROR(__xludf.DUMMYFUNCTION("""COMPUTED_VALUE"""),169.625281977)</f>
        <v>169.625281977</v>
      </c>
      <c r="I172" s="13"/>
      <c r="J172" s="13"/>
      <c r="K172" s="13"/>
      <c r="L172" s="13"/>
      <c r="M172" s="1"/>
      <c r="N172" s="10"/>
      <c r="O172" s="10"/>
      <c r="P172" s="10"/>
      <c r="Q172" s="30"/>
      <c r="R172" s="18"/>
      <c r="S172" s="19"/>
      <c r="T172" s="10"/>
      <c r="U172" s="10"/>
      <c r="V172" s="10"/>
      <c r="W172" s="10"/>
      <c r="X172" s="19"/>
      <c r="Y172" s="1"/>
      <c r="Z172" s="1"/>
      <c r="AA172" s="1"/>
    </row>
    <row r="173" customHeight="1" spans="1:27">
      <c r="A173" s="1" t="str">
        <f>IFERROR(__xludf.DUMMYFUNCTION("""COMPUTED_VALUE"""),"Cellin 17")</f>
        <v>Cellin 17</v>
      </c>
      <c r="B173" s="1" t="str">
        <f>IFERROR(__xludf.DUMMYFUNCTION("""COMPUTED_VALUE"""),"Cellin 24")</f>
        <v>Cellin 24</v>
      </c>
      <c r="C173" s="1" t="str">
        <f>IFERROR(__xludf.DUMMYFUNCTION("""COMPUTED_VALUE"""),"Cellin 20")</f>
        <v>Cellin 20</v>
      </c>
      <c r="D173" s="1" t="str">
        <f>IFERROR(__xludf.DUMMYFUNCTION("""COMPUTED_VALUE"""),"Caterpillar Wreck 18U")</f>
        <v>Caterpillar Wreck 18U</v>
      </c>
      <c r="E173" s="30" t="str">
        <f>IFERROR(__xludf.DUMMYFUNCTION("""COMPUTED_VALUE"""),"Caterpillar 18U")</f>
        <v>Caterpillar 18U</v>
      </c>
      <c r="F173" s="10">
        <f>IFERROR(__xludf.DUMMYFUNCTION("""COMPUTED_VALUE"""),36.77563612)</f>
        <v>36.77563612</v>
      </c>
      <c r="G173" s="10">
        <f>IFERROR(__xludf.DUMMYFUNCTION("""COMPUTED_VALUE"""),-152.500653764999)</f>
        <v>-152.500653764999</v>
      </c>
      <c r="H173" s="10">
        <f>IFERROR(__xludf.DUMMYFUNCTION("""COMPUTED_VALUE"""),208.898621596999)</f>
        <v>208.898621596999</v>
      </c>
      <c r="I173" s="13"/>
      <c r="J173" s="13"/>
      <c r="K173" s="13"/>
      <c r="L173" s="13"/>
      <c r="M173" s="1" t="b">
        <f>IFERROR(__xludf.DUMMYFUNCTION("""COMPUTED_VALUE"""),FALSE)</f>
        <v>0</v>
      </c>
      <c r="N173" s="10">
        <f>IFERROR(__xludf.DUMMYFUNCTION("""COMPUTED_VALUE"""),0)</f>
        <v>0</v>
      </c>
      <c r="O173" s="10">
        <f>IFERROR(__xludf.DUMMYFUNCTION("""COMPUTED_VALUE"""),0)</f>
        <v>0</v>
      </c>
      <c r="P173" s="10"/>
      <c r="Q173" s="30"/>
      <c r="R173" s="18"/>
      <c r="S173" s="19"/>
      <c r="T173" s="10"/>
      <c r="U173" s="10"/>
      <c r="V173" s="10"/>
      <c r="W173" s="10"/>
      <c r="X173" s="19"/>
      <c r="Y173" s="1"/>
      <c r="Z173" s="1"/>
      <c r="AA173" s="1"/>
    </row>
    <row r="174" customHeight="1" spans="1:27">
      <c r="A174" s="1" t="str">
        <f>IFERROR(__xludf.DUMMYFUNCTION("""COMPUTED_VALUE"""),"Cellin 19")</f>
        <v>Cellin 19</v>
      </c>
      <c r="B174" s="1" t="str">
        <f>IFERROR(__xludf.DUMMYFUNCTION("""COMPUTED_VALUE"""),"Cellin 26")</f>
        <v>Cellin 26</v>
      </c>
      <c r="C174" s="1" t="str">
        <f>IFERROR(__xludf.DUMMYFUNCTION("""COMPUTED_VALUE"""),"Cellin 03")</f>
        <v>Cellin 03</v>
      </c>
      <c r="D174" s="1" t="str">
        <f>IFERROR(__xludf.DUMMYFUNCTION("""COMPUTED_VALUE"""),"Constellation Wreck")</f>
        <v>Constellation Wreck</v>
      </c>
      <c r="E174" s="30" t="str">
        <f>IFERROR(__xludf.DUMMYFUNCTION("""COMPUTED_VALUE"""),"Constellation")</f>
        <v>Constellation</v>
      </c>
      <c r="F174" s="10">
        <f>IFERROR(__xludf.DUMMYFUNCTION("""COMPUTED_VALUE"""),-243.602356926)</f>
        <v>-243.602356926</v>
      </c>
      <c r="G174" s="10">
        <f>IFERROR(__xludf.DUMMYFUNCTION("""COMPUTED_VALUE"""),85.478663203)</f>
        <v>85.478663203</v>
      </c>
      <c r="H174" s="10">
        <f>IFERROR(__xludf.DUMMYFUNCTION("""COMPUTED_VALUE"""),38.768882423)</f>
        <v>38.768882423</v>
      </c>
      <c r="I174" s="13"/>
      <c r="J174" s="13"/>
      <c r="K174" s="13"/>
      <c r="L174" s="13"/>
      <c r="M174" s="1" t="b">
        <f>IFERROR(__xludf.DUMMYFUNCTION("""COMPUTED_VALUE"""),FALSE)</f>
        <v>0</v>
      </c>
      <c r="N174" s="10">
        <f>IFERROR(__xludf.DUMMYFUNCTION("""COMPUTED_VALUE"""),0)</f>
        <v>0</v>
      </c>
      <c r="O174" s="10">
        <f>IFERROR(__xludf.DUMMYFUNCTION("""COMPUTED_VALUE"""),0)</f>
        <v>0</v>
      </c>
      <c r="P174" s="10"/>
      <c r="Q174" s="30"/>
      <c r="R174" s="18"/>
      <c r="S174" s="19"/>
      <c r="T174" s="10"/>
      <c r="U174" s="10"/>
      <c r="V174" s="10"/>
      <c r="W174" s="10"/>
      <c r="X174" s="19"/>
      <c r="Y174" s="1"/>
      <c r="Z174" s="1"/>
      <c r="AA174" s="1"/>
    </row>
    <row r="175" customHeight="1" spans="1:27">
      <c r="A175" s="1" t="str">
        <f>IFERROR(__xludf.DUMMYFUNCTION("""COMPUTED_VALUE"""),"Cellin 20")</f>
        <v>Cellin 20</v>
      </c>
      <c r="B175" s="1" t="str">
        <f>IFERROR(__xludf.DUMMYFUNCTION("""COMPUTED_VALUE"""),"Cellin 27")</f>
        <v>Cellin 27</v>
      </c>
      <c r="C175" s="1" t="str">
        <f>IFERROR(__xludf.DUMMYFUNCTION("""COMPUTED_VALUE"""),"Cellin 04")</f>
        <v>Cellin 04</v>
      </c>
      <c r="D175" s="1" t="str">
        <f>IFERROR(__xludf.DUMMYFUNCTION("""COMPUTED_VALUE"""),"Cutlass Wreck")</f>
        <v>Cutlass Wreck</v>
      </c>
      <c r="E175" s="30" t="str">
        <f>IFERROR(__xludf.DUMMYFUNCTION("""COMPUTED_VALUE"""),"Cutlass")</f>
        <v>Cutlass</v>
      </c>
      <c r="F175" s="10">
        <f>IFERROR(__xludf.DUMMYFUNCTION("""COMPUTED_VALUE"""),-231.141707511999)</f>
        <v>-231.141707511999</v>
      </c>
      <c r="G175" s="10">
        <f>IFERROR(__xludf.DUMMYFUNCTION("""COMPUTED_VALUE"""),109.974970837999)</f>
        <v>109.974970837999</v>
      </c>
      <c r="H175" s="10">
        <f>IFERROR(__xludf.DUMMYFUNCTION("""COMPUTED_VALUE"""),50.933375967)</f>
        <v>50.933375967</v>
      </c>
      <c r="I175" s="13"/>
      <c r="J175" s="13"/>
      <c r="K175" s="13"/>
      <c r="L175" s="13"/>
      <c r="M175" s="1" t="b">
        <f>IFERROR(__xludf.DUMMYFUNCTION("""COMPUTED_VALUE"""),FALSE)</f>
        <v>0</v>
      </c>
      <c r="N175" s="10">
        <f>IFERROR(__xludf.DUMMYFUNCTION("""COMPUTED_VALUE"""),0)</f>
        <v>0</v>
      </c>
      <c r="O175" s="10">
        <f>IFERROR(__xludf.DUMMYFUNCTION("""COMPUTED_VALUE"""),0)</f>
        <v>0</v>
      </c>
      <c r="P175" s="10"/>
      <c r="Q175" s="30"/>
      <c r="R175" s="18"/>
      <c r="S175" s="19"/>
      <c r="T175" s="10"/>
      <c r="U175" s="10"/>
      <c r="V175" s="10"/>
      <c r="W175" s="10"/>
      <c r="X175" s="19"/>
      <c r="Y175" s="1"/>
      <c r="Z175" s="1"/>
      <c r="AA175" s="1"/>
    </row>
    <row r="176" customHeight="1" spans="1:27">
      <c r="A176" s="1" t="str">
        <f>IFERROR(__xludf.DUMMYFUNCTION("""COMPUTED_VALUE"""),"Cellin 21")</f>
        <v>Cellin 21</v>
      </c>
      <c r="B176" s="1" t="str">
        <f>IFERROR(__xludf.DUMMYFUNCTION("""COMPUTED_VALUE"""),"Cellin 28")</f>
        <v>Cellin 28</v>
      </c>
      <c r="C176" s="1" t="str">
        <f>IFERROR(__xludf.DUMMYFUNCTION("""COMPUTED_VALUE"""),"Cellin 12")</f>
        <v>Cellin 12</v>
      </c>
      <c r="D176" s="1" t="str">
        <f>IFERROR(__xludf.DUMMYFUNCTION("""COMPUTED_VALUE"""),"Freelancer Wreck")</f>
        <v>Freelancer Wreck</v>
      </c>
      <c r="E176" s="30" t="str">
        <f>IFERROR(__xludf.DUMMYFUNCTION("""COMPUTED_VALUE"""),"Freelancer")</f>
        <v>Freelancer</v>
      </c>
      <c r="F176" s="10">
        <f>IFERROR(__xludf.DUMMYFUNCTION("""COMPUTED_VALUE"""),125.55260103)</f>
        <v>125.55260103</v>
      </c>
      <c r="G176" s="10">
        <f>IFERROR(__xludf.DUMMYFUNCTION("""COMPUTED_VALUE"""),138.116999413999)</f>
        <v>138.116999413999</v>
      </c>
      <c r="H176" s="10">
        <f>IFERROR(__xludf.DUMMYFUNCTION("""COMPUTED_VALUE"""),-182.239186726999)</f>
        <v>-182.239186726999</v>
      </c>
      <c r="I176" s="13"/>
      <c r="J176" s="13"/>
      <c r="K176" s="13"/>
      <c r="L176" s="13"/>
      <c r="M176" s="1" t="b">
        <f>IFERROR(__xludf.DUMMYFUNCTION("""COMPUTED_VALUE"""),FALSE)</f>
        <v>0</v>
      </c>
      <c r="N176" s="10">
        <f>IFERROR(__xludf.DUMMYFUNCTION("""COMPUTED_VALUE"""),0)</f>
        <v>0</v>
      </c>
      <c r="O176" s="10">
        <f>IFERROR(__xludf.DUMMYFUNCTION("""COMPUTED_VALUE"""),0)</f>
        <v>0</v>
      </c>
      <c r="P176" s="10"/>
      <c r="Q176" s="30"/>
      <c r="R176" s="18"/>
      <c r="S176" s="19"/>
      <c r="T176" s="10"/>
      <c r="U176" s="10"/>
      <c r="V176" s="10"/>
      <c r="W176" s="10"/>
      <c r="X176" s="19"/>
      <c r="Y176" s="1"/>
      <c r="Z176" s="1"/>
      <c r="AA176" s="1"/>
    </row>
    <row r="177" customHeight="1" spans="1:27">
      <c r="A177" s="1" t="str">
        <f>IFERROR(__xludf.DUMMYFUNCTION("""COMPUTED_VALUE"""),"Cellin 22")</f>
        <v>Cellin 22</v>
      </c>
      <c r="B177" s="1" t="str">
        <f>IFERROR(__xludf.DUMMYFUNCTION("""COMPUTED_VALUE"""),"Cellin 29")</f>
        <v>Cellin 29</v>
      </c>
      <c r="C177" s="1" t="str">
        <f>IFERROR(__xludf.DUMMYFUNCTION("""COMPUTED_VALUE"""),"Cellin 08")</f>
        <v>Cellin 08</v>
      </c>
      <c r="D177" s="1" t="str">
        <f>IFERROR(__xludf.DUMMYFUNCTION("""COMPUTED_VALUE"""),"Starfarer Wreck")</f>
        <v>Starfarer Wreck</v>
      </c>
      <c r="E177" s="30" t="str">
        <f>IFERROR(__xludf.DUMMYFUNCTION("""COMPUTED_VALUE"""),"Starfarer")</f>
        <v>Starfarer</v>
      </c>
      <c r="F177" s="10">
        <f>IFERROR(__xludf.DUMMYFUNCTION("""COMPUTED_VALUE"""),38.687554401)</f>
        <v>38.687554401</v>
      </c>
      <c r="G177" s="10">
        <f>IFERROR(__xludf.DUMMYFUNCTION("""COMPUTED_VALUE"""),166.47818745)</f>
        <v>166.47818745</v>
      </c>
      <c r="H177" s="10">
        <f>IFERROR(__xludf.DUMMYFUNCTION("""COMPUTED_VALUE"""),196.316955867)</f>
        <v>196.316955867</v>
      </c>
      <c r="I177" s="13"/>
      <c r="J177" s="13"/>
      <c r="K177" s="13"/>
      <c r="L177" s="13"/>
      <c r="M177" s="1" t="b">
        <f>IFERROR(__xludf.DUMMYFUNCTION("""COMPUTED_VALUE"""),FALSE)</f>
        <v>0</v>
      </c>
      <c r="N177" s="10">
        <f>IFERROR(__xludf.DUMMYFUNCTION("""COMPUTED_VALUE"""),0)</f>
        <v>0</v>
      </c>
      <c r="O177" s="10">
        <f>IFERROR(__xludf.DUMMYFUNCTION("""COMPUTED_VALUE"""),0)</f>
        <v>0</v>
      </c>
      <c r="P177" s="10"/>
      <c r="Q177" s="30"/>
      <c r="R177" s="18"/>
      <c r="S177" s="19"/>
      <c r="T177" s="10"/>
      <c r="U177" s="10"/>
      <c r="V177" s="10"/>
      <c r="W177" s="10"/>
      <c r="X177" s="19"/>
      <c r="Y177" s="1"/>
      <c r="Z177" s="1"/>
      <c r="AA177" s="1"/>
    </row>
    <row r="178" customHeight="1" spans="1:27">
      <c r="A178" s="1" t="str">
        <f>IFERROR(__xludf.DUMMYFUNCTION("""COMPUTED_VALUE"""),"Cellin")</f>
        <v>Cellin</v>
      </c>
      <c r="B178" s="1" t="str">
        <f>IFERROR(__xludf.DUMMYFUNCTION("""COMPUTED_VALUE"""),"Cellin 31")</f>
        <v>Cellin 31</v>
      </c>
      <c r="C178" s="1"/>
      <c r="D178" s="1" t="str">
        <f>IFERROR(__xludf.DUMMYFUNCTION("""COMPUTED_VALUE"""),"Comm Array")</f>
        <v>Comm Array</v>
      </c>
      <c r="E178" s="30"/>
      <c r="F178" s="10"/>
      <c r="G178" s="10"/>
      <c r="H178" s="10"/>
      <c r="I178" s="13"/>
      <c r="J178" s="13"/>
      <c r="K178" s="13"/>
      <c r="L178" s="13"/>
      <c r="M178" s="1"/>
      <c r="N178" s="10"/>
      <c r="O178" s="10"/>
      <c r="P178" s="10"/>
      <c r="Q178" s="30"/>
      <c r="R178" s="18"/>
      <c r="S178" s="19"/>
      <c r="T178" s="10"/>
      <c r="U178" s="10"/>
      <c r="V178" s="10"/>
      <c r="W178" s="10"/>
      <c r="X178" s="19"/>
      <c r="Y178" s="1"/>
      <c r="Z178" s="1"/>
      <c r="AA178" s="1"/>
    </row>
    <row r="179" customHeight="1" spans="1:27">
      <c r="A179" s="1" t="str">
        <f>IFERROR(__xludf.DUMMYFUNCTION("""COMPUTED_VALUE"""),"Cellin 15")</f>
        <v>Cellin 15</v>
      </c>
      <c r="B179" s="1" t="str">
        <f>IFERROR(__xludf.DUMMYFUNCTION("""COMPUTED_VALUE"""),"Cellin 32")</f>
        <v>Cellin 32</v>
      </c>
      <c r="C179" s="1" t="str">
        <f>IFERROR(__xludf.DUMMYFUNCTION("""COMPUTED_VALUE"""),"Cellin 10")</f>
        <v>Cellin 10</v>
      </c>
      <c r="D179" s="1" t="str">
        <f>IFERROR(__xludf.DUMMYFUNCTION("""COMPUTED_VALUE"""),"Comm Array ST2-28")</f>
        <v>Comm Array ST2-28</v>
      </c>
      <c r="E179" s="30" t="str">
        <f>IFERROR(__xludf.DUMMYFUNCTION("""COMPUTED_VALUE"""),"ST2-28")</f>
        <v>ST2-28</v>
      </c>
      <c r="F179" s="10">
        <f>IFERROR(__xludf.DUMMYFUNCTION("""COMPUTED_VALUE"""),242.243958999634)</f>
        <v>242.243958999634</v>
      </c>
      <c r="G179" s="10">
        <f>IFERROR(__xludf.DUMMYFUNCTION("""COMPUTED_VALUE"""),347.192687280178)</f>
        <v>347.192687280178</v>
      </c>
      <c r="H179" s="10">
        <f>IFERROR(__xludf.DUMMYFUNCTION("""COMPUTED_VALUE"""),24)</f>
        <v>24</v>
      </c>
      <c r="I179" s="13"/>
      <c r="J179" s="13"/>
      <c r="K179" s="13"/>
      <c r="L179" s="13"/>
      <c r="M179" s="1" t="b">
        <f>IFERROR(__xludf.DUMMYFUNCTION("""COMPUTED_VALUE"""),TRUE)</f>
        <v>1</v>
      </c>
      <c r="N179" s="10">
        <f>IFERROR(__xludf.DUMMYFUNCTION("""COMPUTED_VALUE"""),0)</f>
        <v>0</v>
      </c>
      <c r="O179" s="10">
        <f>IFERROR(__xludf.DUMMYFUNCTION("""COMPUTED_VALUE"""),0)</f>
        <v>0</v>
      </c>
      <c r="P179" s="10"/>
      <c r="Q179" s="30"/>
      <c r="R179" s="18"/>
      <c r="S179" s="19"/>
      <c r="T179" s="10"/>
      <c r="U179" s="10"/>
      <c r="V179" s="10"/>
      <c r="W179" s="10"/>
      <c r="X179" s="19"/>
      <c r="Y179" s="1"/>
      <c r="Z179" s="1"/>
      <c r="AA179" s="1"/>
    </row>
    <row r="180" customHeight="1" spans="1:27">
      <c r="A180" s="1"/>
      <c r="B180" s="1"/>
      <c r="C180" s="1"/>
      <c r="D180" s="1"/>
      <c r="E180" s="30"/>
      <c r="F180" s="10"/>
      <c r="G180" s="10"/>
      <c r="H180" s="10"/>
      <c r="I180" s="13"/>
      <c r="J180" s="13"/>
      <c r="K180" s="13"/>
      <c r="L180" s="13"/>
      <c r="M180" s="1"/>
      <c r="N180" s="10"/>
      <c r="O180" s="10"/>
      <c r="P180" s="10"/>
      <c r="Q180" s="30"/>
      <c r="R180" s="18"/>
      <c r="S180" s="19"/>
      <c r="T180" s="10"/>
      <c r="U180" s="10"/>
      <c r="V180" s="10"/>
      <c r="W180" s="10"/>
      <c r="X180" s="19"/>
      <c r="Y180" s="1"/>
      <c r="Z180" s="1"/>
      <c r="AA180" s="1"/>
    </row>
    <row r="181" customHeight="1" spans="1:27">
      <c r="A181" s="1" t="str">
        <f>IFERROR(__xludf.DUMMYFUNCTION("""COMPUTED_VALUE"""),"Clio R01")</f>
        <v>Clio R01</v>
      </c>
      <c r="B181" s="1" t="str">
        <f>IFERROR(__xludf.DUMMYFUNCTION("""COMPUTED_VALUE"""),"Clio 28")</f>
        <v>Clio 28</v>
      </c>
      <c r="C181" s="1"/>
      <c r="D181" s="1" t="str">
        <f>IFERROR(__xludf.DUMMYFUNCTION("""COMPUTED_VALUE"""),"OM-1")</f>
        <v>OM-1</v>
      </c>
      <c r="E181" s="30" t="str">
        <f>IFERROR(__xludf.DUMMYFUNCTION("""COMPUTED_VALUE"""),"OM1")</f>
        <v>OM1</v>
      </c>
      <c r="F181" s="10">
        <f>IFERROR(__xludf.DUMMYFUNCTION("""COMPUTED_VALUE"""),0)</f>
        <v>0</v>
      </c>
      <c r="G181" s="10">
        <f>IFERROR(__xludf.DUMMYFUNCTION("""COMPUTED_VALUE"""),0)</f>
        <v>0</v>
      </c>
      <c r="H181" s="10">
        <f>IFERROR(__xludf.DUMMYFUNCTION("""COMPUTED_VALUE"""),489.867)</f>
        <v>489.867</v>
      </c>
      <c r="I181" s="13"/>
      <c r="J181" s="13"/>
      <c r="K181" s="13"/>
      <c r="L181" s="13"/>
      <c r="M181" s="1" t="b">
        <f>IFERROR(__xludf.DUMMYFUNCTION("""COMPUTED_VALUE"""),TRUE)</f>
        <v>1</v>
      </c>
      <c r="N181" s="10">
        <f>IFERROR(__xludf.DUMMYFUNCTION("""COMPUTED_VALUE"""),0)</f>
        <v>0</v>
      </c>
      <c r="O181" s="10">
        <f>IFERROR(__xludf.DUMMYFUNCTION("""COMPUTED_VALUE"""),0)</f>
        <v>0</v>
      </c>
      <c r="P181" s="10"/>
      <c r="Q181" s="30"/>
      <c r="R181" s="18"/>
      <c r="S181" s="19"/>
      <c r="T181" s="10"/>
      <c r="U181" s="10"/>
      <c r="V181" s="10"/>
      <c r="W181" s="10"/>
      <c r="X181" s="19"/>
      <c r="Y181" s="1"/>
      <c r="Z181" s="1"/>
      <c r="AA181" s="1"/>
    </row>
    <row r="182" customHeight="1" spans="1:27">
      <c r="A182" s="1" t="str">
        <f>IFERROR(__xludf.DUMMYFUNCTION("""COMPUTED_VALUE"""),"Clio R02")</f>
        <v>Clio R02</v>
      </c>
      <c r="B182" s="1" t="str">
        <f>IFERROR(__xludf.DUMMYFUNCTION("""COMPUTED_VALUE"""),"Clio 29")</f>
        <v>Clio 29</v>
      </c>
      <c r="C182" s="1"/>
      <c r="D182" s="1" t="str">
        <f>IFERROR(__xludf.DUMMYFUNCTION("""COMPUTED_VALUE"""),"OM-2")</f>
        <v>OM-2</v>
      </c>
      <c r="E182" s="30" t="str">
        <f>IFERROR(__xludf.DUMMYFUNCTION("""COMPUTED_VALUE"""),"OM2")</f>
        <v>OM2</v>
      </c>
      <c r="F182" s="10">
        <f>IFERROR(__xludf.DUMMYFUNCTION("""COMPUTED_VALUE"""),0)</f>
        <v>0</v>
      </c>
      <c r="G182" s="10">
        <f>IFERROR(__xludf.DUMMYFUNCTION("""COMPUTED_VALUE"""),0)</f>
        <v>0</v>
      </c>
      <c r="H182" s="10">
        <f>IFERROR(__xludf.DUMMYFUNCTION("""COMPUTED_VALUE"""),-489.867)</f>
        <v>-489.867</v>
      </c>
      <c r="I182" s="13"/>
      <c r="J182" s="13"/>
      <c r="K182" s="13"/>
      <c r="L182" s="13"/>
      <c r="M182" s="1" t="b">
        <f>IFERROR(__xludf.DUMMYFUNCTION("""COMPUTED_VALUE"""),TRUE)</f>
        <v>1</v>
      </c>
      <c r="N182" s="10">
        <f>IFERROR(__xludf.DUMMYFUNCTION("""COMPUTED_VALUE"""),0)</f>
        <v>0</v>
      </c>
      <c r="O182" s="10">
        <f>IFERROR(__xludf.DUMMYFUNCTION("""COMPUTED_VALUE"""),0)</f>
        <v>0</v>
      </c>
      <c r="P182" s="10"/>
      <c r="Q182" s="30"/>
      <c r="R182" s="18"/>
      <c r="S182" s="19"/>
      <c r="T182" s="10"/>
      <c r="U182" s="10"/>
      <c r="V182" s="10"/>
      <c r="W182" s="10"/>
      <c r="X182" s="19"/>
      <c r="Y182" s="1"/>
      <c r="Z182" s="1"/>
      <c r="AA182" s="1"/>
    </row>
    <row r="183" customHeight="1" spans="1:27">
      <c r="A183" s="1" t="str">
        <f>IFERROR(__xludf.DUMMYFUNCTION("""COMPUTED_VALUE"""),"Clio R03")</f>
        <v>Clio R03</v>
      </c>
      <c r="B183" s="1" t="str">
        <f>IFERROR(__xludf.DUMMYFUNCTION("""COMPUTED_VALUE"""),"Clio 30")</f>
        <v>Clio 30</v>
      </c>
      <c r="C183" s="1" t="str">
        <f>IFERROR(__xludf.DUMMYFUNCTION("""COMPUTED_VALUE"""),"Clio 09")</f>
        <v>Clio 09</v>
      </c>
      <c r="D183" s="1" t="str">
        <f>IFERROR(__xludf.DUMMYFUNCTION("""COMPUTED_VALUE"""),"OM-3")</f>
        <v>OM-3</v>
      </c>
      <c r="E183" s="30" t="str">
        <f>IFERROR(__xludf.DUMMYFUNCTION("""COMPUTED_VALUE"""),"OM3")</f>
        <v>OM3</v>
      </c>
      <c r="F183" s="10">
        <f>IFERROR(__xludf.DUMMYFUNCTION("""COMPUTED_VALUE"""),0)</f>
        <v>0</v>
      </c>
      <c r="G183" s="10">
        <f>IFERROR(__xludf.DUMMYFUNCTION("""COMPUTED_VALUE"""),489.867)</f>
        <v>489.867</v>
      </c>
      <c r="H183" s="10">
        <f>IFERROR(__xludf.DUMMYFUNCTION("""COMPUTED_VALUE"""),0)</f>
        <v>0</v>
      </c>
      <c r="I183" s="13"/>
      <c r="J183" s="13"/>
      <c r="K183" s="13"/>
      <c r="L183" s="13"/>
      <c r="M183" s="1" t="b">
        <f>IFERROR(__xludf.DUMMYFUNCTION("""COMPUTED_VALUE"""),TRUE)</f>
        <v>1</v>
      </c>
      <c r="N183" s="10">
        <f>IFERROR(__xludf.DUMMYFUNCTION("""COMPUTED_VALUE"""),0)</f>
        <v>0</v>
      </c>
      <c r="O183" s="10">
        <f>IFERROR(__xludf.DUMMYFUNCTION("""COMPUTED_VALUE"""),0)</f>
        <v>0</v>
      </c>
      <c r="P183" s="10"/>
      <c r="Q183" s="30"/>
      <c r="R183" s="18"/>
      <c r="S183" s="19"/>
      <c r="T183" s="10"/>
      <c r="U183" s="10"/>
      <c r="V183" s="10"/>
      <c r="W183" s="10"/>
      <c r="X183" s="19"/>
      <c r="Y183" s="1"/>
      <c r="Z183" s="1"/>
      <c r="AA183" s="1"/>
    </row>
    <row r="184" customHeight="1" spans="1:27">
      <c r="A184" s="1" t="str">
        <f>IFERROR(__xludf.DUMMYFUNCTION("""COMPUTED_VALUE"""),"Clio R04")</f>
        <v>Clio R04</v>
      </c>
      <c r="B184" s="1" t="str">
        <f>IFERROR(__xludf.DUMMYFUNCTION("""COMPUTED_VALUE"""),"Clio 31")</f>
        <v>Clio 31</v>
      </c>
      <c r="C184" s="1" t="str">
        <f>IFERROR(__xludf.DUMMYFUNCTION("""COMPUTED_VALUE"""),"Clio 17")</f>
        <v>Clio 17</v>
      </c>
      <c r="D184" s="1" t="str">
        <f>IFERROR(__xludf.DUMMYFUNCTION("""COMPUTED_VALUE"""),"OM-4")</f>
        <v>OM-4</v>
      </c>
      <c r="E184" s="30" t="str">
        <f>IFERROR(__xludf.DUMMYFUNCTION("""COMPUTED_VALUE"""),"OM4")</f>
        <v>OM4</v>
      </c>
      <c r="F184" s="10">
        <f>IFERROR(__xludf.DUMMYFUNCTION("""COMPUTED_VALUE"""),0)</f>
        <v>0</v>
      </c>
      <c r="G184" s="10">
        <f>IFERROR(__xludf.DUMMYFUNCTION("""COMPUTED_VALUE"""),-489.867)</f>
        <v>-489.867</v>
      </c>
      <c r="H184" s="10">
        <f>IFERROR(__xludf.DUMMYFUNCTION("""COMPUTED_VALUE"""),0)</f>
        <v>0</v>
      </c>
      <c r="I184" s="13"/>
      <c r="J184" s="13"/>
      <c r="K184" s="13"/>
      <c r="L184" s="13"/>
      <c r="M184" s="1" t="b">
        <f>IFERROR(__xludf.DUMMYFUNCTION("""COMPUTED_VALUE"""),TRUE)</f>
        <v>1</v>
      </c>
      <c r="N184" s="10">
        <f>IFERROR(__xludf.DUMMYFUNCTION("""COMPUTED_VALUE"""),0)</f>
        <v>0</v>
      </c>
      <c r="O184" s="10">
        <f>IFERROR(__xludf.DUMMYFUNCTION("""COMPUTED_VALUE"""),0)</f>
        <v>0</v>
      </c>
      <c r="P184" s="10"/>
      <c r="Q184" s="30"/>
      <c r="R184" s="18"/>
      <c r="S184" s="19"/>
      <c r="T184" s="10"/>
      <c r="U184" s="10"/>
      <c r="V184" s="10"/>
      <c r="W184" s="10"/>
      <c r="X184" s="19"/>
      <c r="Y184" s="1"/>
      <c r="Z184" s="1"/>
      <c r="AA184" s="1"/>
    </row>
    <row r="185" customHeight="1" spans="1:27">
      <c r="A185" s="1" t="str">
        <f>IFERROR(__xludf.DUMMYFUNCTION("""COMPUTED_VALUE"""),"Clio R05")</f>
        <v>Clio R05</v>
      </c>
      <c r="B185" s="1" t="str">
        <f>IFERROR(__xludf.DUMMYFUNCTION("""COMPUTED_VALUE"""),"Clio 32")</f>
        <v>Clio 32</v>
      </c>
      <c r="C185" s="1" t="str">
        <f>IFERROR(__xludf.DUMMYFUNCTION("""COMPUTED_VALUE"""),"Clio 16")</f>
        <v>Clio 16</v>
      </c>
      <c r="D185" s="1" t="str">
        <f>IFERROR(__xludf.DUMMYFUNCTION("""COMPUTED_VALUE"""),"OM-5")</f>
        <v>OM-5</v>
      </c>
      <c r="E185" s="30" t="str">
        <f>IFERROR(__xludf.DUMMYFUNCTION("""COMPUTED_VALUE"""),"OM5")</f>
        <v>OM5</v>
      </c>
      <c r="F185" s="10">
        <f>IFERROR(__xludf.DUMMYFUNCTION("""COMPUTED_VALUE"""),489.867)</f>
        <v>489.867</v>
      </c>
      <c r="G185" s="10">
        <f>IFERROR(__xludf.DUMMYFUNCTION("""COMPUTED_VALUE"""),0)</f>
        <v>0</v>
      </c>
      <c r="H185" s="10">
        <f>IFERROR(__xludf.DUMMYFUNCTION("""COMPUTED_VALUE"""),0)</f>
        <v>0</v>
      </c>
      <c r="I185" s="13"/>
      <c r="J185" s="13"/>
      <c r="K185" s="13"/>
      <c r="L185" s="13"/>
      <c r="M185" s="1" t="b">
        <f>IFERROR(__xludf.DUMMYFUNCTION("""COMPUTED_VALUE"""),TRUE)</f>
        <v>1</v>
      </c>
      <c r="N185" s="10">
        <f>IFERROR(__xludf.DUMMYFUNCTION("""COMPUTED_VALUE"""),0)</f>
        <v>0</v>
      </c>
      <c r="O185" s="10">
        <f>IFERROR(__xludf.DUMMYFUNCTION("""COMPUTED_VALUE"""),0)</f>
        <v>0</v>
      </c>
      <c r="P185" s="10"/>
      <c r="Q185" s="30"/>
      <c r="R185" s="18"/>
      <c r="S185" s="19"/>
      <c r="T185" s="10"/>
      <c r="U185" s="10"/>
      <c r="V185" s="10"/>
      <c r="W185" s="10"/>
      <c r="X185" s="19"/>
      <c r="Y185" s="1"/>
      <c r="Z185" s="1"/>
      <c r="AA185" s="1"/>
    </row>
    <row r="186" customHeight="1" spans="1:27">
      <c r="A186" s="1" t="str">
        <f>IFERROR(__xludf.DUMMYFUNCTION("""COMPUTED_VALUE"""),"Clio R06")</f>
        <v>Clio R06</v>
      </c>
      <c r="B186" s="1" t="str">
        <f>IFERROR(__xludf.DUMMYFUNCTION("""COMPUTED_VALUE"""),"Clio 33")</f>
        <v>Clio 33</v>
      </c>
      <c r="C186" s="1" t="str">
        <f>IFERROR(__xludf.DUMMYFUNCTION("""COMPUTED_VALUE"""),"Clio 20")</f>
        <v>Clio 20</v>
      </c>
      <c r="D186" s="1" t="str">
        <f>IFERROR(__xludf.DUMMYFUNCTION("""COMPUTED_VALUE"""),"OM-6")</f>
        <v>OM-6</v>
      </c>
      <c r="E186" s="30" t="str">
        <f>IFERROR(__xludf.DUMMYFUNCTION("""COMPUTED_VALUE"""),"OM6")</f>
        <v>OM6</v>
      </c>
      <c r="F186" s="10">
        <f>IFERROR(__xludf.DUMMYFUNCTION("""COMPUTED_VALUE"""),-489.867)</f>
        <v>-489.867</v>
      </c>
      <c r="G186" s="10">
        <f>IFERROR(__xludf.DUMMYFUNCTION("""COMPUTED_VALUE"""),0)</f>
        <v>0</v>
      </c>
      <c r="H186" s="10">
        <f>IFERROR(__xludf.DUMMYFUNCTION("""COMPUTED_VALUE"""),0)</f>
        <v>0</v>
      </c>
      <c r="I186" s="13"/>
      <c r="J186" s="13"/>
      <c r="K186" s="13"/>
      <c r="L186" s="13"/>
      <c r="M186" s="1" t="b">
        <f>IFERROR(__xludf.DUMMYFUNCTION("""COMPUTED_VALUE"""),TRUE)</f>
        <v>1</v>
      </c>
      <c r="N186" s="10">
        <f>IFERROR(__xludf.DUMMYFUNCTION("""COMPUTED_VALUE"""),0)</f>
        <v>0</v>
      </c>
      <c r="O186" s="10">
        <f>IFERROR(__xludf.DUMMYFUNCTION("""COMPUTED_VALUE"""),0)</f>
        <v>0</v>
      </c>
      <c r="P186" s="10"/>
      <c r="Q186" s="30"/>
      <c r="R186" s="18"/>
      <c r="S186" s="19"/>
      <c r="T186" s="10"/>
      <c r="U186" s="10"/>
      <c r="V186" s="10"/>
      <c r="W186" s="10"/>
      <c r="X186" s="19"/>
      <c r="Y186" s="1"/>
      <c r="Z186" s="1"/>
      <c r="AA186" s="1"/>
    </row>
    <row r="187" customHeight="1" spans="1:27">
      <c r="A187" s="1" t="str">
        <f>IFERROR(__xludf.DUMMYFUNCTION("""COMPUTED_VALUE"""),"Clio")</f>
        <v>Clio</v>
      </c>
      <c r="B187" s="1" t="str">
        <f>IFERROR(__xludf.DUMMYFUNCTION("""COMPUTED_VALUE"""),"Clio 00")</f>
        <v>Clio 00</v>
      </c>
      <c r="C187" s="1"/>
      <c r="D187" s="1" t="str">
        <f>IFERROR(__xludf.DUMMYFUNCTION("""COMPUTED_VALUE"""),"Trading Terminals")</f>
        <v>Trading Terminals</v>
      </c>
      <c r="E187" s="30"/>
      <c r="F187" s="10"/>
      <c r="G187" s="10"/>
      <c r="H187" s="10"/>
      <c r="I187" s="13"/>
      <c r="J187" s="13"/>
      <c r="K187" s="13"/>
      <c r="L187" s="13"/>
      <c r="M187" s="1"/>
      <c r="N187" s="10"/>
      <c r="O187" s="10"/>
      <c r="P187" s="10"/>
      <c r="Q187" s="30"/>
      <c r="R187" s="18"/>
      <c r="S187" s="19"/>
      <c r="T187" s="10"/>
      <c r="U187" s="10"/>
      <c r="V187" s="10"/>
      <c r="W187" s="10"/>
      <c r="X187" s="19"/>
      <c r="Y187" s="1"/>
      <c r="Z187" s="1"/>
      <c r="AA187" s="1"/>
    </row>
    <row r="188" customHeight="1" spans="1:27">
      <c r="A188" s="1" t="str">
        <f>IFERROR(__xludf.DUMMYFUNCTION("""COMPUTED_VALUE"""),"Clio 01")</f>
        <v>Clio 01</v>
      </c>
      <c r="B188" s="1" t="str">
        <f>IFERROR(__xludf.DUMMYFUNCTION("""COMPUTED_VALUE"""),"Clio 01")</f>
        <v>Clio 01</v>
      </c>
      <c r="C188" s="1" t="str">
        <f>IFERROR(__xludf.DUMMYFUNCTION("""COMPUTED_VALUE"""),"Clio 03")</f>
        <v>Clio 03</v>
      </c>
      <c r="D188" s="1" t="str">
        <f>IFERROR(__xludf.DUMMYFUNCTION("""COMPUTED_VALUE"""),"Rayari Cantwell Research Outpost (PB)")</f>
        <v>Rayari Cantwell Research Outpost (PB)</v>
      </c>
      <c r="E188" s="30" t="str">
        <f>IFERROR(__xludf.DUMMYFUNCTION("""COMPUTED_VALUE"""),"Cantwell")</f>
        <v>Cantwell</v>
      </c>
      <c r="F188" s="10">
        <f>IFERROR(__xludf.DUMMYFUNCTION("""COMPUTED_VALUE"""),-217.174844287999)</f>
        <v>-217.174844287999</v>
      </c>
      <c r="G188" s="10">
        <f>IFERROR(__xludf.DUMMYFUNCTION("""COMPUTED_VALUE"""),215.278422408)</f>
        <v>215.278422408</v>
      </c>
      <c r="H188" s="10">
        <f>IFERROR(__xludf.DUMMYFUNCTION("""COMPUTED_VALUE"""),142.842297228999)</f>
        <v>142.842297228999</v>
      </c>
      <c r="I188" s="13"/>
      <c r="J188" s="13"/>
      <c r="K188" s="13"/>
      <c r="L188" s="13"/>
      <c r="M188" s="1" t="b">
        <f>IFERROR(__xludf.DUMMYFUNCTION("""COMPUTED_VALUE"""),TRUE)</f>
        <v>1</v>
      </c>
      <c r="N188" s="10">
        <f>IFERROR(__xludf.DUMMYFUNCTION("""COMPUTED_VALUE"""),0)</f>
        <v>0</v>
      </c>
      <c r="O188" s="10">
        <f>IFERROR(__xludf.DUMMYFUNCTION("""COMPUTED_VALUE"""),0)</f>
        <v>0</v>
      </c>
      <c r="P188" s="10"/>
      <c r="Q188" s="30"/>
      <c r="R188" s="18"/>
      <c r="S188" s="19"/>
      <c r="T188" s="10"/>
      <c r="U188" s="10"/>
      <c r="V188" s="10"/>
      <c r="W188" s="10"/>
      <c r="X188" s="19"/>
      <c r="Y188" s="1"/>
      <c r="Z188" s="1"/>
      <c r="AA188" s="1"/>
    </row>
    <row r="189" customHeight="1" spans="1:27">
      <c r="A189" s="1" t="str">
        <f>IFERROR(__xludf.DUMMYFUNCTION("""COMPUTED_VALUE"""),"Clio 02")</f>
        <v>Clio 02</v>
      </c>
      <c r="B189" s="1" t="str">
        <f>IFERROR(__xludf.DUMMYFUNCTION("""COMPUTED_VALUE"""),"Clio 02")</f>
        <v>Clio 02</v>
      </c>
      <c r="C189" s="1" t="str">
        <f>IFERROR(__xludf.DUMMYFUNCTION("""COMPUTED_VALUE"""),"Clio 18")</f>
        <v>Clio 18</v>
      </c>
      <c r="D189" s="1" t="str">
        <f>IFERROR(__xludf.DUMMYFUNCTION("""COMPUTED_VALUE"""),"Rayari McGrath Research Outpost (PB)")</f>
        <v>Rayari McGrath Research Outpost (PB)</v>
      </c>
      <c r="E189" s="30" t="str">
        <f>IFERROR(__xludf.DUMMYFUNCTION("""COMPUTED_VALUE"""),"McGrath")</f>
        <v>McGrath</v>
      </c>
      <c r="F189" s="10">
        <f>IFERROR(__xludf.DUMMYFUNCTION("""COMPUTED_VALUE"""),-325.904156921999)</f>
        <v>-325.904156921999</v>
      </c>
      <c r="G189" s="10">
        <f>IFERROR(__xludf.DUMMYFUNCTION("""COMPUTED_VALUE"""),-85.7133595519999)</f>
        <v>-85.7133595519999</v>
      </c>
      <c r="H189" s="10">
        <f>IFERROR(__xludf.DUMMYFUNCTION("""COMPUTED_VALUE"""),-18.785980507)</f>
        <v>-18.785980507</v>
      </c>
      <c r="I189" s="13"/>
      <c r="J189" s="13"/>
      <c r="K189" s="13"/>
      <c r="L189" s="13"/>
      <c r="M189" s="1" t="b">
        <f>IFERROR(__xludf.DUMMYFUNCTION("""COMPUTED_VALUE"""),TRUE)</f>
        <v>1</v>
      </c>
      <c r="N189" s="10">
        <f>IFERROR(__xludf.DUMMYFUNCTION("""COMPUTED_VALUE"""),0)</f>
        <v>0</v>
      </c>
      <c r="O189" s="10">
        <f>IFERROR(__xludf.DUMMYFUNCTION("""COMPUTED_VALUE"""),0)</f>
        <v>0</v>
      </c>
      <c r="P189" s="10"/>
      <c r="Q189" s="30"/>
      <c r="R189" s="18"/>
      <c r="S189" s="19"/>
      <c r="T189" s="10"/>
      <c r="U189" s="10"/>
      <c r="V189" s="10"/>
      <c r="W189" s="10"/>
      <c r="X189" s="19"/>
      <c r="Y189" s="1"/>
      <c r="Z189" s="1"/>
      <c r="AA189" s="1"/>
    </row>
    <row r="190" customHeight="1" spans="1:27">
      <c r="A190" s="1" t="str">
        <f>IFERROR(__xludf.DUMMYFUNCTION("""COMPUTED_VALUE"""),"Clio")</f>
        <v>Clio</v>
      </c>
      <c r="B190" s="1" t="str">
        <f>IFERROR(__xludf.DUMMYFUNCTION("""COMPUTED_VALUE"""),"Clio 04")</f>
        <v>Clio 04</v>
      </c>
      <c r="C190" s="1"/>
      <c r="D190" s="1" t="str">
        <f>IFERROR(__xludf.DUMMYFUNCTION("""COMPUTED_VALUE"""),"Racetracks")</f>
        <v>Racetracks</v>
      </c>
      <c r="E190" s="30"/>
      <c r="F190" s="10"/>
      <c r="G190" s="10"/>
      <c r="H190" s="10"/>
      <c r="I190" s="13"/>
      <c r="J190" s="13"/>
      <c r="K190" s="13"/>
      <c r="L190" s="13"/>
      <c r="M190" s="1"/>
      <c r="N190" s="10"/>
      <c r="O190" s="10"/>
      <c r="P190" s="10"/>
      <c r="Q190" s="30"/>
      <c r="R190" s="18"/>
      <c r="S190" s="19"/>
      <c r="T190" s="10"/>
      <c r="U190" s="10"/>
      <c r="V190" s="10"/>
      <c r="W190" s="10"/>
      <c r="X190" s="19"/>
      <c r="Y190" s="1"/>
      <c r="Z190" s="1"/>
      <c r="AA190" s="1"/>
    </row>
    <row r="191" customHeight="1" spans="1:27">
      <c r="A191" s="1" t="str">
        <f>IFERROR(__xludf.DUMMYFUNCTION("""COMPUTED_VALUE"""),"Clio 04")</f>
        <v>Clio 04</v>
      </c>
      <c r="B191" s="1" t="str">
        <f>IFERROR(__xludf.DUMMYFUNCTION("""COMPUTED_VALUE"""),"Clio 05")</f>
        <v>Clio 05</v>
      </c>
      <c r="C191" s="1" t="str">
        <f>IFERROR(__xludf.DUMMYFUNCTION("""COMPUTED_VALUE"""),"Clio 19")</f>
        <v>Clio 19</v>
      </c>
      <c r="D191" s="1" t="str">
        <f>IFERROR(__xludf.DUMMYFUNCTION("""COMPUTED_VALUE"""),"Snake Pit")</f>
        <v>Snake Pit</v>
      </c>
      <c r="E191" s="30" t="str">
        <f>IFERROR(__xludf.DUMMYFUNCTION("""COMPUTED_VALUE"""),"Snake Pit")</f>
        <v>Snake Pit</v>
      </c>
      <c r="F191" s="10">
        <f>IFERROR(__xludf.DUMMYFUNCTION("""COMPUTED_VALUE"""),-327.835)</f>
        <v>-327.835</v>
      </c>
      <c r="G191" s="10">
        <f>IFERROR(__xludf.DUMMYFUNCTION("""COMPUTED_VALUE"""),-78.8871999999999)</f>
        <v>-78.8871999999999</v>
      </c>
      <c r="H191" s="10">
        <f>IFERROR(__xludf.DUMMYFUNCTION("""COMPUTED_VALUE"""),-13.657)</f>
        <v>-13.657</v>
      </c>
      <c r="I191" s="13"/>
      <c r="J191" s="13"/>
      <c r="K191" s="13"/>
      <c r="L191" s="13"/>
      <c r="M191" s="1" t="b">
        <f>IFERROR(__xludf.DUMMYFUNCTION("""COMPUTED_VALUE"""),FALSE)</f>
        <v>0</v>
      </c>
      <c r="N191" s="10">
        <f>IFERROR(__xludf.DUMMYFUNCTION("""COMPUTED_VALUE"""),0)</f>
        <v>0</v>
      </c>
      <c r="O191" s="10">
        <f>IFERROR(__xludf.DUMMYFUNCTION("""COMPUTED_VALUE"""),0)</f>
        <v>0</v>
      </c>
      <c r="P191" s="10"/>
      <c r="Q191" s="30"/>
      <c r="R191" s="18"/>
      <c r="S191" s="19"/>
      <c r="T191" s="10"/>
      <c r="U191" s="10"/>
      <c r="V191" s="10"/>
      <c r="W191" s="10"/>
      <c r="X191" s="19"/>
      <c r="Y191" s="1"/>
      <c r="Z191" s="1"/>
      <c r="AA191" s="1"/>
    </row>
    <row r="192" customHeight="1" spans="1:27">
      <c r="A192" s="1" t="str">
        <f>IFERROR(__xludf.DUMMYFUNCTION("""COMPUTED_VALUE"""),"Clio")</f>
        <v>Clio</v>
      </c>
      <c r="B192" s="1" t="str">
        <f>IFERROR(__xludf.DUMMYFUNCTION("""COMPUTED_VALUE"""),"Clio 07")</f>
        <v>Clio 07</v>
      </c>
      <c r="C192" s="1"/>
      <c r="D192" s="1" t="str">
        <f>IFERROR(__xludf.DUMMYFUNCTION("""COMPUTED_VALUE"""),"Settlements")</f>
        <v>Settlements</v>
      </c>
      <c r="E192" s="30"/>
      <c r="F192" s="10"/>
      <c r="G192" s="10"/>
      <c r="H192" s="10"/>
      <c r="I192" s="13"/>
      <c r="J192" s="13"/>
      <c r="K192" s="13"/>
      <c r="L192" s="13"/>
      <c r="M192" s="1"/>
      <c r="N192" s="10"/>
      <c r="O192" s="10"/>
      <c r="P192" s="10"/>
      <c r="Q192" s="30"/>
      <c r="R192" s="18"/>
      <c r="S192" s="19"/>
      <c r="T192" s="10"/>
      <c r="U192" s="10"/>
      <c r="V192" s="10"/>
      <c r="W192" s="10"/>
      <c r="X192" s="19"/>
      <c r="Y192" s="1"/>
      <c r="Z192" s="1"/>
      <c r="AA192" s="1"/>
    </row>
    <row r="193" customHeight="1" spans="1:27">
      <c r="A193" s="1" t="str">
        <f>IFERROR(__xludf.DUMMYFUNCTION("""COMPUTED_VALUE"""),"Clio 05")</f>
        <v>Clio 05</v>
      </c>
      <c r="B193" s="1" t="str">
        <f>IFERROR(__xludf.DUMMYFUNCTION("""COMPUTED_VALUE"""),"Clio 08")</f>
        <v>Clio 08</v>
      </c>
      <c r="C193" s="1" t="str">
        <f>IFERROR(__xludf.DUMMYFUNCTION("""COMPUTED_VALUE"""),"Clio 04")</f>
        <v>Clio 04</v>
      </c>
      <c r="D193" s="1" t="str">
        <f>IFERROR(__xludf.DUMMYFUNCTION("""COMPUTED_VALUE"""),"Clio Settlement")</f>
        <v>Clio Settlement</v>
      </c>
      <c r="E193" s="30" t="str">
        <f>IFERROR(__xludf.DUMMYFUNCTION("""COMPUTED_VALUE"""),"Settlement 4b")</f>
        <v>Settlement 4b</v>
      </c>
      <c r="F193" s="10">
        <f>IFERROR(__xludf.DUMMYFUNCTION("""COMPUTED_VALUE"""),-213.194362306)</f>
        <v>-213.194362306</v>
      </c>
      <c r="G193" s="10">
        <f>IFERROR(__xludf.DUMMYFUNCTION("""COMPUTED_VALUE"""),224.238109238)</f>
        <v>224.238109238</v>
      </c>
      <c r="H193" s="10">
        <f>IFERROR(__xludf.DUMMYFUNCTION("""COMPUTED_VALUE"""),134.909854727)</f>
        <v>134.909854727</v>
      </c>
      <c r="I193" s="13"/>
      <c r="J193" s="13"/>
      <c r="K193" s="13"/>
      <c r="L193" s="13"/>
      <c r="M193" s="1" t="b">
        <f>IFERROR(__xludf.DUMMYFUNCTION("""COMPUTED_VALUE"""),FALSE)</f>
        <v>0</v>
      </c>
      <c r="N193" s="10">
        <f>IFERROR(__xludf.DUMMYFUNCTION("""COMPUTED_VALUE"""),0)</f>
        <v>0</v>
      </c>
      <c r="O193" s="10">
        <f>IFERROR(__xludf.DUMMYFUNCTION("""COMPUTED_VALUE"""),0)</f>
        <v>0</v>
      </c>
      <c r="P193" s="10"/>
      <c r="Q193" s="30"/>
      <c r="R193" s="18"/>
      <c r="S193" s="19"/>
      <c r="T193" s="10"/>
      <c r="U193" s="10"/>
      <c r="V193" s="10"/>
      <c r="W193" s="10"/>
      <c r="X193" s="19"/>
      <c r="Y193" s="1"/>
      <c r="Z193" s="1"/>
      <c r="AA193" s="1"/>
    </row>
    <row r="194" customHeight="1" spans="1:27">
      <c r="A194" s="1" t="str">
        <f>IFERROR(__xludf.DUMMYFUNCTION("""COMPUTED_VALUE"""),"Clio")</f>
        <v>Clio</v>
      </c>
      <c r="B194" s="1" t="str">
        <f>IFERROR(__xludf.DUMMYFUNCTION("""COMPUTED_VALUE"""),"Clio 10")</f>
        <v>Clio 10</v>
      </c>
      <c r="C194" s="1"/>
      <c r="D194" s="1" t="str">
        <f>IFERROR(__xludf.DUMMYFUNCTION("""COMPUTED_VALUE"""),"Caves")</f>
        <v>Caves</v>
      </c>
      <c r="E194" s="30"/>
      <c r="F194" s="10"/>
      <c r="G194" s="10"/>
      <c r="H194" s="10"/>
      <c r="I194" s="13"/>
      <c r="J194" s="13"/>
      <c r="K194" s="13"/>
      <c r="L194" s="13"/>
      <c r="M194" s="1"/>
      <c r="N194" s="10"/>
      <c r="O194" s="10"/>
      <c r="P194" s="10"/>
      <c r="Q194" s="30"/>
      <c r="R194" s="18"/>
      <c r="S194" s="19"/>
      <c r="T194" s="10"/>
      <c r="U194" s="10"/>
      <c r="V194" s="10"/>
      <c r="W194" s="10"/>
      <c r="X194" s="19"/>
      <c r="Y194" s="1"/>
      <c r="Z194" s="1"/>
      <c r="AA194" s="1"/>
    </row>
    <row r="195" customHeight="1" spans="1:27">
      <c r="A195" s="1" t="str">
        <f>IFERROR(__xludf.DUMMYFUNCTION("""COMPUTED_VALUE"""),"Clio 08")</f>
        <v>Clio 08</v>
      </c>
      <c r="B195" s="1" t="str">
        <f>IFERROR(__xludf.DUMMYFUNCTION("""COMPUTED_VALUE"""),"Clio 13")</f>
        <v>Clio 13</v>
      </c>
      <c r="C195" s="1" t="str">
        <f>IFERROR(__xludf.DUMMYFUNCTION("""COMPUTED_VALUE"""),"Clio 08")</f>
        <v>Clio 08</v>
      </c>
      <c r="D195" s="1" t="str">
        <f>IFERROR(__xludf.DUMMYFUNCTION("""COMPUTED_VALUE"""),"Rock Cave 46W-546")</f>
        <v>Rock Cave 46W-546</v>
      </c>
      <c r="E195" s="30" t="str">
        <f>IFERROR(__xludf.DUMMYFUNCTION("""COMPUTED_VALUE"""),"RCave 46W546")</f>
        <v>RCave 46W546</v>
      </c>
      <c r="F195" s="10">
        <f>IFERROR(__xludf.DUMMYFUNCTION("""COMPUTED_VALUE"""),-6.58353413499999)</f>
        <v>-6.58353413499999</v>
      </c>
      <c r="G195" s="10">
        <f>IFERROR(__xludf.DUMMYFUNCTION("""COMPUTED_VALUE"""),137.809373117)</f>
        <v>137.809373117</v>
      </c>
      <c r="H195" s="10">
        <f>IFERROR(__xludf.DUMMYFUNCTION("""COMPUTED_VALUE"""),308.281085888999)</f>
        <v>308.281085888999</v>
      </c>
      <c r="I195" s="13"/>
      <c r="J195" s="13"/>
      <c r="K195" s="13"/>
      <c r="L195" s="13"/>
      <c r="M195" s="1" t="b">
        <f>IFERROR(__xludf.DUMMYFUNCTION("""COMPUTED_VALUE"""),FALSE)</f>
        <v>0</v>
      </c>
      <c r="N195" s="10">
        <f>IFERROR(__xludf.DUMMYFUNCTION("""COMPUTED_VALUE"""),0)</f>
        <v>0</v>
      </c>
      <c r="O195" s="10">
        <f>IFERROR(__xludf.DUMMYFUNCTION("""COMPUTED_VALUE"""),0)</f>
        <v>0</v>
      </c>
      <c r="P195" s="10"/>
      <c r="Q195" s="30"/>
      <c r="R195" s="18"/>
      <c r="S195" s="19"/>
      <c r="T195" s="10"/>
      <c r="U195" s="10"/>
      <c r="V195" s="10"/>
      <c r="W195" s="10"/>
      <c r="X195" s="19"/>
      <c r="Y195" s="1"/>
      <c r="Z195" s="1"/>
      <c r="AA195" s="1"/>
    </row>
    <row r="196" customHeight="1" spans="1:27">
      <c r="A196" s="1" t="str">
        <f>IFERROR(__xludf.DUMMYFUNCTION("""COMPUTED_VALUE"""),"Clio 09")</f>
        <v>Clio 09</v>
      </c>
      <c r="B196" s="1" t="str">
        <f>IFERROR(__xludf.DUMMYFUNCTION("""COMPUTED_VALUE"""),"Clio 14")</f>
        <v>Clio 14</v>
      </c>
      <c r="C196" s="1" t="str">
        <f>IFERROR(__xludf.DUMMYFUNCTION("""COMPUTED_VALUE"""),"Clio 07")</f>
        <v>Clio 07</v>
      </c>
      <c r="D196" s="1" t="str">
        <f>IFERROR(__xludf.DUMMYFUNCTION("""COMPUTED_VALUE"""),"Rock Cave 46W-550")</f>
        <v>Rock Cave 46W-550</v>
      </c>
      <c r="E196" s="30" t="str">
        <f>IFERROR(__xludf.DUMMYFUNCTION("""COMPUTED_VALUE"""),"RCave 46W550")</f>
        <v>RCave 46W550</v>
      </c>
      <c r="F196" s="10">
        <f>IFERROR(__xludf.DUMMYFUNCTION("""COMPUTED_VALUE"""),-11.324353981)</f>
        <v>-11.324353981</v>
      </c>
      <c r="G196" s="10">
        <f>IFERROR(__xludf.DUMMYFUNCTION("""COMPUTED_VALUE"""),131.045365911)</f>
        <v>131.045365911</v>
      </c>
      <c r="H196" s="10">
        <f>IFERROR(__xludf.DUMMYFUNCTION("""COMPUTED_VALUE"""),311.055768554)</f>
        <v>311.055768554</v>
      </c>
      <c r="I196" s="13"/>
      <c r="J196" s="13"/>
      <c r="K196" s="13"/>
      <c r="L196" s="13"/>
      <c r="M196" s="1" t="b">
        <f>IFERROR(__xludf.DUMMYFUNCTION("""COMPUTED_VALUE"""),FALSE)</f>
        <v>0</v>
      </c>
      <c r="N196" s="10">
        <f>IFERROR(__xludf.DUMMYFUNCTION("""COMPUTED_VALUE"""),0)</f>
        <v>0</v>
      </c>
      <c r="O196" s="10">
        <f>IFERROR(__xludf.DUMMYFUNCTION("""COMPUTED_VALUE"""),0)</f>
        <v>0</v>
      </c>
      <c r="P196" s="10"/>
      <c r="Q196" s="30"/>
      <c r="R196" s="18"/>
      <c r="S196" s="19"/>
      <c r="T196" s="10"/>
      <c r="U196" s="10"/>
      <c r="V196" s="10"/>
      <c r="W196" s="10"/>
      <c r="X196" s="19"/>
      <c r="Y196" s="1"/>
      <c r="Z196" s="1"/>
      <c r="AA196" s="1"/>
    </row>
    <row r="197" customHeight="1" spans="1:27">
      <c r="A197" s="1" t="str">
        <f>IFERROR(__xludf.DUMMYFUNCTION("""COMPUTED_VALUE"""),"Clio 06")</f>
        <v>Clio 06</v>
      </c>
      <c r="B197" s="1" t="str">
        <f>IFERROR(__xludf.DUMMYFUNCTION("""COMPUTED_VALUE"""),"Clio 11")</f>
        <v>Clio 11</v>
      </c>
      <c r="C197" s="1" t="str">
        <f>IFERROR(__xludf.DUMMYFUNCTION("""COMPUTED_VALUE"""),"Clio 12")</f>
        <v>Clio 12</v>
      </c>
      <c r="D197" s="1" t="str">
        <f>IFERROR(__xludf.DUMMYFUNCTION("""COMPUTED_VALUE"""),"Rock Cave 43W")</f>
        <v>Rock Cave 43W</v>
      </c>
      <c r="E197" s="30" t="str">
        <f>IFERROR(__xludf.DUMMYFUNCTION("""COMPUTED_VALUE"""),"RCave 43W")</f>
        <v>RCave 43W</v>
      </c>
      <c r="F197" s="10">
        <f>IFERROR(__xludf.DUMMYFUNCTION("""COMPUTED_VALUE"""),26.4030768629999)</f>
        <v>26.4030768629999</v>
      </c>
      <c r="G197" s="10">
        <f>IFERROR(__xludf.DUMMYFUNCTION("""COMPUTED_VALUE"""),105.021741404999)</f>
        <v>105.021741404999</v>
      </c>
      <c r="H197" s="10">
        <f>IFERROR(__xludf.DUMMYFUNCTION("""COMPUTED_VALUE"""),319.751096617)</f>
        <v>319.751096617</v>
      </c>
      <c r="I197" s="13"/>
      <c r="J197" s="13"/>
      <c r="K197" s="13"/>
      <c r="L197" s="13"/>
      <c r="M197" s="1" t="b">
        <f>IFERROR(__xludf.DUMMYFUNCTION("""COMPUTED_VALUE"""),FALSE)</f>
        <v>0</v>
      </c>
      <c r="N197" s="10">
        <f>IFERROR(__xludf.DUMMYFUNCTION("""COMPUTED_VALUE"""),0)</f>
        <v>0</v>
      </c>
      <c r="O197" s="10">
        <f>IFERROR(__xludf.DUMMYFUNCTION("""COMPUTED_VALUE"""),0)</f>
        <v>0</v>
      </c>
      <c r="P197" s="10"/>
      <c r="Q197" s="30"/>
      <c r="R197" s="18"/>
      <c r="S197" s="19"/>
      <c r="T197" s="10"/>
      <c r="U197" s="10"/>
      <c r="V197" s="10"/>
      <c r="W197" s="10"/>
      <c r="X197" s="19"/>
      <c r="Y197" s="1"/>
      <c r="Z197" s="1"/>
      <c r="AA197" s="1"/>
    </row>
    <row r="198" customHeight="1" spans="1:27">
      <c r="A198" s="1" t="str">
        <f>IFERROR(__xludf.DUMMYFUNCTION("""COMPUTED_VALUE"""),"Clio 07")</f>
        <v>Clio 07</v>
      </c>
      <c r="B198" s="1" t="str">
        <f>IFERROR(__xludf.DUMMYFUNCTION("""COMPUTED_VALUE"""),"Clio 12")</f>
        <v>Clio 12</v>
      </c>
      <c r="C198" s="1" t="str">
        <f>IFERROR(__xludf.DUMMYFUNCTION("""COMPUTED_VALUE"""),"Clio 11")</f>
        <v>Clio 11</v>
      </c>
      <c r="D198" s="1" t="str">
        <f>IFERROR(__xludf.DUMMYFUNCTION("""COMPUTED_VALUE"""),"Rock Cave 44X")</f>
        <v>Rock Cave 44X</v>
      </c>
      <c r="E198" s="30" t="str">
        <f>IFERROR(__xludf.DUMMYFUNCTION("""COMPUTED_VALUE"""),"RCave 44X")</f>
        <v>RCave 44X</v>
      </c>
      <c r="F198" s="10">
        <f>IFERROR(__xludf.DUMMYFUNCTION("""COMPUTED_VALUE"""),12.477181057)</f>
        <v>12.477181057</v>
      </c>
      <c r="G198" s="10">
        <f>IFERROR(__xludf.DUMMYFUNCTION("""COMPUTED_VALUE"""),77.049362663)</f>
        <v>77.049362663</v>
      </c>
      <c r="H198" s="10">
        <f>IFERROR(__xludf.DUMMYFUNCTION("""COMPUTED_VALUE"""),328.531213000999)</f>
        <v>328.531213000999</v>
      </c>
      <c r="I198" s="13"/>
      <c r="J198" s="13"/>
      <c r="K198" s="13"/>
      <c r="L198" s="13"/>
      <c r="M198" s="1" t="b">
        <f>IFERROR(__xludf.DUMMYFUNCTION("""COMPUTED_VALUE"""),FALSE)</f>
        <v>0</v>
      </c>
      <c r="N198" s="10">
        <f>IFERROR(__xludf.DUMMYFUNCTION("""COMPUTED_VALUE"""),0)</f>
        <v>0</v>
      </c>
      <c r="O198" s="10">
        <f>IFERROR(__xludf.DUMMYFUNCTION("""COMPUTED_VALUE"""),0)</f>
        <v>0</v>
      </c>
      <c r="P198" s="10"/>
      <c r="Q198" s="30"/>
      <c r="R198" s="18"/>
      <c r="S198" s="19"/>
      <c r="T198" s="10"/>
      <c r="U198" s="10"/>
      <c r="V198" s="10"/>
      <c r="W198" s="10"/>
      <c r="X198" s="19"/>
      <c r="Y198" s="1"/>
      <c r="Z198" s="1"/>
      <c r="AA198" s="1"/>
    </row>
    <row r="199" customHeight="1" spans="1:27">
      <c r="A199" s="1" t="str">
        <f>IFERROR(__xludf.DUMMYFUNCTION("""COMPUTED_VALUE"""),"Clio")</f>
        <v>Clio</v>
      </c>
      <c r="B199" s="1" t="str">
        <f>IFERROR(__xludf.DUMMYFUNCTION("""COMPUTED_VALUE"""),"Clio 16")</f>
        <v>Clio 16</v>
      </c>
      <c r="C199" s="1"/>
      <c r="D199" s="1" t="str">
        <f>IFERROR(__xludf.DUMMYFUNCTION("""COMPUTED_VALUE"""),"Wrecks")</f>
        <v>Wrecks</v>
      </c>
      <c r="E199" s="30"/>
      <c r="F199" s="10"/>
      <c r="G199" s="10"/>
      <c r="H199" s="10"/>
      <c r="I199" s="13"/>
      <c r="J199" s="13"/>
      <c r="K199" s="13"/>
      <c r="L199" s="13"/>
      <c r="M199" s="1"/>
      <c r="N199" s="10"/>
      <c r="O199" s="10"/>
      <c r="P199" s="10"/>
      <c r="Q199" s="30"/>
      <c r="R199" s="18"/>
      <c r="S199" s="19"/>
      <c r="T199" s="10"/>
      <c r="U199" s="10"/>
      <c r="V199" s="10"/>
      <c r="W199" s="10"/>
      <c r="X199" s="19"/>
      <c r="Y199" s="1"/>
      <c r="Z199" s="1"/>
      <c r="AA199" s="1"/>
    </row>
    <row r="200" customHeight="1" spans="1:27">
      <c r="A200" s="1" t="str">
        <f>IFERROR(__xludf.DUMMYFUNCTION("""COMPUTED_VALUE"""),"Clio 11")</f>
        <v>Clio 11</v>
      </c>
      <c r="B200" s="1" t="str">
        <f>IFERROR(__xludf.DUMMYFUNCTION("""COMPUTED_VALUE"""),"Clio 18")</f>
        <v>Clio 18</v>
      </c>
      <c r="C200" s="1" t="str">
        <f>IFERROR(__xludf.DUMMYFUNCTION("""COMPUTED_VALUE"""),"Clio 02")</f>
        <v>Clio 02</v>
      </c>
      <c r="D200" s="1" t="str">
        <f>IFERROR(__xludf.DUMMYFUNCTION("""COMPUTED_VALUE"""),"Caterpillar Wreck 53Q")</f>
        <v>Caterpillar Wreck 53Q</v>
      </c>
      <c r="E200" s="30" t="str">
        <f>IFERROR(__xludf.DUMMYFUNCTION("""COMPUTED_VALUE"""),"Caterpillar 53Q")</f>
        <v>Caterpillar 53Q</v>
      </c>
      <c r="F200" s="10">
        <f>IFERROR(__xludf.DUMMYFUNCTION("""COMPUTED_VALUE"""),-235.054101494)</f>
        <v>-235.054101494</v>
      </c>
      <c r="G200" s="10">
        <f>IFERROR(__xludf.DUMMYFUNCTION("""COMPUTED_VALUE"""),222.12720871)</f>
        <v>222.12720871</v>
      </c>
      <c r="H200" s="10">
        <f>IFERROR(__xludf.DUMMYFUNCTION("""COMPUTED_VALUE"""),97.406744592)</f>
        <v>97.406744592</v>
      </c>
      <c r="I200" s="13"/>
      <c r="J200" s="13"/>
      <c r="K200" s="13"/>
      <c r="L200" s="13"/>
      <c r="M200" s="1" t="b">
        <f>IFERROR(__xludf.DUMMYFUNCTION("""COMPUTED_VALUE"""),FALSE)</f>
        <v>0</v>
      </c>
      <c r="N200" s="10">
        <f>IFERROR(__xludf.DUMMYFUNCTION("""COMPUTED_VALUE"""),0)</f>
        <v>0</v>
      </c>
      <c r="O200" s="10">
        <f>IFERROR(__xludf.DUMMYFUNCTION("""COMPUTED_VALUE"""),0)</f>
        <v>0</v>
      </c>
      <c r="P200" s="10"/>
      <c r="Q200" s="30"/>
      <c r="R200" s="18"/>
      <c r="S200" s="19"/>
      <c r="T200" s="10"/>
      <c r="U200" s="10"/>
      <c r="V200" s="10"/>
      <c r="W200" s="10"/>
      <c r="X200" s="19"/>
      <c r="Y200" s="1"/>
      <c r="Z200" s="1"/>
      <c r="AA200" s="1"/>
    </row>
    <row r="201" customHeight="1" spans="1:27">
      <c r="A201" s="1" t="str">
        <f>IFERROR(__xludf.DUMMYFUNCTION("""COMPUTED_VALUE"""),"Clio 10")</f>
        <v>Clio 10</v>
      </c>
      <c r="B201" s="1" t="str">
        <f>IFERROR(__xludf.DUMMYFUNCTION("""COMPUTED_VALUE"""),"Clio 17")</f>
        <v>Clio 17</v>
      </c>
      <c r="C201" s="1" t="str">
        <f>IFERROR(__xludf.DUMMYFUNCTION("""COMPUTED_VALUE"""),"Clio 15")</f>
        <v>Clio 15</v>
      </c>
      <c r="D201" s="1" t="str">
        <f>IFERROR(__xludf.DUMMYFUNCTION("""COMPUTED_VALUE"""),"Caterpillar Wreck 36Q")</f>
        <v>Caterpillar Wreck 36Q</v>
      </c>
      <c r="E201" s="30" t="str">
        <f>IFERROR(__xludf.DUMMYFUNCTION("""COMPUTED_VALUE"""),"Caterpillar 36Q")</f>
        <v>Caterpillar 36Q</v>
      </c>
      <c r="F201" s="10">
        <f>IFERROR(__xludf.DUMMYFUNCTION("""COMPUTED_VALUE"""),253.20056266)</f>
        <v>253.20056266</v>
      </c>
      <c r="G201" s="10">
        <f>IFERROR(__xludf.DUMMYFUNCTION("""COMPUTED_VALUE"""),178.404406362)</f>
        <v>178.404406362</v>
      </c>
      <c r="H201" s="10">
        <f>IFERROR(__xludf.DUMMYFUNCTION("""COMPUTED_VALUE"""),134.71351571)</f>
        <v>134.71351571</v>
      </c>
      <c r="I201" s="13"/>
      <c r="J201" s="13"/>
      <c r="K201" s="13"/>
      <c r="L201" s="13"/>
      <c r="M201" s="1" t="b">
        <f>IFERROR(__xludf.DUMMYFUNCTION("""COMPUTED_VALUE"""),FALSE)</f>
        <v>0</v>
      </c>
      <c r="N201" s="10">
        <f>IFERROR(__xludf.DUMMYFUNCTION("""COMPUTED_VALUE"""),0)</f>
        <v>0</v>
      </c>
      <c r="O201" s="10">
        <f>IFERROR(__xludf.DUMMYFUNCTION("""COMPUTED_VALUE"""),0)</f>
        <v>0</v>
      </c>
      <c r="P201" s="10"/>
      <c r="Q201" s="30"/>
      <c r="R201" s="18"/>
      <c r="S201" s="19"/>
      <c r="T201" s="10"/>
      <c r="U201" s="10"/>
      <c r="V201" s="10"/>
      <c r="W201" s="10"/>
      <c r="X201" s="19"/>
      <c r="Y201" s="1"/>
      <c r="Z201" s="1"/>
      <c r="AA201" s="1"/>
    </row>
    <row r="202" customHeight="1" spans="1:27">
      <c r="A202" s="1" t="str">
        <f>IFERROR(__xludf.DUMMYFUNCTION("""COMPUTED_VALUE"""),"Clio 12")</f>
        <v>Clio 12</v>
      </c>
      <c r="B202" s="1" t="str">
        <f>IFERROR(__xludf.DUMMYFUNCTION("""COMPUTED_VALUE"""),"Clio 19")</f>
        <v>Clio 19</v>
      </c>
      <c r="C202" s="1" t="str">
        <f>IFERROR(__xludf.DUMMYFUNCTION("""COMPUTED_VALUE"""),"Clio 01")</f>
        <v>Clio 01</v>
      </c>
      <c r="D202" s="1" t="str">
        <f>IFERROR(__xludf.DUMMYFUNCTION("""COMPUTED_VALUE"""),"Caterpillar Wreck 55V")</f>
        <v>Caterpillar Wreck 55V</v>
      </c>
      <c r="E202" s="30" t="str">
        <f>IFERROR(__xludf.DUMMYFUNCTION("""COMPUTED_VALUE"""),"Caterpillar 55V")</f>
        <v>Caterpillar 55V</v>
      </c>
      <c r="F202" s="10">
        <f>IFERROR(__xludf.DUMMYFUNCTION("""COMPUTED_VALUE"""),-142.973418852)</f>
        <v>-142.973418852</v>
      </c>
      <c r="G202" s="10">
        <f>IFERROR(__xludf.DUMMYFUNCTION("""COMPUTED_VALUE"""),98.2859822969998)</f>
        <v>98.2859822969998</v>
      </c>
      <c r="H202" s="10">
        <f>IFERROR(__xludf.DUMMYFUNCTION("""COMPUTED_VALUE"""),289.667368875999)</f>
        <v>289.667368875999</v>
      </c>
      <c r="I202" s="13"/>
      <c r="J202" s="13"/>
      <c r="K202" s="13"/>
      <c r="L202" s="13"/>
      <c r="M202" s="1" t="b">
        <f>IFERROR(__xludf.DUMMYFUNCTION("""COMPUTED_VALUE"""),FALSE)</f>
        <v>0</v>
      </c>
      <c r="N202" s="10">
        <f>IFERROR(__xludf.DUMMYFUNCTION("""COMPUTED_VALUE"""),0)</f>
        <v>0</v>
      </c>
      <c r="O202" s="10">
        <f>IFERROR(__xludf.DUMMYFUNCTION("""COMPUTED_VALUE"""),0)</f>
        <v>0</v>
      </c>
      <c r="P202" s="10"/>
      <c r="Q202" s="30"/>
      <c r="R202" s="18"/>
      <c r="S202" s="19"/>
      <c r="T202" s="10"/>
      <c r="U202" s="10"/>
      <c r="V202" s="10"/>
      <c r="W202" s="10"/>
      <c r="X202" s="19"/>
      <c r="Y202" s="1"/>
      <c r="Z202" s="1"/>
      <c r="AA202" s="1"/>
    </row>
    <row r="203" customHeight="1" spans="1:27">
      <c r="A203" s="1" t="str">
        <f>IFERROR(__xludf.DUMMYFUNCTION("""COMPUTED_VALUE"""),"Clio 13")</f>
        <v>Clio 13</v>
      </c>
      <c r="B203" s="1" t="str">
        <f>IFERROR(__xludf.DUMMYFUNCTION("""COMPUTED_VALUE"""),"Clio 20")</f>
        <v>Clio 20</v>
      </c>
      <c r="C203" s="1" t="str">
        <f>IFERROR(__xludf.DUMMYFUNCTION("""COMPUTED_VALUE"""),"Clio 14")</f>
        <v>Clio 14</v>
      </c>
      <c r="D203" s="1" t="str">
        <f>IFERROR(__xludf.DUMMYFUNCTION("""COMPUTED_VALUE"""),"Constellation Wreck")</f>
        <v>Constellation Wreck</v>
      </c>
      <c r="E203" s="1" t="str">
        <f>IFERROR(__xludf.DUMMYFUNCTION("""COMPUTED_VALUE"""),"Constellation")</f>
        <v>Constellation</v>
      </c>
      <c r="F203" s="2">
        <f>IFERROR(__xludf.DUMMYFUNCTION("""COMPUTED_VALUE"""),237.914797603999)</f>
        <v>237.914797603999</v>
      </c>
      <c r="G203" s="2">
        <f>IFERROR(__xludf.DUMMYFUNCTION("""COMPUTED_VALUE"""),197.091654172999)</f>
        <v>197.091654172999</v>
      </c>
      <c r="H203" s="2">
        <f>IFERROR(__xludf.DUMMYFUNCTION("""COMPUTED_VALUE"""),136.425946877999)</f>
        <v>136.425946877999</v>
      </c>
      <c r="I203" s="1"/>
      <c r="J203" s="1"/>
      <c r="K203" s="1"/>
      <c r="L203" s="1"/>
      <c r="M203" s="1" t="b">
        <f>IFERROR(__xludf.DUMMYFUNCTION("""COMPUTED_VALUE"""),FALSE)</f>
        <v>0</v>
      </c>
      <c r="N203" s="2">
        <f>IFERROR(__xludf.DUMMYFUNCTION("""COMPUTED_VALUE"""),0)</f>
        <v>0</v>
      </c>
      <c r="O203" s="2">
        <f>IFERROR(__xludf.DUMMYFUNCTION("""COMPUTED_VALUE"""),0)</f>
        <v>0</v>
      </c>
      <c r="P203" s="1"/>
      <c r="Q203" s="1"/>
      <c r="R203" s="1"/>
      <c r="S203" s="1"/>
      <c r="T203" s="1"/>
      <c r="U203" s="1"/>
      <c r="V203" s="1"/>
      <c r="W203" s="1"/>
      <c r="X203" s="1"/>
      <c r="Y203" s="1"/>
      <c r="Z203" s="1"/>
      <c r="AA203" s="1"/>
    </row>
    <row r="204" customHeight="1" spans="1:27">
      <c r="A204" s="1" t="str">
        <f>IFERROR(__xludf.DUMMYFUNCTION("""COMPUTED_VALUE"""),"Clio 16")</f>
        <v>Clio 16</v>
      </c>
      <c r="B204" s="1" t="str">
        <f>IFERROR(__xludf.DUMMYFUNCTION("""COMPUTED_VALUE"""),"Clio 23")</f>
        <v>Clio 23</v>
      </c>
      <c r="C204" s="1" t="str">
        <f>IFERROR(__xludf.DUMMYFUNCTION("""COMPUTED_VALUE"""),"Clio 05")</f>
        <v>Clio 05</v>
      </c>
      <c r="D204" s="1" t="str">
        <f>IFERROR(__xludf.DUMMYFUNCTION("""COMPUTED_VALUE"""),"Starfarer Wreck 50S")</f>
        <v>Starfarer Wreck 50S</v>
      </c>
      <c r="E204" s="30" t="str">
        <f>IFERROR(__xludf.DUMMYFUNCTION("""COMPUTED_VALUE"""),"Starfarer 50S")</f>
        <v>Starfarer 50S</v>
      </c>
      <c r="F204" s="10">
        <f>IFERROR(__xludf.DUMMYFUNCTION("""COMPUTED_VALUE"""),-125.553805875)</f>
        <v>-125.553805875</v>
      </c>
      <c r="G204" s="10">
        <f>IFERROR(__xludf.DUMMYFUNCTION("""COMPUTED_VALUE"""),242.327564791999)</f>
        <v>242.327564791999</v>
      </c>
      <c r="H204" s="10">
        <f>IFERROR(__xludf.DUMMYFUNCTION("""COMPUTED_VALUE"""),198.087908123)</f>
        <v>198.087908123</v>
      </c>
      <c r="I204" s="13"/>
      <c r="J204" s="13"/>
      <c r="K204" s="13"/>
      <c r="L204" s="13"/>
      <c r="M204" s="1" t="b">
        <f>IFERROR(__xludf.DUMMYFUNCTION("""COMPUTED_VALUE"""),FALSE)</f>
        <v>0</v>
      </c>
      <c r="N204" s="10">
        <f>IFERROR(__xludf.DUMMYFUNCTION("""COMPUTED_VALUE"""),0)</f>
        <v>0</v>
      </c>
      <c r="O204" s="10">
        <f>IFERROR(__xludf.DUMMYFUNCTION("""COMPUTED_VALUE"""),0)</f>
        <v>0</v>
      </c>
      <c r="P204" s="10"/>
      <c r="Q204" s="30"/>
      <c r="R204" s="18"/>
      <c r="S204" s="19"/>
      <c r="T204" s="10"/>
      <c r="U204" s="10"/>
      <c r="V204" s="10"/>
      <c r="W204" s="10"/>
      <c r="X204" s="19"/>
      <c r="Y204" s="1"/>
      <c r="Z204" s="1"/>
      <c r="AA204" s="1"/>
    </row>
    <row r="205" customHeight="1" spans="1:27">
      <c r="A205" s="1" t="str">
        <f>IFERROR(__xludf.DUMMYFUNCTION("""COMPUTED_VALUE"""),"Clio 14")</f>
        <v>Clio 14</v>
      </c>
      <c r="B205" s="1" t="str">
        <f>IFERROR(__xludf.DUMMYFUNCTION("""COMPUTED_VALUE"""),"Clio 21")</f>
        <v>Clio 21</v>
      </c>
      <c r="C205" s="1" t="str">
        <f>IFERROR(__xludf.DUMMYFUNCTION("""COMPUTED_VALUE"""),"Clio 13")</f>
        <v>Clio 13</v>
      </c>
      <c r="D205" s="1" t="str">
        <f>IFERROR(__xludf.DUMMYFUNCTION("""COMPUTED_VALUE"""),"Starfarer Wreck 42T")</f>
        <v>Starfarer Wreck 42T</v>
      </c>
      <c r="E205" s="30" t="str">
        <f>IFERROR(__xludf.DUMMYFUNCTION("""COMPUTED_VALUE"""),"Starfarer 42T")</f>
        <v>Starfarer 42T</v>
      </c>
      <c r="F205" s="10">
        <f>IFERROR(__xludf.DUMMYFUNCTION("""COMPUTED_VALUE"""),76.745244493)</f>
        <v>76.745244493</v>
      </c>
      <c r="G205" s="10">
        <f>IFERROR(__xludf.DUMMYFUNCTION("""COMPUTED_VALUE"""),235.732647705999)</f>
        <v>235.732647705999</v>
      </c>
      <c r="H205" s="10">
        <f>IFERROR(__xludf.DUMMYFUNCTION("""COMPUTED_VALUE"""),229.345741264999)</f>
        <v>229.345741264999</v>
      </c>
      <c r="I205" s="13"/>
      <c r="J205" s="13"/>
      <c r="K205" s="13"/>
      <c r="L205" s="13"/>
      <c r="M205" s="1" t="b">
        <f>IFERROR(__xludf.DUMMYFUNCTION("""COMPUTED_VALUE"""),FALSE)</f>
        <v>0</v>
      </c>
      <c r="N205" s="10">
        <f>IFERROR(__xludf.DUMMYFUNCTION("""COMPUTED_VALUE"""),0)</f>
        <v>0</v>
      </c>
      <c r="O205" s="10">
        <f>IFERROR(__xludf.DUMMYFUNCTION("""COMPUTED_VALUE"""),0)</f>
        <v>0</v>
      </c>
      <c r="P205" s="10"/>
      <c r="Q205" s="30"/>
      <c r="R205" s="18"/>
      <c r="S205" s="19"/>
      <c r="T205" s="10"/>
      <c r="U205" s="10"/>
      <c r="V205" s="10"/>
      <c r="W205" s="10"/>
      <c r="X205" s="19"/>
      <c r="Y205" s="1"/>
      <c r="Z205" s="1"/>
      <c r="AA205" s="1"/>
    </row>
    <row r="206" customHeight="1" spans="1:27">
      <c r="A206" s="1" t="str">
        <f>IFERROR(__xludf.DUMMYFUNCTION("""COMPUTED_VALUE"""),"Clio 15")</f>
        <v>Clio 15</v>
      </c>
      <c r="B206" s="1" t="str">
        <f>IFERROR(__xludf.DUMMYFUNCTION("""COMPUTED_VALUE"""),"Clio 22")</f>
        <v>Clio 22</v>
      </c>
      <c r="C206" s="1" t="str">
        <f>IFERROR(__xludf.DUMMYFUNCTION("""COMPUTED_VALUE"""),"Clio 10")</f>
        <v>Clio 10</v>
      </c>
      <c r="D206" s="1" t="str">
        <f>IFERROR(__xludf.DUMMYFUNCTION("""COMPUTED_VALUE"""),"Starfarer Wreck 45V")</f>
        <v>Starfarer Wreck 45V</v>
      </c>
      <c r="E206" s="30" t="str">
        <f>IFERROR(__xludf.DUMMYFUNCTION("""COMPUTED_VALUE"""),"Starfarer 45V")</f>
        <v>Starfarer 45V</v>
      </c>
      <c r="F206" s="10">
        <f>IFERROR(__xludf.DUMMYFUNCTION("""COMPUTED_VALUE"""),6.51288168099999)</f>
        <v>6.51288168099999</v>
      </c>
      <c r="G206" s="10">
        <f>IFERROR(__xludf.DUMMYFUNCTION("""COMPUTED_VALUE"""),175.082089572)</f>
        <v>175.082089572</v>
      </c>
      <c r="H206" s="10">
        <f>IFERROR(__xludf.DUMMYFUNCTION("""COMPUTED_VALUE"""),288.414680617999)</f>
        <v>288.414680617999</v>
      </c>
      <c r="I206" s="13"/>
      <c r="J206" s="13"/>
      <c r="K206" s="13"/>
      <c r="L206" s="13"/>
      <c r="M206" s="1" t="b">
        <f>IFERROR(__xludf.DUMMYFUNCTION("""COMPUTED_VALUE"""),FALSE)</f>
        <v>0</v>
      </c>
      <c r="N206" s="10">
        <f>IFERROR(__xludf.DUMMYFUNCTION("""COMPUTED_VALUE"""),0)</f>
        <v>0</v>
      </c>
      <c r="O206" s="10">
        <f>IFERROR(__xludf.DUMMYFUNCTION("""COMPUTED_VALUE"""),0)</f>
        <v>0</v>
      </c>
      <c r="P206" s="10"/>
      <c r="Q206" s="30"/>
      <c r="R206" s="18"/>
      <c r="S206" s="19"/>
      <c r="T206" s="10"/>
      <c r="U206" s="10"/>
      <c r="V206" s="10"/>
      <c r="W206" s="10"/>
      <c r="X206" s="19"/>
      <c r="Y206" s="1"/>
      <c r="Z206" s="1"/>
      <c r="AA206" s="1"/>
    </row>
    <row r="207" customHeight="1" spans="1:27">
      <c r="A207" s="1" t="str">
        <f>IFERROR(__xludf.DUMMYFUNCTION("""COMPUTED_VALUE"""),"Clio")</f>
        <v>Clio</v>
      </c>
      <c r="B207" s="1" t="str">
        <f>IFERROR(__xludf.DUMMYFUNCTION("""COMPUTED_VALUE"""),"Clio 25")</f>
        <v>Clio 25</v>
      </c>
      <c r="C207" s="1"/>
      <c r="D207" s="1" t="str">
        <f>IFERROR(__xludf.DUMMYFUNCTION("""COMPUTED_VALUE"""),"Comm Array")</f>
        <v>Comm Array</v>
      </c>
      <c r="E207" s="30"/>
      <c r="F207" s="10"/>
      <c r="G207" s="10"/>
      <c r="H207" s="10"/>
      <c r="I207" s="13"/>
      <c r="J207" s="13"/>
      <c r="K207" s="13"/>
      <c r="L207" s="13"/>
      <c r="M207" s="1"/>
      <c r="N207" s="10"/>
      <c r="O207" s="10"/>
      <c r="P207" s="10"/>
      <c r="Q207" s="30"/>
      <c r="R207" s="18"/>
      <c r="S207" s="19"/>
      <c r="T207" s="10"/>
      <c r="U207" s="10"/>
      <c r="V207" s="10"/>
      <c r="W207" s="10"/>
      <c r="X207" s="19"/>
      <c r="Y207" s="1"/>
      <c r="Z207" s="1"/>
      <c r="AA207" s="1"/>
    </row>
    <row r="208" customHeight="1" spans="1:27">
      <c r="A208" s="1" t="str">
        <f>IFERROR(__xludf.DUMMYFUNCTION("""COMPUTED_VALUE"""),"Clio 03")</f>
        <v>Clio 03</v>
      </c>
      <c r="B208" s="1" t="str">
        <f>IFERROR(__xludf.DUMMYFUNCTION("""COMPUTED_VALUE"""),"Clio 26")</f>
        <v>Clio 26</v>
      </c>
      <c r="C208" s="1" t="str">
        <f>IFERROR(__xludf.DUMMYFUNCTION("""COMPUTED_VALUE"""),"Clio 06")</f>
        <v>Clio 06</v>
      </c>
      <c r="D208" s="1" t="str">
        <f>IFERROR(__xludf.DUMMYFUNCTION("""COMPUTED_VALUE"""),"Comm Array ST4-59")</f>
        <v>Comm Array ST4-59</v>
      </c>
      <c r="E208" s="30" t="str">
        <f>IFERROR(__xludf.DUMMYFUNCTION("""COMPUTED_VALUE"""),"ST4-59")</f>
        <v>ST4-59</v>
      </c>
      <c r="F208" s="10">
        <f>IFERROR(__xludf.DUMMYFUNCTION("""COMPUTED_VALUE"""),-249.263407497406)</f>
        <v>-249.263407497406</v>
      </c>
      <c r="G208" s="10">
        <f>IFERROR(__xludf.DUMMYFUNCTION("""COMPUTED_VALUE"""),510.162233093262)</f>
        <v>510.162233093262</v>
      </c>
      <c r="H208" s="10">
        <f>IFERROR(__xludf.DUMMYFUNCTION("""COMPUTED_VALUE"""),24)</f>
        <v>24</v>
      </c>
      <c r="I208" s="13"/>
      <c r="J208" s="13"/>
      <c r="K208" s="13"/>
      <c r="L208" s="13"/>
      <c r="M208" s="1" t="b">
        <f>IFERROR(__xludf.DUMMYFUNCTION("""COMPUTED_VALUE"""),TRUE)</f>
        <v>1</v>
      </c>
      <c r="N208" s="10">
        <f>IFERROR(__xludf.DUMMYFUNCTION("""COMPUTED_VALUE"""),0)</f>
        <v>0</v>
      </c>
      <c r="O208" s="10">
        <f>IFERROR(__xludf.DUMMYFUNCTION("""COMPUTED_VALUE"""),0)</f>
        <v>0</v>
      </c>
      <c r="P208" s="10"/>
      <c r="Q208" s="30"/>
      <c r="R208" s="18"/>
      <c r="S208" s="19"/>
      <c r="T208" s="10"/>
      <c r="U208" s="10"/>
      <c r="V208" s="10"/>
      <c r="W208" s="10"/>
      <c r="X208" s="19"/>
      <c r="Y208" s="1"/>
      <c r="Z208" s="1"/>
      <c r="AA208" s="1"/>
    </row>
    <row r="209" customHeight="1" spans="1:27">
      <c r="A209" s="1"/>
      <c r="B209" s="1"/>
      <c r="C209" s="1"/>
      <c r="D209" s="1"/>
      <c r="E209" s="30"/>
      <c r="F209" s="10"/>
      <c r="G209" s="10"/>
      <c r="H209" s="10"/>
      <c r="I209" s="13"/>
      <c r="J209" s="13"/>
      <c r="K209" s="13"/>
      <c r="L209" s="13"/>
      <c r="M209" s="1"/>
      <c r="N209" s="10"/>
      <c r="O209" s="10"/>
      <c r="P209" s="10"/>
      <c r="Q209" s="30"/>
      <c r="R209" s="18"/>
      <c r="S209" s="19"/>
      <c r="T209" s="10"/>
      <c r="U209" s="10"/>
      <c r="V209" s="10"/>
      <c r="W209" s="10"/>
      <c r="X209" s="19"/>
      <c r="Y209" s="1"/>
      <c r="Z209" s="1"/>
      <c r="AA209" s="1"/>
    </row>
    <row r="210" customHeight="1" spans="1:27">
      <c r="A210" s="1" t="str">
        <f>IFERROR(__xludf.DUMMYFUNCTION("""COMPUTED_VALUE"""),"Crusader R01")</f>
        <v>Crusader R01</v>
      </c>
      <c r="B210" s="1" t="str">
        <f>IFERROR(__xludf.DUMMYFUNCTION("""COMPUTED_VALUE"""),"Crusader 16")</f>
        <v>Crusader 16</v>
      </c>
      <c r="C210" s="1"/>
      <c r="D210" s="1" t="str">
        <f>IFERROR(__xludf.DUMMYFUNCTION("""COMPUTED_VALUE"""),"OM-1")</f>
        <v>OM-1</v>
      </c>
      <c r="E210" s="30" t="str">
        <f>IFERROR(__xludf.DUMMYFUNCTION("""COMPUTED_VALUE"""),"OM1")</f>
        <v>OM1</v>
      </c>
      <c r="F210" s="10">
        <f>IFERROR(__xludf.DUMMYFUNCTION("""COMPUTED_VALUE"""),0)</f>
        <v>0</v>
      </c>
      <c r="G210" s="10">
        <f>IFERROR(__xludf.DUMMYFUNCTION("""COMPUTED_VALUE"""),0)</f>
        <v>0</v>
      </c>
      <c r="H210" s="10">
        <f>IFERROR(__xludf.DUMMYFUNCTION("""COMPUTED_VALUE"""),10673.17)</f>
        <v>10673.17</v>
      </c>
      <c r="I210" s="13"/>
      <c r="J210" s="13"/>
      <c r="K210" s="13"/>
      <c r="L210" s="13"/>
      <c r="M210" s="1" t="b">
        <f>IFERROR(__xludf.DUMMYFUNCTION("""COMPUTED_VALUE"""),TRUE)</f>
        <v>1</v>
      </c>
      <c r="N210" s="10">
        <f>IFERROR(__xludf.DUMMYFUNCTION("""COMPUTED_VALUE"""),0)</f>
        <v>0</v>
      </c>
      <c r="O210" s="10">
        <f>IFERROR(__xludf.DUMMYFUNCTION("""COMPUTED_VALUE"""),0)</f>
        <v>0</v>
      </c>
      <c r="P210" s="10"/>
      <c r="Q210" s="30"/>
      <c r="R210" s="18"/>
      <c r="S210" s="19"/>
      <c r="T210" s="10"/>
      <c r="U210" s="10"/>
      <c r="V210" s="10"/>
      <c r="W210" s="10"/>
      <c r="X210" s="19"/>
      <c r="Y210" s="1"/>
      <c r="Z210" s="1"/>
      <c r="AA210" s="1"/>
    </row>
    <row r="211" customHeight="1" spans="1:27">
      <c r="A211" s="1" t="str">
        <f>IFERROR(__xludf.DUMMYFUNCTION("""COMPUTED_VALUE"""),"Crusader R02")</f>
        <v>Crusader R02</v>
      </c>
      <c r="B211" s="1" t="str">
        <f>IFERROR(__xludf.DUMMYFUNCTION("""COMPUTED_VALUE"""),"Crusader 17")</f>
        <v>Crusader 17</v>
      </c>
      <c r="C211" s="1"/>
      <c r="D211" s="1" t="str">
        <f>IFERROR(__xludf.DUMMYFUNCTION("""COMPUTED_VALUE"""),"OM-2")</f>
        <v>OM-2</v>
      </c>
      <c r="E211" s="30" t="str">
        <f>IFERROR(__xludf.DUMMYFUNCTION("""COMPUTED_VALUE"""),"OM2")</f>
        <v>OM2</v>
      </c>
      <c r="F211" s="10">
        <f>IFERROR(__xludf.DUMMYFUNCTION("""COMPUTED_VALUE"""),0)</f>
        <v>0</v>
      </c>
      <c r="G211" s="10">
        <f>IFERROR(__xludf.DUMMYFUNCTION("""COMPUTED_VALUE"""),0)</f>
        <v>0</v>
      </c>
      <c r="H211" s="10">
        <f>IFERROR(__xludf.DUMMYFUNCTION("""COMPUTED_VALUE"""),-10673.17)</f>
        <v>-10673.17</v>
      </c>
      <c r="I211" s="13"/>
      <c r="J211" s="13"/>
      <c r="K211" s="13"/>
      <c r="L211" s="13"/>
      <c r="M211" s="1" t="b">
        <f>IFERROR(__xludf.DUMMYFUNCTION("""COMPUTED_VALUE"""),TRUE)</f>
        <v>1</v>
      </c>
      <c r="N211" s="10">
        <f>IFERROR(__xludf.DUMMYFUNCTION("""COMPUTED_VALUE"""),0)</f>
        <v>0</v>
      </c>
      <c r="O211" s="10">
        <f>IFERROR(__xludf.DUMMYFUNCTION("""COMPUTED_VALUE"""),0)</f>
        <v>0</v>
      </c>
      <c r="P211" s="10"/>
      <c r="Q211" s="30"/>
      <c r="R211" s="18"/>
      <c r="S211" s="19"/>
      <c r="T211" s="10"/>
      <c r="U211" s="10"/>
      <c r="V211" s="10"/>
      <c r="W211" s="10"/>
      <c r="X211" s="19"/>
      <c r="Y211" s="1"/>
      <c r="Z211" s="1"/>
      <c r="AA211" s="1"/>
    </row>
    <row r="212" customHeight="1" spans="1:27">
      <c r="A212" s="1" t="str">
        <f>IFERROR(__xludf.DUMMYFUNCTION("""COMPUTED_VALUE"""),"Crusader R03")</f>
        <v>Crusader R03</v>
      </c>
      <c r="B212" s="1" t="str">
        <f>IFERROR(__xludf.DUMMYFUNCTION("""COMPUTED_VALUE"""),"Crusader 18")</f>
        <v>Crusader 18</v>
      </c>
      <c r="C212" s="1" t="str">
        <f>IFERROR(__xludf.DUMMYFUNCTION("""COMPUTED_VALUE"""),"Crusader 02")</f>
        <v>Crusader 02</v>
      </c>
      <c r="D212" s="1" t="str">
        <f>IFERROR(__xludf.DUMMYFUNCTION("""COMPUTED_VALUE"""),"OM-3")</f>
        <v>OM-3</v>
      </c>
      <c r="E212" s="30" t="str">
        <f>IFERROR(__xludf.DUMMYFUNCTION("""COMPUTED_VALUE"""),"OM3")</f>
        <v>OM3</v>
      </c>
      <c r="F212" s="10">
        <f>IFERROR(__xludf.DUMMYFUNCTION("""COMPUTED_VALUE"""),0)</f>
        <v>0</v>
      </c>
      <c r="G212" s="10">
        <f>IFERROR(__xludf.DUMMYFUNCTION("""COMPUTED_VALUE"""),10673.17)</f>
        <v>10673.17</v>
      </c>
      <c r="H212" s="10">
        <f>IFERROR(__xludf.DUMMYFUNCTION("""COMPUTED_VALUE"""),0)</f>
        <v>0</v>
      </c>
      <c r="I212" s="13"/>
      <c r="J212" s="13"/>
      <c r="K212" s="13"/>
      <c r="L212" s="13"/>
      <c r="M212" s="1" t="b">
        <f>IFERROR(__xludf.DUMMYFUNCTION("""COMPUTED_VALUE"""),TRUE)</f>
        <v>1</v>
      </c>
      <c r="N212" s="10">
        <f>IFERROR(__xludf.DUMMYFUNCTION("""COMPUTED_VALUE"""),0)</f>
        <v>0</v>
      </c>
      <c r="O212" s="10">
        <f>IFERROR(__xludf.DUMMYFUNCTION("""COMPUTED_VALUE"""),0)</f>
        <v>0</v>
      </c>
      <c r="P212" s="10"/>
      <c r="Q212" s="30"/>
      <c r="R212" s="18"/>
      <c r="S212" s="19"/>
      <c r="T212" s="10"/>
      <c r="U212" s="10"/>
      <c r="V212" s="10"/>
      <c r="W212" s="10"/>
      <c r="X212" s="19"/>
      <c r="Y212" s="1"/>
      <c r="Z212" s="1"/>
      <c r="AA212" s="1"/>
    </row>
    <row r="213" customHeight="1" spans="1:27">
      <c r="A213" s="1" t="str">
        <f>IFERROR(__xludf.DUMMYFUNCTION("""COMPUTED_VALUE"""),"Crusader R04")</f>
        <v>Crusader R04</v>
      </c>
      <c r="B213" s="1" t="str">
        <f>IFERROR(__xludf.DUMMYFUNCTION("""COMPUTED_VALUE"""),"Crusader 19")</f>
        <v>Crusader 19</v>
      </c>
      <c r="C213" s="1" t="str">
        <f>IFERROR(__xludf.DUMMYFUNCTION("""COMPUTED_VALUE"""),"Crusader 10")</f>
        <v>Crusader 10</v>
      </c>
      <c r="D213" s="1" t="str">
        <f>IFERROR(__xludf.DUMMYFUNCTION("""COMPUTED_VALUE"""),"OM-4")</f>
        <v>OM-4</v>
      </c>
      <c r="E213" s="30" t="str">
        <f>IFERROR(__xludf.DUMMYFUNCTION("""COMPUTED_VALUE"""),"OM4")</f>
        <v>OM4</v>
      </c>
      <c r="F213" s="10">
        <f>IFERROR(__xludf.DUMMYFUNCTION("""COMPUTED_VALUE"""),0)</f>
        <v>0</v>
      </c>
      <c r="G213" s="10">
        <f>IFERROR(__xludf.DUMMYFUNCTION("""COMPUTED_VALUE"""),-10673.17)</f>
        <v>-10673.17</v>
      </c>
      <c r="H213" s="10">
        <f>IFERROR(__xludf.DUMMYFUNCTION("""COMPUTED_VALUE"""),0)</f>
        <v>0</v>
      </c>
      <c r="I213" s="13"/>
      <c r="J213" s="13"/>
      <c r="K213" s="13"/>
      <c r="L213" s="13"/>
      <c r="M213" s="1" t="b">
        <f>IFERROR(__xludf.DUMMYFUNCTION("""COMPUTED_VALUE"""),TRUE)</f>
        <v>1</v>
      </c>
      <c r="N213" s="10">
        <f>IFERROR(__xludf.DUMMYFUNCTION("""COMPUTED_VALUE"""),0)</f>
        <v>0</v>
      </c>
      <c r="O213" s="10">
        <f>IFERROR(__xludf.DUMMYFUNCTION("""COMPUTED_VALUE"""),0)</f>
        <v>0</v>
      </c>
      <c r="P213" s="10"/>
      <c r="Q213" s="30"/>
      <c r="R213" s="18"/>
      <c r="S213" s="19"/>
      <c r="T213" s="10"/>
      <c r="U213" s="10"/>
      <c r="V213" s="10"/>
      <c r="W213" s="10"/>
      <c r="X213" s="19"/>
      <c r="Y213" s="1"/>
      <c r="Z213" s="1"/>
      <c r="AA213" s="1"/>
    </row>
    <row r="214" customHeight="1" spans="1:27">
      <c r="A214" s="1" t="str">
        <f>IFERROR(__xludf.DUMMYFUNCTION("""COMPUTED_VALUE"""),"Crusader R05")</f>
        <v>Crusader R05</v>
      </c>
      <c r="B214" s="1" t="str">
        <f>IFERROR(__xludf.DUMMYFUNCTION("""COMPUTED_VALUE"""),"Crusader 20")</f>
        <v>Crusader 20</v>
      </c>
      <c r="C214" s="1" t="str">
        <f>IFERROR(__xludf.DUMMYFUNCTION("""COMPUTED_VALUE"""),"Crusader 04")</f>
        <v>Crusader 04</v>
      </c>
      <c r="D214" s="1" t="str">
        <f>IFERROR(__xludf.DUMMYFUNCTION("""COMPUTED_VALUE"""),"OM-5")</f>
        <v>OM-5</v>
      </c>
      <c r="E214" s="30" t="str">
        <f>IFERROR(__xludf.DUMMYFUNCTION("""COMPUTED_VALUE"""),"OM5")</f>
        <v>OM5</v>
      </c>
      <c r="F214" s="10">
        <f>IFERROR(__xludf.DUMMYFUNCTION("""COMPUTED_VALUE"""),10673.17)</f>
        <v>10673.17</v>
      </c>
      <c r="G214" s="10">
        <f>IFERROR(__xludf.DUMMYFUNCTION("""COMPUTED_VALUE"""),0)</f>
        <v>0</v>
      </c>
      <c r="H214" s="10">
        <f>IFERROR(__xludf.DUMMYFUNCTION("""COMPUTED_VALUE"""),0)</f>
        <v>0</v>
      </c>
      <c r="I214" s="13"/>
      <c r="J214" s="13"/>
      <c r="K214" s="13"/>
      <c r="L214" s="13"/>
      <c r="M214" s="1" t="b">
        <f>IFERROR(__xludf.DUMMYFUNCTION("""COMPUTED_VALUE"""),TRUE)</f>
        <v>1</v>
      </c>
      <c r="N214" s="10">
        <f>IFERROR(__xludf.DUMMYFUNCTION("""COMPUTED_VALUE"""),0)</f>
        <v>0</v>
      </c>
      <c r="O214" s="10">
        <f>IFERROR(__xludf.DUMMYFUNCTION("""COMPUTED_VALUE"""),0)</f>
        <v>0</v>
      </c>
      <c r="P214" s="10"/>
      <c r="Q214" s="30"/>
      <c r="R214" s="18"/>
      <c r="S214" s="19"/>
      <c r="T214" s="10"/>
      <c r="U214" s="10"/>
      <c r="V214" s="10"/>
      <c r="W214" s="10"/>
      <c r="X214" s="19"/>
      <c r="Y214" s="1"/>
      <c r="Z214" s="1"/>
      <c r="AA214" s="1"/>
    </row>
    <row r="215" customHeight="1" spans="1:27">
      <c r="A215" s="1" t="str">
        <f>IFERROR(__xludf.DUMMYFUNCTION("""COMPUTED_VALUE"""),"Crusader R06")</f>
        <v>Crusader R06</v>
      </c>
      <c r="B215" s="1" t="str">
        <f>IFERROR(__xludf.DUMMYFUNCTION("""COMPUTED_VALUE"""),"Crusader 21")</f>
        <v>Crusader 21</v>
      </c>
      <c r="C215" s="1" t="str">
        <f>IFERROR(__xludf.DUMMYFUNCTION("""COMPUTED_VALUE"""),"Crusader 12")</f>
        <v>Crusader 12</v>
      </c>
      <c r="D215" s="1" t="str">
        <f>IFERROR(__xludf.DUMMYFUNCTION("""COMPUTED_VALUE"""),"OM-6")</f>
        <v>OM-6</v>
      </c>
      <c r="E215" s="30" t="str">
        <f>IFERROR(__xludf.DUMMYFUNCTION("""COMPUTED_VALUE"""),"OM6")</f>
        <v>OM6</v>
      </c>
      <c r="F215" s="10">
        <f>IFERROR(__xludf.DUMMYFUNCTION("""COMPUTED_VALUE"""),-10673.17)</f>
        <v>-10673.17</v>
      </c>
      <c r="G215" s="10">
        <f>IFERROR(__xludf.DUMMYFUNCTION("""COMPUTED_VALUE"""),0)</f>
        <v>0</v>
      </c>
      <c r="H215" s="10">
        <f>IFERROR(__xludf.DUMMYFUNCTION("""COMPUTED_VALUE"""),0)</f>
        <v>0</v>
      </c>
      <c r="I215" s="13"/>
      <c r="J215" s="13"/>
      <c r="K215" s="13"/>
      <c r="L215" s="13"/>
      <c r="M215" s="1" t="b">
        <f>IFERROR(__xludf.DUMMYFUNCTION("""COMPUTED_VALUE"""),TRUE)</f>
        <v>1</v>
      </c>
      <c r="N215" s="10">
        <f>IFERROR(__xludf.DUMMYFUNCTION("""COMPUTED_VALUE"""),0)</f>
        <v>0</v>
      </c>
      <c r="O215" s="10">
        <f>IFERROR(__xludf.DUMMYFUNCTION("""COMPUTED_VALUE"""),0)</f>
        <v>0</v>
      </c>
      <c r="P215" s="10"/>
      <c r="Q215" s="30"/>
      <c r="R215" s="18"/>
      <c r="S215" s="19"/>
      <c r="T215" s="10"/>
      <c r="U215" s="10"/>
      <c r="V215" s="10"/>
      <c r="W215" s="10"/>
      <c r="X215" s="19"/>
      <c r="Y215" s="1"/>
      <c r="Z215" s="1"/>
      <c r="AA215" s="1"/>
    </row>
    <row r="216" customHeight="1" spans="1:27">
      <c r="A216" s="1" t="str">
        <f>IFERROR(__xludf.DUMMYFUNCTION("""COMPUTED_VALUE"""),"Crusader")</f>
        <v>Crusader</v>
      </c>
      <c r="B216" s="1" t="str">
        <f>IFERROR(__xludf.DUMMYFUNCTION("""COMPUTED_VALUE"""),"Crusader 00")</f>
        <v>Crusader 00</v>
      </c>
      <c r="C216" s="1"/>
      <c r="D216" s="1" t="str">
        <f>IFERROR(__xludf.DUMMYFUNCTION("""COMPUTED_VALUE"""),"Landing Zone")</f>
        <v>Landing Zone</v>
      </c>
      <c r="E216" s="30"/>
      <c r="F216" s="10"/>
      <c r="G216" s="10"/>
      <c r="H216" s="10"/>
      <c r="I216" s="13"/>
      <c r="J216" s="13"/>
      <c r="K216" s="13"/>
      <c r="L216" s="13"/>
      <c r="M216" s="1"/>
      <c r="N216" s="10"/>
      <c r="O216" s="10"/>
      <c r="P216" s="10"/>
      <c r="Q216" s="30"/>
      <c r="R216" s="18"/>
      <c r="S216" s="19"/>
      <c r="T216" s="10"/>
      <c r="U216" s="10"/>
      <c r="V216" s="10"/>
      <c r="W216" s="10"/>
      <c r="X216" s="19"/>
      <c r="Y216" s="1"/>
      <c r="Z216" s="1"/>
      <c r="AA216" s="1"/>
    </row>
    <row r="217" customHeight="1" spans="1:27">
      <c r="A217" s="1" t="str">
        <f>IFERROR(__xludf.DUMMYFUNCTION("""COMPUTED_VALUE"""),"Crusader 01")</f>
        <v>Crusader 01</v>
      </c>
      <c r="B217" s="1" t="str">
        <f>IFERROR(__xludf.DUMMYFUNCTION("""COMPUTED_VALUE"""),"Crusader 01")</f>
        <v>Crusader 01</v>
      </c>
      <c r="C217" s="1" t="str">
        <f>IFERROR(__xludf.DUMMYFUNCTION("""COMPUTED_VALUE"""),"Crusader 05")</f>
        <v>Crusader 05</v>
      </c>
      <c r="D217" s="1" t="str">
        <f>IFERROR(__xludf.DUMMYFUNCTION("""COMPUTED_VALUE"""),"Orison")</f>
        <v>Orison</v>
      </c>
      <c r="E217" s="30" t="str">
        <f>IFERROR(__xludf.DUMMYFUNCTION("""COMPUTED_VALUE"""),"Orison")</f>
        <v>Orison</v>
      </c>
      <c r="F217" s="10">
        <f>IFERROR(__xludf.DUMMYFUNCTION("""COMPUTED_VALUE"""),5295.51694080599)</f>
        <v>5295.51694080599</v>
      </c>
      <c r="G217" s="10">
        <f>IFERROR(__xludf.DUMMYFUNCTION("""COMPUTED_VALUE"""),-863.193533027)</f>
        <v>-863.193533027</v>
      </c>
      <c r="H217" s="10">
        <f>IFERROR(__xludf.DUMMYFUNCTION("""COMPUTED_VALUE"""),5282.237225567)</f>
        <v>5282.237225567</v>
      </c>
      <c r="I217" s="13"/>
      <c r="J217" s="13"/>
      <c r="K217" s="13"/>
      <c r="L217" s="13"/>
      <c r="M217" s="1" t="b">
        <f>IFERROR(__xludf.DUMMYFUNCTION("""COMPUTED_VALUE"""),TRUE)</f>
        <v>1</v>
      </c>
      <c r="N217" s="10">
        <f>IFERROR(__xludf.DUMMYFUNCTION("""COMPUTED_VALUE"""),0)</f>
        <v>0</v>
      </c>
      <c r="O217" s="10">
        <f>IFERROR(__xludf.DUMMYFUNCTION("""COMPUTED_VALUE"""),0)</f>
        <v>0</v>
      </c>
      <c r="P217" s="10"/>
      <c r="Q217" s="30"/>
      <c r="R217" s="18"/>
      <c r="S217" s="19"/>
      <c r="T217" s="10"/>
      <c r="U217" s="10"/>
      <c r="V217" s="10"/>
      <c r="W217" s="10"/>
      <c r="X217" s="19"/>
      <c r="Y217" s="1"/>
      <c r="Z217" s="1"/>
      <c r="AA217" s="1"/>
    </row>
    <row r="218" customHeight="1" spans="1:27">
      <c r="A218" s="1" t="str">
        <f>IFERROR(__xludf.DUMMYFUNCTION("""COMPUTED_VALUE"""),"Crusader 07")</f>
        <v>Crusader 07</v>
      </c>
      <c r="B218" s="1" t="str">
        <f>IFERROR(__xludf.DUMMYFUNCTION("""COMPUTED_VALUE"""),"Crusader 02")</f>
        <v>Crusader 02</v>
      </c>
      <c r="C218" s="1" t="str">
        <f>IFERROR(__xludf.DUMMYFUNCTION("""COMPUTED_VALUE"""),"Crusader 06")</f>
        <v>Crusader 06</v>
      </c>
      <c r="D218" s="1" t="str">
        <f>IFERROR(__xludf.DUMMYFUNCTION("""COMPUTED_VALUE"""),"August Dunlow Spaceport")</f>
        <v>August Dunlow Spaceport</v>
      </c>
      <c r="E218" s="1" t="str">
        <f>IFERROR(__xludf.DUMMYFUNCTION("""COMPUTED_VALUE"""),"Dunlow")</f>
        <v>Dunlow</v>
      </c>
      <c r="F218" s="2">
        <f>IFERROR(__xludf.DUMMYFUNCTION("""COMPUTED_VALUE"""),5295.53593213877)</f>
        <v>5295.53593213877</v>
      </c>
      <c r="G218" s="2">
        <f>IFERROR(__xludf.DUMMYFUNCTION("""COMPUTED_VALUE"""),-871.476300384976)</f>
        <v>-871.476300384976</v>
      </c>
      <c r="H218" s="2">
        <f>IFERROR(__xludf.DUMMYFUNCTION("""COMPUTED_VALUE"""),5281.92257913656)</f>
        <v>5281.92257913656</v>
      </c>
      <c r="I218" s="1"/>
      <c r="J218" s="1"/>
      <c r="K218" s="1"/>
      <c r="L218" s="1"/>
      <c r="M218" s="1" t="b">
        <f>IFERROR(__xludf.DUMMYFUNCTION("""COMPUTED_VALUE"""),FALSE)</f>
        <v>0</v>
      </c>
      <c r="N218" s="2">
        <f>IFERROR(__xludf.DUMMYFUNCTION("""COMPUTED_VALUE"""),0)</f>
        <v>0</v>
      </c>
      <c r="O218" s="2">
        <f>IFERROR(__xludf.DUMMYFUNCTION("""COMPUTED_VALUE"""),0)</f>
        <v>0</v>
      </c>
      <c r="P218" s="1"/>
      <c r="Q218" s="1"/>
      <c r="R218" s="1"/>
      <c r="S218" s="1"/>
      <c r="T218" s="1"/>
      <c r="U218" s="1"/>
      <c r="V218" s="1"/>
      <c r="W218" s="1"/>
      <c r="X218" s="1"/>
      <c r="Y218" s="1"/>
      <c r="Z218" s="1"/>
      <c r="AA218" s="1"/>
    </row>
    <row r="219" customHeight="1" spans="1:27">
      <c r="A219" s="1" t="str">
        <f>IFERROR(__xludf.DUMMYFUNCTION("""COMPUTED_VALUE"""),"Crusader 02")</f>
        <v>Crusader 02</v>
      </c>
      <c r="B219" s="1" t="str">
        <f>IFERROR(__xludf.DUMMYFUNCTION("""COMPUTED_VALUE"""),"Crusader 03")</f>
        <v>Crusader 03</v>
      </c>
      <c r="C219" s="1" t="str">
        <f>IFERROR(__xludf.DUMMYFUNCTION("""COMPUTED_VALUE"""),"Crusader 08")</f>
        <v>Crusader 08</v>
      </c>
      <c r="D219" s="1" t="str">
        <f>IFERROR(__xludf.DUMMYFUNCTION("""COMPUTED_VALUE"""),"Seraphim Station")</f>
        <v>Seraphim Station</v>
      </c>
      <c r="E219" s="30" t="str">
        <f>IFERROR(__xludf.DUMMYFUNCTION("""COMPUTED_VALUE"""),"Seraphim")</f>
        <v>Seraphim</v>
      </c>
      <c r="F219" s="10">
        <f>IFERROR(__xludf.DUMMYFUNCTION("""COMPUTED_VALUE"""),5876.098201785)</f>
        <v>5876.098201785</v>
      </c>
      <c r="G219" s="10">
        <f>IFERROR(__xludf.DUMMYFUNCTION("""COMPUTED_VALUE"""),-1384.206723274)</f>
        <v>-1384.206723274</v>
      </c>
      <c r="H219" s="10">
        <f>IFERROR(__xludf.DUMMYFUNCTION("""COMPUTED_VALUE"""),5565.88323190699)</f>
        <v>5565.88323190699</v>
      </c>
      <c r="I219" s="13"/>
      <c r="J219" s="13"/>
      <c r="K219" s="13"/>
      <c r="L219" s="13"/>
      <c r="M219" s="1" t="b">
        <f>IFERROR(__xludf.DUMMYFUNCTION("""COMPUTED_VALUE"""),TRUE)</f>
        <v>1</v>
      </c>
      <c r="N219" s="10">
        <f>IFERROR(__xludf.DUMMYFUNCTION("""COMPUTED_VALUE"""),0)</f>
        <v>0</v>
      </c>
      <c r="O219" s="10">
        <f>IFERROR(__xludf.DUMMYFUNCTION("""COMPUTED_VALUE"""),0)</f>
        <v>0</v>
      </c>
      <c r="P219" s="10"/>
      <c r="Q219" s="30"/>
      <c r="R219" s="18"/>
      <c r="S219" s="19"/>
      <c r="T219" s="10"/>
      <c r="U219" s="10"/>
      <c r="V219" s="10"/>
      <c r="W219" s="10"/>
      <c r="X219" s="19"/>
      <c r="Y219" s="1"/>
      <c r="Z219" s="1"/>
      <c r="AA219" s="1"/>
    </row>
    <row r="220" customHeight="1" spans="1:27">
      <c r="A220" s="1" t="str">
        <f>IFERROR(__xludf.DUMMYFUNCTION("""COMPUTED_VALUE"""),"Crusader")</f>
        <v>Crusader</v>
      </c>
      <c r="B220" s="1" t="str">
        <f>IFERROR(__xludf.DUMMYFUNCTION("""COMPUTED_VALUE"""),"Crusader 05")</f>
        <v>Crusader 05</v>
      </c>
      <c r="C220" s="1"/>
      <c r="D220" s="1" t="str">
        <f>IFERROR(__xludf.DUMMYFUNCTION("""COMPUTED_VALUE"""),"Platforms")</f>
        <v>Platforms</v>
      </c>
      <c r="E220" s="30"/>
      <c r="F220" s="10"/>
      <c r="G220" s="10"/>
      <c r="H220" s="10"/>
      <c r="I220" s="13"/>
      <c r="J220" s="13"/>
      <c r="K220" s="13"/>
      <c r="L220" s="13"/>
      <c r="M220" s="1"/>
      <c r="N220" s="10"/>
      <c r="O220" s="10"/>
      <c r="P220" s="10"/>
      <c r="Q220" s="30"/>
      <c r="R220" s="18"/>
      <c r="S220" s="19"/>
      <c r="T220" s="10"/>
      <c r="U220" s="10"/>
      <c r="V220" s="10"/>
      <c r="W220" s="10"/>
      <c r="X220" s="19"/>
      <c r="Y220" s="1"/>
      <c r="Z220" s="1"/>
      <c r="AA220" s="1"/>
    </row>
    <row r="221" customHeight="1" spans="1:27">
      <c r="A221" s="1" t="str">
        <f>IFERROR(__xludf.DUMMYFUNCTION("""COMPUTED_VALUE"""),"Crusader 05")</f>
        <v>Crusader 05</v>
      </c>
      <c r="B221" s="1" t="str">
        <f>IFERROR(__xludf.DUMMYFUNCTION("""COMPUTED_VALUE"""),"Crusader 08")</f>
        <v>Crusader 08</v>
      </c>
      <c r="C221" s="1" t="str">
        <f>IFERROR(__xludf.DUMMYFUNCTION("""COMPUTED_VALUE"""),"Crusader 09")</f>
        <v>Crusader 09</v>
      </c>
      <c r="D221" s="1" t="str">
        <f>IFERROR(__xludf.DUMMYFUNCTION("""COMPUTED_VALUE"""),"Prospect Point")</f>
        <v>Prospect Point</v>
      </c>
      <c r="E221" s="30" t="str">
        <f>IFERROR(__xludf.DUMMYFUNCTION("""COMPUTED_VALUE"""),"Prospect")</f>
        <v>Prospect</v>
      </c>
      <c r="F221" s="10">
        <f>IFERROR(__xludf.DUMMYFUNCTION("""COMPUTED_VALUE"""),3254.27862449799)</f>
        <v>3254.27862449799</v>
      </c>
      <c r="G221" s="10">
        <f>IFERROR(__xludf.DUMMYFUNCTION("""COMPUTED_VALUE"""),-1225.24843794899)</f>
        <v>-1225.24843794899</v>
      </c>
      <c r="H221" s="10">
        <f>IFERROR(__xludf.DUMMYFUNCTION("""COMPUTED_VALUE"""),6683.685935703)</f>
        <v>6683.685935703</v>
      </c>
      <c r="I221" s="13"/>
      <c r="J221" s="13"/>
      <c r="K221" s="13"/>
      <c r="L221" s="13"/>
      <c r="M221" s="1" t="b">
        <f>IFERROR(__xludf.DUMMYFUNCTION("""COMPUTED_VALUE"""),TRUE)</f>
        <v>1</v>
      </c>
      <c r="N221" s="10">
        <f>IFERROR(__xludf.DUMMYFUNCTION("""COMPUTED_VALUE"""),0)</f>
        <v>0</v>
      </c>
      <c r="O221" s="10">
        <f>IFERROR(__xludf.DUMMYFUNCTION("""COMPUTED_VALUE"""),0)</f>
        <v>0</v>
      </c>
      <c r="P221" s="10"/>
      <c r="Q221" s="30"/>
      <c r="R221" s="18"/>
      <c r="S221" s="19"/>
      <c r="T221" s="10"/>
      <c r="U221" s="10"/>
      <c r="V221" s="10"/>
      <c r="W221" s="10"/>
      <c r="X221" s="19"/>
      <c r="Y221" s="1"/>
      <c r="Z221" s="1"/>
      <c r="AA221" s="1"/>
    </row>
    <row r="222" customHeight="1" spans="1:27">
      <c r="A222" s="1" t="str">
        <f>IFERROR(__xludf.DUMMYFUNCTION("""COMPUTED_VALUE"""),"Crusader 03")</f>
        <v>Crusader 03</v>
      </c>
      <c r="B222" s="1" t="str">
        <f>IFERROR(__xludf.DUMMYFUNCTION("""COMPUTED_VALUE"""),"Crusader 06")</f>
        <v>Crusader 06</v>
      </c>
      <c r="C222" s="1" t="str">
        <f>IFERROR(__xludf.DUMMYFUNCTION("""COMPUTED_VALUE"""),"Crusader 11")</f>
        <v>Crusader 11</v>
      </c>
      <c r="D222" s="1" t="str">
        <f>IFERROR(__xludf.DUMMYFUNCTION("""COMPUTED_VALUE"""),"Cloudrest Retreat")</f>
        <v>Cloudrest Retreat</v>
      </c>
      <c r="E222" s="30" t="str">
        <f>IFERROR(__xludf.DUMMYFUNCTION("""COMPUTED_VALUE"""),"Cloudrest")</f>
        <v>Cloudrest</v>
      </c>
      <c r="F222" s="10">
        <f>IFERROR(__xludf.DUMMYFUNCTION("""COMPUTED_VALUE"""),-7396.17234155199)</f>
        <v>-7396.17234155199</v>
      </c>
      <c r="G222" s="10">
        <f>IFERROR(__xludf.DUMMYFUNCTION("""COMPUTED_VALUE"""),-1420.24600075198)</f>
        <v>-1420.24600075198</v>
      </c>
      <c r="H222" s="10">
        <f>IFERROR(__xludf.DUMMYFUNCTION("""COMPUTED_VALUE"""),29.006964957)</f>
        <v>29.006964957</v>
      </c>
      <c r="I222" s="13"/>
      <c r="J222" s="13"/>
      <c r="K222" s="13"/>
      <c r="L222" s="13"/>
      <c r="M222" s="1" t="b">
        <f>IFERROR(__xludf.DUMMYFUNCTION("""COMPUTED_VALUE"""),TRUE)</f>
        <v>1</v>
      </c>
      <c r="N222" s="10">
        <f>IFERROR(__xludf.DUMMYFUNCTION("""COMPUTED_VALUE"""),0)</f>
        <v>0</v>
      </c>
      <c r="O222" s="10">
        <f>IFERROR(__xludf.DUMMYFUNCTION("""COMPUTED_VALUE"""),0)</f>
        <v>0</v>
      </c>
      <c r="P222" s="10"/>
      <c r="Q222" s="30"/>
      <c r="R222" s="18"/>
      <c r="S222" s="19"/>
      <c r="T222" s="10"/>
      <c r="U222" s="10"/>
      <c r="V222" s="10"/>
      <c r="W222" s="10"/>
      <c r="X222" s="19"/>
      <c r="Y222" s="1"/>
      <c r="Z222" s="1"/>
      <c r="AA222" s="1"/>
    </row>
    <row r="223" customHeight="1" spans="1:27">
      <c r="A223" s="1" t="str">
        <f>IFERROR(__xludf.DUMMYFUNCTION("""COMPUTED_VALUE"""),"Crusader 04")</f>
        <v>Crusader 04</v>
      </c>
      <c r="B223" s="1" t="str">
        <f>IFERROR(__xludf.DUMMYFUNCTION("""COMPUTED_VALUE"""),"Crusader 07")</f>
        <v>Crusader 07</v>
      </c>
      <c r="C223" s="1" t="str">
        <f>IFERROR(__xludf.DUMMYFUNCTION("""COMPUTED_VALUE"""),"Crusader 03")</f>
        <v>Crusader 03</v>
      </c>
      <c r="D223" s="1" t="str">
        <f>IFERROR(__xludf.DUMMYFUNCTION("""COMPUTED_VALUE"""),"Empyrean Park")</f>
        <v>Empyrean Park</v>
      </c>
      <c r="E223" s="30" t="str">
        <f>IFERROR(__xludf.DUMMYFUNCTION("""COMPUTED_VALUE"""),"Empyrean")</f>
        <v>Empyrean</v>
      </c>
      <c r="F223" s="10">
        <f>IFERROR(__xludf.DUMMYFUNCTION("""COMPUTED_VALUE"""),1090.10800084099)</f>
        <v>1090.10800084099</v>
      </c>
      <c r="G223" s="10">
        <f>IFERROR(__xludf.DUMMYFUNCTION("""COMPUTED_VALUE"""),7304.36414807)</f>
        <v>7304.36414807</v>
      </c>
      <c r="H223" s="10">
        <f>IFERROR(__xludf.DUMMYFUNCTION("""COMPUTED_VALUE"""),1509.817678994)</f>
        <v>1509.817678994</v>
      </c>
      <c r="I223" s="13"/>
      <c r="J223" s="13"/>
      <c r="K223" s="13"/>
      <c r="L223" s="13"/>
      <c r="M223" s="1" t="b">
        <f>IFERROR(__xludf.DUMMYFUNCTION("""COMPUTED_VALUE"""),TRUE)</f>
        <v>1</v>
      </c>
      <c r="N223" s="10">
        <f>IFERROR(__xludf.DUMMYFUNCTION("""COMPUTED_VALUE"""),0)</f>
        <v>0</v>
      </c>
      <c r="O223" s="10">
        <f>IFERROR(__xludf.DUMMYFUNCTION("""COMPUTED_VALUE"""),0)</f>
        <v>0</v>
      </c>
      <c r="P223" s="10"/>
      <c r="Q223" s="30"/>
      <c r="R223" s="18"/>
      <c r="S223" s="19"/>
      <c r="T223" s="10"/>
      <c r="U223" s="10"/>
      <c r="V223" s="10"/>
      <c r="W223" s="10"/>
      <c r="X223" s="19"/>
      <c r="Y223" s="1"/>
      <c r="Z223" s="1"/>
      <c r="AA223" s="1"/>
    </row>
    <row r="224" customHeight="1" spans="1:27">
      <c r="A224" s="1" t="str">
        <f>IFERROR(__xludf.DUMMYFUNCTION("""COMPUTED_VALUE"""),"Crusader")</f>
        <v>Crusader</v>
      </c>
      <c r="B224" s="1" t="str">
        <f>IFERROR(__xludf.DUMMYFUNCTION("""COMPUTED_VALUE"""),"Crusader 10")</f>
        <v>Crusader 10</v>
      </c>
      <c r="C224" s="1"/>
      <c r="D224" s="1" t="str">
        <f>IFERROR(__xludf.DUMMYFUNCTION("""COMPUTED_VALUE"""),"Racetracks")</f>
        <v>Racetracks</v>
      </c>
      <c r="E224" s="30"/>
      <c r="F224" s="10"/>
      <c r="G224" s="10"/>
      <c r="H224" s="10"/>
      <c r="I224" s="13"/>
      <c r="J224" s="13"/>
      <c r="K224" s="13"/>
      <c r="L224" s="13"/>
      <c r="M224" s="1"/>
      <c r="N224" s="10"/>
      <c r="O224" s="10"/>
      <c r="P224" s="10"/>
      <c r="Q224" s="30"/>
      <c r="R224" s="18"/>
      <c r="S224" s="19"/>
      <c r="T224" s="10"/>
      <c r="U224" s="10"/>
      <c r="V224" s="10"/>
      <c r="W224" s="10"/>
      <c r="X224" s="19"/>
      <c r="Y224" s="1"/>
      <c r="Z224" s="1"/>
      <c r="AA224" s="1"/>
    </row>
    <row r="225" customHeight="1" spans="1:27">
      <c r="A225" s="1" t="str">
        <f>IFERROR(__xludf.DUMMYFUNCTION("""COMPUTED_VALUE"""),"Crusader 08")</f>
        <v>Crusader 08</v>
      </c>
      <c r="B225" s="1" t="str">
        <f>IFERROR(__xludf.DUMMYFUNCTION("""COMPUTED_VALUE"""),"Crusader 11")</f>
        <v>Crusader 11</v>
      </c>
      <c r="C225" s="1" t="str">
        <f>IFERROR(__xludf.DUMMYFUNCTION("""COMPUTED_VALUE"""),"Crusader 07")</f>
        <v>Crusader 07</v>
      </c>
      <c r="D225" s="1" t="str">
        <f>IFERROR(__xludf.DUMMYFUNCTION("""COMPUTED_VALUE"""),"Caplan Circuit")</f>
        <v>Caplan Circuit</v>
      </c>
      <c r="E225" s="30" t="str">
        <f>IFERROR(__xludf.DUMMYFUNCTION("""COMPUTED_VALUE"""),"Caplan")</f>
        <v>Caplan</v>
      </c>
      <c r="F225" s="10">
        <f>IFERROR(__xludf.DUMMYFUNCTION("""COMPUTED_VALUE"""),5297.83153033498)</f>
        <v>5297.83153033498</v>
      </c>
      <c r="G225" s="10">
        <f>IFERROR(__xludf.DUMMYFUNCTION("""COMPUTED_VALUE"""),-878.029351991)</f>
        <v>-878.029351991</v>
      </c>
      <c r="H225" s="10">
        <f>IFERROR(__xludf.DUMMYFUNCTION("""COMPUTED_VALUE"""),5275.458328362)</f>
        <v>5275.458328362</v>
      </c>
      <c r="I225" s="13"/>
      <c r="J225" s="13"/>
      <c r="K225" s="13"/>
      <c r="L225" s="13"/>
      <c r="M225" s="1" t="b">
        <f>IFERROR(__xludf.DUMMYFUNCTION("""COMPUTED_VALUE"""),FALSE)</f>
        <v>0</v>
      </c>
      <c r="N225" s="10">
        <f>IFERROR(__xludf.DUMMYFUNCTION("""COMPUTED_VALUE"""),0)</f>
        <v>0</v>
      </c>
      <c r="O225" s="10">
        <f>IFERROR(__xludf.DUMMYFUNCTION("""COMPUTED_VALUE"""),0)</f>
        <v>0</v>
      </c>
      <c r="P225" s="10"/>
      <c r="Q225" s="30"/>
      <c r="R225" s="18"/>
      <c r="S225" s="19"/>
      <c r="T225" s="10"/>
      <c r="U225" s="10"/>
      <c r="V225" s="10"/>
      <c r="W225" s="10"/>
      <c r="X225" s="19"/>
      <c r="Y225" s="1"/>
      <c r="Z225" s="1"/>
      <c r="AA225" s="1"/>
    </row>
    <row r="226" customHeight="1" spans="1:27">
      <c r="A226" s="1" t="str">
        <f>IFERROR(__xludf.DUMMYFUNCTION("""COMPUTED_VALUE"""),"Crusader")</f>
        <v>Crusader</v>
      </c>
      <c r="B226" s="1" t="str">
        <f>IFERROR(__xludf.DUMMYFUNCTION("""COMPUTED_VALUE"""),"Crusader 13")</f>
        <v>Crusader 13</v>
      </c>
      <c r="C226" s="1"/>
      <c r="D226" s="1" t="str">
        <f>IFERROR(__xludf.DUMMYFUNCTION("""COMPUTED_VALUE"""),"Comm Array")</f>
        <v>Comm Array</v>
      </c>
      <c r="E226" s="30"/>
      <c r="F226" s="10"/>
      <c r="G226" s="10"/>
      <c r="H226" s="10"/>
      <c r="I226" s="13"/>
      <c r="J226" s="13"/>
      <c r="K226" s="13"/>
      <c r="L226" s="13"/>
      <c r="M226" s="1"/>
      <c r="N226" s="10"/>
      <c r="O226" s="10"/>
      <c r="P226" s="10"/>
      <c r="Q226" s="30"/>
      <c r="R226" s="18"/>
      <c r="S226" s="19"/>
      <c r="T226" s="10"/>
      <c r="U226" s="10"/>
      <c r="V226" s="10"/>
      <c r="W226" s="10"/>
      <c r="X226" s="19"/>
      <c r="Y226" s="1"/>
      <c r="Z226" s="1"/>
      <c r="AA226" s="1"/>
    </row>
    <row r="227" customHeight="1" spans="1:27">
      <c r="A227" s="1" t="str">
        <f>IFERROR(__xludf.DUMMYFUNCTION("""COMPUTED_VALUE"""),"Crusader 06")</f>
        <v>Crusader 06</v>
      </c>
      <c r="B227" s="1" t="str">
        <f>IFERROR(__xludf.DUMMYFUNCTION("""COMPUTED_VALUE"""),"Crusader 14")</f>
        <v>Crusader 14</v>
      </c>
      <c r="C227" s="1" t="str">
        <f>IFERROR(__xludf.DUMMYFUNCTION("""COMPUTED_VALUE"""),"Crusader 01")</f>
        <v>Crusader 01</v>
      </c>
      <c r="D227" s="1" t="str">
        <f>IFERROR(__xludf.DUMMYFUNCTION("""COMPUTED_VALUE"""),"Comm Array ST2-55")</f>
        <v>Comm Array ST2-55</v>
      </c>
      <c r="E227" s="30" t="str">
        <f>IFERROR(__xludf.DUMMYFUNCTION("""COMPUTED_VALUE"""),"ST2-55")</f>
        <v>ST2-55</v>
      </c>
      <c r="F227" s="10">
        <f>IFERROR(__xludf.DUMMYFUNCTION("""COMPUTED_VALUE"""),-1387.91691970062)</f>
        <v>-1387.91691970062</v>
      </c>
      <c r="G227" s="10">
        <f>IFERROR(__xludf.DUMMYFUNCTION("""COMPUTED_VALUE"""),8802.20376522017)</f>
        <v>8802.20376522017</v>
      </c>
      <c r="H227" s="10">
        <f>IFERROR(__xludf.DUMMYFUNCTION("""COMPUTED_VALUE"""),24)</f>
        <v>24</v>
      </c>
      <c r="I227" s="13"/>
      <c r="J227" s="13"/>
      <c r="K227" s="13"/>
      <c r="L227" s="13"/>
      <c r="M227" s="1" t="b">
        <f>IFERROR(__xludf.DUMMYFUNCTION("""COMPUTED_VALUE"""),TRUE)</f>
        <v>1</v>
      </c>
      <c r="N227" s="10">
        <f>IFERROR(__xludf.DUMMYFUNCTION("""COMPUTED_VALUE"""),0)</f>
        <v>0</v>
      </c>
      <c r="O227" s="10">
        <f>IFERROR(__xludf.DUMMYFUNCTION("""COMPUTED_VALUE"""),0)</f>
        <v>0</v>
      </c>
      <c r="P227" s="10"/>
      <c r="Q227" s="30"/>
      <c r="R227" s="18"/>
      <c r="S227" s="19"/>
      <c r="T227" s="10"/>
      <c r="U227" s="10"/>
      <c r="V227" s="10"/>
      <c r="W227" s="10"/>
      <c r="X227" s="19"/>
      <c r="Y227" s="1"/>
      <c r="Z227" s="1"/>
      <c r="AA227" s="1"/>
    </row>
    <row r="228" customHeight="1" spans="1:27">
      <c r="A228" s="1"/>
      <c r="B228" s="1"/>
      <c r="C228" s="1"/>
      <c r="D228" s="1"/>
      <c r="E228" s="30"/>
      <c r="F228" s="10"/>
      <c r="G228" s="10"/>
      <c r="H228" s="10"/>
      <c r="I228" s="13"/>
      <c r="J228" s="13"/>
      <c r="K228" s="13"/>
      <c r="L228" s="13"/>
      <c r="M228" s="1"/>
      <c r="N228" s="10"/>
      <c r="O228" s="10"/>
      <c r="P228" s="10"/>
      <c r="Q228" s="30"/>
      <c r="R228" s="18"/>
      <c r="S228" s="19"/>
      <c r="T228" s="10"/>
      <c r="U228" s="10"/>
      <c r="V228" s="10"/>
      <c r="W228" s="10"/>
      <c r="X228" s="19"/>
      <c r="Y228" s="1"/>
      <c r="Z228" s="1"/>
      <c r="AA228" s="1"/>
    </row>
    <row r="229" customHeight="1" spans="1:27">
      <c r="A229" s="1" t="str">
        <f>IFERROR(__xludf.DUMMYFUNCTION("""COMPUTED_VALUE"""),"Daymar R01")</f>
        <v>Daymar R01</v>
      </c>
      <c r="B229" s="1" t="str">
        <f>IFERROR(__xludf.DUMMYFUNCTION("""COMPUTED_VALUE"""),"Daymar 88")</f>
        <v>Daymar 88</v>
      </c>
      <c r="C229" s="1"/>
      <c r="D229" s="1" t="str">
        <f>IFERROR(__xludf.DUMMYFUNCTION("""COMPUTED_VALUE"""),"OM-1")</f>
        <v>OM-1</v>
      </c>
      <c r="E229" s="30" t="str">
        <f>IFERROR(__xludf.DUMMYFUNCTION("""COMPUTED_VALUE"""),"OM1")</f>
        <v>OM1</v>
      </c>
      <c r="F229" s="10">
        <f>IFERROR(__xludf.DUMMYFUNCTION("""COMPUTED_VALUE"""),0)</f>
        <v>0</v>
      </c>
      <c r="G229" s="10">
        <f>IFERROR(__xludf.DUMMYFUNCTION("""COMPUTED_VALUE"""),0)</f>
        <v>0</v>
      </c>
      <c r="H229" s="10">
        <f>IFERROR(__xludf.DUMMYFUNCTION("""COMPUTED_VALUE"""),430.028)</f>
        <v>430.028</v>
      </c>
      <c r="I229" s="13"/>
      <c r="J229" s="13"/>
      <c r="K229" s="13"/>
      <c r="L229" s="13"/>
      <c r="M229" s="1" t="b">
        <f>IFERROR(__xludf.DUMMYFUNCTION("""COMPUTED_VALUE"""),TRUE)</f>
        <v>1</v>
      </c>
      <c r="N229" s="10">
        <f>IFERROR(__xludf.DUMMYFUNCTION("""COMPUTED_VALUE"""),0)</f>
        <v>0</v>
      </c>
      <c r="O229" s="10">
        <f>IFERROR(__xludf.DUMMYFUNCTION("""COMPUTED_VALUE"""),0)</f>
        <v>0</v>
      </c>
      <c r="P229" s="10"/>
      <c r="Q229" s="30"/>
      <c r="R229" s="18"/>
      <c r="S229" s="19"/>
      <c r="T229" s="10"/>
      <c r="U229" s="10"/>
      <c r="V229" s="10"/>
      <c r="W229" s="10"/>
      <c r="X229" s="19"/>
      <c r="Y229" s="1"/>
      <c r="Z229" s="1"/>
      <c r="AA229" s="1"/>
    </row>
    <row r="230" customHeight="1" spans="1:27">
      <c r="A230" s="1" t="str">
        <f>IFERROR(__xludf.DUMMYFUNCTION("""COMPUTED_VALUE"""),"Daymar R02")</f>
        <v>Daymar R02</v>
      </c>
      <c r="B230" s="1" t="str">
        <f>IFERROR(__xludf.DUMMYFUNCTION("""COMPUTED_VALUE"""),"Daymar 89")</f>
        <v>Daymar 89</v>
      </c>
      <c r="C230" s="1"/>
      <c r="D230" s="1" t="str">
        <f>IFERROR(__xludf.DUMMYFUNCTION("""COMPUTED_VALUE"""),"OM-2")</f>
        <v>OM-2</v>
      </c>
      <c r="E230" s="30" t="str">
        <f>IFERROR(__xludf.DUMMYFUNCTION("""COMPUTED_VALUE"""),"OM2")</f>
        <v>OM2</v>
      </c>
      <c r="F230" s="10">
        <f>IFERROR(__xludf.DUMMYFUNCTION("""COMPUTED_VALUE"""),0)</f>
        <v>0</v>
      </c>
      <c r="G230" s="10">
        <f>IFERROR(__xludf.DUMMYFUNCTION("""COMPUTED_VALUE"""),0)</f>
        <v>0</v>
      </c>
      <c r="H230" s="10">
        <f>IFERROR(__xludf.DUMMYFUNCTION("""COMPUTED_VALUE"""),-430.028)</f>
        <v>-430.028</v>
      </c>
      <c r="I230" s="13"/>
      <c r="J230" s="13"/>
      <c r="K230" s="13"/>
      <c r="L230" s="13"/>
      <c r="M230" s="1" t="b">
        <f>IFERROR(__xludf.DUMMYFUNCTION("""COMPUTED_VALUE"""),TRUE)</f>
        <v>1</v>
      </c>
      <c r="N230" s="10">
        <f>IFERROR(__xludf.DUMMYFUNCTION("""COMPUTED_VALUE"""),0)</f>
        <v>0</v>
      </c>
      <c r="O230" s="10">
        <f>IFERROR(__xludf.DUMMYFUNCTION("""COMPUTED_VALUE"""),0)</f>
        <v>0</v>
      </c>
      <c r="P230" s="10"/>
      <c r="Q230" s="30"/>
      <c r="R230" s="18"/>
      <c r="S230" s="19"/>
      <c r="T230" s="10"/>
      <c r="U230" s="10"/>
      <c r="V230" s="10"/>
      <c r="W230" s="10"/>
      <c r="X230" s="19"/>
      <c r="Y230" s="1"/>
      <c r="Z230" s="1"/>
      <c r="AA230" s="1"/>
    </row>
    <row r="231" customHeight="1" spans="1:27">
      <c r="A231" s="1" t="str">
        <f>IFERROR(__xludf.DUMMYFUNCTION("""COMPUTED_VALUE"""),"Daymar R03")</f>
        <v>Daymar R03</v>
      </c>
      <c r="B231" s="1" t="str">
        <f>IFERROR(__xludf.DUMMYFUNCTION("""COMPUTED_VALUE"""),"Daymar 90")</f>
        <v>Daymar 90</v>
      </c>
      <c r="C231" s="1" t="str">
        <f>IFERROR(__xludf.DUMMYFUNCTION("""COMPUTED_VALUE"""),"Daymar 21")</f>
        <v>Daymar 21</v>
      </c>
      <c r="D231" s="1" t="str">
        <f>IFERROR(__xludf.DUMMYFUNCTION("""COMPUTED_VALUE"""),"OM-3")</f>
        <v>OM-3</v>
      </c>
      <c r="E231" s="30" t="str">
        <f>IFERROR(__xludf.DUMMYFUNCTION("""COMPUTED_VALUE"""),"OM3")</f>
        <v>OM3</v>
      </c>
      <c r="F231" s="10">
        <f>IFERROR(__xludf.DUMMYFUNCTION("""COMPUTED_VALUE"""),0)</f>
        <v>0</v>
      </c>
      <c r="G231" s="10">
        <f>IFERROR(__xludf.DUMMYFUNCTION("""COMPUTED_VALUE"""),430.028)</f>
        <v>430.028</v>
      </c>
      <c r="H231" s="10">
        <f>IFERROR(__xludf.DUMMYFUNCTION("""COMPUTED_VALUE"""),0)</f>
        <v>0</v>
      </c>
      <c r="I231" s="13"/>
      <c r="J231" s="13"/>
      <c r="K231" s="13"/>
      <c r="L231" s="13"/>
      <c r="M231" s="1" t="b">
        <f>IFERROR(__xludf.DUMMYFUNCTION("""COMPUTED_VALUE"""),TRUE)</f>
        <v>1</v>
      </c>
      <c r="N231" s="10">
        <f>IFERROR(__xludf.DUMMYFUNCTION("""COMPUTED_VALUE"""),0)</f>
        <v>0</v>
      </c>
      <c r="O231" s="10">
        <f>IFERROR(__xludf.DUMMYFUNCTION("""COMPUTED_VALUE"""),0)</f>
        <v>0</v>
      </c>
      <c r="P231" s="10"/>
      <c r="Q231" s="30"/>
      <c r="R231" s="18"/>
      <c r="S231" s="19"/>
      <c r="T231" s="10"/>
      <c r="U231" s="10"/>
      <c r="V231" s="10"/>
      <c r="W231" s="10"/>
      <c r="X231" s="19"/>
      <c r="Y231" s="1"/>
      <c r="Z231" s="1"/>
      <c r="AA231" s="1"/>
    </row>
    <row r="232" customHeight="1" spans="1:27">
      <c r="A232" s="1" t="str">
        <f>IFERROR(__xludf.DUMMYFUNCTION("""COMPUTED_VALUE"""),"Daymar R04")</f>
        <v>Daymar R04</v>
      </c>
      <c r="B232" s="1" t="str">
        <f>IFERROR(__xludf.DUMMYFUNCTION("""COMPUTED_VALUE"""),"Daymar 91")</f>
        <v>Daymar 91</v>
      </c>
      <c r="C232" s="1" t="str">
        <f>IFERROR(__xludf.DUMMYFUNCTION("""COMPUTED_VALUE"""),"Daymar 57")</f>
        <v>Daymar 57</v>
      </c>
      <c r="D232" s="1" t="str">
        <f>IFERROR(__xludf.DUMMYFUNCTION("""COMPUTED_VALUE"""),"OM-4")</f>
        <v>OM-4</v>
      </c>
      <c r="E232" s="30" t="str">
        <f>IFERROR(__xludf.DUMMYFUNCTION("""COMPUTED_VALUE"""),"OM4")</f>
        <v>OM4</v>
      </c>
      <c r="F232" s="10">
        <f>IFERROR(__xludf.DUMMYFUNCTION("""COMPUTED_VALUE"""),0)</f>
        <v>0</v>
      </c>
      <c r="G232" s="10">
        <f>IFERROR(__xludf.DUMMYFUNCTION("""COMPUTED_VALUE"""),-430.028)</f>
        <v>-430.028</v>
      </c>
      <c r="H232" s="10">
        <f>IFERROR(__xludf.DUMMYFUNCTION("""COMPUTED_VALUE"""),0)</f>
        <v>0</v>
      </c>
      <c r="I232" s="13"/>
      <c r="J232" s="13"/>
      <c r="K232" s="13"/>
      <c r="L232" s="13"/>
      <c r="M232" s="1" t="b">
        <f>IFERROR(__xludf.DUMMYFUNCTION("""COMPUTED_VALUE"""),TRUE)</f>
        <v>1</v>
      </c>
      <c r="N232" s="10">
        <f>IFERROR(__xludf.DUMMYFUNCTION("""COMPUTED_VALUE"""),0)</f>
        <v>0</v>
      </c>
      <c r="O232" s="10">
        <f>IFERROR(__xludf.DUMMYFUNCTION("""COMPUTED_VALUE"""),0)</f>
        <v>0</v>
      </c>
      <c r="P232" s="10"/>
      <c r="Q232" s="30"/>
      <c r="R232" s="18"/>
      <c r="S232" s="19"/>
      <c r="T232" s="10"/>
      <c r="U232" s="10"/>
      <c r="V232" s="10"/>
      <c r="W232" s="10"/>
      <c r="X232" s="19"/>
      <c r="Y232" s="1"/>
      <c r="Z232" s="1"/>
      <c r="AA232" s="1"/>
    </row>
    <row r="233" customHeight="1" spans="1:27">
      <c r="A233" s="1" t="str">
        <f>IFERROR(__xludf.DUMMYFUNCTION("""COMPUTED_VALUE"""),"Daymar R05")</f>
        <v>Daymar R05</v>
      </c>
      <c r="B233" s="1" t="str">
        <f>IFERROR(__xludf.DUMMYFUNCTION("""COMPUTED_VALUE"""),"Daymar 92")</f>
        <v>Daymar 92</v>
      </c>
      <c r="C233" s="1" t="str">
        <f>IFERROR(__xludf.DUMMYFUNCTION("""COMPUTED_VALUE"""),"Daymar 38")</f>
        <v>Daymar 38</v>
      </c>
      <c r="D233" s="1" t="str">
        <f>IFERROR(__xludf.DUMMYFUNCTION("""COMPUTED_VALUE"""),"OM-5")</f>
        <v>OM-5</v>
      </c>
      <c r="E233" s="30" t="str">
        <f>IFERROR(__xludf.DUMMYFUNCTION("""COMPUTED_VALUE"""),"OM5")</f>
        <v>OM5</v>
      </c>
      <c r="F233" s="10">
        <f>IFERROR(__xludf.DUMMYFUNCTION("""COMPUTED_VALUE"""),430.028)</f>
        <v>430.028</v>
      </c>
      <c r="G233" s="10">
        <f>IFERROR(__xludf.DUMMYFUNCTION("""COMPUTED_VALUE"""),0)</f>
        <v>0</v>
      </c>
      <c r="H233" s="10">
        <f>IFERROR(__xludf.DUMMYFUNCTION("""COMPUTED_VALUE"""),0)</f>
        <v>0</v>
      </c>
      <c r="I233" s="13"/>
      <c r="J233" s="13"/>
      <c r="K233" s="13"/>
      <c r="L233" s="13"/>
      <c r="M233" s="1" t="b">
        <f>IFERROR(__xludf.DUMMYFUNCTION("""COMPUTED_VALUE"""),TRUE)</f>
        <v>1</v>
      </c>
      <c r="N233" s="10">
        <f>IFERROR(__xludf.DUMMYFUNCTION("""COMPUTED_VALUE"""),0)</f>
        <v>0</v>
      </c>
      <c r="O233" s="10">
        <f>IFERROR(__xludf.DUMMYFUNCTION("""COMPUTED_VALUE"""),0)</f>
        <v>0</v>
      </c>
      <c r="P233" s="10"/>
      <c r="Q233" s="30"/>
      <c r="R233" s="18"/>
      <c r="S233" s="19"/>
      <c r="T233" s="10"/>
      <c r="U233" s="10"/>
      <c r="V233" s="10"/>
      <c r="W233" s="10"/>
      <c r="X233" s="19"/>
      <c r="Y233" s="1"/>
      <c r="Z233" s="1"/>
      <c r="AA233" s="1"/>
    </row>
    <row r="234" customHeight="1" spans="1:27">
      <c r="A234" s="1" t="str">
        <f>IFERROR(__xludf.DUMMYFUNCTION("""COMPUTED_VALUE"""),"Daymar R06")</f>
        <v>Daymar R06</v>
      </c>
      <c r="B234" s="1" t="str">
        <f>IFERROR(__xludf.DUMMYFUNCTION("""COMPUTED_VALUE"""),"Daymar 93")</f>
        <v>Daymar 93</v>
      </c>
      <c r="C234" s="1" t="str">
        <f>IFERROR(__xludf.DUMMYFUNCTION("""COMPUTED_VALUE"""),"Daymar 74")</f>
        <v>Daymar 74</v>
      </c>
      <c r="D234" s="1" t="str">
        <f>IFERROR(__xludf.DUMMYFUNCTION("""COMPUTED_VALUE"""),"OM-6")</f>
        <v>OM-6</v>
      </c>
      <c r="E234" s="30" t="str">
        <f>IFERROR(__xludf.DUMMYFUNCTION("""COMPUTED_VALUE"""),"OM6")</f>
        <v>OM6</v>
      </c>
      <c r="F234" s="10">
        <f>IFERROR(__xludf.DUMMYFUNCTION("""COMPUTED_VALUE"""),-430.028)</f>
        <v>-430.028</v>
      </c>
      <c r="G234" s="10">
        <f>IFERROR(__xludf.DUMMYFUNCTION("""COMPUTED_VALUE"""),0)</f>
        <v>0</v>
      </c>
      <c r="H234" s="10">
        <f>IFERROR(__xludf.DUMMYFUNCTION("""COMPUTED_VALUE"""),0)</f>
        <v>0</v>
      </c>
      <c r="I234" s="13"/>
      <c r="J234" s="13"/>
      <c r="K234" s="13"/>
      <c r="L234" s="13"/>
      <c r="M234" s="1" t="b">
        <f>IFERROR(__xludf.DUMMYFUNCTION("""COMPUTED_VALUE"""),TRUE)</f>
        <v>1</v>
      </c>
      <c r="N234" s="10">
        <f>IFERROR(__xludf.DUMMYFUNCTION("""COMPUTED_VALUE"""),0)</f>
        <v>0</v>
      </c>
      <c r="O234" s="10">
        <f>IFERROR(__xludf.DUMMYFUNCTION("""COMPUTED_VALUE"""),0)</f>
        <v>0</v>
      </c>
      <c r="P234" s="10"/>
      <c r="Q234" s="30"/>
      <c r="R234" s="18"/>
      <c r="S234" s="19"/>
      <c r="T234" s="10"/>
      <c r="U234" s="10"/>
      <c r="V234" s="10"/>
      <c r="W234" s="10"/>
      <c r="X234" s="19"/>
      <c r="Y234" s="1"/>
      <c r="Z234" s="1"/>
      <c r="AA234" s="1"/>
    </row>
    <row r="235" customHeight="1" spans="1:27">
      <c r="A235" s="1" t="str">
        <f>IFERROR(__xludf.DUMMYFUNCTION("""COMPUTED_VALUE"""),"Daymar")</f>
        <v>Daymar</v>
      </c>
      <c r="B235" s="1" t="str">
        <f>IFERROR(__xludf.DUMMYFUNCTION("""COMPUTED_VALUE"""),"Daymar 00")</f>
        <v>Daymar 00</v>
      </c>
      <c r="C235" s="1"/>
      <c r="D235" s="1" t="str">
        <f>IFERROR(__xludf.DUMMYFUNCTION("""COMPUTED_VALUE"""),"Trading Terminals")</f>
        <v>Trading Terminals</v>
      </c>
      <c r="E235" s="30"/>
      <c r="F235" s="10"/>
      <c r="G235" s="10"/>
      <c r="H235" s="10"/>
      <c r="I235" s="13"/>
      <c r="J235" s="13"/>
      <c r="K235" s="13"/>
      <c r="L235" s="13"/>
      <c r="M235" s="1"/>
      <c r="N235" s="10"/>
      <c r="O235" s="10"/>
      <c r="P235" s="10"/>
      <c r="Q235" s="30"/>
      <c r="R235" s="18"/>
      <c r="S235" s="19"/>
      <c r="T235" s="10"/>
      <c r="U235" s="10"/>
      <c r="V235" s="10"/>
      <c r="W235" s="10"/>
      <c r="X235" s="19"/>
      <c r="Y235" s="1"/>
      <c r="Z235" s="1"/>
      <c r="AA235" s="1"/>
    </row>
    <row r="236" customHeight="1" spans="1:27">
      <c r="A236" s="1" t="str">
        <f>IFERROR(__xludf.DUMMYFUNCTION("""COMPUTED_VALUE"""),"Daymar 01")</f>
        <v>Daymar 01</v>
      </c>
      <c r="B236" s="1" t="str">
        <f>IFERROR(__xludf.DUMMYFUNCTION("""COMPUTED_VALUE"""),"Daymar 01")</f>
        <v>Daymar 01</v>
      </c>
      <c r="C236" s="1" t="str">
        <f>IFERROR(__xludf.DUMMYFUNCTION("""COMPUTED_VALUE"""),"Daymar 17")</f>
        <v>Daymar 17</v>
      </c>
      <c r="D236" s="1" t="str">
        <f>IFERROR(__xludf.DUMMYFUNCTION("""COMPUTED_VALUE"""),"ArcCorp Mining Area 141 (PB)")</f>
        <v>ArcCorp Mining Area 141 (PB)</v>
      </c>
      <c r="E236" s="30" t="str">
        <f>IFERROR(__xludf.DUMMYFUNCTION("""COMPUTED_VALUE"""),"ArcCorp 141")</f>
        <v>ArcCorp 141</v>
      </c>
      <c r="F236" s="10">
        <f>IFERROR(__xludf.DUMMYFUNCTION("""COMPUTED_VALUE"""),-18.1669995110158)</f>
        <v>-18.1669995110158</v>
      </c>
      <c r="G236" s="10">
        <f>IFERROR(__xludf.DUMMYFUNCTION("""COMPUTED_VALUE"""),180.36216702036)</f>
        <v>180.36216702036</v>
      </c>
      <c r="H236" s="10">
        <f>IFERROR(__xludf.DUMMYFUNCTION("""COMPUTED_VALUE"""),-232.759931235018)</f>
        <v>-232.759931235018</v>
      </c>
      <c r="I236" s="13"/>
      <c r="J236" s="13"/>
      <c r="K236" s="13"/>
      <c r="L236" s="13"/>
      <c r="M236" s="1" t="b">
        <f>IFERROR(__xludf.DUMMYFUNCTION("""COMPUTED_VALUE"""),TRUE)</f>
        <v>1</v>
      </c>
      <c r="N236" s="10">
        <f>IFERROR(__xludf.DUMMYFUNCTION("""COMPUTED_VALUE"""),0)</f>
        <v>0</v>
      </c>
      <c r="O236" s="10">
        <f>IFERROR(__xludf.DUMMYFUNCTION("""COMPUTED_VALUE"""),0)</f>
        <v>0</v>
      </c>
      <c r="P236" s="10"/>
      <c r="Q236" s="30"/>
      <c r="R236" s="18"/>
      <c r="S236" s="19"/>
      <c r="T236" s="10"/>
      <c r="U236" s="10"/>
      <c r="V236" s="10"/>
      <c r="W236" s="10"/>
      <c r="X236" s="19"/>
      <c r="Y236" s="1"/>
      <c r="Z236" s="1"/>
      <c r="AA236" s="1"/>
    </row>
    <row r="237" customHeight="1" spans="1:27">
      <c r="A237" s="1" t="str">
        <f>IFERROR(__xludf.DUMMYFUNCTION("""COMPUTED_VALUE"""),"Daymar 02")</f>
        <v>Daymar 02</v>
      </c>
      <c r="B237" s="1" t="str">
        <f>IFERROR(__xludf.DUMMYFUNCTION("""COMPUTED_VALUE"""),"Daymar 02")</f>
        <v>Daymar 02</v>
      </c>
      <c r="C237" s="1" t="str">
        <f>IFERROR(__xludf.DUMMYFUNCTION("""COMPUTED_VALUE"""),"Daymar 50")</f>
        <v>Daymar 50</v>
      </c>
      <c r="D237" s="1" t="str">
        <f>IFERROR(__xludf.DUMMYFUNCTION("""COMPUTED_VALUE"""),"Bountiful Harvest Hydroponics")</f>
        <v>Bountiful Harvest Hydroponics</v>
      </c>
      <c r="E237" s="30" t="str">
        <f>IFERROR(__xludf.DUMMYFUNCTION("""COMPUTED_VALUE"""),"Bountiful")</f>
        <v>Bountiful</v>
      </c>
      <c r="F237" s="10">
        <f>IFERROR(__xludf.DUMMYFUNCTION("""COMPUTED_VALUE"""),57.552271237)</f>
        <v>57.552271237</v>
      </c>
      <c r="G237" s="10">
        <f>IFERROR(__xludf.DUMMYFUNCTION("""COMPUTED_VALUE"""),-92.266994923)</f>
        <v>-92.266994923</v>
      </c>
      <c r="H237" s="10">
        <f>IFERROR(__xludf.DUMMYFUNCTION("""COMPUTED_VALUE"""),-274.246351880999)</f>
        <v>-274.246351880999</v>
      </c>
      <c r="I237" s="13"/>
      <c r="J237" s="13"/>
      <c r="K237" s="13"/>
      <c r="L237" s="13"/>
      <c r="M237" s="1" t="b">
        <f>IFERROR(__xludf.DUMMYFUNCTION("""COMPUTED_VALUE"""),TRUE)</f>
        <v>1</v>
      </c>
      <c r="N237" s="10">
        <f>IFERROR(__xludf.DUMMYFUNCTION("""COMPUTED_VALUE"""),0)</f>
        <v>0</v>
      </c>
      <c r="O237" s="10">
        <f>IFERROR(__xludf.DUMMYFUNCTION("""COMPUTED_VALUE"""),0)</f>
        <v>0</v>
      </c>
      <c r="P237" s="10"/>
      <c r="Q237" s="30"/>
      <c r="R237" s="18"/>
      <c r="S237" s="19"/>
      <c r="T237" s="10"/>
      <c r="U237" s="10"/>
      <c r="V237" s="10"/>
      <c r="W237" s="10"/>
      <c r="X237" s="19"/>
      <c r="Y237" s="1"/>
      <c r="Z237" s="1"/>
      <c r="AA237" s="1"/>
    </row>
    <row r="238" customHeight="1" spans="1:27">
      <c r="A238" s="1" t="str">
        <f>IFERROR(__xludf.DUMMYFUNCTION("""COMPUTED_VALUE"""),"Daymar 03")</f>
        <v>Daymar 03</v>
      </c>
      <c r="B238" s="1" t="str">
        <f>IFERROR(__xludf.DUMMYFUNCTION("""COMPUTED_VALUE"""),"Daymar 03")</f>
        <v>Daymar 03</v>
      </c>
      <c r="C238" s="1" t="str">
        <f>IFERROR(__xludf.DUMMYFUNCTION("""COMPUTED_VALUE"""),"Daymar 48")</f>
        <v>Daymar 48</v>
      </c>
      <c r="D238" s="1" t="str">
        <f>IFERROR(__xludf.DUMMYFUNCTION("""COMPUTED_VALUE"""),"Kudre Ore")</f>
        <v>Kudre Ore</v>
      </c>
      <c r="E238" s="30" t="str">
        <f>IFERROR(__xludf.DUMMYFUNCTION("""COMPUTED_VALUE"""),"Kudre")</f>
        <v>Kudre</v>
      </c>
      <c r="F238" s="10">
        <f>IFERROR(__xludf.DUMMYFUNCTION("""COMPUTED_VALUE"""),146.617154182308)</f>
        <v>146.617154182308</v>
      </c>
      <c r="G238" s="10">
        <f>IFERROR(__xludf.DUMMYFUNCTION("""COMPUTED_VALUE"""),-177.093294377513)</f>
        <v>-177.093294377513</v>
      </c>
      <c r="H238" s="10">
        <f>IFERROR(__xludf.DUMMYFUNCTION("""COMPUTED_VALUE"""),-184.862263017951)</f>
        <v>-184.862263017951</v>
      </c>
      <c r="I238" s="13"/>
      <c r="J238" s="13"/>
      <c r="K238" s="13"/>
      <c r="L238" s="13"/>
      <c r="M238" s="1" t="b">
        <f>IFERROR(__xludf.DUMMYFUNCTION("""COMPUTED_VALUE"""),TRUE)</f>
        <v>1</v>
      </c>
      <c r="N238" s="10">
        <f>IFERROR(__xludf.DUMMYFUNCTION("""COMPUTED_VALUE"""),0)</f>
        <v>0</v>
      </c>
      <c r="O238" s="10">
        <f>IFERROR(__xludf.DUMMYFUNCTION("""COMPUTED_VALUE"""),0)</f>
        <v>0</v>
      </c>
      <c r="P238" s="10"/>
      <c r="Q238" s="30"/>
      <c r="R238" s="18"/>
      <c r="S238" s="19"/>
      <c r="T238" s="10"/>
      <c r="U238" s="10"/>
      <c r="V238" s="10"/>
      <c r="W238" s="10"/>
      <c r="X238" s="19"/>
      <c r="Y238" s="1"/>
      <c r="Z238" s="1"/>
      <c r="AA238" s="1"/>
    </row>
    <row r="239" customHeight="1" spans="1:27">
      <c r="A239" s="1" t="str">
        <f>IFERROR(__xludf.DUMMYFUNCTION("""COMPUTED_VALUE"""),"Daymar 04")</f>
        <v>Daymar 04</v>
      </c>
      <c r="B239" s="1" t="str">
        <f>IFERROR(__xludf.DUMMYFUNCTION("""COMPUTED_VALUE"""),"Daymar 04")</f>
        <v>Daymar 04</v>
      </c>
      <c r="C239" s="1" t="str">
        <f>IFERROR(__xludf.DUMMYFUNCTION("""COMPUTED_VALUE"""),"Daymar 45")</f>
        <v>Daymar 45</v>
      </c>
      <c r="D239" s="1" t="str">
        <f>IFERROR(__xludf.DUMMYFUNCTION("""COMPUTED_VALUE"""),"Shubin Mining Facility SCD-1 (PB)")</f>
        <v>Shubin Mining Facility SCD-1 (PB)</v>
      </c>
      <c r="E239" s="30" t="str">
        <f>IFERROR(__xludf.DUMMYFUNCTION("""COMPUTED_VALUE"""),"SCD1")</f>
        <v>SCD1</v>
      </c>
      <c r="F239" s="10">
        <f>IFERROR(__xludf.DUMMYFUNCTION("""COMPUTED_VALUE"""),126.025172040445)</f>
        <v>126.025172040445</v>
      </c>
      <c r="G239" s="10">
        <f>IFERROR(__xludf.DUMMYFUNCTION("""COMPUTED_VALUE"""),-149.58146894637)</f>
        <v>-149.58146894637</v>
      </c>
      <c r="H239" s="10">
        <f>IFERROR(__xludf.DUMMYFUNCTION("""COMPUTED_VALUE"""),221.25334404046)</f>
        <v>221.25334404046</v>
      </c>
      <c r="I239" s="13"/>
      <c r="J239" s="13"/>
      <c r="K239" s="13"/>
      <c r="L239" s="13"/>
      <c r="M239" s="1" t="b">
        <f>IFERROR(__xludf.DUMMYFUNCTION("""COMPUTED_VALUE"""),TRUE)</f>
        <v>1</v>
      </c>
      <c r="N239" s="10">
        <f>IFERROR(__xludf.DUMMYFUNCTION("""COMPUTED_VALUE"""),0)</f>
        <v>0</v>
      </c>
      <c r="O239" s="10">
        <f>IFERROR(__xludf.DUMMYFUNCTION("""COMPUTED_VALUE"""),0)</f>
        <v>0</v>
      </c>
      <c r="P239" s="10"/>
      <c r="Q239" s="30"/>
      <c r="R239" s="18"/>
      <c r="S239" s="19"/>
      <c r="T239" s="10"/>
      <c r="U239" s="10"/>
      <c r="V239" s="10"/>
      <c r="W239" s="10"/>
      <c r="X239" s="19"/>
      <c r="Y239" s="1"/>
      <c r="Z239" s="1"/>
      <c r="AA239" s="1"/>
    </row>
    <row r="240" customHeight="1" spans="1:27">
      <c r="A240" s="1" t="str">
        <f>IFERROR(__xludf.DUMMYFUNCTION("""COMPUTED_VALUE"""),"Daymar 05")</f>
        <v>Daymar 05</v>
      </c>
      <c r="B240" s="1" t="str">
        <f>IFERROR(__xludf.DUMMYFUNCTION("""COMPUTED_VALUE"""),"Daymar 05")</f>
        <v>Daymar 05</v>
      </c>
      <c r="C240" s="1" t="str">
        <f>IFERROR(__xludf.DUMMYFUNCTION("""COMPUTED_VALUE"""),"Daymar 65")</f>
        <v>Daymar 65</v>
      </c>
      <c r="D240" s="1" t="str">
        <f>IFERROR(__xludf.DUMMYFUNCTION("""COMPUTED_VALUE"""),"Brio's Breaker Yard")</f>
        <v>Brio's Breaker Yard</v>
      </c>
      <c r="E240" s="30" t="str">
        <f>IFERROR(__xludf.DUMMYFUNCTION("""COMPUTED_VALUE"""),"Brio")</f>
        <v>Brio</v>
      </c>
      <c r="F240" s="10">
        <f>IFERROR(__xludf.DUMMYFUNCTION("""COMPUTED_VALUE"""),-176.973536499999)</f>
        <v>-176.973536499999</v>
      </c>
      <c r="G240" s="10">
        <f>IFERROR(__xludf.DUMMYFUNCTION("""COMPUTED_VALUE"""),-160.953157833)</f>
        <v>-160.953157833</v>
      </c>
      <c r="H240" s="10">
        <f>IFERROR(__xludf.DUMMYFUNCTION("""COMPUTED_VALUE"""),173.849366891)</f>
        <v>173.849366891</v>
      </c>
      <c r="I240" s="13"/>
      <c r="J240" s="13"/>
      <c r="K240" s="13"/>
      <c r="L240" s="13"/>
      <c r="M240" s="1" t="b">
        <f>IFERROR(__xludf.DUMMYFUNCTION("""COMPUTED_VALUE"""),TRUE)</f>
        <v>1</v>
      </c>
      <c r="N240" s="10">
        <f>IFERROR(__xludf.DUMMYFUNCTION("""COMPUTED_VALUE"""),0)</f>
        <v>0</v>
      </c>
      <c r="O240" s="10">
        <f>IFERROR(__xludf.DUMMYFUNCTION("""COMPUTED_VALUE"""),0)</f>
        <v>0</v>
      </c>
      <c r="P240" s="10"/>
      <c r="Q240" s="30"/>
      <c r="R240" s="18"/>
      <c r="S240" s="19"/>
      <c r="T240" s="10"/>
      <c r="U240" s="10"/>
      <c r="V240" s="10"/>
      <c r="W240" s="10"/>
      <c r="X240" s="19"/>
      <c r="Y240" s="1"/>
      <c r="Z240" s="1"/>
      <c r="AA240" s="1"/>
    </row>
    <row r="241" customHeight="1" spans="1:27">
      <c r="A241" s="1" t="str">
        <f>IFERROR(__xludf.DUMMYFUNCTION("""COMPUTED_VALUE"""),"Daymar 06")</f>
        <v>Daymar 06</v>
      </c>
      <c r="B241" s="1" t="str">
        <f>IFERROR(__xludf.DUMMYFUNCTION("""COMPUTED_VALUE"""),"Daymar 06")</f>
        <v>Daymar 06</v>
      </c>
      <c r="C241" s="1" t="str">
        <f>IFERROR(__xludf.DUMMYFUNCTION("""COMPUTED_VALUE"""),"Daymar 26")</f>
        <v>Daymar 26</v>
      </c>
      <c r="D241" s="1" t="str">
        <f>IFERROR(__xludf.DUMMYFUNCTION("""COMPUTED_VALUE"""),"Jumptown")</f>
        <v>Jumptown</v>
      </c>
      <c r="E241" s="30" t="str">
        <f>IFERROR(__xludf.DUMMYFUNCTION("""COMPUTED_VALUE"""),"Jumptown")</f>
        <v>Jumptown</v>
      </c>
      <c r="F241" s="10">
        <f>IFERROR(__xludf.DUMMYFUNCTION("""COMPUTED_VALUE"""),80.43911474)</f>
        <v>80.43911474</v>
      </c>
      <c r="G241" s="10">
        <f>IFERROR(__xludf.DUMMYFUNCTION("""COMPUTED_VALUE"""),242.715634598)</f>
        <v>242.715634598</v>
      </c>
      <c r="H241" s="10">
        <f>IFERROR(__xludf.DUMMYFUNCTION("""COMPUTED_VALUE"""),-147.633537765)</f>
        <v>-147.633537765</v>
      </c>
      <c r="I241" s="13"/>
      <c r="J241" s="13"/>
      <c r="K241" s="13"/>
      <c r="L241" s="13"/>
      <c r="M241" s="1" t="b">
        <f>IFERROR(__xludf.DUMMYFUNCTION("""COMPUTED_VALUE"""),TRUE)</f>
        <v>1</v>
      </c>
      <c r="N241" s="10">
        <f>IFERROR(__xludf.DUMMYFUNCTION("""COMPUTED_VALUE"""),0)</f>
        <v>0</v>
      </c>
      <c r="O241" s="10">
        <f>IFERROR(__xludf.DUMMYFUNCTION("""COMPUTED_VALUE"""),0)</f>
        <v>0</v>
      </c>
      <c r="P241" s="10"/>
      <c r="Q241" s="30"/>
      <c r="R241" s="18"/>
      <c r="S241" s="19"/>
      <c r="T241" s="10"/>
      <c r="U241" s="10"/>
      <c r="V241" s="10"/>
      <c r="W241" s="10"/>
      <c r="X241" s="19"/>
      <c r="Y241" s="1"/>
      <c r="Z241" s="1"/>
      <c r="AA241" s="1"/>
    </row>
    <row r="242" customHeight="1" spans="1:27">
      <c r="A242" s="1" t="str">
        <f>IFERROR(__xludf.DUMMYFUNCTION("""COMPUTED_VALUE"""),"Daymar 07")</f>
        <v>Daymar 07</v>
      </c>
      <c r="B242" s="1" t="str">
        <f>IFERROR(__xludf.DUMMYFUNCTION("""COMPUTED_VALUE"""),"Daymar 07")</f>
        <v>Daymar 07</v>
      </c>
      <c r="C242" s="1" t="str">
        <f>IFERROR(__xludf.DUMMYFUNCTION("""COMPUTED_VALUE"""),"Daymar 18")</f>
        <v>Daymar 18</v>
      </c>
      <c r="D242" s="1" t="str">
        <f>IFERROR(__xludf.DUMMYFUNCTION("""COMPUTED_VALUE"""),"Daymar Stash House (Nuen Waste Management)")</f>
        <v>Daymar Stash House (Nuen Waste Management)</v>
      </c>
      <c r="E242" s="30" t="str">
        <f>IFERROR(__xludf.DUMMYFUNCTION("""COMPUTED_VALUE"""),"Stash")</f>
        <v>Stash</v>
      </c>
      <c r="F242" s="10">
        <f>IFERROR(__xludf.DUMMYFUNCTION("""COMPUTED_VALUE"""),-18.9432612462583)</f>
        <v>-18.9432612462583</v>
      </c>
      <c r="G242" s="10">
        <f>IFERROR(__xludf.DUMMYFUNCTION("""COMPUTED_VALUE"""),293.340930183354)</f>
        <v>293.340930183354</v>
      </c>
      <c r="H242" s="10">
        <f>IFERROR(__xludf.DUMMYFUNCTION("""COMPUTED_VALUE"""),25.4783997551309)</f>
        <v>25.4783997551309</v>
      </c>
      <c r="I242" s="13"/>
      <c r="J242" s="13"/>
      <c r="K242" s="13"/>
      <c r="L242" s="13"/>
      <c r="M242" s="1" t="b">
        <f>IFERROR(__xludf.DUMMYFUNCTION("""COMPUTED_VALUE"""),TRUE)</f>
        <v>1</v>
      </c>
      <c r="N242" s="10">
        <f>IFERROR(__xludf.DUMMYFUNCTION("""COMPUTED_VALUE"""),0)</f>
        <v>0</v>
      </c>
      <c r="O242" s="10">
        <f>IFERROR(__xludf.DUMMYFUNCTION("""COMPUTED_VALUE"""),0)</f>
        <v>0</v>
      </c>
      <c r="P242" s="10"/>
      <c r="Q242" s="30"/>
      <c r="R242" s="18"/>
      <c r="S242" s="19"/>
      <c r="T242" s="10"/>
      <c r="U242" s="10"/>
      <c r="V242" s="10"/>
      <c r="W242" s="10"/>
      <c r="X242" s="19"/>
      <c r="Y242" s="1"/>
      <c r="Z242" s="1"/>
      <c r="AA242" s="1"/>
    </row>
    <row r="243" customHeight="1" spans="1:27">
      <c r="A243" s="1" t="str">
        <f>IFERROR(__xludf.DUMMYFUNCTION("""COMPUTED_VALUE"""),"Daymar")</f>
        <v>Daymar</v>
      </c>
      <c r="B243" s="1" t="str">
        <f>IFERROR(__xludf.DUMMYFUNCTION("""COMPUTED_VALUE"""),"Daymar 09")</f>
        <v>Daymar 09</v>
      </c>
      <c r="C243" s="1"/>
      <c r="D243" s="1" t="str">
        <f>IFERROR(__xludf.DUMMYFUNCTION("""COMPUTED_VALUE"""),"Underground Bunker Facilities")</f>
        <v>Underground Bunker Facilities</v>
      </c>
      <c r="E243" s="30"/>
      <c r="F243" s="10"/>
      <c r="G243" s="10"/>
      <c r="H243" s="10"/>
      <c r="I243" s="13"/>
      <c r="J243" s="13"/>
      <c r="K243" s="13"/>
      <c r="L243" s="13"/>
      <c r="M243" s="1"/>
      <c r="N243" s="10"/>
      <c r="O243" s="10"/>
      <c r="P243" s="10"/>
      <c r="Q243" s="30"/>
      <c r="R243" s="18"/>
      <c r="S243" s="19"/>
      <c r="T243" s="10"/>
      <c r="U243" s="10"/>
      <c r="V243" s="10"/>
      <c r="W243" s="10"/>
      <c r="X243" s="19"/>
      <c r="Y243" s="1"/>
      <c r="Z243" s="1"/>
      <c r="AA243" s="1"/>
    </row>
    <row r="244" customHeight="1" spans="1:27">
      <c r="A244" s="1" t="str">
        <f>IFERROR(__xludf.DUMMYFUNCTION("""COMPUTED_VALUE"""),"Daymar 08")</f>
        <v>Daymar 08</v>
      </c>
      <c r="B244" s="1" t="str">
        <f>IFERROR(__xludf.DUMMYFUNCTION("""COMPUTED_VALUE"""),"Daymar 10")</f>
        <v>Daymar 10</v>
      </c>
      <c r="C244" s="1" t="str">
        <f>IFERROR(__xludf.DUMMYFUNCTION("""COMPUTED_VALUE"""),"Daymar 33")</f>
        <v>Daymar 33</v>
      </c>
      <c r="D244" s="1" t="str">
        <f>IFERROR(__xludf.DUMMYFUNCTION("""COMPUTED_VALUE"""),"NT-999-XVI")</f>
        <v>NT-999-XVI</v>
      </c>
      <c r="E244" s="30" t="str">
        <f>IFERROR(__xludf.DUMMYFUNCTION("""COMPUTED_VALUE"""),"NT999XVI")</f>
        <v>NT999XVI</v>
      </c>
      <c r="F244" s="10">
        <f>IFERROR(__xludf.DUMMYFUNCTION("""COMPUTED_VALUE"""),250.895143122999)</f>
        <v>250.895143122999</v>
      </c>
      <c r="G244" s="10">
        <f>IFERROR(__xludf.DUMMYFUNCTION("""COMPUTED_VALUE"""),154.055329269)</f>
        <v>154.055329269</v>
      </c>
      <c r="H244" s="10">
        <f>IFERROR(__xludf.DUMMYFUNCTION("""COMPUTED_VALUE"""),-24.262749506)</f>
        <v>-24.262749506</v>
      </c>
      <c r="I244" s="13"/>
      <c r="J244" s="13"/>
      <c r="K244" s="13"/>
      <c r="L244" s="13"/>
      <c r="M244" s="1" t="b">
        <f>IFERROR(__xludf.DUMMYFUNCTION("""COMPUTED_VALUE"""),TRUE)</f>
        <v>1</v>
      </c>
      <c r="N244" s="10">
        <f>IFERROR(__xludf.DUMMYFUNCTION("""COMPUTED_VALUE"""),0)</f>
        <v>0</v>
      </c>
      <c r="O244" s="10">
        <f>IFERROR(__xludf.DUMMYFUNCTION("""COMPUTED_VALUE"""),0)</f>
        <v>0</v>
      </c>
      <c r="P244" s="10"/>
      <c r="Q244" s="30"/>
      <c r="R244" s="18"/>
      <c r="S244" s="19"/>
      <c r="T244" s="10"/>
      <c r="U244" s="10"/>
      <c r="V244" s="10"/>
      <c r="W244" s="10"/>
      <c r="X244" s="19"/>
      <c r="Y244" s="1"/>
      <c r="Z244" s="1"/>
      <c r="AA244" s="1"/>
    </row>
    <row r="245" customHeight="1" spans="1:27">
      <c r="A245" s="1" t="str">
        <f>IFERROR(__xludf.DUMMYFUNCTION("""COMPUTED_VALUE"""),"Daymar 09")</f>
        <v>Daymar 09</v>
      </c>
      <c r="B245" s="1" t="str">
        <f>IFERROR(__xludf.DUMMYFUNCTION("""COMPUTED_VALUE"""),"Daymar 11")</f>
        <v>Daymar 11</v>
      </c>
      <c r="C245" s="1" t="str">
        <f>IFERROR(__xludf.DUMMYFUNCTION("""COMPUTED_VALUE"""),"Daymar 37")</f>
        <v>Daymar 37</v>
      </c>
      <c r="D245" s="1" t="str">
        <f>IFERROR(__xludf.DUMMYFUNCTION("""COMPUTED_VALUE"""),"Security Post Moluto")</f>
        <v>Security Post Moluto</v>
      </c>
      <c r="E245" s="30" t="str">
        <f>IFERROR(__xludf.DUMMYFUNCTION("""COMPUTED_VALUE"""),"Moluto")</f>
        <v>Moluto</v>
      </c>
      <c r="F245" s="10">
        <f>IFERROR(__xludf.DUMMYFUNCTION("""COMPUTED_VALUE"""),188.858126624)</f>
        <v>188.858126624</v>
      </c>
      <c r="G245" s="10">
        <f>IFERROR(__xludf.DUMMYFUNCTION("""COMPUTED_VALUE"""),33.74640769)</f>
        <v>33.74640769</v>
      </c>
      <c r="H245" s="10">
        <f>IFERROR(__xludf.DUMMYFUNCTION("""COMPUTED_VALUE"""),-224.162867624)</f>
        <v>-224.162867624</v>
      </c>
      <c r="I245" s="13"/>
      <c r="J245" s="13"/>
      <c r="K245" s="13"/>
      <c r="L245" s="13"/>
      <c r="M245" s="1" t="b">
        <f>IFERROR(__xludf.DUMMYFUNCTION("""COMPUTED_VALUE"""),TRUE)</f>
        <v>1</v>
      </c>
      <c r="N245" s="10">
        <f>IFERROR(__xludf.DUMMYFUNCTION("""COMPUTED_VALUE"""),0)</f>
        <v>0</v>
      </c>
      <c r="O245" s="10">
        <f>IFERROR(__xludf.DUMMYFUNCTION("""COMPUTED_VALUE"""),0)</f>
        <v>0</v>
      </c>
      <c r="P245" s="10"/>
      <c r="Q245" s="30"/>
      <c r="R245" s="18"/>
      <c r="S245" s="19"/>
      <c r="T245" s="10"/>
      <c r="U245" s="10"/>
      <c r="V245" s="10"/>
      <c r="W245" s="10"/>
      <c r="X245" s="19"/>
      <c r="Y245" s="1"/>
      <c r="Z245" s="1"/>
      <c r="AA245" s="1"/>
    </row>
    <row r="246" customHeight="1" spans="1:27">
      <c r="A246" s="1" t="str">
        <f>IFERROR(__xludf.DUMMYFUNCTION("""COMPUTED_VALUE"""),"Daymar 10")</f>
        <v>Daymar 10</v>
      </c>
      <c r="B246" s="1" t="str">
        <f>IFERROR(__xludf.DUMMYFUNCTION("""COMPUTED_VALUE"""),"Daymar 12")</f>
        <v>Daymar 12</v>
      </c>
      <c r="C246" s="1" t="str">
        <f>IFERROR(__xludf.DUMMYFUNCTION("""COMPUTED_VALUE"""),"Daymar 04")</f>
        <v>Daymar 04</v>
      </c>
      <c r="D246" s="1" t="str">
        <f>IFERROR(__xludf.DUMMYFUNCTION("""COMPUTED_VALUE"""),"Security Post Prashad")</f>
        <v>Security Post Prashad</v>
      </c>
      <c r="E246" s="30" t="str">
        <f>IFERROR(__xludf.DUMMYFUNCTION("""COMPUTED_VALUE"""),"Prashad")</f>
        <v>Prashad</v>
      </c>
      <c r="F246" s="10">
        <f>IFERROR(__xludf.DUMMYFUNCTION("""COMPUTED_VALUE"""),-223.887404405)</f>
        <v>-223.887404405</v>
      </c>
      <c r="G246" s="10">
        <f>IFERROR(__xludf.DUMMYFUNCTION("""COMPUTED_VALUE"""),65.622608817)</f>
        <v>65.622608817</v>
      </c>
      <c r="H246" s="10">
        <f>IFERROR(__xludf.DUMMYFUNCTION("""COMPUTED_VALUE"""),180.748712154)</f>
        <v>180.748712154</v>
      </c>
      <c r="I246" s="13"/>
      <c r="J246" s="13"/>
      <c r="K246" s="13"/>
      <c r="L246" s="13"/>
      <c r="M246" s="1" t="b">
        <f>IFERROR(__xludf.DUMMYFUNCTION("""COMPUTED_VALUE"""),TRUE)</f>
        <v>1</v>
      </c>
      <c r="N246" s="10">
        <f>IFERROR(__xludf.DUMMYFUNCTION("""COMPUTED_VALUE"""),0)</f>
        <v>0</v>
      </c>
      <c r="O246" s="10">
        <f>IFERROR(__xludf.DUMMYFUNCTION("""COMPUTED_VALUE"""),0)</f>
        <v>0</v>
      </c>
      <c r="P246" s="10"/>
      <c r="Q246" s="30"/>
      <c r="R246" s="18"/>
      <c r="S246" s="19"/>
      <c r="T246" s="10"/>
      <c r="U246" s="10"/>
      <c r="V246" s="10"/>
      <c r="W246" s="10"/>
      <c r="X246" s="19"/>
      <c r="Y246" s="1"/>
      <c r="Z246" s="1"/>
      <c r="AA246" s="1"/>
    </row>
    <row r="247" customHeight="1" spans="1:27">
      <c r="A247" s="1" t="str">
        <f>IFERROR(__xludf.DUMMYFUNCTION("""COMPUTED_VALUE"""),"Daymar 11")</f>
        <v>Daymar 11</v>
      </c>
      <c r="B247" s="1" t="str">
        <f>IFERROR(__xludf.DUMMYFUNCTION("""COMPUTED_VALUE"""),"Daymar 13")</f>
        <v>Daymar 13</v>
      </c>
      <c r="C247" s="1" t="str">
        <f>IFERROR(__xludf.DUMMYFUNCTION("""COMPUTED_VALUE"""),"Daymar 59")</f>
        <v>Daymar 59</v>
      </c>
      <c r="D247" s="1" t="str">
        <f>IFERROR(__xludf.DUMMYFUNCTION("""COMPUTED_VALUE"""),"Security Post Thaquray")</f>
        <v>Security Post Thaquray</v>
      </c>
      <c r="E247" s="30" t="str">
        <f>IFERROR(__xludf.DUMMYFUNCTION("""COMPUTED_VALUE"""),"Thaquray")</f>
        <v>Thaquray</v>
      </c>
      <c r="F247" s="10">
        <f>IFERROR(__xludf.DUMMYFUNCTION("""COMPUTED_VALUE"""),-6.98126783299999)</f>
        <v>-6.98126783299999</v>
      </c>
      <c r="G247" s="10">
        <f>IFERROR(__xludf.DUMMYFUNCTION("""COMPUTED_VALUE"""),-89.665412035)</f>
        <v>-89.665412035</v>
      </c>
      <c r="H247" s="10">
        <f>IFERROR(__xludf.DUMMYFUNCTION("""COMPUTED_VALUE"""),281.360037909)</f>
        <v>281.360037909</v>
      </c>
      <c r="I247" s="13"/>
      <c r="J247" s="13"/>
      <c r="K247" s="13"/>
      <c r="L247" s="13"/>
      <c r="M247" s="1" t="b">
        <f>IFERROR(__xludf.DUMMYFUNCTION("""COMPUTED_VALUE"""),TRUE)</f>
        <v>1</v>
      </c>
      <c r="N247" s="10">
        <f>IFERROR(__xludf.DUMMYFUNCTION("""COMPUTED_VALUE"""),0)</f>
        <v>0</v>
      </c>
      <c r="O247" s="10">
        <f>IFERROR(__xludf.DUMMYFUNCTION("""COMPUTED_VALUE"""),0)</f>
        <v>0</v>
      </c>
      <c r="P247" s="10"/>
      <c r="Q247" s="30"/>
      <c r="R247" s="18"/>
      <c r="S247" s="19"/>
      <c r="T247" s="10"/>
      <c r="U247" s="10"/>
      <c r="V247" s="10"/>
      <c r="W247" s="10"/>
      <c r="X247" s="19"/>
      <c r="Y247" s="1"/>
      <c r="Z247" s="1"/>
      <c r="AA247" s="1"/>
    </row>
    <row r="248" customHeight="1" spans="1:27">
      <c r="A248" s="1" t="str">
        <f>IFERROR(__xludf.DUMMYFUNCTION("""COMPUTED_VALUE"""),"Daymar 12")</f>
        <v>Daymar 12</v>
      </c>
      <c r="B248" s="1" t="str">
        <f>IFERROR(__xludf.DUMMYFUNCTION("""COMPUTED_VALUE"""),"Daymar 14")</f>
        <v>Daymar 14</v>
      </c>
      <c r="C248" s="1" t="str">
        <f>IFERROR(__xludf.DUMMYFUNCTION("""COMPUTED_VALUE"""),"Daymar 07")</f>
        <v>Daymar 07</v>
      </c>
      <c r="D248" s="1" t="str">
        <f>IFERROR(__xludf.DUMMYFUNCTION("""COMPUTED_VALUE"""),"The Garden")</f>
        <v>The Garden</v>
      </c>
      <c r="E248" s="30" t="str">
        <f>IFERROR(__xludf.DUMMYFUNCTION("""COMPUTED_VALUE"""),"Garden")</f>
        <v>Garden</v>
      </c>
      <c r="F248" s="10">
        <f>IFERROR(__xludf.DUMMYFUNCTION("""COMPUTED_VALUE"""),-175.970114604)</f>
        <v>-175.970114604</v>
      </c>
      <c r="G248" s="10">
        <f>IFERROR(__xludf.DUMMYFUNCTION("""COMPUTED_VALUE"""),146.722503656999)</f>
        <v>146.722503656999</v>
      </c>
      <c r="H248" s="10">
        <f>IFERROR(__xludf.DUMMYFUNCTION("""COMPUTED_VALUE"""),186.025525633)</f>
        <v>186.025525633</v>
      </c>
      <c r="I248" s="13"/>
      <c r="J248" s="13"/>
      <c r="K248" s="13"/>
      <c r="L248" s="13"/>
      <c r="M248" s="1" t="b">
        <f>IFERROR(__xludf.DUMMYFUNCTION("""COMPUTED_VALUE"""),TRUE)</f>
        <v>1</v>
      </c>
      <c r="N248" s="10">
        <f>IFERROR(__xludf.DUMMYFUNCTION("""COMPUTED_VALUE"""),0)</f>
        <v>0</v>
      </c>
      <c r="O248" s="10">
        <f>IFERROR(__xludf.DUMMYFUNCTION("""COMPUTED_VALUE"""),0)</f>
        <v>0</v>
      </c>
      <c r="P248" s="10"/>
      <c r="Q248" s="30"/>
      <c r="R248" s="18"/>
      <c r="S248" s="19"/>
      <c r="T248" s="10"/>
      <c r="U248" s="10"/>
      <c r="V248" s="10"/>
      <c r="W248" s="10"/>
      <c r="X248" s="19"/>
      <c r="Y248" s="1"/>
      <c r="Z248" s="1"/>
      <c r="AA248" s="1"/>
    </row>
    <row r="249" customHeight="1" spans="1:27">
      <c r="A249" s="1" t="str">
        <f>IFERROR(__xludf.DUMMYFUNCTION("""COMPUTED_VALUE"""),"Daymar 13")</f>
        <v>Daymar 13</v>
      </c>
      <c r="B249" s="1" t="str">
        <f>IFERROR(__xludf.DUMMYFUNCTION("""COMPUTED_VALUE"""),"Daymar 15")</f>
        <v>Daymar 15</v>
      </c>
      <c r="C249" s="1" t="str">
        <f>IFERROR(__xludf.DUMMYFUNCTION("""COMPUTED_VALUE"""),"Daymar 23")</f>
        <v>Daymar 23</v>
      </c>
      <c r="D249" s="1" t="str">
        <f>IFERROR(__xludf.DUMMYFUNCTION("""COMPUTED_VALUE"""),"TPF")</f>
        <v>TPF</v>
      </c>
      <c r="E249" s="30" t="str">
        <f>IFERROR(__xludf.DUMMYFUNCTION("""COMPUTED_VALUE"""),"TPF")</f>
        <v>TPF</v>
      </c>
      <c r="F249" s="10">
        <f>IFERROR(__xludf.DUMMYFUNCTION("""COMPUTED_VALUE"""),37.24823997)</f>
        <v>37.24823997</v>
      </c>
      <c r="G249" s="10">
        <f>IFERROR(__xludf.DUMMYFUNCTION("""COMPUTED_VALUE"""),203.87655616)</f>
        <v>203.87655616</v>
      </c>
      <c r="H249" s="10">
        <f>IFERROR(__xludf.DUMMYFUNCTION("""COMPUTED_VALUE"""),-209.981122536)</f>
        <v>-209.981122536</v>
      </c>
      <c r="I249" s="13"/>
      <c r="J249" s="13"/>
      <c r="K249" s="13"/>
      <c r="L249" s="13"/>
      <c r="M249" s="1" t="b">
        <f>IFERROR(__xludf.DUMMYFUNCTION("""COMPUTED_VALUE"""),TRUE)</f>
        <v>1</v>
      </c>
      <c r="N249" s="10">
        <f>IFERROR(__xludf.DUMMYFUNCTION("""COMPUTED_VALUE"""),0)</f>
        <v>0</v>
      </c>
      <c r="O249" s="10">
        <f>IFERROR(__xludf.DUMMYFUNCTION("""COMPUTED_VALUE"""),0)</f>
        <v>0</v>
      </c>
      <c r="P249" s="10"/>
      <c r="Q249" s="30"/>
      <c r="R249" s="18"/>
      <c r="S249" s="19"/>
      <c r="T249" s="10"/>
      <c r="U249" s="10"/>
      <c r="V249" s="10"/>
      <c r="W249" s="10"/>
      <c r="X249" s="19"/>
      <c r="Y249" s="1"/>
      <c r="Z249" s="1"/>
      <c r="AA249" s="1"/>
    </row>
    <row r="250" customHeight="1" spans="1:27">
      <c r="A250" s="1" t="str">
        <f>IFERROR(__xludf.DUMMYFUNCTION("""COMPUTED_VALUE"""),"Daymar")</f>
        <v>Daymar</v>
      </c>
      <c r="B250" s="1" t="str">
        <f>IFERROR(__xludf.DUMMYFUNCTION("""COMPUTED_VALUE"""),"Daymar 17")</f>
        <v>Daymar 17</v>
      </c>
      <c r="C250" s="1"/>
      <c r="D250" s="1" t="str">
        <f>IFERROR(__xludf.DUMMYFUNCTION("""COMPUTED_VALUE"""),"Other Facilities")</f>
        <v>Other Facilities</v>
      </c>
      <c r="E250" s="30"/>
      <c r="F250" s="10"/>
      <c r="G250" s="10"/>
      <c r="H250" s="10"/>
      <c r="I250" s="13"/>
      <c r="J250" s="13"/>
      <c r="K250" s="13"/>
      <c r="L250" s="13"/>
      <c r="M250" s="1"/>
      <c r="N250" s="10"/>
      <c r="O250" s="10"/>
      <c r="P250" s="10"/>
      <c r="Q250" s="30"/>
      <c r="R250" s="18"/>
      <c r="S250" s="19"/>
      <c r="T250" s="10"/>
      <c r="U250" s="10"/>
      <c r="V250" s="10"/>
      <c r="W250" s="10"/>
      <c r="X250" s="19"/>
      <c r="Y250" s="1"/>
      <c r="Z250" s="1"/>
      <c r="AA250" s="1"/>
    </row>
    <row r="251" customHeight="1" spans="1:27">
      <c r="A251" s="1" t="str">
        <f>IFERROR(__xludf.DUMMYFUNCTION("""COMPUTED_VALUE"""),"Daymar 14")</f>
        <v>Daymar 14</v>
      </c>
      <c r="B251" s="1" t="str">
        <f>IFERROR(__xludf.DUMMYFUNCTION("""COMPUTED_VALUE"""),"Daymar 18")</f>
        <v>Daymar 18</v>
      </c>
      <c r="C251" s="1" t="str">
        <f>IFERROR(__xludf.DUMMYFUNCTION("""COMPUTED_VALUE"""),"Daymar 11")</f>
        <v>Daymar 11</v>
      </c>
      <c r="D251" s="1" t="str">
        <f>IFERROR(__xludf.DUMMYFUNCTION("""COMPUTED_VALUE"""),"Covalex Shipping Hub Gundo")</f>
        <v>Covalex Shipping Hub Gundo</v>
      </c>
      <c r="E251" s="30" t="str">
        <f>IFERROR(__xludf.DUMMYFUNCTION("""COMPUTED_VALUE"""),"Covalex")</f>
        <v>Covalex</v>
      </c>
      <c r="F251" s="10">
        <f>IFERROR(__xludf.DUMMYFUNCTION("""COMPUTED_VALUE"""),-241.198062896729)</f>
        <v>-241.198062896729</v>
      </c>
      <c r="G251" s="10">
        <f>IFERROR(__xludf.DUMMYFUNCTION("""COMPUTED_VALUE"""),437.977486660004)</f>
        <v>437.977486660004</v>
      </c>
      <c r="H251" s="10">
        <f>IFERROR(__xludf.DUMMYFUNCTION("""COMPUTED_VALUE"""),-300)</f>
        <v>-300</v>
      </c>
      <c r="I251" s="13"/>
      <c r="J251" s="13"/>
      <c r="K251" s="13"/>
      <c r="L251" s="13"/>
      <c r="M251" s="1" t="b">
        <f>IFERROR(__xludf.DUMMYFUNCTION("""COMPUTED_VALUE"""),TRUE)</f>
        <v>1</v>
      </c>
      <c r="N251" s="10">
        <f>IFERROR(__xludf.DUMMYFUNCTION("""COMPUTED_VALUE"""),0)</f>
        <v>0</v>
      </c>
      <c r="O251" s="10">
        <f>IFERROR(__xludf.DUMMYFUNCTION("""COMPUTED_VALUE"""),0)</f>
        <v>0</v>
      </c>
      <c r="P251" s="10"/>
      <c r="Q251" s="30"/>
      <c r="R251" s="18"/>
      <c r="S251" s="19"/>
      <c r="T251" s="10"/>
      <c r="U251" s="10"/>
      <c r="V251" s="10"/>
      <c r="W251" s="10"/>
      <c r="X251" s="19"/>
      <c r="Y251" s="1"/>
      <c r="Z251" s="1"/>
      <c r="AA251" s="1"/>
    </row>
    <row r="252" customHeight="1" spans="1:27">
      <c r="A252" s="1" t="str">
        <f>IFERROR(__xludf.DUMMYFUNCTION("""COMPUTED_VALUE"""),"Daymar 21")</f>
        <v>Daymar 21</v>
      </c>
      <c r="B252" s="1" t="str">
        <f>IFERROR(__xludf.DUMMYFUNCTION("""COMPUTED_VALUE"""),"Daymar 19")</f>
        <v>Daymar 19</v>
      </c>
      <c r="C252" s="1" t="str">
        <f>IFERROR(__xludf.DUMMYFUNCTION("""COMPUTED_VALUE"""),"Daymar 25")</f>
        <v>Daymar 25</v>
      </c>
      <c r="D252" s="1" t="str">
        <f>IFERROR(__xludf.DUMMYFUNCTION("""COMPUTED_VALUE"""),"Abandoned Outpost")</f>
        <v>Abandoned Outpost</v>
      </c>
      <c r="E252" s="30" t="str">
        <f>IFERROR(__xludf.DUMMYFUNCTION("""COMPUTED_VALUE"""),"Abandoned")</f>
        <v>Abandoned</v>
      </c>
      <c r="F252" s="10">
        <f>IFERROR(__xludf.DUMMYFUNCTION("""COMPUTED_VALUE"""),73.1390425385456)</f>
        <v>73.1390425385456</v>
      </c>
      <c r="G252" s="10">
        <f>IFERROR(__xludf.DUMMYFUNCTION("""COMPUTED_VALUE"""),285.904326088043)</f>
        <v>285.904326088043</v>
      </c>
      <c r="H252" s="10">
        <f>IFERROR(__xludf.DUMMYFUNCTION("""COMPUTED_VALUE"""),1.90551400657811)</f>
        <v>1.90551400657811</v>
      </c>
      <c r="I252" s="13"/>
      <c r="J252" s="13"/>
      <c r="K252" s="13"/>
      <c r="L252" s="13"/>
      <c r="M252" s="1" t="b">
        <f>IFERROR(__xludf.DUMMYFUNCTION("""COMPUTED_VALUE"""),FALSE)</f>
        <v>0</v>
      </c>
      <c r="N252" s="10">
        <f>IFERROR(__xludf.DUMMYFUNCTION("""COMPUTED_VALUE"""),0)</f>
        <v>0</v>
      </c>
      <c r="O252" s="10">
        <f>IFERROR(__xludf.DUMMYFUNCTION("""COMPUTED_VALUE"""),0)</f>
        <v>0</v>
      </c>
      <c r="P252" s="10"/>
      <c r="Q252" s="30"/>
      <c r="R252" s="18"/>
      <c r="S252" s="19"/>
      <c r="T252" s="10"/>
      <c r="U252" s="10"/>
      <c r="V252" s="10"/>
      <c r="W252" s="10"/>
      <c r="X252" s="19"/>
      <c r="Y252" s="1"/>
      <c r="Z252" s="1"/>
      <c r="AA252" s="1"/>
    </row>
    <row r="253" customHeight="1" spans="1:27">
      <c r="A253" s="1" t="str">
        <f>IFERROR(__xludf.DUMMYFUNCTION("""COMPUTED_VALUE"""),"Daymar")</f>
        <v>Daymar</v>
      </c>
      <c r="B253" s="1" t="str">
        <f>IFERROR(__xludf.DUMMYFUNCTION("""COMPUTED_VALUE"""),"Daymar 21")</f>
        <v>Daymar 21</v>
      </c>
      <c r="C253" s="1"/>
      <c r="D253" s="1" t="str">
        <f>IFERROR(__xludf.DUMMYFUNCTION("""COMPUTED_VALUE"""),"Emergency Shelters")</f>
        <v>Emergency Shelters</v>
      </c>
      <c r="E253" s="30"/>
      <c r="F253" s="10"/>
      <c r="G253" s="10"/>
      <c r="H253" s="10"/>
      <c r="I253" s="13"/>
      <c r="J253" s="13"/>
      <c r="K253" s="13"/>
      <c r="L253" s="13"/>
      <c r="M253" s="1"/>
      <c r="N253" s="10"/>
      <c r="O253" s="10"/>
      <c r="P253" s="10"/>
      <c r="Q253" s="30"/>
      <c r="R253" s="18"/>
      <c r="S253" s="19"/>
      <c r="T253" s="10"/>
      <c r="U253" s="10"/>
      <c r="V253" s="10"/>
      <c r="W253" s="10"/>
      <c r="X253" s="19"/>
      <c r="Y253" s="1"/>
      <c r="Z253" s="1"/>
      <c r="AA253" s="1"/>
    </row>
    <row r="254" customHeight="1" spans="1:27">
      <c r="A254" s="1" t="str">
        <f>IFERROR(__xludf.DUMMYFUNCTION("""COMPUTED_VALUE"""),"Daymar 15")</f>
        <v>Daymar 15</v>
      </c>
      <c r="B254" s="1" t="str">
        <f>IFERROR(__xludf.DUMMYFUNCTION("""COMPUTED_VALUE"""),"Daymar 22")</f>
        <v>Daymar 22</v>
      </c>
      <c r="C254" s="1" t="str">
        <f>IFERROR(__xludf.DUMMYFUNCTION("""COMPUTED_VALUE"""),"Daymar 14")</f>
        <v>Daymar 14</v>
      </c>
      <c r="D254" s="1" t="str">
        <f>IFERROR(__xludf.DUMMYFUNCTION("""COMPUTED_VALUE"""),"Dunlow Ridge Aid Shelter")</f>
        <v>Dunlow Ridge Aid Shelter</v>
      </c>
      <c r="E254" s="30" t="str">
        <f>IFERROR(__xludf.DUMMYFUNCTION("""COMPUTED_VALUE"""),"Dunlow")</f>
        <v>Dunlow</v>
      </c>
      <c r="F254" s="10">
        <f>IFERROR(__xludf.DUMMYFUNCTION("""COMPUTED_VALUE"""),-51.8496231568687)</f>
        <v>-51.8496231568687</v>
      </c>
      <c r="G254" s="10">
        <f>IFERROR(__xludf.DUMMYFUNCTION("""COMPUTED_VALUE"""),280.931990013533)</f>
        <v>280.931990013533</v>
      </c>
      <c r="H254" s="10">
        <f>IFERROR(__xludf.DUMMYFUNCTION("""COMPUTED_VALUE"""),75.3312863846513)</f>
        <v>75.3312863846513</v>
      </c>
      <c r="I254" s="13"/>
      <c r="J254" s="13"/>
      <c r="K254" s="13"/>
      <c r="L254" s="13"/>
      <c r="M254" s="1" t="b">
        <f>IFERROR(__xludf.DUMMYFUNCTION("""COMPUTED_VALUE"""),TRUE)</f>
        <v>1</v>
      </c>
      <c r="N254" s="10">
        <f>IFERROR(__xludf.DUMMYFUNCTION("""COMPUTED_VALUE"""),0)</f>
        <v>0</v>
      </c>
      <c r="O254" s="10">
        <f>IFERROR(__xludf.DUMMYFUNCTION("""COMPUTED_VALUE"""),0)</f>
        <v>0</v>
      </c>
      <c r="P254" s="10"/>
      <c r="Q254" s="30"/>
      <c r="R254" s="18"/>
      <c r="S254" s="19"/>
      <c r="T254" s="10"/>
      <c r="U254" s="10"/>
      <c r="V254" s="10"/>
      <c r="W254" s="10"/>
      <c r="X254" s="19"/>
      <c r="Y254" s="1"/>
      <c r="Z254" s="1"/>
      <c r="AA254" s="1"/>
    </row>
    <row r="255" customHeight="1" spans="1:27">
      <c r="A255" s="1" t="str">
        <f>IFERROR(__xludf.DUMMYFUNCTION("""COMPUTED_VALUE"""),"Daymar 16")</f>
        <v>Daymar 16</v>
      </c>
      <c r="B255" s="1" t="str">
        <f>IFERROR(__xludf.DUMMYFUNCTION("""COMPUTED_VALUE"""),"Daymar 23")</f>
        <v>Daymar 23</v>
      </c>
      <c r="C255" s="1" t="str">
        <f>IFERROR(__xludf.DUMMYFUNCTION("""COMPUTED_VALUE"""),"Daymar 44")</f>
        <v>Daymar 44</v>
      </c>
      <c r="D255" s="1" t="str">
        <f>IFERROR(__xludf.DUMMYFUNCTION("""COMPUTED_VALUE"""),"Eager Flats Aid Shelter")</f>
        <v>Eager Flats Aid Shelter</v>
      </c>
      <c r="E255" s="30" t="str">
        <f>IFERROR(__xludf.DUMMYFUNCTION("""COMPUTED_VALUE"""),"Eager")</f>
        <v>Eager</v>
      </c>
      <c r="F255" s="10">
        <f>IFERROR(__xludf.DUMMYFUNCTION("""COMPUTED_VALUE"""),200.545063565929)</f>
        <v>200.545063565929</v>
      </c>
      <c r="G255" s="10">
        <f>IFERROR(__xludf.DUMMYFUNCTION("""COMPUTED_VALUE"""),-104.917273995152)</f>
        <v>-104.917273995152</v>
      </c>
      <c r="H255" s="10">
        <f>IFERROR(__xludf.DUMMYFUNCTION("""COMPUTED_VALUE"""),190.096594760393)</f>
        <v>190.096594760393</v>
      </c>
      <c r="I255" s="13"/>
      <c r="J255" s="13"/>
      <c r="K255" s="13"/>
      <c r="L255" s="13"/>
      <c r="M255" s="1" t="b">
        <f>IFERROR(__xludf.DUMMYFUNCTION("""COMPUTED_VALUE"""),TRUE)</f>
        <v>1</v>
      </c>
      <c r="N255" s="10">
        <f>IFERROR(__xludf.DUMMYFUNCTION("""COMPUTED_VALUE"""),0)</f>
        <v>0</v>
      </c>
      <c r="O255" s="10">
        <f>IFERROR(__xludf.DUMMYFUNCTION("""COMPUTED_VALUE"""),0)</f>
        <v>0</v>
      </c>
      <c r="P255" s="10"/>
      <c r="Q255" s="30"/>
      <c r="R255" s="18"/>
      <c r="S255" s="19"/>
      <c r="T255" s="10"/>
      <c r="U255" s="10"/>
      <c r="V255" s="10"/>
      <c r="W255" s="10"/>
      <c r="X255" s="19"/>
      <c r="Y255" s="1"/>
      <c r="Z255" s="1"/>
      <c r="AA255" s="1"/>
    </row>
    <row r="256" customHeight="1" spans="1:27">
      <c r="A256" s="1" t="str">
        <f>IFERROR(__xludf.DUMMYFUNCTION("""COMPUTED_VALUE"""),"Daymar 17")</f>
        <v>Daymar 17</v>
      </c>
      <c r="B256" s="1" t="str">
        <f>IFERROR(__xludf.DUMMYFUNCTION("""COMPUTED_VALUE"""),"Daymar 24")</f>
        <v>Daymar 24</v>
      </c>
      <c r="C256" s="1" t="str">
        <f>IFERROR(__xludf.DUMMYFUNCTION("""COMPUTED_VALUE"""),"Daymar 72")</f>
        <v>Daymar 72</v>
      </c>
      <c r="D256" s="1" t="str">
        <f>IFERROR(__xludf.DUMMYFUNCTION("""COMPUTED_VALUE"""),"Tamdon Plains Aid Shelter")</f>
        <v>Tamdon Plains Aid Shelter</v>
      </c>
      <c r="E256" s="30" t="str">
        <f>IFERROR(__xludf.DUMMYFUNCTION("""COMPUTED_VALUE"""),"Tamdon")</f>
        <v>Tamdon</v>
      </c>
      <c r="F256" s="10">
        <f>IFERROR(__xludf.DUMMYFUNCTION("""COMPUTED_VALUE"""),-138.113873216395)</f>
        <v>-138.113873216395</v>
      </c>
      <c r="G256" s="10">
        <f>IFERROR(__xludf.DUMMYFUNCTION("""COMPUTED_VALUE"""),-24.4628492934615)</f>
        <v>-24.4628492934615</v>
      </c>
      <c r="H256" s="10">
        <f>IFERROR(__xludf.DUMMYFUNCTION("""COMPUTED_VALUE"""),-259.848699769311)</f>
        <v>-259.848699769311</v>
      </c>
      <c r="I256" s="13"/>
      <c r="J256" s="13"/>
      <c r="K256" s="13"/>
      <c r="L256" s="13"/>
      <c r="M256" s="1" t="b">
        <f>IFERROR(__xludf.DUMMYFUNCTION("""COMPUTED_VALUE"""),TRUE)</f>
        <v>1</v>
      </c>
      <c r="N256" s="10">
        <f>IFERROR(__xludf.DUMMYFUNCTION("""COMPUTED_VALUE"""),0)</f>
        <v>0</v>
      </c>
      <c r="O256" s="10">
        <f>IFERROR(__xludf.DUMMYFUNCTION("""COMPUTED_VALUE"""),0)</f>
        <v>0</v>
      </c>
      <c r="P256" s="10"/>
      <c r="Q256" s="30"/>
      <c r="R256" s="18"/>
      <c r="S256" s="19"/>
      <c r="T256" s="10"/>
      <c r="U256" s="10"/>
      <c r="V256" s="10"/>
      <c r="W256" s="10"/>
      <c r="X256" s="19"/>
      <c r="Y256" s="1"/>
      <c r="Z256" s="1"/>
      <c r="AA256" s="1"/>
    </row>
    <row r="257" customHeight="1" spans="1:27">
      <c r="A257" s="1" t="str">
        <f>IFERROR(__xludf.DUMMYFUNCTION("""COMPUTED_VALUE"""),"Daymar 18")</f>
        <v>Daymar 18</v>
      </c>
      <c r="B257" s="1" t="str">
        <f>IFERROR(__xludf.DUMMYFUNCTION("""COMPUTED_VALUE"""),"Daymar 25")</f>
        <v>Daymar 25</v>
      </c>
      <c r="C257" s="1" t="str">
        <f>IFERROR(__xludf.DUMMYFUNCTION("""COMPUTED_VALUE"""),"Daymar 20")</f>
        <v>Daymar 20</v>
      </c>
      <c r="D257" s="1" t="str">
        <f>IFERROR(__xludf.DUMMYFUNCTION("""COMPUTED_VALUE"""),"Wolf Point Aid Shelter")</f>
        <v>Wolf Point Aid Shelter</v>
      </c>
      <c r="E257" s="30" t="str">
        <f>IFERROR(__xludf.DUMMYFUNCTION("""COMPUTED_VALUE"""),"Wolf")</f>
        <v>Wolf</v>
      </c>
      <c r="F257" s="10">
        <f>IFERROR(__xludf.DUMMYFUNCTION("""COMPUTED_VALUE"""),-4.41978284451699)</f>
        <v>-4.41978284451699</v>
      </c>
      <c r="G257" s="10">
        <f>IFERROR(__xludf.DUMMYFUNCTION("""COMPUTED_VALUE"""),279.066633187614)</f>
        <v>279.066633187614</v>
      </c>
      <c r="H257" s="10">
        <f>IFERROR(__xludf.DUMMYFUNCTION("""COMPUTED_VALUE"""),95.7326590587272)</f>
        <v>95.7326590587272</v>
      </c>
      <c r="I257" s="13"/>
      <c r="J257" s="13"/>
      <c r="K257" s="13"/>
      <c r="L257" s="13"/>
      <c r="M257" s="1" t="b">
        <f>IFERROR(__xludf.DUMMYFUNCTION("""COMPUTED_VALUE"""),TRUE)</f>
        <v>1</v>
      </c>
      <c r="N257" s="10">
        <f>IFERROR(__xludf.DUMMYFUNCTION("""COMPUTED_VALUE"""),0)</f>
        <v>0</v>
      </c>
      <c r="O257" s="10">
        <f>IFERROR(__xludf.DUMMYFUNCTION("""COMPUTED_VALUE"""),0)</f>
        <v>0</v>
      </c>
      <c r="P257" s="10"/>
      <c r="Q257" s="30"/>
      <c r="R257" s="18"/>
      <c r="S257" s="19"/>
      <c r="T257" s="10"/>
      <c r="U257" s="10"/>
      <c r="V257" s="10"/>
      <c r="W257" s="10"/>
      <c r="X257" s="19"/>
      <c r="Y257" s="1"/>
      <c r="Z257" s="1"/>
      <c r="AA257" s="1"/>
    </row>
    <row r="258" customHeight="1" spans="1:27">
      <c r="A258" s="1" t="str">
        <f>IFERROR(__xludf.DUMMYFUNCTION("""COMPUTED_VALUE"""),"Daymar")</f>
        <v>Daymar</v>
      </c>
      <c r="B258" s="1" t="str">
        <f>IFERROR(__xludf.DUMMYFUNCTION("""COMPUTED_VALUE"""),"Daymar 27")</f>
        <v>Daymar 27</v>
      </c>
      <c r="C258" s="1"/>
      <c r="D258" s="1" t="str">
        <f>IFERROR(__xludf.DUMMYFUNCTION("""COMPUTED_VALUE"""),"Racetracks")</f>
        <v>Racetracks</v>
      </c>
      <c r="E258" s="30"/>
      <c r="F258" s="10"/>
      <c r="G258" s="10"/>
      <c r="H258" s="10"/>
      <c r="I258" s="13"/>
      <c r="J258" s="13"/>
      <c r="K258" s="13"/>
      <c r="L258" s="13"/>
      <c r="M258" s="1"/>
      <c r="N258" s="10"/>
      <c r="O258" s="10"/>
      <c r="P258" s="10"/>
      <c r="Q258" s="30"/>
      <c r="R258" s="18"/>
      <c r="S258" s="19"/>
      <c r="T258" s="10"/>
      <c r="U258" s="10"/>
      <c r="V258" s="10"/>
      <c r="W258" s="10"/>
      <c r="X258" s="19"/>
      <c r="Y258" s="1"/>
      <c r="Z258" s="1"/>
      <c r="AA258" s="1"/>
    </row>
    <row r="259" customHeight="1" spans="1:27">
      <c r="A259" s="1" t="str">
        <f>IFERROR(__xludf.DUMMYFUNCTION("""COMPUTED_VALUE"""),"Daymar 22")</f>
        <v>Daymar 22</v>
      </c>
      <c r="B259" s="1" t="str">
        <f>IFERROR(__xludf.DUMMYFUNCTION("""COMPUTED_VALUE"""),"Daymar 28")</f>
        <v>Daymar 28</v>
      </c>
      <c r="C259" s="1" t="str">
        <f>IFERROR(__xludf.DUMMYFUNCTION("""COMPUTED_VALUE"""),"Daymar 09")</f>
        <v>Daymar 09</v>
      </c>
      <c r="D259" s="1" t="str">
        <f>IFERROR(__xludf.DUMMYFUNCTION("""COMPUTED_VALUE"""),"Yadar Valley")</f>
        <v>Yadar Valley</v>
      </c>
      <c r="E259" s="30" t="str">
        <f>IFERROR(__xludf.DUMMYFUNCTION("""COMPUTED_VALUE"""),"Yadar")</f>
        <v>Yadar</v>
      </c>
      <c r="F259" s="10">
        <f>IFERROR(__xludf.DUMMYFUNCTION("""COMPUTED_VALUE"""),-171.7979096)</f>
        <v>-171.7979096</v>
      </c>
      <c r="G259" s="10">
        <f>IFERROR(__xludf.DUMMYFUNCTION("""COMPUTED_VALUE"""),157.576253494)</f>
        <v>157.576253494</v>
      </c>
      <c r="H259" s="10">
        <f>IFERROR(__xludf.DUMMYFUNCTION("""COMPUTED_VALUE"""),181.014665399999)</f>
        <v>181.014665399999</v>
      </c>
      <c r="I259" s="13"/>
      <c r="J259" s="13"/>
      <c r="K259" s="13"/>
      <c r="L259" s="13"/>
      <c r="M259" s="1" t="b">
        <f>IFERROR(__xludf.DUMMYFUNCTION("""COMPUTED_VALUE"""),FALSE)</f>
        <v>0</v>
      </c>
      <c r="N259" s="10">
        <f>IFERROR(__xludf.DUMMYFUNCTION("""COMPUTED_VALUE"""),0)</f>
        <v>0</v>
      </c>
      <c r="O259" s="10">
        <f>IFERROR(__xludf.DUMMYFUNCTION("""COMPUTED_VALUE"""),0)</f>
        <v>0</v>
      </c>
      <c r="P259" s="10"/>
      <c r="Q259" s="30"/>
      <c r="R259" s="18"/>
      <c r="S259" s="19"/>
      <c r="T259" s="10"/>
      <c r="U259" s="10"/>
      <c r="V259" s="10"/>
      <c r="W259" s="10"/>
      <c r="X259" s="19"/>
      <c r="Y259" s="1"/>
      <c r="Z259" s="1"/>
      <c r="AA259" s="1"/>
    </row>
    <row r="260" customHeight="1" spans="1:27">
      <c r="A260" s="1" t="str">
        <f>IFERROR(__xludf.DUMMYFUNCTION("""COMPUTED_VALUE"""),"Daymar")</f>
        <v>Daymar</v>
      </c>
      <c r="B260" s="1" t="str">
        <f>IFERROR(__xludf.DUMMYFUNCTION("""COMPUTED_VALUE"""),"Daymar 30")</f>
        <v>Daymar 30</v>
      </c>
      <c r="C260" s="1"/>
      <c r="D260" s="1" t="str">
        <f>IFERROR(__xludf.DUMMYFUNCTION("""COMPUTED_VALUE"""),"Settlements")</f>
        <v>Settlements</v>
      </c>
      <c r="E260" s="30"/>
      <c r="F260" s="10"/>
      <c r="G260" s="10"/>
      <c r="H260" s="10"/>
      <c r="I260" s="13"/>
      <c r="J260" s="13"/>
      <c r="K260" s="13"/>
      <c r="L260" s="13"/>
      <c r="M260" s="1"/>
      <c r="N260" s="10"/>
      <c r="O260" s="10"/>
      <c r="P260" s="10"/>
      <c r="Q260" s="30"/>
      <c r="R260" s="18"/>
      <c r="S260" s="19"/>
      <c r="T260" s="10"/>
      <c r="U260" s="10"/>
      <c r="V260" s="10"/>
      <c r="W260" s="10"/>
      <c r="X260" s="19"/>
      <c r="Y260" s="1"/>
      <c r="Z260" s="1"/>
      <c r="AA260" s="1"/>
    </row>
    <row r="261" customHeight="1" spans="1:27">
      <c r="A261" s="1" t="str">
        <f>IFERROR(__xludf.DUMMYFUNCTION("""COMPUTED_VALUE"""),"Daymar 23")</f>
        <v>Daymar 23</v>
      </c>
      <c r="B261" s="1" t="str">
        <f>IFERROR(__xludf.DUMMYFUNCTION("""COMPUTED_VALUE"""),"Daymar 31")</f>
        <v>Daymar 31</v>
      </c>
      <c r="C261" s="1" t="str">
        <f>IFERROR(__xludf.DUMMYFUNCTION("""COMPUTED_VALUE"""),"Daymar 30")</f>
        <v>Daymar 30</v>
      </c>
      <c r="D261" s="1" t="str">
        <f>IFERROR(__xludf.DUMMYFUNCTION("""COMPUTED_VALUE"""),"Whistler's Crypt")</f>
        <v>Whistler's Crypt</v>
      </c>
      <c r="E261" s="30" t="str">
        <f>IFERROR(__xludf.DUMMYFUNCTION("""COMPUTED_VALUE"""),"Whistler")</f>
        <v>Whistler</v>
      </c>
      <c r="F261" s="10">
        <f>IFERROR(__xludf.DUMMYFUNCTION("""COMPUTED_VALUE"""),182.233)</f>
        <v>182.233</v>
      </c>
      <c r="G261" s="10">
        <f>IFERROR(__xludf.DUMMYFUNCTION("""COMPUTED_VALUE"""),222.588)</f>
        <v>222.588</v>
      </c>
      <c r="H261" s="10">
        <f>IFERROR(__xludf.DUMMYFUNCTION("""COMPUTED_VALUE"""),65.545)</f>
        <v>65.545</v>
      </c>
      <c r="I261" s="13"/>
      <c r="J261" s="13"/>
      <c r="K261" s="13"/>
      <c r="L261" s="13"/>
      <c r="M261" s="1" t="b">
        <f>IFERROR(__xludf.DUMMYFUNCTION("""COMPUTED_VALUE"""),FALSE)</f>
        <v>0</v>
      </c>
      <c r="N261" s="10">
        <f>IFERROR(__xludf.DUMMYFUNCTION("""COMPUTED_VALUE"""),0)</f>
        <v>0</v>
      </c>
      <c r="O261" s="10">
        <f>IFERROR(__xludf.DUMMYFUNCTION("""COMPUTED_VALUE"""),0)</f>
        <v>0</v>
      </c>
      <c r="P261" s="10"/>
      <c r="Q261" s="30"/>
      <c r="R261" s="18"/>
      <c r="S261" s="19"/>
      <c r="T261" s="10"/>
      <c r="U261" s="10"/>
      <c r="V261" s="10"/>
      <c r="W261" s="10"/>
      <c r="X261" s="19"/>
      <c r="Y261" s="1"/>
      <c r="Z261" s="1"/>
      <c r="AA261" s="1"/>
    </row>
    <row r="262" customHeight="1" spans="1:27">
      <c r="A262" s="1" t="str">
        <f>IFERROR(__xludf.DUMMYFUNCTION("""COMPUTED_VALUE"""),"Daymar 27")</f>
        <v>Daymar 27</v>
      </c>
      <c r="B262" s="1" t="str">
        <f>IFERROR(__xludf.DUMMYFUNCTION("""COMPUTED_VALUE"""),"Daymar 35")</f>
        <v>Daymar 35</v>
      </c>
      <c r="C262" s="1" t="str">
        <f>IFERROR(__xludf.DUMMYFUNCTION("""COMPUTED_VALUE"""),"Daymar 46")</f>
        <v>Daymar 46</v>
      </c>
      <c r="D262" s="1" t="str">
        <f>IFERROR(__xludf.DUMMYFUNCTION("""COMPUTED_VALUE"""),"Settlement 22U")</f>
        <v>Settlement 22U</v>
      </c>
      <c r="E262" s="30" t="str">
        <f>IFERROR(__xludf.DUMMYFUNCTION("""COMPUTED_VALUE"""),"Settlement 22U")</f>
        <v>Settlement 22U</v>
      </c>
      <c r="F262" s="10">
        <f>IFERROR(__xludf.DUMMYFUNCTION("""COMPUTED_VALUE"""),124.959683383)</f>
        <v>124.959683383</v>
      </c>
      <c r="G262" s="10">
        <f>IFERROR(__xludf.DUMMYFUNCTION("""COMPUTED_VALUE"""),-148.641389276)</f>
        <v>-148.641389276</v>
      </c>
      <c r="H262" s="10">
        <f>IFERROR(__xludf.DUMMYFUNCTION("""COMPUTED_VALUE"""),222.355427660999)</f>
        <v>222.355427660999</v>
      </c>
      <c r="I262" s="13"/>
      <c r="J262" s="13"/>
      <c r="K262" s="13"/>
      <c r="L262" s="13"/>
      <c r="M262" s="1" t="b">
        <f>IFERROR(__xludf.DUMMYFUNCTION("""COMPUTED_VALUE"""),FALSE)</f>
        <v>0</v>
      </c>
      <c r="N262" s="10"/>
      <c r="O262" s="10"/>
      <c r="P262" s="10"/>
      <c r="Q262" s="30"/>
      <c r="R262" s="18"/>
      <c r="S262" s="19"/>
      <c r="T262" s="10"/>
      <c r="U262" s="10"/>
      <c r="V262" s="10"/>
      <c r="W262" s="10"/>
      <c r="X262" s="19"/>
      <c r="Y262" s="1"/>
      <c r="Z262" s="1"/>
      <c r="AA262" s="1"/>
    </row>
    <row r="263" customHeight="1" spans="1:27">
      <c r="A263" s="1" t="str">
        <f>IFERROR(__xludf.DUMMYFUNCTION("""COMPUTED_VALUE"""),"Daymar 28")</f>
        <v>Daymar 28</v>
      </c>
      <c r="B263" s="1" t="str">
        <f>IFERROR(__xludf.DUMMYFUNCTION("""COMPUTED_VALUE"""),"Daymar 36")</f>
        <v>Daymar 36</v>
      </c>
      <c r="C263" s="1" t="str">
        <f>IFERROR(__xludf.DUMMYFUNCTION("""COMPUTED_VALUE"""),"Daymar 22")</f>
        <v>Daymar 22</v>
      </c>
      <c r="D263" s="1" t="str">
        <f>IFERROR(__xludf.DUMMYFUNCTION("""COMPUTED_VALUE"""),"Settlement 45U")</f>
        <v>Settlement 45U</v>
      </c>
      <c r="E263" s="30" t="str">
        <f>IFERROR(__xludf.DUMMYFUNCTION("""COMPUTED_VALUE"""),"Settlement 45U")</f>
        <v>Settlement 45U</v>
      </c>
      <c r="F263" s="10">
        <f>IFERROR(__xludf.DUMMYFUNCTION("""COMPUTED_VALUE"""),4.25840597299999)</f>
        <v>4.25840597299999</v>
      </c>
      <c r="G263" s="10">
        <f>IFERROR(__xludf.DUMMYFUNCTION("""COMPUTED_VALUE"""),191.418437493)</f>
        <v>191.418437493</v>
      </c>
      <c r="H263" s="10">
        <f>IFERROR(__xludf.DUMMYFUNCTION("""COMPUTED_VALUE"""),225.000645625)</f>
        <v>225.000645625</v>
      </c>
      <c r="I263" s="13"/>
      <c r="J263" s="13"/>
      <c r="K263" s="13"/>
      <c r="L263" s="13"/>
      <c r="M263" s="1" t="b">
        <f>IFERROR(__xludf.DUMMYFUNCTION("""COMPUTED_VALUE"""),FALSE)</f>
        <v>0</v>
      </c>
      <c r="N263" s="10"/>
      <c r="O263" s="10"/>
      <c r="P263" s="10"/>
      <c r="Q263" s="30"/>
      <c r="R263" s="18"/>
      <c r="S263" s="19"/>
      <c r="T263" s="10"/>
      <c r="U263" s="10"/>
      <c r="V263" s="10"/>
      <c r="W263" s="10"/>
      <c r="X263" s="19"/>
      <c r="Y263" s="1"/>
      <c r="Z263" s="1"/>
      <c r="AA263" s="1"/>
    </row>
    <row r="264" customHeight="1" spans="1:27">
      <c r="A264" s="1" t="str">
        <f>IFERROR(__xludf.DUMMYFUNCTION("""COMPUTED_VALUE"""),"Daymar 26")</f>
        <v>Daymar 26</v>
      </c>
      <c r="B264" s="1" t="str">
        <f>IFERROR(__xludf.DUMMYFUNCTION("""COMPUTED_VALUE"""),"Daymar 34")</f>
        <v>Daymar 34</v>
      </c>
      <c r="C264" s="1" t="str">
        <f>IFERROR(__xludf.DUMMYFUNCTION("""COMPUTED_VALUE"""),"Daymar 47")</f>
        <v>Daymar 47</v>
      </c>
      <c r="D264" s="1" t="str">
        <f>IFERROR(__xludf.DUMMYFUNCTION("""COMPUTED_VALUE"""),"Settlement 22H")</f>
        <v>Settlement 22H</v>
      </c>
      <c r="E264" s="30" t="str">
        <f>IFERROR(__xludf.DUMMYFUNCTION("""COMPUTED_VALUE"""),"Settlement 22H")</f>
        <v>Settlement 22H</v>
      </c>
      <c r="F264" s="10">
        <f>IFERROR(__xludf.DUMMYFUNCTION("""COMPUTED_VALUE"""),157.294227787999)</f>
        <v>157.294227787999</v>
      </c>
      <c r="G264" s="10">
        <f>IFERROR(__xludf.DUMMYFUNCTION("""COMPUTED_VALUE"""),-189.610411583)</f>
        <v>-189.610411583</v>
      </c>
      <c r="H264" s="10">
        <f>IFERROR(__xludf.DUMMYFUNCTION("""COMPUTED_VALUE"""),-162.426784141)</f>
        <v>-162.426784141</v>
      </c>
      <c r="I264" s="13"/>
      <c r="J264" s="13"/>
      <c r="K264" s="13"/>
      <c r="L264" s="13"/>
      <c r="M264" s="1" t="b">
        <f>IFERROR(__xludf.DUMMYFUNCTION("""COMPUTED_VALUE"""),FALSE)</f>
        <v>0</v>
      </c>
      <c r="N264" s="10"/>
      <c r="O264" s="10"/>
      <c r="P264" s="10"/>
      <c r="Q264" s="30"/>
      <c r="R264" s="18"/>
      <c r="S264" s="19"/>
      <c r="T264" s="10"/>
      <c r="U264" s="10"/>
      <c r="V264" s="10"/>
      <c r="W264" s="10"/>
      <c r="X264" s="19"/>
      <c r="Y264" s="1"/>
      <c r="Z264" s="1"/>
      <c r="AA264" s="1"/>
    </row>
    <row r="265" customHeight="1" spans="1:27">
      <c r="A265" s="1" t="str">
        <f>IFERROR(__xludf.DUMMYFUNCTION("""COMPUTED_VALUE"""),"Daymar 29")</f>
        <v>Daymar 29</v>
      </c>
      <c r="B265" s="1" t="str">
        <f>IFERROR(__xludf.DUMMYFUNCTION("""COMPUTED_VALUE"""),"Daymar 37")</f>
        <v>Daymar 37</v>
      </c>
      <c r="C265" s="1" t="str">
        <f>IFERROR(__xludf.DUMMYFUNCTION("""COMPUTED_VALUE"""),"Daymar 06")</f>
        <v>Daymar 06</v>
      </c>
      <c r="D265" s="1" t="str">
        <f>IFERROR(__xludf.DUMMYFUNCTION("""COMPUTED_VALUE"""),"Settlement 56G")</f>
        <v>Settlement 56G</v>
      </c>
      <c r="E265" s="30" t="str">
        <f>IFERROR(__xludf.DUMMYFUNCTION("""COMPUTED_VALUE"""),"Settlement 56G")</f>
        <v>Settlement 56G</v>
      </c>
      <c r="F265" s="10">
        <f>IFERROR(__xludf.DUMMYFUNCTION("""COMPUTED_VALUE"""),-180.21903034)</f>
        <v>-180.21903034</v>
      </c>
      <c r="G265" s="10">
        <f>IFERROR(__xludf.DUMMYFUNCTION("""COMPUTED_VALUE"""),102.450227155999)</f>
        <v>102.450227155999</v>
      </c>
      <c r="H265" s="10">
        <f>IFERROR(__xludf.DUMMYFUNCTION("""COMPUTED_VALUE"""),-209.921362674)</f>
        <v>-209.921362674</v>
      </c>
      <c r="I265" s="13"/>
      <c r="J265" s="13"/>
      <c r="K265" s="13"/>
      <c r="L265" s="13"/>
      <c r="M265" s="1" t="b">
        <f>IFERROR(__xludf.DUMMYFUNCTION("""COMPUTED_VALUE"""),FALSE)</f>
        <v>0</v>
      </c>
      <c r="N265" s="10"/>
      <c r="O265" s="10"/>
      <c r="P265" s="10"/>
      <c r="Q265" s="30"/>
      <c r="R265" s="18"/>
      <c r="S265" s="19"/>
      <c r="T265" s="10"/>
      <c r="U265" s="10"/>
      <c r="V265" s="10"/>
      <c r="W265" s="10"/>
      <c r="X265" s="19"/>
      <c r="Y265" s="1"/>
      <c r="Z265" s="1"/>
      <c r="AA265" s="1"/>
    </row>
    <row r="266" customHeight="1" spans="1:27">
      <c r="A266" s="1" t="str">
        <f>IFERROR(__xludf.DUMMYFUNCTION("""COMPUTED_VALUE"""),"Daymar 24")</f>
        <v>Daymar 24</v>
      </c>
      <c r="B266" s="1" t="str">
        <f>IFERROR(__xludf.DUMMYFUNCTION("""COMPUTED_VALUE"""),"Daymar 32")</f>
        <v>Daymar 32</v>
      </c>
      <c r="C266" s="1" t="str">
        <f>IFERROR(__xludf.DUMMYFUNCTION("""COMPUTED_VALUE"""),"Daymar 63")</f>
        <v>Daymar 63</v>
      </c>
      <c r="D266" s="1" t="str">
        <f>IFERROR(__xludf.DUMMYFUNCTION("""COMPUTED_VALUE"""),"Settlement 08S")</f>
        <v>Settlement 08S</v>
      </c>
      <c r="E266" s="1" t="str">
        <f>IFERROR(__xludf.DUMMYFUNCTION("""COMPUTED_VALUE"""),"Settlement 08S")</f>
        <v>Settlement 08S</v>
      </c>
      <c r="F266" s="2">
        <f>IFERROR(__xludf.DUMMYFUNCTION("""COMPUTED_VALUE"""),-171.120180567)</f>
        <v>-171.120180567</v>
      </c>
      <c r="G266" s="2">
        <f>IFERROR(__xludf.DUMMYFUNCTION("""COMPUTED_VALUE"""),-163.647997459)</f>
        <v>-163.647997459</v>
      </c>
      <c r="H266" s="2">
        <f>IFERROR(__xludf.DUMMYFUNCTION("""COMPUTED_VALUE"""),176.529683862)</f>
        <v>176.529683862</v>
      </c>
      <c r="I266" s="1"/>
      <c r="J266" s="1"/>
      <c r="K266" s="1"/>
      <c r="L266" s="1"/>
      <c r="M266" s="1" t="b">
        <f>IFERROR(__xludf.DUMMYFUNCTION("""COMPUTED_VALUE"""),FALSE)</f>
        <v>0</v>
      </c>
      <c r="N266" s="1"/>
      <c r="O266" s="1"/>
      <c r="P266" s="1"/>
      <c r="Q266" s="1"/>
      <c r="R266" s="1"/>
      <c r="S266" s="1"/>
      <c r="T266" s="1"/>
      <c r="U266" s="1"/>
      <c r="V266" s="1"/>
      <c r="W266" s="1"/>
      <c r="X266" s="1"/>
      <c r="Y266" s="1"/>
      <c r="Z266" s="1"/>
      <c r="AA266" s="1"/>
    </row>
    <row r="267" customHeight="1" spans="1:27">
      <c r="A267" s="1" t="str">
        <f>IFERROR(__xludf.DUMMYFUNCTION("""COMPUTED_VALUE"""),"Daymar 25")</f>
        <v>Daymar 25</v>
      </c>
      <c r="B267" s="1" t="str">
        <f>IFERROR(__xludf.DUMMYFUNCTION("""COMPUTED_VALUE"""),"Daymar 33")</f>
        <v>Daymar 33</v>
      </c>
      <c r="C267" s="1" t="str">
        <f>IFERROR(__xludf.DUMMYFUNCTION("""COMPUTED_VALUE"""),"Daymar 53")</f>
        <v>Daymar 53</v>
      </c>
      <c r="D267" s="1" t="str">
        <f>IFERROR(__xludf.DUMMYFUNCTION("""COMPUTED_VALUE"""),"Settlement 18S")</f>
        <v>Settlement 18S</v>
      </c>
      <c r="E267" s="30" t="str">
        <f>IFERROR(__xludf.DUMMYFUNCTION("""COMPUTED_VALUE"""),"Settlement 18S")</f>
        <v>Settlement 18S</v>
      </c>
      <c r="F267" s="10">
        <f>IFERROR(__xludf.DUMMYFUNCTION("""COMPUTED_VALUE"""),58.3047788839998)</f>
        <v>58.3047788839998</v>
      </c>
      <c r="G267" s="10">
        <f>IFERROR(__xludf.DUMMYFUNCTION("""COMPUTED_VALUE"""),-233.734591893)</f>
        <v>-233.734591893</v>
      </c>
      <c r="H267" s="10">
        <f>IFERROR(__xludf.DUMMYFUNCTION("""COMPUTED_VALUE"""),171.439528446999)</f>
        <v>171.439528446999</v>
      </c>
      <c r="I267" s="13"/>
      <c r="J267" s="13"/>
      <c r="K267" s="13"/>
      <c r="L267" s="13"/>
      <c r="M267" s="1" t="b">
        <f>IFERROR(__xludf.DUMMYFUNCTION("""COMPUTED_VALUE"""),FALSE)</f>
        <v>0</v>
      </c>
      <c r="N267" s="10"/>
      <c r="O267" s="10"/>
      <c r="P267" s="10"/>
      <c r="Q267" s="30"/>
      <c r="R267" s="18"/>
      <c r="S267" s="19"/>
      <c r="T267" s="10"/>
      <c r="U267" s="10"/>
      <c r="V267" s="10"/>
      <c r="W267" s="10"/>
      <c r="X267" s="19"/>
      <c r="Y267" s="1"/>
      <c r="Z267" s="1"/>
      <c r="AA267" s="1"/>
    </row>
    <row r="268" customHeight="1" spans="1:27">
      <c r="A268" s="1" t="str">
        <f>IFERROR(__xludf.DUMMYFUNCTION("""COMPUTED_VALUE"""),"Daymar")</f>
        <v>Daymar</v>
      </c>
      <c r="B268" s="1" t="str">
        <f>IFERROR(__xludf.DUMMYFUNCTION("""COMPUTED_VALUE"""),"Daymar 39")</f>
        <v>Daymar 39</v>
      </c>
      <c r="C268" s="1"/>
      <c r="D268" s="1" t="str">
        <f>IFERROR(__xludf.DUMMYFUNCTION("""COMPUTED_VALUE"""),"Caves")</f>
        <v>Caves</v>
      </c>
      <c r="E268" s="30"/>
      <c r="F268" s="10"/>
      <c r="G268" s="10"/>
      <c r="H268" s="10"/>
      <c r="I268" s="13"/>
      <c r="J268" s="13"/>
      <c r="K268" s="13"/>
      <c r="L268" s="13"/>
      <c r="M268" s="1"/>
      <c r="N268" s="10"/>
      <c r="O268" s="10"/>
      <c r="P268" s="10"/>
      <c r="Q268" s="30"/>
      <c r="R268" s="18"/>
      <c r="S268" s="19"/>
      <c r="T268" s="10"/>
      <c r="U268" s="10"/>
      <c r="V268" s="10"/>
      <c r="W268" s="10"/>
      <c r="X268" s="19"/>
      <c r="Y268" s="1"/>
      <c r="Z268" s="1"/>
      <c r="AA268" s="1"/>
    </row>
    <row r="269" customHeight="1" spans="1:27">
      <c r="A269" s="1" t="str">
        <f>IFERROR(__xludf.DUMMYFUNCTION("""COMPUTED_VALUE"""),"Daymar 19")</f>
        <v>Daymar 19</v>
      </c>
      <c r="B269" s="1" t="str">
        <f>IFERROR(__xludf.DUMMYFUNCTION("""COMPUTED_VALUE"""),"Daymar 40")</f>
        <v>Daymar 40</v>
      </c>
      <c r="C269" s="1" t="str">
        <f>IFERROR(__xludf.DUMMYFUNCTION("""COMPUTED_VALUE"""),"Daymar 52")</f>
        <v>Daymar 52</v>
      </c>
      <c r="D269" s="1" t="str">
        <f>IFERROR(__xludf.DUMMYFUNCTION("""COMPUTED_VALUE"""),"Kudre Ore Mine (Closed)")</f>
        <v>Kudre Ore Mine (Closed)</v>
      </c>
      <c r="E269" s="30" t="str">
        <f>IFERROR(__xludf.DUMMYFUNCTION("""COMPUTED_VALUE"""),"Kudre Cave")</f>
        <v>Kudre Cave</v>
      </c>
      <c r="F269" s="10">
        <f>IFERROR(__xludf.DUMMYFUNCTION("""COMPUTED_VALUE"""),81.0076702389147)</f>
        <v>81.0076702389147</v>
      </c>
      <c r="G269" s="10">
        <f>IFERROR(__xludf.DUMMYFUNCTION("""COMPUTED_VALUE"""),-280.683338081131)</f>
        <v>-280.683338081131</v>
      </c>
      <c r="H269" s="10">
        <f>IFERROR(__xludf.DUMMYFUNCTION("""COMPUTED_VALUE"""),43.6486983371916)</f>
        <v>43.6486983371916</v>
      </c>
      <c r="I269" s="13"/>
      <c r="J269" s="13"/>
      <c r="K269" s="13"/>
      <c r="L269" s="13"/>
      <c r="M269" s="1" t="b">
        <f>IFERROR(__xludf.DUMMYFUNCTION("""COMPUTED_VALUE"""),TRUE)</f>
        <v>1</v>
      </c>
      <c r="N269" s="10">
        <f>IFERROR(__xludf.DUMMYFUNCTION("""COMPUTED_VALUE"""),0)</f>
        <v>0</v>
      </c>
      <c r="O269" s="10">
        <f>IFERROR(__xludf.DUMMYFUNCTION("""COMPUTED_VALUE"""),0)</f>
        <v>0</v>
      </c>
      <c r="P269" s="10"/>
      <c r="Q269" s="30"/>
      <c r="R269" s="18"/>
      <c r="S269" s="19"/>
      <c r="T269" s="10"/>
      <c r="U269" s="10"/>
      <c r="V269" s="10"/>
      <c r="W269" s="10"/>
      <c r="X269" s="19"/>
      <c r="Y269" s="1"/>
      <c r="Z269" s="1"/>
      <c r="AA269" s="1"/>
    </row>
    <row r="270" customHeight="1" spans="1:27">
      <c r="A270" s="1" t="str">
        <f>IFERROR(__xludf.DUMMYFUNCTION("""COMPUTED_VALUE"""),"Daymar 34")</f>
        <v>Daymar 34</v>
      </c>
      <c r="B270" s="1" t="str">
        <f>IFERROR(__xludf.DUMMYFUNCTION("""COMPUTED_VALUE"""),"Daymar 45")</f>
        <v>Daymar 45</v>
      </c>
      <c r="C270" s="1" t="str">
        <f>IFERROR(__xludf.DUMMYFUNCTION("""COMPUTED_VALUE"""),"Daymar 05")</f>
        <v>Daymar 05</v>
      </c>
      <c r="D270" s="1" t="str">
        <f>IFERROR(__xludf.DUMMYFUNCTION("""COMPUTED_VALUE"""),"Rock Cave 57P")</f>
        <v>Rock Cave 57P</v>
      </c>
      <c r="E270" s="30" t="str">
        <f>IFERROR(__xludf.DUMMYFUNCTION("""COMPUTED_VALUE"""),"RCave 57P")</f>
        <v>RCave 57P</v>
      </c>
      <c r="F270" s="10">
        <f>IFERROR(__xludf.DUMMYFUNCTION("""COMPUTED_VALUE"""),-272.652163639452)</f>
        <v>-272.652163639452</v>
      </c>
      <c r="G270" s="10">
        <f>IFERROR(__xludf.DUMMYFUNCTION("""COMPUTED_VALUE"""),102.061596516086)</f>
        <v>102.061596516086</v>
      </c>
      <c r="H270" s="10">
        <f>IFERROR(__xludf.DUMMYFUNCTION("""COMPUTED_VALUE"""),48.6446145996223)</f>
        <v>48.6446145996223</v>
      </c>
      <c r="I270" s="13"/>
      <c r="J270" s="13"/>
      <c r="K270" s="13"/>
      <c r="L270" s="13"/>
      <c r="M270" s="1" t="b">
        <f>IFERROR(__xludf.DUMMYFUNCTION("""COMPUTED_VALUE"""),FALSE)</f>
        <v>0</v>
      </c>
      <c r="N270" s="10">
        <f>IFERROR(__xludf.DUMMYFUNCTION("""COMPUTED_VALUE"""),0)</f>
        <v>0</v>
      </c>
      <c r="O270" s="10">
        <f>IFERROR(__xludf.DUMMYFUNCTION("""COMPUTED_VALUE"""),0)</f>
        <v>0</v>
      </c>
      <c r="P270" s="10"/>
      <c r="Q270" s="30"/>
      <c r="R270" s="18"/>
      <c r="S270" s="19"/>
      <c r="T270" s="10"/>
      <c r="U270" s="10"/>
      <c r="V270" s="10"/>
      <c r="W270" s="10"/>
      <c r="X270" s="19"/>
      <c r="Y270" s="1"/>
      <c r="Z270" s="1"/>
      <c r="AA270" s="1"/>
    </row>
    <row r="271" customHeight="1" spans="1:27">
      <c r="A271" s="1" t="str">
        <f>IFERROR(__xludf.DUMMYFUNCTION("""COMPUTED_VALUE"""),"Daymar 33")</f>
        <v>Daymar 33</v>
      </c>
      <c r="B271" s="1" t="str">
        <f>IFERROR(__xludf.DUMMYFUNCTION("""COMPUTED_VALUE"""),"Daymar 44")</f>
        <v>Daymar 44</v>
      </c>
      <c r="C271" s="1" t="str">
        <f>IFERROR(__xludf.DUMMYFUNCTION("""COMPUTED_VALUE"""),"Daymar 28")</f>
        <v>Daymar 28</v>
      </c>
      <c r="D271" s="1" t="str">
        <f>IFERROR(__xludf.DUMMYFUNCTION("""COMPUTED_VALUE"""),"Rock Cave 42Q")</f>
        <v>Rock Cave 42Q</v>
      </c>
      <c r="E271" s="30" t="str">
        <f>IFERROR(__xludf.DUMMYFUNCTION("""COMPUTED_VALUE"""),"RCave 42Q")</f>
        <v>RCave 42Q</v>
      </c>
      <c r="F271" s="10">
        <f>IFERROR(__xludf.DUMMYFUNCTION("""COMPUTED_VALUE"""),108.060453641311)</f>
        <v>108.060453641311</v>
      </c>
      <c r="G271" s="10">
        <f>IFERROR(__xludf.DUMMYFUNCTION("""COMPUTED_VALUE"""),250.300376195933)</f>
        <v>250.300376195933</v>
      </c>
      <c r="H271" s="10">
        <f>IFERROR(__xludf.DUMMYFUNCTION("""COMPUTED_VALUE"""),113.123828665503)</f>
        <v>113.123828665503</v>
      </c>
      <c r="I271" s="13"/>
      <c r="J271" s="13"/>
      <c r="K271" s="13"/>
      <c r="L271" s="13"/>
      <c r="M271" s="1" t="b">
        <f>IFERROR(__xludf.DUMMYFUNCTION("""COMPUTED_VALUE"""),FALSE)</f>
        <v>0</v>
      </c>
      <c r="N271" s="10">
        <f>IFERROR(__xludf.DUMMYFUNCTION("""COMPUTED_VALUE"""),0)</f>
        <v>0</v>
      </c>
      <c r="O271" s="10">
        <f>IFERROR(__xludf.DUMMYFUNCTION("""COMPUTED_VALUE"""),0)</f>
        <v>0</v>
      </c>
      <c r="P271" s="10"/>
      <c r="Q271" s="30"/>
      <c r="R271" s="18"/>
      <c r="S271" s="19"/>
      <c r="T271" s="10"/>
      <c r="U271" s="10"/>
      <c r="V271" s="10"/>
      <c r="W271" s="10"/>
      <c r="X271" s="19"/>
      <c r="Y271" s="1"/>
      <c r="Z271" s="1"/>
      <c r="AA271" s="1"/>
    </row>
    <row r="272" customHeight="1" spans="1:27">
      <c r="A272" s="1" t="str">
        <f>IFERROR(__xludf.DUMMYFUNCTION("""COMPUTED_VALUE"""),"Daymar 30")</f>
        <v>Daymar 30</v>
      </c>
      <c r="B272" s="1" t="str">
        <f>IFERROR(__xludf.DUMMYFUNCTION("""COMPUTED_VALUE"""),"Daymar 41")</f>
        <v>Daymar 41</v>
      </c>
      <c r="C272" s="1" t="str">
        <f>IFERROR(__xludf.DUMMYFUNCTION("""COMPUTED_VALUE"""),"Daymar 70")</f>
        <v>Daymar 70</v>
      </c>
      <c r="D272" s="1" t="str">
        <f>IFERROR(__xludf.DUMMYFUNCTION("""COMPUTED_VALUE"""),"Rock Cave 03J")</f>
        <v>Rock Cave 03J</v>
      </c>
      <c r="E272" s="30" t="str">
        <f>IFERROR(__xludf.DUMMYFUNCTION("""COMPUTED_VALUE"""),"RCave 03J")</f>
        <v>RCave 03J</v>
      </c>
      <c r="F272" s="10">
        <f>IFERROR(__xludf.DUMMYFUNCTION("""COMPUTED_VALUE"""),-259.27181278496)</f>
        <v>-259.27181278496</v>
      </c>
      <c r="G272" s="10">
        <f>IFERROR(__xludf.DUMMYFUNCTION("""COMPUTED_VALUE"""),-68.9764688258107)</f>
        <v>-68.9764688258107</v>
      </c>
      <c r="H272" s="10">
        <f>IFERROR(__xludf.DUMMYFUNCTION("""COMPUTED_VALUE"""),-122.777164197442)</f>
        <v>-122.777164197442</v>
      </c>
      <c r="I272" s="13"/>
      <c r="J272" s="13"/>
      <c r="K272" s="13"/>
      <c r="L272" s="13"/>
      <c r="M272" s="1" t="b">
        <f>IFERROR(__xludf.DUMMYFUNCTION("""COMPUTED_VALUE"""),FALSE)</f>
        <v>0</v>
      </c>
      <c r="N272" s="10">
        <f>IFERROR(__xludf.DUMMYFUNCTION("""COMPUTED_VALUE"""),0)</f>
        <v>0</v>
      </c>
      <c r="O272" s="10">
        <f>IFERROR(__xludf.DUMMYFUNCTION("""COMPUTED_VALUE"""),0)</f>
        <v>0</v>
      </c>
      <c r="P272" s="10"/>
      <c r="Q272" s="30"/>
      <c r="R272" s="18"/>
      <c r="S272" s="19"/>
      <c r="T272" s="10"/>
      <c r="U272" s="10"/>
      <c r="V272" s="10"/>
      <c r="W272" s="10"/>
      <c r="X272" s="19"/>
      <c r="Y272" s="1"/>
      <c r="Z272" s="1"/>
      <c r="AA272" s="1"/>
    </row>
    <row r="273" customHeight="1" spans="1:27">
      <c r="A273" s="1" t="str">
        <f>IFERROR(__xludf.DUMMYFUNCTION("""COMPUTED_VALUE"""),"Daymar 31")</f>
        <v>Daymar 31</v>
      </c>
      <c r="B273" s="1" t="str">
        <f>IFERROR(__xludf.DUMMYFUNCTION("""COMPUTED_VALUE"""),"Daymar 42")</f>
        <v>Daymar 42</v>
      </c>
      <c r="C273" s="1" t="str">
        <f>IFERROR(__xludf.DUMMYFUNCTION("""COMPUTED_VALUE"""),"Daymar 54")</f>
        <v>Daymar 54</v>
      </c>
      <c r="D273" s="1" t="str">
        <f>IFERROR(__xludf.DUMMYFUNCTION("""COMPUTED_VALUE"""),"Rock Cave 18J")</f>
        <v>Rock Cave 18J</v>
      </c>
      <c r="E273" s="30" t="str">
        <f>IFERROR(__xludf.DUMMYFUNCTION("""COMPUTED_VALUE"""),"RCave 18J")</f>
        <v>RCave 18J</v>
      </c>
      <c r="F273" s="10">
        <f>IFERROR(__xludf.DUMMYFUNCTION("""COMPUTED_VALUE"""),61.88259058123)</f>
        <v>61.88259058123</v>
      </c>
      <c r="G273" s="10">
        <f>IFERROR(__xludf.DUMMYFUNCTION("""COMPUTED_VALUE"""),-249.124565468918)</f>
        <v>-249.124565468918</v>
      </c>
      <c r="H273" s="10">
        <f>IFERROR(__xludf.DUMMYFUNCTION("""COMPUTED_VALUE"""),-145.426564233107)</f>
        <v>-145.426564233107</v>
      </c>
      <c r="I273" s="13"/>
      <c r="J273" s="13"/>
      <c r="K273" s="13"/>
      <c r="L273" s="13"/>
      <c r="M273" s="1" t="b">
        <f>IFERROR(__xludf.DUMMYFUNCTION("""COMPUTED_VALUE"""),FALSE)</f>
        <v>0</v>
      </c>
      <c r="N273" s="10">
        <f>IFERROR(__xludf.DUMMYFUNCTION("""COMPUTED_VALUE"""),0)</f>
        <v>0</v>
      </c>
      <c r="O273" s="10">
        <f>IFERROR(__xludf.DUMMYFUNCTION("""COMPUTED_VALUE"""),0)</f>
        <v>0</v>
      </c>
      <c r="P273" s="10"/>
      <c r="Q273" s="30"/>
      <c r="R273" s="18"/>
      <c r="S273" s="19"/>
      <c r="T273" s="10"/>
      <c r="U273" s="10"/>
      <c r="V273" s="10"/>
      <c r="W273" s="10"/>
      <c r="X273" s="19"/>
      <c r="Y273" s="1"/>
      <c r="Z273" s="1"/>
      <c r="AA273" s="1"/>
    </row>
    <row r="274" customHeight="1" spans="1:27">
      <c r="A274" s="1" t="str">
        <f>IFERROR(__xludf.DUMMYFUNCTION("""COMPUTED_VALUE"""),"Daymar 32")</f>
        <v>Daymar 32</v>
      </c>
      <c r="B274" s="1" t="str">
        <f>IFERROR(__xludf.DUMMYFUNCTION("""COMPUTED_VALUE"""),"Daymar 43")</f>
        <v>Daymar 43</v>
      </c>
      <c r="C274" s="1" t="str">
        <f>IFERROR(__xludf.DUMMYFUNCTION("""COMPUTED_VALUE"""),"Daymar 49")</f>
        <v>Daymar 49</v>
      </c>
      <c r="D274" s="1" t="str">
        <f>IFERROR(__xludf.DUMMYFUNCTION("""COMPUTED_VALUE"""),"Rock Cave 22H")</f>
        <v>Rock Cave 22H</v>
      </c>
      <c r="E274" s="30" t="str">
        <f>IFERROR(__xludf.DUMMYFUNCTION("""COMPUTED_VALUE"""),"RCave 22H")</f>
        <v>RCave 22H</v>
      </c>
      <c r="F274" s="10">
        <f>IFERROR(__xludf.DUMMYFUNCTION("""COMPUTED_VALUE"""),146.356092536804)</f>
        <v>146.356092536804</v>
      </c>
      <c r="G274" s="10">
        <f>IFERROR(__xludf.DUMMYFUNCTION("""COMPUTED_VALUE"""),-177.105889156909)</f>
        <v>-177.105889156909</v>
      </c>
      <c r="H274" s="10">
        <f>IFERROR(__xludf.DUMMYFUNCTION("""COMPUTED_VALUE"""),-185.069701590894)</f>
        <v>-185.069701590894</v>
      </c>
      <c r="I274" s="13"/>
      <c r="J274" s="13"/>
      <c r="K274" s="13"/>
      <c r="L274" s="13"/>
      <c r="M274" s="1" t="b">
        <f>IFERROR(__xludf.DUMMYFUNCTION("""COMPUTED_VALUE"""),FALSE)</f>
        <v>0</v>
      </c>
      <c r="N274" s="10">
        <f>IFERROR(__xludf.DUMMYFUNCTION("""COMPUTED_VALUE"""),0)</f>
        <v>0</v>
      </c>
      <c r="O274" s="10">
        <f>IFERROR(__xludf.DUMMYFUNCTION("""COMPUTED_VALUE"""),0)</f>
        <v>0</v>
      </c>
      <c r="P274" s="10"/>
      <c r="Q274" s="30"/>
      <c r="R274" s="18"/>
      <c r="S274" s="19"/>
      <c r="T274" s="10"/>
      <c r="U274" s="10"/>
      <c r="V274" s="10"/>
      <c r="W274" s="10"/>
      <c r="X274" s="19"/>
      <c r="Y274" s="1"/>
      <c r="Z274" s="1"/>
      <c r="AA274" s="1"/>
    </row>
    <row r="275" customHeight="1" spans="1:27">
      <c r="A275" s="1" t="str">
        <f>IFERROR(__xludf.DUMMYFUNCTION("""COMPUTED_VALUE"""),"Daymar 48")</f>
        <v>Daymar 48</v>
      </c>
      <c r="B275" s="1" t="str">
        <f>IFERROR(__xludf.DUMMYFUNCTION("""COMPUTED_VALUE"""),"Daymar 59")</f>
        <v>Daymar 59</v>
      </c>
      <c r="C275" s="1" t="str">
        <f>IFERROR(__xludf.DUMMYFUNCTION("""COMPUTED_VALUE"""),"Daymar 42")</f>
        <v>Daymar 42</v>
      </c>
      <c r="D275" s="1" t="str">
        <f>IFERROR(__xludf.DUMMYFUNCTION("""COMPUTED_VALUE"""),"Sand Cave 26W-306")</f>
        <v>Sand Cave 26W-306</v>
      </c>
      <c r="E275" s="30" t="str">
        <f>IFERROR(__xludf.DUMMYFUNCTION("""COMPUTED_VALUE"""),"SCave 26W306")</f>
        <v>SCave 26W306</v>
      </c>
      <c r="F275" s="10">
        <f>IFERROR(__xludf.DUMMYFUNCTION("""COMPUTED_VALUE"""),94.703698105)</f>
        <v>94.703698105</v>
      </c>
      <c r="G275" s="10">
        <f>IFERROR(__xludf.DUMMYFUNCTION("""COMPUTED_VALUE"""),-48.9156427899999)</f>
        <v>-48.9156427899999</v>
      </c>
      <c r="H275" s="10">
        <f>IFERROR(__xludf.DUMMYFUNCTION("""COMPUTED_VALUE"""),275.455950373)</f>
        <v>275.455950373</v>
      </c>
      <c r="I275" s="13"/>
      <c r="J275" s="13"/>
      <c r="K275" s="13"/>
      <c r="L275" s="13"/>
      <c r="M275" s="1" t="b">
        <f>IFERROR(__xludf.DUMMYFUNCTION("""COMPUTED_VALUE"""),FALSE)</f>
        <v>0</v>
      </c>
      <c r="N275" s="10"/>
      <c r="O275" s="10"/>
      <c r="P275" s="10"/>
      <c r="Q275" s="30"/>
      <c r="R275" s="18"/>
      <c r="S275" s="19"/>
      <c r="T275" s="10"/>
      <c r="U275" s="10"/>
      <c r="V275" s="10"/>
      <c r="W275" s="10"/>
      <c r="X275" s="19"/>
      <c r="Y275" s="1"/>
      <c r="Z275" s="1"/>
      <c r="AA275" s="1"/>
    </row>
    <row r="276" customHeight="1" spans="1:27">
      <c r="A276" s="1" t="str">
        <f>IFERROR(__xludf.DUMMYFUNCTION("""COMPUTED_VALUE"""),"Daymar 52")</f>
        <v>Daymar 52</v>
      </c>
      <c r="B276" s="1" t="str">
        <f>IFERROR(__xludf.DUMMYFUNCTION("""COMPUTED_VALUE"""),"Daymar 63")</f>
        <v>Daymar 63</v>
      </c>
      <c r="C276" s="1" t="str">
        <f>IFERROR(__xludf.DUMMYFUNCTION("""COMPUTED_VALUE"""),"Daymar 32")</f>
        <v>Daymar 32</v>
      </c>
      <c r="D276" s="1" t="str">
        <f>IFERROR(__xludf.DUMMYFUNCTION("""COMPUTED_VALUE"""),"Sand Cave 37H")</f>
        <v>Sand Cave 37H</v>
      </c>
      <c r="E276" s="30" t="str">
        <f>IFERROR(__xludf.DUMMYFUNCTION("""COMPUTED_VALUE"""),"SCave 37H")</f>
        <v>SCave 37H</v>
      </c>
      <c r="F276" s="10">
        <f>IFERROR(__xludf.DUMMYFUNCTION("""COMPUTED_VALUE"""),193.895761441)</f>
        <v>193.895761441</v>
      </c>
      <c r="G276" s="10">
        <f>IFERROR(__xludf.DUMMYFUNCTION("""COMPUTED_VALUE"""),150.95448894)</f>
        <v>150.95448894</v>
      </c>
      <c r="H276" s="10">
        <f>IFERROR(__xludf.DUMMYFUNCTION("""COMPUTED_VALUE"""),-163.815470028)</f>
        <v>-163.815470028</v>
      </c>
      <c r="I276" s="13"/>
      <c r="J276" s="13"/>
      <c r="K276" s="13"/>
      <c r="L276" s="13"/>
      <c r="M276" s="1" t="b">
        <f>IFERROR(__xludf.DUMMYFUNCTION("""COMPUTED_VALUE"""),FALSE)</f>
        <v>0</v>
      </c>
      <c r="N276" s="10"/>
      <c r="O276" s="10"/>
      <c r="P276" s="10"/>
      <c r="Q276" s="30"/>
      <c r="R276" s="18"/>
      <c r="S276" s="19"/>
      <c r="T276" s="10"/>
      <c r="U276" s="10"/>
      <c r="V276" s="10"/>
      <c r="W276" s="10"/>
      <c r="X276" s="19"/>
      <c r="Y276" s="1"/>
      <c r="Z276" s="1"/>
      <c r="AA276" s="1"/>
    </row>
    <row r="277" customHeight="1" spans="1:27">
      <c r="A277" s="1" t="str">
        <f>IFERROR(__xludf.DUMMYFUNCTION("""COMPUTED_VALUE"""),"Daymar 39")</f>
        <v>Daymar 39</v>
      </c>
      <c r="B277" s="1" t="str">
        <f>IFERROR(__xludf.DUMMYFUNCTION("""COMPUTED_VALUE"""),"Daymar 50")</f>
        <v>Daymar 50</v>
      </c>
      <c r="C277" s="1" t="str">
        <f>IFERROR(__xludf.DUMMYFUNCTION("""COMPUTED_VALUE"""),"Daymar 66")</f>
        <v>Daymar 66</v>
      </c>
      <c r="D277" s="1" t="str">
        <f>IFERROR(__xludf.DUMMYFUNCTION("""COMPUTED_VALUE"""),"Sand Cave 07U")</f>
        <v>Sand Cave 07U</v>
      </c>
      <c r="E277" s="30" t="str">
        <f>IFERROR(__xludf.DUMMYFUNCTION("""COMPUTED_VALUE"""),"SCave 07U")</f>
        <v>SCave 07U</v>
      </c>
      <c r="F277" s="10">
        <f>IFERROR(__xludf.DUMMYFUNCTION("""COMPUTED_VALUE"""),-135.061539033)</f>
        <v>-135.061539033</v>
      </c>
      <c r="G277" s="10">
        <f>IFERROR(__xludf.DUMMYFUNCTION("""COMPUTED_VALUE"""),-105.570169559999)</f>
        <v>-105.570169559999</v>
      </c>
      <c r="H277" s="10">
        <f>IFERROR(__xludf.DUMMYFUNCTION("""COMPUTED_VALUE"""),240.678741274)</f>
        <v>240.678741274</v>
      </c>
      <c r="I277" s="13"/>
      <c r="J277" s="13"/>
      <c r="K277" s="13"/>
      <c r="L277" s="13"/>
      <c r="M277" s="1" t="b">
        <f>IFERROR(__xludf.DUMMYFUNCTION("""COMPUTED_VALUE"""),FALSE)</f>
        <v>0</v>
      </c>
      <c r="N277" s="10"/>
      <c r="O277" s="10"/>
      <c r="P277" s="10"/>
      <c r="Q277" s="30"/>
      <c r="R277" s="18"/>
      <c r="S277" s="19"/>
      <c r="T277" s="10"/>
      <c r="U277" s="10"/>
      <c r="V277" s="10"/>
      <c r="W277" s="10"/>
      <c r="X277" s="19"/>
      <c r="Y277" s="1"/>
      <c r="Z277" s="1"/>
      <c r="AA277" s="1"/>
    </row>
    <row r="278" customHeight="1" spans="1:27">
      <c r="A278" s="1" t="str">
        <f>IFERROR(__xludf.DUMMYFUNCTION("""COMPUTED_VALUE"""),"Daymar 47")</f>
        <v>Daymar 47</v>
      </c>
      <c r="B278" s="1" t="str">
        <f>IFERROR(__xludf.DUMMYFUNCTION("""COMPUTED_VALUE"""),"Daymar 58")</f>
        <v>Daymar 58</v>
      </c>
      <c r="C278" s="1" t="str">
        <f>IFERROR(__xludf.DUMMYFUNCTION("""COMPUTED_VALUE"""),"Daymar 43")</f>
        <v>Daymar 43</v>
      </c>
      <c r="D278" s="1" t="str">
        <f>IFERROR(__xludf.DUMMYFUNCTION("""COMPUTED_VALUE"""),"Sand Cave 26W-305")</f>
        <v>Sand Cave 26W-305</v>
      </c>
      <c r="E278" s="30" t="str">
        <f>IFERROR(__xludf.DUMMYFUNCTION("""COMPUTED_VALUE"""),"SCave 26W305")</f>
        <v>SCave 26W305</v>
      </c>
      <c r="F278" s="10">
        <f>IFERROR(__xludf.DUMMYFUNCTION("""COMPUTED_VALUE"""),104.782787075999)</f>
        <v>104.782787075999</v>
      </c>
      <c r="G278" s="10">
        <f>IFERROR(__xludf.DUMMYFUNCTION("""COMPUTED_VALUE"""),-54.620319293)</f>
        <v>-54.620319293</v>
      </c>
      <c r="H278" s="10">
        <f>IFERROR(__xludf.DUMMYFUNCTION("""COMPUTED_VALUE"""),270.343699932)</f>
        <v>270.343699932</v>
      </c>
      <c r="I278" s="13"/>
      <c r="J278" s="13"/>
      <c r="K278" s="13"/>
      <c r="L278" s="13"/>
      <c r="M278" s="1" t="b">
        <f>IFERROR(__xludf.DUMMYFUNCTION("""COMPUTED_VALUE"""),FALSE)</f>
        <v>0</v>
      </c>
      <c r="N278" s="10"/>
      <c r="O278" s="10"/>
      <c r="P278" s="10"/>
      <c r="Q278" s="30"/>
      <c r="R278" s="18"/>
      <c r="S278" s="19"/>
      <c r="T278" s="10"/>
      <c r="U278" s="10"/>
      <c r="V278" s="10"/>
      <c r="W278" s="10"/>
      <c r="X278" s="19"/>
      <c r="Y278" s="1"/>
      <c r="Z278" s="1"/>
      <c r="AA278" s="1"/>
    </row>
    <row r="279" customHeight="1" spans="1:27">
      <c r="A279" s="1" t="str">
        <f>IFERROR(__xludf.DUMMYFUNCTION("""COMPUTED_VALUE"""),"Daymar 60")</f>
        <v>Daymar 60</v>
      </c>
      <c r="B279" s="1" t="str">
        <f>IFERROR(__xludf.DUMMYFUNCTION("""COMPUTED_VALUE"""),"Daymar 71")</f>
        <v>Daymar 71</v>
      </c>
      <c r="C279" s="1" t="str">
        <f>IFERROR(__xludf.DUMMYFUNCTION("""COMPUTED_VALUE"""),"Daymar 10")</f>
        <v>Daymar 10</v>
      </c>
      <c r="D279" s="1" t="str">
        <f>IFERROR(__xludf.DUMMYFUNCTION("""COMPUTED_VALUE"""),"Sand Cave 51H")</f>
        <v>Sand Cave 51H</v>
      </c>
      <c r="E279" s="30" t="str">
        <f>IFERROR(__xludf.DUMMYFUNCTION("""COMPUTED_VALUE"""),"SCave 51H")</f>
        <v>SCave 51H</v>
      </c>
      <c r="F279" s="10">
        <f>IFERROR(__xludf.DUMMYFUNCTION("""COMPUTED_VALUE"""),-120.896937773)</f>
        <v>-120.896937773</v>
      </c>
      <c r="G279" s="10">
        <f>IFERROR(__xludf.DUMMYFUNCTION("""COMPUTED_VALUE"""),206.520738225999)</f>
        <v>206.520738225999</v>
      </c>
      <c r="H279" s="10">
        <f>IFERROR(__xludf.DUMMYFUNCTION("""COMPUTED_VALUE"""),-172.837167745)</f>
        <v>-172.837167745</v>
      </c>
      <c r="I279" s="13"/>
      <c r="J279" s="13"/>
      <c r="K279" s="13"/>
      <c r="L279" s="13"/>
      <c r="M279" s="1" t="b">
        <f>IFERROR(__xludf.DUMMYFUNCTION("""COMPUTED_VALUE"""),FALSE)</f>
        <v>0</v>
      </c>
      <c r="N279" s="10"/>
      <c r="O279" s="10"/>
      <c r="P279" s="10"/>
      <c r="Q279" s="30"/>
      <c r="R279" s="18"/>
      <c r="S279" s="19"/>
      <c r="T279" s="10"/>
      <c r="U279" s="10"/>
      <c r="V279" s="10"/>
      <c r="W279" s="10"/>
      <c r="X279" s="19"/>
      <c r="Y279" s="1"/>
      <c r="Z279" s="1"/>
      <c r="AA279" s="1"/>
    </row>
    <row r="280" customHeight="1" spans="1:27">
      <c r="A280" s="1" t="str">
        <f>IFERROR(__xludf.DUMMYFUNCTION("""COMPUTED_VALUE"""),"Daymar 49")</f>
        <v>Daymar 49</v>
      </c>
      <c r="B280" s="1" t="str">
        <f>IFERROR(__xludf.DUMMYFUNCTION("""COMPUTED_VALUE"""),"Daymar 60")</f>
        <v>Daymar 60</v>
      </c>
      <c r="C280" s="1" t="str">
        <f>IFERROR(__xludf.DUMMYFUNCTION("""COMPUTED_VALUE"""),"Daymar 40")</f>
        <v>Daymar 40</v>
      </c>
      <c r="D280" s="1" t="str">
        <f>IFERROR(__xludf.DUMMYFUNCTION("""COMPUTED_VALUE"""),"Sand Cave 29K")</f>
        <v>Sand Cave 29K</v>
      </c>
      <c r="E280" s="30" t="str">
        <f>IFERROR(__xludf.DUMMYFUNCTION("""COMPUTED_VALUE"""),"SCave 29K")</f>
        <v>SCave 29K</v>
      </c>
      <c r="F280" s="10">
        <f>IFERROR(__xludf.DUMMYFUNCTION("""COMPUTED_VALUE"""),269.995081695)</f>
        <v>269.995081695</v>
      </c>
      <c r="G280" s="10">
        <f>IFERROR(__xludf.DUMMYFUNCTION("""COMPUTED_VALUE"""),-37.160661351)</f>
        <v>-37.160661351</v>
      </c>
      <c r="H280" s="10">
        <f>IFERROR(__xludf.DUMMYFUNCTION("""COMPUTED_VALUE"""),-114.388437142)</f>
        <v>-114.388437142</v>
      </c>
      <c r="I280" s="13"/>
      <c r="J280" s="13"/>
      <c r="K280" s="13"/>
      <c r="L280" s="13"/>
      <c r="M280" s="1" t="b">
        <f>IFERROR(__xludf.DUMMYFUNCTION("""COMPUTED_VALUE"""),FALSE)</f>
        <v>0</v>
      </c>
      <c r="N280" s="10"/>
      <c r="O280" s="10"/>
      <c r="P280" s="10"/>
      <c r="Q280" s="30"/>
      <c r="R280" s="18"/>
      <c r="S280" s="19"/>
      <c r="T280" s="10"/>
      <c r="U280" s="10"/>
      <c r="V280" s="10"/>
      <c r="W280" s="10"/>
      <c r="X280" s="19"/>
      <c r="Y280" s="1"/>
      <c r="Z280" s="1"/>
      <c r="AA280" s="1"/>
    </row>
    <row r="281" customHeight="1" spans="1:27">
      <c r="A281" s="1" t="str">
        <f>IFERROR(__xludf.DUMMYFUNCTION("""COMPUTED_VALUE"""),"Daymar 46")</f>
        <v>Daymar 46</v>
      </c>
      <c r="B281" s="1" t="str">
        <f>IFERROR(__xludf.DUMMYFUNCTION("""COMPUTED_VALUE"""),"Daymar 57")</f>
        <v>Daymar 57</v>
      </c>
      <c r="C281" s="1" t="str">
        <f>IFERROR(__xludf.DUMMYFUNCTION("""COMPUTED_VALUE"""),"Daymar 41")</f>
        <v>Daymar 41</v>
      </c>
      <c r="D281" s="1" t="str">
        <f>IFERROR(__xludf.DUMMYFUNCTION("""COMPUTED_VALUE"""),"Sand Cave 26K")</f>
        <v>Sand Cave 26K</v>
      </c>
      <c r="E281" s="30" t="str">
        <f>IFERROR(__xludf.DUMMYFUNCTION("""COMPUTED_VALUE"""),"SCave 26K")</f>
        <v>SCave 26K</v>
      </c>
      <c r="F281" s="10">
        <f>IFERROR(__xludf.DUMMYFUNCTION("""COMPUTED_VALUE"""),254.473932353)</f>
        <v>254.473932353</v>
      </c>
      <c r="G281" s="10">
        <f>IFERROR(__xludf.DUMMYFUNCTION("""COMPUTED_VALUE"""),-117.367807036)</f>
        <v>-117.367807036</v>
      </c>
      <c r="H281" s="10">
        <f>IFERROR(__xludf.DUMMYFUNCTION("""COMPUTED_VALUE"""),-92.8200432989998)</f>
        <v>-92.8200432989998</v>
      </c>
      <c r="I281" s="13"/>
      <c r="J281" s="13"/>
      <c r="K281" s="13"/>
      <c r="L281" s="13"/>
      <c r="M281" s="1" t="b">
        <f>IFERROR(__xludf.DUMMYFUNCTION("""COMPUTED_VALUE"""),FALSE)</f>
        <v>0</v>
      </c>
      <c r="N281" s="10"/>
      <c r="O281" s="10"/>
      <c r="P281" s="10"/>
      <c r="Q281" s="30"/>
      <c r="R281" s="18"/>
      <c r="S281" s="19"/>
      <c r="T281" s="10"/>
      <c r="U281" s="10"/>
      <c r="V281" s="10"/>
      <c r="W281" s="10"/>
      <c r="X281" s="19"/>
      <c r="Y281" s="1"/>
      <c r="Z281" s="1"/>
      <c r="AA281" s="1"/>
    </row>
    <row r="282" customHeight="1" spans="1:27">
      <c r="A282" s="1" t="str">
        <f>IFERROR(__xludf.DUMMYFUNCTION("""COMPUTED_VALUE"""),"Daymar 45")</f>
        <v>Daymar 45</v>
      </c>
      <c r="B282" s="1" t="str">
        <f>IFERROR(__xludf.DUMMYFUNCTION("""COMPUTED_VALUE"""),"Daymar 56")</f>
        <v>Daymar 56</v>
      </c>
      <c r="C282" s="1" t="str">
        <f>IFERROR(__xludf.DUMMYFUNCTION("""COMPUTED_VALUE"""),"Daymar 51")</f>
        <v>Daymar 51</v>
      </c>
      <c r="D282" s="1" t="str">
        <f>IFERROR(__xludf.DUMMYFUNCTION("""COMPUTED_VALUE"""),"Sand Cave 20P")</f>
        <v>Sand Cave 20P</v>
      </c>
      <c r="E282" s="30" t="str">
        <f>IFERROR(__xludf.DUMMYFUNCTION("""COMPUTED_VALUE"""),"SCave 20P")</f>
        <v>SCave 20P</v>
      </c>
      <c r="F282" s="10">
        <f>IFERROR(__xludf.DUMMYFUNCTION("""COMPUTED_VALUE"""),130.924424524)</f>
        <v>130.924424524</v>
      </c>
      <c r="G282" s="10">
        <f>IFERROR(__xludf.DUMMYFUNCTION("""COMPUTED_VALUE"""),-259.374254282)</f>
        <v>-259.374254282</v>
      </c>
      <c r="H282" s="10">
        <f>IFERROR(__xludf.DUMMYFUNCTION("""COMPUTED_VALUE"""),52.0052411199998)</f>
        <v>52.0052411199998</v>
      </c>
      <c r="I282" s="13"/>
      <c r="J282" s="13"/>
      <c r="K282" s="13"/>
      <c r="L282" s="13"/>
      <c r="M282" s="1" t="b">
        <f>IFERROR(__xludf.DUMMYFUNCTION("""COMPUTED_VALUE"""),FALSE)</f>
        <v>0</v>
      </c>
      <c r="N282" s="10"/>
      <c r="O282" s="10"/>
      <c r="P282" s="10"/>
      <c r="Q282" s="30"/>
      <c r="R282" s="18"/>
      <c r="S282" s="19"/>
      <c r="T282" s="10"/>
      <c r="U282" s="10"/>
      <c r="V282" s="10"/>
      <c r="W282" s="10"/>
      <c r="X282" s="19"/>
      <c r="Y282" s="1"/>
      <c r="Z282" s="1"/>
      <c r="AA282" s="1"/>
    </row>
    <row r="283" customHeight="1" spans="1:27">
      <c r="A283" s="1" t="str">
        <f>IFERROR(__xludf.DUMMYFUNCTION("""COMPUTED_VALUE"""),"Daymar 41")</f>
        <v>Daymar 41</v>
      </c>
      <c r="B283" s="1" t="str">
        <f>IFERROR(__xludf.DUMMYFUNCTION("""COMPUTED_VALUE"""),"Daymar 52")</f>
        <v>Daymar 52</v>
      </c>
      <c r="C283" s="1" t="str">
        <f>IFERROR(__xludf.DUMMYFUNCTION("""COMPUTED_VALUE"""),"Daymar 61")</f>
        <v>Daymar 61</v>
      </c>
      <c r="D283" s="1" t="str">
        <f>IFERROR(__xludf.DUMMYFUNCTION("""COMPUTED_VALUE"""),"Sand Cave 11M")</f>
        <v>Sand Cave 11M</v>
      </c>
      <c r="E283" s="30" t="str">
        <f>IFERROR(__xludf.DUMMYFUNCTION("""COMPUTED_VALUE"""),"SCave 11M")</f>
        <v>SCave 11M</v>
      </c>
      <c r="F283" s="10">
        <f>IFERROR(__xludf.DUMMYFUNCTION("""COMPUTED_VALUE"""),-128.787395598)</f>
        <v>-128.787395598</v>
      </c>
      <c r="G283" s="10">
        <f>IFERROR(__xludf.DUMMYFUNCTION("""COMPUTED_VALUE"""),-265.681916571)</f>
        <v>-265.681916571</v>
      </c>
      <c r="H283" s="10">
        <f>IFERROR(__xludf.DUMMYFUNCTION("""COMPUTED_VALUE"""),-7.48585235399999)</f>
        <v>-7.48585235399999</v>
      </c>
      <c r="I283" s="13"/>
      <c r="J283" s="13"/>
      <c r="K283" s="13"/>
      <c r="L283" s="13"/>
      <c r="M283" s="1" t="b">
        <f>IFERROR(__xludf.DUMMYFUNCTION("""COMPUTED_VALUE"""),FALSE)</f>
        <v>0</v>
      </c>
      <c r="N283" s="10"/>
      <c r="O283" s="10"/>
      <c r="P283" s="10"/>
      <c r="Q283" s="30"/>
      <c r="R283" s="18"/>
      <c r="S283" s="19"/>
      <c r="T283" s="10"/>
      <c r="U283" s="10"/>
      <c r="V283" s="10"/>
      <c r="W283" s="10"/>
      <c r="X283" s="19"/>
      <c r="Y283" s="1"/>
      <c r="Z283" s="1"/>
      <c r="AA283" s="1"/>
    </row>
    <row r="284" customHeight="1" spans="1:27">
      <c r="A284" s="1" t="str">
        <f>IFERROR(__xludf.DUMMYFUNCTION("""COMPUTED_VALUE"""),"Daymar 38")</f>
        <v>Daymar 38</v>
      </c>
      <c r="B284" s="1" t="str">
        <f>IFERROR(__xludf.DUMMYFUNCTION("""COMPUTED_VALUE"""),"Daymar 49")</f>
        <v>Daymar 49</v>
      </c>
      <c r="C284" s="1" t="str">
        <f>IFERROR(__xludf.DUMMYFUNCTION("""COMPUTED_VALUE"""),"Daymar 67")</f>
        <v>Daymar 67</v>
      </c>
      <c r="D284" s="1" t="str">
        <f>IFERROR(__xludf.DUMMYFUNCTION("""COMPUTED_VALUE"""),"Sand Cave 05N")</f>
        <v>Sand Cave 05N</v>
      </c>
      <c r="E284" s="30" t="str">
        <f>IFERROR(__xludf.DUMMYFUNCTION("""COMPUTED_VALUE"""),"SCave 05N")</f>
        <v>SCave 05N</v>
      </c>
      <c r="F284" s="10">
        <f>IFERROR(__xludf.DUMMYFUNCTION("""COMPUTED_VALUE"""),-255.99513398)</f>
        <v>-255.99513398</v>
      </c>
      <c r="G284" s="10">
        <f>IFERROR(__xludf.DUMMYFUNCTION("""COMPUTED_VALUE"""),-142.165036414)</f>
        <v>-142.165036414</v>
      </c>
      <c r="H284" s="10">
        <f>IFERROR(__xludf.DUMMYFUNCTION("""COMPUTED_VALUE"""),36.2082418029999)</f>
        <v>36.2082418029999</v>
      </c>
      <c r="I284" s="13"/>
      <c r="J284" s="13"/>
      <c r="K284" s="13"/>
      <c r="L284" s="13"/>
      <c r="M284" s="1" t="b">
        <f>IFERROR(__xludf.DUMMYFUNCTION("""COMPUTED_VALUE"""),FALSE)</f>
        <v>0</v>
      </c>
      <c r="N284" s="10"/>
      <c r="O284" s="10"/>
      <c r="P284" s="10"/>
      <c r="Q284" s="30"/>
      <c r="R284" s="18"/>
      <c r="S284" s="19"/>
      <c r="T284" s="10"/>
      <c r="U284" s="10"/>
      <c r="V284" s="10"/>
      <c r="W284" s="10"/>
      <c r="X284" s="19"/>
      <c r="Y284" s="1"/>
      <c r="Z284" s="1"/>
      <c r="AA284" s="1"/>
    </row>
    <row r="285" customHeight="1" spans="1:27">
      <c r="A285" s="1" t="str">
        <f>IFERROR(__xludf.DUMMYFUNCTION("""COMPUTED_VALUE"""),"Daymar 63")</f>
        <v>Daymar 63</v>
      </c>
      <c r="B285" s="1" t="str">
        <f>IFERROR(__xludf.DUMMYFUNCTION("""COMPUTED_VALUE"""),"Daymar 74")</f>
        <v>Daymar 74</v>
      </c>
      <c r="C285" s="1" t="str">
        <f>IFERROR(__xludf.DUMMYFUNCTION("""COMPUTED_VALUE"""),"Daymar 02")</f>
        <v>Daymar 02</v>
      </c>
      <c r="D285" s="1" t="str">
        <f>IFERROR(__xludf.DUMMYFUNCTION("""COMPUTED_VALUE"""),"Sand Cave 59L")</f>
        <v>Sand Cave 59L</v>
      </c>
      <c r="E285" s="30" t="str">
        <f>IFERROR(__xludf.DUMMYFUNCTION("""COMPUTED_VALUE"""),"SCave 59L")</f>
        <v>SCave 59L</v>
      </c>
      <c r="F285" s="10">
        <f>IFERROR(__xludf.DUMMYFUNCTION("""COMPUTED_VALUE"""),-283.731842295999)</f>
        <v>-283.731842295999</v>
      </c>
      <c r="G285" s="10">
        <f>IFERROR(__xludf.DUMMYFUNCTION("""COMPUTED_VALUE"""),54.104315044)</f>
        <v>54.104315044</v>
      </c>
      <c r="H285" s="10">
        <f>IFERROR(__xludf.DUMMYFUNCTION("""COMPUTED_VALUE"""),-60.1727223109999)</f>
        <v>-60.1727223109999</v>
      </c>
      <c r="I285" s="13"/>
      <c r="J285" s="13"/>
      <c r="K285" s="13"/>
      <c r="L285" s="13"/>
      <c r="M285" s="1" t="b">
        <f>IFERROR(__xludf.DUMMYFUNCTION("""COMPUTED_VALUE"""),FALSE)</f>
        <v>0</v>
      </c>
      <c r="N285" s="10"/>
      <c r="O285" s="10"/>
      <c r="P285" s="10"/>
      <c r="Q285" s="30"/>
      <c r="R285" s="18"/>
      <c r="S285" s="19"/>
      <c r="T285" s="10"/>
      <c r="U285" s="10"/>
      <c r="V285" s="10"/>
      <c r="W285" s="10"/>
      <c r="X285" s="19"/>
      <c r="Y285" s="1"/>
      <c r="Z285" s="1"/>
      <c r="AA285" s="1"/>
    </row>
    <row r="286" customHeight="1" spans="1:27">
      <c r="A286" s="1" t="str">
        <f>IFERROR(__xludf.DUMMYFUNCTION("""COMPUTED_VALUE"""),"Daymar 55")</f>
        <v>Daymar 55</v>
      </c>
      <c r="B286" s="1" t="str">
        <f>IFERROR(__xludf.DUMMYFUNCTION("""COMPUTED_VALUE"""),"Daymar 66")</f>
        <v>Daymar 66</v>
      </c>
      <c r="C286" s="1" t="str">
        <f>IFERROR(__xludf.DUMMYFUNCTION("""COMPUTED_VALUE"""),"Daymar 24")</f>
        <v>Daymar 24</v>
      </c>
      <c r="D286" s="1" t="str">
        <f>IFERROR(__xludf.DUMMYFUNCTION("""COMPUTED_VALUE"""),"Sand Cave 43H")</f>
        <v>Sand Cave 43H</v>
      </c>
      <c r="E286" s="30" t="str">
        <f>IFERROR(__xludf.DUMMYFUNCTION("""COMPUTED_VALUE"""),"SCave 43H")</f>
        <v>SCave 43H</v>
      </c>
      <c r="F286" s="10">
        <f>IFERROR(__xludf.DUMMYFUNCTION("""COMPUTED_VALUE"""),58.664743427)</f>
        <v>58.664743427</v>
      </c>
      <c r="G286" s="10">
        <f>IFERROR(__xludf.DUMMYFUNCTION("""COMPUTED_VALUE"""),231.23653437)</f>
        <v>231.23653437</v>
      </c>
      <c r="H286" s="10">
        <f>IFERROR(__xludf.DUMMYFUNCTION("""COMPUTED_VALUE"""),-173.753163922)</f>
        <v>-173.753163922</v>
      </c>
      <c r="I286" s="13"/>
      <c r="J286" s="13"/>
      <c r="K286" s="13"/>
      <c r="L286" s="13"/>
      <c r="M286" s="1" t="b">
        <f>IFERROR(__xludf.DUMMYFUNCTION("""COMPUTED_VALUE"""),FALSE)</f>
        <v>0</v>
      </c>
      <c r="N286" s="10"/>
      <c r="O286" s="10"/>
      <c r="P286" s="10"/>
      <c r="Q286" s="30"/>
      <c r="R286" s="18"/>
      <c r="S286" s="19"/>
      <c r="T286" s="10"/>
      <c r="U286" s="10"/>
      <c r="V286" s="10"/>
      <c r="W286" s="10"/>
      <c r="X286" s="19"/>
      <c r="Y286" s="1"/>
      <c r="Z286" s="1"/>
      <c r="AA286" s="1"/>
    </row>
    <row r="287" customHeight="1" spans="1:27">
      <c r="A287" s="1" t="str">
        <f>IFERROR(__xludf.DUMMYFUNCTION("""COMPUTED_VALUE"""),"Daymar 53")</f>
        <v>Daymar 53</v>
      </c>
      <c r="B287" s="1" t="str">
        <f>IFERROR(__xludf.DUMMYFUNCTION("""COMPUTED_VALUE"""),"Daymar 64")</f>
        <v>Daymar 64</v>
      </c>
      <c r="C287" s="1" t="str">
        <f>IFERROR(__xludf.DUMMYFUNCTION("""COMPUTED_VALUE"""),"Daymar 31")</f>
        <v>Daymar 31</v>
      </c>
      <c r="D287" s="1" t="str">
        <f>IFERROR(__xludf.DUMMYFUNCTION("""COMPUTED_VALUE"""),"Sand Cave 37L")</f>
        <v>Sand Cave 37L</v>
      </c>
      <c r="E287" s="30" t="str">
        <f>IFERROR(__xludf.DUMMYFUNCTION("""COMPUTED_VALUE"""),"SCave 37L")</f>
        <v>SCave 37L</v>
      </c>
      <c r="F287" s="10">
        <f>IFERROR(__xludf.DUMMYFUNCTION("""COMPUTED_VALUE"""),223.891715502)</f>
        <v>223.891715502</v>
      </c>
      <c r="G287" s="10">
        <f>IFERROR(__xludf.DUMMYFUNCTION("""COMPUTED_VALUE"""),183.627600085)</f>
        <v>183.627600085</v>
      </c>
      <c r="H287" s="10">
        <f>IFERROR(__xludf.DUMMYFUNCTION("""COMPUTED_VALUE"""),-59.6782640739999)</f>
        <v>-59.6782640739999</v>
      </c>
      <c r="I287" s="13"/>
      <c r="J287" s="13"/>
      <c r="K287" s="13"/>
      <c r="L287" s="13"/>
      <c r="M287" s="1" t="b">
        <f>IFERROR(__xludf.DUMMYFUNCTION("""COMPUTED_VALUE"""),FALSE)</f>
        <v>0</v>
      </c>
      <c r="N287" s="10"/>
      <c r="O287" s="10"/>
      <c r="P287" s="10"/>
      <c r="Q287" s="30"/>
      <c r="R287" s="18"/>
      <c r="S287" s="19"/>
      <c r="T287" s="10"/>
      <c r="U287" s="10"/>
      <c r="V287" s="10"/>
      <c r="W287" s="10"/>
      <c r="X287" s="19"/>
      <c r="Y287" s="1"/>
      <c r="Z287" s="1"/>
      <c r="AA287" s="1"/>
    </row>
    <row r="288" customHeight="1" spans="1:27">
      <c r="A288" s="1" t="str">
        <f>IFERROR(__xludf.DUMMYFUNCTION("""COMPUTED_VALUE"""),"Daymar 50")</f>
        <v>Daymar 50</v>
      </c>
      <c r="B288" s="1" t="str">
        <f>IFERROR(__xludf.DUMMYFUNCTION("""COMPUTED_VALUE"""),"Daymar 61")</f>
        <v>Daymar 61</v>
      </c>
      <c r="C288" s="1" t="str">
        <f>IFERROR(__xludf.DUMMYFUNCTION("""COMPUTED_VALUE"""),"Daymar 39")</f>
        <v>Daymar 39</v>
      </c>
      <c r="D288" s="1" t="str">
        <f>IFERROR(__xludf.DUMMYFUNCTION("""COMPUTED_VALUE"""),"Sand Cave 30D")</f>
        <v>Sand Cave 30D</v>
      </c>
      <c r="E288" s="30" t="str">
        <f>IFERROR(__xludf.DUMMYFUNCTION("""COMPUTED_VALUE"""),"SCave 30D")</f>
        <v>SCave 30D</v>
      </c>
      <c r="F288" s="10">
        <f>IFERROR(__xludf.DUMMYFUNCTION("""COMPUTED_VALUE"""),110.428650132)</f>
        <v>110.428650132</v>
      </c>
      <c r="G288" s="10">
        <f>IFERROR(__xludf.DUMMYFUNCTION("""COMPUTED_VALUE"""),-9.16211831499999)</f>
        <v>-9.16211831499999</v>
      </c>
      <c r="H288" s="10">
        <f>IFERROR(__xludf.DUMMYFUNCTION("""COMPUTED_VALUE"""),-273.395692081)</f>
        <v>-273.395692081</v>
      </c>
      <c r="I288" s="13"/>
      <c r="J288" s="13"/>
      <c r="K288" s="13"/>
      <c r="L288" s="13"/>
      <c r="M288" s="1" t="b">
        <f>IFERROR(__xludf.DUMMYFUNCTION("""COMPUTED_VALUE"""),FALSE)</f>
        <v>0</v>
      </c>
      <c r="N288" s="10"/>
      <c r="O288" s="10"/>
      <c r="P288" s="10"/>
      <c r="Q288" s="30"/>
      <c r="R288" s="18"/>
      <c r="S288" s="19"/>
      <c r="T288" s="10"/>
      <c r="U288" s="10"/>
      <c r="V288" s="10"/>
      <c r="W288" s="10"/>
      <c r="X288" s="19"/>
      <c r="Y288" s="1"/>
      <c r="Z288" s="1"/>
      <c r="AA288" s="1"/>
    </row>
    <row r="289" customHeight="1" spans="1:27">
      <c r="A289" s="1" t="str">
        <f>IFERROR(__xludf.DUMMYFUNCTION("""COMPUTED_VALUE"""),"Daymar 36")</f>
        <v>Daymar 36</v>
      </c>
      <c r="B289" s="1" t="str">
        <f>IFERROR(__xludf.DUMMYFUNCTION("""COMPUTED_VALUE"""),"Daymar 47")</f>
        <v>Daymar 47</v>
      </c>
      <c r="C289" s="1" t="str">
        <f>IFERROR(__xludf.DUMMYFUNCTION("""COMPUTED_VALUE"""),"Daymar 71")</f>
        <v>Daymar 71</v>
      </c>
      <c r="D289" s="1" t="str">
        <f>IFERROR(__xludf.DUMMYFUNCTION("""COMPUTED_VALUE"""),"Sand Cave 03G")</f>
        <v>Sand Cave 03G</v>
      </c>
      <c r="E289" s="30" t="str">
        <f>IFERROR(__xludf.DUMMYFUNCTION("""COMPUTED_VALUE"""),"SCave 03G")</f>
        <v>SCave 03G</v>
      </c>
      <c r="F289" s="10">
        <f>IFERROR(__xludf.DUMMYFUNCTION("""COMPUTED_VALUE"""),-201.78924098)</f>
        <v>-201.78924098</v>
      </c>
      <c r="G289" s="10">
        <f>IFERROR(__xludf.DUMMYFUNCTION("""COMPUTED_VALUE"""),-45.2817604839998)</f>
        <v>-45.2817604839998</v>
      </c>
      <c r="H289" s="10">
        <f>IFERROR(__xludf.DUMMYFUNCTION("""COMPUTED_VALUE"""),-210.857671955)</f>
        <v>-210.857671955</v>
      </c>
      <c r="I289" s="13"/>
      <c r="J289" s="13"/>
      <c r="K289" s="13"/>
      <c r="L289" s="13"/>
      <c r="M289" s="1" t="b">
        <f>IFERROR(__xludf.DUMMYFUNCTION("""COMPUTED_VALUE"""),FALSE)</f>
        <v>0</v>
      </c>
      <c r="N289" s="10"/>
      <c r="O289" s="10"/>
      <c r="P289" s="10"/>
      <c r="Q289" s="30"/>
      <c r="R289" s="18"/>
      <c r="S289" s="19"/>
      <c r="T289" s="10"/>
      <c r="U289" s="10"/>
      <c r="V289" s="10"/>
      <c r="W289" s="10"/>
      <c r="X289" s="19"/>
      <c r="Y289" s="1"/>
      <c r="Z289" s="1"/>
      <c r="AA289" s="1"/>
    </row>
    <row r="290" customHeight="1" spans="1:27">
      <c r="A290" s="1" t="str">
        <f>IFERROR(__xludf.DUMMYFUNCTION("""COMPUTED_VALUE"""),"Daymar 56")</f>
        <v>Daymar 56</v>
      </c>
      <c r="B290" s="1" t="str">
        <f>IFERROR(__xludf.DUMMYFUNCTION("""COMPUTED_VALUE"""),"Daymar 67")</f>
        <v>Daymar 67</v>
      </c>
      <c r="C290" s="1" t="str">
        <f>IFERROR(__xludf.DUMMYFUNCTION("""COMPUTED_VALUE"""),"Daymar 19")</f>
        <v>Daymar 19</v>
      </c>
      <c r="D290" s="1" t="str">
        <f>IFERROR(__xludf.DUMMYFUNCTION("""COMPUTED_VALUE"""),"Sand Cave 46L")</f>
        <v>Sand Cave 46L</v>
      </c>
      <c r="E290" s="30" t="str">
        <f>IFERROR(__xludf.DUMMYFUNCTION("""COMPUTED_VALUE"""),"SCave 46L")</f>
        <v>SCave 46L</v>
      </c>
      <c r="F290" s="10">
        <f>IFERROR(__xludf.DUMMYFUNCTION("""COMPUTED_VALUE"""),-18.6007644389999)</f>
        <v>-18.6007644389999</v>
      </c>
      <c r="G290" s="10">
        <f>IFERROR(__xludf.DUMMYFUNCTION("""COMPUTED_VALUE"""),289.504881805)</f>
        <v>289.504881805</v>
      </c>
      <c r="H290" s="10">
        <f>IFERROR(__xludf.DUMMYFUNCTION("""COMPUTED_VALUE"""),-56.7709161289999)</f>
        <v>-56.7709161289999</v>
      </c>
      <c r="I290" s="13"/>
      <c r="J290" s="13"/>
      <c r="K290" s="13"/>
      <c r="L290" s="13"/>
      <c r="M290" s="1" t="b">
        <f>IFERROR(__xludf.DUMMYFUNCTION("""COMPUTED_VALUE"""),FALSE)</f>
        <v>0</v>
      </c>
      <c r="N290" s="10"/>
      <c r="O290" s="10"/>
      <c r="P290" s="10"/>
      <c r="Q290" s="30"/>
      <c r="R290" s="18"/>
      <c r="S290" s="19"/>
      <c r="T290" s="10"/>
      <c r="U290" s="10"/>
      <c r="V290" s="10"/>
      <c r="W290" s="10"/>
      <c r="X290" s="19"/>
      <c r="Y290" s="1"/>
      <c r="Z290" s="1"/>
      <c r="AA290" s="1"/>
    </row>
    <row r="291" customHeight="1" spans="1:27">
      <c r="A291" s="1" t="str">
        <f>IFERROR(__xludf.DUMMYFUNCTION("""COMPUTED_VALUE"""),"Daymar 54")</f>
        <v>Daymar 54</v>
      </c>
      <c r="B291" s="1" t="str">
        <f>IFERROR(__xludf.DUMMYFUNCTION("""COMPUTED_VALUE"""),"Daymar 65")</f>
        <v>Daymar 65</v>
      </c>
      <c r="C291" s="1" t="str">
        <f>IFERROR(__xludf.DUMMYFUNCTION("""COMPUTED_VALUE"""),"Daymar 29")</f>
        <v>Daymar 29</v>
      </c>
      <c r="D291" s="1" t="str">
        <f>IFERROR(__xludf.DUMMYFUNCTION("""COMPUTED_VALUE"""),"Sand Cave 41Q")</f>
        <v>Sand Cave 41Q</v>
      </c>
      <c r="E291" s="30" t="str">
        <f>IFERROR(__xludf.DUMMYFUNCTION("""COMPUTED_VALUE"""),"SCave 41Q")</f>
        <v>SCave 41Q</v>
      </c>
      <c r="F291" s="10">
        <f>IFERROR(__xludf.DUMMYFUNCTION("""COMPUTED_VALUE"""),123.522194406)</f>
        <v>123.522194406</v>
      </c>
      <c r="G291" s="10">
        <f>IFERROR(__xludf.DUMMYFUNCTION("""COMPUTED_VALUE"""),254.315972424)</f>
        <v>254.315972424</v>
      </c>
      <c r="H291" s="10">
        <f>IFERROR(__xludf.DUMMYFUNCTION("""COMPUTED_VALUE"""),86.1357779339998)</f>
        <v>86.1357779339998</v>
      </c>
      <c r="I291" s="13"/>
      <c r="J291" s="13"/>
      <c r="K291" s="13"/>
      <c r="L291" s="13"/>
      <c r="M291" s="1" t="b">
        <f>IFERROR(__xludf.DUMMYFUNCTION("""COMPUTED_VALUE"""),FALSE)</f>
        <v>0</v>
      </c>
      <c r="N291" s="10"/>
      <c r="O291" s="10"/>
      <c r="P291" s="10"/>
      <c r="Q291" s="30"/>
      <c r="R291" s="18"/>
      <c r="S291" s="19"/>
      <c r="T291" s="10"/>
      <c r="U291" s="10"/>
      <c r="V291" s="10"/>
      <c r="W291" s="10"/>
      <c r="X291" s="19"/>
      <c r="Y291" s="1"/>
      <c r="Z291" s="1"/>
      <c r="AA291" s="1"/>
    </row>
    <row r="292" customHeight="1" spans="1:27">
      <c r="A292" s="1" t="str">
        <f>IFERROR(__xludf.DUMMYFUNCTION("""COMPUTED_VALUE"""),"Daymar 59")</f>
        <v>Daymar 59</v>
      </c>
      <c r="B292" s="1" t="str">
        <f>IFERROR(__xludf.DUMMYFUNCTION("""COMPUTED_VALUE"""),"Daymar 70")</f>
        <v>Daymar 70</v>
      </c>
      <c r="C292" s="1" t="str">
        <f>IFERROR(__xludf.DUMMYFUNCTION("""COMPUTED_VALUE"""),"Daymar 12")</f>
        <v>Daymar 12</v>
      </c>
      <c r="D292" s="1" t="str">
        <f>IFERROR(__xludf.DUMMYFUNCTION("""COMPUTED_VALUE"""),"Sand Cave 49V")</f>
        <v>Sand Cave 49V</v>
      </c>
      <c r="E292" s="30" t="str">
        <f>IFERROR(__xludf.DUMMYFUNCTION("""COMPUTED_VALUE"""),"SCave 49V")</f>
        <v>SCave 49V</v>
      </c>
      <c r="F292" s="10">
        <f>IFERROR(__xludf.DUMMYFUNCTION("""COMPUTED_VALUE"""),-56.559550707)</f>
        <v>-56.559550707</v>
      </c>
      <c r="G292" s="10">
        <f>IFERROR(__xludf.DUMMYFUNCTION("""COMPUTED_VALUE"""),132.210330674)</f>
        <v>132.210330674</v>
      </c>
      <c r="H292" s="10">
        <f>IFERROR(__xludf.DUMMYFUNCTION("""COMPUTED_VALUE"""),257.679033079999)</f>
        <v>257.679033079999</v>
      </c>
      <c r="I292" s="13"/>
      <c r="J292" s="13"/>
      <c r="K292" s="13"/>
      <c r="L292" s="13"/>
      <c r="M292" s="1" t="b">
        <f>IFERROR(__xludf.DUMMYFUNCTION("""COMPUTED_VALUE"""),FALSE)</f>
        <v>0</v>
      </c>
      <c r="N292" s="10"/>
      <c r="O292" s="10"/>
      <c r="P292" s="10"/>
      <c r="Q292" s="30"/>
      <c r="R292" s="18"/>
      <c r="S292" s="19"/>
      <c r="T292" s="10"/>
      <c r="U292" s="10"/>
      <c r="V292" s="10"/>
      <c r="W292" s="10"/>
      <c r="X292" s="19"/>
      <c r="Y292" s="1"/>
      <c r="Z292" s="1"/>
      <c r="AA292" s="1"/>
    </row>
    <row r="293" customHeight="1" spans="1:27">
      <c r="A293" s="1" t="str">
        <f>IFERROR(__xludf.DUMMYFUNCTION("""COMPUTED_VALUE"""),"Daymar 51")</f>
        <v>Daymar 51</v>
      </c>
      <c r="B293" s="1" t="str">
        <f>IFERROR(__xludf.DUMMYFUNCTION("""COMPUTED_VALUE"""),"Daymar 62")</f>
        <v>Daymar 62</v>
      </c>
      <c r="C293" s="1" t="str">
        <f>IFERROR(__xludf.DUMMYFUNCTION("""COMPUTED_VALUE"""),"Daymar 34")</f>
        <v>Daymar 34</v>
      </c>
      <c r="D293" s="1" t="str">
        <f>IFERROR(__xludf.DUMMYFUNCTION("""COMPUTED_VALUE"""),"Sand Cave 34T")</f>
        <v>Sand Cave 34T</v>
      </c>
      <c r="E293" s="30" t="str">
        <f>IFERROR(__xludf.DUMMYFUNCTION("""COMPUTED_VALUE"""),"SCave 34T")</f>
        <v>SCave 34T</v>
      </c>
      <c r="F293" s="10">
        <f>IFERROR(__xludf.DUMMYFUNCTION("""COMPUTED_VALUE"""),203.579362154)</f>
        <v>203.579362154</v>
      </c>
      <c r="G293" s="10">
        <f>IFERROR(__xludf.DUMMYFUNCTION("""COMPUTED_VALUE"""),80.5784592549999)</f>
        <v>80.5784592549999</v>
      </c>
      <c r="H293" s="10">
        <f>IFERROR(__xludf.DUMMYFUNCTION("""COMPUTED_VALUE"""),198.174320894)</f>
        <v>198.174320894</v>
      </c>
      <c r="I293" s="13"/>
      <c r="J293" s="13"/>
      <c r="K293" s="13"/>
      <c r="L293" s="13"/>
      <c r="M293" s="1" t="b">
        <f>IFERROR(__xludf.DUMMYFUNCTION("""COMPUTED_VALUE"""),FALSE)</f>
        <v>0</v>
      </c>
      <c r="N293" s="10"/>
      <c r="O293" s="10"/>
      <c r="P293" s="10"/>
      <c r="Q293" s="30"/>
      <c r="R293" s="18"/>
      <c r="S293" s="19"/>
      <c r="T293" s="10"/>
      <c r="U293" s="10"/>
      <c r="V293" s="10"/>
      <c r="W293" s="10"/>
      <c r="X293" s="19"/>
      <c r="Y293" s="1"/>
      <c r="Z293" s="1"/>
      <c r="AA293" s="1"/>
    </row>
    <row r="294" customHeight="1" spans="1:27">
      <c r="A294" s="1" t="str">
        <f>IFERROR(__xludf.DUMMYFUNCTION("""COMPUTED_VALUE"""),"Daymar 43")</f>
        <v>Daymar 43</v>
      </c>
      <c r="B294" s="1" t="str">
        <f>IFERROR(__xludf.DUMMYFUNCTION("""COMPUTED_VALUE"""),"Daymar 54")</f>
        <v>Daymar 54</v>
      </c>
      <c r="C294" s="1" t="str">
        <f>IFERROR(__xludf.DUMMYFUNCTION("""COMPUTED_VALUE"""),"Daymar 58")</f>
        <v>Daymar 58</v>
      </c>
      <c r="D294" s="1" t="str">
        <f>IFERROR(__xludf.DUMMYFUNCTION("""COMPUTED_VALUE"""),"Sand Cave 15H")</f>
        <v>Sand Cave 15H</v>
      </c>
      <c r="E294" s="30" t="str">
        <f>IFERROR(__xludf.DUMMYFUNCTION("""COMPUTED_VALUE"""),"SCave 15H")</f>
        <v>SCave 15H</v>
      </c>
      <c r="F294" s="10">
        <f>IFERROR(__xludf.DUMMYFUNCTION("""COMPUTED_VALUE"""),-17.528967342)</f>
        <v>-17.528967342</v>
      </c>
      <c r="G294" s="10">
        <f>IFERROR(__xludf.DUMMYFUNCTION("""COMPUTED_VALUE"""),-235.607051966)</f>
        <v>-235.607051966</v>
      </c>
      <c r="H294" s="10">
        <f>IFERROR(__xludf.DUMMYFUNCTION("""COMPUTED_VALUE"""),-176.988804781)</f>
        <v>-176.988804781</v>
      </c>
      <c r="I294" s="13"/>
      <c r="J294" s="13"/>
      <c r="K294" s="13"/>
      <c r="L294" s="13"/>
      <c r="M294" s="1" t="b">
        <f>IFERROR(__xludf.DUMMYFUNCTION("""COMPUTED_VALUE"""),FALSE)</f>
        <v>0</v>
      </c>
      <c r="N294" s="10"/>
      <c r="O294" s="10"/>
      <c r="P294" s="10"/>
      <c r="Q294" s="30"/>
      <c r="R294" s="18"/>
      <c r="S294" s="19"/>
      <c r="T294" s="10"/>
      <c r="U294" s="10"/>
      <c r="V294" s="10"/>
      <c r="W294" s="10"/>
      <c r="X294" s="19"/>
      <c r="Y294" s="1"/>
      <c r="Z294" s="1"/>
      <c r="AA294" s="1"/>
    </row>
    <row r="295" customHeight="1" spans="1:27">
      <c r="A295" s="1" t="str">
        <f>IFERROR(__xludf.DUMMYFUNCTION("""COMPUTED_VALUE"""),"Daymar 57")</f>
        <v>Daymar 57</v>
      </c>
      <c r="B295" s="1" t="str">
        <f>IFERROR(__xludf.DUMMYFUNCTION("""COMPUTED_VALUE"""),"Daymar 68")</f>
        <v>Daymar 68</v>
      </c>
      <c r="C295" s="1" t="str">
        <f>IFERROR(__xludf.DUMMYFUNCTION("""COMPUTED_VALUE"""),"Daymar 15")</f>
        <v>Daymar 15</v>
      </c>
      <c r="D295" s="1" t="str">
        <f>IFERROR(__xludf.DUMMYFUNCTION("""COMPUTED_VALUE"""),"Sand Cave 47U")</f>
        <v>Sand Cave 47U</v>
      </c>
      <c r="E295" s="30" t="str">
        <f>IFERROR(__xludf.DUMMYFUNCTION("""COMPUTED_VALUE"""),"SCave 47U")</f>
        <v>SCave 47U</v>
      </c>
      <c r="F295" s="10">
        <f>IFERROR(__xludf.DUMMYFUNCTION("""COMPUTED_VALUE"""),-24.453191189)</f>
        <v>-24.453191189</v>
      </c>
      <c r="G295" s="10">
        <f>IFERROR(__xludf.DUMMYFUNCTION("""COMPUTED_VALUE"""),190.721141586)</f>
        <v>190.721141586</v>
      </c>
      <c r="H295" s="10">
        <f>IFERROR(__xludf.DUMMYFUNCTION("""COMPUTED_VALUE"""),223.877190403999)</f>
        <v>223.877190403999</v>
      </c>
      <c r="I295" s="13"/>
      <c r="J295" s="13"/>
      <c r="K295" s="13"/>
      <c r="L295" s="13"/>
      <c r="M295" s="1" t="b">
        <f>IFERROR(__xludf.DUMMYFUNCTION("""COMPUTED_VALUE"""),FALSE)</f>
        <v>0</v>
      </c>
      <c r="N295" s="10"/>
      <c r="O295" s="10"/>
      <c r="P295" s="10"/>
      <c r="Q295" s="30"/>
      <c r="R295" s="18"/>
      <c r="S295" s="19"/>
      <c r="T295" s="10"/>
      <c r="U295" s="10"/>
      <c r="V295" s="10"/>
      <c r="W295" s="10"/>
      <c r="X295" s="19"/>
      <c r="Y295" s="1"/>
      <c r="Z295" s="1"/>
      <c r="AA295" s="1"/>
    </row>
    <row r="296" customHeight="1" spans="1:27">
      <c r="A296" s="1" t="str">
        <f>IFERROR(__xludf.DUMMYFUNCTION("""COMPUTED_VALUE"""),"Daymar 42")</f>
        <v>Daymar 42</v>
      </c>
      <c r="B296" s="1" t="str">
        <f>IFERROR(__xludf.DUMMYFUNCTION("""COMPUTED_VALUE"""),"Daymar 53")</f>
        <v>Daymar 53</v>
      </c>
      <c r="C296" s="1" t="str">
        <f>IFERROR(__xludf.DUMMYFUNCTION("""COMPUTED_VALUE"""),"Daymar 60")</f>
        <v>Daymar 60</v>
      </c>
      <c r="D296" s="1" t="str">
        <f>IFERROR(__xludf.DUMMYFUNCTION("""COMPUTED_VALUE"""),"Sand Cave 12X")</f>
        <v>Sand Cave 12X</v>
      </c>
      <c r="E296" s="30" t="str">
        <f>IFERROR(__xludf.DUMMYFUNCTION("""COMPUTED_VALUE"""),"SCave 12X")</f>
        <v>SCave 12X</v>
      </c>
      <c r="F296" s="10">
        <f>IFERROR(__xludf.DUMMYFUNCTION("""COMPUTED_VALUE"""),-26.992544381)</f>
        <v>-26.992544381</v>
      </c>
      <c r="G296" s="10">
        <f>IFERROR(__xludf.DUMMYFUNCTION("""COMPUTED_VALUE"""),-62.409515003)</f>
        <v>-62.409515003</v>
      </c>
      <c r="H296" s="10">
        <f>IFERROR(__xludf.DUMMYFUNCTION("""COMPUTED_VALUE"""),287.804372978)</f>
        <v>287.804372978</v>
      </c>
      <c r="I296" s="13"/>
      <c r="J296" s="13"/>
      <c r="K296" s="13"/>
      <c r="L296" s="13"/>
      <c r="M296" s="1" t="b">
        <f>IFERROR(__xludf.DUMMYFUNCTION("""COMPUTED_VALUE"""),FALSE)</f>
        <v>0</v>
      </c>
      <c r="N296" s="10"/>
      <c r="O296" s="10"/>
      <c r="P296" s="10"/>
      <c r="Q296" s="30"/>
      <c r="R296" s="18"/>
      <c r="S296" s="19"/>
      <c r="T296" s="10"/>
      <c r="U296" s="10"/>
      <c r="V296" s="10"/>
      <c r="W296" s="10"/>
      <c r="X296" s="19"/>
      <c r="Y296" s="1"/>
      <c r="Z296" s="1"/>
      <c r="AA296" s="1"/>
    </row>
    <row r="297" customHeight="1" spans="1:27">
      <c r="A297" s="1" t="str">
        <f>IFERROR(__xludf.DUMMYFUNCTION("""COMPUTED_VALUE"""),"Daymar 58")</f>
        <v>Daymar 58</v>
      </c>
      <c r="B297" s="1" t="str">
        <f>IFERROR(__xludf.DUMMYFUNCTION("""COMPUTED_VALUE"""),"Daymar 69")</f>
        <v>Daymar 69</v>
      </c>
      <c r="C297" s="1" t="str">
        <f>IFERROR(__xludf.DUMMYFUNCTION("""COMPUTED_VALUE"""),"Daymar 16")</f>
        <v>Daymar 16</v>
      </c>
      <c r="D297" s="1" t="str">
        <f>IFERROR(__xludf.DUMMYFUNCTION("""COMPUTED_VALUE"""),"Sand Cave 47W")</f>
        <v>Sand Cave 47W</v>
      </c>
      <c r="E297" s="30" t="str">
        <f>IFERROR(__xludf.DUMMYFUNCTION("""COMPUTED_VALUE"""),"SCave 47W")</f>
        <v>SCave 47W</v>
      </c>
      <c r="F297" s="10">
        <f>IFERROR(__xludf.DUMMYFUNCTION("""COMPUTED_VALUE"""),-11.29420767)</f>
        <v>-11.29420767</v>
      </c>
      <c r="G297" s="10">
        <f>IFERROR(__xludf.DUMMYFUNCTION("""COMPUTED_VALUE"""),95.3117616949999)</f>
        <v>95.3117616949999</v>
      </c>
      <c r="H297" s="10">
        <f>IFERROR(__xludf.DUMMYFUNCTION("""COMPUTED_VALUE"""),279.127010911)</f>
        <v>279.127010911</v>
      </c>
      <c r="I297" s="13"/>
      <c r="J297" s="13"/>
      <c r="K297" s="13"/>
      <c r="L297" s="13"/>
      <c r="M297" s="1" t="b">
        <f>IFERROR(__xludf.DUMMYFUNCTION("""COMPUTED_VALUE"""),FALSE)</f>
        <v>0</v>
      </c>
      <c r="N297" s="10"/>
      <c r="O297" s="10"/>
      <c r="P297" s="10"/>
      <c r="Q297" s="30"/>
      <c r="R297" s="18"/>
      <c r="S297" s="19"/>
      <c r="T297" s="10"/>
      <c r="U297" s="10"/>
      <c r="V297" s="10"/>
      <c r="W297" s="10"/>
      <c r="X297" s="19"/>
      <c r="Y297" s="1"/>
      <c r="Z297" s="1"/>
      <c r="AA297" s="1"/>
    </row>
    <row r="298" customHeight="1" spans="1:27">
      <c r="A298" s="1" t="str">
        <f>IFERROR(__xludf.DUMMYFUNCTION("""COMPUTED_VALUE"""),"Daymar 61")</f>
        <v>Daymar 61</v>
      </c>
      <c r="B298" s="1" t="str">
        <f>IFERROR(__xludf.DUMMYFUNCTION("""COMPUTED_VALUE"""),"Daymar 72")</f>
        <v>Daymar 72</v>
      </c>
      <c r="C298" s="1" t="str">
        <f>IFERROR(__xludf.DUMMYFUNCTION("""COMPUTED_VALUE"""),"Daymar 08")</f>
        <v>Daymar 08</v>
      </c>
      <c r="D298" s="1" t="str">
        <f>IFERROR(__xludf.DUMMYFUNCTION("""COMPUTED_VALUE"""),"Sand Cave 54P")</f>
        <v>Sand Cave 54P</v>
      </c>
      <c r="E298" s="30" t="str">
        <f>IFERROR(__xludf.DUMMYFUNCTION("""COMPUTED_VALUE"""),"SCave 54P")</f>
        <v>SCave 54P</v>
      </c>
      <c r="F298" s="10">
        <f>IFERROR(__xludf.DUMMYFUNCTION("""COMPUTED_VALUE"""),-218.449170663)</f>
        <v>-218.449170663</v>
      </c>
      <c r="G298" s="10">
        <f>IFERROR(__xludf.DUMMYFUNCTION("""COMPUTED_VALUE"""),191.796701383)</f>
        <v>191.796701383</v>
      </c>
      <c r="H298" s="10">
        <f>IFERROR(__xludf.DUMMYFUNCTION("""COMPUTED_VALUE"""),50.6999874849999)</f>
        <v>50.6999874849999</v>
      </c>
      <c r="I298" s="13"/>
      <c r="J298" s="13"/>
      <c r="K298" s="13"/>
      <c r="L298" s="13"/>
      <c r="M298" s="1" t="b">
        <f>IFERROR(__xludf.DUMMYFUNCTION("""COMPUTED_VALUE"""),FALSE)</f>
        <v>0</v>
      </c>
      <c r="N298" s="10"/>
      <c r="O298" s="10"/>
      <c r="P298" s="10"/>
      <c r="Q298" s="30"/>
      <c r="R298" s="18"/>
      <c r="S298" s="19"/>
      <c r="T298" s="10"/>
      <c r="U298" s="10"/>
      <c r="V298" s="10"/>
      <c r="W298" s="10"/>
      <c r="X298" s="19"/>
      <c r="Y298" s="1"/>
      <c r="Z298" s="1"/>
      <c r="AA298" s="1"/>
    </row>
    <row r="299" customHeight="1" spans="1:27">
      <c r="A299" s="1" t="str">
        <f>IFERROR(__xludf.DUMMYFUNCTION("""COMPUTED_VALUE"""),"Daymar 62")</f>
        <v>Daymar 62</v>
      </c>
      <c r="B299" s="1" t="str">
        <f>IFERROR(__xludf.DUMMYFUNCTION("""COMPUTED_VALUE"""),"Daymar 73")</f>
        <v>Daymar 73</v>
      </c>
      <c r="C299" s="1" t="str">
        <f>IFERROR(__xludf.DUMMYFUNCTION("""COMPUTED_VALUE"""),"Daymar 03")</f>
        <v>Daymar 03</v>
      </c>
      <c r="D299" s="1" t="str">
        <f>IFERROR(__xludf.DUMMYFUNCTION("""COMPUTED_VALUE"""),"Sand Cave 58G")</f>
        <v>Sand Cave 58G</v>
      </c>
      <c r="E299" s="30" t="str">
        <f>IFERROR(__xludf.DUMMYFUNCTION("""COMPUTED_VALUE"""),"SCave 58G")</f>
        <v>SCave 58G</v>
      </c>
      <c r="F299" s="10">
        <f>IFERROR(__xludf.DUMMYFUNCTION("""COMPUTED_VALUE"""),-213.400443701999)</f>
        <v>-213.400443701999</v>
      </c>
      <c r="G299" s="10">
        <f>IFERROR(__xludf.DUMMYFUNCTION("""COMPUTED_VALUE"""),53.8214768289999)</f>
        <v>53.8214768289999</v>
      </c>
      <c r="H299" s="10">
        <f>IFERROR(__xludf.DUMMYFUNCTION("""COMPUTED_VALUE"""),-196.770674222)</f>
        <v>-196.770674222</v>
      </c>
      <c r="I299" s="13"/>
      <c r="J299" s="13"/>
      <c r="K299" s="13"/>
      <c r="L299" s="13"/>
      <c r="M299" s="1" t="b">
        <f>IFERROR(__xludf.DUMMYFUNCTION("""COMPUTED_VALUE"""),FALSE)</f>
        <v>0</v>
      </c>
      <c r="N299" s="10"/>
      <c r="O299" s="10"/>
      <c r="P299" s="10"/>
      <c r="Q299" s="30"/>
      <c r="R299" s="18"/>
      <c r="S299" s="19"/>
      <c r="T299" s="10"/>
      <c r="U299" s="10"/>
      <c r="V299" s="10"/>
      <c r="W299" s="10"/>
      <c r="X299" s="19"/>
      <c r="Y299" s="1"/>
      <c r="Z299" s="1"/>
      <c r="AA299" s="1"/>
    </row>
    <row r="300" customHeight="1" spans="1:27">
      <c r="A300" s="1" t="str">
        <f>IFERROR(__xludf.DUMMYFUNCTION("""COMPUTED_VALUE"""),"Daymar 37")</f>
        <v>Daymar 37</v>
      </c>
      <c r="B300" s="1" t="str">
        <f>IFERROR(__xludf.DUMMYFUNCTION("""COMPUTED_VALUE"""),"Daymar 48")</f>
        <v>Daymar 48</v>
      </c>
      <c r="C300" s="1" t="str">
        <f>IFERROR(__xludf.DUMMYFUNCTION("""COMPUTED_VALUE"""),"Daymar 68")</f>
        <v>Daymar 68</v>
      </c>
      <c r="D300" s="1" t="str">
        <f>IFERROR(__xludf.DUMMYFUNCTION("""COMPUTED_VALUE"""),"Sand Cave 05E")</f>
        <v>Sand Cave 05E</v>
      </c>
      <c r="E300" s="1" t="str">
        <f>IFERROR(__xludf.DUMMYFUNCTION("""COMPUTED_VALUE"""),"SCave 05E")</f>
        <v>SCave 05E</v>
      </c>
      <c r="F300" s="2">
        <f>IFERROR(__xludf.DUMMYFUNCTION("""COMPUTED_VALUE"""),-141.219153261)</f>
        <v>-141.219153261</v>
      </c>
      <c r="G300" s="2">
        <f>IFERROR(__xludf.DUMMYFUNCTION("""COMPUTED_VALUE"""),-73.398548334)</f>
        <v>-73.398548334</v>
      </c>
      <c r="H300" s="2">
        <f>IFERROR(__xludf.DUMMYFUNCTION("""COMPUTED_VALUE"""),-248.560479117999)</f>
        <v>-248.560479117999</v>
      </c>
      <c r="I300" s="1"/>
      <c r="J300" s="1"/>
      <c r="K300" s="1"/>
      <c r="L300" s="1"/>
      <c r="M300" s="1" t="b">
        <f>IFERROR(__xludf.DUMMYFUNCTION("""COMPUTED_VALUE"""),FALSE)</f>
        <v>0</v>
      </c>
      <c r="N300" s="1"/>
      <c r="O300" s="1"/>
      <c r="P300" s="1"/>
      <c r="Q300" s="1"/>
      <c r="R300" s="1"/>
      <c r="S300" s="1"/>
      <c r="T300" s="1"/>
      <c r="U300" s="1"/>
      <c r="V300" s="1"/>
      <c r="W300" s="1"/>
      <c r="X300" s="1"/>
      <c r="Y300" s="1"/>
      <c r="Z300" s="1"/>
      <c r="AA300" s="1"/>
    </row>
    <row r="301" customHeight="1" spans="1:27">
      <c r="A301" s="1" t="str">
        <f>IFERROR(__xludf.DUMMYFUNCTION("""COMPUTED_VALUE"""),"Daymar 40")</f>
        <v>Daymar 40</v>
      </c>
      <c r="B301" s="1" t="str">
        <f>IFERROR(__xludf.DUMMYFUNCTION("""COMPUTED_VALUE"""),"Daymar 51")</f>
        <v>Daymar 51</v>
      </c>
      <c r="C301" s="1" t="str">
        <f>IFERROR(__xludf.DUMMYFUNCTION("""COMPUTED_VALUE"""),"Daymar 62")</f>
        <v>Daymar 62</v>
      </c>
      <c r="D301" s="1" t="str">
        <f>IFERROR(__xludf.DUMMYFUNCTION("""COMPUTED_VALUE"""),"Sand Cave 09G")</f>
        <v>Sand Cave 09G</v>
      </c>
      <c r="E301" s="30" t="str">
        <f>IFERROR(__xludf.DUMMYFUNCTION("""COMPUTED_VALUE"""),"SCave 09G")</f>
        <v>SCave 09G</v>
      </c>
      <c r="F301" s="10">
        <f>IFERROR(__xludf.DUMMYFUNCTION("""COMPUTED_VALUE"""),-137.603332209999)</f>
        <v>-137.603332209999</v>
      </c>
      <c r="G301" s="10">
        <f>IFERROR(__xludf.DUMMYFUNCTION("""COMPUTED_VALUE"""),-155.588942023999)</f>
        <v>-155.588942023999</v>
      </c>
      <c r="H301" s="10">
        <f>IFERROR(__xludf.DUMMYFUNCTION("""COMPUTED_VALUE"""),-210.125581460999)</f>
        <v>-210.125581460999</v>
      </c>
      <c r="I301" s="13"/>
      <c r="J301" s="13"/>
      <c r="K301" s="13"/>
      <c r="L301" s="13"/>
      <c r="M301" s="1" t="b">
        <f>IFERROR(__xludf.DUMMYFUNCTION("""COMPUTED_VALUE"""),FALSE)</f>
        <v>0</v>
      </c>
      <c r="N301" s="10"/>
      <c r="O301" s="10"/>
      <c r="P301" s="10"/>
      <c r="Q301" s="30"/>
      <c r="R301" s="18"/>
      <c r="S301" s="19"/>
      <c r="T301" s="10"/>
      <c r="U301" s="10"/>
      <c r="V301" s="10"/>
      <c r="W301" s="10"/>
      <c r="X301" s="19"/>
      <c r="Y301" s="1"/>
      <c r="Z301" s="1"/>
      <c r="AA301" s="1"/>
    </row>
    <row r="302" customHeight="1" spans="1:27">
      <c r="A302" s="1" t="str">
        <f>IFERROR(__xludf.DUMMYFUNCTION("""COMPUTED_VALUE"""),"Daymar 35")</f>
        <v>Daymar 35</v>
      </c>
      <c r="B302" s="1" t="str">
        <f>IFERROR(__xludf.DUMMYFUNCTION("""COMPUTED_VALUE"""),"Daymar 46")</f>
        <v>Daymar 46</v>
      </c>
      <c r="C302" s="1" t="str">
        <f>IFERROR(__xludf.DUMMYFUNCTION("""COMPUTED_VALUE"""),"Daymar 73")</f>
        <v>Daymar 73</v>
      </c>
      <c r="D302" s="1" t="str">
        <f>IFERROR(__xludf.DUMMYFUNCTION("""COMPUTED_VALUE"""),"Sand Cave 02J")</f>
        <v>Sand Cave 02J</v>
      </c>
      <c r="E302" s="30" t="str">
        <f>IFERROR(__xludf.DUMMYFUNCTION("""COMPUTED_VALUE"""),"SCave 02J")</f>
        <v>SCave 02J</v>
      </c>
      <c r="F302" s="10">
        <f>IFERROR(__xludf.DUMMYFUNCTION("""COMPUTED_VALUE"""),-260.865534217)</f>
        <v>-260.865534217</v>
      </c>
      <c r="G302" s="10">
        <f>IFERROR(__xludf.DUMMYFUNCTION("""COMPUTED_VALUE"""),-43.31514149)</f>
        <v>-43.31514149</v>
      </c>
      <c r="H302" s="10">
        <f>IFERROR(__xludf.DUMMYFUNCTION("""COMPUTED_VALUE"""),-131.051009189)</f>
        <v>-131.051009189</v>
      </c>
      <c r="I302" s="13"/>
      <c r="J302" s="13"/>
      <c r="K302" s="13"/>
      <c r="L302" s="13"/>
      <c r="M302" s="1" t="b">
        <f>IFERROR(__xludf.DUMMYFUNCTION("""COMPUTED_VALUE"""),FALSE)</f>
        <v>0</v>
      </c>
      <c r="N302" s="10"/>
      <c r="O302" s="10"/>
      <c r="P302" s="10"/>
      <c r="Q302" s="30"/>
      <c r="R302" s="18"/>
      <c r="S302" s="19"/>
      <c r="T302" s="10"/>
      <c r="U302" s="10"/>
      <c r="V302" s="10"/>
      <c r="W302" s="10"/>
      <c r="X302" s="19"/>
      <c r="Y302" s="1"/>
      <c r="Z302" s="1"/>
      <c r="AA302" s="1"/>
    </row>
    <row r="303" customHeight="1" spans="1:27">
      <c r="A303" s="1" t="str">
        <f>IFERROR(__xludf.DUMMYFUNCTION("""COMPUTED_VALUE"""),"Daymar 64")</f>
        <v>Daymar 64</v>
      </c>
      <c r="B303" s="1" t="str">
        <f>IFERROR(__xludf.DUMMYFUNCTION("""COMPUTED_VALUE"""),"Daymar 75")</f>
        <v>Daymar 75</v>
      </c>
      <c r="C303" s="1" t="str">
        <f>IFERROR(__xludf.DUMMYFUNCTION("""COMPUTED_VALUE"""),"Daymar 01")</f>
        <v>Daymar 01</v>
      </c>
      <c r="D303" s="1" t="str">
        <f>IFERROR(__xludf.DUMMYFUNCTION("""COMPUTED_VALUE"""),"Sand Cave 59P")</f>
        <v>Sand Cave 59P</v>
      </c>
      <c r="E303" s="30" t="str">
        <f>IFERROR(__xludf.DUMMYFUNCTION("""COMPUTED_VALUE"""),"SCave 59P")</f>
        <v>SCave 59P</v>
      </c>
      <c r="F303" s="10">
        <f>IFERROR(__xludf.DUMMYFUNCTION("""COMPUTED_VALUE"""),-283.240807665999)</f>
        <v>-283.240807665999</v>
      </c>
      <c r="G303" s="10">
        <f>IFERROR(__xludf.DUMMYFUNCTION("""COMPUTED_VALUE"""),53.891660141)</f>
        <v>53.891660141</v>
      </c>
      <c r="H303" s="10">
        <f>IFERROR(__xludf.DUMMYFUNCTION("""COMPUTED_VALUE"""),62.8879730429999)</f>
        <v>62.8879730429999</v>
      </c>
      <c r="I303" s="13"/>
      <c r="J303" s="13"/>
      <c r="K303" s="13"/>
      <c r="L303" s="13"/>
      <c r="M303" s="1" t="b">
        <f>IFERROR(__xludf.DUMMYFUNCTION("""COMPUTED_VALUE"""),FALSE)</f>
        <v>0</v>
      </c>
      <c r="N303" s="10"/>
      <c r="O303" s="10"/>
      <c r="P303" s="10"/>
      <c r="Q303" s="30"/>
      <c r="R303" s="18"/>
      <c r="S303" s="19"/>
      <c r="T303" s="10"/>
      <c r="U303" s="10"/>
      <c r="V303" s="10"/>
      <c r="W303" s="10"/>
      <c r="X303" s="19"/>
      <c r="Y303" s="1"/>
      <c r="Z303" s="1"/>
      <c r="AA303" s="1"/>
    </row>
    <row r="304" customHeight="1" spans="1:27">
      <c r="A304" s="1" t="str">
        <f>IFERROR(__xludf.DUMMYFUNCTION("""COMPUTED_VALUE"""),"Daymar 44")</f>
        <v>Daymar 44</v>
      </c>
      <c r="B304" s="1" t="str">
        <f>IFERROR(__xludf.DUMMYFUNCTION("""COMPUTED_VALUE"""),"Daymar 55")</f>
        <v>Daymar 55</v>
      </c>
      <c r="C304" s="1" t="str">
        <f>IFERROR(__xludf.DUMMYFUNCTION("""COMPUTED_VALUE"""),"Daymar 56")</f>
        <v>Daymar 56</v>
      </c>
      <c r="D304" s="1" t="str">
        <f>IFERROR(__xludf.DUMMYFUNCTION("""COMPUTED_VALUE"""),"Sand Cave 17T")</f>
        <v>Sand Cave 17T</v>
      </c>
      <c r="E304" s="30" t="str">
        <f>IFERROR(__xludf.DUMMYFUNCTION("""COMPUTED_VALUE"""),"SCave 17T")</f>
        <v>SCave 17T</v>
      </c>
      <c r="F304" s="10">
        <f>IFERROR(__xludf.DUMMYFUNCTION("""COMPUTED_VALUE"""),22.7480766909999)</f>
        <v>22.7480766909999</v>
      </c>
      <c r="G304" s="10">
        <f>IFERROR(__xludf.DUMMYFUNCTION("""COMPUTED_VALUE"""),-203.775514082999)</f>
        <v>-203.775514082999</v>
      </c>
      <c r="H304" s="10">
        <f>IFERROR(__xludf.DUMMYFUNCTION("""COMPUTED_VALUE"""),212.299961776999)</f>
        <v>212.299961776999</v>
      </c>
      <c r="I304" s="13"/>
      <c r="J304" s="13"/>
      <c r="K304" s="13"/>
      <c r="L304" s="13"/>
      <c r="M304" s="1" t="b">
        <f>IFERROR(__xludf.DUMMYFUNCTION("""COMPUTED_VALUE"""),FALSE)</f>
        <v>0</v>
      </c>
      <c r="N304" s="10"/>
      <c r="O304" s="10"/>
      <c r="P304" s="10"/>
      <c r="Q304" s="30"/>
      <c r="R304" s="18"/>
      <c r="S304" s="19"/>
      <c r="T304" s="10"/>
      <c r="U304" s="10"/>
      <c r="V304" s="10"/>
      <c r="W304" s="10"/>
      <c r="X304" s="19"/>
      <c r="Y304" s="1"/>
      <c r="Z304" s="1"/>
      <c r="AA304" s="1"/>
    </row>
    <row r="305" customHeight="1" spans="1:27">
      <c r="A305" s="1" t="str">
        <f>IFERROR(__xludf.DUMMYFUNCTION("""COMPUTED_VALUE"""),"Daymar")</f>
        <v>Daymar</v>
      </c>
      <c r="B305" s="1" t="str">
        <f>IFERROR(__xludf.DUMMYFUNCTION("""COMPUTED_VALUE"""),"Daymar 77")</f>
        <v>Daymar 77</v>
      </c>
      <c r="C305" s="1"/>
      <c r="D305" s="1" t="str">
        <f>IFERROR(__xludf.DUMMYFUNCTION("""COMPUTED_VALUE"""),"Wrecks")</f>
        <v>Wrecks</v>
      </c>
      <c r="E305" s="30"/>
      <c r="F305" s="10"/>
      <c r="G305" s="10"/>
      <c r="H305" s="10"/>
      <c r="I305" s="13"/>
      <c r="J305" s="13"/>
      <c r="K305" s="13"/>
      <c r="L305" s="13"/>
      <c r="M305" s="1"/>
      <c r="N305" s="10"/>
      <c r="O305" s="10"/>
      <c r="P305" s="10"/>
      <c r="Q305" s="30"/>
      <c r="R305" s="18"/>
      <c r="S305" s="19"/>
      <c r="T305" s="10"/>
      <c r="U305" s="10"/>
      <c r="V305" s="10"/>
      <c r="W305" s="10"/>
      <c r="X305" s="19"/>
      <c r="Y305" s="1"/>
      <c r="Z305" s="1"/>
      <c r="AA305" s="1"/>
    </row>
    <row r="306" customHeight="1" spans="1:27">
      <c r="A306" s="1" t="str">
        <f>IFERROR(__xludf.DUMMYFUNCTION("""COMPUTED_VALUE"""),"Daymar 65")</f>
        <v>Daymar 65</v>
      </c>
      <c r="B306" s="1" t="str">
        <f>IFERROR(__xludf.DUMMYFUNCTION("""COMPUTED_VALUE"""),"Daymar 78")</f>
        <v>Daymar 78</v>
      </c>
      <c r="C306" s="1" t="str">
        <f>IFERROR(__xludf.DUMMYFUNCTION("""COMPUTED_VALUE"""),"Daymar 64")</f>
        <v>Daymar 64</v>
      </c>
      <c r="D306" s="1" t="str">
        <f>IFERROR(__xludf.DUMMYFUNCTION("""COMPUTED_VALUE"""),"Caterpillar Wreck")</f>
        <v>Caterpillar Wreck</v>
      </c>
      <c r="E306" s="30" t="str">
        <f>IFERROR(__xludf.DUMMYFUNCTION("""COMPUTED_VALUE"""),"Caterpillar")</f>
        <v>Caterpillar</v>
      </c>
      <c r="F306" s="10">
        <f>IFERROR(__xludf.DUMMYFUNCTION("""COMPUTED_VALUE"""),-171.449193182206)</f>
        <v>-171.449193182206</v>
      </c>
      <c r="G306" s="10">
        <f>IFERROR(__xludf.DUMMYFUNCTION("""COMPUTED_VALUE"""),-162.79850854902)</f>
        <v>-162.79850854902</v>
      </c>
      <c r="H306" s="10">
        <f>IFERROR(__xludf.DUMMYFUNCTION("""COMPUTED_VALUE"""),177.207410023949)</f>
        <v>177.207410023949</v>
      </c>
      <c r="I306" s="13"/>
      <c r="J306" s="13"/>
      <c r="K306" s="13"/>
      <c r="L306" s="13"/>
      <c r="M306" s="1" t="b">
        <f>IFERROR(__xludf.DUMMYFUNCTION("""COMPUTED_VALUE"""),FALSE)</f>
        <v>0</v>
      </c>
      <c r="N306" s="10">
        <f>IFERROR(__xludf.DUMMYFUNCTION("""COMPUTED_VALUE"""),0)</f>
        <v>0</v>
      </c>
      <c r="O306" s="10">
        <f>IFERROR(__xludf.DUMMYFUNCTION("""COMPUTED_VALUE"""),0)</f>
        <v>0</v>
      </c>
      <c r="P306" s="10"/>
      <c r="Q306" s="30"/>
      <c r="R306" s="18"/>
      <c r="S306" s="19"/>
      <c r="T306" s="10"/>
      <c r="U306" s="10"/>
      <c r="V306" s="10"/>
      <c r="W306" s="10"/>
      <c r="X306" s="19"/>
      <c r="Y306" s="1"/>
      <c r="Z306" s="1"/>
      <c r="AA306" s="1"/>
    </row>
    <row r="307" customHeight="1" spans="1:27">
      <c r="A307" s="1" t="str">
        <f>IFERROR(__xludf.DUMMYFUNCTION("""COMPUTED_VALUE"""),"Daymar 66")</f>
        <v>Daymar 66</v>
      </c>
      <c r="B307" s="1" t="str">
        <f>IFERROR(__xludf.DUMMYFUNCTION("""COMPUTED_VALUE"""),"Daymar 79")</f>
        <v>Daymar 79</v>
      </c>
      <c r="C307" s="1" t="str">
        <f>IFERROR(__xludf.DUMMYFUNCTION("""COMPUTED_VALUE"""),"Daymar 35")</f>
        <v>Daymar 35</v>
      </c>
      <c r="D307" s="1" t="str">
        <f>IFERROR(__xludf.DUMMYFUNCTION("""COMPUTED_VALUE"""),"Constellation Wreck")</f>
        <v>Constellation Wreck</v>
      </c>
      <c r="E307" s="30" t="str">
        <f>IFERROR(__xludf.DUMMYFUNCTION("""COMPUTED_VALUE"""),"Constellation")</f>
        <v>Constellation</v>
      </c>
      <c r="F307" s="10">
        <f>IFERROR(__xludf.DUMMYFUNCTION("""COMPUTED_VALUE"""),283.815823740217)</f>
        <v>283.815823740217</v>
      </c>
      <c r="G307" s="10">
        <f>IFERROR(__xludf.DUMMYFUNCTION("""COMPUTED_VALUE"""),70.5627449820607)</f>
        <v>70.5627449820607</v>
      </c>
      <c r="H307" s="10">
        <f>IFERROR(__xludf.DUMMYFUNCTION("""COMPUTED_VALUE"""),-42.2865212059616)</f>
        <v>-42.2865212059616</v>
      </c>
      <c r="I307" s="13"/>
      <c r="J307" s="13"/>
      <c r="K307" s="13"/>
      <c r="L307" s="13"/>
      <c r="M307" s="1" t="b">
        <f>IFERROR(__xludf.DUMMYFUNCTION("""COMPUTED_VALUE"""),FALSE)</f>
        <v>0</v>
      </c>
      <c r="N307" s="10">
        <f>IFERROR(__xludf.DUMMYFUNCTION("""COMPUTED_VALUE"""),0)</f>
        <v>0</v>
      </c>
      <c r="O307" s="10">
        <f>IFERROR(__xludf.DUMMYFUNCTION("""COMPUTED_VALUE"""),0)</f>
        <v>0</v>
      </c>
      <c r="P307" s="10"/>
      <c r="Q307" s="30"/>
      <c r="R307" s="18"/>
      <c r="S307" s="19"/>
      <c r="T307" s="10"/>
      <c r="U307" s="10"/>
      <c r="V307" s="10"/>
      <c r="W307" s="10"/>
      <c r="X307" s="19"/>
      <c r="Y307" s="1"/>
      <c r="Z307" s="1"/>
      <c r="AA307" s="1"/>
    </row>
    <row r="308" customHeight="1" spans="1:27">
      <c r="A308" s="1" t="str">
        <f>IFERROR(__xludf.DUMMYFUNCTION("""COMPUTED_VALUE"""),"Daymar 67")</f>
        <v>Daymar 67</v>
      </c>
      <c r="B308" s="1" t="str">
        <f>IFERROR(__xludf.DUMMYFUNCTION("""COMPUTED_VALUE"""),"Daymar 80")</f>
        <v>Daymar 80</v>
      </c>
      <c r="C308" s="1" t="str">
        <f>IFERROR(__xludf.DUMMYFUNCTION("""COMPUTED_VALUE"""),"Daymar 36")</f>
        <v>Daymar 36</v>
      </c>
      <c r="D308" s="1" t="str">
        <f>IFERROR(__xludf.DUMMYFUNCTION("""COMPUTED_VALUE"""),"Cutlass Wreck")</f>
        <v>Cutlass Wreck</v>
      </c>
      <c r="E308" s="30" t="str">
        <f>IFERROR(__xludf.DUMMYFUNCTION("""COMPUTED_VALUE"""),"Cutlass")</f>
        <v>Cutlass</v>
      </c>
      <c r="F308" s="10">
        <f>IFERROR(__xludf.DUMMYFUNCTION("""COMPUTED_VALUE"""),276.180136139909)</f>
        <v>276.180136139909</v>
      </c>
      <c r="G308" s="10">
        <f>IFERROR(__xludf.DUMMYFUNCTION("""COMPUTED_VALUE"""),65.7144948381378)</f>
        <v>65.7144948381378</v>
      </c>
      <c r="H308" s="10">
        <f>IFERROR(__xludf.DUMMYFUNCTION("""COMPUTED_VALUE"""),-80.3645423040571)</f>
        <v>-80.3645423040571</v>
      </c>
      <c r="I308" s="13"/>
      <c r="J308" s="13"/>
      <c r="K308" s="13"/>
      <c r="L308" s="13"/>
      <c r="M308" s="1" t="b">
        <f>IFERROR(__xludf.DUMMYFUNCTION("""COMPUTED_VALUE"""),FALSE)</f>
        <v>0</v>
      </c>
      <c r="N308" s="10">
        <f>IFERROR(__xludf.DUMMYFUNCTION("""COMPUTED_VALUE"""),0)</f>
        <v>0</v>
      </c>
      <c r="O308" s="10">
        <f>IFERROR(__xludf.DUMMYFUNCTION("""COMPUTED_VALUE"""),0)</f>
        <v>0</v>
      </c>
      <c r="P308" s="10"/>
      <c r="Q308" s="30"/>
      <c r="R308" s="18"/>
      <c r="S308" s="19"/>
      <c r="T308" s="10"/>
      <c r="U308" s="10"/>
      <c r="V308" s="10"/>
      <c r="W308" s="10"/>
      <c r="X308" s="19"/>
      <c r="Y308" s="1"/>
      <c r="Z308" s="1"/>
      <c r="AA308" s="1"/>
    </row>
    <row r="309" customHeight="1" spans="1:27">
      <c r="A309" s="1" t="str">
        <f>IFERROR(__xludf.DUMMYFUNCTION("""COMPUTED_VALUE"""),"Daymar 68")</f>
        <v>Daymar 68</v>
      </c>
      <c r="B309" s="1" t="str">
        <f>IFERROR(__xludf.DUMMYFUNCTION("""COMPUTED_VALUE"""),"Daymar 81")</f>
        <v>Daymar 81</v>
      </c>
      <c r="C309" s="1" t="str">
        <f>IFERROR(__xludf.DUMMYFUNCTION("""COMPUTED_VALUE"""),"Daymar 55")</f>
        <v>Daymar 55</v>
      </c>
      <c r="D309" s="1" t="str">
        <f>IFERROR(__xludf.DUMMYFUNCTION("""COMPUTED_VALUE"""),"Freelancer Wreck")</f>
        <v>Freelancer Wreck</v>
      </c>
      <c r="E309" s="30" t="str">
        <f>IFERROR(__xludf.DUMMYFUNCTION("""COMPUTED_VALUE"""),"Freelancer")</f>
        <v>Freelancer</v>
      </c>
      <c r="F309" s="10">
        <f>IFERROR(__xludf.DUMMYFUNCTION("""COMPUTED_VALUE"""),4.770952217)</f>
        <v>4.770952217</v>
      </c>
      <c r="G309" s="10">
        <f>IFERROR(__xludf.DUMMYFUNCTION("""COMPUTED_VALUE"""),-38.4104692989999)</f>
        <v>-38.4104692989999</v>
      </c>
      <c r="H309" s="10">
        <f>IFERROR(__xludf.DUMMYFUNCTION("""COMPUTED_VALUE"""),292.843066687999)</f>
        <v>292.843066687999</v>
      </c>
      <c r="I309" s="13"/>
      <c r="J309" s="13"/>
      <c r="K309" s="13"/>
      <c r="L309" s="13"/>
      <c r="M309" s="1" t="b">
        <f>IFERROR(__xludf.DUMMYFUNCTION("""COMPUTED_VALUE"""),FALSE)</f>
        <v>0</v>
      </c>
      <c r="N309" s="10">
        <f>IFERROR(__xludf.DUMMYFUNCTION("""COMPUTED_VALUE"""),0)</f>
        <v>0</v>
      </c>
      <c r="O309" s="10">
        <f>IFERROR(__xludf.DUMMYFUNCTION("""COMPUTED_VALUE"""),0)</f>
        <v>0</v>
      </c>
      <c r="P309" s="10"/>
      <c r="Q309" s="30"/>
      <c r="R309" s="18"/>
      <c r="S309" s="19"/>
      <c r="T309" s="10"/>
      <c r="U309" s="10"/>
      <c r="V309" s="10"/>
      <c r="W309" s="10"/>
      <c r="X309" s="19"/>
      <c r="Y309" s="1"/>
      <c r="Z309" s="1"/>
      <c r="AA309" s="1"/>
    </row>
    <row r="310" customHeight="1" spans="1:27">
      <c r="A310" s="1" t="str">
        <f>IFERROR(__xludf.DUMMYFUNCTION("""COMPUTED_VALUE"""),"Daymar 69")</f>
        <v>Daymar 69</v>
      </c>
      <c r="B310" s="1" t="str">
        <f>IFERROR(__xludf.DUMMYFUNCTION("""COMPUTED_VALUE"""),"Daymar 82")</f>
        <v>Daymar 82</v>
      </c>
      <c r="C310" s="1" t="str">
        <f>IFERROR(__xludf.DUMMYFUNCTION("""COMPUTED_VALUE"""),"Daymar 27")</f>
        <v>Daymar 27</v>
      </c>
      <c r="D310" s="1" t="str">
        <f>IFERROR(__xludf.DUMMYFUNCTION("""COMPUTED_VALUE"""),"Javelin Wreck")</f>
        <v>Javelin Wreck</v>
      </c>
      <c r="E310" s="30" t="str">
        <f>IFERROR(__xludf.DUMMYFUNCTION("""COMPUTED_VALUE"""),"Javelin")</f>
        <v>Javelin</v>
      </c>
      <c r="F310" s="10">
        <f>IFERROR(__xludf.DUMMYFUNCTION("""COMPUTED_VALUE"""),102.055000562717)</f>
        <v>102.055000562717</v>
      </c>
      <c r="G310" s="10">
        <f>IFERROR(__xludf.DUMMYFUNCTION("""COMPUTED_VALUE"""),267.619095225614)</f>
        <v>267.619095225614</v>
      </c>
      <c r="H310" s="10">
        <f>IFERROR(__xludf.DUMMYFUNCTION("""COMPUTED_VALUE"""),-70.8555707031878)</f>
        <v>-70.8555707031878</v>
      </c>
      <c r="I310" s="13"/>
      <c r="J310" s="13"/>
      <c r="K310" s="13"/>
      <c r="L310" s="13"/>
      <c r="M310" s="1" t="b">
        <f>IFERROR(__xludf.DUMMYFUNCTION("""COMPUTED_VALUE"""),FALSE)</f>
        <v>0</v>
      </c>
      <c r="N310" s="10">
        <f>IFERROR(__xludf.DUMMYFUNCTION("""COMPUTED_VALUE"""),0)</f>
        <v>0</v>
      </c>
      <c r="O310" s="10">
        <f>IFERROR(__xludf.DUMMYFUNCTION("""COMPUTED_VALUE"""),0)</f>
        <v>0</v>
      </c>
      <c r="P310" s="10"/>
      <c r="Q310" s="30"/>
      <c r="R310" s="18"/>
      <c r="S310" s="19"/>
      <c r="T310" s="10"/>
      <c r="U310" s="10"/>
      <c r="V310" s="10"/>
      <c r="W310" s="10"/>
      <c r="X310" s="19"/>
      <c r="Y310" s="1"/>
      <c r="Z310" s="1"/>
      <c r="AA310" s="1"/>
    </row>
    <row r="311" customHeight="1" spans="1:27">
      <c r="A311" s="1" t="str">
        <f>IFERROR(__xludf.DUMMYFUNCTION("""COMPUTED_VALUE"""),"Daymar 70")</f>
        <v>Daymar 70</v>
      </c>
      <c r="B311" s="1" t="str">
        <f>IFERROR(__xludf.DUMMYFUNCTION("""COMPUTED_VALUE"""),"Daymar 83")</f>
        <v>Daymar 83</v>
      </c>
      <c r="C311" s="1" t="str">
        <f>IFERROR(__xludf.DUMMYFUNCTION("""COMPUTED_VALUE"""),"Daymar 13")</f>
        <v>Daymar 13</v>
      </c>
      <c r="D311" s="1" t="str">
        <f>IFERROR(__xludf.DUMMYFUNCTION("""COMPUTED_VALUE"""),"Starfarer Wreck")</f>
        <v>Starfarer Wreck</v>
      </c>
      <c r="E311" s="30" t="str">
        <f>IFERROR(__xludf.DUMMYFUNCTION("""COMPUTED_VALUE"""),"Starfarer")</f>
        <v>Starfarer</v>
      </c>
      <c r="F311" s="10">
        <f>IFERROR(__xludf.DUMMYFUNCTION("""COMPUTED_VALUE"""),-65.4188863955061)</f>
        <v>-65.4188863955061</v>
      </c>
      <c r="G311" s="10">
        <f>IFERROR(__xludf.DUMMYFUNCTION("""COMPUTED_VALUE"""),231.089198548902)</f>
        <v>231.089198548902</v>
      </c>
      <c r="H311" s="10">
        <f>IFERROR(__xludf.DUMMYFUNCTION("""COMPUTED_VALUE"""),172.040920936997)</f>
        <v>172.040920936997</v>
      </c>
      <c r="I311" s="13"/>
      <c r="J311" s="13"/>
      <c r="K311" s="13"/>
      <c r="L311" s="13"/>
      <c r="M311" s="1" t="b">
        <f>IFERROR(__xludf.DUMMYFUNCTION("""COMPUTED_VALUE"""),FALSE)</f>
        <v>0</v>
      </c>
      <c r="N311" s="10">
        <f>IFERROR(__xludf.DUMMYFUNCTION("""COMPUTED_VALUE"""),0)</f>
        <v>0</v>
      </c>
      <c r="O311" s="10">
        <f>IFERROR(__xludf.DUMMYFUNCTION("""COMPUTED_VALUE"""),0)</f>
        <v>0</v>
      </c>
      <c r="P311" s="10"/>
      <c r="Q311" s="30"/>
      <c r="R311" s="18"/>
      <c r="S311" s="19"/>
      <c r="T311" s="10"/>
      <c r="U311" s="10"/>
      <c r="V311" s="10"/>
      <c r="W311" s="10"/>
      <c r="X311" s="19"/>
      <c r="Y311" s="1"/>
      <c r="Z311" s="1"/>
      <c r="AA311" s="1"/>
    </row>
    <row r="312" customHeight="1" spans="1:27">
      <c r="A312" s="1" t="str">
        <f>IFERROR(__xludf.DUMMYFUNCTION("""COMPUTED_VALUE"""),"Daymar")</f>
        <v>Daymar</v>
      </c>
      <c r="B312" s="1" t="str">
        <f>IFERROR(__xludf.DUMMYFUNCTION("""COMPUTED_VALUE"""),"Daymar 85")</f>
        <v>Daymar 85</v>
      </c>
      <c r="C312" s="1"/>
      <c r="D312" s="1" t="str">
        <f>IFERROR(__xludf.DUMMYFUNCTION("""COMPUTED_VALUE"""),"Comm Array")</f>
        <v>Comm Array</v>
      </c>
      <c r="E312" s="30"/>
      <c r="F312" s="10"/>
      <c r="G312" s="10"/>
      <c r="H312" s="10"/>
      <c r="I312" s="13"/>
      <c r="J312" s="13"/>
      <c r="K312" s="13"/>
      <c r="L312" s="13"/>
      <c r="M312" s="1"/>
      <c r="N312" s="10"/>
      <c r="O312" s="10"/>
      <c r="P312" s="10"/>
      <c r="Q312" s="30"/>
      <c r="R312" s="18"/>
      <c r="S312" s="19"/>
      <c r="T312" s="10"/>
      <c r="U312" s="10"/>
      <c r="V312" s="10"/>
      <c r="W312" s="10"/>
      <c r="X312" s="19"/>
      <c r="Y312" s="1"/>
      <c r="Z312" s="1"/>
      <c r="AA312" s="1"/>
    </row>
    <row r="313" customHeight="1" spans="1:27">
      <c r="A313" s="1" t="str">
        <f>IFERROR(__xludf.DUMMYFUNCTION("""COMPUTED_VALUE"""),"Daymar 20")</f>
        <v>Daymar 20</v>
      </c>
      <c r="B313" s="1" t="str">
        <f>IFERROR(__xludf.DUMMYFUNCTION("""COMPUTED_VALUE"""),"Daymar 86")</f>
        <v>Daymar 86</v>
      </c>
      <c r="C313" s="1" t="str">
        <f>IFERROR(__xludf.DUMMYFUNCTION("""COMPUTED_VALUE"""),"Daymar 69")</f>
        <v>Daymar 69</v>
      </c>
      <c r="D313" s="1" t="str">
        <f>IFERROR(__xludf.DUMMYFUNCTION("""COMPUTED_VALUE"""),"Comm Array ST2-47")</f>
        <v>Comm Array ST2-47</v>
      </c>
      <c r="E313" s="30" t="str">
        <f>IFERROR(__xludf.DUMMYFUNCTION("""COMPUTED_VALUE"""),"ST2-47")</f>
        <v>ST2-47</v>
      </c>
      <c r="F313" s="10">
        <f>IFERROR(__xludf.DUMMYFUNCTION("""COMPUTED_VALUE"""),-435.617263698578)</f>
        <v>-435.617263698578</v>
      </c>
      <c r="G313" s="10">
        <f>IFERROR(__xludf.DUMMYFUNCTION("""COMPUTED_VALUE"""),-146.995807350159)</f>
        <v>-146.995807350159</v>
      </c>
      <c r="H313" s="10">
        <f>IFERROR(__xludf.DUMMYFUNCTION("""COMPUTED_VALUE"""),24)</f>
        <v>24</v>
      </c>
      <c r="I313" s="13"/>
      <c r="J313" s="13"/>
      <c r="K313" s="13"/>
      <c r="L313" s="13"/>
      <c r="M313" s="1" t="b">
        <f>IFERROR(__xludf.DUMMYFUNCTION("""COMPUTED_VALUE"""),TRUE)</f>
        <v>1</v>
      </c>
      <c r="N313" s="10">
        <f>IFERROR(__xludf.DUMMYFUNCTION("""COMPUTED_VALUE"""),0)</f>
        <v>0</v>
      </c>
      <c r="O313" s="10">
        <f>IFERROR(__xludf.DUMMYFUNCTION("""COMPUTED_VALUE"""),0)</f>
        <v>0</v>
      </c>
      <c r="P313" s="10"/>
      <c r="Q313" s="30"/>
      <c r="R313" s="18"/>
      <c r="S313" s="19"/>
      <c r="T313" s="10"/>
      <c r="U313" s="10"/>
      <c r="V313" s="10"/>
      <c r="W313" s="10"/>
      <c r="X313" s="19"/>
      <c r="Y313" s="1"/>
      <c r="Z313" s="1"/>
      <c r="AA313" s="1"/>
    </row>
    <row r="314" customHeight="1" spans="1:27">
      <c r="A314" s="1"/>
      <c r="B314" s="1"/>
      <c r="C314" s="1"/>
      <c r="D314" s="1"/>
      <c r="E314" s="30"/>
      <c r="F314" s="10"/>
      <c r="G314" s="10"/>
      <c r="H314" s="10"/>
      <c r="I314" s="13"/>
      <c r="J314" s="13"/>
      <c r="K314" s="13"/>
      <c r="L314" s="13"/>
      <c r="M314" s="1"/>
      <c r="N314" s="10"/>
      <c r="O314" s="10"/>
      <c r="P314" s="10"/>
      <c r="Q314" s="30"/>
      <c r="R314" s="18"/>
      <c r="S314" s="19"/>
      <c r="T314" s="10"/>
      <c r="U314" s="10"/>
      <c r="V314" s="10"/>
      <c r="W314" s="10"/>
      <c r="X314" s="19"/>
      <c r="Y314" s="1"/>
      <c r="Z314" s="1"/>
      <c r="AA314" s="1"/>
    </row>
    <row r="315" customHeight="1" spans="1:27">
      <c r="A315" s="1" t="str">
        <f>IFERROR(__xludf.DUMMYFUNCTION("""COMPUTED_VALUE"""),"Euterpe R01")</f>
        <v>Euterpe R01</v>
      </c>
      <c r="B315" s="1" t="str">
        <f>IFERROR(__xludf.DUMMYFUNCTION("""COMPUTED_VALUE"""),"Euterpe 35")</f>
        <v>Euterpe 35</v>
      </c>
      <c r="C315" s="1"/>
      <c r="D315" s="1" t="str">
        <f>IFERROR(__xludf.DUMMYFUNCTION("""COMPUTED_VALUE"""),"OM-1")</f>
        <v>OM-1</v>
      </c>
      <c r="E315" s="30" t="str">
        <f>IFERROR(__xludf.DUMMYFUNCTION("""COMPUTED_VALUE"""),"OM1")</f>
        <v>OM1</v>
      </c>
      <c r="F315" s="10">
        <f>IFERROR(__xludf.DUMMYFUNCTION("""COMPUTED_VALUE"""),0)</f>
        <v>0</v>
      </c>
      <c r="G315" s="10">
        <f>IFERROR(__xludf.DUMMYFUNCTION("""COMPUTED_VALUE"""),0)</f>
        <v>0</v>
      </c>
      <c r="H315" s="10">
        <f>IFERROR(__xludf.DUMMYFUNCTION("""COMPUTED_VALUE"""),314.031)</f>
        <v>314.031</v>
      </c>
      <c r="I315" s="13"/>
      <c r="J315" s="13"/>
      <c r="K315" s="13"/>
      <c r="L315" s="13"/>
      <c r="M315" s="1" t="b">
        <f>IFERROR(__xludf.DUMMYFUNCTION("""COMPUTED_VALUE"""),TRUE)</f>
        <v>1</v>
      </c>
      <c r="N315" s="10">
        <f>IFERROR(__xludf.DUMMYFUNCTION("""COMPUTED_VALUE"""),0)</f>
        <v>0</v>
      </c>
      <c r="O315" s="10">
        <f>IFERROR(__xludf.DUMMYFUNCTION("""COMPUTED_VALUE"""),0)</f>
        <v>0</v>
      </c>
      <c r="P315" s="10"/>
      <c r="Q315" s="30"/>
      <c r="R315" s="18"/>
      <c r="S315" s="19"/>
      <c r="T315" s="10"/>
      <c r="U315" s="10"/>
      <c r="V315" s="10"/>
      <c r="W315" s="10"/>
      <c r="X315" s="19"/>
      <c r="Y315" s="1"/>
      <c r="Z315" s="1"/>
      <c r="AA315" s="1"/>
    </row>
    <row r="316" customHeight="1" spans="1:27">
      <c r="A316" s="1" t="str">
        <f>IFERROR(__xludf.DUMMYFUNCTION("""COMPUTED_VALUE"""),"Euterpe R02")</f>
        <v>Euterpe R02</v>
      </c>
      <c r="B316" s="1" t="str">
        <f>IFERROR(__xludf.DUMMYFUNCTION("""COMPUTED_VALUE"""),"Euterpe 36")</f>
        <v>Euterpe 36</v>
      </c>
      <c r="C316" s="1"/>
      <c r="D316" s="1" t="str">
        <f>IFERROR(__xludf.DUMMYFUNCTION("""COMPUTED_VALUE"""),"OM-2")</f>
        <v>OM-2</v>
      </c>
      <c r="E316" s="30" t="str">
        <f>IFERROR(__xludf.DUMMYFUNCTION("""COMPUTED_VALUE"""),"OM2")</f>
        <v>OM2</v>
      </c>
      <c r="F316" s="10">
        <f>IFERROR(__xludf.DUMMYFUNCTION("""COMPUTED_VALUE"""),0)</f>
        <v>0</v>
      </c>
      <c r="G316" s="10">
        <f>IFERROR(__xludf.DUMMYFUNCTION("""COMPUTED_VALUE"""),0)</f>
        <v>0</v>
      </c>
      <c r="H316" s="10">
        <f>IFERROR(__xludf.DUMMYFUNCTION("""COMPUTED_VALUE"""),-314.031)</f>
        <v>-314.031</v>
      </c>
      <c r="I316" s="13"/>
      <c r="J316" s="13"/>
      <c r="K316" s="13"/>
      <c r="L316" s="13"/>
      <c r="M316" s="1" t="b">
        <f>IFERROR(__xludf.DUMMYFUNCTION("""COMPUTED_VALUE"""),TRUE)</f>
        <v>1</v>
      </c>
      <c r="N316" s="10">
        <f>IFERROR(__xludf.DUMMYFUNCTION("""COMPUTED_VALUE"""),0)</f>
        <v>0</v>
      </c>
      <c r="O316" s="10">
        <f>IFERROR(__xludf.DUMMYFUNCTION("""COMPUTED_VALUE"""),0)</f>
        <v>0</v>
      </c>
      <c r="P316" s="10"/>
      <c r="Q316" s="30"/>
      <c r="R316" s="18"/>
      <c r="S316" s="19"/>
      <c r="T316" s="10"/>
      <c r="U316" s="10"/>
      <c r="V316" s="10"/>
      <c r="W316" s="10"/>
      <c r="X316" s="19"/>
      <c r="Y316" s="1"/>
      <c r="Z316" s="1"/>
      <c r="AA316" s="1"/>
    </row>
    <row r="317" customHeight="1" spans="1:27">
      <c r="A317" s="1" t="str">
        <f>IFERROR(__xludf.DUMMYFUNCTION("""COMPUTED_VALUE"""),"Euterpe R03")</f>
        <v>Euterpe R03</v>
      </c>
      <c r="B317" s="1" t="str">
        <f>IFERROR(__xludf.DUMMYFUNCTION("""COMPUTED_VALUE"""),"Euterpe 37")</f>
        <v>Euterpe 37</v>
      </c>
      <c r="C317" s="1" t="str">
        <f>IFERROR(__xludf.DUMMYFUNCTION("""COMPUTED_VALUE"""),"Euterpe 03")</f>
        <v>Euterpe 03</v>
      </c>
      <c r="D317" s="1" t="str">
        <f>IFERROR(__xludf.DUMMYFUNCTION("""COMPUTED_VALUE"""),"OM-3")</f>
        <v>OM-3</v>
      </c>
      <c r="E317" s="30" t="str">
        <f>IFERROR(__xludf.DUMMYFUNCTION("""COMPUTED_VALUE"""),"OM3")</f>
        <v>OM3</v>
      </c>
      <c r="F317" s="10">
        <f>IFERROR(__xludf.DUMMYFUNCTION("""COMPUTED_VALUE"""),0)</f>
        <v>0</v>
      </c>
      <c r="G317" s="10">
        <f>IFERROR(__xludf.DUMMYFUNCTION("""COMPUTED_VALUE"""),314.031)</f>
        <v>314.031</v>
      </c>
      <c r="H317" s="10">
        <f>IFERROR(__xludf.DUMMYFUNCTION("""COMPUTED_VALUE"""),0)</f>
        <v>0</v>
      </c>
      <c r="I317" s="13"/>
      <c r="J317" s="13"/>
      <c r="K317" s="13"/>
      <c r="L317" s="13"/>
      <c r="M317" s="1" t="b">
        <f>IFERROR(__xludf.DUMMYFUNCTION("""COMPUTED_VALUE"""),TRUE)</f>
        <v>1</v>
      </c>
      <c r="N317" s="10">
        <f>IFERROR(__xludf.DUMMYFUNCTION("""COMPUTED_VALUE"""),0)</f>
        <v>0</v>
      </c>
      <c r="O317" s="10">
        <f>IFERROR(__xludf.DUMMYFUNCTION("""COMPUTED_VALUE"""),0)</f>
        <v>0</v>
      </c>
      <c r="P317" s="10"/>
      <c r="Q317" s="30"/>
      <c r="R317" s="18"/>
      <c r="S317" s="19"/>
      <c r="T317" s="10"/>
      <c r="U317" s="10"/>
      <c r="V317" s="10"/>
      <c r="W317" s="10"/>
      <c r="X317" s="19"/>
      <c r="Y317" s="1"/>
      <c r="Z317" s="1"/>
      <c r="AA317" s="1"/>
    </row>
    <row r="318" customHeight="1" spans="1:27">
      <c r="A318" s="1" t="str">
        <f>IFERROR(__xludf.DUMMYFUNCTION("""COMPUTED_VALUE"""),"Euterpe R04")</f>
        <v>Euterpe R04</v>
      </c>
      <c r="B318" s="1" t="str">
        <f>IFERROR(__xludf.DUMMYFUNCTION("""COMPUTED_VALUE"""),"Euterpe 38")</f>
        <v>Euterpe 38</v>
      </c>
      <c r="C318" s="1" t="str">
        <f>IFERROR(__xludf.DUMMYFUNCTION("""COMPUTED_VALUE"""),"Euterpe 20")</f>
        <v>Euterpe 20</v>
      </c>
      <c r="D318" s="1" t="str">
        <f>IFERROR(__xludf.DUMMYFUNCTION("""COMPUTED_VALUE"""),"OM-4")</f>
        <v>OM-4</v>
      </c>
      <c r="E318" s="30" t="str">
        <f>IFERROR(__xludf.DUMMYFUNCTION("""COMPUTED_VALUE"""),"OM4")</f>
        <v>OM4</v>
      </c>
      <c r="F318" s="10">
        <f>IFERROR(__xludf.DUMMYFUNCTION("""COMPUTED_VALUE"""),0)</f>
        <v>0</v>
      </c>
      <c r="G318" s="10">
        <f>IFERROR(__xludf.DUMMYFUNCTION("""COMPUTED_VALUE"""),-314.031)</f>
        <v>-314.031</v>
      </c>
      <c r="H318" s="10">
        <f>IFERROR(__xludf.DUMMYFUNCTION("""COMPUTED_VALUE"""),0)</f>
        <v>0</v>
      </c>
      <c r="I318" s="13"/>
      <c r="J318" s="13"/>
      <c r="K318" s="13"/>
      <c r="L318" s="13"/>
      <c r="M318" s="1" t="b">
        <f>IFERROR(__xludf.DUMMYFUNCTION("""COMPUTED_VALUE"""),TRUE)</f>
        <v>1</v>
      </c>
      <c r="N318" s="10">
        <f>IFERROR(__xludf.DUMMYFUNCTION("""COMPUTED_VALUE"""),0)</f>
        <v>0</v>
      </c>
      <c r="O318" s="10">
        <f>IFERROR(__xludf.DUMMYFUNCTION("""COMPUTED_VALUE"""),0)</f>
        <v>0</v>
      </c>
      <c r="P318" s="10"/>
      <c r="Q318" s="30"/>
      <c r="R318" s="18"/>
      <c r="S318" s="19"/>
      <c r="T318" s="10"/>
      <c r="U318" s="10"/>
      <c r="V318" s="10"/>
      <c r="W318" s="10"/>
      <c r="X318" s="19"/>
      <c r="Y318" s="1"/>
      <c r="Z318" s="1"/>
      <c r="AA318" s="1"/>
    </row>
    <row r="319" customHeight="1" spans="1:27">
      <c r="A319" s="1" t="str">
        <f>IFERROR(__xludf.DUMMYFUNCTION("""COMPUTED_VALUE"""),"Euterpe R05")</f>
        <v>Euterpe R05</v>
      </c>
      <c r="B319" s="1" t="str">
        <f>IFERROR(__xludf.DUMMYFUNCTION("""COMPUTED_VALUE"""),"Euterpe 39")</f>
        <v>Euterpe 39</v>
      </c>
      <c r="C319" s="1" t="str">
        <f>IFERROR(__xludf.DUMMYFUNCTION("""COMPUTED_VALUE"""),"Euterpe 12")</f>
        <v>Euterpe 12</v>
      </c>
      <c r="D319" s="1" t="str">
        <f>IFERROR(__xludf.DUMMYFUNCTION("""COMPUTED_VALUE"""),"OM-5")</f>
        <v>OM-5</v>
      </c>
      <c r="E319" s="30" t="str">
        <f>IFERROR(__xludf.DUMMYFUNCTION("""COMPUTED_VALUE"""),"OM5")</f>
        <v>OM5</v>
      </c>
      <c r="F319" s="10">
        <f>IFERROR(__xludf.DUMMYFUNCTION("""COMPUTED_VALUE"""),314.031)</f>
        <v>314.031</v>
      </c>
      <c r="G319" s="10">
        <f>IFERROR(__xludf.DUMMYFUNCTION("""COMPUTED_VALUE"""),0)</f>
        <v>0</v>
      </c>
      <c r="H319" s="10">
        <f>IFERROR(__xludf.DUMMYFUNCTION("""COMPUTED_VALUE"""),0)</f>
        <v>0</v>
      </c>
      <c r="I319" s="13"/>
      <c r="J319" s="13"/>
      <c r="K319" s="13"/>
      <c r="L319" s="13"/>
      <c r="M319" s="1" t="b">
        <f>IFERROR(__xludf.DUMMYFUNCTION("""COMPUTED_VALUE"""),TRUE)</f>
        <v>1</v>
      </c>
      <c r="N319" s="10">
        <f>IFERROR(__xludf.DUMMYFUNCTION("""COMPUTED_VALUE"""),0)</f>
        <v>0</v>
      </c>
      <c r="O319" s="10">
        <f>IFERROR(__xludf.DUMMYFUNCTION("""COMPUTED_VALUE"""),0)</f>
        <v>0</v>
      </c>
      <c r="P319" s="10"/>
      <c r="Q319" s="30"/>
      <c r="R319" s="18"/>
      <c r="S319" s="19"/>
      <c r="T319" s="10"/>
      <c r="U319" s="10"/>
      <c r="V319" s="10"/>
      <c r="W319" s="10"/>
      <c r="X319" s="19"/>
      <c r="Y319" s="1"/>
      <c r="Z319" s="1"/>
      <c r="AA319" s="1"/>
    </row>
    <row r="320" customHeight="1" spans="1:27">
      <c r="A320" s="1" t="str">
        <f>IFERROR(__xludf.DUMMYFUNCTION("""COMPUTED_VALUE"""),"Euterpe R06")</f>
        <v>Euterpe R06</v>
      </c>
      <c r="B320" s="1" t="str">
        <f>IFERROR(__xludf.DUMMYFUNCTION("""COMPUTED_VALUE"""),"Euterpe 40")</f>
        <v>Euterpe 40</v>
      </c>
      <c r="C320" s="1" t="str">
        <f>IFERROR(__xludf.DUMMYFUNCTION("""COMPUTED_VALUE"""),"Euterpe 27")</f>
        <v>Euterpe 27</v>
      </c>
      <c r="D320" s="1" t="str">
        <f>IFERROR(__xludf.DUMMYFUNCTION("""COMPUTED_VALUE"""),"OM-6")</f>
        <v>OM-6</v>
      </c>
      <c r="E320" s="30" t="str">
        <f>IFERROR(__xludf.DUMMYFUNCTION("""COMPUTED_VALUE"""),"OM6")</f>
        <v>OM6</v>
      </c>
      <c r="F320" s="10">
        <f>IFERROR(__xludf.DUMMYFUNCTION("""COMPUTED_VALUE"""),-314.031)</f>
        <v>-314.031</v>
      </c>
      <c r="G320" s="10">
        <f>IFERROR(__xludf.DUMMYFUNCTION("""COMPUTED_VALUE"""),0)</f>
        <v>0</v>
      </c>
      <c r="H320" s="10">
        <f>IFERROR(__xludf.DUMMYFUNCTION("""COMPUTED_VALUE"""),0)</f>
        <v>0</v>
      </c>
      <c r="I320" s="13"/>
      <c r="J320" s="13"/>
      <c r="K320" s="13"/>
      <c r="L320" s="13"/>
      <c r="M320" s="1" t="b">
        <f>IFERROR(__xludf.DUMMYFUNCTION("""COMPUTED_VALUE"""),TRUE)</f>
        <v>1</v>
      </c>
      <c r="N320" s="10">
        <f>IFERROR(__xludf.DUMMYFUNCTION("""COMPUTED_VALUE"""),0)</f>
        <v>0</v>
      </c>
      <c r="O320" s="10">
        <f>IFERROR(__xludf.DUMMYFUNCTION("""COMPUTED_VALUE"""),0)</f>
        <v>0</v>
      </c>
      <c r="P320" s="10"/>
      <c r="Q320" s="30"/>
      <c r="R320" s="18"/>
      <c r="S320" s="19"/>
      <c r="T320" s="10"/>
      <c r="U320" s="10"/>
      <c r="V320" s="10"/>
      <c r="W320" s="10"/>
      <c r="X320" s="19"/>
      <c r="Y320" s="1"/>
      <c r="Z320" s="1"/>
      <c r="AA320" s="1"/>
    </row>
    <row r="321" customHeight="1" spans="1:27">
      <c r="A321" s="1" t="str">
        <f>IFERROR(__xludf.DUMMYFUNCTION("""COMPUTED_VALUE"""),"Euterpe")</f>
        <v>Euterpe</v>
      </c>
      <c r="B321" s="1" t="str">
        <f>IFERROR(__xludf.DUMMYFUNCTION("""COMPUTED_VALUE"""),"Euterpe 00")</f>
        <v>Euterpe 00</v>
      </c>
      <c r="C321" s="1"/>
      <c r="D321" s="1" t="str">
        <f>IFERROR(__xludf.DUMMYFUNCTION("""COMPUTED_VALUE"""),"Trading Terminals")</f>
        <v>Trading Terminals</v>
      </c>
      <c r="E321" s="30"/>
      <c r="F321" s="10"/>
      <c r="G321" s="10"/>
      <c r="H321" s="10"/>
      <c r="I321" s="13"/>
      <c r="J321" s="13"/>
      <c r="K321" s="13"/>
      <c r="L321" s="13"/>
      <c r="M321" s="1"/>
      <c r="N321" s="10"/>
      <c r="O321" s="10"/>
      <c r="P321" s="10"/>
      <c r="Q321" s="30"/>
      <c r="R321" s="18"/>
      <c r="S321" s="19"/>
      <c r="T321" s="10"/>
      <c r="U321" s="10"/>
      <c r="V321" s="10"/>
      <c r="W321" s="10"/>
      <c r="X321" s="19"/>
      <c r="Y321" s="1"/>
      <c r="Z321" s="1"/>
      <c r="AA321" s="1"/>
    </row>
    <row r="322" customHeight="1" spans="1:27">
      <c r="A322" s="1" t="str">
        <f>IFERROR(__xludf.DUMMYFUNCTION("""COMPUTED_VALUE"""),"Euterpe 01")</f>
        <v>Euterpe 01</v>
      </c>
      <c r="B322" s="1" t="str">
        <f>IFERROR(__xludf.DUMMYFUNCTION("""COMPUTED_VALUE"""),"Euterpe 01")</f>
        <v>Euterpe 01</v>
      </c>
      <c r="C322" s="1" t="str">
        <f>IFERROR(__xludf.DUMMYFUNCTION("""COMPUTED_VALUE"""),"Euterpe 17")</f>
        <v>Euterpe 17</v>
      </c>
      <c r="D322" s="1" t="str">
        <f>IFERROR(__xludf.DUMMYFUNCTION("""COMPUTED_VALUE"""),"Bud's Growery")</f>
        <v>Bud's Growery</v>
      </c>
      <c r="E322" s="30" t="str">
        <f>IFERROR(__xludf.DUMMYFUNCTION("""COMPUTED_VALUE"""),"Growery")</f>
        <v>Growery</v>
      </c>
      <c r="F322" s="10">
        <f>IFERROR(__xludf.DUMMYFUNCTION("""COMPUTED_VALUE"""),50.1732763619999)</f>
        <v>50.1732763619999</v>
      </c>
      <c r="G322" s="10">
        <f>IFERROR(__xludf.DUMMYFUNCTION("""COMPUTED_VALUE"""),-172.25918413)</f>
        <v>-172.25918413</v>
      </c>
      <c r="H322" s="10">
        <f>IFERROR(__xludf.DUMMYFUNCTION("""COMPUTED_VALUE"""),115.270872745)</f>
        <v>115.270872745</v>
      </c>
      <c r="I322" s="13"/>
      <c r="J322" s="13"/>
      <c r="K322" s="13"/>
      <c r="L322" s="13"/>
      <c r="M322" s="1" t="b">
        <f>IFERROR(__xludf.DUMMYFUNCTION("""COMPUTED_VALUE"""),TRUE)</f>
        <v>1</v>
      </c>
      <c r="N322" s="10">
        <f>IFERROR(__xludf.DUMMYFUNCTION("""COMPUTED_VALUE"""),0)</f>
        <v>0</v>
      </c>
      <c r="O322" s="10">
        <f>IFERROR(__xludf.DUMMYFUNCTION("""COMPUTED_VALUE"""),0)</f>
        <v>0</v>
      </c>
      <c r="P322" s="10"/>
      <c r="Q322" s="30"/>
      <c r="R322" s="18"/>
      <c r="S322" s="19"/>
      <c r="T322" s="10"/>
      <c r="U322" s="10"/>
      <c r="V322" s="10"/>
      <c r="W322" s="10"/>
      <c r="X322" s="19"/>
      <c r="Y322" s="1"/>
      <c r="Z322" s="1"/>
      <c r="AA322" s="1"/>
    </row>
    <row r="323" customHeight="1" spans="1:27">
      <c r="A323" s="1" t="str">
        <f>IFERROR(__xludf.DUMMYFUNCTION("""COMPUTED_VALUE"""),"Euterpe 02")</f>
        <v>Euterpe 02</v>
      </c>
      <c r="B323" s="1" t="str">
        <f>IFERROR(__xludf.DUMMYFUNCTION("""COMPUTED_VALUE"""),"Euterpe 02")</f>
        <v>Euterpe 02</v>
      </c>
      <c r="C323" s="1" t="str">
        <f>IFERROR(__xludf.DUMMYFUNCTION("""COMPUTED_VALUE"""),"Euterpe 05")</f>
        <v>Euterpe 05</v>
      </c>
      <c r="D323" s="1" t="str">
        <f>IFERROR(__xludf.DUMMYFUNCTION("""COMPUTED_VALUE"""),"Devlin Scrap &amp; Salvage")</f>
        <v>Devlin Scrap &amp; Salvage</v>
      </c>
      <c r="E323" s="30" t="str">
        <f>IFERROR(__xludf.DUMMYFUNCTION("""COMPUTED_VALUE"""),"Devlin Scrap")</f>
        <v>Devlin Scrap</v>
      </c>
      <c r="F323" s="10">
        <f>IFERROR(__xludf.DUMMYFUNCTION("""COMPUTED_VALUE"""),14.8865273689999)</f>
        <v>14.8865273689999</v>
      </c>
      <c r="G323" s="10">
        <f>IFERROR(__xludf.DUMMYFUNCTION("""COMPUTED_VALUE"""),211.191570704999)</f>
        <v>211.191570704999</v>
      </c>
      <c r="H323" s="10">
        <f>IFERROR(__xludf.DUMMYFUNCTION("""COMPUTED_VALUE"""),25.9846335169999)</f>
        <v>25.9846335169999</v>
      </c>
      <c r="I323" s="13"/>
      <c r="J323" s="13"/>
      <c r="K323" s="13"/>
      <c r="L323" s="13"/>
      <c r="M323" s="1" t="b">
        <f>IFERROR(__xludf.DUMMYFUNCTION("""COMPUTED_VALUE"""),TRUE)</f>
        <v>1</v>
      </c>
      <c r="N323" s="10">
        <f>IFERROR(__xludf.DUMMYFUNCTION("""COMPUTED_VALUE"""),0)</f>
        <v>0</v>
      </c>
      <c r="O323" s="10">
        <f>IFERROR(__xludf.DUMMYFUNCTION("""COMPUTED_VALUE"""),0)</f>
        <v>0</v>
      </c>
      <c r="P323" s="10"/>
      <c r="Q323" s="30"/>
      <c r="R323" s="18"/>
      <c r="S323" s="19"/>
      <c r="T323" s="10"/>
      <c r="U323" s="10"/>
      <c r="V323" s="10"/>
      <c r="W323" s="10"/>
      <c r="X323" s="19"/>
      <c r="Y323" s="1"/>
      <c r="Z323" s="1"/>
      <c r="AA323" s="1"/>
    </row>
    <row r="324" customHeight="1" spans="1:27">
      <c r="A324" s="1" t="str">
        <f>IFERROR(__xludf.DUMMYFUNCTION("""COMPUTED_VALUE"""),"Euterpe")</f>
        <v>Euterpe</v>
      </c>
      <c r="B324" s="1" t="str">
        <f>IFERROR(__xludf.DUMMYFUNCTION("""COMPUTED_VALUE"""),"Euterpe 04")</f>
        <v>Euterpe 04</v>
      </c>
      <c r="C324" s="1"/>
      <c r="D324" s="1" t="str">
        <f>IFERROR(__xludf.DUMMYFUNCTION("""COMPUTED_VALUE"""),"Racetracks")</f>
        <v>Racetracks</v>
      </c>
      <c r="E324" s="30"/>
      <c r="F324" s="10"/>
      <c r="G324" s="10"/>
      <c r="H324" s="10"/>
      <c r="I324" s="13"/>
      <c r="J324" s="13"/>
      <c r="K324" s="13"/>
      <c r="L324" s="13"/>
      <c r="M324" s="1"/>
      <c r="N324" s="10"/>
      <c r="O324" s="10"/>
      <c r="P324" s="10"/>
      <c r="Q324" s="30"/>
      <c r="R324" s="18"/>
      <c r="S324" s="19"/>
      <c r="T324" s="10"/>
      <c r="U324" s="10"/>
      <c r="V324" s="10"/>
      <c r="W324" s="10"/>
      <c r="X324" s="19"/>
      <c r="Y324" s="1"/>
      <c r="Z324" s="1"/>
      <c r="AA324" s="1"/>
    </row>
    <row r="325" customHeight="1" spans="1:27">
      <c r="A325" s="1" t="str">
        <f>IFERROR(__xludf.DUMMYFUNCTION("""COMPUTED_VALUE"""),"Euterpe 03")</f>
        <v>Euterpe 03</v>
      </c>
      <c r="B325" s="1" t="str">
        <f>IFERROR(__xludf.DUMMYFUNCTION("""COMPUTED_VALUE"""),"Euterpe 05")</f>
        <v>Euterpe 05</v>
      </c>
      <c r="C325" s="1" t="str">
        <f>IFERROR(__xludf.DUMMYFUNCTION("""COMPUTED_VALUE"""),"Euterpe 01")</f>
        <v>Euterpe 01</v>
      </c>
      <c r="D325" s="1" t="str">
        <f>IFERROR(__xludf.DUMMYFUNCTION("""COMPUTED_VALUE"""),"The Icebreaker")</f>
        <v>The Icebreaker</v>
      </c>
      <c r="E325" s="30" t="str">
        <f>IFERROR(__xludf.DUMMYFUNCTION("""COMPUTED_VALUE"""),"Icebreaker")</f>
        <v>Icebreaker</v>
      </c>
      <c r="F325" s="10">
        <f>IFERROR(__xludf.DUMMYFUNCTION("""COMPUTED_VALUE"""),-42.103950635)</f>
        <v>-42.103950635</v>
      </c>
      <c r="G325" s="10">
        <f>IFERROR(__xludf.DUMMYFUNCTION("""COMPUTED_VALUE"""),198.137943112999)</f>
        <v>198.137943112999</v>
      </c>
      <c r="H325" s="10">
        <f>IFERROR(__xludf.DUMMYFUNCTION("""COMPUTED_VALUE"""),66.6105668359998)</f>
        <v>66.6105668359998</v>
      </c>
      <c r="I325" s="13"/>
      <c r="J325" s="13"/>
      <c r="K325" s="13"/>
      <c r="L325" s="13"/>
      <c r="M325" s="1" t="b">
        <f>IFERROR(__xludf.DUMMYFUNCTION("""COMPUTED_VALUE"""),TRUE)</f>
        <v>1</v>
      </c>
      <c r="N325" s="10">
        <f>IFERROR(__xludf.DUMMYFUNCTION("""COMPUTED_VALUE"""),0)</f>
        <v>0</v>
      </c>
      <c r="O325" s="10">
        <f>IFERROR(__xludf.DUMMYFUNCTION("""COMPUTED_VALUE"""),0)</f>
        <v>0</v>
      </c>
      <c r="P325" s="10"/>
      <c r="Q325" s="30"/>
      <c r="R325" s="18"/>
      <c r="S325" s="19"/>
      <c r="T325" s="10"/>
      <c r="U325" s="10"/>
      <c r="V325" s="10"/>
      <c r="W325" s="10"/>
      <c r="X325" s="19"/>
      <c r="Y325" s="1"/>
      <c r="Z325" s="1"/>
      <c r="AA325" s="1"/>
    </row>
    <row r="326" customHeight="1" spans="1:27">
      <c r="A326" s="1" t="str">
        <f>IFERROR(__xludf.DUMMYFUNCTION("""COMPUTED_VALUE"""),"Euterpe")</f>
        <v>Euterpe</v>
      </c>
      <c r="B326" s="1" t="str">
        <f>IFERROR(__xludf.DUMMYFUNCTION("""COMPUTED_VALUE"""),"Euterpe 07")</f>
        <v>Euterpe 07</v>
      </c>
      <c r="C326" s="1"/>
      <c r="D326" s="1" t="str">
        <f>IFERROR(__xludf.DUMMYFUNCTION("""COMPUTED_VALUE"""),"Settlements")</f>
        <v>Settlements</v>
      </c>
      <c r="E326" s="30"/>
      <c r="F326" s="10"/>
      <c r="G326" s="10"/>
      <c r="H326" s="10"/>
      <c r="I326" s="13"/>
      <c r="J326" s="13"/>
      <c r="K326" s="13"/>
      <c r="L326" s="13"/>
      <c r="M326" s="1"/>
      <c r="N326" s="10"/>
      <c r="O326" s="10"/>
      <c r="P326" s="10"/>
      <c r="Q326" s="30"/>
      <c r="R326" s="18"/>
      <c r="S326" s="19"/>
      <c r="T326" s="10"/>
      <c r="U326" s="10"/>
      <c r="V326" s="10"/>
      <c r="W326" s="10"/>
      <c r="X326" s="19"/>
      <c r="Y326" s="1"/>
      <c r="Z326" s="1"/>
      <c r="AA326" s="1"/>
    </row>
    <row r="327" customHeight="1" spans="1:27">
      <c r="A327" s="1" t="str">
        <f>IFERROR(__xludf.DUMMYFUNCTION("""COMPUTED_VALUE"""),"Euterpe 05")</f>
        <v>Euterpe 05</v>
      </c>
      <c r="B327" s="1" t="str">
        <f>IFERROR(__xludf.DUMMYFUNCTION("""COMPUTED_VALUE"""),"Euterpe 08")</f>
        <v>Euterpe 08</v>
      </c>
      <c r="C327" s="1" t="str">
        <f>IFERROR(__xludf.DUMMYFUNCTION("""COMPUTED_VALUE"""),"Euterpe 04")</f>
        <v>Euterpe 04</v>
      </c>
      <c r="D327" s="1" t="str">
        <f>IFERROR(__xludf.DUMMYFUNCTION("""COMPUTED_VALUE"""),"Euterpe Settlement")</f>
        <v>Euterpe Settlement</v>
      </c>
      <c r="E327" s="30" t="str">
        <f>IFERROR(__xludf.DUMMYFUNCTION("""COMPUTED_VALUE"""),"Settlement 4c")</f>
        <v>Settlement 4c</v>
      </c>
      <c r="F327" s="10">
        <f>IFERROR(__xludf.DUMMYFUNCTION("""COMPUTED_VALUE"""),0.823166850999999)</f>
        <v>0.823166850999999</v>
      </c>
      <c r="G327" s="10">
        <f>IFERROR(__xludf.DUMMYFUNCTION("""COMPUTED_VALUE"""),212.676529378)</f>
        <v>212.676529378</v>
      </c>
      <c r="H327" s="10">
        <f>IFERROR(__xludf.DUMMYFUNCTION("""COMPUTED_VALUE"""),16.431644107)</f>
        <v>16.431644107</v>
      </c>
      <c r="I327" s="13"/>
      <c r="J327" s="13"/>
      <c r="K327" s="13"/>
      <c r="L327" s="13"/>
      <c r="M327" s="1" t="b">
        <f>IFERROR(__xludf.DUMMYFUNCTION("""COMPUTED_VALUE"""),FALSE)</f>
        <v>0</v>
      </c>
      <c r="N327" s="10"/>
      <c r="O327" s="10"/>
      <c r="P327" s="10"/>
      <c r="Q327" s="30"/>
      <c r="R327" s="18"/>
      <c r="S327" s="19"/>
      <c r="T327" s="10"/>
      <c r="U327" s="10"/>
      <c r="V327" s="10"/>
      <c r="W327" s="10"/>
      <c r="X327" s="19"/>
      <c r="Y327" s="1"/>
      <c r="Z327" s="1"/>
      <c r="AA327" s="1"/>
    </row>
    <row r="328" customHeight="1" spans="1:27">
      <c r="A328" s="1" t="str">
        <f>IFERROR(__xludf.DUMMYFUNCTION("""COMPUTED_VALUE"""),"Euterpe")</f>
        <v>Euterpe</v>
      </c>
      <c r="B328" s="1" t="str">
        <f>IFERROR(__xludf.DUMMYFUNCTION("""COMPUTED_VALUE"""),"Euterpe 10")</f>
        <v>Euterpe 10</v>
      </c>
      <c r="C328" s="1"/>
      <c r="D328" s="1" t="str">
        <f>IFERROR(__xludf.DUMMYFUNCTION("""COMPUTED_VALUE"""),"Caves")</f>
        <v>Caves</v>
      </c>
      <c r="E328" s="30"/>
      <c r="F328" s="10"/>
      <c r="G328" s="10"/>
      <c r="H328" s="10"/>
      <c r="I328" s="13"/>
      <c r="J328" s="13"/>
      <c r="K328" s="13"/>
      <c r="L328" s="13"/>
      <c r="M328" s="1"/>
      <c r="N328" s="10"/>
      <c r="O328" s="10"/>
      <c r="P328" s="10"/>
      <c r="Q328" s="30"/>
      <c r="R328" s="18"/>
      <c r="S328" s="19"/>
      <c r="T328" s="10"/>
      <c r="U328" s="10"/>
      <c r="V328" s="10"/>
      <c r="W328" s="10"/>
      <c r="X328" s="19"/>
      <c r="Y328" s="1"/>
      <c r="Z328" s="1"/>
      <c r="AA328" s="1"/>
    </row>
    <row r="329" customHeight="1" spans="1:27">
      <c r="A329" s="1" t="str">
        <f>IFERROR(__xludf.DUMMYFUNCTION("""COMPUTED_VALUE"""),"Euterpe 09")</f>
        <v>Euterpe 09</v>
      </c>
      <c r="B329" s="1" t="str">
        <f>IFERROR(__xludf.DUMMYFUNCTION("""COMPUTED_VALUE"""),"Euterpe 14")</f>
        <v>Euterpe 14</v>
      </c>
      <c r="C329" s="1" t="str">
        <f>IFERROR(__xludf.DUMMYFUNCTION("""COMPUTED_VALUE"""),"Euterpe 07")</f>
        <v>Euterpe 07</v>
      </c>
      <c r="D329" s="1" t="str">
        <f>IFERROR(__xludf.DUMMYFUNCTION("""COMPUTED_VALUE"""),"Rock Cave 39N")</f>
        <v>Rock Cave 39N</v>
      </c>
      <c r="E329" s="30" t="str">
        <f>IFERROR(__xludf.DUMMYFUNCTION("""COMPUTED_VALUE"""),"RCave 39N")</f>
        <v>RCave 39N</v>
      </c>
      <c r="F329" s="10">
        <f>IFERROR(__xludf.DUMMYFUNCTION("""COMPUTED_VALUE"""),136.389514123)</f>
        <v>136.389514123</v>
      </c>
      <c r="G329" s="10">
        <f>IFERROR(__xludf.DUMMYFUNCTION("""COMPUTED_VALUE"""),163.643826322999)</f>
        <v>163.643826322999</v>
      </c>
      <c r="H329" s="10">
        <f>IFERROR(__xludf.DUMMYFUNCTION("""COMPUTED_VALUE"""),11.150855346)</f>
        <v>11.150855346</v>
      </c>
      <c r="I329" s="13"/>
      <c r="J329" s="13"/>
      <c r="K329" s="13"/>
      <c r="L329" s="13"/>
      <c r="M329" s="1" t="b">
        <f>IFERROR(__xludf.DUMMYFUNCTION("""COMPUTED_VALUE"""),FALSE)</f>
        <v>0</v>
      </c>
      <c r="N329" s="10">
        <f>IFERROR(__xludf.DUMMYFUNCTION("""COMPUTED_VALUE"""),0)</f>
        <v>0</v>
      </c>
      <c r="O329" s="10">
        <f>IFERROR(__xludf.DUMMYFUNCTION("""COMPUTED_VALUE"""),0)</f>
        <v>0</v>
      </c>
      <c r="P329" s="10"/>
      <c r="Q329" s="30"/>
      <c r="R329" s="18"/>
      <c r="S329" s="19"/>
      <c r="T329" s="10"/>
      <c r="U329" s="10"/>
      <c r="V329" s="10"/>
      <c r="W329" s="10"/>
      <c r="X329" s="19"/>
      <c r="Y329" s="1"/>
      <c r="Z329" s="1"/>
      <c r="AA329" s="1"/>
    </row>
    <row r="330" customHeight="1" spans="1:27">
      <c r="A330" s="1" t="str">
        <f>IFERROR(__xludf.DUMMYFUNCTION("""COMPUTED_VALUE"""),"Euterpe 07")</f>
        <v>Euterpe 07</v>
      </c>
      <c r="B330" s="1" t="str">
        <f>IFERROR(__xludf.DUMMYFUNCTION("""COMPUTED_VALUE"""),"Euterpe 12")</f>
        <v>Euterpe 12</v>
      </c>
      <c r="C330" s="1" t="str">
        <f>IFERROR(__xludf.DUMMYFUNCTION("""COMPUTED_VALUE"""),"Euterpe 24")</f>
        <v>Euterpe 24</v>
      </c>
      <c r="D330" s="1" t="str">
        <f>IFERROR(__xludf.DUMMYFUNCTION("""COMPUTED_VALUE"""),"Rock Cave 04P-047")</f>
        <v>Rock Cave 04P-047</v>
      </c>
      <c r="E330" s="30" t="str">
        <f>IFERROR(__xludf.DUMMYFUNCTION("""COMPUTED_VALUE"""),"RCave 04P047")</f>
        <v>RCave 04P047</v>
      </c>
      <c r="F330" s="10">
        <f>IFERROR(__xludf.DUMMYFUNCTION("""COMPUTED_VALUE"""),-192.560988522)</f>
        <v>-192.560988522</v>
      </c>
      <c r="G330" s="10">
        <f>IFERROR(__xludf.DUMMYFUNCTION("""COMPUTED_VALUE"""),-82.292478335)</f>
        <v>-82.292478335</v>
      </c>
      <c r="H330" s="10">
        <f>IFERROR(__xludf.DUMMYFUNCTION("""COMPUTED_VALUE"""),40.530786029)</f>
        <v>40.530786029</v>
      </c>
      <c r="I330" s="13"/>
      <c r="J330" s="13"/>
      <c r="K330" s="13"/>
      <c r="L330" s="13"/>
      <c r="M330" s="1" t="b">
        <f>IFERROR(__xludf.DUMMYFUNCTION("""COMPUTED_VALUE"""),FALSE)</f>
        <v>0</v>
      </c>
      <c r="N330" s="10">
        <f>IFERROR(__xludf.DUMMYFUNCTION("""COMPUTED_VALUE"""),0)</f>
        <v>0</v>
      </c>
      <c r="O330" s="10">
        <f>IFERROR(__xludf.DUMMYFUNCTION("""COMPUTED_VALUE"""),0)</f>
        <v>0</v>
      </c>
      <c r="P330" s="10"/>
      <c r="Q330" s="30"/>
      <c r="R330" s="18"/>
      <c r="S330" s="19"/>
      <c r="T330" s="10"/>
      <c r="U330" s="10"/>
      <c r="V330" s="10"/>
      <c r="W330" s="10"/>
      <c r="X330" s="19"/>
      <c r="Y330" s="1"/>
      <c r="Z330" s="1"/>
      <c r="AA330" s="1"/>
    </row>
    <row r="331" customHeight="1" spans="1:27">
      <c r="A331" s="1" t="str">
        <f>IFERROR(__xludf.DUMMYFUNCTION("""COMPUTED_VALUE"""),"Euterpe 06")</f>
        <v>Euterpe 06</v>
      </c>
      <c r="B331" s="1" t="str">
        <f>IFERROR(__xludf.DUMMYFUNCTION("""COMPUTED_VALUE"""),"Euterpe 11")</f>
        <v>Euterpe 11</v>
      </c>
      <c r="C331" s="1" t="str">
        <f>IFERROR(__xludf.DUMMYFUNCTION("""COMPUTED_VALUE"""),"Euterpe 25")</f>
        <v>Euterpe 25</v>
      </c>
      <c r="D331" s="1" t="str">
        <f>IFERROR(__xludf.DUMMYFUNCTION("""COMPUTED_VALUE"""),"Rock Cave 04P-046")</f>
        <v>Rock Cave 04P-046</v>
      </c>
      <c r="E331" s="30" t="str">
        <f>IFERROR(__xludf.DUMMYFUNCTION("""COMPUTED_VALUE"""),"RCave 04P046")</f>
        <v>RCave 04P046</v>
      </c>
      <c r="F331" s="10">
        <f>IFERROR(__xludf.DUMMYFUNCTION("""COMPUTED_VALUE"""),-192.195818735)</f>
        <v>-192.195818735</v>
      </c>
      <c r="G331" s="10">
        <f>IFERROR(__xludf.DUMMYFUNCTION("""COMPUTED_VALUE"""),-80.446791672)</f>
        <v>-80.446791672</v>
      </c>
      <c r="H331" s="10">
        <f>IFERROR(__xludf.DUMMYFUNCTION("""COMPUTED_VALUE"""),45.4366577239999)</f>
        <v>45.4366577239999</v>
      </c>
      <c r="I331" s="13"/>
      <c r="J331" s="13"/>
      <c r="K331" s="13"/>
      <c r="L331" s="13"/>
      <c r="M331" s="1" t="b">
        <f>IFERROR(__xludf.DUMMYFUNCTION("""COMPUTED_VALUE"""),FALSE)</f>
        <v>0</v>
      </c>
      <c r="N331" s="10">
        <f>IFERROR(__xludf.DUMMYFUNCTION("""COMPUTED_VALUE"""),0)</f>
        <v>0</v>
      </c>
      <c r="O331" s="10">
        <f>IFERROR(__xludf.DUMMYFUNCTION("""COMPUTED_VALUE"""),0)</f>
        <v>0</v>
      </c>
      <c r="P331" s="10"/>
      <c r="Q331" s="30"/>
      <c r="R331" s="18"/>
      <c r="S331" s="19"/>
      <c r="T331" s="10"/>
      <c r="U331" s="10"/>
      <c r="V331" s="10"/>
      <c r="W331" s="10"/>
      <c r="X331" s="19"/>
      <c r="Y331" s="1"/>
      <c r="Z331" s="1"/>
      <c r="AA331" s="1"/>
    </row>
    <row r="332" customHeight="1" spans="1:27">
      <c r="A332" s="1" t="str">
        <f>IFERROR(__xludf.DUMMYFUNCTION("""COMPUTED_VALUE"""),"Euterpe 10")</f>
        <v>Euterpe 10</v>
      </c>
      <c r="B332" s="1" t="str">
        <f>IFERROR(__xludf.DUMMYFUNCTION("""COMPUTED_VALUE"""),"Euterpe 15")</f>
        <v>Euterpe 15</v>
      </c>
      <c r="C332" s="1" t="str">
        <f>IFERROR(__xludf.DUMMYFUNCTION("""COMPUTED_VALUE"""),"Euterpe 02")</f>
        <v>Euterpe 02</v>
      </c>
      <c r="D332" s="1" t="str">
        <f>IFERROR(__xludf.DUMMYFUNCTION("""COMPUTED_VALUE"""),"Rock Cave 47H")</f>
        <v>Rock Cave 47H</v>
      </c>
      <c r="E332" s="30" t="str">
        <f>IFERROR(__xludf.DUMMYFUNCTION("""COMPUTED_VALUE"""),"RCave 47H")</f>
        <v>RCave 47H</v>
      </c>
      <c r="F332" s="10">
        <f>IFERROR(__xludf.DUMMYFUNCTION("""COMPUTED_VALUE"""),-33.1990300149999)</f>
        <v>-33.1990300149999</v>
      </c>
      <c r="G332" s="10">
        <f>IFERROR(__xludf.DUMMYFUNCTION("""COMPUTED_VALUE"""),162.934056439998)</f>
        <v>162.934056439998</v>
      </c>
      <c r="H332" s="10">
        <f>IFERROR(__xludf.DUMMYFUNCTION("""COMPUTED_VALUE"""),-133.721557527)</f>
        <v>-133.721557527</v>
      </c>
      <c r="I332" s="13"/>
      <c r="J332" s="13"/>
      <c r="K332" s="13"/>
      <c r="L332" s="13"/>
      <c r="M332" s="1" t="b">
        <f>IFERROR(__xludf.DUMMYFUNCTION("""COMPUTED_VALUE"""),FALSE)</f>
        <v>0</v>
      </c>
      <c r="N332" s="10">
        <f>IFERROR(__xludf.DUMMYFUNCTION("""COMPUTED_VALUE"""),0)</f>
        <v>0</v>
      </c>
      <c r="O332" s="10">
        <f>IFERROR(__xludf.DUMMYFUNCTION("""COMPUTED_VALUE"""),0)</f>
        <v>0</v>
      </c>
      <c r="P332" s="10"/>
      <c r="Q332" s="30"/>
      <c r="R332" s="18"/>
      <c r="S332" s="19"/>
      <c r="T332" s="10"/>
      <c r="U332" s="10"/>
      <c r="V332" s="10"/>
      <c r="W332" s="10"/>
      <c r="X332" s="19"/>
      <c r="Y332" s="1"/>
      <c r="Z332" s="1"/>
      <c r="AA332" s="1"/>
    </row>
    <row r="333" customHeight="1" spans="1:27">
      <c r="A333" s="1" t="str">
        <f>IFERROR(__xludf.DUMMYFUNCTION("""COMPUTED_VALUE"""),"Euterpe 08")</f>
        <v>Euterpe 08</v>
      </c>
      <c r="B333" s="1" t="str">
        <f>IFERROR(__xludf.DUMMYFUNCTION("""COMPUTED_VALUE"""),"Euterpe 13")</f>
        <v>Euterpe 13</v>
      </c>
      <c r="C333" s="1" t="str">
        <f>IFERROR(__xludf.DUMMYFUNCTION("""COMPUTED_VALUE"""),"Euterpe 14")</f>
        <v>Euterpe 14</v>
      </c>
      <c r="D333" s="1" t="str">
        <f>IFERROR(__xludf.DUMMYFUNCTION("""COMPUTED_VALUE"""),"Rock Cave 26F")</f>
        <v>Rock Cave 26F</v>
      </c>
      <c r="E333" s="30" t="str">
        <f>IFERROR(__xludf.DUMMYFUNCTION("""COMPUTED_VALUE"""),"RCave 26F")</f>
        <v>RCave 26F</v>
      </c>
      <c r="F333" s="10">
        <f>IFERROR(__xludf.DUMMYFUNCTION("""COMPUTED_VALUE"""),114.707246975)</f>
        <v>114.707246975</v>
      </c>
      <c r="G333" s="10">
        <f>IFERROR(__xludf.DUMMYFUNCTION("""COMPUTED_VALUE"""),-65.9505027529999)</f>
        <v>-65.9505027529999</v>
      </c>
      <c r="H333" s="10">
        <f>IFERROR(__xludf.DUMMYFUNCTION("""COMPUTED_VALUE"""),-167.162835102)</f>
        <v>-167.162835102</v>
      </c>
      <c r="I333" s="13"/>
      <c r="J333" s="13"/>
      <c r="K333" s="13"/>
      <c r="L333" s="13"/>
      <c r="M333" s="1" t="b">
        <f>IFERROR(__xludf.DUMMYFUNCTION("""COMPUTED_VALUE"""),FALSE)</f>
        <v>0</v>
      </c>
      <c r="N333" s="10">
        <f>IFERROR(__xludf.DUMMYFUNCTION("""COMPUTED_VALUE"""),0)</f>
        <v>0</v>
      </c>
      <c r="O333" s="10">
        <f>IFERROR(__xludf.DUMMYFUNCTION("""COMPUTED_VALUE"""),0)</f>
        <v>0</v>
      </c>
      <c r="P333" s="10"/>
      <c r="Q333" s="30"/>
      <c r="R333" s="18"/>
      <c r="S333" s="19"/>
      <c r="T333" s="10"/>
      <c r="U333" s="10"/>
      <c r="V333" s="10"/>
      <c r="W333" s="10"/>
      <c r="X333" s="19"/>
      <c r="Y333" s="1"/>
      <c r="Z333" s="1"/>
      <c r="AA333" s="1"/>
    </row>
    <row r="334" customHeight="1" spans="1:27">
      <c r="A334" s="1" t="str">
        <f>IFERROR(__xludf.DUMMYFUNCTION("""COMPUTED_VALUE"""),"Euterpe")</f>
        <v>Euterpe</v>
      </c>
      <c r="B334" s="1" t="str">
        <f>IFERROR(__xludf.DUMMYFUNCTION("""COMPUTED_VALUE"""),"Euterpe 17")</f>
        <v>Euterpe 17</v>
      </c>
      <c r="C334" s="1"/>
      <c r="D334" s="1" t="str">
        <f>IFERROR(__xludf.DUMMYFUNCTION("""COMPUTED_VALUE"""),"Wrecks")</f>
        <v>Wrecks</v>
      </c>
      <c r="E334" s="30"/>
      <c r="F334" s="10"/>
      <c r="G334" s="10"/>
      <c r="H334" s="10"/>
      <c r="I334" s="13"/>
      <c r="J334" s="13"/>
      <c r="K334" s="13"/>
      <c r="L334" s="13"/>
      <c r="M334" s="1"/>
      <c r="N334" s="10"/>
      <c r="O334" s="10"/>
      <c r="P334" s="10"/>
      <c r="Q334" s="30"/>
      <c r="R334" s="18"/>
      <c r="S334" s="19"/>
      <c r="T334" s="10"/>
      <c r="U334" s="10"/>
      <c r="V334" s="10"/>
      <c r="W334" s="10"/>
      <c r="X334" s="19"/>
      <c r="Y334" s="1"/>
      <c r="Z334" s="1"/>
      <c r="AA334" s="1"/>
    </row>
    <row r="335" customHeight="1" spans="1:27">
      <c r="A335" s="1" t="str">
        <f>IFERROR(__xludf.DUMMYFUNCTION("""COMPUTED_VALUE"""),"Euterpe 14")</f>
        <v>Euterpe 14</v>
      </c>
      <c r="B335" s="1" t="str">
        <f>IFERROR(__xludf.DUMMYFUNCTION("""COMPUTED_VALUE"""),"Euterpe 21")</f>
        <v>Euterpe 21</v>
      </c>
      <c r="C335" s="1" t="str">
        <f>IFERROR(__xludf.DUMMYFUNCTION("""COMPUTED_VALUE"""),"Euterpe 08")</f>
        <v>Euterpe 08</v>
      </c>
      <c r="D335" s="1" t="str">
        <f>IFERROR(__xludf.DUMMYFUNCTION("""COMPUTED_VALUE"""),"Caterpillar Wreck 38L")</f>
        <v>Caterpillar Wreck 38L</v>
      </c>
      <c r="E335" s="30" t="str">
        <f>IFERROR(__xludf.DUMMYFUNCTION("""COMPUTED_VALUE"""),"Caterpillar 38L")</f>
        <v>Caterpillar 38L</v>
      </c>
      <c r="F335" s="10">
        <f>IFERROR(__xludf.DUMMYFUNCTION("""COMPUTED_VALUE"""),145.418308879999)</f>
        <v>145.418308879999</v>
      </c>
      <c r="G335" s="10">
        <f>IFERROR(__xludf.DUMMYFUNCTION("""COMPUTED_VALUE"""),152.345449331999)</f>
        <v>152.345449331999</v>
      </c>
      <c r="H335" s="10">
        <f>IFERROR(__xludf.DUMMYFUNCTION("""COMPUTED_VALUE"""),-33.7889835339999)</f>
        <v>-33.7889835339999</v>
      </c>
      <c r="I335" s="13"/>
      <c r="J335" s="13"/>
      <c r="K335" s="13"/>
      <c r="L335" s="13"/>
      <c r="M335" s="1" t="b">
        <f>IFERROR(__xludf.DUMMYFUNCTION("""COMPUTED_VALUE"""),FALSE)</f>
        <v>0</v>
      </c>
      <c r="N335" s="10">
        <f>IFERROR(__xludf.DUMMYFUNCTION("""COMPUTED_VALUE"""),0)</f>
        <v>0</v>
      </c>
      <c r="O335" s="10">
        <f>IFERROR(__xludf.DUMMYFUNCTION("""COMPUTED_VALUE"""),0)</f>
        <v>0</v>
      </c>
      <c r="P335" s="10"/>
      <c r="Q335" s="30"/>
      <c r="R335" s="18"/>
      <c r="S335" s="19"/>
      <c r="T335" s="10"/>
      <c r="U335" s="10"/>
      <c r="V335" s="10"/>
      <c r="W335" s="10"/>
      <c r="X335" s="19"/>
      <c r="Y335" s="1"/>
      <c r="Z335" s="1"/>
      <c r="AA335" s="1"/>
    </row>
    <row r="336" customHeight="1" spans="1:27">
      <c r="A336" s="1" t="str">
        <f>IFERROR(__xludf.DUMMYFUNCTION("""COMPUTED_VALUE"""),"Euterpe 15")</f>
        <v>Euterpe 15</v>
      </c>
      <c r="B336" s="1" t="str">
        <f>IFERROR(__xludf.DUMMYFUNCTION("""COMPUTED_VALUE"""),"Euterpe 22")</f>
        <v>Euterpe 22</v>
      </c>
      <c r="C336" s="1" t="str">
        <f>IFERROR(__xludf.DUMMYFUNCTION("""COMPUTED_VALUE"""),"Euterpe 06")</f>
        <v>Euterpe 06</v>
      </c>
      <c r="D336" s="1" t="str">
        <f>IFERROR(__xludf.DUMMYFUNCTION("""COMPUTED_VALUE"""),"Caterpillar Wreck 42L")</f>
        <v>Caterpillar Wreck 42L</v>
      </c>
      <c r="E336" s="30" t="str">
        <f>IFERROR(__xludf.DUMMYFUNCTION("""COMPUTED_VALUE"""),"Caterpillar 42L")</f>
        <v>Caterpillar 42L</v>
      </c>
      <c r="F336" s="10">
        <f>IFERROR(__xludf.DUMMYFUNCTION("""COMPUTED_VALUE"""),67.3678652659999)</f>
        <v>67.3678652659999</v>
      </c>
      <c r="G336" s="10">
        <f>IFERROR(__xludf.DUMMYFUNCTION("""COMPUTED_VALUE"""),196.702697515999)</f>
        <v>196.702697515999</v>
      </c>
      <c r="H336" s="10">
        <f>IFERROR(__xludf.DUMMYFUNCTION("""COMPUTED_VALUE"""),-47.2032447479999)</f>
        <v>-47.2032447479999</v>
      </c>
      <c r="I336" s="13"/>
      <c r="J336" s="13"/>
      <c r="K336" s="13"/>
      <c r="L336" s="13"/>
      <c r="M336" s="1" t="b">
        <f>IFERROR(__xludf.DUMMYFUNCTION("""COMPUTED_VALUE"""),FALSE)</f>
        <v>0</v>
      </c>
      <c r="N336" s="10">
        <f>IFERROR(__xludf.DUMMYFUNCTION("""COMPUTED_VALUE"""),0)</f>
        <v>0</v>
      </c>
      <c r="O336" s="10">
        <f>IFERROR(__xludf.DUMMYFUNCTION("""COMPUTED_VALUE"""),0)</f>
        <v>0</v>
      </c>
      <c r="P336" s="10"/>
      <c r="Q336" s="30"/>
      <c r="R336" s="18"/>
      <c r="S336" s="19"/>
      <c r="T336" s="10"/>
      <c r="U336" s="10"/>
      <c r="V336" s="10"/>
      <c r="W336" s="10"/>
      <c r="X336" s="19"/>
      <c r="Y336" s="1"/>
      <c r="Z336" s="1"/>
      <c r="AA336" s="1"/>
    </row>
    <row r="337" customHeight="1" spans="1:27">
      <c r="A337" s="1" t="str">
        <f>IFERROR(__xludf.DUMMYFUNCTION("""COMPUTED_VALUE"""),"Euterpe 12")</f>
        <v>Euterpe 12</v>
      </c>
      <c r="B337" s="1" t="str">
        <f>IFERROR(__xludf.DUMMYFUNCTION("""COMPUTED_VALUE"""),"Euterpe 19")</f>
        <v>Euterpe 19</v>
      </c>
      <c r="C337" s="1" t="str">
        <f>IFERROR(__xludf.DUMMYFUNCTION("""COMPUTED_VALUE"""),"Euterpe 11")</f>
        <v>Euterpe 11</v>
      </c>
      <c r="D337" s="1" t="str">
        <f>IFERROR(__xludf.DUMMYFUNCTION("""COMPUTED_VALUE"""),"Caterpillar Wreck 32K")</f>
        <v>Caterpillar Wreck 32K</v>
      </c>
      <c r="E337" s="30" t="str">
        <f>IFERROR(__xludf.DUMMYFUNCTION("""COMPUTED_VALUE"""),"Caterpillar 32K")</f>
        <v>Caterpillar 32K</v>
      </c>
      <c r="F337" s="10">
        <f>IFERROR(__xludf.DUMMYFUNCTION("""COMPUTED_VALUE"""),200.332125857)</f>
        <v>200.332125857</v>
      </c>
      <c r="G337" s="10">
        <f>IFERROR(__xludf.DUMMYFUNCTION("""COMPUTED_VALUE"""),34.4665001469999)</f>
        <v>34.4665001469999</v>
      </c>
      <c r="H337" s="10">
        <f>IFERROR(__xludf.DUMMYFUNCTION("""COMPUTED_VALUE"""),-65.065043247)</f>
        <v>-65.065043247</v>
      </c>
      <c r="I337" s="13"/>
      <c r="J337" s="13"/>
      <c r="K337" s="13"/>
      <c r="L337" s="13"/>
      <c r="M337" s="1" t="b">
        <f>IFERROR(__xludf.DUMMYFUNCTION("""COMPUTED_VALUE"""),FALSE)</f>
        <v>0</v>
      </c>
      <c r="N337" s="10">
        <f>IFERROR(__xludf.DUMMYFUNCTION("""COMPUTED_VALUE"""),0)</f>
        <v>0</v>
      </c>
      <c r="O337" s="10">
        <f>IFERROR(__xludf.DUMMYFUNCTION("""COMPUTED_VALUE"""),0)</f>
        <v>0</v>
      </c>
      <c r="P337" s="10"/>
      <c r="Q337" s="30"/>
      <c r="R337" s="18"/>
      <c r="S337" s="19"/>
      <c r="T337" s="10"/>
      <c r="U337" s="10"/>
      <c r="V337" s="10"/>
      <c r="W337" s="10"/>
      <c r="X337" s="19"/>
      <c r="Y337" s="1"/>
      <c r="Z337" s="1"/>
      <c r="AA337" s="1"/>
    </row>
    <row r="338" customHeight="1" spans="1:27">
      <c r="A338" s="1" t="str">
        <f>IFERROR(__xludf.DUMMYFUNCTION("""COMPUTED_VALUE"""),"Euterpe 13")</f>
        <v>Euterpe 13</v>
      </c>
      <c r="B338" s="1" t="str">
        <f>IFERROR(__xludf.DUMMYFUNCTION("""COMPUTED_VALUE"""),"Euterpe 20")</f>
        <v>Euterpe 20</v>
      </c>
      <c r="C338" s="1" t="str">
        <f>IFERROR(__xludf.DUMMYFUNCTION("""COMPUTED_VALUE"""),"Euterpe 10")</f>
        <v>Euterpe 10</v>
      </c>
      <c r="D338" s="1" t="str">
        <f>IFERROR(__xludf.DUMMYFUNCTION("""COMPUTED_VALUE"""),"Caterpillar Wreck 34J")</f>
        <v>Caterpillar Wreck 34J</v>
      </c>
      <c r="E338" s="1" t="str">
        <f>IFERROR(__xludf.DUMMYFUNCTION("""COMPUTED_VALUE"""),"Caterpillar 34J")</f>
        <v>Caterpillar 34J</v>
      </c>
      <c r="F338" s="10">
        <f>IFERROR(__xludf.DUMMYFUNCTION("""COMPUTED_VALUE"""),180.073769402)</f>
        <v>180.073769402</v>
      </c>
      <c r="G338" s="10">
        <f>IFERROR(__xludf.DUMMYFUNCTION("""COMPUTED_VALUE"""),69.715079587)</f>
        <v>69.715079587</v>
      </c>
      <c r="H338" s="10">
        <f>IFERROR(__xludf.DUMMYFUNCTION("""COMPUTED_VALUE"""),-90.120330015)</f>
        <v>-90.120330015</v>
      </c>
      <c r="I338" s="1"/>
      <c r="J338" s="1"/>
      <c r="K338" s="1"/>
      <c r="L338" s="1"/>
      <c r="M338" s="1" t="b">
        <f>IFERROR(__xludf.DUMMYFUNCTION("""COMPUTED_VALUE"""),FALSE)</f>
        <v>0</v>
      </c>
      <c r="N338" s="10">
        <f>IFERROR(__xludf.DUMMYFUNCTION("""COMPUTED_VALUE"""),0)</f>
        <v>0</v>
      </c>
      <c r="O338" s="10">
        <f>IFERROR(__xludf.DUMMYFUNCTION("""COMPUTED_VALUE"""),0)</f>
        <v>0</v>
      </c>
      <c r="P338" s="1"/>
      <c r="Q338" s="1"/>
      <c r="R338" s="1"/>
      <c r="S338" s="1"/>
      <c r="T338" s="1"/>
      <c r="U338" s="1"/>
      <c r="V338" s="1"/>
      <c r="W338" s="1"/>
      <c r="X338" s="1"/>
      <c r="Y338" s="1"/>
      <c r="Z338" s="1"/>
      <c r="AA338" s="1"/>
    </row>
    <row r="339" customHeight="1" spans="1:27">
      <c r="A339" s="1" t="str">
        <f>IFERROR(__xludf.DUMMYFUNCTION("""COMPUTED_VALUE"""),"Euterpe 11")</f>
        <v>Euterpe 11</v>
      </c>
      <c r="B339" s="1" t="str">
        <f>IFERROR(__xludf.DUMMYFUNCTION("""COMPUTED_VALUE"""),"Euterpe 18")</f>
        <v>Euterpe 18</v>
      </c>
      <c r="C339" s="1" t="str">
        <f>IFERROR(__xludf.DUMMYFUNCTION("""COMPUTED_VALUE"""),"Euterpe 13")</f>
        <v>Euterpe 13</v>
      </c>
      <c r="D339" s="1" t="str">
        <f>IFERROR(__xludf.DUMMYFUNCTION("""COMPUTED_VALUE"""),"Caterpillar Wreck 27G")</f>
        <v>Caterpillar Wreck 27G</v>
      </c>
      <c r="E339" s="30" t="str">
        <f>IFERROR(__xludf.DUMMYFUNCTION("""COMPUTED_VALUE"""),"Caterpillar 27G")</f>
        <v>Caterpillar 27G</v>
      </c>
      <c r="F339" s="10">
        <f>IFERROR(__xludf.DUMMYFUNCTION("""COMPUTED_VALUE"""),145.497496415)</f>
        <v>145.497496415</v>
      </c>
      <c r="G339" s="10">
        <f>IFERROR(__xludf.DUMMYFUNCTION("""COMPUTED_VALUE"""),-63.948392956)</f>
        <v>-63.948392956</v>
      </c>
      <c r="H339" s="10">
        <f>IFERROR(__xludf.DUMMYFUNCTION("""COMPUTED_VALUE"""),-142.485902739999)</f>
        <v>-142.485902739999</v>
      </c>
      <c r="I339" s="13"/>
      <c r="J339" s="13"/>
      <c r="K339" s="13"/>
      <c r="L339" s="13"/>
      <c r="M339" s="1" t="b">
        <f>IFERROR(__xludf.DUMMYFUNCTION("""COMPUTED_VALUE"""),FALSE)</f>
        <v>0</v>
      </c>
      <c r="N339" s="10">
        <f>IFERROR(__xludf.DUMMYFUNCTION("""COMPUTED_VALUE"""),0)</f>
        <v>0</v>
      </c>
      <c r="O339" s="10">
        <f>IFERROR(__xludf.DUMMYFUNCTION("""COMPUTED_VALUE"""),0)</f>
        <v>0</v>
      </c>
      <c r="P339" s="10"/>
      <c r="Q339" s="30"/>
      <c r="R339" s="18"/>
      <c r="S339" s="19"/>
      <c r="T339" s="10"/>
      <c r="U339" s="10"/>
      <c r="V339" s="10"/>
      <c r="W339" s="10"/>
      <c r="X339" s="19"/>
      <c r="Y339" s="1"/>
      <c r="Z339" s="1"/>
      <c r="AA339" s="1"/>
    </row>
    <row r="340" customHeight="1" spans="1:27">
      <c r="A340" s="1" t="str">
        <f>IFERROR(__xludf.DUMMYFUNCTION("""COMPUTED_VALUE"""),"Euterpe 16")</f>
        <v>Euterpe 16</v>
      </c>
      <c r="B340" s="1" t="str">
        <f>IFERROR(__xludf.DUMMYFUNCTION("""COMPUTED_VALUE"""),"Euterpe 23")</f>
        <v>Euterpe 23</v>
      </c>
      <c r="C340" s="1" t="str">
        <f>IFERROR(__xludf.DUMMYFUNCTION("""COMPUTED_VALUE"""),"Euterpe 26")</f>
        <v>Euterpe 26</v>
      </c>
      <c r="D340" s="1" t="str">
        <f>IFERROR(__xludf.DUMMYFUNCTION("""COMPUTED_VALUE"""),"Freelancer Wreck 01N")</f>
        <v>Freelancer Wreck 01N</v>
      </c>
      <c r="E340" s="30" t="str">
        <f>IFERROR(__xludf.DUMMYFUNCTION("""COMPUTED_VALUE"""),"Freelancer 01N")</f>
        <v>Freelancer 01N</v>
      </c>
      <c r="F340" s="10">
        <f>IFERROR(__xludf.DUMMYFUNCTION("""COMPUTED_VALUE"""),-213.175026501999)</f>
        <v>-213.175026501999</v>
      </c>
      <c r="G340" s="10">
        <f>IFERROR(__xludf.DUMMYFUNCTION("""COMPUTED_VALUE"""),-2.542600041)</f>
        <v>-2.542600041</v>
      </c>
      <c r="H340" s="10">
        <f>IFERROR(__xludf.DUMMYFUNCTION("""COMPUTED_VALUE"""),7.97619904099998)</f>
        <v>7.97619904099998</v>
      </c>
      <c r="I340" s="13"/>
      <c r="J340" s="13"/>
      <c r="K340" s="13"/>
      <c r="L340" s="13"/>
      <c r="M340" s="1" t="b">
        <f>IFERROR(__xludf.DUMMYFUNCTION("""COMPUTED_VALUE"""),FALSE)</f>
        <v>0</v>
      </c>
      <c r="N340" s="10">
        <f>IFERROR(__xludf.DUMMYFUNCTION("""COMPUTED_VALUE"""),0)</f>
        <v>0</v>
      </c>
      <c r="O340" s="10">
        <f>IFERROR(__xludf.DUMMYFUNCTION("""COMPUTED_VALUE"""),0)</f>
        <v>0</v>
      </c>
      <c r="P340" s="10"/>
      <c r="Q340" s="30"/>
      <c r="R340" s="18"/>
      <c r="S340" s="19"/>
      <c r="T340" s="10"/>
      <c r="U340" s="10"/>
      <c r="V340" s="10"/>
      <c r="W340" s="10"/>
      <c r="X340" s="19"/>
      <c r="Y340" s="1"/>
      <c r="Z340" s="1"/>
      <c r="AA340" s="1"/>
    </row>
    <row r="341" customHeight="1" spans="1:27">
      <c r="A341" s="1" t="str">
        <f>IFERROR(__xludf.DUMMYFUNCTION("""COMPUTED_VALUE"""),"Euterpe 17")</f>
        <v>Euterpe 17</v>
      </c>
      <c r="B341" s="1" t="str">
        <f>IFERROR(__xludf.DUMMYFUNCTION("""COMPUTED_VALUE"""),"Euterpe 24")</f>
        <v>Euterpe 24</v>
      </c>
      <c r="C341" s="1" t="str">
        <f>IFERROR(__xludf.DUMMYFUNCTION("""COMPUTED_VALUE"""),"Euterpe 19")</f>
        <v>Euterpe 19</v>
      </c>
      <c r="D341" s="1" t="str">
        <f>IFERROR(__xludf.DUMMYFUNCTION("""COMPUTED_VALUE"""),"Freelancer Wreck 16K")</f>
        <v>Freelancer Wreck 16K</v>
      </c>
      <c r="E341" s="30" t="str">
        <f>IFERROR(__xludf.DUMMYFUNCTION("""COMPUTED_VALUE"""),"Freelancer 16K")</f>
        <v>Freelancer 16K</v>
      </c>
      <c r="F341" s="10">
        <f>IFERROR(__xludf.DUMMYFUNCTION("""COMPUTED_VALUE"""),4.194549629)</f>
        <v>4.194549629</v>
      </c>
      <c r="G341" s="10">
        <f>IFERROR(__xludf.DUMMYFUNCTION("""COMPUTED_VALUE"""),-200.346448605)</f>
        <v>-200.346448605</v>
      </c>
      <c r="H341" s="10">
        <f>IFERROR(__xludf.DUMMYFUNCTION("""COMPUTED_VALUE"""),-73.423679155)</f>
        <v>-73.423679155</v>
      </c>
      <c r="I341" s="13"/>
      <c r="J341" s="13"/>
      <c r="K341" s="13"/>
      <c r="L341" s="13"/>
      <c r="M341" s="1" t="b">
        <f>IFERROR(__xludf.DUMMYFUNCTION("""COMPUTED_VALUE"""),FALSE)</f>
        <v>0</v>
      </c>
      <c r="N341" s="10">
        <f>IFERROR(__xludf.DUMMYFUNCTION("""COMPUTED_VALUE"""),0)</f>
        <v>0</v>
      </c>
      <c r="O341" s="10">
        <f>IFERROR(__xludf.DUMMYFUNCTION("""COMPUTED_VALUE"""),0)</f>
        <v>0</v>
      </c>
      <c r="P341" s="10"/>
      <c r="Q341" s="30"/>
      <c r="R341" s="18"/>
      <c r="S341" s="19"/>
      <c r="T341" s="10"/>
      <c r="U341" s="10"/>
      <c r="V341" s="10"/>
      <c r="W341" s="10"/>
      <c r="X341" s="19"/>
      <c r="Y341" s="1"/>
      <c r="Z341" s="1"/>
      <c r="AA341" s="1"/>
    </row>
    <row r="342" customHeight="1" spans="1:27">
      <c r="A342" s="1" t="str">
        <f>IFERROR(__xludf.DUMMYFUNCTION("""COMPUTED_VALUE"""),"Euterpe 18")</f>
        <v>Euterpe 18</v>
      </c>
      <c r="B342" s="1" t="str">
        <f>IFERROR(__xludf.DUMMYFUNCTION("""COMPUTED_VALUE"""),"Euterpe 25")</f>
        <v>Euterpe 25</v>
      </c>
      <c r="C342" s="1" t="str">
        <f>IFERROR(__xludf.DUMMYFUNCTION("""COMPUTED_VALUE"""),"Euterpe 16")</f>
        <v>Euterpe 16</v>
      </c>
      <c r="D342" s="1" t="str">
        <f>IFERROR(__xludf.DUMMYFUNCTION("""COMPUTED_VALUE"""),"Freelancer Wreck 22K")</f>
        <v>Freelancer Wreck 22K</v>
      </c>
      <c r="E342" s="30" t="str">
        <f>IFERROR(__xludf.DUMMYFUNCTION("""COMPUTED_VALUE"""),"Freelancer 22K")</f>
        <v>Freelancer 22K</v>
      </c>
      <c r="F342" s="10">
        <f>IFERROR(__xludf.DUMMYFUNCTION("""COMPUTED_VALUE"""),116.97603043)</f>
        <v>116.97603043</v>
      </c>
      <c r="G342" s="10">
        <f>IFERROR(__xludf.DUMMYFUNCTION("""COMPUTED_VALUE"""),-158.184498891)</f>
        <v>-158.184498891</v>
      </c>
      <c r="H342" s="10">
        <f>IFERROR(__xludf.DUMMYFUNCTION("""COMPUTED_VALUE"""),-82.04939005)</f>
        <v>-82.04939005</v>
      </c>
      <c r="I342" s="13"/>
      <c r="J342" s="13"/>
      <c r="K342" s="13"/>
      <c r="L342" s="13"/>
      <c r="M342" s="1" t="b">
        <f>IFERROR(__xludf.DUMMYFUNCTION("""COMPUTED_VALUE"""),FALSE)</f>
        <v>0</v>
      </c>
      <c r="N342" s="10">
        <f>IFERROR(__xludf.DUMMYFUNCTION("""COMPUTED_VALUE"""),0)</f>
        <v>0</v>
      </c>
      <c r="O342" s="10">
        <f>IFERROR(__xludf.DUMMYFUNCTION("""COMPUTED_VALUE"""),0)</f>
        <v>0</v>
      </c>
      <c r="P342" s="10"/>
      <c r="Q342" s="30"/>
      <c r="R342" s="18"/>
      <c r="S342" s="19"/>
      <c r="T342" s="10"/>
      <c r="U342" s="10"/>
      <c r="V342" s="10"/>
      <c r="W342" s="10"/>
      <c r="X342" s="19"/>
      <c r="Y342" s="1"/>
      <c r="Z342" s="1"/>
      <c r="AA342" s="1"/>
    </row>
    <row r="343" customHeight="1" spans="1:27">
      <c r="A343" s="1" t="str">
        <f>IFERROR(__xludf.DUMMYFUNCTION("""COMPUTED_VALUE"""),"Euterpe 19")</f>
        <v>Euterpe 19</v>
      </c>
      <c r="B343" s="1" t="str">
        <f>IFERROR(__xludf.DUMMYFUNCTION("""COMPUTED_VALUE"""),"Euterpe 26")</f>
        <v>Euterpe 26</v>
      </c>
      <c r="C343" s="1" t="str">
        <f>IFERROR(__xludf.DUMMYFUNCTION("""COMPUTED_VALUE"""),"Euterpe 15")</f>
        <v>Euterpe 15</v>
      </c>
      <c r="D343" s="1" t="str">
        <f>IFERROR(__xludf.DUMMYFUNCTION("""COMPUTED_VALUE"""),"Freelancer Wreck 25H")</f>
        <v>Freelancer Wreck 25H</v>
      </c>
      <c r="E343" s="30" t="str">
        <f>IFERROR(__xludf.DUMMYFUNCTION("""COMPUTED_VALUE"""),"Freelancer 25H")</f>
        <v>Freelancer 25H</v>
      </c>
      <c r="F343" s="10">
        <f>IFERROR(__xludf.DUMMYFUNCTION("""COMPUTED_VALUE"""),138.738005785999)</f>
        <v>138.738005785999</v>
      </c>
      <c r="G343" s="10">
        <f>IFERROR(__xludf.DUMMYFUNCTION("""COMPUTED_VALUE"""),-91.0303397339999)</f>
        <v>-91.0303397339999</v>
      </c>
      <c r="H343" s="10">
        <f>IFERROR(__xludf.DUMMYFUNCTION("""COMPUTED_VALUE"""),-134.408943105)</f>
        <v>-134.408943105</v>
      </c>
      <c r="I343" s="13"/>
      <c r="J343" s="13"/>
      <c r="K343" s="13"/>
      <c r="L343" s="13"/>
      <c r="M343" s="1" t="b">
        <f>IFERROR(__xludf.DUMMYFUNCTION("""COMPUTED_VALUE"""),FALSE)</f>
        <v>0</v>
      </c>
      <c r="N343" s="10">
        <f>IFERROR(__xludf.DUMMYFUNCTION("""COMPUTED_VALUE"""),0)</f>
        <v>0</v>
      </c>
      <c r="O343" s="10">
        <f>IFERROR(__xludf.DUMMYFUNCTION("""COMPUTED_VALUE"""),0)</f>
        <v>0</v>
      </c>
      <c r="P343" s="10"/>
      <c r="Q343" s="30"/>
      <c r="R343" s="18"/>
      <c r="S343" s="19"/>
      <c r="T343" s="10"/>
      <c r="U343" s="10"/>
      <c r="V343" s="10"/>
      <c r="W343" s="10"/>
      <c r="X343" s="19"/>
      <c r="Y343" s="1"/>
      <c r="Z343" s="1"/>
      <c r="AA343" s="1"/>
    </row>
    <row r="344" customHeight="1" spans="1:27">
      <c r="A344" s="1" t="str">
        <f>IFERROR(__xludf.DUMMYFUNCTION("""COMPUTED_VALUE"""),"Euterpe 22")</f>
        <v>Euterpe 22</v>
      </c>
      <c r="B344" s="1" t="str">
        <f>IFERROR(__xludf.DUMMYFUNCTION("""COMPUTED_VALUE"""),"Euterpe 29")</f>
        <v>Euterpe 29</v>
      </c>
      <c r="C344" s="1" t="str">
        <f>IFERROR(__xludf.DUMMYFUNCTION("""COMPUTED_VALUE"""),"Euterpe 21")</f>
        <v>Euterpe 21</v>
      </c>
      <c r="D344" s="1" t="str">
        <f>IFERROR(__xludf.DUMMYFUNCTION("""COMPUTED_VALUE"""),"Starfarer Wreck 15P")</f>
        <v>Starfarer Wreck 15P</v>
      </c>
      <c r="E344" s="30" t="str">
        <f>IFERROR(__xludf.DUMMYFUNCTION("""COMPUTED_VALUE"""),"Starfarer 15P")</f>
        <v>Starfarer 15P</v>
      </c>
      <c r="F344" s="10">
        <f>IFERROR(__xludf.DUMMYFUNCTION("""COMPUTED_VALUE"""),-12.139745413)</f>
        <v>-12.139745413</v>
      </c>
      <c r="G344" s="10">
        <f>IFERROR(__xludf.DUMMYFUNCTION("""COMPUTED_VALUE"""),-209.637661365)</f>
        <v>-209.637661365</v>
      </c>
      <c r="H344" s="10">
        <f>IFERROR(__xludf.DUMMYFUNCTION("""COMPUTED_VALUE"""),36.040274317)</f>
        <v>36.040274317</v>
      </c>
      <c r="I344" s="13"/>
      <c r="J344" s="13"/>
      <c r="K344" s="13"/>
      <c r="L344" s="13"/>
      <c r="M344" s="1" t="b">
        <f>IFERROR(__xludf.DUMMYFUNCTION("""COMPUTED_VALUE"""),FALSE)</f>
        <v>0</v>
      </c>
      <c r="N344" s="10">
        <f>IFERROR(__xludf.DUMMYFUNCTION("""COMPUTED_VALUE"""),0)</f>
        <v>0</v>
      </c>
      <c r="O344" s="10">
        <f>IFERROR(__xludf.DUMMYFUNCTION("""COMPUTED_VALUE"""),0)</f>
        <v>0</v>
      </c>
      <c r="P344" s="10"/>
      <c r="Q344" s="30"/>
      <c r="R344" s="18"/>
      <c r="S344" s="19"/>
      <c r="T344" s="10"/>
      <c r="U344" s="10"/>
      <c r="V344" s="10"/>
      <c r="W344" s="10"/>
      <c r="X344" s="19"/>
      <c r="Y344" s="1"/>
      <c r="Z344" s="1"/>
      <c r="AA344" s="1"/>
    </row>
    <row r="345" customHeight="1" spans="1:27">
      <c r="A345" s="1" t="str">
        <f>IFERROR(__xludf.DUMMYFUNCTION("""COMPUTED_VALUE"""),"Euterpe 23")</f>
        <v>Euterpe 23</v>
      </c>
      <c r="B345" s="1" t="str">
        <f>IFERROR(__xludf.DUMMYFUNCTION("""COMPUTED_VALUE"""),"Euterpe 30")</f>
        <v>Euterpe 30</v>
      </c>
      <c r="C345" s="1" t="str">
        <f>IFERROR(__xludf.DUMMYFUNCTION("""COMPUTED_VALUE"""),"Euterpe 18")</f>
        <v>Euterpe 18</v>
      </c>
      <c r="D345" s="1" t="str">
        <f>IFERROR(__xludf.DUMMYFUNCTION("""COMPUTED_VALUE"""),"Starfarer Wreck 18S")</f>
        <v>Starfarer Wreck 18S</v>
      </c>
      <c r="E345" s="30" t="str">
        <f>IFERROR(__xludf.DUMMYFUNCTION("""COMPUTED_VALUE"""),"Starfarer 18S")</f>
        <v>Starfarer 18S</v>
      </c>
      <c r="F345" s="10">
        <f>IFERROR(__xludf.DUMMYFUNCTION("""COMPUTED_VALUE"""),44.457566959)</f>
        <v>44.457566959</v>
      </c>
      <c r="G345" s="10">
        <f>IFERROR(__xludf.DUMMYFUNCTION("""COMPUTED_VALUE"""),-170.185033365999)</f>
        <v>-170.185033365999</v>
      </c>
      <c r="H345" s="10">
        <f>IFERROR(__xludf.DUMMYFUNCTION("""COMPUTED_VALUE"""),120.271915557999)</f>
        <v>120.271915557999</v>
      </c>
      <c r="I345" s="13"/>
      <c r="J345" s="13"/>
      <c r="K345" s="13"/>
      <c r="L345" s="13"/>
      <c r="M345" s="1" t="b">
        <f>IFERROR(__xludf.DUMMYFUNCTION("""COMPUTED_VALUE"""),FALSE)</f>
        <v>0</v>
      </c>
      <c r="N345" s="10">
        <f>IFERROR(__xludf.DUMMYFUNCTION("""COMPUTED_VALUE"""),0)</f>
        <v>0</v>
      </c>
      <c r="O345" s="10">
        <f>IFERROR(__xludf.DUMMYFUNCTION("""COMPUTED_VALUE"""),0)</f>
        <v>0</v>
      </c>
      <c r="P345" s="10"/>
      <c r="Q345" s="30"/>
      <c r="R345" s="18"/>
      <c r="S345" s="19"/>
      <c r="T345" s="10"/>
      <c r="U345" s="10"/>
      <c r="V345" s="10"/>
      <c r="W345" s="10"/>
      <c r="X345" s="19"/>
      <c r="Y345" s="1"/>
      <c r="Z345" s="1"/>
      <c r="AA345" s="1"/>
    </row>
    <row r="346" customHeight="1" spans="1:27">
      <c r="A346" s="1" t="str">
        <f>IFERROR(__xludf.DUMMYFUNCTION("""COMPUTED_VALUE"""),"Euterpe 20")</f>
        <v>Euterpe 20</v>
      </c>
      <c r="B346" s="1" t="str">
        <f>IFERROR(__xludf.DUMMYFUNCTION("""COMPUTED_VALUE"""),"Euterpe 27")</f>
        <v>Euterpe 27</v>
      </c>
      <c r="C346" s="1" t="str">
        <f>IFERROR(__xludf.DUMMYFUNCTION("""COMPUTED_VALUE"""),"Euterpe 23")</f>
        <v>Euterpe 23</v>
      </c>
      <c r="D346" s="1" t="str">
        <f>IFERROR(__xludf.DUMMYFUNCTION("""COMPUTED_VALUE"""),"Starfarer Wreck 06U")</f>
        <v>Starfarer Wreck 06U</v>
      </c>
      <c r="E346" s="30" t="str">
        <f>IFERROR(__xludf.DUMMYFUNCTION("""COMPUTED_VALUE"""),"Starfarer 06U")</f>
        <v>Starfarer 06U</v>
      </c>
      <c r="F346" s="10">
        <f>IFERROR(__xludf.DUMMYFUNCTION("""COMPUTED_VALUE"""),-119.299616574)</f>
        <v>-119.299616574</v>
      </c>
      <c r="G346" s="10">
        <f>IFERROR(__xludf.DUMMYFUNCTION("""COMPUTED_VALUE"""),-77.344163665)</f>
        <v>-77.344163665</v>
      </c>
      <c r="H346" s="10">
        <f>IFERROR(__xludf.DUMMYFUNCTION("""COMPUTED_VALUE"""),158.907717932)</f>
        <v>158.907717932</v>
      </c>
      <c r="I346" s="13"/>
      <c r="J346" s="13"/>
      <c r="K346" s="13"/>
      <c r="L346" s="13"/>
      <c r="M346" s="1" t="b">
        <f>IFERROR(__xludf.DUMMYFUNCTION("""COMPUTED_VALUE"""),FALSE)</f>
        <v>0</v>
      </c>
      <c r="N346" s="10">
        <f>IFERROR(__xludf.DUMMYFUNCTION("""COMPUTED_VALUE"""),0)</f>
        <v>0</v>
      </c>
      <c r="O346" s="10">
        <f>IFERROR(__xludf.DUMMYFUNCTION("""COMPUTED_VALUE"""),0)</f>
        <v>0</v>
      </c>
      <c r="P346" s="10"/>
      <c r="Q346" s="30"/>
      <c r="R346" s="18"/>
      <c r="S346" s="19"/>
      <c r="T346" s="10"/>
      <c r="U346" s="10"/>
      <c r="V346" s="10"/>
      <c r="W346" s="10"/>
      <c r="X346" s="19"/>
      <c r="Y346" s="1"/>
      <c r="Z346" s="1"/>
      <c r="AA346" s="1"/>
    </row>
    <row r="347" customHeight="1" spans="1:27">
      <c r="A347" s="1" t="str">
        <f>IFERROR(__xludf.DUMMYFUNCTION("""COMPUTED_VALUE"""),"Euterpe 21")</f>
        <v>Euterpe 21</v>
      </c>
      <c r="B347" s="1" t="str">
        <f>IFERROR(__xludf.DUMMYFUNCTION("""COMPUTED_VALUE"""),"Euterpe 28")</f>
        <v>Euterpe 28</v>
      </c>
      <c r="C347" s="1" t="str">
        <f>IFERROR(__xludf.DUMMYFUNCTION("""COMPUTED_VALUE"""),"Euterpe 22")</f>
        <v>Euterpe 22</v>
      </c>
      <c r="D347" s="1" t="str">
        <f>IFERROR(__xludf.DUMMYFUNCTION("""COMPUTED_VALUE"""),"Starfarer Wreck 11L")</f>
        <v>Starfarer Wreck 11L</v>
      </c>
      <c r="E347" s="30" t="str">
        <f>IFERROR(__xludf.DUMMYFUNCTION("""COMPUTED_VALUE"""),"Starfarer 11L")</f>
        <v>Starfarer 11L</v>
      </c>
      <c r="F347" s="10">
        <f>IFERROR(__xludf.DUMMYFUNCTION("""COMPUTED_VALUE"""),-87.4900302229999)</f>
        <v>-87.4900302229999</v>
      </c>
      <c r="G347" s="10">
        <f>IFERROR(__xludf.DUMMYFUNCTION("""COMPUTED_VALUE"""),-187.249575927)</f>
        <v>-187.249575927</v>
      </c>
      <c r="H347" s="10">
        <f>IFERROR(__xludf.DUMMYFUNCTION("""COMPUTED_VALUE"""),-52.1533822)</f>
        <v>-52.1533822</v>
      </c>
      <c r="I347" s="13"/>
      <c r="J347" s="13"/>
      <c r="K347" s="13"/>
      <c r="L347" s="13"/>
      <c r="M347" s="1" t="b">
        <f>IFERROR(__xludf.DUMMYFUNCTION("""COMPUTED_VALUE"""),FALSE)</f>
        <v>0</v>
      </c>
      <c r="N347" s="10">
        <f>IFERROR(__xludf.DUMMYFUNCTION("""COMPUTED_VALUE"""),0)</f>
        <v>0</v>
      </c>
      <c r="O347" s="10">
        <f>IFERROR(__xludf.DUMMYFUNCTION("""COMPUTED_VALUE"""),0)</f>
        <v>0</v>
      </c>
      <c r="P347" s="10"/>
      <c r="Q347" s="30"/>
      <c r="R347" s="18"/>
      <c r="S347" s="19"/>
      <c r="T347" s="10"/>
      <c r="U347" s="10"/>
      <c r="V347" s="10"/>
      <c r="W347" s="10"/>
      <c r="X347" s="19"/>
      <c r="Y347" s="1"/>
      <c r="Z347" s="1"/>
      <c r="AA347" s="1"/>
    </row>
    <row r="348" customHeight="1" spans="1:27">
      <c r="A348" s="1" t="str">
        <f>IFERROR(__xludf.DUMMYFUNCTION("""COMPUTED_VALUE"""),"Euterpe")</f>
        <v>Euterpe</v>
      </c>
      <c r="B348" s="1" t="str">
        <f>IFERROR(__xludf.DUMMYFUNCTION("""COMPUTED_VALUE"""),"Euterpe 32")</f>
        <v>Euterpe 32</v>
      </c>
      <c r="C348" s="1"/>
      <c r="D348" s="1" t="str">
        <f>IFERROR(__xludf.DUMMYFUNCTION("""COMPUTED_VALUE"""),"Comm Array")</f>
        <v>Comm Array</v>
      </c>
      <c r="E348" s="30"/>
      <c r="F348" s="10"/>
      <c r="G348" s="10"/>
      <c r="H348" s="10"/>
      <c r="I348" s="13"/>
      <c r="J348" s="13"/>
      <c r="K348" s="13"/>
      <c r="L348" s="13"/>
      <c r="M348" s="1"/>
      <c r="N348" s="10"/>
      <c r="O348" s="10"/>
      <c r="P348" s="10"/>
      <c r="Q348" s="30"/>
      <c r="R348" s="18"/>
      <c r="S348" s="19"/>
      <c r="T348" s="10"/>
      <c r="U348" s="10"/>
      <c r="V348" s="10"/>
      <c r="W348" s="10"/>
      <c r="X348" s="19"/>
      <c r="Y348" s="1"/>
      <c r="Z348" s="1"/>
      <c r="AA348" s="1"/>
    </row>
    <row r="349" customHeight="1" spans="1:27">
      <c r="A349" s="1" t="str">
        <f>IFERROR(__xludf.DUMMYFUNCTION("""COMPUTED_VALUE"""),"Euterpe 04")</f>
        <v>Euterpe 04</v>
      </c>
      <c r="B349" s="1" t="str">
        <f>IFERROR(__xludf.DUMMYFUNCTION("""COMPUTED_VALUE"""),"Euterpe 33")</f>
        <v>Euterpe 33</v>
      </c>
      <c r="C349" s="1" t="str">
        <f>IFERROR(__xludf.DUMMYFUNCTION("""COMPUTED_VALUE"""),"Euterpe 09")</f>
        <v>Euterpe 09</v>
      </c>
      <c r="D349" s="1" t="str">
        <f>IFERROR(__xludf.DUMMYFUNCTION("""COMPUTED_VALUE"""),"Comm Array ST4-64")</f>
        <v>Comm Array ST4-64</v>
      </c>
      <c r="E349" s="30" t="str">
        <f>IFERROR(__xludf.DUMMYFUNCTION("""COMPUTED_VALUE"""),"ST4-64")</f>
        <v>ST4-64</v>
      </c>
      <c r="F349" s="10">
        <f>IFERROR(__xludf.DUMMYFUNCTION("""COMPUTED_VALUE"""),431.784048599243)</f>
        <v>431.784048599243</v>
      </c>
      <c r="G349" s="10">
        <f>IFERROR(__xludf.DUMMYFUNCTION("""COMPUTED_VALUE"""),208.033822898865)</f>
        <v>208.033822898865</v>
      </c>
      <c r="H349" s="10">
        <f>IFERROR(__xludf.DUMMYFUNCTION("""COMPUTED_VALUE"""),24)</f>
        <v>24</v>
      </c>
      <c r="I349" s="13"/>
      <c r="J349" s="13"/>
      <c r="K349" s="13"/>
      <c r="L349" s="13"/>
      <c r="M349" s="1" t="b">
        <f>IFERROR(__xludf.DUMMYFUNCTION("""COMPUTED_VALUE"""),TRUE)</f>
        <v>1</v>
      </c>
      <c r="N349" s="10">
        <f>IFERROR(__xludf.DUMMYFUNCTION("""COMPUTED_VALUE"""),0)</f>
        <v>0</v>
      </c>
      <c r="O349" s="10">
        <f>IFERROR(__xludf.DUMMYFUNCTION("""COMPUTED_VALUE"""),0)</f>
        <v>0</v>
      </c>
      <c r="P349" s="10"/>
      <c r="Q349" s="30"/>
      <c r="R349" s="18"/>
      <c r="S349" s="19"/>
      <c r="T349" s="10"/>
      <c r="U349" s="10"/>
      <c r="V349" s="10"/>
      <c r="W349" s="10"/>
      <c r="X349" s="19"/>
      <c r="Y349" s="1"/>
      <c r="Z349" s="1"/>
      <c r="AA349" s="1"/>
    </row>
    <row r="350" customHeight="1" spans="1:27">
      <c r="A350" s="1"/>
      <c r="B350" s="1"/>
      <c r="C350" s="1"/>
      <c r="D350" s="1"/>
      <c r="E350" s="30"/>
      <c r="F350" s="10"/>
      <c r="G350" s="10"/>
      <c r="H350" s="10"/>
      <c r="I350" s="13"/>
      <c r="J350" s="13"/>
      <c r="K350" s="13"/>
      <c r="L350" s="13"/>
      <c r="M350" s="1"/>
      <c r="N350" s="10"/>
      <c r="O350" s="10"/>
      <c r="P350" s="10"/>
      <c r="Q350" s="30"/>
      <c r="R350" s="18"/>
      <c r="S350" s="19"/>
      <c r="T350" s="10"/>
      <c r="U350" s="10"/>
      <c r="V350" s="10"/>
      <c r="W350" s="10"/>
      <c r="X350" s="19"/>
      <c r="Y350" s="1"/>
      <c r="Z350" s="1"/>
      <c r="AA350" s="1"/>
    </row>
    <row r="351" customHeight="1" spans="1:27">
      <c r="A351" s="1" t="str">
        <f>IFERROR(__xludf.DUMMYFUNCTION("""COMPUTED_VALUE"""),"Hurston R01")</f>
        <v>Hurston R01</v>
      </c>
      <c r="B351" s="1" t="str">
        <f>IFERROR(__xludf.DUMMYFUNCTION("""COMPUTED_VALUE"""),"Hurston 161")</f>
        <v>Hurston 161</v>
      </c>
      <c r="C351" s="1"/>
      <c r="D351" s="1" t="str">
        <f>IFERROR(__xludf.DUMMYFUNCTION("""COMPUTED_VALUE"""),"OM-1")</f>
        <v>OM-1</v>
      </c>
      <c r="E351" s="30" t="str">
        <f>IFERROR(__xludf.DUMMYFUNCTION("""COMPUTED_VALUE"""),"OM1")</f>
        <v>OM1</v>
      </c>
      <c r="F351" s="10">
        <f>IFERROR(__xludf.DUMMYFUNCTION("""COMPUTED_VALUE"""),0)</f>
        <v>0</v>
      </c>
      <c r="G351" s="10">
        <f>IFERROR(__xludf.DUMMYFUNCTION("""COMPUTED_VALUE"""),0)</f>
        <v>0</v>
      </c>
      <c r="H351" s="10">
        <f>IFERROR(__xludf.DUMMYFUNCTION("""COMPUTED_VALUE"""),1436.814)</f>
        <v>1436.814</v>
      </c>
      <c r="I351" s="13"/>
      <c r="J351" s="13"/>
      <c r="K351" s="13"/>
      <c r="L351" s="13"/>
      <c r="M351" s="1" t="b">
        <f>IFERROR(__xludf.DUMMYFUNCTION("""COMPUTED_VALUE"""),TRUE)</f>
        <v>1</v>
      </c>
      <c r="N351" s="10">
        <f>IFERROR(__xludf.DUMMYFUNCTION("""COMPUTED_VALUE"""),0)</f>
        <v>0</v>
      </c>
      <c r="O351" s="10">
        <f>IFERROR(__xludf.DUMMYFUNCTION("""COMPUTED_VALUE"""),0)</f>
        <v>0</v>
      </c>
      <c r="P351" s="10"/>
      <c r="Q351" s="30"/>
      <c r="R351" s="18"/>
      <c r="S351" s="19"/>
      <c r="T351" s="10"/>
      <c r="U351" s="10"/>
      <c r="V351" s="10"/>
      <c r="W351" s="10"/>
      <c r="X351" s="19"/>
      <c r="Y351" s="1"/>
      <c r="Z351" s="1"/>
      <c r="AA351" s="1"/>
    </row>
    <row r="352" customHeight="1" spans="1:27">
      <c r="A352" s="1" t="str">
        <f>IFERROR(__xludf.DUMMYFUNCTION("""COMPUTED_VALUE"""),"Hurston R02")</f>
        <v>Hurston R02</v>
      </c>
      <c r="B352" s="1" t="str">
        <f>IFERROR(__xludf.DUMMYFUNCTION("""COMPUTED_VALUE"""),"Hurston 162")</f>
        <v>Hurston 162</v>
      </c>
      <c r="C352" s="1"/>
      <c r="D352" s="1" t="str">
        <f>IFERROR(__xludf.DUMMYFUNCTION("""COMPUTED_VALUE"""),"OM-2")</f>
        <v>OM-2</v>
      </c>
      <c r="E352" s="30" t="str">
        <f>IFERROR(__xludf.DUMMYFUNCTION("""COMPUTED_VALUE"""),"OM2")</f>
        <v>OM2</v>
      </c>
      <c r="F352" s="10">
        <f>IFERROR(__xludf.DUMMYFUNCTION("""COMPUTED_VALUE"""),0)</f>
        <v>0</v>
      </c>
      <c r="G352" s="10">
        <f>IFERROR(__xludf.DUMMYFUNCTION("""COMPUTED_VALUE"""),0)</f>
        <v>0</v>
      </c>
      <c r="H352" s="10">
        <f>IFERROR(__xludf.DUMMYFUNCTION("""COMPUTED_VALUE"""),-1436.814)</f>
        <v>-1436.814</v>
      </c>
      <c r="I352" s="13"/>
      <c r="J352" s="13"/>
      <c r="K352" s="13"/>
      <c r="L352" s="13"/>
      <c r="M352" s="1" t="b">
        <f>IFERROR(__xludf.DUMMYFUNCTION("""COMPUTED_VALUE"""),TRUE)</f>
        <v>1</v>
      </c>
      <c r="N352" s="10">
        <f>IFERROR(__xludf.DUMMYFUNCTION("""COMPUTED_VALUE"""),0)</f>
        <v>0</v>
      </c>
      <c r="O352" s="10">
        <f>IFERROR(__xludf.DUMMYFUNCTION("""COMPUTED_VALUE"""),0)</f>
        <v>0</v>
      </c>
      <c r="P352" s="10"/>
      <c r="Q352" s="30"/>
      <c r="R352" s="18"/>
      <c r="S352" s="19"/>
      <c r="T352" s="10"/>
      <c r="U352" s="10"/>
      <c r="V352" s="10"/>
      <c r="W352" s="10"/>
      <c r="X352" s="19"/>
      <c r="Y352" s="1"/>
      <c r="Z352" s="1"/>
      <c r="AA352" s="1"/>
    </row>
    <row r="353" customHeight="1" spans="1:27">
      <c r="A353" s="1" t="str">
        <f>IFERROR(__xludf.DUMMYFUNCTION("""COMPUTED_VALUE"""),"Hurston R03")</f>
        <v>Hurston R03</v>
      </c>
      <c r="B353" s="1" t="str">
        <f>IFERROR(__xludf.DUMMYFUNCTION("""COMPUTED_VALUE"""),"Hurston 163")</f>
        <v>Hurston 163</v>
      </c>
      <c r="C353" s="1" t="str">
        <f>IFERROR(__xludf.DUMMYFUNCTION("""COMPUTED_VALUE"""),"Hurston 42")</f>
        <v>Hurston 42</v>
      </c>
      <c r="D353" s="1" t="str">
        <f>IFERROR(__xludf.DUMMYFUNCTION("""COMPUTED_VALUE"""),"OM-3")</f>
        <v>OM-3</v>
      </c>
      <c r="E353" s="30" t="str">
        <f>IFERROR(__xludf.DUMMYFUNCTION("""COMPUTED_VALUE"""),"OM3")</f>
        <v>OM3</v>
      </c>
      <c r="F353" s="10">
        <f>IFERROR(__xludf.DUMMYFUNCTION("""COMPUTED_VALUE"""),0)</f>
        <v>0</v>
      </c>
      <c r="G353" s="10">
        <f>IFERROR(__xludf.DUMMYFUNCTION("""COMPUTED_VALUE"""),1436.814)</f>
        <v>1436.814</v>
      </c>
      <c r="H353" s="10">
        <f>IFERROR(__xludf.DUMMYFUNCTION("""COMPUTED_VALUE"""),0)</f>
        <v>0</v>
      </c>
      <c r="I353" s="13"/>
      <c r="J353" s="13"/>
      <c r="K353" s="13"/>
      <c r="L353" s="13"/>
      <c r="M353" s="1" t="b">
        <f>IFERROR(__xludf.DUMMYFUNCTION("""COMPUTED_VALUE"""),TRUE)</f>
        <v>1</v>
      </c>
      <c r="N353" s="10">
        <f>IFERROR(__xludf.DUMMYFUNCTION("""COMPUTED_VALUE"""),0)</f>
        <v>0</v>
      </c>
      <c r="O353" s="10">
        <f>IFERROR(__xludf.DUMMYFUNCTION("""COMPUTED_VALUE"""),0)</f>
        <v>0</v>
      </c>
      <c r="P353" s="10"/>
      <c r="Q353" s="30"/>
      <c r="R353" s="18"/>
      <c r="S353" s="19"/>
      <c r="T353" s="10"/>
      <c r="U353" s="10"/>
      <c r="V353" s="10"/>
      <c r="W353" s="10"/>
      <c r="X353" s="19"/>
      <c r="Y353" s="1"/>
      <c r="Z353" s="1"/>
      <c r="AA353" s="1"/>
    </row>
    <row r="354" customHeight="1" spans="1:27">
      <c r="A354" s="1" t="str">
        <f>IFERROR(__xludf.DUMMYFUNCTION("""COMPUTED_VALUE"""),"Hurston R04")</f>
        <v>Hurston R04</v>
      </c>
      <c r="B354" s="1" t="str">
        <f>IFERROR(__xludf.DUMMYFUNCTION("""COMPUTED_VALUE"""),"Hurston 164")</f>
        <v>Hurston 164</v>
      </c>
      <c r="C354" s="1" t="str">
        <f>IFERROR(__xludf.DUMMYFUNCTION("""COMPUTED_VALUE"""),"Hurston 92")</f>
        <v>Hurston 92</v>
      </c>
      <c r="D354" s="1" t="str">
        <f>IFERROR(__xludf.DUMMYFUNCTION("""COMPUTED_VALUE"""),"OM-4")</f>
        <v>OM-4</v>
      </c>
      <c r="E354" s="30" t="str">
        <f>IFERROR(__xludf.DUMMYFUNCTION("""COMPUTED_VALUE"""),"OM4")</f>
        <v>OM4</v>
      </c>
      <c r="F354" s="10">
        <f>IFERROR(__xludf.DUMMYFUNCTION("""COMPUTED_VALUE"""),0)</f>
        <v>0</v>
      </c>
      <c r="G354" s="10">
        <f>IFERROR(__xludf.DUMMYFUNCTION("""COMPUTED_VALUE"""),-1436.814)</f>
        <v>-1436.814</v>
      </c>
      <c r="H354" s="10">
        <f>IFERROR(__xludf.DUMMYFUNCTION("""COMPUTED_VALUE"""),0)</f>
        <v>0</v>
      </c>
      <c r="I354" s="13"/>
      <c r="J354" s="13"/>
      <c r="K354" s="13"/>
      <c r="L354" s="13"/>
      <c r="M354" s="1" t="b">
        <f>IFERROR(__xludf.DUMMYFUNCTION("""COMPUTED_VALUE"""),TRUE)</f>
        <v>1</v>
      </c>
      <c r="N354" s="10">
        <f>IFERROR(__xludf.DUMMYFUNCTION("""COMPUTED_VALUE"""),0)</f>
        <v>0</v>
      </c>
      <c r="O354" s="10">
        <f>IFERROR(__xludf.DUMMYFUNCTION("""COMPUTED_VALUE"""),0)</f>
        <v>0</v>
      </c>
      <c r="P354" s="10"/>
      <c r="Q354" s="30"/>
      <c r="R354" s="18"/>
      <c r="S354" s="19"/>
      <c r="T354" s="10"/>
      <c r="U354" s="10"/>
      <c r="V354" s="10"/>
      <c r="W354" s="10"/>
      <c r="X354" s="19"/>
      <c r="Y354" s="1"/>
      <c r="Z354" s="1"/>
      <c r="AA354" s="1"/>
    </row>
    <row r="355" customHeight="1" spans="1:27">
      <c r="A355" s="1" t="str">
        <f>IFERROR(__xludf.DUMMYFUNCTION("""COMPUTED_VALUE"""),"Hurston R05")</f>
        <v>Hurston R05</v>
      </c>
      <c r="B355" s="1" t="str">
        <f>IFERROR(__xludf.DUMMYFUNCTION("""COMPUTED_VALUE"""),"Hurston 165")</f>
        <v>Hurston 165</v>
      </c>
      <c r="C355" s="1" t="str">
        <f>IFERROR(__xludf.DUMMYFUNCTION("""COMPUTED_VALUE"""),"Hurston 62")</f>
        <v>Hurston 62</v>
      </c>
      <c r="D355" s="1" t="str">
        <f>IFERROR(__xludf.DUMMYFUNCTION("""COMPUTED_VALUE"""),"OM-5")</f>
        <v>OM-5</v>
      </c>
      <c r="E355" s="30" t="str">
        <f>IFERROR(__xludf.DUMMYFUNCTION("""COMPUTED_VALUE"""),"OM5")</f>
        <v>OM5</v>
      </c>
      <c r="F355" s="10">
        <f>IFERROR(__xludf.DUMMYFUNCTION("""COMPUTED_VALUE"""),1436.814)</f>
        <v>1436.814</v>
      </c>
      <c r="G355" s="10">
        <f>IFERROR(__xludf.DUMMYFUNCTION("""COMPUTED_VALUE"""),0)</f>
        <v>0</v>
      </c>
      <c r="H355" s="10">
        <f>IFERROR(__xludf.DUMMYFUNCTION("""COMPUTED_VALUE"""),0)</f>
        <v>0</v>
      </c>
      <c r="I355" s="13"/>
      <c r="J355" s="13"/>
      <c r="K355" s="13"/>
      <c r="L355" s="13"/>
      <c r="M355" s="1" t="b">
        <f>IFERROR(__xludf.DUMMYFUNCTION("""COMPUTED_VALUE"""),TRUE)</f>
        <v>1</v>
      </c>
      <c r="N355" s="10">
        <f>IFERROR(__xludf.DUMMYFUNCTION("""COMPUTED_VALUE"""),0)</f>
        <v>0</v>
      </c>
      <c r="O355" s="10">
        <f>IFERROR(__xludf.DUMMYFUNCTION("""COMPUTED_VALUE"""),0)</f>
        <v>0</v>
      </c>
      <c r="P355" s="10"/>
      <c r="Q355" s="30"/>
      <c r="R355" s="18"/>
      <c r="S355" s="19"/>
      <c r="T355" s="10"/>
      <c r="U355" s="10"/>
      <c r="V355" s="10"/>
      <c r="W355" s="10"/>
      <c r="X355" s="19"/>
      <c r="Y355" s="1"/>
      <c r="Z355" s="1"/>
      <c r="AA355" s="1"/>
    </row>
    <row r="356" customHeight="1" spans="1:27">
      <c r="A356" s="1" t="str">
        <f>IFERROR(__xludf.DUMMYFUNCTION("""COMPUTED_VALUE"""),"Hurston R06")</f>
        <v>Hurston R06</v>
      </c>
      <c r="B356" s="1" t="str">
        <f>IFERROR(__xludf.DUMMYFUNCTION("""COMPUTED_VALUE"""),"Hurston 166")</f>
        <v>Hurston 166</v>
      </c>
      <c r="C356" s="1" t="str">
        <f>IFERROR(__xludf.DUMMYFUNCTION("""COMPUTED_VALUE"""),"Hurston 145")</f>
        <v>Hurston 145</v>
      </c>
      <c r="D356" s="1" t="str">
        <f>IFERROR(__xludf.DUMMYFUNCTION("""COMPUTED_VALUE"""),"OM-6")</f>
        <v>OM-6</v>
      </c>
      <c r="E356" s="30" t="str">
        <f>IFERROR(__xludf.DUMMYFUNCTION("""COMPUTED_VALUE"""),"OM6")</f>
        <v>OM6</v>
      </c>
      <c r="F356" s="10">
        <f>IFERROR(__xludf.DUMMYFUNCTION("""COMPUTED_VALUE"""),-1436.814)</f>
        <v>-1436.814</v>
      </c>
      <c r="G356" s="10">
        <f>IFERROR(__xludf.DUMMYFUNCTION("""COMPUTED_VALUE"""),0)</f>
        <v>0</v>
      </c>
      <c r="H356" s="10">
        <f>IFERROR(__xludf.DUMMYFUNCTION("""COMPUTED_VALUE"""),0)</f>
        <v>0</v>
      </c>
      <c r="I356" s="13"/>
      <c r="J356" s="13"/>
      <c r="K356" s="13"/>
      <c r="L356" s="13"/>
      <c r="M356" s="1" t="b">
        <f>IFERROR(__xludf.DUMMYFUNCTION("""COMPUTED_VALUE"""),TRUE)</f>
        <v>1</v>
      </c>
      <c r="N356" s="10">
        <f>IFERROR(__xludf.DUMMYFUNCTION("""COMPUTED_VALUE"""),0)</f>
        <v>0</v>
      </c>
      <c r="O356" s="10">
        <f>IFERROR(__xludf.DUMMYFUNCTION("""COMPUTED_VALUE"""),0)</f>
        <v>0</v>
      </c>
      <c r="P356" s="10"/>
      <c r="Q356" s="30"/>
      <c r="R356" s="18"/>
      <c r="S356" s="19"/>
      <c r="T356" s="10"/>
      <c r="U356" s="10"/>
      <c r="V356" s="10"/>
      <c r="W356" s="10"/>
      <c r="X356" s="19"/>
      <c r="Y356" s="1"/>
      <c r="Z356" s="1"/>
      <c r="AA356" s="1"/>
    </row>
    <row r="357" customHeight="1" spans="1:27">
      <c r="A357" s="1" t="str">
        <f>IFERROR(__xludf.DUMMYFUNCTION("""COMPUTED_VALUE"""),"Hurston")</f>
        <v>Hurston</v>
      </c>
      <c r="B357" s="1" t="str">
        <f>IFERROR(__xludf.DUMMYFUNCTION("""COMPUTED_VALUE"""),"Hurston 00")</f>
        <v>Hurston 00</v>
      </c>
      <c r="C357" s="1"/>
      <c r="D357" s="1" t="str">
        <f>IFERROR(__xludf.DUMMYFUNCTION("""COMPUTED_VALUE"""),"Landing Zone")</f>
        <v>Landing Zone</v>
      </c>
      <c r="E357" s="30"/>
      <c r="F357" s="10"/>
      <c r="G357" s="10"/>
      <c r="H357" s="10"/>
      <c r="I357" s="13"/>
      <c r="J357" s="13"/>
      <c r="K357" s="13"/>
      <c r="L357" s="13"/>
      <c r="M357" s="1"/>
      <c r="N357" s="10"/>
      <c r="O357" s="10"/>
      <c r="P357" s="10"/>
      <c r="Q357" s="30"/>
      <c r="R357" s="18"/>
      <c r="S357" s="19"/>
      <c r="T357" s="10"/>
      <c r="U357" s="10"/>
      <c r="V357" s="10"/>
      <c r="W357" s="10"/>
      <c r="X357" s="19"/>
      <c r="Y357" s="1"/>
      <c r="Z357" s="1"/>
      <c r="AA357" s="1"/>
    </row>
    <row r="358" customHeight="1" spans="1:27">
      <c r="A358" s="1" t="str">
        <f>IFERROR(__xludf.DUMMYFUNCTION("""COMPUTED_VALUE"""),"Hurston 01")</f>
        <v>Hurston 01</v>
      </c>
      <c r="B358" s="1" t="str">
        <f>IFERROR(__xludf.DUMMYFUNCTION("""COMPUTED_VALUE"""),"Hurston 01")</f>
        <v>Hurston 01</v>
      </c>
      <c r="C358" s="1" t="str">
        <f>IFERROR(__xludf.DUMMYFUNCTION("""COMPUTED_VALUE"""),"Hurston 106")</f>
        <v>Hurston 106</v>
      </c>
      <c r="D358" s="1" t="str">
        <f>IFERROR(__xludf.DUMMYFUNCTION("""COMPUTED_VALUE"""),"Lorville")</f>
        <v>Lorville</v>
      </c>
      <c r="E358" s="30" t="str">
        <f>IFERROR(__xludf.DUMMYFUNCTION("""COMPUTED_VALUE"""),"Lorville")</f>
        <v>Lorville</v>
      </c>
      <c r="F358" s="10">
        <f>IFERROR(__xludf.DUMMYFUNCTION("""COMPUTED_VALUE"""),-328.989165268899)</f>
        <v>-328.989165268899</v>
      </c>
      <c r="G358" s="10">
        <f>IFERROR(__xludf.DUMMYFUNCTION("""COMPUTED_VALUE"""),-752.434615700612)</f>
        <v>-752.434615700612</v>
      </c>
      <c r="H358" s="10">
        <f>IFERROR(__xludf.DUMMYFUNCTION("""COMPUTED_VALUE"""),572.120273853484)</f>
        <v>572.120273853484</v>
      </c>
      <c r="I358" s="13"/>
      <c r="J358" s="13"/>
      <c r="K358" s="13"/>
      <c r="L358" s="13"/>
      <c r="M358" s="1" t="b">
        <f>IFERROR(__xludf.DUMMYFUNCTION("""COMPUTED_VALUE"""),TRUE)</f>
        <v>1</v>
      </c>
      <c r="N358" s="10">
        <f>IFERROR(__xludf.DUMMYFUNCTION("""COMPUTED_VALUE"""),0)</f>
        <v>0</v>
      </c>
      <c r="O358" s="10">
        <f>IFERROR(__xludf.DUMMYFUNCTION("""COMPUTED_VALUE"""),0)</f>
        <v>0</v>
      </c>
      <c r="P358" s="10"/>
      <c r="Q358" s="30"/>
      <c r="R358" s="18"/>
      <c r="S358" s="19"/>
      <c r="T358" s="10"/>
      <c r="U358" s="10"/>
      <c r="V358" s="10"/>
      <c r="W358" s="10"/>
      <c r="X358" s="19"/>
      <c r="Y358" s="1"/>
      <c r="Z358" s="1"/>
      <c r="AA358" s="1"/>
    </row>
    <row r="359" customHeight="1" spans="1:27">
      <c r="A359" s="1" t="str">
        <f>IFERROR(__xludf.DUMMYFUNCTION("""COMPUTED_VALUE"""),"Hurston 30")</f>
        <v>Hurston 30</v>
      </c>
      <c r="B359" s="1" t="str">
        <f>IFERROR(__xludf.DUMMYFUNCTION("""COMPUTED_VALUE"""),"Hurston 02")</f>
        <v>Hurston 02</v>
      </c>
      <c r="C359" s="1" t="str">
        <f>IFERROR(__xludf.DUMMYFUNCTION("""COMPUTED_VALUE"""),"Hurston 105")</f>
        <v>Hurston 105</v>
      </c>
      <c r="D359" s="1" t="str">
        <f>IFERROR(__xludf.DUMMYFUNCTION("""COMPUTED_VALUE"""),"Teasa Spaceport")</f>
        <v>Teasa Spaceport</v>
      </c>
      <c r="E359" s="30" t="str">
        <f>IFERROR(__xludf.DUMMYFUNCTION("""COMPUTED_VALUE"""),"Teasa")</f>
        <v>Teasa</v>
      </c>
      <c r="F359" s="10">
        <f>IFERROR(__xludf.DUMMYFUNCTION("""COMPUTED_VALUE"""),-327.031381266253)</f>
        <v>-327.031381266253</v>
      </c>
      <c r="G359" s="10">
        <f>IFERROR(__xludf.DUMMYFUNCTION("""COMPUTED_VALUE"""),-758.51897055822)</f>
        <v>-758.51897055822</v>
      </c>
      <c r="H359" s="10">
        <f>IFERROR(__xludf.DUMMYFUNCTION("""COMPUTED_VALUE"""),565.629243210651)</f>
        <v>565.629243210651</v>
      </c>
      <c r="I359" s="13"/>
      <c r="J359" s="13"/>
      <c r="K359" s="13"/>
      <c r="L359" s="13"/>
      <c r="M359" s="1" t="b">
        <f>IFERROR(__xludf.DUMMYFUNCTION("""COMPUTED_VALUE"""),FALSE)</f>
        <v>0</v>
      </c>
      <c r="N359" s="10">
        <f>IFERROR(__xludf.DUMMYFUNCTION("""COMPUTED_VALUE"""),0)</f>
        <v>0</v>
      </c>
      <c r="O359" s="10">
        <f>IFERROR(__xludf.DUMMYFUNCTION("""COMPUTED_VALUE"""),0)</f>
        <v>0</v>
      </c>
      <c r="P359" s="10"/>
      <c r="Q359" s="30"/>
      <c r="R359" s="18"/>
      <c r="S359" s="19"/>
      <c r="T359" s="10"/>
      <c r="U359" s="10"/>
      <c r="V359" s="10"/>
      <c r="W359" s="10"/>
      <c r="X359" s="19"/>
      <c r="Y359" s="1"/>
      <c r="Z359" s="1"/>
      <c r="AA359" s="1"/>
    </row>
    <row r="360" customHeight="1" spans="1:27">
      <c r="A360" s="1" t="str">
        <f>IFERROR(__xludf.DUMMYFUNCTION("""COMPUTED_VALUE"""),"Hurston 02")</f>
        <v>Hurston 02</v>
      </c>
      <c r="B360" s="1" t="str">
        <f>IFERROR(__xludf.DUMMYFUNCTION("""COMPUTED_VALUE"""),"Hurston 03")</f>
        <v>Hurston 03</v>
      </c>
      <c r="C360" s="1" t="str">
        <f>IFERROR(__xludf.DUMMYFUNCTION("""COMPUTED_VALUE"""),"Hurston 111")</f>
        <v>Hurston 111</v>
      </c>
      <c r="D360" s="1" t="str">
        <f>IFERROR(__xludf.DUMMYFUNCTION("""COMPUTED_VALUE"""),"Everus Harbor")</f>
        <v>Everus Harbor</v>
      </c>
      <c r="E360" s="30" t="str">
        <f>IFERROR(__xludf.DUMMYFUNCTION("""COMPUTED_VALUE"""),"Everus")</f>
        <v>Everus</v>
      </c>
      <c r="F360" s="10">
        <f>IFERROR(__xludf.DUMMYFUNCTION("""COMPUTED_VALUE"""),-507.7423125)</f>
        <v>-507.7423125</v>
      </c>
      <c r="G360" s="10">
        <f>IFERROR(__xludf.DUMMYFUNCTION("""COMPUTED_VALUE"""),-903.4644375)</f>
        <v>-903.4644375</v>
      </c>
      <c r="H360" s="10">
        <f>IFERROR(__xludf.DUMMYFUNCTION("""COMPUTED_VALUE"""),496.4890625)</f>
        <v>496.4890625</v>
      </c>
      <c r="I360" s="13"/>
      <c r="J360" s="13"/>
      <c r="K360" s="13"/>
      <c r="L360" s="13"/>
      <c r="M360" s="1" t="b">
        <f>IFERROR(__xludf.DUMMYFUNCTION("""COMPUTED_VALUE"""),TRUE)</f>
        <v>1</v>
      </c>
      <c r="N360" s="10">
        <f>IFERROR(__xludf.DUMMYFUNCTION("""COMPUTED_VALUE"""),0)</f>
        <v>0</v>
      </c>
      <c r="O360" s="10">
        <f>IFERROR(__xludf.DUMMYFUNCTION("""COMPUTED_VALUE"""),0)</f>
        <v>0</v>
      </c>
      <c r="P360" s="10"/>
      <c r="Q360" s="30"/>
      <c r="R360" s="18"/>
      <c r="S360" s="19"/>
      <c r="T360" s="10"/>
      <c r="U360" s="10"/>
      <c r="V360" s="10"/>
      <c r="W360" s="10"/>
      <c r="X360" s="19"/>
      <c r="Y360" s="1"/>
      <c r="Z360" s="1"/>
      <c r="AA360" s="1"/>
    </row>
    <row r="361" customHeight="1" spans="1:27">
      <c r="A361" s="1" t="str">
        <f>IFERROR(__xludf.DUMMYFUNCTION("""COMPUTED_VALUE"""),"Hurston")</f>
        <v>Hurston</v>
      </c>
      <c r="B361" s="1" t="str">
        <f>IFERROR(__xludf.DUMMYFUNCTION("""COMPUTED_VALUE"""),"Hurston 05")</f>
        <v>Hurston 05</v>
      </c>
      <c r="C361" s="1"/>
      <c r="D361" s="1" t="str">
        <f>IFERROR(__xludf.DUMMYFUNCTION("""COMPUTED_VALUE"""),"Trading Terminals")</f>
        <v>Trading Terminals</v>
      </c>
      <c r="E361" s="30"/>
      <c r="F361" s="10"/>
      <c r="G361" s="10"/>
      <c r="H361" s="10"/>
      <c r="I361" s="13"/>
      <c r="J361" s="13"/>
      <c r="K361" s="13"/>
      <c r="L361" s="13"/>
      <c r="M361" s="1"/>
      <c r="N361" s="10"/>
      <c r="O361" s="10"/>
      <c r="P361" s="10"/>
      <c r="Q361" s="30"/>
      <c r="R361" s="18"/>
      <c r="S361" s="19"/>
      <c r="T361" s="10"/>
      <c r="U361" s="10"/>
      <c r="V361" s="10"/>
      <c r="W361" s="10"/>
      <c r="X361" s="19"/>
      <c r="Y361" s="1"/>
      <c r="Z361" s="1"/>
      <c r="AA361" s="1"/>
    </row>
    <row r="362" customHeight="1" spans="1:27">
      <c r="A362" s="1" t="str">
        <f>IFERROR(__xludf.DUMMYFUNCTION("""COMPUTED_VALUE"""),"Hurston 03")</f>
        <v>Hurston 03</v>
      </c>
      <c r="B362" s="1" t="str">
        <f>IFERROR(__xludf.DUMMYFUNCTION("""COMPUTED_VALUE"""),"Hurston 06")</f>
        <v>Hurston 06</v>
      </c>
      <c r="C362" s="1" t="str">
        <f>IFERROR(__xludf.DUMMYFUNCTION("""COMPUTED_VALUE"""),"Hurston 103")</f>
        <v>Hurston 103</v>
      </c>
      <c r="D362" s="1" t="str">
        <f>IFERROR(__xludf.DUMMYFUNCTION("""COMPUTED_VALUE"""),"HDMS Edmond (PB)")</f>
        <v>HDMS Edmond (PB)</v>
      </c>
      <c r="E362" s="30" t="str">
        <f>IFERROR(__xludf.DUMMYFUNCTION("""COMPUTED_VALUE"""),"Edmond")</f>
        <v>Edmond</v>
      </c>
      <c r="F362" s="10">
        <f>IFERROR(__xludf.DUMMYFUNCTION("""COMPUTED_VALUE"""),-284.480126417325)</f>
        <v>-284.480126417325</v>
      </c>
      <c r="G362" s="10">
        <f>IFERROR(__xludf.DUMMYFUNCTION("""COMPUTED_VALUE"""),-730.502066139479)</f>
        <v>-730.502066139479</v>
      </c>
      <c r="H362" s="10">
        <f>IFERROR(__xludf.DUMMYFUNCTION("""COMPUTED_VALUE"""),620.924440593545)</f>
        <v>620.924440593545</v>
      </c>
      <c r="I362" s="13"/>
      <c r="J362" s="13"/>
      <c r="K362" s="13"/>
      <c r="L362" s="13"/>
      <c r="M362" s="1" t="b">
        <f>IFERROR(__xludf.DUMMYFUNCTION("""COMPUTED_VALUE"""),TRUE)</f>
        <v>1</v>
      </c>
      <c r="N362" s="10">
        <f>IFERROR(__xludf.DUMMYFUNCTION("""COMPUTED_VALUE"""),0)</f>
        <v>0</v>
      </c>
      <c r="O362" s="10">
        <f>IFERROR(__xludf.DUMMYFUNCTION("""COMPUTED_VALUE"""),0)</f>
        <v>0</v>
      </c>
      <c r="P362" s="10"/>
      <c r="Q362" s="30"/>
      <c r="R362" s="18"/>
      <c r="S362" s="19"/>
      <c r="T362" s="10"/>
      <c r="U362" s="10"/>
      <c r="V362" s="10"/>
      <c r="W362" s="10"/>
      <c r="X362" s="19"/>
      <c r="Y362" s="1"/>
      <c r="Z362" s="1"/>
      <c r="AA362" s="1"/>
    </row>
    <row r="363" customHeight="1" spans="1:27">
      <c r="A363" s="1" t="str">
        <f>IFERROR(__xludf.DUMMYFUNCTION("""COMPUTED_VALUE"""),"Hurston 04")</f>
        <v>Hurston 04</v>
      </c>
      <c r="B363" s="1" t="str">
        <f>IFERROR(__xludf.DUMMYFUNCTION("""COMPUTED_VALUE"""),"Hurston 07")</f>
        <v>Hurston 07</v>
      </c>
      <c r="C363" s="1" t="str">
        <f>IFERROR(__xludf.DUMMYFUNCTION("""COMPUTED_VALUE"""),"Hurston 72")</f>
        <v>Hurston 72</v>
      </c>
      <c r="D363" s="1" t="str">
        <f>IFERROR(__xludf.DUMMYFUNCTION("""COMPUTED_VALUE"""),"HDMS Hadley (PB)")</f>
        <v>HDMS Hadley (PB)</v>
      </c>
      <c r="E363" s="30" t="str">
        <f>IFERROR(__xludf.DUMMYFUNCTION("""COMPUTED_VALUE"""),"Hadley")</f>
        <v>Hadley</v>
      </c>
      <c r="F363" s="10">
        <f>IFERROR(__xludf.DUMMYFUNCTION("""COMPUTED_VALUE"""),626.16661770448)</f>
        <v>626.16661770448</v>
      </c>
      <c r="G363" s="10">
        <f>IFERROR(__xludf.DUMMYFUNCTION("""COMPUTED_VALUE"""),-583.971055696104)</f>
        <v>-583.971055696104</v>
      </c>
      <c r="H363" s="10">
        <f>IFERROR(__xludf.DUMMYFUNCTION("""COMPUTED_VALUE"""),-518.485462709082)</f>
        <v>-518.485462709082</v>
      </c>
      <c r="I363" s="13"/>
      <c r="J363" s="13"/>
      <c r="K363" s="13"/>
      <c r="L363" s="13"/>
      <c r="M363" s="1" t="b">
        <f>IFERROR(__xludf.DUMMYFUNCTION("""COMPUTED_VALUE"""),TRUE)</f>
        <v>1</v>
      </c>
      <c r="N363" s="10">
        <f>IFERROR(__xludf.DUMMYFUNCTION("""COMPUTED_VALUE"""),0)</f>
        <v>0</v>
      </c>
      <c r="O363" s="10">
        <f>IFERROR(__xludf.DUMMYFUNCTION("""COMPUTED_VALUE"""),0)</f>
        <v>0</v>
      </c>
      <c r="P363" s="10"/>
      <c r="Q363" s="30"/>
      <c r="R363" s="18"/>
      <c r="S363" s="19"/>
      <c r="T363" s="10"/>
      <c r="U363" s="10"/>
      <c r="V363" s="10"/>
      <c r="W363" s="10"/>
      <c r="X363" s="19"/>
      <c r="Y363" s="1"/>
      <c r="Z363" s="1"/>
      <c r="AA363" s="1"/>
    </row>
    <row r="364" customHeight="1" spans="1:27">
      <c r="A364" s="1" t="str">
        <f>IFERROR(__xludf.DUMMYFUNCTION("""COMPUTED_VALUE"""),"Hurston 05")</f>
        <v>Hurston 05</v>
      </c>
      <c r="B364" s="1" t="str">
        <f>IFERROR(__xludf.DUMMYFUNCTION("""COMPUTED_VALUE"""),"Hurston 08")</f>
        <v>Hurston 08</v>
      </c>
      <c r="C364" s="1" t="str">
        <f>IFERROR(__xludf.DUMMYFUNCTION("""COMPUTED_VALUE"""),"Hurston 141")</f>
        <v>Hurston 141</v>
      </c>
      <c r="D364" s="1" t="str">
        <f>IFERROR(__xludf.DUMMYFUNCTION("""COMPUTED_VALUE"""),"HDMS Oparei (PB)")</f>
        <v>HDMS Oparei (PB)</v>
      </c>
      <c r="E364" s="30" t="str">
        <f>IFERROR(__xludf.DUMMYFUNCTION("""COMPUTED_VALUE"""),"Oparei")</f>
        <v>Oparei</v>
      </c>
      <c r="F364" s="10">
        <f>IFERROR(__xludf.DUMMYFUNCTION("""COMPUTED_VALUE"""),-556.12599022094)</f>
        <v>-556.12599022094</v>
      </c>
      <c r="G364" s="10">
        <f>IFERROR(__xludf.DUMMYFUNCTION("""COMPUTED_VALUE"""),-72.590748723546)</f>
        <v>-72.590748723546</v>
      </c>
      <c r="H364" s="10">
        <f>IFERROR(__xludf.DUMMYFUNCTION("""COMPUTED_VALUE"""),-828.070672938996)</f>
        <v>-828.070672938996</v>
      </c>
      <c r="I364" s="13"/>
      <c r="J364" s="13"/>
      <c r="K364" s="13"/>
      <c r="L364" s="13"/>
      <c r="M364" s="1" t="b">
        <f>IFERROR(__xludf.DUMMYFUNCTION("""COMPUTED_VALUE"""),TRUE)</f>
        <v>1</v>
      </c>
      <c r="N364" s="10">
        <f>IFERROR(__xludf.DUMMYFUNCTION("""COMPUTED_VALUE"""),0)</f>
        <v>0</v>
      </c>
      <c r="O364" s="10">
        <f>IFERROR(__xludf.DUMMYFUNCTION("""COMPUTED_VALUE"""),0)</f>
        <v>0</v>
      </c>
      <c r="P364" s="10"/>
      <c r="Q364" s="30"/>
      <c r="R364" s="18"/>
      <c r="S364" s="19"/>
      <c r="T364" s="10"/>
      <c r="U364" s="10"/>
      <c r="V364" s="10"/>
      <c r="W364" s="10"/>
      <c r="X364" s="19"/>
      <c r="Y364" s="1"/>
      <c r="Z364" s="1"/>
      <c r="AA364" s="1"/>
    </row>
    <row r="365" customHeight="1" spans="1:27">
      <c r="A365" s="1" t="str">
        <f>IFERROR(__xludf.DUMMYFUNCTION("""COMPUTED_VALUE"""),"Hurston 06")</f>
        <v>Hurston 06</v>
      </c>
      <c r="B365" s="1" t="str">
        <f>IFERROR(__xludf.DUMMYFUNCTION("""COMPUTED_VALUE"""),"Hurston 09")</f>
        <v>Hurston 09</v>
      </c>
      <c r="C365" s="1" t="str">
        <f>IFERROR(__xludf.DUMMYFUNCTION("""COMPUTED_VALUE"""),"Hurston 57")</f>
        <v>Hurston 57</v>
      </c>
      <c r="D365" s="1" t="str">
        <f>IFERROR(__xludf.DUMMYFUNCTION("""COMPUTED_VALUE"""),"HDMS Pinewood (PB)")</f>
        <v>HDMS Pinewood (PB)</v>
      </c>
      <c r="E365" s="30" t="str">
        <f>IFERROR(__xludf.DUMMYFUNCTION("""COMPUTED_VALUE"""),"Pinewood")</f>
        <v>Pinewood</v>
      </c>
      <c r="F365" s="10">
        <f>IFERROR(__xludf.DUMMYFUNCTION("""COMPUTED_VALUE"""),985.563995772686)</f>
        <v>985.563995772686</v>
      </c>
      <c r="G365" s="10">
        <f>IFERROR(__xludf.DUMMYFUNCTION("""COMPUTED_VALUE"""),90.029273051344)</f>
        <v>90.029273051344</v>
      </c>
      <c r="H365" s="10">
        <f>IFERROR(__xludf.DUMMYFUNCTION("""COMPUTED_VALUE"""),149.896296232059)</f>
        <v>149.896296232059</v>
      </c>
      <c r="I365" s="13"/>
      <c r="J365" s="13"/>
      <c r="K365" s="13"/>
      <c r="L365" s="13"/>
      <c r="M365" s="1" t="b">
        <f>IFERROR(__xludf.DUMMYFUNCTION("""COMPUTED_VALUE"""),TRUE)</f>
        <v>1</v>
      </c>
      <c r="N365" s="10">
        <f>IFERROR(__xludf.DUMMYFUNCTION("""COMPUTED_VALUE"""),0)</f>
        <v>0</v>
      </c>
      <c r="O365" s="10">
        <f>IFERROR(__xludf.DUMMYFUNCTION("""COMPUTED_VALUE"""),0)</f>
        <v>0</v>
      </c>
      <c r="P365" s="10"/>
      <c r="Q365" s="30"/>
      <c r="R365" s="18"/>
      <c r="S365" s="19"/>
      <c r="T365" s="10"/>
      <c r="U365" s="10"/>
      <c r="V365" s="10"/>
      <c r="W365" s="10"/>
      <c r="X365" s="19"/>
      <c r="Y365" s="1"/>
      <c r="Z365" s="1"/>
      <c r="AA365" s="1"/>
    </row>
    <row r="366" customHeight="1" spans="1:27">
      <c r="A366" s="1" t="str">
        <f>IFERROR(__xludf.DUMMYFUNCTION("""COMPUTED_VALUE"""),"Hurston 07")</f>
        <v>Hurston 07</v>
      </c>
      <c r="B366" s="1" t="str">
        <f>IFERROR(__xludf.DUMMYFUNCTION("""COMPUTED_VALUE"""),"Hurston 10")</f>
        <v>Hurston 10</v>
      </c>
      <c r="C366" s="1" t="str">
        <f>IFERROR(__xludf.DUMMYFUNCTION("""COMPUTED_VALUE"""),"Hurston 03")</f>
        <v>Hurston 03</v>
      </c>
      <c r="D366" s="1" t="str">
        <f>IFERROR(__xludf.DUMMYFUNCTION("""COMPUTED_VALUE"""),"HDMS Stanhope (PB)")</f>
        <v>HDMS Stanhope (PB)</v>
      </c>
      <c r="E366" s="30" t="str">
        <f>IFERROR(__xludf.DUMMYFUNCTION("""COMPUTED_VALUE"""),"Stanhope")</f>
        <v>Stanhope</v>
      </c>
      <c r="F366" s="10">
        <f>IFERROR(__xludf.DUMMYFUNCTION("""COMPUTED_VALUE"""),-648.608077207036)</f>
        <v>-648.608077207036</v>
      </c>
      <c r="G366" s="10">
        <f>IFERROR(__xludf.DUMMYFUNCTION("""COMPUTED_VALUE"""),198.312645121692)</f>
        <v>198.312645121692</v>
      </c>
      <c r="H366" s="10">
        <f>IFERROR(__xludf.DUMMYFUNCTION("""COMPUTED_VALUE"""),735.120829168693)</f>
        <v>735.120829168693</v>
      </c>
      <c r="I366" s="13"/>
      <c r="J366" s="13"/>
      <c r="K366" s="13"/>
      <c r="L366" s="13"/>
      <c r="M366" s="1" t="b">
        <f>IFERROR(__xludf.DUMMYFUNCTION("""COMPUTED_VALUE"""),TRUE)</f>
        <v>1</v>
      </c>
      <c r="N366" s="10">
        <f>IFERROR(__xludf.DUMMYFUNCTION("""COMPUTED_VALUE"""),0)</f>
        <v>0</v>
      </c>
      <c r="O366" s="10">
        <f>IFERROR(__xludf.DUMMYFUNCTION("""COMPUTED_VALUE"""),0)</f>
        <v>0</v>
      </c>
      <c r="P366" s="10"/>
      <c r="Q366" s="30"/>
      <c r="R366" s="18"/>
      <c r="S366" s="19"/>
      <c r="T366" s="10"/>
      <c r="U366" s="10"/>
      <c r="V366" s="10"/>
      <c r="W366" s="10"/>
      <c r="X366" s="19"/>
      <c r="Y366" s="1"/>
      <c r="Z366" s="1"/>
      <c r="AA366" s="1"/>
    </row>
    <row r="367" customHeight="1" spans="1:27">
      <c r="A367" s="1" t="str">
        <f>IFERROR(__xludf.DUMMYFUNCTION("""COMPUTED_VALUE"""),"Hurston 08")</f>
        <v>Hurston 08</v>
      </c>
      <c r="B367" s="1" t="str">
        <f>IFERROR(__xludf.DUMMYFUNCTION("""COMPUTED_VALUE"""),"Hurston 11")</f>
        <v>Hurston 11</v>
      </c>
      <c r="C367" s="1" t="str">
        <f>IFERROR(__xludf.DUMMYFUNCTION("""COMPUTED_VALUE"""),"Hurston 46")</f>
        <v>Hurston 46</v>
      </c>
      <c r="D367" s="1" t="str">
        <f>IFERROR(__xludf.DUMMYFUNCTION("""COMPUTED_VALUE"""),"HDMS Thedus (PB)")</f>
        <v>HDMS Thedus (PB)</v>
      </c>
      <c r="E367" s="30" t="str">
        <f>IFERROR(__xludf.DUMMYFUNCTION("""COMPUTED_VALUE"""),"Thedus")</f>
        <v>Thedus</v>
      </c>
      <c r="F367" s="10">
        <f>IFERROR(__xludf.DUMMYFUNCTION("""COMPUTED_VALUE"""),443.321550843625)</f>
        <v>443.321550843625</v>
      </c>
      <c r="G367" s="10">
        <f>IFERROR(__xludf.DUMMYFUNCTION("""COMPUTED_VALUE"""),891.524914058892)</f>
        <v>891.524914058892</v>
      </c>
      <c r="H367" s="10">
        <f>IFERROR(__xludf.DUMMYFUNCTION("""COMPUTED_VALUE"""),101.509036393495)</f>
        <v>101.509036393495</v>
      </c>
      <c r="I367" s="13"/>
      <c r="J367" s="13"/>
      <c r="K367" s="13"/>
      <c r="L367" s="13"/>
      <c r="M367" s="1" t="b">
        <f>IFERROR(__xludf.DUMMYFUNCTION("""COMPUTED_VALUE"""),TRUE)</f>
        <v>1</v>
      </c>
      <c r="N367" s="10">
        <f>IFERROR(__xludf.DUMMYFUNCTION("""COMPUTED_VALUE"""),0)</f>
        <v>0</v>
      </c>
      <c r="O367" s="10">
        <f>IFERROR(__xludf.DUMMYFUNCTION("""COMPUTED_VALUE"""),0)</f>
        <v>0</v>
      </c>
      <c r="P367" s="10"/>
      <c r="Q367" s="30"/>
      <c r="R367" s="18"/>
      <c r="S367" s="19"/>
      <c r="T367" s="10"/>
      <c r="U367" s="10"/>
      <c r="V367" s="10"/>
      <c r="W367" s="10"/>
      <c r="X367" s="19"/>
      <c r="Y367" s="1"/>
      <c r="Z367" s="1"/>
      <c r="AA367" s="1"/>
    </row>
    <row r="368" customHeight="1" spans="1:27">
      <c r="A368" s="1" t="str">
        <f>IFERROR(__xludf.DUMMYFUNCTION("""COMPUTED_VALUE"""),"Hurston 09")</f>
        <v>Hurston 09</v>
      </c>
      <c r="B368" s="1" t="str">
        <f>IFERROR(__xludf.DUMMYFUNCTION("""COMPUTED_VALUE"""),"Hurston 12")</f>
        <v>Hurston 12</v>
      </c>
      <c r="C368" s="1" t="str">
        <f>IFERROR(__xludf.DUMMYFUNCTION("""COMPUTED_VALUE"""),"Hurston 91")</f>
        <v>Hurston 91</v>
      </c>
      <c r="D368" s="1" t="str">
        <f>IFERROR(__xludf.DUMMYFUNCTION("""COMPUTED_VALUE"""),"Reclamation &amp; Disposal Orinth")</f>
        <v>Reclamation &amp; Disposal Orinth</v>
      </c>
      <c r="E368" s="30" t="str">
        <f>IFERROR(__xludf.DUMMYFUNCTION("""COMPUTED_VALUE"""),"R&amp;D Orinth")</f>
        <v>R&amp;D Orinth</v>
      </c>
      <c r="F368" s="10">
        <f>IFERROR(__xludf.DUMMYFUNCTION("""COMPUTED_VALUE"""),1.20276344799999)</f>
        <v>1.20276344799999</v>
      </c>
      <c r="G368" s="10">
        <f>IFERROR(__xludf.DUMMYFUNCTION("""COMPUTED_VALUE"""),-794.237216740999)</f>
        <v>-794.237216740999</v>
      </c>
      <c r="H368" s="10">
        <f>IFERROR(__xludf.DUMMYFUNCTION("""COMPUTED_VALUE"""),607.701139709)</f>
        <v>607.701139709</v>
      </c>
      <c r="I368" s="13"/>
      <c r="J368" s="13"/>
      <c r="K368" s="13"/>
      <c r="L368" s="13"/>
      <c r="M368" s="1" t="b">
        <f>IFERROR(__xludf.DUMMYFUNCTION("""COMPUTED_VALUE"""),TRUE)</f>
        <v>1</v>
      </c>
      <c r="N368" s="10">
        <f>IFERROR(__xludf.DUMMYFUNCTION("""COMPUTED_VALUE"""),0)</f>
        <v>0</v>
      </c>
      <c r="O368" s="10">
        <f>IFERROR(__xludf.DUMMYFUNCTION("""COMPUTED_VALUE"""),0)</f>
        <v>0</v>
      </c>
      <c r="P368" s="10"/>
      <c r="Q368" s="30"/>
      <c r="R368" s="18"/>
      <c r="S368" s="19"/>
      <c r="T368" s="10"/>
      <c r="U368" s="10"/>
      <c r="V368" s="10"/>
      <c r="W368" s="10"/>
      <c r="X368" s="19"/>
      <c r="Y368" s="1"/>
      <c r="Z368" s="1"/>
      <c r="AA368" s="1"/>
    </row>
    <row r="369" customHeight="1" spans="1:27">
      <c r="A369" s="1" t="str">
        <f>IFERROR(__xludf.DUMMYFUNCTION("""COMPUTED_VALUE"""),"Hurston 10")</f>
        <v>Hurston 10</v>
      </c>
      <c r="B369" s="1" t="str">
        <f>IFERROR(__xludf.DUMMYFUNCTION("""COMPUTED_VALUE"""),"Hurston 13")</f>
        <v>Hurston 13</v>
      </c>
      <c r="C369" s="1" t="str">
        <f>IFERROR(__xludf.DUMMYFUNCTION("""COMPUTED_VALUE"""),"Hurston 117")</f>
        <v>Hurston 117</v>
      </c>
      <c r="D369" s="1" t="str">
        <f>IFERROR(__xludf.DUMMYFUNCTION("""COMPUTED_VALUE"""),"Echo Isle")</f>
        <v>Echo Isle</v>
      </c>
      <c r="E369" s="30" t="str">
        <f>IFERROR(__xludf.DUMMYFUNCTION("""COMPUTED_VALUE"""),"Echo Isle")</f>
        <v>Echo Isle</v>
      </c>
      <c r="F369" s="10">
        <f>IFERROR(__xludf.DUMMYFUNCTION("""COMPUTED_VALUE"""),-405.104458747)</f>
        <v>-405.104458747</v>
      </c>
      <c r="G369" s="10">
        <f>IFERROR(__xludf.DUMMYFUNCTION("""COMPUTED_VALUE"""),-275.110570249999)</f>
        <v>-275.110570249999</v>
      </c>
      <c r="H369" s="10">
        <f>IFERROR(__xludf.DUMMYFUNCTION("""COMPUTED_VALUE"""),-872.195958840999)</f>
        <v>-872.195958840999</v>
      </c>
      <c r="I369" s="13"/>
      <c r="J369" s="13"/>
      <c r="K369" s="13"/>
      <c r="L369" s="13"/>
      <c r="M369" s="1" t="b">
        <f>IFERROR(__xludf.DUMMYFUNCTION("""COMPUTED_VALUE"""),FALSE)</f>
        <v>0</v>
      </c>
      <c r="N369" s="10">
        <f>IFERROR(__xludf.DUMMYFUNCTION("""COMPUTED_VALUE"""),0)</f>
        <v>0</v>
      </c>
      <c r="O369" s="10">
        <f>IFERROR(__xludf.DUMMYFUNCTION("""COMPUTED_VALUE"""),0)</f>
        <v>0</v>
      </c>
      <c r="P369" s="10"/>
      <c r="Q369" s="30"/>
      <c r="R369" s="18"/>
      <c r="S369" s="19"/>
      <c r="T369" s="10"/>
      <c r="U369" s="10"/>
      <c r="V369" s="10"/>
      <c r="W369" s="10"/>
      <c r="X369" s="19"/>
      <c r="Y369" s="1"/>
      <c r="Z369" s="1"/>
      <c r="AA369" s="1"/>
    </row>
    <row r="370" customHeight="1" spans="1:27">
      <c r="A370" s="1" t="str">
        <f>IFERROR(__xludf.DUMMYFUNCTION("""COMPUTED_VALUE"""),"Hurston")</f>
        <v>Hurston</v>
      </c>
      <c r="B370" s="1" t="str">
        <f>IFERROR(__xludf.DUMMYFUNCTION("""COMPUTED_VALUE"""),"Hurston 15")</f>
        <v>Hurston 15</v>
      </c>
      <c r="C370" s="1" t="str">
        <f>IFERROR(__xludf.DUMMYFUNCTION("""COMPUTED_VALUE"""),"Hurston")</f>
        <v>Hurston</v>
      </c>
      <c r="D370" s="1" t="str">
        <f>IFERROR(__xludf.DUMMYFUNCTION("""COMPUTED_VALUE"""),"Distribution Centers")</f>
        <v>Distribution Centers</v>
      </c>
      <c r="E370" s="30"/>
      <c r="F370" s="10"/>
      <c r="G370" s="10"/>
      <c r="H370" s="10"/>
      <c r="I370" s="13"/>
      <c r="J370" s="13"/>
      <c r="K370" s="13"/>
      <c r="L370" s="13"/>
      <c r="M370" s="1"/>
      <c r="N370" s="10"/>
      <c r="O370" s="10"/>
      <c r="P370" s="10"/>
      <c r="Q370" s="30"/>
      <c r="R370" s="18"/>
      <c r="S370" s="19"/>
      <c r="T370" s="10"/>
      <c r="U370" s="10"/>
      <c r="V370" s="10"/>
      <c r="W370" s="10"/>
      <c r="X370" s="19"/>
      <c r="Y370" s="1"/>
      <c r="Z370" s="1"/>
      <c r="AA370" s="1"/>
    </row>
    <row r="371" customHeight="1" spans="1:27">
      <c r="A371" s="1" t="str">
        <f>IFERROR(__xludf.DUMMYFUNCTION("""COMPUTED_VALUE"""),"Hurston 50")</f>
        <v>Hurston 50</v>
      </c>
      <c r="B371" s="1" t="str">
        <f>IFERROR(__xludf.DUMMYFUNCTION("""COMPUTED_VALUE"""),"Hurston 16")</f>
        <v>Hurston 16</v>
      </c>
      <c r="C371" s="1" t="str">
        <f>IFERROR(__xludf.DUMMYFUNCTION("""COMPUTED_VALUE"""),"Hurston 60")</f>
        <v>Hurston 60</v>
      </c>
      <c r="D371" s="1" t="str">
        <f>IFERROR(__xludf.DUMMYFUNCTION("""COMPUTED_VALUE"""),"Covalex Distribution Centre S1DC06")</f>
        <v>Covalex Distribution Centre S1DC06</v>
      </c>
      <c r="E371" s="30" t="str">
        <f>IFERROR(__xludf.DUMMYFUNCTION("""COMPUTED_VALUE"""),"S1DC06")</f>
        <v>S1DC06</v>
      </c>
      <c r="F371" s="10">
        <f>IFERROR(__xludf.DUMMYFUNCTION("""COMPUTED_VALUE"""),742.846528982999)</f>
        <v>742.846528982999</v>
      </c>
      <c r="G371" s="10">
        <f>IFERROR(__xludf.DUMMYFUNCTION("""COMPUTED_VALUE"""),15.4800770909998)</f>
        <v>15.4800770909998</v>
      </c>
      <c r="H371" s="10">
        <f>IFERROR(__xludf.DUMMYFUNCTION("""COMPUTED_VALUE"""),671.349065235999)</f>
        <v>671.349065235999</v>
      </c>
      <c r="I371" s="13"/>
      <c r="J371" s="13"/>
      <c r="K371" s="13"/>
      <c r="L371" s="13"/>
      <c r="M371" s="1" t="b">
        <f>IFERROR(__xludf.DUMMYFUNCTION("""COMPUTED_VALUE"""),TRUE)</f>
        <v>1</v>
      </c>
      <c r="N371" s="10">
        <f>IFERROR(__xludf.DUMMYFUNCTION("""COMPUTED_VALUE"""),0)</f>
        <v>0</v>
      </c>
      <c r="O371" s="10">
        <f>IFERROR(__xludf.DUMMYFUNCTION("""COMPUTED_VALUE"""),0)</f>
        <v>0</v>
      </c>
      <c r="P371" s="10"/>
      <c r="Q371" s="30"/>
      <c r="R371" s="18"/>
      <c r="S371" s="19"/>
      <c r="T371" s="10"/>
      <c r="U371" s="10"/>
      <c r="V371" s="10"/>
      <c r="W371" s="10"/>
      <c r="X371" s="19"/>
      <c r="Y371" s="1"/>
      <c r="Z371" s="1"/>
      <c r="AA371" s="1"/>
    </row>
    <row r="372" customHeight="1" spans="1:27">
      <c r="A372" s="1" t="str">
        <f>IFERROR(__xludf.DUMMYFUNCTION("""COMPUTED_VALUE"""),"Hurston 51")</f>
        <v>Hurston 51</v>
      </c>
      <c r="B372" s="1" t="str">
        <f>IFERROR(__xludf.DUMMYFUNCTION("""COMPUTED_VALUE"""),"Hurston 17")</f>
        <v>Hurston 17</v>
      </c>
      <c r="C372" s="1" t="str">
        <f>IFERROR(__xludf.DUMMYFUNCTION("""COMPUTED_VALUE"""),"Hurston 84")</f>
        <v>Hurston 84</v>
      </c>
      <c r="D372" s="1" t="str">
        <f>IFERROR(__xludf.DUMMYFUNCTION("""COMPUTED_VALUE"""),"Dupree Industrial Manufacturing Facility")</f>
        <v>Dupree Industrial Manufacturing Facility</v>
      </c>
      <c r="E372" s="30" t="str">
        <f>IFERROR(__xludf.DUMMYFUNCTION("""COMPUTED_VALUE"""),"Dupree")</f>
        <v>Dupree</v>
      </c>
      <c r="F372" s="10">
        <f>IFERROR(__xludf.DUMMYFUNCTION("""COMPUTED_VALUE"""),239.425790888999)</f>
        <v>239.425790888999</v>
      </c>
      <c r="G372" s="10">
        <f>IFERROR(__xludf.DUMMYFUNCTION("""COMPUTED_VALUE"""),-969.806498161999)</f>
        <v>-969.806498161999</v>
      </c>
      <c r="H372" s="10">
        <f>IFERROR(__xludf.DUMMYFUNCTION("""COMPUTED_VALUE"""),68.6351459579999)</f>
        <v>68.6351459579999</v>
      </c>
      <c r="I372" s="13"/>
      <c r="J372" s="13"/>
      <c r="K372" s="13"/>
      <c r="L372" s="13"/>
      <c r="M372" s="1" t="b">
        <f>IFERROR(__xludf.DUMMYFUNCTION("""COMPUTED_VALUE"""),TRUE)</f>
        <v>1</v>
      </c>
      <c r="N372" s="10">
        <f>IFERROR(__xludf.DUMMYFUNCTION("""COMPUTED_VALUE"""),0)</f>
        <v>0</v>
      </c>
      <c r="O372" s="10">
        <f>IFERROR(__xludf.DUMMYFUNCTION("""COMPUTED_VALUE"""),0)</f>
        <v>0</v>
      </c>
      <c r="P372" s="10"/>
      <c r="Q372" s="30"/>
      <c r="R372" s="18"/>
      <c r="S372" s="19"/>
      <c r="T372" s="10"/>
      <c r="U372" s="10"/>
      <c r="V372" s="10"/>
      <c r="W372" s="10"/>
      <c r="X372" s="19"/>
      <c r="Y372" s="1"/>
      <c r="Z372" s="1"/>
      <c r="AA372" s="1"/>
    </row>
    <row r="373" customHeight="1" spans="1:27">
      <c r="A373" s="1" t="str">
        <f>IFERROR(__xludf.DUMMYFUNCTION("""COMPUTED_VALUE"""),"Hurston 52")</f>
        <v>Hurston 52</v>
      </c>
      <c r="B373" s="1" t="str">
        <f>IFERROR(__xludf.DUMMYFUNCTION("""COMPUTED_VALUE"""),"Hurston 18")</f>
        <v>Hurston 18</v>
      </c>
      <c r="C373" s="1" t="str">
        <f>IFERROR(__xludf.DUMMYFUNCTION("""COMPUTED_VALUE"""),"Hurston 112")</f>
        <v>Hurston 112</v>
      </c>
      <c r="D373" s="1" t="str">
        <f>IFERROR(__xludf.DUMMYFUNCTION("""COMPUTED_VALUE"""),"Greycat Stanton I Production Complex-B")</f>
        <v>Greycat Stanton I Production Complex-B</v>
      </c>
      <c r="E373" s="1" t="str">
        <f>IFERROR(__xludf.DUMMYFUNCTION("""COMPUTED_VALUE"""),"Greycat I PCB")</f>
        <v>Greycat I PCB</v>
      </c>
      <c r="F373" s="2">
        <f>IFERROR(__xludf.DUMMYFUNCTION("""COMPUTED_VALUE"""),-407.457039219)</f>
        <v>-407.457039219</v>
      </c>
      <c r="G373" s="2">
        <f>IFERROR(__xludf.DUMMYFUNCTION("""COMPUTED_VALUE"""),-656.296424811)</f>
        <v>-656.296424811</v>
      </c>
      <c r="H373" s="2">
        <f>IFERROR(__xludf.DUMMYFUNCTION("""COMPUTED_VALUE"""),636.321907940999)</f>
        <v>636.321907940999</v>
      </c>
      <c r="I373" s="1"/>
      <c r="J373" s="1"/>
      <c r="K373" s="1"/>
      <c r="L373" s="1"/>
      <c r="M373" s="1" t="b">
        <f>IFERROR(__xludf.DUMMYFUNCTION("""COMPUTED_VALUE"""),TRUE)</f>
        <v>1</v>
      </c>
      <c r="N373" s="2">
        <f>IFERROR(__xludf.DUMMYFUNCTION("""COMPUTED_VALUE"""),0)</f>
        <v>0</v>
      </c>
      <c r="O373" s="2">
        <f>IFERROR(__xludf.DUMMYFUNCTION("""COMPUTED_VALUE"""),0)</f>
        <v>0</v>
      </c>
      <c r="P373" s="1"/>
      <c r="Q373" s="1"/>
      <c r="R373" s="1"/>
      <c r="S373" s="1"/>
      <c r="T373" s="1"/>
      <c r="U373" s="1"/>
      <c r="V373" s="1"/>
      <c r="W373" s="1"/>
      <c r="X373" s="1"/>
      <c r="Y373" s="1"/>
      <c r="Z373" s="1"/>
      <c r="AA373" s="1"/>
    </row>
    <row r="374" customHeight="1" spans="1:27">
      <c r="A374" s="1" t="str">
        <f>IFERROR(__xludf.DUMMYFUNCTION("""COMPUTED_VALUE"""),"Hurston 53")</f>
        <v>Hurston 53</v>
      </c>
      <c r="B374" s="1" t="str">
        <f>IFERROR(__xludf.DUMMYFUNCTION("""COMPUTED_VALUE"""),"Hurston 19")</f>
        <v>Hurston 19</v>
      </c>
      <c r="C374" s="1" t="str">
        <f>IFERROR(__xludf.DUMMYFUNCTION("""COMPUTED_VALUE"""),"Hurston 21")</f>
        <v>Hurston 21</v>
      </c>
      <c r="D374" s="1" t="str">
        <f>IFERROR(__xludf.DUMMYFUNCTION("""COMPUTED_VALUE"""),"HDPC-Cassillo")</f>
        <v>HDPC-Cassillo</v>
      </c>
      <c r="E374" s="30" t="str">
        <f>IFERROR(__xludf.DUMMYFUNCTION("""COMPUTED_VALUE"""),"Cassillo")</f>
        <v>Cassillo</v>
      </c>
      <c r="F374" s="10">
        <f>IFERROR(__xludf.DUMMYFUNCTION("""COMPUTED_VALUE"""),-789.715940114)</f>
        <v>-789.715940114</v>
      </c>
      <c r="G374" s="10">
        <f>IFERROR(__xludf.DUMMYFUNCTION("""COMPUTED_VALUE"""),615.354400685)</f>
        <v>615.354400685</v>
      </c>
      <c r="H374" s="10">
        <f>IFERROR(__xludf.DUMMYFUNCTION("""COMPUTED_VALUE"""),-2.35308959899999)</f>
        <v>-2.35308959899999</v>
      </c>
      <c r="I374" s="13"/>
      <c r="J374" s="13"/>
      <c r="K374" s="13"/>
      <c r="L374" s="13"/>
      <c r="M374" s="1" t="b">
        <f>IFERROR(__xludf.DUMMYFUNCTION("""COMPUTED_VALUE"""),TRUE)</f>
        <v>1</v>
      </c>
      <c r="N374" s="10">
        <f>IFERROR(__xludf.DUMMYFUNCTION("""COMPUTED_VALUE"""),0)</f>
        <v>0</v>
      </c>
      <c r="O374" s="10">
        <f>IFERROR(__xludf.DUMMYFUNCTION("""COMPUTED_VALUE"""),0)</f>
        <v>0</v>
      </c>
      <c r="P374" s="10"/>
      <c r="Q374" s="30"/>
      <c r="R374" s="18"/>
      <c r="S374" s="19"/>
      <c r="T374" s="10"/>
      <c r="U374" s="10"/>
      <c r="V374" s="10"/>
      <c r="W374" s="10"/>
      <c r="X374" s="19"/>
      <c r="Y374" s="1"/>
      <c r="Z374" s="1"/>
      <c r="AA374" s="1"/>
    </row>
    <row r="375" customHeight="1" spans="1:27">
      <c r="A375" s="1" t="str">
        <f>IFERROR(__xludf.DUMMYFUNCTION("""COMPUTED_VALUE"""),"Hurston 54")</f>
        <v>Hurston 54</v>
      </c>
      <c r="B375" s="1" t="str">
        <f>IFERROR(__xludf.DUMMYFUNCTION("""COMPUTED_VALUE"""),"Hurston 20")</f>
        <v>Hurston 20</v>
      </c>
      <c r="C375" s="1" t="str">
        <f>IFERROR(__xludf.DUMMYFUNCTION("""COMPUTED_VALUE"""),"Hurston 53")</f>
        <v>Hurston 53</v>
      </c>
      <c r="D375" s="1" t="str">
        <f>IFERROR(__xludf.DUMMYFUNCTION("""COMPUTED_VALUE"""),"HDPC-Farnesway")</f>
        <v>HDPC-Farnesway</v>
      </c>
      <c r="E375" s="30" t="str">
        <f>IFERROR(__xludf.DUMMYFUNCTION("""COMPUTED_VALUE"""),"Farnesway")</f>
        <v>Farnesway</v>
      </c>
      <c r="F375" s="10">
        <f>IFERROR(__xludf.DUMMYFUNCTION("""COMPUTED_VALUE"""),129.223337423)</f>
        <v>129.223337423</v>
      </c>
      <c r="G375" s="10">
        <f>IFERROR(__xludf.DUMMYFUNCTION("""COMPUTED_VALUE"""),63.887560398)</f>
        <v>63.887560398</v>
      </c>
      <c r="H375" s="10">
        <f>IFERROR(__xludf.DUMMYFUNCTION("""COMPUTED_VALUE"""),989.574572256)</f>
        <v>989.574572256</v>
      </c>
      <c r="I375" s="13"/>
      <c r="J375" s="13"/>
      <c r="K375" s="13"/>
      <c r="L375" s="13"/>
      <c r="M375" s="1" t="b">
        <f>IFERROR(__xludf.DUMMYFUNCTION("""COMPUTED_VALUE"""),TRUE)</f>
        <v>1</v>
      </c>
      <c r="N375" s="10">
        <f>IFERROR(__xludf.DUMMYFUNCTION("""COMPUTED_VALUE"""),0)</f>
        <v>0</v>
      </c>
      <c r="O375" s="10">
        <f>IFERROR(__xludf.DUMMYFUNCTION("""COMPUTED_VALUE"""),0)</f>
        <v>0</v>
      </c>
      <c r="P375" s="10"/>
      <c r="Q375" s="30"/>
      <c r="R375" s="18"/>
      <c r="S375" s="19"/>
      <c r="T375" s="10"/>
      <c r="U375" s="10"/>
      <c r="V375" s="10"/>
      <c r="W375" s="10"/>
      <c r="X375" s="19"/>
      <c r="Y375" s="1"/>
      <c r="Z375" s="1"/>
      <c r="AA375" s="1"/>
    </row>
    <row r="376" customHeight="1" spans="1:27">
      <c r="A376" s="1" t="str">
        <f>IFERROR(__xludf.DUMMYFUNCTION("""COMPUTED_VALUE"""),"Hurston 55")</f>
        <v>Hurston 55</v>
      </c>
      <c r="B376" s="1" t="str">
        <f>IFERROR(__xludf.DUMMYFUNCTION("""COMPUTED_VALUE"""),"Hurston 21")</f>
        <v>Hurston 21</v>
      </c>
      <c r="C376" s="1" t="str">
        <f>IFERROR(__xludf.DUMMYFUNCTION("""COMPUTED_VALUE"""),"Hurston 97")</f>
        <v>Hurston 97</v>
      </c>
      <c r="D376" s="1" t="str">
        <f>IFERROR(__xludf.DUMMYFUNCTION("""COMPUTED_VALUE"""),"Sakura Sun Magnolia Workcenter")</f>
        <v>Sakura Sun Magnolia Workcenter</v>
      </c>
      <c r="E376" s="30" t="str">
        <f>IFERROR(__xludf.DUMMYFUNCTION("""COMPUTED_VALUE"""),"Magnolia")</f>
        <v>Magnolia</v>
      </c>
      <c r="F376" s="10">
        <f>IFERROR(__xludf.DUMMYFUNCTION("""COMPUTED_VALUE"""),-229.373108769999)</f>
        <v>-229.373108769999</v>
      </c>
      <c r="G376" s="10">
        <f>IFERROR(__xludf.DUMMYFUNCTION("""COMPUTED_VALUE"""),-864.792873355)</f>
        <v>-864.792873355</v>
      </c>
      <c r="H376" s="10">
        <f>IFERROR(__xludf.DUMMYFUNCTION("""COMPUTED_VALUE"""),-446.960041887)</f>
        <v>-446.960041887</v>
      </c>
      <c r="I376" s="13"/>
      <c r="J376" s="13"/>
      <c r="K376" s="13"/>
      <c r="L376" s="13"/>
      <c r="M376" s="1" t="b">
        <f>IFERROR(__xludf.DUMMYFUNCTION("""COMPUTED_VALUE"""),TRUE)</f>
        <v>1</v>
      </c>
      <c r="N376" s="10">
        <f>IFERROR(__xludf.DUMMYFUNCTION("""COMPUTED_VALUE"""),0)</f>
        <v>0</v>
      </c>
      <c r="O376" s="10">
        <f>IFERROR(__xludf.DUMMYFUNCTION("""COMPUTED_VALUE"""),0)</f>
        <v>0</v>
      </c>
      <c r="P376" s="10"/>
      <c r="Q376" s="30"/>
      <c r="R376" s="18"/>
      <c r="S376" s="19"/>
      <c r="T376" s="10"/>
      <c r="U376" s="10"/>
      <c r="V376" s="10"/>
      <c r="W376" s="10"/>
      <c r="X376" s="19"/>
      <c r="Y376" s="1"/>
      <c r="Z376" s="1"/>
      <c r="AA376" s="1"/>
    </row>
    <row r="377" customHeight="1" spans="1:27">
      <c r="A377" s="1" t="str">
        <f>IFERROR(__xludf.DUMMYFUNCTION("""COMPUTED_VALUE"""),"Hurston")</f>
        <v>Hurston</v>
      </c>
      <c r="B377" s="1" t="str">
        <f>IFERROR(__xludf.DUMMYFUNCTION("""COMPUTED_VALUE"""),"Hurston 23")</f>
        <v>Hurston 23</v>
      </c>
      <c r="C377" s="1"/>
      <c r="D377" s="1" t="str">
        <f>IFERROR(__xludf.DUMMYFUNCTION("""COMPUTED_VALUE"""),"Underground Bunker Facilities")</f>
        <v>Underground Bunker Facilities</v>
      </c>
      <c r="E377" s="30"/>
      <c r="F377" s="10"/>
      <c r="G377" s="10"/>
      <c r="H377" s="10"/>
      <c r="I377" s="13"/>
      <c r="J377" s="13"/>
      <c r="K377" s="13"/>
      <c r="L377" s="13"/>
      <c r="M377" s="1"/>
      <c r="N377" s="10"/>
      <c r="O377" s="10"/>
      <c r="P377" s="10"/>
      <c r="Q377" s="30"/>
      <c r="R377" s="18"/>
      <c r="S377" s="19"/>
      <c r="T377" s="10"/>
      <c r="U377" s="10"/>
      <c r="V377" s="10"/>
      <c r="W377" s="10"/>
      <c r="X377" s="19"/>
      <c r="Y377" s="1"/>
      <c r="Z377" s="1"/>
      <c r="AA377" s="1"/>
    </row>
    <row r="378" customHeight="1" spans="1:27">
      <c r="A378" s="1" t="str">
        <f>IFERROR(__xludf.DUMMYFUNCTION("""COMPUTED_VALUE"""),"Hurston 11")</f>
        <v>Hurston 11</v>
      </c>
      <c r="B378" s="1" t="str">
        <f>IFERROR(__xludf.DUMMYFUNCTION("""COMPUTED_VALUE"""),"Hurston 24")</f>
        <v>Hurston 24</v>
      </c>
      <c r="C378" s="1" t="str">
        <f>IFERROR(__xludf.DUMMYFUNCTION("""COMPUTED_VALUE"""),"Hurston 64")</f>
        <v>Hurston 64</v>
      </c>
      <c r="D378" s="1" t="str">
        <f>IFERROR(__xludf.DUMMYFUNCTION("""COMPUTED_VALUE"""),"HDOF Palomar")</f>
        <v>HDOF Palomar</v>
      </c>
      <c r="E378" s="30" t="str">
        <f>IFERROR(__xludf.DUMMYFUNCTION("""COMPUTED_VALUE"""),"Palomar")</f>
        <v>Palomar</v>
      </c>
      <c r="F378" s="10">
        <f>IFERROR(__xludf.DUMMYFUNCTION("""COMPUTED_VALUE"""),766.533002541)</f>
        <v>766.533002541</v>
      </c>
      <c r="G378" s="10">
        <f>IFERROR(__xludf.DUMMYFUNCTION("""COMPUTED_VALUE"""),-74.214071085)</f>
        <v>-74.214071085</v>
      </c>
      <c r="H378" s="10">
        <f>IFERROR(__xludf.DUMMYFUNCTION("""COMPUTED_VALUE"""),-640.265339331)</f>
        <v>-640.265339331</v>
      </c>
      <c r="I378" s="13"/>
      <c r="J378" s="13"/>
      <c r="K378" s="13"/>
      <c r="L378" s="13"/>
      <c r="M378" s="1" t="b">
        <f>IFERROR(__xludf.DUMMYFUNCTION("""COMPUTED_VALUE"""),TRUE)</f>
        <v>1</v>
      </c>
      <c r="N378" s="10">
        <f>IFERROR(__xludf.DUMMYFUNCTION("""COMPUTED_VALUE"""),0)</f>
        <v>0</v>
      </c>
      <c r="O378" s="10">
        <f>IFERROR(__xludf.DUMMYFUNCTION("""COMPUTED_VALUE"""),0)</f>
        <v>0</v>
      </c>
      <c r="P378" s="10"/>
      <c r="Q378" s="30"/>
      <c r="R378" s="18"/>
      <c r="S378" s="19"/>
      <c r="T378" s="10"/>
      <c r="U378" s="10"/>
      <c r="V378" s="10"/>
      <c r="W378" s="10"/>
      <c r="X378" s="19"/>
      <c r="Y378" s="1"/>
      <c r="Z378" s="1"/>
      <c r="AA378" s="1"/>
    </row>
    <row r="379" customHeight="1" spans="1:27">
      <c r="A379" s="1" t="str">
        <f>IFERROR(__xludf.DUMMYFUNCTION("""COMPUTED_VALUE"""),"Hurston 12")</f>
        <v>Hurston 12</v>
      </c>
      <c r="B379" s="1" t="str">
        <f>IFERROR(__xludf.DUMMYFUNCTION("""COMPUTED_VALUE"""),"Hurston 25")</f>
        <v>Hurston 25</v>
      </c>
      <c r="C379" s="1" t="str">
        <f>IFERROR(__xludf.DUMMYFUNCTION("""COMPUTED_VALUE"""),"Hurston 99")</f>
        <v>Hurston 99</v>
      </c>
      <c r="D379" s="1" t="str">
        <f>IFERROR(__xludf.DUMMYFUNCTION("""COMPUTED_VALUE"""),"HDSF Adlai")</f>
        <v>HDSF Adlai</v>
      </c>
      <c r="E379" s="30" t="str">
        <f>IFERROR(__xludf.DUMMYFUNCTION("""COMPUTED_VALUE"""),"Adlai")</f>
        <v>Adlai</v>
      </c>
      <c r="F379" s="10">
        <f>IFERROR(__xludf.DUMMYFUNCTION("""COMPUTED_VALUE"""),-237.085942297)</f>
        <v>-237.085942297</v>
      </c>
      <c r="G379" s="10">
        <f>IFERROR(__xludf.DUMMYFUNCTION("""COMPUTED_VALUE"""),-810.782031927)</f>
        <v>-810.782031927</v>
      </c>
      <c r="H379" s="10">
        <f>IFERROR(__xludf.DUMMYFUNCTION("""COMPUTED_VALUE"""),537.793486058)</f>
        <v>537.793486058</v>
      </c>
      <c r="I379" s="13"/>
      <c r="J379" s="13"/>
      <c r="K379" s="13"/>
      <c r="L379" s="13"/>
      <c r="M379" s="1" t="b">
        <f>IFERROR(__xludf.DUMMYFUNCTION("""COMPUTED_VALUE"""),TRUE)</f>
        <v>1</v>
      </c>
      <c r="N379" s="10">
        <f>IFERROR(__xludf.DUMMYFUNCTION("""COMPUTED_VALUE"""),0)</f>
        <v>0</v>
      </c>
      <c r="O379" s="10">
        <f>IFERROR(__xludf.DUMMYFUNCTION("""COMPUTED_VALUE"""),0)</f>
        <v>0</v>
      </c>
      <c r="P379" s="10"/>
      <c r="Q379" s="30"/>
      <c r="R379" s="18"/>
      <c r="S379" s="19"/>
      <c r="T379" s="10"/>
      <c r="U379" s="10"/>
      <c r="V379" s="10"/>
      <c r="W379" s="10"/>
      <c r="X379" s="19"/>
      <c r="Y379" s="1"/>
      <c r="Z379" s="1"/>
      <c r="AA379" s="1"/>
    </row>
    <row r="380" customHeight="1" spans="1:27">
      <c r="A380" s="1" t="str">
        <f>IFERROR(__xludf.DUMMYFUNCTION("""COMPUTED_VALUE"""),"Hurston 13")</f>
        <v>Hurston 13</v>
      </c>
      <c r="B380" s="1" t="str">
        <f>IFERROR(__xludf.DUMMYFUNCTION("""COMPUTED_VALUE"""),"Hurston 26")</f>
        <v>Hurston 26</v>
      </c>
      <c r="C380" s="1" t="str">
        <f>IFERROR(__xludf.DUMMYFUNCTION("""COMPUTED_VALUE"""),"Hurston 11")</f>
        <v>Hurston 11</v>
      </c>
      <c r="D380" s="1" t="str">
        <f>IFERROR(__xludf.DUMMYFUNCTION("""COMPUTED_VALUE"""),"HDSF Barnabas")</f>
        <v>HDSF Barnabas</v>
      </c>
      <c r="E380" s="30" t="str">
        <f>IFERROR(__xludf.DUMMYFUNCTION("""COMPUTED_VALUE"""),"Barnabas")</f>
        <v>Barnabas</v>
      </c>
      <c r="F380" s="10">
        <f>IFERROR(__xludf.DUMMYFUNCTION("""COMPUTED_VALUE"""),-895.942714199)</f>
        <v>-895.942714199</v>
      </c>
      <c r="G380" s="10">
        <f>IFERROR(__xludf.DUMMYFUNCTION("""COMPUTED_VALUE"""),365.596510088999)</f>
        <v>365.596510088999</v>
      </c>
      <c r="H380" s="10">
        <f>IFERROR(__xludf.DUMMYFUNCTION("""COMPUTED_VALUE"""),-252.263204159999)</f>
        <v>-252.263204159999</v>
      </c>
      <c r="I380" s="13"/>
      <c r="J380" s="13"/>
      <c r="K380" s="13"/>
      <c r="L380" s="13"/>
      <c r="M380" s="1" t="b">
        <f>IFERROR(__xludf.DUMMYFUNCTION("""COMPUTED_VALUE"""),TRUE)</f>
        <v>1</v>
      </c>
      <c r="N380" s="10">
        <f>IFERROR(__xludf.DUMMYFUNCTION("""COMPUTED_VALUE"""),0)</f>
        <v>0</v>
      </c>
      <c r="O380" s="10">
        <f>IFERROR(__xludf.DUMMYFUNCTION("""COMPUTED_VALUE"""),0)</f>
        <v>0</v>
      </c>
      <c r="P380" s="10"/>
      <c r="Q380" s="30"/>
      <c r="R380" s="18"/>
      <c r="S380" s="19"/>
      <c r="T380" s="10"/>
      <c r="U380" s="10"/>
      <c r="V380" s="10"/>
      <c r="W380" s="10"/>
      <c r="X380" s="19"/>
      <c r="Y380" s="1"/>
      <c r="Z380" s="1"/>
      <c r="AA380" s="1"/>
    </row>
    <row r="381" customHeight="1" spans="1:27">
      <c r="A381" s="1" t="str">
        <f>IFERROR(__xludf.DUMMYFUNCTION("""COMPUTED_VALUE"""),"Hurston 14")</f>
        <v>Hurston 14</v>
      </c>
      <c r="B381" s="1" t="str">
        <f>IFERROR(__xludf.DUMMYFUNCTION("""COMPUTED_VALUE"""),"Hurston 27")</f>
        <v>Hurston 27</v>
      </c>
      <c r="C381" s="1" t="str">
        <f>IFERROR(__xludf.DUMMYFUNCTION("""COMPUTED_VALUE"""),"Hurston 26")</f>
        <v>Hurston 26</v>
      </c>
      <c r="D381" s="1" t="str">
        <f>IFERROR(__xludf.DUMMYFUNCTION("""COMPUTED_VALUE"""),"HDSF Breckinridge")</f>
        <v>HDSF Breckinridge</v>
      </c>
      <c r="E381" s="30" t="str">
        <f>IFERROR(__xludf.DUMMYFUNCTION("""COMPUTED_VALUE"""),"Breckinridge")</f>
        <v>Breckinridge</v>
      </c>
      <c r="F381" s="10">
        <f>IFERROR(__xludf.DUMMYFUNCTION("""COMPUTED_VALUE"""),-557.687652467999)</f>
        <v>-557.687652467999</v>
      </c>
      <c r="G381" s="10">
        <f>IFERROR(__xludf.DUMMYFUNCTION("""COMPUTED_VALUE"""),680.562740695)</f>
        <v>680.562740695</v>
      </c>
      <c r="H381" s="10">
        <f>IFERROR(__xludf.DUMMYFUNCTION("""COMPUTED_VALUE"""),-477.688169684)</f>
        <v>-477.688169684</v>
      </c>
      <c r="I381" s="13"/>
      <c r="J381" s="13"/>
      <c r="K381" s="13"/>
      <c r="L381" s="13"/>
      <c r="M381" s="1" t="b">
        <f>IFERROR(__xludf.DUMMYFUNCTION("""COMPUTED_VALUE"""),TRUE)</f>
        <v>1</v>
      </c>
      <c r="N381" s="10">
        <f>IFERROR(__xludf.DUMMYFUNCTION("""COMPUTED_VALUE"""),0)</f>
        <v>0</v>
      </c>
      <c r="O381" s="10">
        <f>IFERROR(__xludf.DUMMYFUNCTION("""COMPUTED_VALUE"""),0)</f>
        <v>0</v>
      </c>
      <c r="P381" s="10"/>
      <c r="Q381" s="30"/>
      <c r="R381" s="18"/>
      <c r="S381" s="19"/>
      <c r="T381" s="10"/>
      <c r="U381" s="10"/>
      <c r="V381" s="10"/>
      <c r="W381" s="10"/>
      <c r="X381" s="19"/>
      <c r="Y381" s="1"/>
      <c r="Z381" s="1"/>
      <c r="AA381" s="1"/>
    </row>
    <row r="382" customHeight="1" spans="1:27">
      <c r="A382" s="1" t="str">
        <f>IFERROR(__xludf.DUMMYFUNCTION("""COMPUTED_VALUE"""),"Hurston 15")</f>
        <v>Hurston 15</v>
      </c>
      <c r="B382" s="1" t="str">
        <f>IFERROR(__xludf.DUMMYFUNCTION("""COMPUTED_VALUE"""),"Hurston 28")</f>
        <v>Hurston 28</v>
      </c>
      <c r="C382" s="1" t="str">
        <f>IFERROR(__xludf.DUMMYFUNCTION("""COMPUTED_VALUE"""),"Hurston 54")</f>
        <v>Hurston 54</v>
      </c>
      <c r="D382" s="1" t="str">
        <f>IFERROR(__xludf.DUMMYFUNCTION("""COMPUTED_VALUE"""),"HDSF Colfax")</f>
        <v>HDSF Colfax</v>
      </c>
      <c r="E382" s="30" t="str">
        <f>IFERROR(__xludf.DUMMYFUNCTION("""COMPUTED_VALUE"""),"Colfax")</f>
        <v>Colfax</v>
      </c>
      <c r="F382" s="10">
        <f>IFERROR(__xludf.DUMMYFUNCTION("""COMPUTED_VALUE"""),902.219043824)</f>
        <v>902.219043824</v>
      </c>
      <c r="G382" s="10">
        <f>IFERROR(__xludf.DUMMYFUNCTION("""COMPUTED_VALUE"""),383.909065915999)</f>
        <v>383.909065915999</v>
      </c>
      <c r="H382" s="10">
        <f>IFERROR(__xludf.DUMMYFUNCTION("""COMPUTED_VALUE"""),-203.813808098)</f>
        <v>-203.813808098</v>
      </c>
      <c r="I382" s="13"/>
      <c r="J382" s="13"/>
      <c r="K382" s="13"/>
      <c r="L382" s="13"/>
      <c r="M382" s="1" t="b">
        <f>IFERROR(__xludf.DUMMYFUNCTION("""COMPUTED_VALUE"""),TRUE)</f>
        <v>1</v>
      </c>
      <c r="N382" s="10">
        <f>IFERROR(__xludf.DUMMYFUNCTION("""COMPUTED_VALUE"""),0)</f>
        <v>0</v>
      </c>
      <c r="O382" s="10">
        <f>IFERROR(__xludf.DUMMYFUNCTION("""COMPUTED_VALUE"""),0)</f>
        <v>0</v>
      </c>
      <c r="P382" s="10"/>
      <c r="Q382" s="30"/>
      <c r="R382" s="18"/>
      <c r="S382" s="19"/>
      <c r="T382" s="10"/>
      <c r="U382" s="10"/>
      <c r="V382" s="10"/>
      <c r="W382" s="10"/>
      <c r="X382" s="19"/>
      <c r="Y382" s="1"/>
      <c r="Z382" s="1"/>
      <c r="AA382" s="1"/>
    </row>
    <row r="383" customHeight="1" spans="1:27">
      <c r="A383" s="1" t="str">
        <f>IFERROR(__xludf.DUMMYFUNCTION("""COMPUTED_VALUE"""),"Hurston 16")</f>
        <v>Hurston 16</v>
      </c>
      <c r="B383" s="1" t="str">
        <f>IFERROR(__xludf.DUMMYFUNCTION("""COMPUTED_VALUE"""),"Hurston 29")</f>
        <v>Hurston 29</v>
      </c>
      <c r="C383" s="1" t="str">
        <f>IFERROR(__xludf.DUMMYFUNCTION("""COMPUTED_VALUE"""),"Hurston 15")</f>
        <v>Hurston 15</v>
      </c>
      <c r="D383" s="1" t="str">
        <f>IFERROR(__xludf.DUMMYFUNCTION("""COMPUTED_VALUE"""),"HDSF Damaris")</f>
        <v>HDSF Damaris</v>
      </c>
      <c r="E383" s="30" t="str">
        <f>IFERROR(__xludf.DUMMYFUNCTION("""COMPUTED_VALUE"""),"Damaris")</f>
        <v>Damaris</v>
      </c>
      <c r="F383" s="10">
        <f>IFERROR(__xludf.DUMMYFUNCTION("""COMPUTED_VALUE"""),-898.569827507999)</f>
        <v>-898.569827507999</v>
      </c>
      <c r="G383" s="10">
        <f>IFERROR(__xludf.DUMMYFUNCTION("""COMPUTED_VALUE"""),420.342659296)</f>
        <v>420.342659296</v>
      </c>
      <c r="H383" s="10">
        <f>IFERROR(__xludf.DUMMYFUNCTION("""COMPUTED_VALUE"""),-142.011500043)</f>
        <v>-142.011500043</v>
      </c>
      <c r="I383" s="13"/>
      <c r="J383" s="13"/>
      <c r="K383" s="13"/>
      <c r="L383" s="13"/>
      <c r="M383" s="1" t="b">
        <f>IFERROR(__xludf.DUMMYFUNCTION("""COMPUTED_VALUE"""),TRUE)</f>
        <v>1</v>
      </c>
      <c r="N383" s="10">
        <f>IFERROR(__xludf.DUMMYFUNCTION("""COMPUTED_VALUE"""),0)</f>
        <v>0</v>
      </c>
      <c r="O383" s="10">
        <f>IFERROR(__xludf.DUMMYFUNCTION("""COMPUTED_VALUE"""),0)</f>
        <v>0</v>
      </c>
      <c r="P383" s="10"/>
      <c r="Q383" s="30"/>
      <c r="R383" s="18"/>
      <c r="S383" s="19"/>
      <c r="T383" s="10"/>
      <c r="U383" s="10"/>
      <c r="V383" s="10"/>
      <c r="W383" s="10"/>
      <c r="X383" s="19"/>
      <c r="Y383" s="1"/>
      <c r="Z383" s="1"/>
      <c r="AA383" s="1"/>
    </row>
    <row r="384" customHeight="1" spans="1:27">
      <c r="A384" s="1" t="str">
        <f>IFERROR(__xludf.DUMMYFUNCTION("""COMPUTED_VALUE"""),"Hurston 17")</f>
        <v>Hurston 17</v>
      </c>
      <c r="B384" s="1" t="str">
        <f>IFERROR(__xludf.DUMMYFUNCTION("""COMPUTED_VALUE"""),"Hurston 30")</f>
        <v>Hurston 30</v>
      </c>
      <c r="C384" s="1" t="str">
        <f>IFERROR(__xludf.DUMMYFUNCTION("""COMPUTED_VALUE"""),"Hurston 50")</f>
        <v>Hurston 50</v>
      </c>
      <c r="D384" s="1" t="str">
        <f>IFERROR(__xludf.DUMMYFUNCTION("""COMPUTED_VALUE"""),"HDSF Elbridge")</f>
        <v>HDSF Elbridge</v>
      </c>
      <c r="E384" s="30" t="str">
        <f>IFERROR(__xludf.DUMMYFUNCTION("""COMPUTED_VALUE"""),"Elbridge")</f>
        <v>Elbridge</v>
      </c>
      <c r="F384" s="10">
        <f>IFERROR(__xludf.DUMMYFUNCTION("""COMPUTED_VALUE"""),449.308674648999)</f>
        <v>449.308674648999</v>
      </c>
      <c r="G384" s="10">
        <f>IFERROR(__xludf.DUMMYFUNCTION("""COMPUTED_VALUE"""),838.693225365999)</f>
        <v>838.693225365999</v>
      </c>
      <c r="H384" s="10">
        <f>IFERROR(__xludf.DUMMYFUNCTION("""COMPUTED_VALUE"""),310.715060245)</f>
        <v>310.715060245</v>
      </c>
      <c r="I384" s="13"/>
      <c r="J384" s="13"/>
      <c r="K384" s="13"/>
      <c r="L384" s="13"/>
      <c r="M384" s="1" t="b">
        <f>IFERROR(__xludf.DUMMYFUNCTION("""COMPUTED_VALUE"""),TRUE)</f>
        <v>1</v>
      </c>
      <c r="N384" s="10">
        <f>IFERROR(__xludf.DUMMYFUNCTION("""COMPUTED_VALUE"""),0)</f>
        <v>0</v>
      </c>
      <c r="O384" s="10">
        <f>IFERROR(__xludf.DUMMYFUNCTION("""COMPUTED_VALUE"""),0)</f>
        <v>0</v>
      </c>
      <c r="P384" s="10"/>
      <c r="Q384" s="30"/>
      <c r="R384" s="18"/>
      <c r="S384" s="19"/>
      <c r="T384" s="10"/>
      <c r="U384" s="10"/>
      <c r="V384" s="10"/>
      <c r="W384" s="10"/>
      <c r="X384" s="19"/>
      <c r="Y384" s="1"/>
      <c r="Z384" s="1"/>
      <c r="AA384" s="1"/>
    </row>
    <row r="385" customHeight="1" spans="1:27">
      <c r="A385" s="1" t="str">
        <f>IFERROR(__xludf.DUMMYFUNCTION("""COMPUTED_VALUE"""),"Hurston 18")</f>
        <v>Hurston 18</v>
      </c>
      <c r="B385" s="1" t="str">
        <f>IFERROR(__xludf.DUMMYFUNCTION("""COMPUTED_VALUE"""),"Hurston 31")</f>
        <v>Hurston 31</v>
      </c>
      <c r="C385" s="1" t="str">
        <f>IFERROR(__xludf.DUMMYFUNCTION("""COMPUTED_VALUE"""),"Hurston 89")</f>
        <v>Hurston 89</v>
      </c>
      <c r="D385" s="1" t="str">
        <f>IFERROR(__xludf.DUMMYFUNCTION("""COMPUTED_VALUE"""),"HDSF Hendricks")</f>
        <v>HDSF Hendricks</v>
      </c>
      <c r="E385" s="30" t="str">
        <f>IFERROR(__xludf.DUMMYFUNCTION("""COMPUTED_VALUE"""),"Hendricks")</f>
        <v>Hendricks</v>
      </c>
      <c r="F385" s="10">
        <f>IFERROR(__xludf.DUMMYFUNCTION("""COMPUTED_VALUE"""),63.6344680769999)</f>
        <v>63.6344680769999</v>
      </c>
      <c r="G385" s="10">
        <f>IFERROR(__xludf.DUMMYFUNCTION("""COMPUTED_VALUE"""),-969.032517166999)</f>
        <v>-969.032517166999</v>
      </c>
      <c r="H385" s="10">
        <f>IFERROR(__xludf.DUMMYFUNCTION("""COMPUTED_VALUE"""),-242.667407004)</f>
        <v>-242.667407004</v>
      </c>
      <c r="I385" s="13"/>
      <c r="J385" s="13"/>
      <c r="K385" s="13"/>
      <c r="L385" s="13"/>
      <c r="M385" s="1" t="b">
        <f>IFERROR(__xludf.DUMMYFUNCTION("""COMPUTED_VALUE"""),TRUE)</f>
        <v>1</v>
      </c>
      <c r="N385" s="10">
        <f>IFERROR(__xludf.DUMMYFUNCTION("""COMPUTED_VALUE"""),0)</f>
        <v>0</v>
      </c>
      <c r="O385" s="10">
        <f>IFERROR(__xludf.DUMMYFUNCTION("""COMPUTED_VALUE"""),0)</f>
        <v>0</v>
      </c>
      <c r="P385" s="10"/>
      <c r="Q385" s="30"/>
      <c r="R385" s="18"/>
      <c r="S385" s="19"/>
      <c r="T385" s="10"/>
      <c r="U385" s="10"/>
      <c r="V385" s="10"/>
      <c r="W385" s="10"/>
      <c r="X385" s="19"/>
      <c r="Y385" s="1"/>
      <c r="Z385" s="1"/>
      <c r="AA385" s="1"/>
    </row>
    <row r="386" customHeight="1" spans="1:27">
      <c r="A386" s="1" t="str">
        <f>IFERROR(__xludf.DUMMYFUNCTION("""COMPUTED_VALUE"""),"Hurston 19")</f>
        <v>Hurston 19</v>
      </c>
      <c r="B386" s="1" t="str">
        <f>IFERROR(__xludf.DUMMYFUNCTION("""COMPUTED_VALUE"""),"Hurston 32")</f>
        <v>Hurston 32</v>
      </c>
      <c r="C386" s="1" t="str">
        <f>IFERROR(__xludf.DUMMYFUNCTION("""COMPUTED_VALUE"""),"Hurston 135")</f>
        <v>Hurston 135</v>
      </c>
      <c r="D386" s="1" t="str">
        <f>IFERROR(__xludf.DUMMYFUNCTION("""COMPUTED_VALUE"""),"HDSF Hiram")</f>
        <v>HDSF Hiram</v>
      </c>
      <c r="E386" s="30" t="str">
        <f>IFERROR(__xludf.DUMMYFUNCTION("""COMPUTED_VALUE"""),"Hiram")</f>
        <v>Hiram</v>
      </c>
      <c r="F386" s="10">
        <f>IFERROR(__xludf.DUMMYFUNCTION("""COMPUTED_VALUE"""),-942.50480078)</f>
        <v>-942.50480078</v>
      </c>
      <c r="G386" s="10">
        <f>IFERROR(__xludf.DUMMYFUNCTION("""COMPUTED_VALUE"""),-317.019990258999)</f>
        <v>-317.019990258999</v>
      </c>
      <c r="H386" s="10">
        <f>IFERROR(__xludf.DUMMYFUNCTION("""COMPUTED_VALUE"""),122.604948322)</f>
        <v>122.604948322</v>
      </c>
      <c r="I386" s="13"/>
      <c r="J386" s="13"/>
      <c r="K386" s="13"/>
      <c r="L386" s="13"/>
      <c r="M386" s="1" t="b">
        <f>IFERROR(__xludf.DUMMYFUNCTION("""COMPUTED_VALUE"""),TRUE)</f>
        <v>1</v>
      </c>
      <c r="N386" s="10">
        <f>IFERROR(__xludf.DUMMYFUNCTION("""COMPUTED_VALUE"""),0)</f>
        <v>0</v>
      </c>
      <c r="O386" s="10">
        <f>IFERROR(__xludf.DUMMYFUNCTION("""COMPUTED_VALUE"""),0)</f>
        <v>0</v>
      </c>
      <c r="P386" s="10"/>
      <c r="Q386" s="30"/>
      <c r="R386" s="18"/>
      <c r="S386" s="19"/>
      <c r="T386" s="10"/>
      <c r="U386" s="10"/>
      <c r="V386" s="10"/>
      <c r="W386" s="10"/>
      <c r="X386" s="19"/>
      <c r="Y386" s="1"/>
      <c r="Z386" s="1"/>
      <c r="AA386" s="1"/>
    </row>
    <row r="387" customHeight="1" spans="1:27">
      <c r="A387" s="1" t="str">
        <f>IFERROR(__xludf.DUMMYFUNCTION("""COMPUTED_VALUE"""),"Hurston 20")</f>
        <v>Hurston 20</v>
      </c>
      <c r="B387" s="1" t="str">
        <f>IFERROR(__xludf.DUMMYFUNCTION("""COMPUTED_VALUE"""),"Hurston 33")</f>
        <v>Hurston 33</v>
      </c>
      <c r="C387" s="1" t="str">
        <f>IFERROR(__xludf.DUMMYFUNCTION("""COMPUTED_VALUE"""),"Hurston 30")</f>
        <v>Hurston 30</v>
      </c>
      <c r="D387" s="1" t="str">
        <f>IFERROR(__xludf.DUMMYFUNCTION("""COMPUTED_VALUE"""),"HDSF Hobart")</f>
        <v>HDSF Hobart</v>
      </c>
      <c r="E387" s="30" t="str">
        <f>IFERROR(__xludf.DUMMYFUNCTION("""COMPUTED_VALUE"""),"Hobart")</f>
        <v>Hobart</v>
      </c>
      <c r="F387" s="10">
        <f>IFERROR(__xludf.DUMMYFUNCTION("""COMPUTED_VALUE"""),-492.333174256)</f>
        <v>-492.333174256</v>
      </c>
      <c r="G387" s="10">
        <f>IFERROR(__xludf.DUMMYFUNCTION("""COMPUTED_VALUE"""),768.276004987)</f>
        <v>768.276004987</v>
      </c>
      <c r="H387" s="10">
        <f>IFERROR(__xludf.DUMMYFUNCTION("""COMPUTED_VALUE"""),410.872614675)</f>
        <v>410.872614675</v>
      </c>
      <c r="I387" s="13"/>
      <c r="J387" s="13"/>
      <c r="K387" s="13"/>
      <c r="L387" s="13"/>
      <c r="M387" s="1" t="b">
        <f>IFERROR(__xludf.DUMMYFUNCTION("""COMPUTED_VALUE"""),TRUE)</f>
        <v>1</v>
      </c>
      <c r="N387" s="10">
        <f>IFERROR(__xludf.DUMMYFUNCTION("""COMPUTED_VALUE"""),0)</f>
        <v>0</v>
      </c>
      <c r="O387" s="10">
        <f>IFERROR(__xludf.DUMMYFUNCTION("""COMPUTED_VALUE"""),0)</f>
        <v>0</v>
      </c>
      <c r="P387" s="10"/>
      <c r="Q387" s="30"/>
      <c r="R387" s="18"/>
      <c r="S387" s="19"/>
      <c r="T387" s="10"/>
      <c r="U387" s="10"/>
      <c r="V387" s="10"/>
      <c r="W387" s="10"/>
      <c r="X387" s="19"/>
      <c r="Y387" s="1"/>
      <c r="Z387" s="1"/>
      <c r="AA387" s="1"/>
    </row>
    <row r="388" customHeight="1" spans="1:27">
      <c r="A388" s="1" t="str">
        <f>IFERROR(__xludf.DUMMYFUNCTION("""COMPUTED_VALUE"""),"Hurston 21")</f>
        <v>Hurston 21</v>
      </c>
      <c r="B388" s="1" t="str">
        <f>IFERROR(__xludf.DUMMYFUNCTION("""COMPUTED_VALUE"""),"Hurston 34")</f>
        <v>Hurston 34</v>
      </c>
      <c r="C388" s="1" t="str">
        <f>IFERROR(__xludf.DUMMYFUNCTION("""COMPUTED_VALUE"""),"Hurston 120")</f>
        <v>Hurston 120</v>
      </c>
      <c r="D388" s="1" t="str">
        <f>IFERROR(__xludf.DUMMYFUNCTION("""COMPUTED_VALUE"""),"HDSF Ishmael")</f>
        <v>HDSF Ishmael</v>
      </c>
      <c r="E388" s="30" t="str">
        <f>IFERROR(__xludf.DUMMYFUNCTION("""COMPUTED_VALUE"""),"Ishmael")</f>
        <v>Ishmael</v>
      </c>
      <c r="F388" s="10">
        <f>IFERROR(__xludf.DUMMYFUNCTION("""COMPUTED_VALUE"""),-266.782918798)</f>
        <v>-266.782918798</v>
      </c>
      <c r="G388" s="10">
        <f>IFERROR(__xludf.DUMMYFUNCTION("""COMPUTED_VALUE"""),-158.616318066998)</f>
        <v>-158.616318066998</v>
      </c>
      <c r="H388" s="10">
        <f>IFERROR(__xludf.DUMMYFUNCTION("""COMPUTED_VALUE"""),952.317890261)</f>
        <v>952.317890261</v>
      </c>
      <c r="I388" s="13"/>
      <c r="J388" s="13"/>
      <c r="K388" s="13"/>
      <c r="L388" s="13"/>
      <c r="M388" s="1" t="b">
        <f>IFERROR(__xludf.DUMMYFUNCTION("""COMPUTED_VALUE"""),TRUE)</f>
        <v>1</v>
      </c>
      <c r="N388" s="10">
        <f>IFERROR(__xludf.DUMMYFUNCTION("""COMPUTED_VALUE"""),0)</f>
        <v>0</v>
      </c>
      <c r="O388" s="10">
        <f>IFERROR(__xludf.DUMMYFUNCTION("""COMPUTED_VALUE"""),0)</f>
        <v>0</v>
      </c>
      <c r="P388" s="10"/>
      <c r="Q388" s="30"/>
      <c r="R388" s="18"/>
      <c r="S388" s="19"/>
      <c r="T388" s="10"/>
      <c r="U388" s="10"/>
      <c r="V388" s="10"/>
      <c r="W388" s="10"/>
      <c r="X388" s="19"/>
      <c r="Y388" s="1"/>
      <c r="Z388" s="1"/>
      <c r="AA388" s="1"/>
    </row>
    <row r="389" customHeight="1" spans="1:27">
      <c r="A389" s="1" t="str">
        <f>IFERROR(__xludf.DUMMYFUNCTION("""COMPUTED_VALUE"""),"Hurston 22")</f>
        <v>Hurston 22</v>
      </c>
      <c r="B389" s="1" t="str">
        <f>IFERROR(__xludf.DUMMYFUNCTION("""COMPUTED_VALUE"""),"Hurston 35")</f>
        <v>Hurston 35</v>
      </c>
      <c r="C389" s="1" t="str">
        <f>IFERROR(__xludf.DUMMYFUNCTION("""COMPUTED_VALUE"""),"Hurston 19")</f>
        <v>Hurston 19</v>
      </c>
      <c r="D389" s="1" t="str">
        <f>IFERROR(__xludf.DUMMYFUNCTION("""COMPUTED_VALUE"""),"HDSF Millerand")</f>
        <v>HDSF Millerand</v>
      </c>
      <c r="E389" s="30" t="str">
        <f>IFERROR(__xludf.DUMMYFUNCTION("""COMPUTED_VALUE"""),"Millerand")</f>
        <v>Millerand</v>
      </c>
      <c r="F389" s="10">
        <f>IFERROR(__xludf.DUMMYFUNCTION("""COMPUTED_VALUE"""),-847.548727122999)</f>
        <v>-847.548727122999</v>
      </c>
      <c r="G389" s="10">
        <f>IFERROR(__xludf.DUMMYFUNCTION("""COMPUTED_VALUE"""),517.449033126)</f>
        <v>517.449033126</v>
      </c>
      <c r="H389" s="10">
        <f>IFERROR(__xludf.DUMMYFUNCTION("""COMPUTED_VALUE"""),127.617361477)</f>
        <v>127.617361477</v>
      </c>
      <c r="I389" s="13"/>
      <c r="J389" s="13"/>
      <c r="K389" s="13"/>
      <c r="L389" s="13"/>
      <c r="M389" s="1" t="b">
        <f>IFERROR(__xludf.DUMMYFUNCTION("""COMPUTED_VALUE"""),TRUE)</f>
        <v>1</v>
      </c>
      <c r="N389" s="10">
        <f>IFERROR(__xludf.DUMMYFUNCTION("""COMPUTED_VALUE"""),0)</f>
        <v>0</v>
      </c>
      <c r="O389" s="10">
        <f>IFERROR(__xludf.DUMMYFUNCTION("""COMPUTED_VALUE"""),0)</f>
        <v>0</v>
      </c>
      <c r="P389" s="10"/>
      <c r="Q389" s="30"/>
      <c r="R389" s="18"/>
      <c r="S389" s="19"/>
      <c r="T389" s="10"/>
      <c r="U389" s="10"/>
      <c r="V389" s="10"/>
      <c r="W389" s="10"/>
      <c r="X389" s="19"/>
      <c r="Y389" s="1"/>
      <c r="Z389" s="1"/>
      <c r="AA389" s="1"/>
    </row>
    <row r="390" customHeight="1" spans="1:27">
      <c r="A390" s="1" t="str">
        <f>IFERROR(__xludf.DUMMYFUNCTION("""COMPUTED_VALUE"""),"Hurston 23")</f>
        <v>Hurston 23</v>
      </c>
      <c r="B390" s="1" t="str">
        <f>IFERROR(__xludf.DUMMYFUNCTION("""COMPUTED_VALUE"""),"Hurston 36")</f>
        <v>Hurston 36</v>
      </c>
      <c r="C390" s="1" t="str">
        <f>IFERROR(__xludf.DUMMYFUNCTION("""COMPUTED_VALUE"""),"Hurston 01")</f>
        <v>Hurston 01</v>
      </c>
      <c r="D390" s="1" t="str">
        <f>IFERROR(__xludf.DUMMYFUNCTION("""COMPUTED_VALUE"""),"HDSF Rufus")</f>
        <v>HDSF Rufus</v>
      </c>
      <c r="E390" s="30" t="str">
        <f>IFERROR(__xludf.DUMMYFUNCTION("""COMPUTED_VALUE"""),"Rufus")</f>
        <v>Rufus</v>
      </c>
      <c r="F390" s="10">
        <f>IFERROR(__xludf.DUMMYFUNCTION("""COMPUTED_VALUE"""),-64.679481473)</f>
        <v>-64.679481473</v>
      </c>
      <c r="G390" s="10">
        <f>IFERROR(__xludf.DUMMYFUNCTION("""COMPUTED_VALUE"""),11.412885198)</f>
        <v>11.412885198</v>
      </c>
      <c r="H390" s="10">
        <f>IFERROR(__xludf.DUMMYFUNCTION("""COMPUTED_VALUE"""),-998.439679103999)</f>
        <v>-998.439679103999</v>
      </c>
      <c r="I390" s="13"/>
      <c r="J390" s="13"/>
      <c r="K390" s="13"/>
      <c r="L390" s="13"/>
      <c r="M390" s="1" t="b">
        <f>IFERROR(__xludf.DUMMYFUNCTION("""COMPUTED_VALUE"""),TRUE)</f>
        <v>1</v>
      </c>
      <c r="N390" s="10">
        <f>IFERROR(__xludf.DUMMYFUNCTION("""COMPUTED_VALUE"""),0)</f>
        <v>0</v>
      </c>
      <c r="O390" s="10">
        <f>IFERROR(__xludf.DUMMYFUNCTION("""COMPUTED_VALUE"""),0)</f>
        <v>0</v>
      </c>
      <c r="P390" s="10"/>
      <c r="Q390" s="30"/>
      <c r="R390" s="18"/>
      <c r="S390" s="19"/>
      <c r="T390" s="10"/>
      <c r="U390" s="10"/>
      <c r="V390" s="10"/>
      <c r="W390" s="10"/>
      <c r="X390" s="19"/>
      <c r="Y390" s="1"/>
      <c r="Z390" s="1"/>
      <c r="AA390" s="1"/>
    </row>
    <row r="391" customHeight="1" spans="1:27">
      <c r="A391" s="1" t="str">
        <f>IFERROR(__xludf.DUMMYFUNCTION("""COMPUTED_VALUE"""),"Hurston 24")</f>
        <v>Hurston 24</v>
      </c>
      <c r="B391" s="1" t="str">
        <f>IFERROR(__xludf.DUMMYFUNCTION("""COMPUTED_VALUE"""),"Hurston 37")</f>
        <v>Hurston 37</v>
      </c>
      <c r="C391" s="1" t="str">
        <f>IFERROR(__xludf.DUMMYFUNCTION("""COMPUTED_VALUE"""),"Hurston 68")</f>
        <v>Hurston 68</v>
      </c>
      <c r="D391" s="1" t="str">
        <f>IFERROR(__xludf.DUMMYFUNCTION("""COMPUTED_VALUE"""),"HDSF Sherman")</f>
        <v>HDSF Sherman</v>
      </c>
      <c r="E391" s="1" t="str">
        <f>IFERROR(__xludf.DUMMYFUNCTION("""COMPUTED_VALUE"""),"Sherman")</f>
        <v>Sherman</v>
      </c>
      <c r="F391" s="2">
        <f>IFERROR(__xludf.DUMMYFUNCTION("""COMPUTED_VALUE"""),899.436124451)</f>
        <v>899.436124451</v>
      </c>
      <c r="G391" s="2">
        <f>IFERROR(__xludf.DUMMYFUNCTION("""COMPUTED_VALUE"""),-406.041092470999)</f>
        <v>-406.041092470999</v>
      </c>
      <c r="H391" s="2">
        <f>IFERROR(__xludf.DUMMYFUNCTION("""COMPUTED_VALUE"""),168.242993457)</f>
        <v>168.242993457</v>
      </c>
      <c r="I391" s="1"/>
      <c r="J391" s="1"/>
      <c r="K391" s="1"/>
      <c r="L391" s="1"/>
      <c r="M391" s="1" t="b">
        <f>IFERROR(__xludf.DUMMYFUNCTION("""COMPUTED_VALUE"""),TRUE)</f>
        <v>1</v>
      </c>
      <c r="N391" s="2">
        <f>IFERROR(__xludf.DUMMYFUNCTION("""COMPUTED_VALUE"""),0)</f>
        <v>0</v>
      </c>
      <c r="O391" s="2">
        <f>IFERROR(__xludf.DUMMYFUNCTION("""COMPUTED_VALUE"""),0)</f>
        <v>0</v>
      </c>
      <c r="P391" s="1"/>
      <c r="Q391" s="1"/>
      <c r="R391" s="1"/>
      <c r="S391" s="1"/>
      <c r="T391" s="1"/>
      <c r="U391" s="1"/>
      <c r="V391" s="1"/>
      <c r="W391" s="1"/>
      <c r="X391" s="1"/>
      <c r="Y391" s="1"/>
      <c r="Z391" s="1"/>
      <c r="AA391" s="1"/>
    </row>
    <row r="392" customHeight="1" spans="1:27">
      <c r="A392" s="1" t="str">
        <f>IFERROR(__xludf.DUMMYFUNCTION("""COMPUTED_VALUE"""),"Hurston 25")</f>
        <v>Hurston 25</v>
      </c>
      <c r="B392" s="1" t="str">
        <f>IFERROR(__xludf.DUMMYFUNCTION("""COMPUTED_VALUE"""),"Hurston 38")</f>
        <v>Hurston 38</v>
      </c>
      <c r="C392" s="1" t="str">
        <f>IFERROR(__xludf.DUMMYFUNCTION("""COMPUTED_VALUE"""),"Hurston 87")</f>
        <v>Hurston 87</v>
      </c>
      <c r="D392" s="1" t="str">
        <f>IFERROR(__xludf.DUMMYFUNCTION("""COMPUTED_VALUE"""),"HDSF Tamar")</f>
        <v>HDSF Tamar</v>
      </c>
      <c r="E392" s="30" t="str">
        <f>IFERROR(__xludf.DUMMYFUNCTION("""COMPUTED_VALUE"""),"Tamar")</f>
        <v>Tamar</v>
      </c>
      <c r="F392" s="10">
        <f>IFERROR(__xludf.DUMMYFUNCTION("""COMPUTED_VALUE"""),121.291929324)</f>
        <v>121.291929324</v>
      </c>
      <c r="G392" s="10">
        <f>IFERROR(__xludf.DUMMYFUNCTION("""COMPUTED_VALUE"""),-810.947790906999)</f>
        <v>-810.947790906999</v>
      </c>
      <c r="H392" s="10">
        <f>IFERROR(__xludf.DUMMYFUNCTION("""COMPUTED_VALUE"""),-573.513272242999)</f>
        <v>-573.513272242999</v>
      </c>
      <c r="I392" s="13"/>
      <c r="J392" s="13"/>
      <c r="K392" s="13"/>
      <c r="L392" s="13"/>
      <c r="M392" s="1" t="b">
        <f>IFERROR(__xludf.DUMMYFUNCTION("""COMPUTED_VALUE"""),TRUE)</f>
        <v>1</v>
      </c>
      <c r="N392" s="10">
        <f>IFERROR(__xludf.DUMMYFUNCTION("""COMPUTED_VALUE"""),0)</f>
        <v>0</v>
      </c>
      <c r="O392" s="10">
        <f>IFERROR(__xludf.DUMMYFUNCTION("""COMPUTED_VALUE"""),0)</f>
        <v>0</v>
      </c>
      <c r="P392" s="10"/>
      <c r="Q392" s="30"/>
      <c r="R392" s="18"/>
      <c r="S392" s="19"/>
      <c r="T392" s="10"/>
      <c r="U392" s="10"/>
      <c r="V392" s="10"/>
      <c r="W392" s="10"/>
      <c r="X392" s="19"/>
      <c r="Y392" s="1"/>
      <c r="Z392" s="1"/>
      <c r="AA392" s="1"/>
    </row>
    <row r="393" customHeight="1" spans="1:27">
      <c r="A393" s="1" t="str">
        <f>IFERROR(__xludf.DUMMYFUNCTION("""COMPUTED_VALUE"""),"Hurston 26")</f>
        <v>Hurston 26</v>
      </c>
      <c r="B393" s="1" t="str">
        <f>IFERROR(__xludf.DUMMYFUNCTION("""COMPUTED_VALUE"""),"Hurston 39")</f>
        <v>Hurston 39</v>
      </c>
      <c r="C393" s="1" t="str">
        <f>IFERROR(__xludf.DUMMYFUNCTION("""COMPUTED_VALUE"""),"Hurston 48")</f>
        <v>Hurston 48</v>
      </c>
      <c r="D393" s="1" t="str">
        <f>IFERROR(__xludf.DUMMYFUNCTION("""COMPUTED_VALUE"""),"HDSF Tompkins")</f>
        <v>HDSF Tompkins</v>
      </c>
      <c r="E393" s="30" t="str">
        <f>IFERROR(__xludf.DUMMYFUNCTION("""COMPUTED_VALUE"""),"Tompkins")</f>
        <v>Tompkins</v>
      </c>
      <c r="F393" s="10">
        <f>IFERROR(__xludf.DUMMYFUNCTION("""COMPUTED_VALUE"""),374.81964019)</f>
        <v>374.81964019</v>
      </c>
      <c r="G393" s="10">
        <f>IFERROR(__xludf.DUMMYFUNCTION("""COMPUTED_VALUE"""),724.628067004999)</f>
        <v>724.628067004999</v>
      </c>
      <c r="H393" s="10">
        <f>IFERROR(__xludf.DUMMYFUNCTION("""COMPUTED_VALUE"""),579.686381474999)</f>
        <v>579.686381474999</v>
      </c>
      <c r="I393" s="13"/>
      <c r="J393" s="13"/>
      <c r="K393" s="13"/>
      <c r="L393" s="13"/>
      <c r="M393" s="1" t="b">
        <f>IFERROR(__xludf.DUMMYFUNCTION("""COMPUTED_VALUE"""),TRUE)</f>
        <v>1</v>
      </c>
      <c r="N393" s="10">
        <f>IFERROR(__xludf.DUMMYFUNCTION("""COMPUTED_VALUE"""),0)</f>
        <v>0</v>
      </c>
      <c r="O393" s="10">
        <f>IFERROR(__xludf.DUMMYFUNCTION("""COMPUTED_VALUE"""),0)</f>
        <v>0</v>
      </c>
      <c r="P393" s="10"/>
      <c r="Q393" s="30"/>
      <c r="R393" s="18"/>
      <c r="S393" s="19"/>
      <c r="T393" s="10"/>
      <c r="U393" s="10"/>
      <c r="V393" s="10"/>
      <c r="W393" s="10"/>
      <c r="X393" s="19"/>
      <c r="Y393" s="1"/>
      <c r="Z393" s="1"/>
      <c r="AA393" s="1"/>
    </row>
    <row r="394" customHeight="1" spans="1:27">
      <c r="A394" s="1" t="str">
        <f>IFERROR(__xludf.DUMMYFUNCTION("""COMPUTED_VALUE"""),"Hurston 27")</f>
        <v>Hurston 27</v>
      </c>
      <c r="B394" s="1" t="str">
        <f>IFERROR(__xludf.DUMMYFUNCTION("""COMPUTED_VALUE"""),"Hurston 40")</f>
        <v>Hurston 40</v>
      </c>
      <c r="C394" s="1" t="str">
        <f>IFERROR(__xludf.DUMMYFUNCTION("""COMPUTED_VALUE"""),"Hurston 51")</f>
        <v>Hurston 51</v>
      </c>
      <c r="D394" s="1" t="str">
        <f>IFERROR(__xludf.DUMMYFUNCTION("""COMPUTED_VALUE"""),"HDSF Zacharias")</f>
        <v>HDSF Zacharias</v>
      </c>
      <c r="E394" s="30" t="str">
        <f>IFERROR(__xludf.DUMMYFUNCTION("""COMPUTED_VALUE"""),"Zacharias")</f>
        <v>Zacharias</v>
      </c>
      <c r="F394" s="10">
        <f>IFERROR(__xludf.DUMMYFUNCTION("""COMPUTED_VALUE"""),249.461995597)</f>
        <v>249.461995597</v>
      </c>
      <c r="G394" s="10">
        <f>IFERROR(__xludf.DUMMYFUNCTION("""COMPUTED_VALUE"""),398.476580305)</f>
        <v>398.476580305</v>
      </c>
      <c r="H394" s="10">
        <f>IFERROR(__xludf.DUMMYFUNCTION("""COMPUTED_VALUE"""),-884.879397192999)</f>
        <v>-884.879397192999</v>
      </c>
      <c r="I394" s="13"/>
      <c r="J394" s="13"/>
      <c r="K394" s="13"/>
      <c r="L394" s="13"/>
      <c r="M394" s="1" t="b">
        <f>IFERROR(__xludf.DUMMYFUNCTION("""COMPUTED_VALUE"""),TRUE)</f>
        <v>1</v>
      </c>
      <c r="N394" s="10">
        <f>IFERROR(__xludf.DUMMYFUNCTION("""COMPUTED_VALUE"""),0)</f>
        <v>0</v>
      </c>
      <c r="O394" s="10">
        <f>IFERROR(__xludf.DUMMYFUNCTION("""COMPUTED_VALUE"""),0)</f>
        <v>0</v>
      </c>
      <c r="P394" s="10"/>
      <c r="Q394" s="30"/>
      <c r="R394" s="18"/>
      <c r="S394" s="19"/>
      <c r="T394" s="10"/>
      <c r="U394" s="10"/>
      <c r="V394" s="10"/>
      <c r="W394" s="10"/>
      <c r="X394" s="19"/>
      <c r="Y394" s="1"/>
      <c r="Z394" s="1"/>
      <c r="AA394" s="1"/>
    </row>
    <row r="395" customHeight="1" spans="1:27">
      <c r="A395" s="1" t="str">
        <f>IFERROR(__xludf.DUMMYFUNCTION("""COMPUTED_VALUE"""),"Hurston")</f>
        <v>Hurston</v>
      </c>
      <c r="B395" s="1" t="str">
        <f>IFERROR(__xludf.DUMMYFUNCTION("""COMPUTED_VALUE"""),"Hurston 42")</f>
        <v>Hurston 42</v>
      </c>
      <c r="C395" s="1"/>
      <c r="D395" s="1" t="str">
        <f>IFERROR(__xludf.DUMMYFUNCTION("""COMPUTED_VALUE"""),"Racetracks")</f>
        <v>Racetracks</v>
      </c>
      <c r="E395" s="30"/>
      <c r="F395" s="10"/>
      <c r="G395" s="10"/>
      <c r="H395" s="10"/>
      <c r="I395" s="13"/>
      <c r="J395" s="13"/>
      <c r="K395" s="13"/>
      <c r="L395" s="13"/>
      <c r="M395" s="1"/>
      <c r="N395" s="10"/>
      <c r="O395" s="10"/>
      <c r="P395" s="10"/>
      <c r="Q395" s="30"/>
      <c r="R395" s="18"/>
      <c r="S395" s="19"/>
      <c r="T395" s="10"/>
      <c r="U395" s="10"/>
      <c r="V395" s="10"/>
      <c r="W395" s="10"/>
      <c r="X395" s="19"/>
      <c r="Y395" s="1"/>
      <c r="Z395" s="1"/>
      <c r="AA395" s="1"/>
    </row>
    <row r="396" customHeight="1" spans="1:27">
      <c r="A396" s="1" t="str">
        <f>IFERROR(__xludf.DUMMYFUNCTION("""COMPUTED_VALUE"""),"Hurston 31")</f>
        <v>Hurston 31</v>
      </c>
      <c r="B396" s="1" t="str">
        <f>IFERROR(__xludf.DUMMYFUNCTION("""COMPUTED_VALUE"""),"Hurston 43")</f>
        <v>Hurston 43</v>
      </c>
      <c r="C396" s="1" t="str">
        <f>IFERROR(__xludf.DUMMYFUNCTION("""COMPUTED_VALUE"""),"Hurston 107")</f>
        <v>Hurston 107</v>
      </c>
      <c r="D396" s="1" t="str">
        <f>IFERROR(__xludf.DUMMYFUNCTION("""COMPUTED_VALUE"""),"Lorville Outskirts")</f>
        <v>Lorville Outskirts</v>
      </c>
      <c r="E396" s="30" t="str">
        <f>IFERROR(__xludf.DUMMYFUNCTION("""COMPUTED_VALUE"""),"Outskirts")</f>
        <v>Outskirts</v>
      </c>
      <c r="F396" s="10">
        <f>IFERROR(__xludf.DUMMYFUNCTION("""COMPUTED_VALUE"""),-333.544)</f>
        <v>-333.544</v>
      </c>
      <c r="G396" s="10">
        <f>IFERROR(__xludf.DUMMYFUNCTION("""COMPUTED_VALUE"""),-748.656)</f>
        <v>-748.656</v>
      </c>
      <c r="H396" s="10">
        <f>IFERROR(__xludf.DUMMYFUNCTION("""COMPUTED_VALUE"""),574.408)</f>
        <v>574.408</v>
      </c>
      <c r="I396" s="13"/>
      <c r="J396" s="13"/>
      <c r="K396" s="13"/>
      <c r="L396" s="13"/>
      <c r="M396" s="1" t="b">
        <f>IFERROR(__xludf.DUMMYFUNCTION("""COMPUTED_VALUE"""),FALSE)</f>
        <v>0</v>
      </c>
      <c r="N396" s="10">
        <f>IFERROR(__xludf.DUMMYFUNCTION("""COMPUTED_VALUE"""),0)</f>
        <v>0</v>
      </c>
      <c r="O396" s="10">
        <f>IFERROR(__xludf.DUMMYFUNCTION("""COMPUTED_VALUE"""),0)</f>
        <v>0</v>
      </c>
      <c r="P396" s="10"/>
      <c r="Q396" s="30"/>
      <c r="R396" s="18"/>
      <c r="S396" s="19"/>
      <c r="T396" s="10"/>
      <c r="U396" s="10"/>
      <c r="V396" s="10"/>
      <c r="W396" s="10"/>
      <c r="X396" s="19"/>
      <c r="Y396" s="1"/>
      <c r="Z396" s="1"/>
      <c r="AA396" s="1"/>
    </row>
    <row r="397" customHeight="1" spans="1:27">
      <c r="A397" s="1" t="str">
        <f>IFERROR(__xludf.DUMMYFUNCTION("""COMPUTED_VALUE"""),"Hurston")</f>
        <v>Hurston</v>
      </c>
      <c r="B397" s="1" t="str">
        <f>IFERROR(__xludf.DUMMYFUNCTION("""COMPUTED_VALUE"""),"Hurston 45")</f>
        <v>Hurston 45</v>
      </c>
      <c r="C397" s="1"/>
      <c r="D397" s="1" t="str">
        <f>IFERROR(__xludf.DUMMYFUNCTION("""COMPUTED_VALUE"""),"Settlements")</f>
        <v>Settlements</v>
      </c>
      <c r="E397" s="30"/>
      <c r="F397" s="10"/>
      <c r="G397" s="10"/>
      <c r="H397" s="10"/>
      <c r="I397" s="13"/>
      <c r="J397" s="13"/>
      <c r="K397" s="13"/>
      <c r="L397" s="13"/>
      <c r="M397" s="1"/>
      <c r="N397" s="10"/>
      <c r="O397" s="10"/>
      <c r="P397" s="10"/>
      <c r="Q397" s="30"/>
      <c r="R397" s="18"/>
      <c r="S397" s="19"/>
      <c r="T397" s="10"/>
      <c r="U397" s="10"/>
      <c r="V397" s="10"/>
      <c r="W397" s="10"/>
      <c r="X397" s="19"/>
      <c r="Y397" s="1"/>
      <c r="Z397" s="1"/>
      <c r="AA397" s="1"/>
    </row>
    <row r="398" customHeight="1" spans="1:27">
      <c r="A398" s="1" t="str">
        <f>IFERROR(__xludf.DUMMYFUNCTION("""COMPUTED_VALUE"""),"Hurston 34")</f>
        <v>Hurston 34</v>
      </c>
      <c r="B398" s="1" t="str">
        <f>IFERROR(__xludf.DUMMYFUNCTION("""COMPUTED_VALUE"""),"Hurston 48")</f>
        <v>Hurston 48</v>
      </c>
      <c r="C398" s="1" t="str">
        <f>IFERROR(__xludf.DUMMYFUNCTION("""COMPUTED_VALUE"""),"Hurston 122")</f>
        <v>Hurston 122</v>
      </c>
      <c r="D398" s="1" t="str">
        <f>IFERROR(__xludf.DUMMYFUNCTION("""COMPUTED_VALUE"""),"Ludlow (Garage Town)")</f>
        <v>Ludlow (Garage Town)</v>
      </c>
      <c r="E398" s="30" t="str">
        <f>IFERROR(__xludf.DUMMYFUNCTION("""COMPUTED_VALUE"""),"Ludlow")</f>
        <v>Ludlow</v>
      </c>
      <c r="F398" s="10">
        <f>IFERROR(__xludf.DUMMYFUNCTION("""COMPUTED_VALUE"""),-878.668126952999)</f>
        <v>-878.668126952999</v>
      </c>
      <c r="G398" s="10">
        <f>IFERROR(__xludf.DUMMYFUNCTION("""COMPUTED_VALUE"""),-467.858016385999)</f>
        <v>-467.858016385999</v>
      </c>
      <c r="H398" s="10">
        <f>IFERROR(__xludf.DUMMYFUNCTION("""COMPUTED_VALUE"""),111.09062672)</f>
        <v>111.09062672</v>
      </c>
      <c r="I398" s="13"/>
      <c r="J398" s="13"/>
      <c r="K398" s="13"/>
      <c r="L398" s="13"/>
      <c r="M398" s="1" t="b">
        <f>IFERROR(__xludf.DUMMYFUNCTION("""COMPUTED_VALUE"""),TRUE)</f>
        <v>1</v>
      </c>
      <c r="N398" s="10">
        <f>IFERROR(__xludf.DUMMYFUNCTION("""COMPUTED_VALUE"""),0)</f>
        <v>0</v>
      </c>
      <c r="O398" s="10">
        <f>IFERROR(__xludf.DUMMYFUNCTION("""COMPUTED_VALUE"""),0)</f>
        <v>0</v>
      </c>
      <c r="P398" s="10"/>
      <c r="Q398" s="30"/>
      <c r="R398" s="18"/>
      <c r="S398" s="19"/>
      <c r="T398" s="10"/>
      <c r="U398" s="10"/>
      <c r="V398" s="10"/>
      <c r="W398" s="10"/>
      <c r="X398" s="19"/>
      <c r="Y398" s="1"/>
      <c r="Z398" s="1"/>
      <c r="AA398" s="1"/>
    </row>
    <row r="399" customHeight="1" spans="1:27">
      <c r="A399" s="1" t="str">
        <f>IFERROR(__xludf.DUMMYFUNCTION("""COMPUTED_VALUE"""),"Hurston 33")</f>
        <v>Hurston 33</v>
      </c>
      <c r="B399" s="1" t="str">
        <f>IFERROR(__xludf.DUMMYFUNCTION("""COMPUTED_VALUE"""),"Hurston 47")</f>
        <v>Hurston 47</v>
      </c>
      <c r="C399" s="1" t="str">
        <f>IFERROR(__xludf.DUMMYFUNCTION("""COMPUTED_VALUE"""),"Hurston 116")</f>
        <v>Hurston 116</v>
      </c>
      <c r="D399" s="1" t="str">
        <f>IFERROR(__xludf.DUMMYFUNCTION("""COMPUTED_VALUE"""),"Finn's Folly (Hydrona Farm)")</f>
        <v>Finn's Folly (Hydrona Farm)</v>
      </c>
      <c r="E399" s="30" t="str">
        <f>IFERROR(__xludf.DUMMYFUNCTION("""COMPUTED_VALUE"""),"Finn's")</f>
        <v>Finn's</v>
      </c>
      <c r="F399" s="10">
        <f>IFERROR(__xludf.DUMMYFUNCTION("""COMPUTED_VALUE"""),-196.592317898999)</f>
        <v>-196.592317898999</v>
      </c>
      <c r="G399" s="10">
        <f>IFERROR(__xludf.DUMMYFUNCTION("""COMPUTED_VALUE"""),-197.870934748)</f>
        <v>-197.870934748</v>
      </c>
      <c r="H399" s="10">
        <f>IFERROR(__xludf.DUMMYFUNCTION("""COMPUTED_VALUE"""),961.998923773)</f>
        <v>961.998923773</v>
      </c>
      <c r="I399" s="13"/>
      <c r="J399" s="13"/>
      <c r="K399" s="13"/>
      <c r="L399" s="13"/>
      <c r="M399" s="1" t="b">
        <f>IFERROR(__xludf.DUMMYFUNCTION("""COMPUTED_VALUE"""),FALSE)</f>
        <v>0</v>
      </c>
      <c r="N399" s="10">
        <f>IFERROR(__xludf.DUMMYFUNCTION("""COMPUTED_VALUE"""),0)</f>
        <v>0</v>
      </c>
      <c r="O399" s="10">
        <f>IFERROR(__xludf.DUMMYFUNCTION("""COMPUTED_VALUE"""),0)</f>
        <v>0</v>
      </c>
      <c r="P399" s="10"/>
      <c r="Q399" s="30"/>
      <c r="R399" s="18"/>
      <c r="S399" s="19"/>
      <c r="T399" s="10"/>
      <c r="U399" s="10"/>
      <c r="V399" s="10"/>
      <c r="W399" s="10"/>
      <c r="X399" s="19"/>
      <c r="Y399" s="1"/>
      <c r="Z399" s="1"/>
      <c r="AA399" s="1"/>
    </row>
    <row r="400" customHeight="1" spans="1:27">
      <c r="A400" s="1" t="str">
        <f>IFERROR(__xludf.DUMMYFUNCTION("""COMPUTED_VALUE"""),"Hurston 36")</f>
        <v>Hurston 36</v>
      </c>
      <c r="B400" s="1" t="str">
        <f>IFERROR(__xludf.DUMMYFUNCTION("""COMPUTED_VALUE"""),"Hurston 50")</f>
        <v>Hurston 50</v>
      </c>
      <c r="C400" s="1" t="str">
        <f>IFERROR(__xludf.DUMMYFUNCTION("""COMPUTED_VALUE"""),"Hurston 09")</f>
        <v>Hurston 09</v>
      </c>
      <c r="D400" s="1" t="str">
        <f>IFERROR(__xludf.DUMMYFUNCTION("""COMPUTED_VALUE"""),"Picker's Field")</f>
        <v>Picker's Field</v>
      </c>
      <c r="E400" s="30" t="str">
        <f>IFERROR(__xludf.DUMMYFUNCTION("""COMPUTED_VALUE"""),"Picker's")</f>
        <v>Picker's</v>
      </c>
      <c r="F400" s="10">
        <f>IFERROR(__xludf.DUMMYFUNCTION("""COMPUTED_VALUE"""),-679.766214981)</f>
        <v>-679.766214981</v>
      </c>
      <c r="G400" s="10">
        <f>IFERROR(__xludf.DUMMYFUNCTION("""COMPUTED_VALUE"""),262.265674172999)</f>
        <v>262.265674172999</v>
      </c>
      <c r="H400" s="10">
        <f>IFERROR(__xludf.DUMMYFUNCTION("""COMPUTED_VALUE"""),-686.080061534999)</f>
        <v>-686.080061534999</v>
      </c>
      <c r="I400" s="13"/>
      <c r="J400" s="13"/>
      <c r="K400" s="13"/>
      <c r="L400" s="13"/>
      <c r="M400" s="1" t="b">
        <f>IFERROR(__xludf.DUMMYFUNCTION("""COMPUTED_VALUE"""),TRUE)</f>
        <v>1</v>
      </c>
      <c r="N400" s="10">
        <f>IFERROR(__xludf.DUMMYFUNCTION("""COMPUTED_VALUE"""),0)</f>
        <v>0</v>
      </c>
      <c r="O400" s="10">
        <f>IFERROR(__xludf.DUMMYFUNCTION("""COMPUTED_VALUE"""),0)</f>
        <v>0</v>
      </c>
      <c r="P400" s="10"/>
      <c r="Q400" s="30"/>
      <c r="R400" s="18"/>
      <c r="S400" s="19"/>
      <c r="T400" s="10"/>
      <c r="U400" s="10"/>
      <c r="V400" s="10"/>
      <c r="W400" s="10"/>
      <c r="X400" s="19"/>
      <c r="Y400" s="1"/>
      <c r="Z400" s="1"/>
      <c r="AA400" s="1"/>
    </row>
    <row r="401" customHeight="1" spans="1:27">
      <c r="A401" s="1" t="str">
        <f>IFERROR(__xludf.DUMMYFUNCTION("""COMPUTED_VALUE"""),"Hurston 35")</f>
        <v>Hurston 35</v>
      </c>
      <c r="B401" s="1" t="str">
        <f>IFERROR(__xludf.DUMMYFUNCTION("""COMPUTED_VALUE"""),"Hurston 49")</f>
        <v>Hurston 49</v>
      </c>
      <c r="C401" s="1" t="str">
        <f>IFERROR(__xludf.DUMMYFUNCTION("""COMPUTED_VALUE"""),"Hurston 22")</f>
        <v>Hurston 22</v>
      </c>
      <c r="D401" s="1" t="str">
        <f>IFERROR(__xludf.DUMMYFUNCTION("""COMPUTED_VALUE"""),"Maker's Point (Wire City)")</f>
        <v>Maker's Point (Wire City)</v>
      </c>
      <c r="E401" s="30" t="str">
        <f>IFERROR(__xludf.DUMMYFUNCTION("""COMPUTED_VALUE"""),"Maker's")</f>
        <v>Maker's</v>
      </c>
      <c r="F401" s="10">
        <f>IFERROR(__xludf.DUMMYFUNCTION("""COMPUTED_VALUE"""),-154.007217781)</f>
        <v>-154.007217781</v>
      </c>
      <c r="G401" s="10">
        <f>IFERROR(__xludf.DUMMYFUNCTION("""COMPUTED_VALUE"""),128.324546170999)</f>
        <v>128.324546170999</v>
      </c>
      <c r="H401" s="10">
        <f>IFERROR(__xludf.DUMMYFUNCTION("""COMPUTED_VALUE"""),979.766026532)</f>
        <v>979.766026532</v>
      </c>
      <c r="I401" s="13"/>
      <c r="J401" s="13"/>
      <c r="K401" s="13"/>
      <c r="L401" s="13"/>
      <c r="M401" s="1" t="b">
        <f>IFERROR(__xludf.DUMMYFUNCTION("""COMPUTED_VALUE"""),TRUE)</f>
        <v>1</v>
      </c>
      <c r="N401" s="10">
        <f>IFERROR(__xludf.DUMMYFUNCTION("""COMPUTED_VALUE"""),0)</f>
        <v>0</v>
      </c>
      <c r="O401" s="10">
        <f>IFERROR(__xludf.DUMMYFUNCTION("""COMPUTED_VALUE"""),0)</f>
        <v>0</v>
      </c>
      <c r="P401" s="10"/>
      <c r="Q401" s="30"/>
      <c r="R401" s="18"/>
      <c r="S401" s="19"/>
      <c r="T401" s="10"/>
      <c r="U401" s="10"/>
      <c r="V401" s="10"/>
      <c r="W401" s="10"/>
      <c r="X401" s="19"/>
      <c r="Y401" s="1"/>
      <c r="Z401" s="1"/>
      <c r="AA401" s="1"/>
    </row>
    <row r="402" customHeight="1" spans="1:27">
      <c r="A402" s="1" t="str">
        <f>IFERROR(__xludf.DUMMYFUNCTION("""COMPUTED_VALUE"""),"Hurston 39")</f>
        <v>Hurston 39</v>
      </c>
      <c r="B402" s="1" t="str">
        <f>IFERROR(__xludf.DUMMYFUNCTION("""COMPUTED_VALUE"""),"Hurston 53")</f>
        <v>Hurston 53</v>
      </c>
      <c r="C402" s="1" t="str">
        <f>IFERROR(__xludf.DUMMYFUNCTION("""COMPUTED_VALUE"""),"Hurston 77")</f>
        <v>Hurston 77</v>
      </c>
      <c r="D402" s="1" t="str">
        <f>IFERROR(__xludf.DUMMYFUNCTION("""COMPUTED_VALUE"""),"Zephyr (Windmill)")</f>
        <v>Zephyr (Windmill)</v>
      </c>
      <c r="E402" s="30" t="str">
        <f>IFERROR(__xludf.DUMMYFUNCTION("""COMPUTED_VALUE"""),"Zephyr")</f>
        <v>Zephyr</v>
      </c>
      <c r="F402" s="10">
        <f>IFERROR(__xludf.DUMMYFUNCTION("""COMPUTED_VALUE"""),108.159996413)</f>
        <v>108.159996413</v>
      </c>
      <c r="G402" s="10">
        <f>IFERROR(__xludf.DUMMYFUNCTION("""COMPUTED_VALUE"""),-133.661614184)</f>
        <v>-133.661614184</v>
      </c>
      <c r="H402" s="10">
        <f>IFERROR(__xludf.DUMMYFUNCTION("""COMPUTED_VALUE"""),986.694257507)</f>
        <v>986.694257507</v>
      </c>
      <c r="I402" s="13"/>
      <c r="J402" s="13"/>
      <c r="K402" s="13"/>
      <c r="L402" s="13"/>
      <c r="M402" s="1" t="b">
        <f>IFERROR(__xludf.DUMMYFUNCTION("""COMPUTED_VALUE"""),TRUE)</f>
        <v>1</v>
      </c>
      <c r="N402" s="10">
        <f>IFERROR(__xludf.DUMMYFUNCTION("""COMPUTED_VALUE"""),0)</f>
        <v>0</v>
      </c>
      <c r="O402" s="10">
        <f>IFERROR(__xludf.DUMMYFUNCTION("""COMPUTED_VALUE"""),0)</f>
        <v>0</v>
      </c>
      <c r="P402" s="10"/>
      <c r="Q402" s="30"/>
      <c r="R402" s="18"/>
      <c r="S402" s="19"/>
      <c r="T402" s="10"/>
      <c r="U402" s="10"/>
      <c r="V402" s="10"/>
      <c r="W402" s="10"/>
      <c r="X402" s="19"/>
      <c r="Y402" s="1"/>
      <c r="Z402" s="1"/>
      <c r="AA402" s="1"/>
    </row>
    <row r="403" customHeight="1" spans="1:27">
      <c r="A403" s="1" t="str">
        <f>IFERROR(__xludf.DUMMYFUNCTION("""COMPUTED_VALUE"""),"Hurston 37")</f>
        <v>Hurston 37</v>
      </c>
      <c r="B403" s="1" t="str">
        <f>IFERROR(__xludf.DUMMYFUNCTION("""COMPUTED_VALUE"""),"Hurston 51")</f>
        <v>Hurston 51</v>
      </c>
      <c r="C403" s="1" t="str">
        <f>IFERROR(__xludf.DUMMYFUNCTION("""COMPUTED_VALUE"""),"Hurston 79")</f>
        <v>Hurston 79</v>
      </c>
      <c r="D403" s="1" t="str">
        <f>IFERROR(__xludf.DUMMYFUNCTION("""COMPUTED_VALUE"""),"Rappel")</f>
        <v>Rappel</v>
      </c>
      <c r="E403" s="30" t="str">
        <f>IFERROR(__xludf.DUMMYFUNCTION("""COMPUTED_VALUE"""),"Rappel")</f>
        <v>Rappel</v>
      </c>
      <c r="F403" s="10">
        <f>IFERROR(__xludf.DUMMYFUNCTION("""COMPUTED_VALUE"""),352.952127274999)</f>
        <v>352.952127274999</v>
      </c>
      <c r="G403" s="10">
        <f>IFERROR(__xludf.DUMMYFUNCTION("""COMPUTED_VALUE"""),-661.889742396999)</f>
        <v>-661.889742396999</v>
      </c>
      <c r="H403" s="10">
        <f>IFERROR(__xludf.DUMMYFUNCTION("""COMPUTED_VALUE"""),663.889093976999)</f>
        <v>663.889093976999</v>
      </c>
      <c r="I403" s="13"/>
      <c r="J403" s="13"/>
      <c r="K403" s="13"/>
      <c r="L403" s="13"/>
      <c r="M403" s="1" t="b">
        <f>IFERROR(__xludf.DUMMYFUNCTION("""COMPUTED_VALUE"""),TRUE)</f>
        <v>1</v>
      </c>
      <c r="N403" s="10">
        <f>IFERROR(__xludf.DUMMYFUNCTION("""COMPUTED_VALUE"""),0)</f>
        <v>0</v>
      </c>
      <c r="O403" s="10">
        <f>IFERROR(__xludf.DUMMYFUNCTION("""COMPUTED_VALUE"""),0)</f>
        <v>0</v>
      </c>
      <c r="P403" s="10"/>
      <c r="Q403" s="30"/>
      <c r="R403" s="18"/>
      <c r="S403" s="19"/>
      <c r="T403" s="10"/>
      <c r="U403" s="10"/>
      <c r="V403" s="10"/>
      <c r="W403" s="10"/>
      <c r="X403" s="19"/>
      <c r="Y403" s="1"/>
      <c r="Z403" s="1"/>
      <c r="AA403" s="1"/>
    </row>
    <row r="404" customHeight="1" spans="1:27">
      <c r="A404" s="1" t="str">
        <f>IFERROR(__xludf.DUMMYFUNCTION("""COMPUTED_VALUE"""),"Hurston 32")</f>
        <v>Hurston 32</v>
      </c>
      <c r="B404" s="1" t="str">
        <f>IFERROR(__xludf.DUMMYFUNCTION("""COMPUTED_VALUE"""),"Hurston 46")</f>
        <v>Hurston 46</v>
      </c>
      <c r="C404" s="1" t="str">
        <f>IFERROR(__xludf.DUMMYFUNCTION("""COMPUTED_VALUE"""),"Hurston 129")</f>
        <v>Hurston 129</v>
      </c>
      <c r="D404" s="1" t="str">
        <f>IFERROR(__xludf.DUMMYFUNCTION("""COMPUTED_VALUE"""),"Cutter's Rig (Ocean Forge)")</f>
        <v>Cutter's Rig (Ocean Forge)</v>
      </c>
      <c r="E404" s="30" t="str">
        <f>IFERROR(__xludf.DUMMYFUNCTION("""COMPUTED_VALUE"""),"Cutter's")</f>
        <v>Cutter's</v>
      </c>
      <c r="F404" s="10">
        <f>IFERROR(__xludf.DUMMYFUNCTION("""COMPUTED_VALUE"""),-455.118837038)</f>
        <v>-455.118837038</v>
      </c>
      <c r="G404" s="10">
        <f>IFERROR(__xludf.DUMMYFUNCTION("""COMPUTED_VALUE"""),-200.496928163)</f>
        <v>-200.496928163</v>
      </c>
      <c r="H404" s="10">
        <f>IFERROR(__xludf.DUMMYFUNCTION("""COMPUTED_VALUE"""),867.564004635)</f>
        <v>867.564004635</v>
      </c>
      <c r="I404" s="13"/>
      <c r="J404" s="13"/>
      <c r="K404" s="13"/>
      <c r="L404" s="13"/>
      <c r="M404" s="1" t="b">
        <f>IFERROR(__xludf.DUMMYFUNCTION("""COMPUTED_VALUE"""),FALSE)</f>
        <v>0</v>
      </c>
      <c r="N404" s="10">
        <f>IFERROR(__xludf.DUMMYFUNCTION("""COMPUTED_VALUE"""),0)</f>
        <v>0</v>
      </c>
      <c r="O404" s="10">
        <f>IFERROR(__xludf.DUMMYFUNCTION("""COMPUTED_VALUE"""),0)</f>
        <v>0</v>
      </c>
      <c r="P404" s="10"/>
      <c r="Q404" s="30"/>
      <c r="R404" s="18"/>
      <c r="S404" s="19"/>
      <c r="T404" s="10"/>
      <c r="U404" s="10"/>
      <c r="V404" s="10"/>
      <c r="W404" s="10"/>
      <c r="X404" s="19"/>
      <c r="Y404" s="1"/>
      <c r="Z404" s="1"/>
      <c r="AA404" s="1"/>
    </row>
    <row r="405" customHeight="1" spans="1:27">
      <c r="A405" s="1" t="str">
        <f>IFERROR(__xludf.DUMMYFUNCTION("""COMPUTED_VALUE"""),"Hurston 38")</f>
        <v>Hurston 38</v>
      </c>
      <c r="B405" s="1" t="str">
        <f>IFERROR(__xludf.DUMMYFUNCTION("""COMPUTED_VALUE"""),"Hurston 52")</f>
        <v>Hurston 52</v>
      </c>
      <c r="C405" s="1" t="str">
        <f>IFERROR(__xludf.DUMMYFUNCTION("""COMPUTED_VALUE"""),"Hurston 127")</f>
        <v>Hurston 127</v>
      </c>
      <c r="D405" s="1" t="str">
        <f>IFERROR(__xludf.DUMMYFUNCTION("""COMPUTED_VALUE"""),"Weeping Cove (Calypso Island)")</f>
        <v>Weeping Cove (Calypso Island)</v>
      </c>
      <c r="E405" s="30" t="str">
        <f>IFERROR(__xludf.DUMMYFUNCTION("""COMPUTED_VALUE"""),"Weeping")</f>
        <v>Weeping</v>
      </c>
      <c r="F405" s="10">
        <f>IFERROR(__xludf.DUMMYFUNCTION("""COMPUTED_VALUE"""),-455.402779451999)</f>
        <v>-455.402779451999</v>
      </c>
      <c r="G405" s="10">
        <f>IFERROR(__xludf.DUMMYFUNCTION("""COMPUTED_VALUE"""),-202.816335427)</f>
        <v>-202.816335427</v>
      </c>
      <c r="H405" s="10">
        <f>IFERROR(__xludf.DUMMYFUNCTION("""COMPUTED_VALUE"""),866.880872573)</f>
        <v>866.880872573</v>
      </c>
      <c r="I405" s="13"/>
      <c r="J405" s="13"/>
      <c r="K405" s="13"/>
      <c r="L405" s="13"/>
      <c r="M405" s="1" t="b">
        <f>IFERROR(__xludf.DUMMYFUNCTION("""COMPUTED_VALUE"""),TRUE)</f>
        <v>1</v>
      </c>
      <c r="N405" s="10">
        <f>IFERROR(__xludf.DUMMYFUNCTION("""COMPUTED_VALUE"""),0)</f>
        <v>0</v>
      </c>
      <c r="O405" s="10">
        <f>IFERROR(__xludf.DUMMYFUNCTION("""COMPUTED_VALUE"""),0)</f>
        <v>0</v>
      </c>
      <c r="P405" s="10"/>
      <c r="Q405" s="30"/>
      <c r="R405" s="18"/>
      <c r="S405" s="19"/>
      <c r="T405" s="10"/>
      <c r="U405" s="10"/>
      <c r="V405" s="10"/>
      <c r="W405" s="10"/>
      <c r="X405" s="19"/>
      <c r="Y405" s="1"/>
      <c r="Z405" s="1"/>
      <c r="AA405" s="1"/>
    </row>
    <row r="406" customHeight="1" spans="1:27">
      <c r="A406" s="1" t="str">
        <f>IFERROR(__xludf.DUMMYFUNCTION("""COMPUTED_VALUE"""),"Hurston 42")</f>
        <v>Hurston 42</v>
      </c>
      <c r="B406" s="1" t="str">
        <f>IFERROR(__xludf.DUMMYFUNCTION("""COMPUTED_VALUE"""),"Hurston 56")</f>
        <v>Hurston 56</v>
      </c>
      <c r="C406" s="1" t="str">
        <f>IFERROR(__xludf.DUMMYFUNCTION("""COMPUTED_VALUE"""),"Hurston 104")</f>
        <v>Hurston 104</v>
      </c>
      <c r="D406" s="1" t="str">
        <f>IFERROR(__xludf.DUMMYFUNCTION("""COMPUTED_VALUE"""),"Settlement 12M")</f>
        <v>Settlement 12M</v>
      </c>
      <c r="E406" s="30" t="str">
        <f>IFERROR(__xludf.DUMMYFUNCTION("""COMPUTED_VALUE"""),"Settlement 12M")</f>
        <v>Settlement 12M</v>
      </c>
      <c r="F406" s="10">
        <f>IFERROR(__xludf.DUMMYFUNCTION("""COMPUTED_VALUE"""),-376.125298255999)</f>
        <v>-376.125298255999</v>
      </c>
      <c r="G406" s="10">
        <f>IFERROR(__xludf.DUMMYFUNCTION("""COMPUTED_VALUE"""),-926.123112576)</f>
        <v>-926.123112576</v>
      </c>
      <c r="H406" s="10">
        <f>IFERROR(__xludf.DUMMYFUNCTION("""COMPUTED_VALUE"""),-28.807383935)</f>
        <v>-28.807383935</v>
      </c>
      <c r="I406" s="13"/>
      <c r="J406" s="13"/>
      <c r="K406" s="13"/>
      <c r="L406" s="13"/>
      <c r="M406" s="1" t="b">
        <f>IFERROR(__xludf.DUMMYFUNCTION("""COMPUTED_VALUE"""),FALSE)</f>
        <v>0</v>
      </c>
      <c r="N406" s="10">
        <f>IFERROR(__xludf.DUMMYFUNCTION("""COMPUTED_VALUE"""),0)</f>
        <v>0</v>
      </c>
      <c r="O406" s="10">
        <f>IFERROR(__xludf.DUMMYFUNCTION("""COMPUTED_VALUE"""),0)</f>
        <v>0</v>
      </c>
      <c r="P406" s="10"/>
      <c r="Q406" s="30"/>
      <c r="R406" s="18"/>
      <c r="S406" s="19"/>
      <c r="T406" s="10"/>
      <c r="U406" s="10"/>
      <c r="V406" s="10"/>
      <c r="W406" s="10"/>
      <c r="X406" s="19"/>
      <c r="Y406" s="1"/>
      <c r="Z406" s="1"/>
      <c r="AA406" s="1"/>
    </row>
    <row r="407" customHeight="1" spans="1:27">
      <c r="A407" s="1" t="str">
        <f>IFERROR(__xludf.DUMMYFUNCTION("""COMPUTED_VALUE"""),"Hurston 40")</f>
        <v>Hurston 40</v>
      </c>
      <c r="B407" s="1" t="str">
        <f>IFERROR(__xludf.DUMMYFUNCTION("""COMPUTED_VALUE"""),"Hurston 54")</f>
        <v>Hurston 54</v>
      </c>
      <c r="C407" s="1" t="str">
        <f>IFERROR(__xludf.DUMMYFUNCTION("""COMPUTED_VALUE"""),"Hurston 108")</f>
        <v>Hurston 108</v>
      </c>
      <c r="D407" s="1" t="str">
        <f>IFERROR(__xludf.DUMMYFUNCTION("""COMPUTED_VALUE"""),"Settlement 11S")</f>
        <v>Settlement 11S</v>
      </c>
      <c r="E407" s="30" t="str">
        <f>IFERROR(__xludf.DUMMYFUNCTION("""COMPUTED_VALUE"""),"Settlement 11S")</f>
        <v>Settlement 11S</v>
      </c>
      <c r="F407" s="10">
        <f>IFERROR(__xludf.DUMMYFUNCTION("""COMPUTED_VALUE"""),-344.067370539999)</f>
        <v>-344.067370539999</v>
      </c>
      <c r="G407" s="10">
        <f>IFERROR(__xludf.DUMMYFUNCTION("""COMPUTED_VALUE"""),-740.903740990999)</f>
        <v>-740.903740990999</v>
      </c>
      <c r="H407" s="10">
        <f>IFERROR(__xludf.DUMMYFUNCTION("""COMPUTED_VALUE"""),578.997345137999)</f>
        <v>578.997345137999</v>
      </c>
      <c r="I407" s="13"/>
      <c r="J407" s="13"/>
      <c r="K407" s="13"/>
      <c r="L407" s="13"/>
      <c r="M407" s="1" t="b">
        <f>IFERROR(__xludf.DUMMYFUNCTION("""COMPUTED_VALUE"""),FALSE)</f>
        <v>0</v>
      </c>
      <c r="N407" s="10">
        <f>IFERROR(__xludf.DUMMYFUNCTION("""COMPUTED_VALUE"""),0)</f>
        <v>0</v>
      </c>
      <c r="O407" s="10">
        <f>IFERROR(__xludf.DUMMYFUNCTION("""COMPUTED_VALUE"""),0)</f>
        <v>0</v>
      </c>
      <c r="P407" s="10"/>
      <c r="Q407" s="30"/>
      <c r="R407" s="18"/>
      <c r="S407" s="19"/>
      <c r="T407" s="10"/>
      <c r="U407" s="10"/>
      <c r="V407" s="10"/>
      <c r="W407" s="10"/>
      <c r="X407" s="19"/>
      <c r="Y407" s="1"/>
      <c r="Z407" s="1"/>
      <c r="AA407" s="1"/>
    </row>
    <row r="408" customHeight="1" spans="1:27">
      <c r="A408" s="1" t="str">
        <f>IFERROR(__xludf.DUMMYFUNCTION("""COMPUTED_VALUE"""),"Hurston 49")</f>
        <v>Hurston 49</v>
      </c>
      <c r="B408" s="1" t="str">
        <f>IFERROR(__xludf.DUMMYFUNCTION("""COMPUTED_VALUE"""),"Hurston 63")</f>
        <v>Hurston 63</v>
      </c>
      <c r="C408" s="1" t="str">
        <f>IFERROR(__xludf.DUMMYFUNCTION("""COMPUTED_VALUE"""),"Hurston 123")</f>
        <v>Hurston 123</v>
      </c>
      <c r="D408" s="1" t="str">
        <f>IFERROR(__xludf.DUMMYFUNCTION("""COMPUTED_VALUE"""),"Settlement YZJ")</f>
        <v>Settlement YZJ</v>
      </c>
      <c r="E408" s="30" t="str">
        <f>IFERROR(__xludf.DUMMYFUNCTION("""COMPUTED_VALUE"""),"Settlement YZJ")</f>
        <v>Settlement YZJ</v>
      </c>
      <c r="F408" s="10">
        <f>IFERROR(__xludf.DUMMYFUNCTION("""COMPUTED_VALUE"""),-144.837925752)</f>
        <v>-144.837925752</v>
      </c>
      <c r="G408" s="10">
        <f>IFERROR(__xludf.DUMMYFUNCTION("""COMPUTED_VALUE"""),-72.704227957)</f>
        <v>-72.704227957</v>
      </c>
      <c r="H408" s="10">
        <f>IFERROR(__xludf.DUMMYFUNCTION("""COMPUTED_VALUE"""),987.322571282)</f>
        <v>987.322571282</v>
      </c>
      <c r="I408" s="13"/>
      <c r="J408" s="13"/>
      <c r="K408" s="13"/>
      <c r="L408" s="13"/>
      <c r="M408" s="1" t="b">
        <f>IFERROR(__xludf.DUMMYFUNCTION("""COMPUTED_VALUE"""),FALSE)</f>
        <v>0</v>
      </c>
      <c r="N408" s="10">
        <f>IFERROR(__xludf.DUMMYFUNCTION("""COMPUTED_VALUE"""),0)</f>
        <v>0</v>
      </c>
      <c r="O408" s="10">
        <f>IFERROR(__xludf.DUMMYFUNCTION("""COMPUTED_VALUE"""),0)</f>
        <v>0</v>
      </c>
      <c r="P408" s="10"/>
      <c r="Q408" s="30"/>
      <c r="R408" s="18"/>
      <c r="S408" s="19"/>
      <c r="T408" s="10"/>
      <c r="U408" s="10"/>
      <c r="V408" s="10"/>
      <c r="W408" s="10"/>
      <c r="X408" s="19"/>
      <c r="Y408" s="1"/>
      <c r="Z408" s="1"/>
      <c r="AA408" s="1"/>
    </row>
    <row r="409" customHeight="1" spans="1:27">
      <c r="A409" s="1" t="str">
        <f>IFERROR(__xludf.DUMMYFUNCTION("""COMPUTED_VALUE"""),"Hurston 47")</f>
        <v>Hurston 47</v>
      </c>
      <c r="B409" s="1" t="str">
        <f>IFERROR(__xludf.DUMMYFUNCTION("""COMPUTED_VALUE"""),"Hurston 61")</f>
        <v>Hurston 61</v>
      </c>
      <c r="C409" s="1" t="str">
        <f>IFERROR(__xludf.DUMMYFUNCTION("""COMPUTED_VALUE"""),"Hurston 34")</f>
        <v>Hurston 34</v>
      </c>
      <c r="D409" s="1" t="str">
        <f>IFERROR(__xludf.DUMMYFUNCTION("""COMPUTED_VALUE"""),"Settlement 49U")</f>
        <v>Settlement 49U</v>
      </c>
      <c r="E409" s="30" t="str">
        <f>IFERROR(__xludf.DUMMYFUNCTION("""COMPUTED_VALUE"""),"Settlement 49U")</f>
        <v>Settlement 49U</v>
      </c>
      <c r="F409" s="10">
        <f>IFERROR(__xludf.DUMMYFUNCTION("""COMPUTED_VALUE"""),-229.885843969)</f>
        <v>-229.885843969</v>
      </c>
      <c r="G409" s="10">
        <f>IFERROR(__xludf.DUMMYFUNCTION("""COMPUTED_VALUE"""),577.236715269)</f>
        <v>577.236715269</v>
      </c>
      <c r="H409" s="10">
        <f>IFERROR(__xludf.DUMMYFUNCTION("""COMPUTED_VALUE"""),785.122629446999)</f>
        <v>785.122629446999</v>
      </c>
      <c r="I409" s="13"/>
      <c r="J409" s="13"/>
      <c r="K409" s="13"/>
      <c r="L409" s="13"/>
      <c r="M409" s="1" t="b">
        <f>IFERROR(__xludf.DUMMYFUNCTION("""COMPUTED_VALUE"""),FALSE)</f>
        <v>0</v>
      </c>
      <c r="N409" s="10">
        <f>IFERROR(__xludf.DUMMYFUNCTION("""COMPUTED_VALUE"""),0)</f>
        <v>0</v>
      </c>
      <c r="O409" s="10">
        <f>IFERROR(__xludf.DUMMYFUNCTION("""COMPUTED_VALUE"""),0)</f>
        <v>0</v>
      </c>
      <c r="P409" s="10"/>
      <c r="Q409" s="30"/>
      <c r="R409" s="18"/>
      <c r="S409" s="19"/>
      <c r="T409" s="10"/>
      <c r="U409" s="10"/>
      <c r="V409" s="10"/>
      <c r="W409" s="10"/>
      <c r="X409" s="19"/>
      <c r="Y409" s="1"/>
      <c r="Z409" s="1"/>
      <c r="AA409" s="1"/>
    </row>
    <row r="410" customHeight="1" spans="1:27">
      <c r="A410" s="1" t="str">
        <f>IFERROR(__xludf.DUMMYFUNCTION("""COMPUTED_VALUE"""),"Hurston 45")</f>
        <v>Hurston 45</v>
      </c>
      <c r="B410" s="1" t="str">
        <f>IFERROR(__xludf.DUMMYFUNCTION("""COMPUTED_VALUE"""),"Hurston 59")</f>
        <v>Hurston 59</v>
      </c>
      <c r="C410" s="1" t="str">
        <f>IFERROR(__xludf.DUMMYFUNCTION("""COMPUTED_VALUE"""),"Hurston 37")</f>
        <v>Hurston 37</v>
      </c>
      <c r="D410" s="1" t="str">
        <f>IFERROR(__xludf.DUMMYFUNCTION("""COMPUTED_VALUE"""),"Settlement 48M")</f>
        <v>Settlement 48M</v>
      </c>
      <c r="E410" s="30" t="str">
        <f>IFERROR(__xludf.DUMMYFUNCTION("""COMPUTED_VALUE"""),"Settlement 48M")</f>
        <v>Settlement 48M</v>
      </c>
      <c r="F410" s="10">
        <f>IFERROR(__xludf.DUMMYFUNCTION("""COMPUTED_VALUE"""),-260.957335614999)</f>
        <v>-260.957335614999</v>
      </c>
      <c r="G410" s="10">
        <f>IFERROR(__xludf.DUMMYFUNCTION("""COMPUTED_VALUE"""),965.66159417)</f>
        <v>965.66159417</v>
      </c>
      <c r="H410" s="10">
        <f>IFERROR(__xludf.DUMMYFUNCTION("""COMPUTED_VALUE"""),-51.847418499)</f>
        <v>-51.847418499</v>
      </c>
      <c r="I410" s="13"/>
      <c r="J410" s="13"/>
      <c r="K410" s="13"/>
      <c r="L410" s="13"/>
      <c r="M410" s="1" t="b">
        <f>IFERROR(__xludf.DUMMYFUNCTION("""COMPUTED_VALUE"""),FALSE)</f>
        <v>0</v>
      </c>
      <c r="N410" s="10">
        <f>IFERROR(__xludf.DUMMYFUNCTION("""COMPUTED_VALUE"""),0)</f>
        <v>0</v>
      </c>
      <c r="O410" s="10">
        <f>IFERROR(__xludf.DUMMYFUNCTION("""COMPUTED_VALUE"""),0)</f>
        <v>0</v>
      </c>
      <c r="P410" s="10"/>
      <c r="Q410" s="30"/>
      <c r="R410" s="18"/>
      <c r="S410" s="19"/>
      <c r="T410" s="10"/>
      <c r="U410" s="10"/>
      <c r="V410" s="10"/>
      <c r="W410" s="10"/>
      <c r="X410" s="19"/>
      <c r="Y410" s="1"/>
      <c r="Z410" s="1"/>
      <c r="AA410" s="1"/>
    </row>
    <row r="411" customHeight="1" spans="1:27">
      <c r="A411" s="1" t="str">
        <f>IFERROR(__xludf.DUMMYFUNCTION("""COMPUTED_VALUE"""),"Hurston 46")</f>
        <v>Hurston 46</v>
      </c>
      <c r="B411" s="1" t="str">
        <f>IFERROR(__xludf.DUMMYFUNCTION("""COMPUTED_VALUE"""),"Hurston 60")</f>
        <v>Hurston 60</v>
      </c>
      <c r="C411" s="1" t="str">
        <f>IFERROR(__xludf.DUMMYFUNCTION("""COMPUTED_VALUE"""),"Hurston 35")</f>
        <v>Hurston 35</v>
      </c>
      <c r="D411" s="1" t="str">
        <f>IFERROR(__xludf.DUMMYFUNCTION("""COMPUTED_VALUE"""),"Settlement 49L")</f>
        <v>Settlement 49L</v>
      </c>
      <c r="E411" s="30" t="str">
        <f>IFERROR(__xludf.DUMMYFUNCTION("""COMPUTED_VALUE"""),"Settlement 49L")</f>
        <v>Settlement 49L</v>
      </c>
      <c r="F411" s="10">
        <f>IFERROR(__xludf.DUMMYFUNCTION("""COMPUTED_VALUE"""),-346.936093791)</f>
        <v>-346.936093791</v>
      </c>
      <c r="G411" s="10">
        <f>IFERROR(__xludf.DUMMYFUNCTION("""COMPUTED_VALUE"""),913.507725299)</f>
        <v>913.507725299</v>
      </c>
      <c r="H411" s="10">
        <f>IFERROR(__xludf.DUMMYFUNCTION("""COMPUTED_VALUE"""),-213.325494582)</f>
        <v>-213.325494582</v>
      </c>
      <c r="I411" s="13"/>
      <c r="J411" s="13"/>
      <c r="K411" s="13"/>
      <c r="L411" s="13"/>
      <c r="M411" s="1" t="b">
        <f>IFERROR(__xludf.DUMMYFUNCTION("""COMPUTED_VALUE"""),FALSE)</f>
        <v>0</v>
      </c>
      <c r="N411" s="10">
        <f>IFERROR(__xludf.DUMMYFUNCTION("""COMPUTED_VALUE"""),0)</f>
        <v>0</v>
      </c>
      <c r="O411" s="10">
        <f>IFERROR(__xludf.DUMMYFUNCTION("""COMPUTED_VALUE"""),0)</f>
        <v>0</v>
      </c>
      <c r="P411" s="10"/>
      <c r="Q411" s="30"/>
      <c r="R411" s="18"/>
      <c r="S411" s="19"/>
      <c r="T411" s="10"/>
      <c r="U411" s="10"/>
      <c r="V411" s="10"/>
      <c r="W411" s="10"/>
      <c r="X411" s="19"/>
      <c r="Y411" s="1"/>
      <c r="Z411" s="1"/>
      <c r="AA411" s="1"/>
    </row>
    <row r="412" customHeight="1" spans="1:27">
      <c r="A412" s="1" t="str">
        <f>IFERROR(__xludf.DUMMYFUNCTION("""COMPUTED_VALUE"""),"Hurston 43")</f>
        <v>Hurston 43</v>
      </c>
      <c r="B412" s="1" t="str">
        <f>IFERROR(__xludf.DUMMYFUNCTION("""COMPUTED_VALUE"""),"Hurston 57")</f>
        <v>Hurston 57</v>
      </c>
      <c r="C412" s="1" t="str">
        <f>IFERROR(__xludf.DUMMYFUNCTION("""COMPUTED_VALUE"""),"Hurston 101")</f>
        <v>Hurston 101</v>
      </c>
      <c r="D412" s="1" t="str">
        <f>IFERROR(__xludf.DUMMYFUNCTION("""COMPUTED_VALUE"""),"Settlement 12S")</f>
        <v>Settlement 12S</v>
      </c>
      <c r="E412" s="30" t="str">
        <f>IFERROR(__xludf.DUMMYFUNCTION("""COMPUTED_VALUE"""),"Settlement 12S")</f>
        <v>Settlement 12S</v>
      </c>
      <c r="F412" s="10">
        <f>IFERROR(__xludf.DUMMYFUNCTION("""COMPUTED_VALUE"""),-278.801491893)</f>
        <v>-278.801491893</v>
      </c>
      <c r="G412" s="10">
        <f>IFERROR(__xludf.DUMMYFUNCTION("""COMPUTED_VALUE"""),-767.755981969999)</f>
        <v>-767.755981969999</v>
      </c>
      <c r="H412" s="10">
        <f>IFERROR(__xludf.DUMMYFUNCTION("""COMPUTED_VALUE"""),576.913754636)</f>
        <v>576.913754636</v>
      </c>
      <c r="I412" s="13"/>
      <c r="J412" s="13"/>
      <c r="K412" s="13"/>
      <c r="L412" s="13"/>
      <c r="M412" s="1" t="b">
        <f>IFERROR(__xludf.DUMMYFUNCTION("""COMPUTED_VALUE"""),FALSE)</f>
        <v>0</v>
      </c>
      <c r="N412" s="10">
        <f>IFERROR(__xludf.DUMMYFUNCTION("""COMPUTED_VALUE"""),0)</f>
        <v>0</v>
      </c>
      <c r="O412" s="10">
        <f>IFERROR(__xludf.DUMMYFUNCTION("""COMPUTED_VALUE"""),0)</f>
        <v>0</v>
      </c>
      <c r="P412" s="10"/>
      <c r="Q412" s="30"/>
      <c r="R412" s="18"/>
      <c r="S412" s="19"/>
      <c r="T412" s="10"/>
      <c r="U412" s="10"/>
      <c r="V412" s="10"/>
      <c r="W412" s="10"/>
      <c r="X412" s="19"/>
      <c r="Y412" s="1"/>
      <c r="Z412" s="1"/>
      <c r="AA412" s="1"/>
    </row>
    <row r="413" customHeight="1" spans="1:27">
      <c r="A413" s="1" t="str">
        <f>IFERROR(__xludf.DUMMYFUNCTION("""COMPUTED_VALUE"""),"Hurston 41")</f>
        <v>Hurston 41</v>
      </c>
      <c r="B413" s="1" t="str">
        <f>IFERROR(__xludf.DUMMYFUNCTION("""COMPUTED_VALUE"""),"Hurston 55")</f>
        <v>Hurston 55</v>
      </c>
      <c r="C413" s="1" t="str">
        <f>IFERROR(__xludf.DUMMYFUNCTION("""COMPUTED_VALUE"""),"Hurston 110")</f>
        <v>Hurston 110</v>
      </c>
      <c r="D413" s="1" t="str">
        <f>IFERROR(__xludf.DUMMYFUNCTION("""COMPUTED_VALUE"""),"Settlement 11T")</f>
        <v>Settlement 11T</v>
      </c>
      <c r="E413" s="30" t="str">
        <f>IFERROR(__xludf.DUMMYFUNCTION("""COMPUTED_VALUE"""),"Settlement 11T")</f>
        <v>Settlement 11T</v>
      </c>
      <c r="F413" s="10">
        <f>IFERROR(__xludf.DUMMYFUNCTION("""COMPUTED_VALUE"""),-336.118238292999)</f>
        <v>-336.118238292999</v>
      </c>
      <c r="G413" s="10">
        <f>IFERROR(__xludf.DUMMYFUNCTION("""COMPUTED_VALUE"""),-656.521948713)</f>
        <v>-656.521948713</v>
      </c>
      <c r="H413" s="10">
        <f>IFERROR(__xludf.DUMMYFUNCTION("""COMPUTED_VALUE"""),675.284818246999)</f>
        <v>675.284818246999</v>
      </c>
      <c r="I413" s="13"/>
      <c r="J413" s="13"/>
      <c r="K413" s="13"/>
      <c r="L413" s="13"/>
      <c r="M413" s="1" t="b">
        <f>IFERROR(__xludf.DUMMYFUNCTION("""COMPUTED_VALUE"""),FALSE)</f>
        <v>0</v>
      </c>
      <c r="N413" s="10">
        <f>IFERROR(__xludf.DUMMYFUNCTION("""COMPUTED_VALUE"""),0)</f>
        <v>0</v>
      </c>
      <c r="O413" s="10">
        <f>IFERROR(__xludf.DUMMYFUNCTION("""COMPUTED_VALUE"""),0)</f>
        <v>0</v>
      </c>
      <c r="P413" s="10"/>
      <c r="Q413" s="30"/>
      <c r="R413" s="18"/>
      <c r="S413" s="19"/>
      <c r="T413" s="10"/>
      <c r="U413" s="10"/>
      <c r="V413" s="10"/>
      <c r="W413" s="10"/>
      <c r="X413" s="19"/>
      <c r="Y413" s="1"/>
      <c r="Z413" s="1"/>
      <c r="AA413" s="1"/>
    </row>
    <row r="414" customHeight="1" spans="1:27">
      <c r="A414" s="1" t="str">
        <f>IFERROR(__xludf.DUMMYFUNCTION("""COMPUTED_VALUE"""),"Hurston 48")</f>
        <v>Hurston 48</v>
      </c>
      <c r="B414" s="1" t="str">
        <f>IFERROR(__xludf.DUMMYFUNCTION("""COMPUTED_VALUE"""),"Hurston 62")</f>
        <v>Hurston 62</v>
      </c>
      <c r="C414" s="1" t="str">
        <f>IFERROR(__xludf.DUMMYFUNCTION("""COMPUTED_VALUE"""),"Hurston 98")</f>
        <v>Hurston 98</v>
      </c>
      <c r="D414" s="1" t="str">
        <f>IFERROR(__xludf.DUMMYFUNCTION("""COMPUTED_VALUE"""),"Settlement YZH")</f>
        <v>Settlement YZH</v>
      </c>
      <c r="E414" s="30" t="str">
        <f>IFERROR(__xludf.DUMMYFUNCTION("""COMPUTED_VALUE"""),"Settlement YZH")</f>
        <v>Settlement YZH</v>
      </c>
      <c r="F414" s="10">
        <f>IFERROR(__xludf.DUMMYFUNCTION("""COMPUTED_VALUE"""),-15.838245482)</f>
        <v>-15.838245482</v>
      </c>
      <c r="G414" s="10">
        <f>IFERROR(__xludf.DUMMYFUNCTION("""COMPUTED_VALUE"""),-58.197017392)</f>
        <v>-58.197017392</v>
      </c>
      <c r="H414" s="10">
        <f>IFERROR(__xludf.DUMMYFUNCTION("""COMPUTED_VALUE"""),998.864905909999)</f>
        <v>998.864905909999</v>
      </c>
      <c r="I414" s="13"/>
      <c r="J414" s="13"/>
      <c r="K414" s="13"/>
      <c r="L414" s="13"/>
      <c r="M414" s="1" t="b">
        <f>IFERROR(__xludf.DUMMYFUNCTION("""COMPUTED_VALUE"""),FALSE)</f>
        <v>0</v>
      </c>
      <c r="N414" s="10">
        <f>IFERROR(__xludf.DUMMYFUNCTION("""COMPUTED_VALUE"""),0)</f>
        <v>0</v>
      </c>
      <c r="O414" s="10">
        <f>IFERROR(__xludf.DUMMYFUNCTION("""COMPUTED_VALUE"""),0)</f>
        <v>0</v>
      </c>
      <c r="P414" s="10"/>
      <c r="Q414" s="30"/>
      <c r="R414" s="18"/>
      <c r="S414" s="19"/>
      <c r="T414" s="10"/>
      <c r="U414" s="10"/>
      <c r="V414" s="10"/>
      <c r="W414" s="10"/>
      <c r="X414" s="19"/>
      <c r="Y414" s="1"/>
      <c r="Z414" s="1"/>
      <c r="AA414" s="1"/>
    </row>
    <row r="415" customHeight="1" spans="1:27">
      <c r="A415" s="1" t="str">
        <f>IFERROR(__xludf.DUMMYFUNCTION("""COMPUTED_VALUE"""),"Hurston 44")</f>
        <v>Hurston 44</v>
      </c>
      <c r="B415" s="1" t="str">
        <f>IFERROR(__xludf.DUMMYFUNCTION("""COMPUTED_VALUE"""),"Hurston 58")</f>
        <v>Hurston 58</v>
      </c>
      <c r="C415" s="1" t="str">
        <f>IFERROR(__xludf.DUMMYFUNCTION("""COMPUTED_VALUE"""),"Hurston 76")</f>
        <v>Hurston 76</v>
      </c>
      <c r="D415" s="1" t="str">
        <f>IFERROR(__xludf.DUMMYFUNCTION("""COMPUTED_VALUE"""),"Settlement 22W")</f>
        <v>Settlement 22W</v>
      </c>
      <c r="E415" s="30" t="str">
        <f>IFERROR(__xludf.DUMMYFUNCTION("""COMPUTED_VALUE"""),"Settlement 22W")</f>
        <v>Settlement 22W</v>
      </c>
      <c r="F415" s="10">
        <f>IFERROR(__xludf.DUMMYFUNCTION("""COMPUTED_VALUE"""),253.237282275)</f>
        <v>253.237282275</v>
      </c>
      <c r="G415" s="10">
        <f>IFERROR(__xludf.DUMMYFUNCTION("""COMPUTED_VALUE"""),-308.347106473)</f>
        <v>-308.347106473</v>
      </c>
      <c r="H415" s="10">
        <f>IFERROR(__xludf.DUMMYFUNCTION("""COMPUTED_VALUE"""),918.208869798999)</f>
        <v>918.208869798999</v>
      </c>
      <c r="I415" s="13"/>
      <c r="J415" s="13"/>
      <c r="K415" s="13"/>
      <c r="L415" s="13"/>
      <c r="M415" s="1" t="b">
        <f>IFERROR(__xludf.DUMMYFUNCTION("""COMPUTED_VALUE"""),FALSE)</f>
        <v>0</v>
      </c>
      <c r="N415" s="10">
        <f>IFERROR(__xludf.DUMMYFUNCTION("""COMPUTED_VALUE"""),0)</f>
        <v>0</v>
      </c>
      <c r="O415" s="10">
        <f>IFERROR(__xludf.DUMMYFUNCTION("""COMPUTED_VALUE"""),0)</f>
        <v>0</v>
      </c>
      <c r="P415" s="10"/>
      <c r="Q415" s="30"/>
      <c r="R415" s="18"/>
      <c r="S415" s="19"/>
      <c r="T415" s="10"/>
      <c r="U415" s="10"/>
      <c r="V415" s="10"/>
      <c r="W415" s="10"/>
      <c r="X415" s="19"/>
      <c r="Y415" s="1"/>
      <c r="Z415" s="1"/>
      <c r="AA415" s="1"/>
    </row>
    <row r="416" customHeight="1" spans="1:27">
      <c r="A416" s="1" t="str">
        <f>IFERROR(__xludf.DUMMYFUNCTION("""COMPUTED_VALUE"""),"Hurston")</f>
        <v>Hurston</v>
      </c>
      <c r="B416" s="1" t="str">
        <f>IFERROR(__xludf.DUMMYFUNCTION("""COMPUTED_VALUE"""),"Hurston 65")</f>
        <v>Hurston 65</v>
      </c>
      <c r="C416" s="1"/>
      <c r="D416" s="1" t="str">
        <f>IFERROR(__xludf.DUMMYFUNCTION("""COMPUTED_VALUE"""),"Caves")</f>
        <v>Caves</v>
      </c>
      <c r="E416" s="30"/>
      <c r="F416" s="10"/>
      <c r="G416" s="10"/>
      <c r="H416" s="10"/>
      <c r="I416" s="13"/>
      <c r="J416" s="13"/>
      <c r="K416" s="13"/>
      <c r="L416" s="13"/>
      <c r="M416" s="1"/>
      <c r="N416" s="10"/>
      <c r="O416" s="10"/>
      <c r="P416" s="10"/>
      <c r="Q416" s="30"/>
      <c r="R416" s="18"/>
      <c r="S416" s="19"/>
      <c r="T416" s="10"/>
      <c r="U416" s="10"/>
      <c r="V416" s="10"/>
      <c r="W416" s="10"/>
      <c r="X416" s="19"/>
      <c r="Y416" s="1"/>
      <c r="Z416" s="1"/>
      <c r="AA416" s="1"/>
    </row>
    <row r="417" customHeight="1" spans="1:27">
      <c r="A417" s="1" t="str">
        <f>IFERROR(__xludf.DUMMYFUNCTION("""COMPUTED_VALUE"""),"Hurston 28")</f>
        <v>Hurston 28</v>
      </c>
      <c r="B417" s="1" t="str">
        <f>IFERROR(__xludf.DUMMYFUNCTION("""COMPUTED_VALUE"""),"Hurston 66")</f>
        <v>Hurston 66</v>
      </c>
      <c r="C417" s="1" t="str">
        <f>IFERROR(__xludf.DUMMYFUNCTION("""COMPUTED_VALUE"""),"Hurston 96")</f>
        <v>Hurston 96</v>
      </c>
      <c r="D417" s="1" t="str">
        <f>IFERROR(__xludf.DUMMYFUNCTION("""COMPUTED_VALUE"""),"HDES Calthrope (NA)")</f>
        <v>HDES Calthrope (NA)</v>
      </c>
      <c r="E417" s="30" t="str">
        <f>IFERROR(__xludf.DUMMYFUNCTION("""COMPUTED_VALUE"""),"Calthrope")</f>
        <v>Calthrope</v>
      </c>
      <c r="F417" s="10">
        <f>IFERROR(__xludf.DUMMYFUNCTION("""COMPUTED_VALUE"""),-203.375715764643)</f>
        <v>-203.375715764643</v>
      </c>
      <c r="G417" s="10">
        <f>IFERROR(__xludf.DUMMYFUNCTION("""COMPUTED_VALUE"""),-806.580488160186)</f>
        <v>-806.580488160186</v>
      </c>
      <c r="H417" s="10">
        <f>IFERROR(__xludf.DUMMYFUNCTION("""COMPUTED_VALUE"""),557.779366812343)</f>
        <v>557.779366812343</v>
      </c>
      <c r="I417" s="13"/>
      <c r="J417" s="13"/>
      <c r="K417" s="13"/>
      <c r="L417" s="13"/>
      <c r="M417" s="1" t="b">
        <f>IFERROR(__xludf.DUMMYFUNCTION("""COMPUTED_VALUE"""),TRUE)</f>
        <v>1</v>
      </c>
      <c r="N417" s="10">
        <f>IFERROR(__xludf.DUMMYFUNCTION("""COMPUTED_VALUE"""),0)</f>
        <v>0</v>
      </c>
      <c r="O417" s="10">
        <f>IFERROR(__xludf.DUMMYFUNCTION("""COMPUTED_VALUE"""),0)</f>
        <v>0</v>
      </c>
      <c r="P417" s="10"/>
      <c r="Q417" s="30"/>
      <c r="R417" s="18"/>
      <c r="S417" s="19"/>
      <c r="T417" s="10"/>
      <c r="U417" s="10"/>
      <c r="V417" s="10"/>
      <c r="W417" s="10"/>
      <c r="X417" s="19"/>
      <c r="Y417" s="1"/>
      <c r="Z417" s="1"/>
      <c r="AA417" s="1"/>
    </row>
    <row r="418" customHeight="1" spans="1:27">
      <c r="A418" s="1" t="str">
        <f>IFERROR(__xludf.DUMMYFUNCTION("""COMPUTED_VALUE"""),"Hurston 57")</f>
        <v>Hurston 57</v>
      </c>
      <c r="B418" s="1" t="str">
        <f>IFERROR(__xludf.DUMMYFUNCTION("""COMPUTED_VALUE"""),"Hurston 68")</f>
        <v>Hurston 68</v>
      </c>
      <c r="C418" s="1" t="str">
        <f>IFERROR(__xludf.DUMMYFUNCTION("""COMPUTED_VALUE"""),"Hurston 102")</f>
        <v>Hurston 102</v>
      </c>
      <c r="D418" s="1" t="str">
        <f>IFERROR(__xludf.DUMMYFUNCTION("""COMPUTED_VALUE"""),"Rock Cave 12R")</f>
        <v>Rock Cave 12R</v>
      </c>
      <c r="E418" s="30" t="str">
        <f>IFERROR(__xludf.DUMMYFUNCTION("""COMPUTED_VALUE"""),"RCave 12R")</f>
        <v>RCave 12R</v>
      </c>
      <c r="F418" s="10">
        <f>IFERROR(__xludf.DUMMYFUNCTION("""COMPUTED_VALUE"""),-303.624473397106)</f>
        <v>-303.624473397106</v>
      </c>
      <c r="G418" s="10">
        <f>IFERROR(__xludf.DUMMYFUNCTION("""COMPUTED_VALUE"""),-801.386262265569)</f>
        <v>-801.386262265569</v>
      </c>
      <c r="H418" s="10">
        <f>IFERROR(__xludf.DUMMYFUNCTION("""COMPUTED_VALUE"""),518.049476678975)</f>
        <v>518.049476678975</v>
      </c>
      <c r="I418" s="13"/>
      <c r="J418" s="13"/>
      <c r="K418" s="13"/>
      <c r="L418" s="13"/>
      <c r="M418" s="1" t="b">
        <f>IFERROR(__xludf.DUMMYFUNCTION("""COMPUTED_VALUE"""),FALSE)</f>
        <v>0</v>
      </c>
      <c r="N418" s="10">
        <f>IFERROR(__xludf.DUMMYFUNCTION("""COMPUTED_VALUE"""),0)</f>
        <v>0</v>
      </c>
      <c r="O418" s="10">
        <f>IFERROR(__xludf.DUMMYFUNCTION("""COMPUTED_VALUE"""),0)</f>
        <v>0</v>
      </c>
      <c r="P418" s="10"/>
      <c r="Q418" s="30"/>
      <c r="R418" s="18"/>
      <c r="S418" s="19"/>
      <c r="T418" s="10"/>
      <c r="U418" s="10"/>
      <c r="V418" s="10"/>
      <c r="W418" s="10"/>
      <c r="X418" s="19"/>
      <c r="Y418" s="1"/>
      <c r="Z418" s="1"/>
      <c r="AA418" s="1"/>
    </row>
    <row r="419" customHeight="1" spans="1:27">
      <c r="A419" s="1" t="str">
        <f>IFERROR(__xludf.DUMMYFUNCTION("""COMPUTED_VALUE"""),"Hurston 56")</f>
        <v>Hurston 56</v>
      </c>
      <c r="B419" s="1" t="str">
        <f>IFERROR(__xludf.DUMMYFUNCTION("""COMPUTED_VALUE"""),"Hurston 67")</f>
        <v>Hurston 67</v>
      </c>
      <c r="C419" s="1" t="str">
        <f>IFERROR(__xludf.DUMMYFUNCTION("""COMPUTED_VALUE"""),"Hurston 109")</f>
        <v>Hurston 109</v>
      </c>
      <c r="D419" s="1" t="str">
        <f>IFERROR(__xludf.DUMMYFUNCTION("""COMPUTED_VALUE"""),"Rock Cave 11S")</f>
        <v>Rock Cave 11S</v>
      </c>
      <c r="E419" s="30" t="str">
        <f>IFERROR(__xludf.DUMMYFUNCTION("""COMPUTED_VALUE"""),"RCave 11S")</f>
        <v>RCave 11S</v>
      </c>
      <c r="F419" s="10">
        <f>IFERROR(__xludf.DUMMYFUNCTION("""COMPUTED_VALUE"""),-357.90625459)</f>
        <v>-357.90625459</v>
      </c>
      <c r="G419" s="10">
        <f>IFERROR(__xludf.DUMMYFUNCTION("""COMPUTED_VALUE"""),-743.793261158999)</f>
        <v>-743.793261158999</v>
      </c>
      <c r="H419" s="10">
        <f>IFERROR(__xludf.DUMMYFUNCTION("""COMPUTED_VALUE"""),565.642281711)</f>
        <v>565.642281711</v>
      </c>
      <c r="I419" s="13"/>
      <c r="J419" s="13"/>
      <c r="K419" s="13"/>
      <c r="L419" s="13"/>
      <c r="M419" s="1" t="b">
        <f>IFERROR(__xludf.DUMMYFUNCTION("""COMPUTED_VALUE"""),FALSE)</f>
        <v>0</v>
      </c>
      <c r="N419" s="10">
        <f>IFERROR(__xludf.DUMMYFUNCTION("""COMPUTED_VALUE"""),0)</f>
        <v>0</v>
      </c>
      <c r="O419" s="10">
        <f>IFERROR(__xludf.DUMMYFUNCTION("""COMPUTED_VALUE"""),0)</f>
        <v>0</v>
      </c>
      <c r="P419" s="10"/>
      <c r="Q419" s="30"/>
      <c r="R419" s="18"/>
      <c r="S419" s="19"/>
      <c r="T419" s="10"/>
      <c r="U419" s="10"/>
      <c r="V419" s="10"/>
      <c r="W419" s="10"/>
      <c r="X419" s="19"/>
      <c r="Y419" s="1"/>
      <c r="Z419" s="1"/>
      <c r="AA419" s="1"/>
    </row>
    <row r="420" customHeight="1" spans="1:27">
      <c r="A420" s="1" t="str">
        <f>IFERROR(__xludf.DUMMYFUNCTION("""COMPUTED_VALUE"""),"Hurston 60")</f>
        <v>Hurston 60</v>
      </c>
      <c r="B420" s="1" t="str">
        <f>IFERROR(__xludf.DUMMYFUNCTION("""COMPUTED_VALUE"""),"Hurston 71")</f>
        <v>Hurston 71</v>
      </c>
      <c r="C420" s="1" t="str">
        <f>IFERROR(__xludf.DUMMYFUNCTION("""COMPUTED_VALUE"""),"Hurston 131")</f>
        <v>Hurston 131</v>
      </c>
      <c r="D420" s="1" t="str">
        <f>IFERROR(__xludf.DUMMYFUNCTION("""COMPUTED_VALUE"""),"Rock Cave YZJ")</f>
        <v>Rock Cave YZJ</v>
      </c>
      <c r="E420" s="30" t="str">
        <f>IFERROR(__xludf.DUMMYFUNCTION("""COMPUTED_VALUE"""),"RCave YZJ")</f>
        <v>RCave YZJ</v>
      </c>
      <c r="F420" s="10">
        <f>IFERROR(__xludf.DUMMYFUNCTION("""COMPUTED_VALUE"""),-160.052543673265)</f>
        <v>-160.052543673265</v>
      </c>
      <c r="G420" s="10">
        <f>IFERROR(__xludf.DUMMYFUNCTION("""COMPUTED_VALUE"""),-65.455377596863)</f>
        <v>-65.455377596863</v>
      </c>
      <c r="H420" s="10">
        <f>IFERROR(__xludf.DUMMYFUNCTION("""COMPUTED_VALUE"""),985.626167783267)</f>
        <v>985.626167783267</v>
      </c>
      <c r="I420" s="13"/>
      <c r="J420" s="13"/>
      <c r="K420" s="13"/>
      <c r="L420" s="13"/>
      <c r="M420" s="1" t="b">
        <f>IFERROR(__xludf.DUMMYFUNCTION("""COMPUTED_VALUE"""),FALSE)</f>
        <v>0</v>
      </c>
      <c r="N420" s="10">
        <f>IFERROR(__xludf.DUMMYFUNCTION("""COMPUTED_VALUE"""),0)</f>
        <v>0</v>
      </c>
      <c r="O420" s="10">
        <f>IFERROR(__xludf.DUMMYFUNCTION("""COMPUTED_VALUE"""),0)</f>
        <v>0</v>
      </c>
      <c r="P420" s="10"/>
      <c r="Q420" s="30"/>
      <c r="R420" s="18"/>
      <c r="S420" s="19"/>
      <c r="T420" s="10"/>
      <c r="U420" s="10"/>
      <c r="V420" s="10"/>
      <c r="W420" s="10"/>
      <c r="X420" s="19"/>
      <c r="Y420" s="1"/>
      <c r="Z420" s="1"/>
      <c r="AA420" s="1"/>
    </row>
    <row r="421" customHeight="1" spans="1:27">
      <c r="A421" s="1" t="str">
        <f>IFERROR(__xludf.DUMMYFUNCTION("""COMPUTED_VALUE"""),"Hurston 59")</f>
        <v>Hurston 59</v>
      </c>
      <c r="B421" s="1" t="str">
        <f>IFERROR(__xludf.DUMMYFUNCTION("""COMPUTED_VALUE"""),"Hurston 70")</f>
        <v>Hurston 70</v>
      </c>
      <c r="C421" s="1" t="str">
        <f>IFERROR(__xludf.DUMMYFUNCTION("""COMPUTED_VALUE"""),"Hurston 04")</f>
        <v>Hurston 04</v>
      </c>
      <c r="D421" s="1" t="str">
        <f>IFERROR(__xludf.DUMMYFUNCTION("""COMPUTED_VALUE"""),"Rock Cave 57L")</f>
        <v>Rock Cave 57L</v>
      </c>
      <c r="E421" s="30" t="str">
        <f>IFERROR(__xludf.DUMMYFUNCTION("""COMPUTED_VALUE"""),"RCave 57L")</f>
        <v>RCave 57L</v>
      </c>
      <c r="F421" s="10">
        <f>IFERROR(__xludf.DUMMYFUNCTION("""COMPUTED_VALUE"""),-928.267806341676)</f>
        <v>-928.267806341676</v>
      </c>
      <c r="G421" s="10">
        <f>IFERROR(__xludf.DUMMYFUNCTION("""COMPUTED_VALUE"""),318.894747884385)</f>
        <v>318.894747884385</v>
      </c>
      <c r="H421" s="10">
        <f>IFERROR(__xludf.DUMMYFUNCTION("""COMPUTED_VALUE"""),-203.465686150165)</f>
        <v>-203.465686150165</v>
      </c>
      <c r="I421" s="13"/>
      <c r="J421" s="13"/>
      <c r="K421" s="13"/>
      <c r="L421" s="13"/>
      <c r="M421" s="1" t="b">
        <f>IFERROR(__xludf.DUMMYFUNCTION("""COMPUTED_VALUE"""),FALSE)</f>
        <v>0</v>
      </c>
      <c r="N421" s="10">
        <f>IFERROR(__xludf.DUMMYFUNCTION("""COMPUTED_VALUE"""),0)</f>
        <v>0</v>
      </c>
      <c r="O421" s="10">
        <f>IFERROR(__xludf.DUMMYFUNCTION("""COMPUTED_VALUE"""),0)</f>
        <v>0</v>
      </c>
      <c r="P421" s="10"/>
      <c r="Q421" s="30"/>
      <c r="R421" s="18"/>
      <c r="S421" s="19"/>
      <c r="T421" s="10"/>
      <c r="U421" s="10"/>
      <c r="V421" s="10"/>
      <c r="W421" s="10"/>
      <c r="X421" s="19"/>
      <c r="Y421" s="1"/>
      <c r="Z421" s="1"/>
      <c r="AA421" s="1"/>
    </row>
    <row r="422" customHeight="1" spans="1:27">
      <c r="A422" s="1" t="str">
        <f>IFERROR(__xludf.DUMMYFUNCTION("""COMPUTED_VALUE"""),"Hurston 58")</f>
        <v>Hurston 58</v>
      </c>
      <c r="B422" s="1" t="str">
        <f>IFERROR(__xludf.DUMMYFUNCTION("""COMPUTED_VALUE"""),"Hurston 69")</f>
        <v>Hurston 69</v>
      </c>
      <c r="C422" s="1" t="str">
        <f>IFERROR(__xludf.DUMMYFUNCTION("""COMPUTED_VALUE"""),"Hurston 10")</f>
        <v>Hurston 10</v>
      </c>
      <c r="D422" s="1" t="str">
        <f>IFERROR(__xludf.DUMMYFUNCTION("""COMPUTED_VALUE"""),"Rock Cave 47K")</f>
        <v>Rock Cave 47K</v>
      </c>
      <c r="E422" s="30" t="str">
        <f>IFERROR(__xludf.DUMMYFUNCTION("""COMPUTED_VALUE"""),"RCave 47K")</f>
        <v>RCave 47K</v>
      </c>
      <c r="F422" s="10">
        <f>IFERROR(__xludf.DUMMYFUNCTION("""COMPUTED_VALUE"""),-869.987709621116)</f>
        <v>-869.987709621116</v>
      </c>
      <c r="G422" s="10">
        <f>IFERROR(__xludf.DUMMYFUNCTION("""COMPUTED_VALUE"""),336.529071056901)</f>
        <v>336.529071056901</v>
      </c>
      <c r="H422" s="10">
        <f>IFERROR(__xludf.DUMMYFUNCTION("""COMPUTED_VALUE"""),-360.42535291451)</f>
        <v>-360.42535291451</v>
      </c>
      <c r="I422" s="13"/>
      <c r="J422" s="13"/>
      <c r="K422" s="13"/>
      <c r="L422" s="13"/>
      <c r="M422" s="1" t="b">
        <f>IFERROR(__xludf.DUMMYFUNCTION("""COMPUTED_VALUE"""),FALSE)</f>
        <v>0</v>
      </c>
      <c r="N422" s="10">
        <f>IFERROR(__xludf.DUMMYFUNCTION("""COMPUTED_VALUE"""),0)</f>
        <v>0</v>
      </c>
      <c r="O422" s="10">
        <f>IFERROR(__xludf.DUMMYFUNCTION("""COMPUTED_VALUE"""),0)</f>
        <v>0</v>
      </c>
      <c r="P422" s="10"/>
      <c r="Q422" s="30"/>
      <c r="R422" s="18"/>
      <c r="S422" s="19"/>
      <c r="T422" s="10"/>
      <c r="U422" s="10"/>
      <c r="V422" s="10"/>
      <c r="W422" s="10"/>
      <c r="X422" s="19"/>
      <c r="Y422" s="1"/>
      <c r="Z422" s="1"/>
      <c r="AA422" s="1"/>
    </row>
    <row r="423" customHeight="1" spans="1:27">
      <c r="A423" s="1" t="str">
        <f>IFERROR(__xludf.DUMMYFUNCTION("""COMPUTED_VALUE"""),"Hurston 83")</f>
        <v>Hurston 83</v>
      </c>
      <c r="B423" s="1" t="str">
        <f>IFERROR(__xludf.DUMMYFUNCTION("""COMPUTED_VALUE"""),"Hurston 94")</f>
        <v>Hurston 94</v>
      </c>
      <c r="C423" s="1" t="str">
        <f>IFERROR(__xludf.DUMMYFUNCTION("""COMPUTED_VALUE"""),"Hurston 31")</f>
        <v>Hurston 31</v>
      </c>
      <c r="D423" s="1" t="str">
        <f>IFERROR(__xludf.DUMMYFUNCTION("""COMPUTED_VALUE"""),"Sand Cave 49X-A45")</f>
        <v>Sand Cave 49X-A45</v>
      </c>
      <c r="E423" s="30" t="str">
        <f>IFERROR(__xludf.DUMMYFUNCTION("""COMPUTED_VALUE"""),"SCave 49XA45")</f>
        <v>SCave 49XA45</v>
      </c>
      <c r="F423" s="10">
        <f>IFERROR(__xludf.DUMMYFUNCTION("""COMPUTED_VALUE"""),-79.938672851)</f>
        <v>-79.938672851</v>
      </c>
      <c r="G423" s="10">
        <f>IFERROR(__xludf.DUMMYFUNCTION("""COMPUTED_VALUE"""),189.230195991999)</f>
        <v>189.230195991999</v>
      </c>
      <c r="H423" s="10">
        <f>IFERROR(__xludf.DUMMYFUNCTION("""COMPUTED_VALUE"""),979.794018777)</f>
        <v>979.794018777</v>
      </c>
      <c r="I423" s="13"/>
      <c r="J423" s="13"/>
      <c r="K423" s="13"/>
      <c r="L423" s="13"/>
      <c r="M423" s="1" t="b">
        <f>IFERROR(__xludf.DUMMYFUNCTION("""COMPUTED_VALUE"""),FALSE)</f>
        <v>0</v>
      </c>
      <c r="N423" s="10">
        <f>IFERROR(__xludf.DUMMYFUNCTION("""COMPUTED_VALUE"""),0)</f>
        <v>0</v>
      </c>
      <c r="O423" s="10">
        <f>IFERROR(__xludf.DUMMYFUNCTION("""COMPUTED_VALUE"""),0)</f>
        <v>0</v>
      </c>
      <c r="P423" s="10"/>
      <c r="Q423" s="30"/>
      <c r="R423" s="18"/>
      <c r="S423" s="19"/>
      <c r="T423" s="10"/>
      <c r="U423" s="10"/>
      <c r="V423" s="10"/>
      <c r="W423" s="10"/>
      <c r="X423" s="19"/>
      <c r="Y423" s="1"/>
      <c r="Z423" s="1"/>
      <c r="AA423" s="1"/>
    </row>
    <row r="424" customHeight="1" spans="1:27">
      <c r="A424" s="1" t="str">
        <f>IFERROR(__xludf.DUMMYFUNCTION("""COMPUTED_VALUE"""),"Hurston 82")</f>
        <v>Hurston 82</v>
      </c>
      <c r="B424" s="1" t="str">
        <f>IFERROR(__xludf.DUMMYFUNCTION("""COMPUTED_VALUE"""),"Hurston 93")</f>
        <v>Hurston 93</v>
      </c>
      <c r="C424" s="1" t="str">
        <f>IFERROR(__xludf.DUMMYFUNCTION("""COMPUTED_VALUE"""),"Hurston 32")</f>
        <v>Hurston 32</v>
      </c>
      <c r="D424" s="1" t="str">
        <f>IFERROR(__xludf.DUMMYFUNCTION("""COMPUTED_VALUE"""),"Sand Cave 49X-A32")</f>
        <v>Sand Cave 49X-A32</v>
      </c>
      <c r="E424" s="30" t="str">
        <f>IFERROR(__xludf.DUMMYFUNCTION("""COMPUTED_VALUE"""),"SCave 49XA32")</f>
        <v>SCave 49XA32</v>
      </c>
      <c r="F424" s="10">
        <f>IFERROR(__xludf.DUMMYFUNCTION("""COMPUTED_VALUE"""),-78.77868374)</f>
        <v>-78.77868374</v>
      </c>
      <c r="G424" s="10">
        <f>IFERROR(__xludf.DUMMYFUNCTION("""COMPUTED_VALUE"""),188.725818445999)</f>
        <v>188.725818445999</v>
      </c>
      <c r="H424" s="10">
        <f>IFERROR(__xludf.DUMMYFUNCTION("""COMPUTED_VALUE"""),980.013852102)</f>
        <v>980.013852102</v>
      </c>
      <c r="I424" s="13"/>
      <c r="J424" s="13"/>
      <c r="K424" s="13"/>
      <c r="L424" s="13"/>
      <c r="M424" s="1" t="b">
        <f>IFERROR(__xludf.DUMMYFUNCTION("""COMPUTED_VALUE"""),FALSE)</f>
        <v>0</v>
      </c>
      <c r="N424" s="10">
        <f>IFERROR(__xludf.DUMMYFUNCTION("""COMPUTED_VALUE"""),0)</f>
        <v>0</v>
      </c>
      <c r="O424" s="10">
        <f>IFERROR(__xludf.DUMMYFUNCTION("""COMPUTED_VALUE"""),0)</f>
        <v>0</v>
      </c>
      <c r="P424" s="10"/>
      <c r="Q424" s="30"/>
      <c r="R424" s="18"/>
      <c r="S424" s="19"/>
      <c r="T424" s="10"/>
      <c r="U424" s="10"/>
      <c r="V424" s="10"/>
      <c r="W424" s="10"/>
      <c r="X424" s="19"/>
      <c r="Y424" s="1"/>
      <c r="Z424" s="1"/>
      <c r="AA424" s="1"/>
    </row>
    <row r="425" customHeight="1" spans="1:27">
      <c r="A425" s="1" t="str">
        <f>IFERROR(__xludf.DUMMYFUNCTION("""COMPUTED_VALUE"""),"Hurston 87")</f>
        <v>Hurston 87</v>
      </c>
      <c r="B425" s="1" t="str">
        <f>IFERROR(__xludf.DUMMYFUNCTION("""COMPUTED_VALUE"""),"Hurston 98")</f>
        <v>Hurston 98</v>
      </c>
      <c r="C425" s="1" t="str">
        <f>IFERROR(__xludf.DUMMYFUNCTION("""COMPUTED_VALUE"""),"Hurston 23")</f>
        <v>Hurston 23</v>
      </c>
      <c r="D425" s="1" t="str">
        <f>IFERROR(__xludf.DUMMYFUNCTION("""COMPUTED_VALUE"""),"Sand Cave 54U")</f>
        <v>Sand Cave 54U</v>
      </c>
      <c r="E425" s="30" t="str">
        <f>IFERROR(__xludf.DUMMYFUNCTION("""COMPUTED_VALUE"""),"SCave 54U")</f>
        <v>SCave 54U</v>
      </c>
      <c r="F425" s="10">
        <f>IFERROR(__xludf.DUMMYFUNCTION("""COMPUTED_VALUE"""),-441.716375540999)</f>
        <v>-441.716375540999</v>
      </c>
      <c r="G425" s="10">
        <f>IFERROR(__xludf.DUMMYFUNCTION("""COMPUTED_VALUE"""),371.455504676999)</f>
        <v>371.455504676999</v>
      </c>
      <c r="H425" s="10">
        <f>IFERROR(__xludf.DUMMYFUNCTION("""COMPUTED_VALUE"""),820.406932059)</f>
        <v>820.406932059</v>
      </c>
      <c r="I425" s="13"/>
      <c r="J425" s="13"/>
      <c r="K425" s="13"/>
      <c r="L425" s="13"/>
      <c r="M425" s="1" t="b">
        <f>IFERROR(__xludf.DUMMYFUNCTION("""COMPUTED_VALUE"""),FALSE)</f>
        <v>0</v>
      </c>
      <c r="N425" s="10">
        <f>IFERROR(__xludf.DUMMYFUNCTION("""COMPUTED_VALUE"""),0)</f>
        <v>0</v>
      </c>
      <c r="O425" s="10">
        <f>IFERROR(__xludf.DUMMYFUNCTION("""COMPUTED_VALUE"""),0)</f>
        <v>0</v>
      </c>
      <c r="P425" s="10"/>
      <c r="Q425" s="30"/>
      <c r="R425" s="18"/>
      <c r="S425" s="19"/>
      <c r="T425" s="10"/>
      <c r="U425" s="10"/>
      <c r="V425" s="10"/>
      <c r="W425" s="10"/>
      <c r="X425" s="19"/>
      <c r="Y425" s="1"/>
      <c r="Z425" s="1"/>
      <c r="AA425" s="1"/>
    </row>
    <row r="426" customHeight="1" spans="1:27">
      <c r="A426" s="1" t="str">
        <f>IFERROR(__xludf.DUMMYFUNCTION("""COMPUTED_VALUE"""),"Hurston 85")</f>
        <v>Hurston 85</v>
      </c>
      <c r="B426" s="1" t="str">
        <f>IFERROR(__xludf.DUMMYFUNCTION("""COMPUTED_VALUE"""),"Hurston 96")</f>
        <v>Hurston 96</v>
      </c>
      <c r="C426" s="1" t="str">
        <f>IFERROR(__xludf.DUMMYFUNCTION("""COMPUTED_VALUE"""),"Hurston 25")</f>
        <v>Hurston 25</v>
      </c>
      <c r="D426" s="1" t="str">
        <f>IFERROR(__xludf.DUMMYFUNCTION("""COMPUTED_VALUE"""),"Sand Cave 53U-626")</f>
        <v>Sand Cave 53U-626</v>
      </c>
      <c r="E426" s="30" t="str">
        <f>IFERROR(__xludf.DUMMYFUNCTION("""COMPUTED_VALUE"""),"SCave 53U626")</f>
        <v>SCave 53U626</v>
      </c>
      <c r="F426" s="10">
        <f>IFERROR(__xludf.DUMMYFUNCTION("""COMPUTED_VALUE"""),-406.401612001999)</f>
        <v>-406.401612001999</v>
      </c>
      <c r="G426" s="10">
        <f>IFERROR(__xludf.DUMMYFUNCTION("""COMPUTED_VALUE"""),437.568293760999)</f>
        <v>437.568293760999</v>
      </c>
      <c r="H426" s="10">
        <f>IFERROR(__xludf.DUMMYFUNCTION("""COMPUTED_VALUE"""),805.355942028)</f>
        <v>805.355942028</v>
      </c>
      <c r="I426" s="13"/>
      <c r="J426" s="13"/>
      <c r="K426" s="13"/>
      <c r="L426" s="13"/>
      <c r="M426" s="1" t="b">
        <f>IFERROR(__xludf.DUMMYFUNCTION("""COMPUTED_VALUE"""),FALSE)</f>
        <v>0</v>
      </c>
      <c r="N426" s="10">
        <f>IFERROR(__xludf.DUMMYFUNCTION("""COMPUTED_VALUE"""),0)</f>
        <v>0</v>
      </c>
      <c r="O426" s="10">
        <f>IFERROR(__xludf.DUMMYFUNCTION("""COMPUTED_VALUE"""),0)</f>
        <v>0</v>
      </c>
      <c r="P426" s="10"/>
      <c r="Q426" s="30"/>
      <c r="R426" s="18"/>
      <c r="S426" s="19"/>
      <c r="T426" s="10"/>
      <c r="U426" s="10"/>
      <c r="V426" s="10"/>
      <c r="W426" s="10"/>
      <c r="X426" s="19"/>
      <c r="Y426" s="1"/>
      <c r="Z426" s="1"/>
      <c r="AA426" s="1"/>
    </row>
    <row r="427" customHeight="1" spans="1:27">
      <c r="A427" s="1" t="str">
        <f>IFERROR(__xludf.DUMMYFUNCTION("""COMPUTED_VALUE"""),"Hurston 84")</f>
        <v>Hurston 84</v>
      </c>
      <c r="B427" s="1" t="str">
        <f>IFERROR(__xludf.DUMMYFUNCTION("""COMPUTED_VALUE"""),"Hurston 95")</f>
        <v>Hurston 95</v>
      </c>
      <c r="C427" s="1" t="str">
        <f>IFERROR(__xludf.DUMMYFUNCTION("""COMPUTED_VALUE"""),"Hurston 27")</f>
        <v>Hurston 27</v>
      </c>
      <c r="D427" s="1" t="str">
        <f>IFERROR(__xludf.DUMMYFUNCTION("""COMPUTED_VALUE"""),"Sand Cave 52U")</f>
        <v>Sand Cave 52U</v>
      </c>
      <c r="E427" s="1" t="str">
        <f>IFERROR(__xludf.DUMMYFUNCTION("""COMPUTED_VALUE"""),"SCave52U")</f>
        <v>SCave52U</v>
      </c>
      <c r="F427" s="2">
        <f>IFERROR(__xludf.DUMMYFUNCTION("""COMPUTED_VALUE"""),-366.14367517)</f>
        <v>-366.14367517</v>
      </c>
      <c r="G427" s="2">
        <f>IFERROR(__xludf.DUMMYFUNCTION("""COMPUTED_VALUE"""),458.664253)</f>
        <v>458.664253</v>
      </c>
      <c r="H427" s="2">
        <f>IFERROR(__xludf.DUMMYFUNCTION("""COMPUTED_VALUE"""),812.630320905999)</f>
        <v>812.630320905999</v>
      </c>
      <c r="I427" s="1"/>
      <c r="J427" s="1"/>
      <c r="K427" s="1"/>
      <c r="L427" s="1"/>
      <c r="M427" s="1" t="b">
        <f>IFERROR(__xludf.DUMMYFUNCTION("""COMPUTED_VALUE"""),FALSE)</f>
        <v>0</v>
      </c>
      <c r="N427" s="2">
        <f>IFERROR(__xludf.DUMMYFUNCTION("""COMPUTED_VALUE"""),0)</f>
        <v>0</v>
      </c>
      <c r="O427" s="2">
        <f>IFERROR(__xludf.DUMMYFUNCTION("""COMPUTED_VALUE"""),0)</f>
        <v>0</v>
      </c>
      <c r="P427" s="1"/>
      <c r="Q427" s="1"/>
      <c r="R427" s="1"/>
      <c r="S427" s="1"/>
      <c r="T427" s="1"/>
      <c r="U427" s="1"/>
      <c r="V427" s="1"/>
      <c r="W427" s="1"/>
      <c r="X427" s="1"/>
      <c r="Y427" s="1"/>
      <c r="Z427" s="1"/>
      <c r="AA427" s="1"/>
    </row>
    <row r="428" customHeight="1" spans="1:27">
      <c r="A428" s="1" t="str">
        <f>IFERROR(__xludf.DUMMYFUNCTION("""COMPUTED_VALUE"""),"Hurston 86")</f>
        <v>Hurston 86</v>
      </c>
      <c r="B428" s="1" t="str">
        <f>IFERROR(__xludf.DUMMYFUNCTION("""COMPUTED_VALUE"""),"Hurston 97")</f>
        <v>Hurston 97</v>
      </c>
      <c r="C428" s="1" t="str">
        <f>IFERROR(__xludf.DUMMYFUNCTION("""COMPUTED_VALUE"""),"Hurston 24")</f>
        <v>Hurston 24</v>
      </c>
      <c r="D428" s="1" t="str">
        <f>IFERROR(__xludf.DUMMYFUNCTION("""COMPUTED_VALUE"""),"Sand Cave 53U-628")</f>
        <v>Sand Cave 53U-628</v>
      </c>
      <c r="E428" s="30" t="str">
        <f>IFERROR(__xludf.DUMMYFUNCTION("""COMPUTED_VALUE"""),"SCave 53U628")</f>
        <v>SCave 53U628</v>
      </c>
      <c r="F428" s="10">
        <f>IFERROR(__xludf.DUMMYFUNCTION("""COMPUTED_VALUE"""),-396.852967305)</f>
        <v>-396.852967305</v>
      </c>
      <c r="G428" s="10">
        <f>IFERROR(__xludf.DUMMYFUNCTION("""COMPUTED_VALUE"""),413.032028465999)</f>
        <v>413.032028465999</v>
      </c>
      <c r="H428" s="10">
        <f>IFERROR(__xludf.DUMMYFUNCTION("""COMPUTED_VALUE"""),823.481253126999)</f>
        <v>823.481253126999</v>
      </c>
      <c r="I428" s="13"/>
      <c r="J428" s="13"/>
      <c r="K428" s="13"/>
      <c r="L428" s="13"/>
      <c r="M428" s="1" t="b">
        <f>IFERROR(__xludf.DUMMYFUNCTION("""COMPUTED_VALUE"""),FALSE)</f>
        <v>0</v>
      </c>
      <c r="N428" s="10">
        <f>IFERROR(__xludf.DUMMYFUNCTION("""COMPUTED_VALUE"""),0)</f>
        <v>0</v>
      </c>
      <c r="O428" s="10">
        <f>IFERROR(__xludf.DUMMYFUNCTION("""COMPUTED_VALUE"""),0)</f>
        <v>0</v>
      </c>
      <c r="P428" s="10"/>
      <c r="Q428" s="30"/>
      <c r="R428" s="18"/>
      <c r="S428" s="19"/>
      <c r="T428" s="10"/>
      <c r="U428" s="10"/>
      <c r="V428" s="10"/>
      <c r="W428" s="10"/>
      <c r="X428" s="19"/>
      <c r="Y428" s="1"/>
      <c r="Z428" s="1"/>
      <c r="AA428" s="1"/>
    </row>
    <row r="429" customHeight="1" spans="1:27">
      <c r="A429" s="1" t="str">
        <f>IFERROR(__xludf.DUMMYFUNCTION("""COMPUTED_VALUE"""),"Hurston 79")</f>
        <v>Hurston 79</v>
      </c>
      <c r="B429" s="1" t="str">
        <f>IFERROR(__xludf.DUMMYFUNCTION("""COMPUTED_VALUE"""),"Hurston 90")</f>
        <v>Hurston 90</v>
      </c>
      <c r="C429" s="1" t="str">
        <f>IFERROR(__xludf.DUMMYFUNCTION("""COMPUTED_VALUE"""),"Hurston 41")</f>
        <v>Hurston 41</v>
      </c>
      <c r="D429" s="1" t="str">
        <f>IFERROR(__xludf.DUMMYFUNCTION("""COMPUTED_VALUE"""),"Sand Cave 46X")</f>
        <v>Sand Cave 46X</v>
      </c>
      <c r="E429" s="30" t="str">
        <f>IFERROR(__xludf.DUMMYFUNCTION("""COMPUTED_VALUE"""),"SCave 46X")</f>
        <v>SCave 46X</v>
      </c>
      <c r="F429" s="10">
        <f>IFERROR(__xludf.DUMMYFUNCTION("""COMPUTED_VALUE"""),-9.459687717)</f>
        <v>-9.459687717</v>
      </c>
      <c r="G429" s="10">
        <f>IFERROR(__xludf.DUMMYFUNCTION("""COMPUTED_VALUE"""),241.671366906)</f>
        <v>241.671366906</v>
      </c>
      <c r="H429" s="10">
        <f>IFERROR(__xludf.DUMMYFUNCTION("""COMPUTED_VALUE"""),971.777101883)</f>
        <v>971.777101883</v>
      </c>
      <c r="I429" s="13"/>
      <c r="J429" s="13"/>
      <c r="K429" s="13"/>
      <c r="L429" s="13"/>
      <c r="M429" s="1" t="b">
        <f>IFERROR(__xludf.DUMMYFUNCTION("""COMPUTED_VALUE"""),FALSE)</f>
        <v>0</v>
      </c>
      <c r="N429" s="10">
        <f>IFERROR(__xludf.DUMMYFUNCTION("""COMPUTED_VALUE"""),0)</f>
        <v>0</v>
      </c>
      <c r="O429" s="10">
        <f>IFERROR(__xludf.DUMMYFUNCTION("""COMPUTED_VALUE"""),0)</f>
        <v>0</v>
      </c>
      <c r="P429" s="10"/>
      <c r="Q429" s="30"/>
      <c r="R429" s="18"/>
      <c r="S429" s="19"/>
      <c r="T429" s="10"/>
      <c r="U429" s="10"/>
      <c r="V429" s="10"/>
      <c r="W429" s="10"/>
      <c r="X429" s="19"/>
      <c r="Y429" s="1"/>
      <c r="Z429" s="1"/>
      <c r="AA429" s="1"/>
    </row>
    <row r="430" customHeight="1" spans="1:27">
      <c r="A430" s="1" t="str">
        <f>IFERROR(__xludf.DUMMYFUNCTION("""COMPUTED_VALUE"""),"Hurston 77")</f>
        <v>Hurston 77</v>
      </c>
      <c r="B430" s="1" t="str">
        <f>IFERROR(__xludf.DUMMYFUNCTION("""COMPUTED_VALUE"""),"Hurston 88")</f>
        <v>Hurston 88</v>
      </c>
      <c r="C430" s="1" t="str">
        <f>IFERROR(__xludf.DUMMYFUNCTION("""COMPUTED_VALUE"""),"Hurston 45")</f>
        <v>Hurston 45</v>
      </c>
      <c r="D430" s="1" t="str">
        <f>IFERROR(__xludf.DUMMYFUNCTION("""COMPUTED_VALUE"""),"Sand Cave 43X")</f>
        <v>Sand Cave 43X</v>
      </c>
      <c r="E430" s="30" t="str">
        <f>IFERROR(__xludf.DUMMYFUNCTION("""COMPUTED_VALUE"""),"SCave 43X")</f>
        <v>SCave 43X</v>
      </c>
      <c r="F430" s="10">
        <f>IFERROR(__xludf.DUMMYFUNCTION("""COMPUTED_VALUE"""),70.552605949)</f>
        <v>70.552605949</v>
      </c>
      <c r="G430" s="10">
        <f>IFERROR(__xludf.DUMMYFUNCTION("""COMPUTED_VALUE"""),293.567991793999)</f>
        <v>293.567991793999</v>
      </c>
      <c r="H430" s="10">
        <f>IFERROR(__xludf.DUMMYFUNCTION("""COMPUTED_VALUE"""),954.973817405999)</f>
        <v>954.973817405999</v>
      </c>
      <c r="I430" s="13"/>
      <c r="J430" s="13"/>
      <c r="K430" s="13"/>
      <c r="L430" s="13"/>
      <c r="M430" s="1" t="b">
        <f>IFERROR(__xludf.DUMMYFUNCTION("""COMPUTED_VALUE"""),FALSE)</f>
        <v>0</v>
      </c>
      <c r="N430" s="10">
        <f>IFERROR(__xludf.DUMMYFUNCTION("""COMPUTED_VALUE"""),0)</f>
        <v>0</v>
      </c>
      <c r="O430" s="10">
        <f>IFERROR(__xludf.DUMMYFUNCTION("""COMPUTED_VALUE"""),0)</f>
        <v>0</v>
      </c>
      <c r="P430" s="10"/>
      <c r="Q430" s="30"/>
      <c r="R430" s="18"/>
      <c r="S430" s="19"/>
      <c r="T430" s="10"/>
      <c r="U430" s="10"/>
      <c r="V430" s="10"/>
      <c r="W430" s="10"/>
      <c r="X430" s="19"/>
      <c r="Y430" s="1"/>
      <c r="Z430" s="1"/>
      <c r="AA430" s="1"/>
    </row>
    <row r="431" customHeight="1" spans="1:27">
      <c r="A431" s="1" t="str">
        <f>IFERROR(__xludf.DUMMYFUNCTION("""COMPUTED_VALUE"""),"Hurston 76")</f>
        <v>Hurston 76</v>
      </c>
      <c r="B431" s="1" t="str">
        <f>IFERROR(__xludf.DUMMYFUNCTION("""COMPUTED_VALUE"""),"Hurston 87")</f>
        <v>Hurston 87</v>
      </c>
      <c r="C431" s="1" t="str">
        <f>IFERROR(__xludf.DUMMYFUNCTION("""COMPUTED_VALUE"""),"Hurston 47")</f>
        <v>Hurston 47</v>
      </c>
      <c r="D431" s="1" t="str">
        <f>IFERROR(__xludf.DUMMYFUNCTION("""COMPUTED_VALUE"""),"Sand Cave 41X")</f>
        <v>Sand Cave 41X</v>
      </c>
      <c r="E431" s="30" t="str">
        <f>IFERROR(__xludf.DUMMYFUNCTION("""COMPUTED_VALUE"""),"SCave 41X")</f>
        <v>SCave 41X</v>
      </c>
      <c r="F431" s="10">
        <f>IFERROR(__xludf.DUMMYFUNCTION("""COMPUTED_VALUE"""),120.337904209)</f>
        <v>120.337904209</v>
      </c>
      <c r="G431" s="10">
        <f>IFERROR(__xludf.DUMMYFUNCTION("""COMPUTED_VALUE"""),238.563777850999)</f>
        <v>238.563777850999</v>
      </c>
      <c r="H431" s="10">
        <f>IFERROR(__xludf.DUMMYFUNCTION("""COMPUTED_VALUE"""),965.219300428)</f>
        <v>965.219300428</v>
      </c>
      <c r="I431" s="13"/>
      <c r="J431" s="13"/>
      <c r="K431" s="13"/>
      <c r="L431" s="13"/>
      <c r="M431" s="1" t="b">
        <f>IFERROR(__xludf.DUMMYFUNCTION("""COMPUTED_VALUE"""),FALSE)</f>
        <v>0</v>
      </c>
      <c r="N431" s="10">
        <f>IFERROR(__xludf.DUMMYFUNCTION("""COMPUTED_VALUE"""),0)</f>
        <v>0</v>
      </c>
      <c r="O431" s="10">
        <f>IFERROR(__xludf.DUMMYFUNCTION("""COMPUTED_VALUE"""),0)</f>
        <v>0</v>
      </c>
      <c r="P431" s="10"/>
      <c r="Q431" s="30"/>
      <c r="R431" s="18"/>
      <c r="S431" s="19"/>
      <c r="T431" s="10"/>
      <c r="U431" s="10"/>
      <c r="V431" s="10"/>
      <c r="W431" s="10"/>
      <c r="X431" s="19"/>
      <c r="Y431" s="1"/>
      <c r="Z431" s="1"/>
      <c r="AA431" s="1"/>
    </row>
    <row r="432" customHeight="1" spans="1:27">
      <c r="A432" s="1" t="str">
        <f>IFERROR(__xludf.DUMMYFUNCTION("""COMPUTED_VALUE"""),"Hurston 80")</f>
        <v>Hurston 80</v>
      </c>
      <c r="B432" s="1" t="str">
        <f>IFERROR(__xludf.DUMMYFUNCTION("""COMPUTED_VALUE"""),"Hurston 91")</f>
        <v>Hurston 91</v>
      </c>
      <c r="C432" s="1" t="str">
        <f>IFERROR(__xludf.DUMMYFUNCTION("""COMPUTED_VALUE"""),"Hurston 36")</f>
        <v>Hurston 36</v>
      </c>
      <c r="D432" s="1" t="str">
        <f>IFERROR(__xludf.DUMMYFUNCTION("""COMPUTED_VALUE"""),"Sand Cave 48X")</f>
        <v>Sand Cave 48X</v>
      </c>
      <c r="E432" s="30" t="str">
        <f>IFERROR(__xludf.DUMMYFUNCTION("""COMPUTED_VALUE"""),"SCave 48X")</f>
        <v>SCave 48X</v>
      </c>
      <c r="F432" s="10">
        <f>IFERROR(__xludf.DUMMYFUNCTION("""COMPUTED_VALUE"""),-87.599420411)</f>
        <v>-87.599420411</v>
      </c>
      <c r="G432" s="10">
        <f>IFERROR(__xludf.DUMMYFUNCTION("""COMPUTED_VALUE"""),293.723277944999)</f>
        <v>293.723277944999</v>
      </c>
      <c r="H432" s="10">
        <f>IFERROR(__xludf.DUMMYFUNCTION("""COMPUTED_VALUE"""),952.970791394)</f>
        <v>952.970791394</v>
      </c>
      <c r="I432" s="13"/>
      <c r="J432" s="13"/>
      <c r="K432" s="13"/>
      <c r="L432" s="13"/>
      <c r="M432" s="1" t="b">
        <f>IFERROR(__xludf.DUMMYFUNCTION("""COMPUTED_VALUE"""),FALSE)</f>
        <v>0</v>
      </c>
      <c r="N432" s="10">
        <f>IFERROR(__xludf.DUMMYFUNCTION("""COMPUTED_VALUE"""),0)</f>
        <v>0</v>
      </c>
      <c r="O432" s="10">
        <f>IFERROR(__xludf.DUMMYFUNCTION("""COMPUTED_VALUE"""),0)</f>
        <v>0</v>
      </c>
      <c r="P432" s="10"/>
      <c r="Q432" s="30"/>
      <c r="R432" s="18"/>
      <c r="S432" s="19"/>
      <c r="T432" s="10"/>
      <c r="U432" s="10"/>
      <c r="V432" s="10"/>
      <c r="W432" s="10"/>
      <c r="X432" s="19"/>
      <c r="Y432" s="1"/>
      <c r="Z432" s="1"/>
      <c r="AA432" s="1"/>
    </row>
    <row r="433" customHeight="1" spans="1:27">
      <c r="A433" s="1" t="str">
        <f>IFERROR(__xludf.DUMMYFUNCTION("""COMPUTED_VALUE"""),"Hurston 90")</f>
        <v>Hurston 90</v>
      </c>
      <c r="B433" s="1" t="str">
        <f>IFERROR(__xludf.DUMMYFUNCTION("""COMPUTED_VALUE"""),"Hurston 101")</f>
        <v>Hurston 101</v>
      </c>
      <c r="C433" s="1" t="str">
        <f>IFERROR(__xludf.DUMMYFUNCTION("""COMPUTED_VALUE"""),"Hurston 12")</f>
        <v>Hurston 12</v>
      </c>
      <c r="D433" s="1" t="str">
        <f>IFERROR(__xludf.DUMMYFUNCTION("""COMPUTED_VALUE"""),"Sand Cave 57W")</f>
        <v>Sand Cave 57W</v>
      </c>
      <c r="E433" s="30" t="str">
        <f>IFERROR(__xludf.DUMMYFUNCTION("""COMPUTED_VALUE"""),"SCave 57W")</f>
        <v>SCave 57W</v>
      </c>
      <c r="F433" s="10">
        <f>IFERROR(__xludf.DUMMYFUNCTION("""COMPUTED_VALUE"""),-287.103006337)</f>
        <v>-287.103006337</v>
      </c>
      <c r="G433" s="10">
        <f>IFERROR(__xludf.DUMMYFUNCTION("""COMPUTED_VALUE"""),123.925804508)</f>
        <v>123.925804508</v>
      </c>
      <c r="H433" s="10">
        <f>IFERROR(__xludf.DUMMYFUNCTION("""COMPUTED_VALUE"""),951.130505877)</f>
        <v>951.130505877</v>
      </c>
      <c r="I433" s="13"/>
      <c r="J433" s="13"/>
      <c r="K433" s="13"/>
      <c r="L433" s="13"/>
      <c r="M433" s="1" t="b">
        <f>IFERROR(__xludf.DUMMYFUNCTION("""COMPUTED_VALUE"""),FALSE)</f>
        <v>0</v>
      </c>
      <c r="N433" s="10">
        <f>IFERROR(__xludf.DUMMYFUNCTION("""COMPUTED_VALUE"""),0)</f>
        <v>0</v>
      </c>
      <c r="O433" s="10">
        <f>IFERROR(__xludf.DUMMYFUNCTION("""COMPUTED_VALUE"""),0)</f>
        <v>0</v>
      </c>
      <c r="P433" s="10"/>
      <c r="Q433" s="30"/>
      <c r="R433" s="18"/>
      <c r="S433" s="19"/>
      <c r="T433" s="10"/>
      <c r="U433" s="10"/>
      <c r="V433" s="10"/>
      <c r="W433" s="10"/>
      <c r="X433" s="19"/>
      <c r="Y433" s="1"/>
      <c r="Z433" s="1"/>
      <c r="AA433" s="1"/>
    </row>
    <row r="434" customHeight="1" spans="1:27">
      <c r="A434" s="1" t="str">
        <f>IFERROR(__xludf.DUMMYFUNCTION("""COMPUTED_VALUE"""),"Hurston 64")</f>
        <v>Hurston 64</v>
      </c>
      <c r="B434" s="1" t="str">
        <f>IFERROR(__xludf.DUMMYFUNCTION("""COMPUTED_VALUE"""),"Hurston 75")</f>
        <v>Hurston 75</v>
      </c>
      <c r="C434" s="1" t="str">
        <f>IFERROR(__xludf.DUMMYFUNCTION("""COMPUTED_VALUE"""),"Hurston 137")</f>
        <v>Hurston 137</v>
      </c>
      <c r="D434" s="1" t="str">
        <f>IFERROR(__xludf.DUMMYFUNCTION("""COMPUTED_VALUE"""),"Sand Cave 03X")</f>
        <v>Sand Cave 03X</v>
      </c>
      <c r="E434" s="30" t="str">
        <f>IFERROR(__xludf.DUMMYFUNCTION("""COMPUTED_VALUE"""),"SCave 03X")</f>
        <v>SCave 03X</v>
      </c>
      <c r="F434" s="10">
        <f>IFERROR(__xludf.DUMMYFUNCTION("""COMPUTED_VALUE"""),-265.775056288)</f>
        <v>-265.775056288</v>
      </c>
      <c r="G434" s="10">
        <f>IFERROR(__xludf.DUMMYFUNCTION("""COMPUTED_VALUE"""),-62.213743923)</f>
        <v>-62.213743923</v>
      </c>
      <c r="H434" s="10">
        <f>IFERROR(__xludf.DUMMYFUNCTION("""COMPUTED_VALUE"""),963.270862750999)</f>
        <v>963.270862750999</v>
      </c>
      <c r="I434" s="13"/>
      <c r="J434" s="13"/>
      <c r="K434" s="13"/>
      <c r="L434" s="13"/>
      <c r="M434" s="1" t="b">
        <f>IFERROR(__xludf.DUMMYFUNCTION("""COMPUTED_VALUE"""),FALSE)</f>
        <v>0</v>
      </c>
      <c r="N434" s="10">
        <f>IFERROR(__xludf.DUMMYFUNCTION("""COMPUTED_VALUE"""),0)</f>
        <v>0</v>
      </c>
      <c r="O434" s="10">
        <f>IFERROR(__xludf.DUMMYFUNCTION("""COMPUTED_VALUE"""),0)</f>
        <v>0</v>
      </c>
      <c r="P434" s="10"/>
      <c r="Q434" s="30"/>
      <c r="R434" s="18"/>
      <c r="S434" s="19"/>
      <c r="T434" s="10"/>
      <c r="U434" s="10"/>
      <c r="V434" s="10"/>
      <c r="W434" s="10"/>
      <c r="X434" s="19"/>
      <c r="Y434" s="1"/>
      <c r="Z434" s="1"/>
      <c r="AA434" s="1"/>
    </row>
    <row r="435" customHeight="1" spans="1:27">
      <c r="A435" s="1" t="str">
        <f>IFERROR(__xludf.DUMMYFUNCTION("""COMPUTED_VALUE"""),"Hurston 65")</f>
        <v>Hurston 65</v>
      </c>
      <c r="B435" s="1" t="str">
        <f>IFERROR(__xludf.DUMMYFUNCTION("""COMPUTED_VALUE"""),"Hurston 76")</f>
        <v>Hurston 76</v>
      </c>
      <c r="C435" s="1" t="str">
        <f>IFERROR(__xludf.DUMMYFUNCTION("""COMPUTED_VALUE"""),"Hurston 94")</f>
        <v>Hurston 94</v>
      </c>
      <c r="D435" s="1" t="str">
        <f>IFERROR(__xludf.DUMMYFUNCTION("""COMPUTED_VALUE"""),"Sand Cave 15W")</f>
        <v>Sand Cave 15W</v>
      </c>
      <c r="E435" s="30" t="str">
        <f>IFERROR(__xludf.DUMMYFUNCTION("""COMPUTED_VALUE"""),"SCave 15W")</f>
        <v>SCave 15W</v>
      </c>
      <c r="F435" s="10">
        <f>IFERROR(__xludf.DUMMYFUNCTION("""COMPUTED_VALUE"""),-28.933841547)</f>
        <v>-28.933841547</v>
      </c>
      <c r="G435" s="10">
        <f>IFERROR(__xludf.DUMMYFUNCTION("""COMPUTED_VALUE"""),-339.176690449999)</f>
        <v>-339.176690449999</v>
      </c>
      <c r="H435" s="10">
        <f>IFERROR(__xludf.DUMMYFUNCTION("""COMPUTED_VALUE"""),941.984584319)</f>
        <v>941.984584319</v>
      </c>
      <c r="I435" s="13"/>
      <c r="J435" s="13"/>
      <c r="K435" s="13"/>
      <c r="L435" s="13"/>
      <c r="M435" s="1" t="b">
        <f>IFERROR(__xludf.DUMMYFUNCTION("""COMPUTED_VALUE"""),FALSE)</f>
        <v>0</v>
      </c>
      <c r="N435" s="10">
        <f>IFERROR(__xludf.DUMMYFUNCTION("""COMPUTED_VALUE"""),0)</f>
        <v>0</v>
      </c>
      <c r="O435" s="10">
        <f>IFERROR(__xludf.DUMMYFUNCTION("""COMPUTED_VALUE"""),0)</f>
        <v>0</v>
      </c>
      <c r="P435" s="10"/>
      <c r="Q435" s="30"/>
      <c r="R435" s="18"/>
      <c r="S435" s="19"/>
      <c r="T435" s="10"/>
      <c r="U435" s="10"/>
      <c r="V435" s="10"/>
      <c r="W435" s="10"/>
      <c r="X435" s="19"/>
      <c r="Y435" s="1"/>
      <c r="Z435" s="1"/>
      <c r="AA435" s="1"/>
    </row>
    <row r="436" customHeight="1" spans="1:27">
      <c r="A436" s="1" t="str">
        <f>IFERROR(__xludf.DUMMYFUNCTION("""COMPUTED_VALUE"""),"Hurston 68")</f>
        <v>Hurston 68</v>
      </c>
      <c r="B436" s="1" t="str">
        <f>IFERROR(__xludf.DUMMYFUNCTION("""COMPUTED_VALUE"""),"Hurston 79")</f>
        <v>Hurston 79</v>
      </c>
      <c r="C436" s="1" t="str">
        <f>IFERROR(__xludf.DUMMYFUNCTION("""COMPUTED_VALUE"""),"Hurston 80")</f>
        <v>Hurston 80</v>
      </c>
      <c r="D436" s="1" t="str">
        <f>IFERROR(__xludf.DUMMYFUNCTION("""COMPUTED_VALUE"""),"Sand Cave 19X")</f>
        <v>Sand Cave 19X</v>
      </c>
      <c r="E436" s="30" t="str">
        <f>IFERROR(__xludf.DUMMYFUNCTION("""COMPUTED_VALUE"""),"SCave 19X")</f>
        <v>SCave 19X</v>
      </c>
      <c r="F436" s="10">
        <f>IFERROR(__xludf.DUMMYFUNCTION("""COMPUTED_VALUE"""),82.106039072)</f>
        <v>82.106039072</v>
      </c>
      <c r="G436" s="10">
        <f>IFERROR(__xludf.DUMMYFUNCTION("""COMPUTED_VALUE"""),-199.090526111)</f>
        <v>-199.090526111</v>
      </c>
      <c r="H436" s="10">
        <f>IFERROR(__xludf.DUMMYFUNCTION("""COMPUTED_VALUE"""),977.406854823)</f>
        <v>977.406854823</v>
      </c>
      <c r="I436" s="13"/>
      <c r="J436" s="13"/>
      <c r="K436" s="13"/>
      <c r="L436" s="13"/>
      <c r="M436" s="1" t="b">
        <f>IFERROR(__xludf.DUMMYFUNCTION("""COMPUTED_VALUE"""),FALSE)</f>
        <v>0</v>
      </c>
      <c r="N436" s="10">
        <f>IFERROR(__xludf.DUMMYFUNCTION("""COMPUTED_VALUE"""),0)</f>
        <v>0</v>
      </c>
      <c r="O436" s="10">
        <f>IFERROR(__xludf.DUMMYFUNCTION("""COMPUTED_VALUE"""),0)</f>
        <v>0</v>
      </c>
      <c r="P436" s="10"/>
      <c r="Q436" s="30"/>
      <c r="R436" s="18"/>
      <c r="S436" s="19"/>
      <c r="T436" s="10"/>
      <c r="U436" s="10"/>
      <c r="V436" s="10"/>
      <c r="W436" s="10"/>
      <c r="X436" s="19"/>
      <c r="Y436" s="1"/>
      <c r="Z436" s="1"/>
      <c r="AA436" s="1"/>
    </row>
    <row r="437" customHeight="1" spans="1:27">
      <c r="A437" s="1" t="str">
        <f>IFERROR(__xludf.DUMMYFUNCTION("""COMPUTED_VALUE"""),"Hurston 98")</f>
        <v>Hurston 98</v>
      </c>
      <c r="B437" s="1" t="str">
        <f>IFERROR(__xludf.DUMMYFUNCTION("""COMPUTED_VALUE"""),"Hurston 109")</f>
        <v>Hurston 109</v>
      </c>
      <c r="C437" s="1" t="str">
        <f>IFERROR(__xludf.DUMMYFUNCTION("""COMPUTED_VALUE"""),"Hurston 65")</f>
        <v>Hurston 65</v>
      </c>
      <c r="D437" s="1" t="str">
        <f>IFERROR(__xludf.DUMMYFUNCTION("""COMPUTED_VALUE"""),"Sand Cave YZG")</f>
        <v>Sand Cave YZG</v>
      </c>
      <c r="E437" s="30" t="str">
        <f>IFERROR(__xludf.DUMMYFUNCTION("""COMPUTED_VALUE"""),"SCave YZG")</f>
        <v>SCave YZG</v>
      </c>
      <c r="F437" s="10">
        <f>IFERROR(__xludf.DUMMYFUNCTION("""COMPUTED_VALUE"""),16.622661212)</f>
        <v>16.622661212</v>
      </c>
      <c r="G437" s="10">
        <f>IFERROR(__xludf.DUMMYFUNCTION("""COMPUTED_VALUE"""),-3.800833878)</f>
        <v>-3.800833878</v>
      </c>
      <c r="H437" s="10">
        <f>IFERROR(__xludf.DUMMYFUNCTION("""COMPUTED_VALUE"""),1000.353432317)</f>
        <v>1000.353432317</v>
      </c>
      <c r="I437" s="13"/>
      <c r="J437" s="13"/>
      <c r="K437" s="13"/>
      <c r="L437" s="13"/>
      <c r="M437" s="1" t="b">
        <f>IFERROR(__xludf.DUMMYFUNCTION("""COMPUTED_VALUE"""),FALSE)</f>
        <v>0</v>
      </c>
      <c r="N437" s="10">
        <f>IFERROR(__xludf.DUMMYFUNCTION("""COMPUTED_VALUE"""),0)</f>
        <v>0</v>
      </c>
      <c r="O437" s="10">
        <f>IFERROR(__xludf.DUMMYFUNCTION("""COMPUTED_VALUE"""),0)</f>
        <v>0</v>
      </c>
      <c r="P437" s="10"/>
      <c r="Q437" s="30"/>
      <c r="R437" s="18"/>
      <c r="S437" s="19"/>
      <c r="T437" s="10"/>
      <c r="U437" s="10"/>
      <c r="V437" s="10"/>
      <c r="W437" s="10"/>
      <c r="X437" s="19"/>
      <c r="Y437" s="1"/>
      <c r="Z437" s="1"/>
      <c r="AA437" s="1"/>
    </row>
    <row r="438" customHeight="1" spans="1:27">
      <c r="A438" s="1" t="str">
        <f>IFERROR(__xludf.DUMMYFUNCTION("""COMPUTED_VALUE"""),"Hurston 72")</f>
        <v>Hurston 72</v>
      </c>
      <c r="B438" s="1" t="str">
        <f>IFERROR(__xludf.DUMMYFUNCTION("""COMPUTED_VALUE"""),"Hurston 83")</f>
        <v>Hurston 83</v>
      </c>
      <c r="C438" s="1" t="str">
        <f>IFERROR(__xludf.DUMMYFUNCTION("""COMPUTED_VALUE"""),"Hurston 67")</f>
        <v>Hurston 67</v>
      </c>
      <c r="D438" s="1" t="str">
        <f>IFERROR(__xludf.DUMMYFUNCTION("""COMPUTED_VALUE"""),"Sand Cave 27W-313")</f>
        <v>Sand Cave 27W-313</v>
      </c>
      <c r="E438" s="30" t="str">
        <f>IFERROR(__xludf.DUMMYFUNCTION("""COMPUTED_VALUE"""),"SCave 27W313")</f>
        <v>SCave 27W313</v>
      </c>
      <c r="F438" s="10">
        <f>IFERROR(__xludf.DUMMYFUNCTION("""COMPUTED_VALUE"""),386.884924296999)</f>
        <v>386.884924296999</v>
      </c>
      <c r="G438" s="10">
        <f>IFERROR(__xludf.DUMMYFUNCTION("""COMPUTED_VALUE"""),-171.16821919)</f>
        <v>-171.16821919</v>
      </c>
      <c r="H438" s="10">
        <f>IFERROR(__xludf.DUMMYFUNCTION("""COMPUTED_VALUE"""),906.751049966)</f>
        <v>906.751049966</v>
      </c>
      <c r="I438" s="13"/>
      <c r="J438" s="13"/>
      <c r="K438" s="13"/>
      <c r="L438" s="13"/>
      <c r="M438" s="1" t="b">
        <f>IFERROR(__xludf.DUMMYFUNCTION("""COMPUTED_VALUE"""),FALSE)</f>
        <v>0</v>
      </c>
      <c r="N438" s="10">
        <f>IFERROR(__xludf.DUMMYFUNCTION("""COMPUTED_VALUE"""),0)</f>
        <v>0</v>
      </c>
      <c r="O438" s="10">
        <f>IFERROR(__xludf.DUMMYFUNCTION("""COMPUTED_VALUE"""),0)</f>
        <v>0</v>
      </c>
      <c r="P438" s="10"/>
      <c r="Q438" s="30"/>
      <c r="R438" s="18"/>
      <c r="S438" s="19"/>
      <c r="T438" s="10"/>
      <c r="U438" s="10"/>
      <c r="V438" s="10"/>
      <c r="W438" s="10"/>
      <c r="X438" s="19"/>
      <c r="Y438" s="1"/>
      <c r="Z438" s="1"/>
      <c r="AA438" s="1"/>
    </row>
    <row r="439" customHeight="1" spans="1:27">
      <c r="A439" s="1" t="str">
        <f>IFERROR(__xludf.DUMMYFUNCTION("""COMPUTED_VALUE"""),"Hurston 73")</f>
        <v>Hurston 73</v>
      </c>
      <c r="B439" s="1" t="str">
        <f>IFERROR(__xludf.DUMMYFUNCTION("""COMPUTED_VALUE"""),"Hurston 84")</f>
        <v>Hurston 84</v>
      </c>
      <c r="C439" s="1" t="str">
        <f>IFERROR(__xludf.DUMMYFUNCTION("""COMPUTED_VALUE"""),"Hurston 66")</f>
        <v>Hurston 66</v>
      </c>
      <c r="D439" s="1" t="str">
        <f>IFERROR(__xludf.DUMMYFUNCTION("""COMPUTED_VALUE"""),"Sand Cave 27W-321")</f>
        <v>Sand Cave 27W-321</v>
      </c>
      <c r="E439" s="30" t="str">
        <f>IFERROR(__xludf.DUMMYFUNCTION("""COMPUTED_VALUE"""),"SCave 27W321")</f>
        <v>SCave 27W321</v>
      </c>
      <c r="F439" s="10">
        <f>IFERROR(__xludf.DUMMYFUNCTION("""COMPUTED_VALUE"""),329.14290133)</f>
        <v>329.14290133</v>
      </c>
      <c r="G439" s="10">
        <f>IFERROR(__xludf.DUMMYFUNCTION("""COMPUTED_VALUE"""),-119.73823564)</f>
        <v>-119.73823564</v>
      </c>
      <c r="H439" s="10">
        <f>IFERROR(__xludf.DUMMYFUNCTION("""COMPUTED_VALUE"""),937.285202529)</f>
        <v>937.285202529</v>
      </c>
      <c r="I439" s="13"/>
      <c r="J439" s="13"/>
      <c r="K439" s="13"/>
      <c r="L439" s="13"/>
      <c r="M439" s="1" t="b">
        <f>IFERROR(__xludf.DUMMYFUNCTION("""COMPUTED_VALUE"""),FALSE)</f>
        <v>0</v>
      </c>
      <c r="N439" s="10">
        <f>IFERROR(__xludf.DUMMYFUNCTION("""COMPUTED_VALUE"""),0)</f>
        <v>0</v>
      </c>
      <c r="O439" s="10">
        <f>IFERROR(__xludf.DUMMYFUNCTION("""COMPUTED_VALUE"""),0)</f>
        <v>0</v>
      </c>
      <c r="P439" s="10"/>
      <c r="Q439" s="30"/>
      <c r="R439" s="18"/>
      <c r="S439" s="19"/>
      <c r="T439" s="10"/>
      <c r="U439" s="10"/>
      <c r="V439" s="10"/>
      <c r="W439" s="10"/>
      <c r="X439" s="19"/>
      <c r="Y439" s="1"/>
      <c r="Z439" s="1"/>
      <c r="AA439" s="1"/>
    </row>
    <row r="440" customHeight="1" spans="1:27">
      <c r="A440" s="1" t="str">
        <f>IFERROR(__xludf.DUMMYFUNCTION("""COMPUTED_VALUE"""),"Hurston 75")</f>
        <v>Hurston 75</v>
      </c>
      <c r="B440" s="1" t="str">
        <f>IFERROR(__xludf.DUMMYFUNCTION("""COMPUTED_VALUE"""),"Hurston 86")</f>
        <v>Hurston 86</v>
      </c>
      <c r="C440" s="1" t="str">
        <f>IFERROR(__xludf.DUMMYFUNCTION("""COMPUTED_VALUE"""),"Hurston 55")</f>
        <v>Hurston 55</v>
      </c>
      <c r="D440" s="1" t="str">
        <f>IFERROR(__xludf.DUMMYFUNCTION("""COMPUTED_VALUE"""),"Sand Cave 33W")</f>
        <v>Sand Cave 33W</v>
      </c>
      <c r="E440" s="30" t="str">
        <f>IFERROR(__xludf.DUMMYFUNCTION("""COMPUTED_VALUE"""),"SCave 33W")</f>
        <v>SCave 33W</v>
      </c>
      <c r="F440" s="10">
        <f>IFERROR(__xludf.DUMMYFUNCTION("""COMPUTED_VALUE"""),348.136810870999)</f>
        <v>348.136810870999</v>
      </c>
      <c r="G440" s="10">
        <f>IFERROR(__xludf.DUMMYFUNCTION("""COMPUTED_VALUE"""),109.396246604)</f>
        <v>109.396246604</v>
      </c>
      <c r="H440" s="10">
        <f>IFERROR(__xludf.DUMMYFUNCTION("""COMPUTED_VALUE"""),931.296088543)</f>
        <v>931.296088543</v>
      </c>
      <c r="I440" s="13"/>
      <c r="J440" s="13"/>
      <c r="K440" s="13"/>
      <c r="L440" s="13"/>
      <c r="M440" s="1" t="b">
        <f>IFERROR(__xludf.DUMMYFUNCTION("""COMPUTED_VALUE"""),FALSE)</f>
        <v>0</v>
      </c>
      <c r="N440" s="10">
        <f>IFERROR(__xludf.DUMMYFUNCTION("""COMPUTED_VALUE"""),0)</f>
        <v>0</v>
      </c>
      <c r="O440" s="10">
        <f>IFERROR(__xludf.DUMMYFUNCTION("""COMPUTED_VALUE"""),0)</f>
        <v>0</v>
      </c>
      <c r="P440" s="10"/>
      <c r="Q440" s="30"/>
      <c r="R440" s="18"/>
      <c r="S440" s="19"/>
      <c r="T440" s="10"/>
      <c r="U440" s="10"/>
      <c r="V440" s="10"/>
      <c r="W440" s="10"/>
      <c r="X440" s="19"/>
      <c r="Y440" s="1"/>
      <c r="Z440" s="1"/>
      <c r="AA440" s="1"/>
    </row>
    <row r="441" customHeight="1" spans="1:27">
      <c r="A441" s="1" t="str">
        <f>IFERROR(__xludf.DUMMYFUNCTION("""COMPUTED_VALUE"""),"Hurston 74")</f>
        <v>Hurston 74</v>
      </c>
      <c r="B441" s="1" t="str">
        <f>IFERROR(__xludf.DUMMYFUNCTION("""COMPUTED_VALUE"""),"Hurston 85")</f>
        <v>Hurston 85</v>
      </c>
      <c r="C441" s="1" t="str">
        <f>IFERROR(__xludf.DUMMYFUNCTION("""COMPUTED_VALUE"""),"Hurston 59")</f>
        <v>Hurston 59</v>
      </c>
      <c r="D441" s="1" t="str">
        <f>IFERROR(__xludf.DUMMYFUNCTION("""COMPUTED_VALUE"""),"Sand Cave 31V")</f>
        <v>Sand Cave 31V</v>
      </c>
      <c r="E441" s="30" t="str">
        <f>IFERROR(__xludf.DUMMYFUNCTION("""COMPUTED_VALUE"""),"SCave 31V")</f>
        <v>SCave 31V</v>
      </c>
      <c r="F441" s="10">
        <f>IFERROR(__xludf.DUMMYFUNCTION("""COMPUTED_VALUE"""),536.059921703999)</f>
        <v>536.059921703999</v>
      </c>
      <c r="G441" s="10">
        <f>IFERROR(__xludf.DUMMYFUNCTION("""COMPUTED_VALUE"""),28.137676132)</f>
        <v>28.137676132</v>
      </c>
      <c r="H441" s="10">
        <f>IFERROR(__xludf.DUMMYFUNCTION("""COMPUTED_VALUE"""),846.224206118999)</f>
        <v>846.224206118999</v>
      </c>
      <c r="I441" s="13"/>
      <c r="J441" s="13"/>
      <c r="K441" s="13"/>
      <c r="L441" s="13"/>
      <c r="M441" s="1" t="b">
        <f>IFERROR(__xludf.DUMMYFUNCTION("""COMPUTED_VALUE"""),FALSE)</f>
        <v>0</v>
      </c>
      <c r="N441" s="10">
        <f>IFERROR(__xludf.DUMMYFUNCTION("""COMPUTED_VALUE"""),0)</f>
        <v>0</v>
      </c>
      <c r="O441" s="10">
        <f>IFERROR(__xludf.DUMMYFUNCTION("""COMPUTED_VALUE"""),0)</f>
        <v>0</v>
      </c>
      <c r="P441" s="10"/>
      <c r="Q441" s="30"/>
      <c r="R441" s="18"/>
      <c r="S441" s="19"/>
      <c r="T441" s="10"/>
      <c r="U441" s="10"/>
      <c r="V441" s="10"/>
      <c r="W441" s="10"/>
      <c r="X441" s="19"/>
      <c r="Y441" s="1"/>
      <c r="Z441" s="1"/>
      <c r="AA441" s="1"/>
    </row>
    <row r="442" customHeight="1" spans="1:27">
      <c r="A442" s="1" t="str">
        <f>IFERROR(__xludf.DUMMYFUNCTION("""COMPUTED_VALUE"""),"Hurston 61")</f>
        <v>Hurston 61</v>
      </c>
      <c r="B442" s="1" t="str">
        <f>IFERROR(__xludf.DUMMYFUNCTION("""COMPUTED_VALUE"""),"Hurston 72")</f>
        <v>Hurston 72</v>
      </c>
      <c r="C442" s="1" t="str">
        <f>IFERROR(__xludf.DUMMYFUNCTION("""COMPUTED_VALUE"""),"Hurston 144")</f>
        <v>Hurston 144</v>
      </c>
      <c r="D442" s="1" t="str">
        <f>IFERROR(__xludf.DUMMYFUNCTION("""COMPUTED_VALUE"""),"Sand Cave 01E")</f>
        <v>Sand Cave 01E</v>
      </c>
      <c r="E442" s="30" t="str">
        <f>IFERROR(__xludf.DUMMYFUNCTION("""COMPUTED_VALUE"""),"SCave 01E")</f>
        <v>SCave 01E</v>
      </c>
      <c r="F442" s="10">
        <f>IFERROR(__xludf.DUMMYFUNCTION("""COMPUTED_VALUE"""),-532.079143725999)</f>
        <v>-532.079143725999</v>
      </c>
      <c r="G442" s="10">
        <f>IFERROR(__xludf.DUMMYFUNCTION("""COMPUTED_VALUE"""),-12.082034834)</f>
        <v>-12.082034834</v>
      </c>
      <c r="H442" s="10">
        <f>IFERROR(__xludf.DUMMYFUNCTION("""COMPUTED_VALUE"""),-847.177765661)</f>
        <v>-847.177765661</v>
      </c>
      <c r="I442" s="13"/>
      <c r="J442" s="13"/>
      <c r="K442" s="13"/>
      <c r="L442" s="13"/>
      <c r="M442" s="1" t="b">
        <f>IFERROR(__xludf.DUMMYFUNCTION("""COMPUTED_VALUE"""),FALSE)</f>
        <v>0</v>
      </c>
      <c r="N442" s="10">
        <f>IFERROR(__xludf.DUMMYFUNCTION("""COMPUTED_VALUE"""),0)</f>
        <v>0</v>
      </c>
      <c r="O442" s="10">
        <f>IFERROR(__xludf.DUMMYFUNCTION("""COMPUTED_VALUE"""),0)</f>
        <v>0</v>
      </c>
      <c r="P442" s="10"/>
      <c r="Q442" s="30"/>
      <c r="R442" s="18"/>
      <c r="S442" s="19"/>
      <c r="T442" s="10"/>
      <c r="U442" s="10"/>
      <c r="V442" s="10"/>
      <c r="W442" s="10"/>
      <c r="X442" s="19"/>
      <c r="Y442" s="1"/>
      <c r="Z442" s="1"/>
      <c r="AA442" s="1"/>
    </row>
    <row r="443" customHeight="1" spans="1:27">
      <c r="A443" s="1" t="str">
        <f>IFERROR(__xludf.DUMMYFUNCTION("""COMPUTED_VALUE"""),"Hurston 62")</f>
        <v>Hurston 62</v>
      </c>
      <c r="B443" s="1" t="str">
        <f>IFERROR(__xludf.DUMMYFUNCTION("""COMPUTED_VALUE"""),"Hurston 73")</f>
        <v>Hurston 73</v>
      </c>
      <c r="C443" s="1" t="str">
        <f>IFERROR(__xludf.DUMMYFUNCTION("""COMPUTED_VALUE"""),"Hurston 139")</f>
        <v>Hurston 139</v>
      </c>
      <c r="D443" s="1" t="str">
        <f>IFERROR(__xludf.DUMMYFUNCTION("""COMPUTED_VALUE"""),"Sand Cave 02F")</f>
        <v>Sand Cave 02F</v>
      </c>
      <c r="E443" s="30" t="str">
        <f>IFERROR(__xludf.DUMMYFUNCTION("""COMPUTED_VALUE"""),"SCave 02F")</f>
        <v>SCave 02F</v>
      </c>
      <c r="F443" s="10">
        <f>IFERROR(__xludf.DUMMYFUNCTION("""COMPUTED_VALUE"""),-555.732503435999)</f>
        <v>-555.732503435999</v>
      </c>
      <c r="G443" s="10">
        <f>IFERROR(__xludf.DUMMYFUNCTION("""COMPUTED_VALUE"""),-85.987056638)</f>
        <v>-85.987056638</v>
      </c>
      <c r="H443" s="10">
        <f>IFERROR(__xludf.DUMMYFUNCTION("""COMPUTED_VALUE"""),-827.053505721)</f>
        <v>-827.053505721</v>
      </c>
      <c r="I443" s="13"/>
      <c r="J443" s="13"/>
      <c r="K443" s="13"/>
      <c r="L443" s="13"/>
      <c r="M443" s="1" t="b">
        <f>IFERROR(__xludf.DUMMYFUNCTION("""COMPUTED_VALUE"""),FALSE)</f>
        <v>0</v>
      </c>
      <c r="N443" s="10">
        <f>IFERROR(__xludf.DUMMYFUNCTION("""COMPUTED_VALUE"""),0)</f>
        <v>0</v>
      </c>
      <c r="O443" s="10">
        <f>IFERROR(__xludf.DUMMYFUNCTION("""COMPUTED_VALUE"""),0)</f>
        <v>0</v>
      </c>
      <c r="P443" s="10"/>
      <c r="Q443" s="30"/>
      <c r="R443" s="18"/>
      <c r="S443" s="19"/>
      <c r="T443" s="10"/>
      <c r="U443" s="10"/>
      <c r="V443" s="10"/>
      <c r="W443" s="10"/>
      <c r="X443" s="19"/>
      <c r="Y443" s="1"/>
      <c r="Z443" s="1"/>
      <c r="AA443" s="1"/>
    </row>
    <row r="444" customHeight="1" spans="1:27">
      <c r="A444" s="1" t="str">
        <f>IFERROR(__xludf.DUMMYFUNCTION("""COMPUTED_VALUE"""),"Hurston 63")</f>
        <v>Hurston 63</v>
      </c>
      <c r="B444" s="1" t="str">
        <f>IFERROR(__xludf.DUMMYFUNCTION("""COMPUTED_VALUE"""),"Hurston 74")</f>
        <v>Hurston 74</v>
      </c>
      <c r="C444" s="1" t="str">
        <f>IFERROR(__xludf.DUMMYFUNCTION("""COMPUTED_VALUE"""),"Hurston 136")</f>
        <v>Hurston 136</v>
      </c>
      <c r="D444" s="1" t="str">
        <f>IFERROR(__xludf.DUMMYFUNCTION("""COMPUTED_VALUE"""),"Sand Cave 03E")</f>
        <v>Sand Cave 03E</v>
      </c>
      <c r="E444" s="30" t="str">
        <f>IFERROR(__xludf.DUMMYFUNCTION("""COMPUTED_VALUE"""),"SCave 03E")</f>
        <v>SCave 03E</v>
      </c>
      <c r="F444" s="10">
        <f>IFERROR(__xludf.DUMMYFUNCTION("""COMPUTED_VALUE"""),-514.419831155)</f>
        <v>-514.419831155</v>
      </c>
      <c r="G444" s="10">
        <f>IFERROR(__xludf.DUMMYFUNCTION("""COMPUTED_VALUE"""),-161.129671272)</f>
        <v>-161.129671272</v>
      </c>
      <c r="H444" s="10">
        <f>IFERROR(__xludf.DUMMYFUNCTION("""COMPUTED_VALUE"""),-843.348712338999)</f>
        <v>-843.348712338999</v>
      </c>
      <c r="I444" s="13"/>
      <c r="J444" s="13"/>
      <c r="K444" s="13"/>
      <c r="L444" s="13"/>
      <c r="M444" s="1" t="b">
        <f>IFERROR(__xludf.DUMMYFUNCTION("""COMPUTED_VALUE"""),FALSE)</f>
        <v>0</v>
      </c>
      <c r="N444" s="10">
        <f>IFERROR(__xludf.DUMMYFUNCTION("""COMPUTED_VALUE"""),0)</f>
        <v>0</v>
      </c>
      <c r="O444" s="10">
        <f>IFERROR(__xludf.DUMMYFUNCTION("""COMPUTED_VALUE"""),0)</f>
        <v>0</v>
      </c>
      <c r="P444" s="10"/>
      <c r="Q444" s="30"/>
      <c r="R444" s="18"/>
      <c r="S444" s="19"/>
      <c r="T444" s="10"/>
      <c r="U444" s="10"/>
      <c r="V444" s="10"/>
      <c r="W444" s="10"/>
      <c r="X444" s="19"/>
      <c r="Y444" s="1"/>
      <c r="Z444" s="1"/>
      <c r="AA444" s="1"/>
    </row>
    <row r="445" customHeight="1" spans="1:27">
      <c r="A445" s="1" t="str">
        <f>IFERROR(__xludf.DUMMYFUNCTION("""COMPUTED_VALUE"""),"Hurston 69")</f>
        <v>Hurston 69</v>
      </c>
      <c r="B445" s="1" t="str">
        <f>IFERROR(__xludf.DUMMYFUNCTION("""COMPUTED_VALUE"""),"Hurston 80")</f>
        <v>Hurston 80</v>
      </c>
      <c r="C445" s="1" t="str">
        <f>IFERROR(__xludf.DUMMYFUNCTION("""COMPUTED_VALUE"""),"Hurston 78")</f>
        <v>Hurston 78</v>
      </c>
      <c r="D445" s="1" t="str">
        <f>IFERROR(__xludf.DUMMYFUNCTION("""COMPUTED_VALUE"""),"Sand Cave 21C")</f>
        <v>Sand Cave 21C</v>
      </c>
      <c r="E445" s="30" t="str">
        <f>IFERROR(__xludf.DUMMYFUNCTION("""COMPUTED_VALUE"""),"SCave 21C")</f>
        <v>SCave 21C</v>
      </c>
      <c r="F445" s="10">
        <f>IFERROR(__xludf.DUMMYFUNCTION("""COMPUTED_VALUE"""),113.787649588)</f>
        <v>113.787649588</v>
      </c>
      <c r="G445" s="10">
        <f>IFERROR(__xludf.DUMMYFUNCTION("""COMPUTED_VALUE"""),-189.120526909)</f>
        <v>-189.120526909</v>
      </c>
      <c r="H445" s="10">
        <f>IFERROR(__xludf.DUMMYFUNCTION("""COMPUTED_VALUE"""),-975.768721535)</f>
        <v>-975.768721535</v>
      </c>
      <c r="I445" s="13"/>
      <c r="J445" s="13"/>
      <c r="K445" s="13"/>
      <c r="L445" s="13"/>
      <c r="M445" s="1" t="b">
        <f>IFERROR(__xludf.DUMMYFUNCTION("""COMPUTED_VALUE"""),FALSE)</f>
        <v>0</v>
      </c>
      <c r="N445" s="10">
        <f>IFERROR(__xludf.DUMMYFUNCTION("""COMPUTED_VALUE"""),0)</f>
        <v>0</v>
      </c>
      <c r="O445" s="10">
        <f>IFERROR(__xludf.DUMMYFUNCTION("""COMPUTED_VALUE"""),0)</f>
        <v>0</v>
      </c>
      <c r="P445" s="10"/>
      <c r="Q445" s="30"/>
      <c r="R445" s="18"/>
      <c r="S445" s="19"/>
      <c r="T445" s="10"/>
      <c r="U445" s="10"/>
      <c r="V445" s="10"/>
      <c r="W445" s="10"/>
      <c r="X445" s="19"/>
      <c r="Y445" s="1"/>
      <c r="Z445" s="1"/>
      <c r="AA445" s="1"/>
    </row>
    <row r="446" customHeight="1" spans="1:27">
      <c r="A446" s="1" t="str">
        <f>IFERROR(__xludf.DUMMYFUNCTION("""COMPUTED_VALUE"""),"Hurston 94")</f>
        <v>Hurston 94</v>
      </c>
      <c r="B446" s="1" t="str">
        <f>IFERROR(__xludf.DUMMYFUNCTION("""COMPUTED_VALUE"""),"Hurston 105")</f>
        <v>Hurston 105</v>
      </c>
      <c r="C446" s="1" t="str">
        <f>IFERROR(__xludf.DUMMYFUNCTION("""COMPUTED_VALUE"""),"Hurston 82")</f>
        <v>Hurston 82</v>
      </c>
      <c r="D446" s="1" t="str">
        <f>IFERROR(__xludf.DUMMYFUNCTION("""COMPUTED_VALUE"""),"Sand Cave AZN-222")</f>
        <v>Sand Cave AZN-222</v>
      </c>
      <c r="E446" s="1" t="str">
        <f>IFERROR(__xludf.DUMMYFUNCTION("""COMPUTED_VALUE"""),"SCave AZN222")</f>
        <v>SCave AZN222</v>
      </c>
      <c r="F446" s="2">
        <f>IFERROR(__xludf.DUMMYFUNCTION("""COMPUTED_VALUE"""),33.033586149)</f>
        <v>33.033586149</v>
      </c>
      <c r="G446" s="2">
        <f>IFERROR(__xludf.DUMMYFUNCTION("""COMPUTED_VALUE"""),-87.20907589)</f>
        <v>-87.20907589</v>
      </c>
      <c r="H446" s="2">
        <f>IFERROR(__xludf.DUMMYFUNCTION("""COMPUTED_VALUE"""),-996.452588091999)</f>
        <v>-996.452588091999</v>
      </c>
      <c r="I446" s="1"/>
      <c r="J446" s="1"/>
      <c r="K446" s="1"/>
      <c r="L446" s="1"/>
      <c r="M446" s="1" t="b">
        <f>IFERROR(__xludf.DUMMYFUNCTION("""COMPUTED_VALUE"""),FALSE)</f>
        <v>0</v>
      </c>
      <c r="N446" s="2">
        <f>IFERROR(__xludf.DUMMYFUNCTION("""COMPUTED_VALUE"""),0)</f>
        <v>0</v>
      </c>
      <c r="O446" s="2">
        <f>IFERROR(__xludf.DUMMYFUNCTION("""COMPUTED_VALUE"""),0)</f>
        <v>0</v>
      </c>
      <c r="P446" s="1"/>
      <c r="Q446" s="1"/>
      <c r="R446" s="1"/>
      <c r="S446" s="1"/>
      <c r="T446" s="1"/>
      <c r="U446" s="1"/>
      <c r="V446" s="1"/>
      <c r="W446" s="1"/>
      <c r="X446" s="1"/>
      <c r="Y446" s="1"/>
      <c r="Z446" s="1"/>
      <c r="AA446" s="1"/>
    </row>
    <row r="447" customHeight="1" spans="1:27">
      <c r="A447" s="1" t="str">
        <f>IFERROR(__xludf.DUMMYFUNCTION("""COMPUTED_VALUE"""),"Hurston 66")</f>
        <v>Hurston 66</v>
      </c>
      <c r="B447" s="1" t="str">
        <f>IFERROR(__xludf.DUMMYFUNCTION("""COMPUTED_VALUE"""),"Hurston 77")</f>
        <v>Hurston 77</v>
      </c>
      <c r="C447" s="1" t="str">
        <f>IFERROR(__xludf.DUMMYFUNCTION("""COMPUTED_VALUE"""),"Hurston 88")</f>
        <v>Hurston 88</v>
      </c>
      <c r="D447" s="1" t="str">
        <f>IFERROR(__xludf.DUMMYFUNCTION("""COMPUTED_VALUE"""),"Sand Cave 17D")</f>
        <v>Sand Cave 17D</v>
      </c>
      <c r="E447" s="30" t="str">
        <f>IFERROR(__xludf.DUMMYFUNCTION("""COMPUTED_VALUE"""),"SCave 17D")</f>
        <v>SCave 17D</v>
      </c>
      <c r="F447" s="10">
        <f>IFERROR(__xludf.DUMMYFUNCTION("""COMPUTED_VALUE"""),56.011697258)</f>
        <v>56.011697258</v>
      </c>
      <c r="G447" s="10">
        <f>IFERROR(__xludf.DUMMYFUNCTION("""COMPUTED_VALUE"""),-419.681120143999)</f>
        <v>-419.681120143999</v>
      </c>
      <c r="H447" s="10">
        <f>IFERROR(__xludf.DUMMYFUNCTION("""COMPUTED_VALUE"""),-906.073720212999)</f>
        <v>-906.073720212999</v>
      </c>
      <c r="I447" s="13"/>
      <c r="J447" s="13"/>
      <c r="K447" s="13"/>
      <c r="L447" s="13"/>
      <c r="M447" s="1" t="b">
        <f>IFERROR(__xludf.DUMMYFUNCTION("""COMPUTED_VALUE"""),FALSE)</f>
        <v>0</v>
      </c>
      <c r="N447" s="10">
        <f>IFERROR(__xludf.DUMMYFUNCTION("""COMPUTED_VALUE"""),0)</f>
        <v>0</v>
      </c>
      <c r="O447" s="10">
        <f>IFERROR(__xludf.DUMMYFUNCTION("""COMPUTED_VALUE"""),0)</f>
        <v>0</v>
      </c>
      <c r="P447" s="10"/>
      <c r="Q447" s="30"/>
      <c r="R447" s="18"/>
      <c r="S447" s="19"/>
      <c r="T447" s="10"/>
      <c r="U447" s="10"/>
      <c r="V447" s="10"/>
      <c r="W447" s="10"/>
      <c r="X447" s="19"/>
      <c r="Y447" s="1"/>
      <c r="Z447" s="1"/>
      <c r="AA447" s="1"/>
    </row>
    <row r="448" customHeight="1" spans="1:27">
      <c r="A448" s="1" t="str">
        <f>IFERROR(__xludf.DUMMYFUNCTION("""COMPUTED_VALUE"""),"Hurston 70")</f>
        <v>Hurston 70</v>
      </c>
      <c r="B448" s="1" t="str">
        <f>IFERROR(__xludf.DUMMYFUNCTION("""COMPUTED_VALUE"""),"Hurston 81")</f>
        <v>Hurston 81</v>
      </c>
      <c r="C448" s="1" t="str">
        <f>IFERROR(__xludf.DUMMYFUNCTION("""COMPUTED_VALUE"""),"Hurston 75")</f>
        <v>Hurston 75</v>
      </c>
      <c r="D448" s="1" t="str">
        <f>IFERROR(__xludf.DUMMYFUNCTION("""COMPUTED_VALUE"""),"Sand Cave 22C")</f>
        <v>Sand Cave 22C</v>
      </c>
      <c r="E448" s="30" t="str">
        <f>IFERROR(__xludf.DUMMYFUNCTION("""COMPUTED_VALUE"""),"SCave 22C")</f>
        <v>SCave 22C</v>
      </c>
      <c r="F448" s="10">
        <f>IFERROR(__xludf.DUMMYFUNCTION("""COMPUTED_VALUE"""),177.789736452)</f>
        <v>177.789736452</v>
      </c>
      <c r="G448" s="10">
        <f>IFERROR(__xludf.DUMMYFUNCTION("""COMPUTED_VALUE"""),-197.562773141999)</f>
        <v>-197.562773141999</v>
      </c>
      <c r="H448" s="10">
        <f>IFERROR(__xludf.DUMMYFUNCTION("""COMPUTED_VALUE"""),-964.301017320999)</f>
        <v>-964.301017320999</v>
      </c>
      <c r="I448" s="13"/>
      <c r="J448" s="13"/>
      <c r="K448" s="13"/>
      <c r="L448" s="13"/>
      <c r="M448" s="1" t="b">
        <f>IFERROR(__xludf.DUMMYFUNCTION("""COMPUTED_VALUE"""),FALSE)</f>
        <v>0</v>
      </c>
      <c r="N448" s="10">
        <f>IFERROR(__xludf.DUMMYFUNCTION("""COMPUTED_VALUE"""),0)</f>
        <v>0</v>
      </c>
      <c r="O448" s="10">
        <f>IFERROR(__xludf.DUMMYFUNCTION("""COMPUTED_VALUE"""),0)</f>
        <v>0</v>
      </c>
      <c r="P448" s="10"/>
      <c r="Q448" s="30"/>
      <c r="R448" s="18"/>
      <c r="S448" s="19"/>
      <c r="T448" s="10"/>
      <c r="U448" s="10"/>
      <c r="V448" s="10"/>
      <c r="W448" s="10"/>
      <c r="X448" s="19"/>
      <c r="Y448" s="1"/>
      <c r="Z448" s="1"/>
      <c r="AA448" s="1"/>
    </row>
    <row r="449" customHeight="1" spans="1:27">
      <c r="A449" s="1" t="str">
        <f>IFERROR(__xludf.DUMMYFUNCTION("""COMPUTED_VALUE"""),"Hurston 78")</f>
        <v>Hurston 78</v>
      </c>
      <c r="B449" s="1" t="str">
        <f>IFERROR(__xludf.DUMMYFUNCTION("""COMPUTED_VALUE"""),"Hurston 89")</f>
        <v>Hurston 89</v>
      </c>
      <c r="C449" s="1" t="str">
        <f>IFERROR(__xludf.DUMMYFUNCTION("""COMPUTED_VALUE"""),"Hurston 44")</f>
        <v>Hurston 44</v>
      </c>
      <c r="D449" s="1" t="str">
        <f>IFERROR(__xludf.DUMMYFUNCTION("""COMPUTED_VALUE"""),"Sand Cave 44C")</f>
        <v>Sand Cave 44C</v>
      </c>
      <c r="E449" s="30" t="str">
        <f>IFERROR(__xludf.DUMMYFUNCTION("""COMPUTED_VALUE"""),"SCave 44C")</f>
        <v>SCave 44C</v>
      </c>
      <c r="F449" s="10">
        <f>IFERROR(__xludf.DUMMYFUNCTION("""COMPUTED_VALUE"""),36.134929091)</f>
        <v>36.134929091</v>
      </c>
      <c r="G449" s="10">
        <f>IFERROR(__xludf.DUMMYFUNCTION("""COMPUTED_VALUE"""),218.316956689999)</f>
        <v>218.316956689999</v>
      </c>
      <c r="H449" s="10">
        <f>IFERROR(__xludf.DUMMYFUNCTION("""COMPUTED_VALUE"""),-976.071235063)</f>
        <v>-976.071235063</v>
      </c>
      <c r="I449" s="13"/>
      <c r="J449" s="13"/>
      <c r="K449" s="13"/>
      <c r="L449" s="13"/>
      <c r="M449" s="1" t="b">
        <f>IFERROR(__xludf.DUMMYFUNCTION("""COMPUTED_VALUE"""),FALSE)</f>
        <v>0</v>
      </c>
      <c r="N449" s="10">
        <f>IFERROR(__xludf.DUMMYFUNCTION("""COMPUTED_VALUE"""),0)</f>
        <v>0</v>
      </c>
      <c r="O449" s="10">
        <f>IFERROR(__xludf.DUMMYFUNCTION("""COMPUTED_VALUE"""),0)</f>
        <v>0</v>
      </c>
      <c r="P449" s="10"/>
      <c r="Q449" s="30"/>
      <c r="R449" s="18"/>
      <c r="S449" s="19"/>
      <c r="T449" s="10"/>
      <c r="U449" s="10"/>
      <c r="V449" s="10"/>
      <c r="W449" s="10"/>
      <c r="X449" s="19"/>
      <c r="Y449" s="1"/>
      <c r="Z449" s="1"/>
      <c r="AA449" s="1"/>
    </row>
    <row r="450" customHeight="1" spans="1:27">
      <c r="A450" s="1" t="str">
        <f>IFERROR(__xludf.DUMMYFUNCTION("""COMPUTED_VALUE"""),"Hurston 91")</f>
        <v>Hurston 91</v>
      </c>
      <c r="B450" s="1" t="str">
        <f>IFERROR(__xludf.DUMMYFUNCTION("""COMPUTED_VALUE"""),"Hurston 102")</f>
        <v>Hurston 102</v>
      </c>
      <c r="C450" s="1" t="str">
        <f>IFERROR(__xludf.DUMMYFUNCTION("""COMPUTED_VALUE"""),"Hurston 114")</f>
        <v>Hurston 114</v>
      </c>
      <c r="D450" s="1" t="str">
        <f>IFERROR(__xludf.DUMMYFUNCTION("""COMPUTED_VALUE"""),"Sand Cave AZM")</f>
        <v>Sand Cave AZM</v>
      </c>
      <c r="E450" s="30" t="str">
        <f>IFERROR(__xludf.DUMMYFUNCTION("""COMPUTED_VALUE"""),"SCave AZM")</f>
        <v>SCave AZM</v>
      </c>
      <c r="F450" s="10">
        <f>IFERROR(__xludf.DUMMYFUNCTION("""COMPUTED_VALUE"""),-68.344524743)</f>
        <v>-68.344524743</v>
      </c>
      <c r="G450" s="10">
        <f>IFERROR(__xludf.DUMMYFUNCTION("""COMPUTED_VALUE"""),-78.164666191)</f>
        <v>-78.164666191</v>
      </c>
      <c r="H450" s="10">
        <f>IFERROR(__xludf.DUMMYFUNCTION("""COMPUTED_VALUE"""),-996.640330847)</f>
        <v>-996.640330847</v>
      </c>
      <c r="I450" s="13"/>
      <c r="J450" s="13"/>
      <c r="K450" s="13"/>
      <c r="L450" s="13"/>
      <c r="M450" s="1" t="b">
        <f>IFERROR(__xludf.DUMMYFUNCTION("""COMPUTED_VALUE"""),FALSE)</f>
        <v>0</v>
      </c>
      <c r="N450" s="10">
        <f>IFERROR(__xludf.DUMMYFUNCTION("""COMPUTED_VALUE"""),0)</f>
        <v>0</v>
      </c>
      <c r="O450" s="10">
        <f>IFERROR(__xludf.DUMMYFUNCTION("""COMPUTED_VALUE"""),0)</f>
        <v>0</v>
      </c>
      <c r="P450" s="10"/>
      <c r="Q450" s="30"/>
      <c r="R450" s="18"/>
      <c r="S450" s="19"/>
      <c r="T450" s="10"/>
      <c r="U450" s="10"/>
      <c r="V450" s="10"/>
      <c r="W450" s="10"/>
      <c r="X450" s="19"/>
      <c r="Y450" s="1"/>
      <c r="Z450" s="1"/>
      <c r="AA450" s="1"/>
    </row>
    <row r="451" customHeight="1" spans="1:27">
      <c r="A451" s="1" t="str">
        <f>IFERROR(__xludf.DUMMYFUNCTION("""COMPUTED_VALUE"""),"Hurston 89")</f>
        <v>Hurston 89</v>
      </c>
      <c r="B451" s="1" t="str">
        <f>IFERROR(__xludf.DUMMYFUNCTION("""COMPUTED_VALUE"""),"Hurston 100")</f>
        <v>Hurston 100</v>
      </c>
      <c r="C451" s="1" t="str">
        <f>IFERROR(__xludf.DUMMYFUNCTION("""COMPUTED_VALUE"""),"Hurston 17")</f>
        <v>Hurston 17</v>
      </c>
      <c r="D451" s="1" t="str">
        <f>IFERROR(__xludf.DUMMYFUNCTION("""COMPUTED_VALUE"""),"Sand Cave 56D")</f>
        <v>Sand Cave 56D</v>
      </c>
      <c r="E451" s="30" t="str">
        <f>IFERROR(__xludf.DUMMYFUNCTION("""COMPUTED_VALUE"""),"SCave 56D")</f>
        <v>SCave 56D</v>
      </c>
      <c r="F451" s="10">
        <f>IFERROR(__xludf.DUMMYFUNCTION("""COMPUTED_VALUE"""),-360.868465495)</f>
        <v>-360.868465495</v>
      </c>
      <c r="G451" s="10">
        <f>IFERROR(__xludf.DUMMYFUNCTION("""COMPUTED_VALUE"""),201.304712765)</f>
        <v>201.304712765</v>
      </c>
      <c r="H451" s="10">
        <f>IFERROR(__xludf.DUMMYFUNCTION("""COMPUTED_VALUE"""),-912.248201083999)</f>
        <v>-912.248201083999</v>
      </c>
      <c r="I451" s="13"/>
      <c r="J451" s="13"/>
      <c r="K451" s="13"/>
      <c r="L451" s="13"/>
      <c r="M451" s="1" t="b">
        <f>IFERROR(__xludf.DUMMYFUNCTION("""COMPUTED_VALUE"""),FALSE)</f>
        <v>0</v>
      </c>
      <c r="N451" s="10">
        <f>IFERROR(__xludf.DUMMYFUNCTION("""COMPUTED_VALUE"""),0)</f>
        <v>0</v>
      </c>
      <c r="O451" s="10">
        <f>IFERROR(__xludf.DUMMYFUNCTION("""COMPUTED_VALUE"""),0)</f>
        <v>0</v>
      </c>
      <c r="P451" s="10"/>
      <c r="Q451" s="30"/>
      <c r="R451" s="18"/>
      <c r="S451" s="19"/>
      <c r="T451" s="10"/>
      <c r="U451" s="10"/>
      <c r="V451" s="10"/>
      <c r="W451" s="10"/>
      <c r="X451" s="19"/>
      <c r="Y451" s="1"/>
      <c r="Z451" s="1"/>
      <c r="AA451" s="1"/>
    </row>
    <row r="452" customHeight="1" spans="1:27">
      <c r="A452" s="1" t="str">
        <f>IFERROR(__xludf.DUMMYFUNCTION("""COMPUTED_VALUE"""),"Hurston 88")</f>
        <v>Hurston 88</v>
      </c>
      <c r="B452" s="1" t="str">
        <f>IFERROR(__xludf.DUMMYFUNCTION("""COMPUTED_VALUE"""),"Hurston 99")</f>
        <v>Hurston 99</v>
      </c>
      <c r="C452" s="1" t="str">
        <f>IFERROR(__xludf.DUMMYFUNCTION("""COMPUTED_VALUE"""),"Hurston 20")</f>
        <v>Hurston 20</v>
      </c>
      <c r="D452" s="1" t="str">
        <f>IFERROR(__xludf.DUMMYFUNCTION("""COMPUTED_VALUE"""),"Sand Cave 55D")</f>
        <v>Sand Cave 55D</v>
      </c>
      <c r="E452" s="30" t="str">
        <f>IFERROR(__xludf.DUMMYFUNCTION("""COMPUTED_VALUE"""),"SCave 55D")</f>
        <v>SCave 55D</v>
      </c>
      <c r="F452" s="10">
        <f>IFERROR(__xludf.DUMMYFUNCTION("""COMPUTED_VALUE"""),-354.400339344999)</f>
        <v>-354.400339344999</v>
      </c>
      <c r="G452" s="10">
        <f>IFERROR(__xludf.DUMMYFUNCTION("""COMPUTED_VALUE"""),230.589646842999)</f>
        <v>230.589646842999</v>
      </c>
      <c r="H452" s="10">
        <f>IFERROR(__xludf.DUMMYFUNCTION("""COMPUTED_VALUE"""),-907.316955919999)</f>
        <v>-907.316955919999</v>
      </c>
      <c r="I452" s="13"/>
      <c r="J452" s="13"/>
      <c r="K452" s="13"/>
      <c r="L452" s="13"/>
      <c r="M452" s="1" t="b">
        <f>IFERROR(__xludf.DUMMYFUNCTION("""COMPUTED_VALUE"""),FALSE)</f>
        <v>0</v>
      </c>
      <c r="N452" s="10">
        <f>IFERROR(__xludf.DUMMYFUNCTION("""COMPUTED_VALUE"""),0)</f>
        <v>0</v>
      </c>
      <c r="O452" s="10">
        <f>IFERROR(__xludf.DUMMYFUNCTION("""COMPUTED_VALUE"""),0)</f>
        <v>0</v>
      </c>
      <c r="P452" s="10"/>
      <c r="Q452" s="30"/>
      <c r="R452" s="18"/>
      <c r="S452" s="19"/>
      <c r="T452" s="10"/>
      <c r="U452" s="10"/>
      <c r="V452" s="10"/>
      <c r="W452" s="10"/>
      <c r="X452" s="19"/>
      <c r="Y452" s="1"/>
      <c r="Z452" s="1"/>
      <c r="AA452" s="1"/>
    </row>
    <row r="453" customHeight="1" spans="1:27">
      <c r="A453" s="1" t="str">
        <f>IFERROR(__xludf.DUMMYFUNCTION("""COMPUTED_VALUE"""),"Hurston 81")</f>
        <v>Hurston 81</v>
      </c>
      <c r="B453" s="1" t="str">
        <f>IFERROR(__xludf.DUMMYFUNCTION("""COMPUTED_VALUE"""),"Hurston 92")</f>
        <v>Hurston 92</v>
      </c>
      <c r="C453" s="1" t="str">
        <f>IFERROR(__xludf.DUMMYFUNCTION("""COMPUTED_VALUE"""),"Hurston 33")</f>
        <v>Hurston 33</v>
      </c>
      <c r="D453" s="1" t="str">
        <f>IFERROR(__xludf.DUMMYFUNCTION("""COMPUTED_VALUE"""),"Sand Cave 49D")</f>
        <v>Sand Cave 49D</v>
      </c>
      <c r="E453" s="30" t="str">
        <f>IFERROR(__xludf.DUMMYFUNCTION("""COMPUTED_VALUE"""),"SCave 49D")</f>
        <v>SCave 49D</v>
      </c>
      <c r="F453" s="10">
        <f>IFERROR(__xludf.DUMMYFUNCTION("""COMPUTED_VALUE"""),-119.644923536)</f>
        <v>-119.644923536</v>
      </c>
      <c r="G453" s="10">
        <f>IFERROR(__xludf.DUMMYFUNCTION("""COMPUTED_VALUE"""),293.534638668)</f>
        <v>293.534638668</v>
      </c>
      <c r="H453" s="10">
        <f>IFERROR(__xludf.DUMMYFUNCTION("""COMPUTED_VALUE"""),-949.420487929999)</f>
        <v>-949.420487929999</v>
      </c>
      <c r="I453" s="13"/>
      <c r="J453" s="13"/>
      <c r="K453" s="13"/>
      <c r="L453" s="13"/>
      <c r="M453" s="1" t="b">
        <f>IFERROR(__xludf.DUMMYFUNCTION("""COMPUTED_VALUE"""),FALSE)</f>
        <v>0</v>
      </c>
      <c r="N453" s="10">
        <f>IFERROR(__xludf.DUMMYFUNCTION("""COMPUTED_VALUE"""),0)</f>
        <v>0</v>
      </c>
      <c r="O453" s="10">
        <f>IFERROR(__xludf.DUMMYFUNCTION("""COMPUTED_VALUE"""),0)</f>
        <v>0</v>
      </c>
      <c r="P453" s="10"/>
      <c r="Q453" s="30"/>
      <c r="R453" s="18"/>
      <c r="S453" s="19"/>
      <c r="T453" s="10"/>
      <c r="U453" s="10"/>
      <c r="V453" s="10"/>
      <c r="W453" s="10"/>
      <c r="X453" s="19"/>
      <c r="Y453" s="1"/>
      <c r="Z453" s="1"/>
      <c r="AA453" s="1"/>
    </row>
    <row r="454" customHeight="1" spans="1:27">
      <c r="A454" s="1" t="str">
        <f>IFERROR(__xludf.DUMMYFUNCTION("""COMPUTED_VALUE"""),"Hurston 71")</f>
        <v>Hurston 71</v>
      </c>
      <c r="B454" s="1" t="str">
        <f>IFERROR(__xludf.DUMMYFUNCTION("""COMPUTED_VALUE"""),"Hurston 82")</f>
        <v>Hurston 82</v>
      </c>
      <c r="C454" s="1" t="str">
        <f>IFERROR(__xludf.DUMMYFUNCTION("""COMPUTED_VALUE"""),"Hurston 70")</f>
        <v>Hurston 70</v>
      </c>
      <c r="D454" s="1" t="str">
        <f>IFERROR(__xludf.DUMMYFUNCTION("""COMPUTED_VALUE"""),"Sand Cave 26C")</f>
        <v>Sand Cave 26C</v>
      </c>
      <c r="E454" s="30" t="str">
        <f>IFERROR(__xludf.DUMMYFUNCTION("""COMPUTED_VALUE"""),"SCave 26C")</f>
        <v>SCave 26C</v>
      </c>
      <c r="F454" s="10">
        <f>IFERROR(__xludf.DUMMYFUNCTION("""COMPUTED_VALUE"""),153.296024222999)</f>
        <v>153.296024222999</v>
      </c>
      <c r="G454" s="10">
        <f>IFERROR(__xludf.DUMMYFUNCTION("""COMPUTED_VALUE"""),-86.865282051)</f>
        <v>-86.865282051</v>
      </c>
      <c r="H454" s="10">
        <f>IFERROR(__xludf.DUMMYFUNCTION("""COMPUTED_VALUE"""),-985.508011107)</f>
        <v>-985.508011107</v>
      </c>
      <c r="I454" s="13"/>
      <c r="J454" s="13"/>
      <c r="K454" s="13"/>
      <c r="L454" s="13"/>
      <c r="M454" s="1" t="b">
        <f>IFERROR(__xludf.DUMMYFUNCTION("""COMPUTED_VALUE"""),FALSE)</f>
        <v>0</v>
      </c>
      <c r="N454" s="10">
        <f>IFERROR(__xludf.DUMMYFUNCTION("""COMPUTED_VALUE"""),0)</f>
        <v>0</v>
      </c>
      <c r="O454" s="10">
        <f>IFERROR(__xludf.DUMMYFUNCTION("""COMPUTED_VALUE"""),0)</f>
        <v>0</v>
      </c>
      <c r="P454" s="10"/>
      <c r="Q454" s="30"/>
      <c r="R454" s="18"/>
      <c r="S454" s="19"/>
      <c r="T454" s="10"/>
      <c r="U454" s="10"/>
      <c r="V454" s="10"/>
      <c r="W454" s="10"/>
      <c r="X454" s="19"/>
      <c r="Y454" s="1"/>
      <c r="Z454" s="1"/>
      <c r="AA454" s="1"/>
    </row>
    <row r="455" customHeight="1" spans="1:27">
      <c r="A455" s="1" t="str">
        <f>IFERROR(__xludf.DUMMYFUNCTION("""COMPUTED_VALUE"""),"Hurston 92")</f>
        <v>Hurston 92</v>
      </c>
      <c r="B455" s="1" t="str">
        <f>IFERROR(__xludf.DUMMYFUNCTION("""COMPUTED_VALUE"""),"Hurston 103")</f>
        <v>Hurston 103</v>
      </c>
      <c r="C455" s="1" t="str">
        <f>IFERROR(__xludf.DUMMYFUNCTION("""COMPUTED_VALUE"""),"Hurston 86")</f>
        <v>Hurston 86</v>
      </c>
      <c r="D455" s="1" t="str">
        <f>IFERROR(__xludf.DUMMYFUNCTION("""COMPUTED_VALUE"""),"Sand Cave AZN-200")</f>
        <v>Sand Cave AZN-200</v>
      </c>
      <c r="E455" s="30" t="str">
        <f>IFERROR(__xludf.DUMMYFUNCTION("""COMPUTED_VALUE"""),"SCave AZN200")</f>
        <v>SCave AZN200</v>
      </c>
      <c r="F455" s="10">
        <f>IFERROR(__xludf.DUMMYFUNCTION("""COMPUTED_VALUE"""),3.396660426)</f>
        <v>3.396660426</v>
      </c>
      <c r="G455" s="10">
        <f>IFERROR(__xludf.DUMMYFUNCTION("""COMPUTED_VALUE"""),-20.294459174)</f>
        <v>-20.294459174</v>
      </c>
      <c r="H455" s="10">
        <f>IFERROR(__xludf.DUMMYFUNCTION("""COMPUTED_VALUE"""),-1000.285944215)</f>
        <v>-1000.285944215</v>
      </c>
      <c r="I455" s="13"/>
      <c r="J455" s="13"/>
      <c r="K455" s="13"/>
      <c r="L455" s="13"/>
      <c r="M455" s="1" t="b">
        <f>IFERROR(__xludf.DUMMYFUNCTION("""COMPUTED_VALUE"""),FALSE)</f>
        <v>0</v>
      </c>
      <c r="N455" s="10">
        <f>IFERROR(__xludf.DUMMYFUNCTION("""COMPUTED_VALUE"""),0)</f>
        <v>0</v>
      </c>
      <c r="O455" s="10">
        <f>IFERROR(__xludf.DUMMYFUNCTION("""COMPUTED_VALUE"""),0)</f>
        <v>0</v>
      </c>
      <c r="P455" s="10"/>
      <c r="Q455" s="30"/>
      <c r="R455" s="18"/>
      <c r="S455" s="19"/>
      <c r="T455" s="10"/>
      <c r="U455" s="10"/>
      <c r="V455" s="10"/>
      <c r="W455" s="10"/>
      <c r="X455" s="19"/>
      <c r="Y455" s="1"/>
      <c r="Z455" s="1"/>
      <c r="AA455" s="1"/>
    </row>
    <row r="456" customHeight="1" spans="1:27">
      <c r="A456" s="1" t="str">
        <f>IFERROR(__xludf.DUMMYFUNCTION("""COMPUTED_VALUE"""),"Hurston 93")</f>
        <v>Hurston 93</v>
      </c>
      <c r="B456" s="1" t="str">
        <f>IFERROR(__xludf.DUMMYFUNCTION("""COMPUTED_VALUE"""),"Hurston 104")</f>
        <v>Hurston 104</v>
      </c>
      <c r="C456" s="1" t="str">
        <f>IFERROR(__xludf.DUMMYFUNCTION("""COMPUTED_VALUE"""),"Hurston 85")</f>
        <v>Hurston 85</v>
      </c>
      <c r="D456" s="1" t="str">
        <f>IFERROR(__xludf.DUMMYFUNCTION("""COMPUTED_VALUE"""),"Sand Cave AZN-208")</f>
        <v>Sand Cave AZN-208</v>
      </c>
      <c r="E456" s="30" t="str">
        <f>IFERROR(__xludf.DUMMYFUNCTION("""COMPUTED_VALUE"""),"SCave AZN208")</f>
        <v>SCave AZN208</v>
      </c>
      <c r="F456" s="10">
        <f>IFERROR(__xludf.DUMMYFUNCTION("""COMPUTED_VALUE"""),9.327399858)</f>
        <v>9.327399858</v>
      </c>
      <c r="G456" s="10">
        <f>IFERROR(__xludf.DUMMYFUNCTION("""COMPUTED_VALUE"""),-38.798153614)</f>
        <v>-38.798153614</v>
      </c>
      <c r="H456" s="10">
        <f>IFERROR(__xludf.DUMMYFUNCTION("""COMPUTED_VALUE"""),-999.704683212999)</f>
        <v>-999.704683212999</v>
      </c>
      <c r="I456" s="13"/>
      <c r="J456" s="13"/>
      <c r="K456" s="13"/>
      <c r="L456" s="13"/>
      <c r="M456" s="1" t="b">
        <f>IFERROR(__xludf.DUMMYFUNCTION("""COMPUTED_VALUE"""),FALSE)</f>
        <v>0</v>
      </c>
      <c r="N456" s="10">
        <f>IFERROR(__xludf.DUMMYFUNCTION("""COMPUTED_VALUE"""),0)</f>
        <v>0</v>
      </c>
      <c r="O456" s="10">
        <f>IFERROR(__xludf.DUMMYFUNCTION("""COMPUTED_VALUE"""),0)</f>
        <v>0</v>
      </c>
      <c r="P456" s="10"/>
      <c r="Q456" s="30"/>
      <c r="R456" s="18"/>
      <c r="S456" s="19"/>
      <c r="T456" s="10"/>
      <c r="U456" s="10"/>
      <c r="V456" s="10"/>
      <c r="W456" s="10"/>
      <c r="X456" s="19"/>
      <c r="Y456" s="1"/>
      <c r="Z456" s="1"/>
      <c r="AA456" s="1"/>
    </row>
    <row r="457" customHeight="1" spans="1:27">
      <c r="A457" s="1" t="str">
        <f>IFERROR(__xludf.DUMMYFUNCTION("""COMPUTED_VALUE"""),"Hurston 96")</f>
        <v>Hurston 96</v>
      </c>
      <c r="B457" s="1" t="str">
        <f>IFERROR(__xludf.DUMMYFUNCTION("""COMPUTED_VALUE"""),"Hurston 107")</f>
        <v>Hurston 107</v>
      </c>
      <c r="C457" s="1" t="str">
        <f>IFERROR(__xludf.DUMMYFUNCTION("""COMPUTED_VALUE"""),"Hurston 38")</f>
        <v>Hurston 38</v>
      </c>
      <c r="D457" s="1" t="str">
        <f>IFERROR(__xludf.DUMMYFUNCTION("""COMPUTED_VALUE"""),"Sand Cave BAM")</f>
        <v>Sand Cave BAM</v>
      </c>
      <c r="E457" s="30" t="str">
        <f>IFERROR(__xludf.DUMMYFUNCTION("""COMPUTED_VALUE"""),"SCave BAM")</f>
        <v>SCave BAM</v>
      </c>
      <c r="F457" s="10">
        <f>IFERROR(__xludf.DUMMYFUNCTION("""COMPUTED_VALUE"""),-6.55264179)</f>
        <v>-6.55264179</v>
      </c>
      <c r="G457" s="10">
        <f>IFERROR(__xludf.DUMMYFUNCTION("""COMPUTED_VALUE"""),62.506591939)</f>
        <v>62.506591939</v>
      </c>
      <c r="H457" s="10">
        <f>IFERROR(__xludf.DUMMYFUNCTION("""COMPUTED_VALUE"""),-998.502425011)</f>
        <v>-998.502425011</v>
      </c>
      <c r="I457" s="13"/>
      <c r="J457" s="13"/>
      <c r="K457" s="13"/>
      <c r="L457" s="13"/>
      <c r="M457" s="1" t="b">
        <f>IFERROR(__xludf.DUMMYFUNCTION("""COMPUTED_VALUE"""),FALSE)</f>
        <v>0</v>
      </c>
      <c r="N457" s="10">
        <f>IFERROR(__xludf.DUMMYFUNCTION("""COMPUTED_VALUE"""),0)</f>
        <v>0</v>
      </c>
      <c r="O457" s="10">
        <f>IFERROR(__xludf.DUMMYFUNCTION("""COMPUTED_VALUE"""),0)</f>
        <v>0</v>
      </c>
      <c r="P457" s="10"/>
      <c r="Q457" s="30"/>
      <c r="R457" s="18"/>
      <c r="S457" s="19"/>
      <c r="T457" s="10"/>
      <c r="U457" s="10"/>
      <c r="V457" s="10"/>
      <c r="W457" s="10"/>
      <c r="X457" s="19"/>
      <c r="Y457" s="1"/>
      <c r="Z457" s="1"/>
      <c r="AA457" s="1"/>
    </row>
    <row r="458" customHeight="1" spans="1:27">
      <c r="A458" s="1" t="str">
        <f>IFERROR(__xludf.DUMMYFUNCTION("""COMPUTED_VALUE"""),"Hurston 97")</f>
        <v>Hurston 97</v>
      </c>
      <c r="B458" s="1" t="str">
        <f>IFERROR(__xludf.DUMMYFUNCTION("""COMPUTED_VALUE"""),"Hurston 108")</f>
        <v>Hurston 108</v>
      </c>
      <c r="C458" s="1" t="str">
        <f>IFERROR(__xludf.DUMMYFUNCTION("""COMPUTED_VALUE"""),"Hurston 58")</f>
        <v>Hurston 58</v>
      </c>
      <c r="D458" s="1" t="str">
        <f>IFERROR(__xludf.DUMMYFUNCTION("""COMPUTED_VALUE"""),"Sand Cave BAN")</f>
        <v>Sand Cave BAN</v>
      </c>
      <c r="E458" s="30" t="str">
        <f>IFERROR(__xludf.DUMMYFUNCTION("""COMPUTED_VALUE"""),"SCave BAN")</f>
        <v>SCave BAN</v>
      </c>
      <c r="F458" s="10">
        <f>IFERROR(__xludf.DUMMYFUNCTION("""COMPUTED_VALUE"""),100.201785122999)</f>
        <v>100.201785122999</v>
      </c>
      <c r="G458" s="10">
        <f>IFERROR(__xludf.DUMMYFUNCTION("""COMPUTED_VALUE"""),8.47903302)</f>
        <v>8.47903302</v>
      </c>
      <c r="H458" s="10">
        <f>IFERROR(__xludf.DUMMYFUNCTION("""COMPUTED_VALUE"""),-995.842686381999)</f>
        <v>-995.842686381999</v>
      </c>
      <c r="I458" s="13"/>
      <c r="J458" s="13"/>
      <c r="K458" s="13"/>
      <c r="L458" s="13"/>
      <c r="M458" s="1" t="b">
        <f>IFERROR(__xludf.DUMMYFUNCTION("""COMPUTED_VALUE"""),FALSE)</f>
        <v>0</v>
      </c>
      <c r="N458" s="10">
        <f>IFERROR(__xludf.DUMMYFUNCTION("""COMPUTED_VALUE"""),0)</f>
        <v>0</v>
      </c>
      <c r="O458" s="10">
        <f>IFERROR(__xludf.DUMMYFUNCTION("""COMPUTED_VALUE"""),0)</f>
        <v>0</v>
      </c>
      <c r="P458" s="10"/>
      <c r="Q458" s="30"/>
      <c r="R458" s="18"/>
      <c r="S458" s="19"/>
      <c r="T458" s="10"/>
      <c r="U458" s="10"/>
      <c r="V458" s="10"/>
      <c r="W458" s="10"/>
      <c r="X458" s="19"/>
      <c r="Y458" s="1"/>
      <c r="Z458" s="1"/>
      <c r="AA458" s="1"/>
    </row>
    <row r="459" customHeight="1" spans="1:27">
      <c r="A459" s="1" t="str">
        <f>IFERROR(__xludf.DUMMYFUNCTION("""COMPUTED_VALUE"""),"Hurston 95")</f>
        <v>Hurston 95</v>
      </c>
      <c r="B459" s="1" t="str">
        <f>IFERROR(__xludf.DUMMYFUNCTION("""COMPUTED_VALUE"""),"Hurston 106")</f>
        <v>Hurston 106</v>
      </c>
      <c r="C459" s="1" t="str">
        <f>IFERROR(__xludf.DUMMYFUNCTION("""COMPUTED_VALUE"""),"Hurston 69")</f>
        <v>Hurston 69</v>
      </c>
      <c r="D459" s="1" t="str">
        <f>IFERROR(__xludf.DUMMYFUNCTION("""COMPUTED_VALUE"""),"Sand Cave AZN-307")</f>
        <v>Sand Cave AZN-307</v>
      </c>
      <c r="E459" s="30" t="str">
        <f>IFERROR(__xludf.DUMMYFUNCTION("""COMPUTED_VALUE"""),"SCave AZN-307")</f>
        <v>SCave AZN-307</v>
      </c>
      <c r="F459" s="10">
        <f>IFERROR(__xludf.DUMMYFUNCTION("""COMPUTED_VALUE"""),87.843186725)</f>
        <v>87.843186725</v>
      </c>
      <c r="G459" s="10">
        <f>IFERROR(__xludf.DUMMYFUNCTION("""COMPUTED_VALUE"""),-43.81691266)</f>
        <v>-43.81691266</v>
      </c>
      <c r="H459" s="10">
        <f>IFERROR(__xludf.DUMMYFUNCTION("""COMPUTED_VALUE"""),-996.015868871)</f>
        <v>-996.015868871</v>
      </c>
      <c r="I459" s="13"/>
      <c r="J459" s="13"/>
      <c r="K459" s="13"/>
      <c r="L459" s="13"/>
      <c r="M459" s="1" t="b">
        <f>IFERROR(__xludf.DUMMYFUNCTION("""COMPUTED_VALUE"""),FALSE)</f>
        <v>0</v>
      </c>
      <c r="N459" s="10">
        <f>IFERROR(__xludf.DUMMYFUNCTION("""COMPUTED_VALUE"""),0)</f>
        <v>0</v>
      </c>
      <c r="O459" s="10">
        <f>IFERROR(__xludf.DUMMYFUNCTION("""COMPUTED_VALUE"""),0)</f>
        <v>0</v>
      </c>
      <c r="P459" s="10"/>
      <c r="Q459" s="30"/>
      <c r="R459" s="18"/>
      <c r="S459" s="19"/>
      <c r="T459" s="10"/>
      <c r="U459" s="10"/>
      <c r="V459" s="10"/>
      <c r="W459" s="10"/>
      <c r="X459" s="19"/>
      <c r="Y459" s="1"/>
      <c r="Z459" s="1"/>
      <c r="AA459" s="1"/>
    </row>
    <row r="460" customHeight="1" spans="1:27">
      <c r="A460" s="1" t="str">
        <f>IFERROR(__xludf.DUMMYFUNCTION("""COMPUTED_VALUE"""),"Hurston 67")</f>
        <v>Hurston 67</v>
      </c>
      <c r="B460" s="1" t="str">
        <f>IFERROR(__xludf.DUMMYFUNCTION("""COMPUTED_VALUE"""),"Hurston 78")</f>
        <v>Hurston 78</v>
      </c>
      <c r="C460" s="1" t="str">
        <f>IFERROR(__xludf.DUMMYFUNCTION("""COMPUTED_VALUE"""),"Hurston 83")</f>
        <v>Hurston 83</v>
      </c>
      <c r="D460" s="1" t="str">
        <f>IFERROR(__xludf.DUMMYFUNCTION("""COMPUTED_VALUE"""),"Sand Cave 19C")</f>
        <v>Sand Cave 19C</v>
      </c>
      <c r="E460" s="30" t="str">
        <f>IFERROR(__xludf.DUMMYFUNCTION("""COMPUTED_VALUE"""),"SCave 19C")</f>
        <v>SCave 19C</v>
      </c>
      <c r="F460" s="10">
        <f>IFERROR(__xludf.DUMMYFUNCTION("""COMPUTED_VALUE"""),68.700863505)</f>
        <v>68.700863505</v>
      </c>
      <c r="G460" s="10">
        <f>IFERROR(__xludf.DUMMYFUNCTION("""COMPUTED_VALUE"""),-207.762859078999)</f>
        <v>-207.762859078999</v>
      </c>
      <c r="H460" s="10">
        <f>IFERROR(__xludf.DUMMYFUNCTION("""COMPUTED_VALUE"""),-976.382750581)</f>
        <v>-976.382750581</v>
      </c>
      <c r="I460" s="13"/>
      <c r="J460" s="13"/>
      <c r="K460" s="13"/>
      <c r="L460" s="13"/>
      <c r="M460" s="1" t="b">
        <f>IFERROR(__xludf.DUMMYFUNCTION("""COMPUTED_VALUE"""),FALSE)</f>
        <v>0</v>
      </c>
      <c r="N460" s="10">
        <f>IFERROR(__xludf.DUMMYFUNCTION("""COMPUTED_VALUE"""),0)</f>
        <v>0</v>
      </c>
      <c r="O460" s="10">
        <f>IFERROR(__xludf.DUMMYFUNCTION("""COMPUTED_VALUE"""),0)</f>
        <v>0</v>
      </c>
      <c r="P460" s="10"/>
      <c r="Q460" s="30"/>
      <c r="R460" s="18"/>
      <c r="S460" s="19"/>
      <c r="T460" s="10"/>
      <c r="U460" s="10"/>
      <c r="V460" s="10"/>
      <c r="W460" s="10"/>
      <c r="X460" s="19"/>
      <c r="Y460" s="1"/>
      <c r="Z460" s="1"/>
      <c r="AA460" s="1"/>
    </row>
    <row r="461" customHeight="1" spans="1:27">
      <c r="A461" s="1" t="str">
        <f>IFERROR(__xludf.DUMMYFUNCTION("""COMPUTED_VALUE"""),"Hurston")</f>
        <v>Hurston</v>
      </c>
      <c r="B461" s="1" t="str">
        <f>IFERROR(__xludf.DUMMYFUNCTION("""COMPUTED_VALUE"""),"Hurston 111")</f>
        <v>Hurston 111</v>
      </c>
      <c r="C461" s="1"/>
      <c r="D461" s="1" t="str">
        <f>IFERROR(__xludf.DUMMYFUNCTION("""COMPUTED_VALUE"""),"Wrecks")</f>
        <v>Wrecks</v>
      </c>
      <c r="E461" s="30"/>
      <c r="F461" s="10"/>
      <c r="G461" s="10"/>
      <c r="H461" s="10"/>
      <c r="I461" s="13"/>
      <c r="J461" s="13"/>
      <c r="K461" s="13"/>
      <c r="L461" s="13"/>
      <c r="M461" s="1"/>
      <c r="N461" s="10"/>
      <c r="O461" s="10"/>
      <c r="P461" s="10"/>
      <c r="Q461" s="30"/>
      <c r="R461" s="18"/>
      <c r="S461" s="19"/>
      <c r="T461" s="10"/>
      <c r="U461" s="10"/>
      <c r="V461" s="10"/>
      <c r="W461" s="10"/>
      <c r="X461" s="19"/>
      <c r="Y461" s="1"/>
      <c r="Z461" s="1"/>
      <c r="AA461" s="1"/>
    </row>
    <row r="462" customHeight="1" spans="1:27">
      <c r="A462" s="1" t="str">
        <f>IFERROR(__xludf.DUMMYFUNCTION("""COMPUTED_VALUE"""),"Hurston 101")</f>
        <v>Hurston 101</v>
      </c>
      <c r="B462" s="1" t="str">
        <f>IFERROR(__xludf.DUMMYFUNCTION("""COMPUTED_VALUE"""),"Hurston 114")</f>
        <v>Hurston 114</v>
      </c>
      <c r="C462" s="1" t="str">
        <f>IFERROR(__xludf.DUMMYFUNCTION("""COMPUTED_VALUE"""),"Hurston 93")</f>
        <v>Hurston 93</v>
      </c>
      <c r="D462" s="1" t="str">
        <f>IFERROR(__xludf.DUMMYFUNCTION("""COMPUTED_VALUE"""),"Caterpillar Wreck 15P")</f>
        <v>Caterpillar Wreck 15P</v>
      </c>
      <c r="E462" s="30" t="str">
        <f>IFERROR(__xludf.DUMMYFUNCTION("""COMPUTED_VALUE"""),"Caterpillar 15P")</f>
        <v>Caterpillar 15P</v>
      </c>
      <c r="F462" s="10">
        <f>IFERROR(__xludf.DUMMYFUNCTION("""COMPUTED_VALUE"""),-44.66930563068)</f>
        <v>-44.66930563068</v>
      </c>
      <c r="G462" s="10">
        <f>IFERROR(__xludf.DUMMYFUNCTION("""COMPUTED_VALUE"""),-971.5736455145)</f>
        <v>-971.5736455145</v>
      </c>
      <c r="H462" s="10">
        <f>IFERROR(__xludf.DUMMYFUNCTION("""COMPUTED_VALUE"""),232.540911160035)</f>
        <v>232.540911160035</v>
      </c>
      <c r="I462" s="13"/>
      <c r="J462" s="13"/>
      <c r="K462" s="13"/>
      <c r="L462" s="13"/>
      <c r="M462" s="1" t="b">
        <f>IFERROR(__xludf.DUMMYFUNCTION("""COMPUTED_VALUE"""),FALSE)</f>
        <v>0</v>
      </c>
      <c r="N462" s="10">
        <f>IFERROR(__xludf.DUMMYFUNCTION("""COMPUTED_VALUE"""),0)</f>
        <v>0</v>
      </c>
      <c r="O462" s="10">
        <f>IFERROR(__xludf.DUMMYFUNCTION("""COMPUTED_VALUE"""),0)</f>
        <v>0</v>
      </c>
      <c r="P462" s="10"/>
      <c r="Q462" s="30"/>
      <c r="R462" s="18"/>
      <c r="S462" s="19"/>
      <c r="T462" s="10"/>
      <c r="U462" s="10"/>
      <c r="V462" s="10"/>
      <c r="W462" s="10"/>
      <c r="X462" s="19"/>
      <c r="Y462" s="1"/>
      <c r="Z462" s="1"/>
      <c r="AA462" s="1"/>
    </row>
    <row r="463" customHeight="1" spans="1:27">
      <c r="A463" s="1" t="str">
        <f>IFERROR(__xludf.DUMMYFUNCTION("""COMPUTED_VALUE"""),"Hurston 100")</f>
        <v>Hurston 100</v>
      </c>
      <c r="B463" s="1" t="str">
        <f>IFERROR(__xludf.DUMMYFUNCTION("""COMPUTED_VALUE"""),"Hurston 113")</f>
        <v>Hurston 113</v>
      </c>
      <c r="C463" s="1" t="str">
        <f>IFERROR(__xludf.DUMMYFUNCTION("""COMPUTED_VALUE"""),"Hurston 115")</f>
        <v>Hurston 115</v>
      </c>
      <c r="D463" s="1" t="str">
        <f>IFERROR(__xludf.DUMMYFUNCTION("""COMPUTED_VALUE"""),"Caterpillar Wreck 08L")</f>
        <v>Caterpillar Wreck 08L</v>
      </c>
      <c r="E463" s="30" t="str">
        <f>IFERROR(__xludf.DUMMYFUNCTION("""COMPUTED_VALUE"""),"Caterpillar 08L")</f>
        <v>Caterpillar 08L</v>
      </c>
      <c r="F463" s="10">
        <f>IFERROR(__xludf.DUMMYFUNCTION("""COMPUTED_VALUE"""),-653.836064629597)</f>
        <v>-653.836064629597</v>
      </c>
      <c r="G463" s="10">
        <f>IFERROR(__xludf.DUMMYFUNCTION("""COMPUTED_VALUE"""),-717.664502337491)</f>
        <v>-717.664502337491</v>
      </c>
      <c r="H463" s="10">
        <f>IFERROR(__xludf.DUMMYFUNCTION("""COMPUTED_VALUE"""),-245.715641425315)</f>
        <v>-245.715641425315</v>
      </c>
      <c r="I463" s="13"/>
      <c r="J463" s="13"/>
      <c r="K463" s="13"/>
      <c r="L463" s="13"/>
      <c r="M463" s="1" t="b">
        <f>IFERROR(__xludf.DUMMYFUNCTION("""COMPUTED_VALUE"""),FALSE)</f>
        <v>0</v>
      </c>
      <c r="N463" s="10">
        <f>IFERROR(__xludf.DUMMYFUNCTION("""COMPUTED_VALUE"""),0)</f>
        <v>0</v>
      </c>
      <c r="O463" s="10">
        <f>IFERROR(__xludf.DUMMYFUNCTION("""COMPUTED_VALUE"""),0)</f>
        <v>0</v>
      </c>
      <c r="P463" s="10"/>
      <c r="Q463" s="30"/>
      <c r="R463" s="18"/>
      <c r="S463" s="19"/>
      <c r="T463" s="10"/>
      <c r="U463" s="10"/>
      <c r="V463" s="10"/>
      <c r="W463" s="10"/>
      <c r="X463" s="19"/>
      <c r="Y463" s="1"/>
      <c r="Z463" s="1"/>
      <c r="AA463" s="1"/>
    </row>
    <row r="464" customHeight="1" spans="1:27">
      <c r="A464" s="1" t="str">
        <f>IFERROR(__xludf.DUMMYFUNCTION("""COMPUTED_VALUE"""),"Hurston 102")</f>
        <v>Hurston 102</v>
      </c>
      <c r="B464" s="1" t="str">
        <f>IFERROR(__xludf.DUMMYFUNCTION("""COMPUTED_VALUE"""),"Hurston 115")</f>
        <v>Hurston 115</v>
      </c>
      <c r="C464" s="1" t="str">
        <f>IFERROR(__xludf.DUMMYFUNCTION("""COMPUTED_VALUE"""),"Hurston 52")</f>
        <v>Hurston 52</v>
      </c>
      <c r="D464" s="1" t="str">
        <f>IFERROR(__xludf.DUMMYFUNCTION("""COMPUTED_VALUE"""),"Caterpillar Wreck 38K")</f>
        <v>Caterpillar Wreck 38K</v>
      </c>
      <c r="E464" s="30" t="str">
        <f>IFERROR(__xludf.DUMMYFUNCTION("""COMPUTED_VALUE"""),"Caterpillar 38K")</f>
        <v>Caterpillar 38K</v>
      </c>
      <c r="F464" s="10">
        <f>IFERROR(__xludf.DUMMYFUNCTION("""COMPUTED_VALUE"""),646.06156703725)</f>
        <v>646.06156703725</v>
      </c>
      <c r="G464" s="10">
        <f>IFERROR(__xludf.DUMMYFUNCTION("""COMPUTED_VALUE"""),649.616754562218)</f>
        <v>649.616754562218</v>
      </c>
      <c r="H464" s="10">
        <f>IFERROR(__xludf.DUMMYFUNCTION("""COMPUTED_VALUE"""),-404.153627838346)</f>
        <v>-404.153627838346</v>
      </c>
      <c r="I464" s="13"/>
      <c r="J464" s="13"/>
      <c r="K464" s="13"/>
      <c r="L464" s="13"/>
      <c r="M464" s="1" t="b">
        <f>IFERROR(__xludf.DUMMYFUNCTION("""COMPUTED_VALUE"""),FALSE)</f>
        <v>0</v>
      </c>
      <c r="N464" s="10">
        <f>IFERROR(__xludf.DUMMYFUNCTION("""COMPUTED_VALUE"""),0)</f>
        <v>0</v>
      </c>
      <c r="O464" s="10">
        <f>IFERROR(__xludf.DUMMYFUNCTION("""COMPUTED_VALUE"""),0)</f>
        <v>0</v>
      </c>
      <c r="P464" s="10"/>
      <c r="Q464" s="30"/>
      <c r="R464" s="18"/>
      <c r="S464" s="19"/>
      <c r="T464" s="10"/>
      <c r="U464" s="10"/>
      <c r="V464" s="10"/>
      <c r="W464" s="10"/>
      <c r="X464" s="19"/>
      <c r="Y464" s="1"/>
      <c r="Z464" s="1"/>
      <c r="AA464" s="1"/>
    </row>
    <row r="465" customHeight="1" spans="1:27">
      <c r="A465" s="1" t="str">
        <f>IFERROR(__xludf.DUMMYFUNCTION("""COMPUTED_VALUE"""),"Hurston 99")</f>
        <v>Hurston 99</v>
      </c>
      <c r="B465" s="1" t="str">
        <f>IFERROR(__xludf.DUMMYFUNCTION("""COMPUTED_VALUE"""),"Hurston 112")</f>
        <v>Hurston 112</v>
      </c>
      <c r="C465" s="1" t="str">
        <f>IFERROR(__xludf.DUMMYFUNCTION("""COMPUTED_VALUE"""),"Hurston 133")</f>
        <v>Hurston 133</v>
      </c>
      <c r="D465" s="1" t="str">
        <f>IFERROR(__xludf.DUMMYFUNCTION("""COMPUTED_VALUE"""),"Caterpillar Wreck 04J")</f>
        <v>Caterpillar Wreck 04J</v>
      </c>
      <c r="E465" s="30" t="str">
        <f>IFERROR(__xludf.DUMMYFUNCTION("""COMPUTED_VALUE"""),"Caterpillar 04J")</f>
        <v>Caterpillar 04J</v>
      </c>
      <c r="F465" s="10">
        <f>IFERROR(__xludf.DUMMYFUNCTION("""COMPUTED_VALUE"""),-815.733205656471)</f>
        <v>-815.733205656471</v>
      </c>
      <c r="G465" s="10">
        <f>IFERROR(__xludf.DUMMYFUNCTION("""COMPUTED_VALUE"""),-287.103725140313)</f>
        <v>-287.103725140313</v>
      </c>
      <c r="H465" s="10">
        <f>IFERROR(__xludf.DUMMYFUNCTION("""COMPUTED_VALUE"""),-503.888823715484)</f>
        <v>-503.888823715484</v>
      </c>
      <c r="I465" s="13"/>
      <c r="J465" s="13"/>
      <c r="K465" s="13"/>
      <c r="L465" s="13"/>
      <c r="M465" s="1" t="b">
        <f>IFERROR(__xludf.DUMMYFUNCTION("""COMPUTED_VALUE"""),FALSE)</f>
        <v>0</v>
      </c>
      <c r="N465" s="10">
        <f>IFERROR(__xludf.DUMMYFUNCTION("""COMPUTED_VALUE"""),0)</f>
        <v>0</v>
      </c>
      <c r="O465" s="10">
        <f>IFERROR(__xludf.DUMMYFUNCTION("""COMPUTED_VALUE"""),0)</f>
        <v>0</v>
      </c>
      <c r="P465" s="10"/>
      <c r="Q465" s="30"/>
      <c r="R465" s="18"/>
      <c r="S465" s="19"/>
      <c r="T465" s="10"/>
      <c r="U465" s="10"/>
      <c r="V465" s="10"/>
      <c r="W465" s="10"/>
      <c r="X465" s="19"/>
      <c r="Y465" s="1"/>
      <c r="Z465" s="1"/>
      <c r="AA465" s="1"/>
    </row>
    <row r="466" customHeight="1" spans="1:27">
      <c r="A466" s="1" t="str">
        <f>IFERROR(__xludf.DUMMYFUNCTION("""COMPUTED_VALUE"""),"Hurston 106")</f>
        <v>Hurston 106</v>
      </c>
      <c r="B466" s="1" t="str">
        <f>IFERROR(__xludf.DUMMYFUNCTION("""COMPUTED_VALUE"""),"Hurston 119")</f>
        <v>Hurston 119</v>
      </c>
      <c r="C466" s="1" t="str">
        <f>IFERROR(__xludf.DUMMYFUNCTION("""COMPUTED_VALUE"""),"Hurston 08")</f>
        <v>Hurston 08</v>
      </c>
      <c r="D466" s="1" t="str">
        <f>IFERROR(__xludf.DUMMYFUNCTION("""COMPUTED_VALUE"""),"Constellation Wreck 57T")</f>
        <v>Constellation Wreck 57T</v>
      </c>
      <c r="E466" s="30" t="str">
        <f>IFERROR(__xludf.DUMMYFUNCTION("""COMPUTED_VALUE"""),"Constellation 57T")</f>
        <v>Constellation 57T</v>
      </c>
      <c r="F466" s="10">
        <f>IFERROR(__xludf.DUMMYFUNCTION("""COMPUTED_VALUE"""),-699.893436651905)</f>
        <v>-699.893436651905</v>
      </c>
      <c r="G466" s="10">
        <f>IFERROR(__xludf.DUMMYFUNCTION("""COMPUTED_VALUE"""),264.863687179051)</f>
        <v>264.863687179051</v>
      </c>
      <c r="H466" s="10">
        <f>IFERROR(__xludf.DUMMYFUNCTION("""COMPUTED_VALUE"""),663.971311695433)</f>
        <v>663.971311695433</v>
      </c>
      <c r="I466" s="13"/>
      <c r="J466" s="13"/>
      <c r="K466" s="13"/>
      <c r="L466" s="13"/>
      <c r="M466" s="1" t="b">
        <f>IFERROR(__xludf.DUMMYFUNCTION("""COMPUTED_VALUE"""),FALSE)</f>
        <v>0</v>
      </c>
      <c r="N466" s="10">
        <f>IFERROR(__xludf.DUMMYFUNCTION("""COMPUTED_VALUE"""),0)</f>
        <v>0</v>
      </c>
      <c r="O466" s="10">
        <f>IFERROR(__xludf.DUMMYFUNCTION("""COMPUTED_VALUE"""),0)</f>
        <v>0</v>
      </c>
      <c r="P466" s="10"/>
      <c r="Q466" s="30"/>
      <c r="R466" s="18"/>
      <c r="S466" s="19"/>
      <c r="T466" s="10"/>
      <c r="U466" s="10"/>
      <c r="V466" s="10"/>
      <c r="W466" s="10"/>
      <c r="X466" s="19"/>
      <c r="Y466" s="1"/>
      <c r="Z466" s="1"/>
      <c r="AA466" s="1"/>
    </row>
    <row r="467" customHeight="1" spans="1:27">
      <c r="A467" s="1" t="str">
        <f>IFERROR(__xludf.DUMMYFUNCTION("""COMPUTED_VALUE"""),"Hurston 104")</f>
        <v>Hurston 104</v>
      </c>
      <c r="B467" s="1" t="str">
        <f>IFERROR(__xludf.DUMMYFUNCTION("""COMPUTED_VALUE"""),"Hurston 117")</f>
        <v>Hurston 117</v>
      </c>
      <c r="C467" s="1" t="str">
        <f>IFERROR(__xludf.DUMMYFUNCTION("""COMPUTED_VALUE"""),"Hurston 81")</f>
        <v>Hurston 81</v>
      </c>
      <c r="D467" s="1" t="str">
        <f>IFERROR(__xludf.DUMMYFUNCTION("""COMPUTED_VALUE"""),"Constellation Wreck 19K")</f>
        <v>Constellation Wreck 19K</v>
      </c>
      <c r="E467" s="30" t="str">
        <f>IFERROR(__xludf.DUMMYFUNCTION("""COMPUTED_VALUE"""),"Constellation 19K")</f>
        <v>Constellation 19K</v>
      </c>
      <c r="F467" s="10">
        <f>IFERROR(__xludf.DUMMYFUNCTION("""COMPUTED_VALUE"""),359.032124048129)</f>
        <v>359.032124048129</v>
      </c>
      <c r="G467" s="10">
        <f>IFERROR(__xludf.DUMMYFUNCTION("""COMPUTED_VALUE"""),-881.816060162119)</f>
        <v>-881.816060162119</v>
      </c>
      <c r="H467" s="10">
        <f>IFERROR(__xludf.DUMMYFUNCTION("""COMPUTED_VALUE"""),-308.451999182228)</f>
        <v>-308.451999182228</v>
      </c>
      <c r="I467" s="13"/>
      <c r="J467" s="13"/>
      <c r="K467" s="13"/>
      <c r="L467" s="13"/>
      <c r="M467" s="1" t="b">
        <f>IFERROR(__xludf.DUMMYFUNCTION("""COMPUTED_VALUE"""),FALSE)</f>
        <v>0</v>
      </c>
      <c r="N467" s="10">
        <f>IFERROR(__xludf.DUMMYFUNCTION("""COMPUTED_VALUE"""),0)</f>
        <v>0</v>
      </c>
      <c r="O467" s="10">
        <f>IFERROR(__xludf.DUMMYFUNCTION("""COMPUTED_VALUE"""),0)</f>
        <v>0</v>
      </c>
      <c r="P467" s="10"/>
      <c r="Q467" s="30"/>
      <c r="R467" s="18"/>
      <c r="S467" s="19"/>
      <c r="T467" s="10"/>
      <c r="U467" s="10"/>
      <c r="V467" s="10"/>
      <c r="W467" s="10"/>
      <c r="X467" s="19"/>
      <c r="Y467" s="1"/>
      <c r="Z467" s="1"/>
      <c r="AA467" s="1"/>
    </row>
    <row r="468" customHeight="1" spans="1:27">
      <c r="A468" s="1" t="str">
        <f>IFERROR(__xludf.DUMMYFUNCTION("""COMPUTED_VALUE"""),"Hurston 103")</f>
        <v>Hurston 103</v>
      </c>
      <c r="B468" s="1" t="str">
        <f>IFERROR(__xludf.DUMMYFUNCTION("""COMPUTED_VALUE"""),"Hurston 116")</f>
        <v>Hurston 116</v>
      </c>
      <c r="C468" s="1" t="str">
        <f>IFERROR(__xludf.DUMMYFUNCTION("""COMPUTED_VALUE"""),"Hurston 95")</f>
        <v>Hurston 95</v>
      </c>
      <c r="D468" s="1" t="str">
        <f>IFERROR(__xludf.DUMMYFUNCTION("""COMPUTED_VALUE"""),"Constellation Wreck 14J")</f>
        <v>Constellation Wreck 14J</v>
      </c>
      <c r="E468" s="30" t="str">
        <f>IFERROR(__xludf.DUMMYFUNCTION("""COMPUTED_VALUE"""),"Constellation 14J")</f>
        <v>Constellation 14J</v>
      </c>
      <c r="F468" s="10">
        <f>IFERROR(__xludf.DUMMYFUNCTION("""COMPUTED_VALUE"""),-131.882323481838)</f>
        <v>-131.882323481838</v>
      </c>
      <c r="G468" s="10">
        <f>IFERROR(__xludf.DUMMYFUNCTION("""COMPUTED_VALUE"""),-882.095406444197)</f>
        <v>-882.095406444197</v>
      </c>
      <c r="H468" s="10">
        <f>IFERROR(__xludf.DUMMYFUNCTION("""COMPUTED_VALUE"""),-452.240015328052)</f>
        <v>-452.240015328052</v>
      </c>
      <c r="I468" s="13"/>
      <c r="J468" s="13"/>
      <c r="K468" s="13"/>
      <c r="L468" s="13"/>
      <c r="M468" s="1" t="b">
        <f>IFERROR(__xludf.DUMMYFUNCTION("""COMPUTED_VALUE"""),FALSE)</f>
        <v>0</v>
      </c>
      <c r="N468" s="10">
        <f>IFERROR(__xludf.DUMMYFUNCTION("""COMPUTED_VALUE"""),0)</f>
        <v>0</v>
      </c>
      <c r="O468" s="10">
        <f>IFERROR(__xludf.DUMMYFUNCTION("""COMPUTED_VALUE"""),0)</f>
        <v>0</v>
      </c>
      <c r="P468" s="10"/>
      <c r="Q468" s="30"/>
      <c r="R468" s="18"/>
      <c r="S468" s="19"/>
      <c r="T468" s="10"/>
      <c r="U468" s="10"/>
      <c r="V468" s="10"/>
      <c r="W468" s="10"/>
      <c r="X468" s="19"/>
      <c r="Y468" s="1"/>
      <c r="Z468" s="1"/>
      <c r="AA468" s="1"/>
    </row>
    <row r="469" customHeight="1" spans="1:27">
      <c r="A469" s="1" t="str">
        <f>IFERROR(__xludf.DUMMYFUNCTION("""COMPUTED_VALUE"""),"Hurston 105")</f>
        <v>Hurston 105</v>
      </c>
      <c r="B469" s="1" t="str">
        <f>IFERROR(__xludf.DUMMYFUNCTION("""COMPUTED_VALUE"""),"Hurston 118")</f>
        <v>Hurston 118</v>
      </c>
      <c r="C469" s="1" t="str">
        <f>IFERROR(__xludf.DUMMYFUNCTION("""COMPUTED_VALUE"""),"Hurston 39")</f>
        <v>Hurston 39</v>
      </c>
      <c r="D469" s="1" t="str">
        <f>IFERROR(__xludf.DUMMYFUNCTION("""COMPUTED_VALUE"""),"Constellation Wreck 46J")</f>
        <v>Constellation Wreck 46J</v>
      </c>
      <c r="E469" s="30" t="str">
        <f>IFERROR(__xludf.DUMMYFUNCTION("""COMPUTED_VALUE"""),"Constellation 46J")</f>
        <v>Constellation 46J</v>
      </c>
      <c r="F469" s="10">
        <f>IFERROR(__xludf.DUMMYFUNCTION("""COMPUTED_VALUE"""),-63.743360739971)</f>
        <v>-63.743360739971</v>
      </c>
      <c r="G469" s="10">
        <f>IFERROR(__xludf.DUMMYFUNCTION("""COMPUTED_VALUE"""),873.126143696719)</f>
        <v>873.126143696719</v>
      </c>
      <c r="H469" s="10">
        <f>IFERROR(__xludf.DUMMYFUNCTION("""COMPUTED_VALUE"""),-486.42035416598)</f>
        <v>-486.42035416598</v>
      </c>
      <c r="I469" s="13"/>
      <c r="J469" s="13"/>
      <c r="K469" s="13"/>
      <c r="L469" s="13"/>
      <c r="M469" s="1" t="b">
        <f>IFERROR(__xludf.DUMMYFUNCTION("""COMPUTED_VALUE"""),FALSE)</f>
        <v>0</v>
      </c>
      <c r="N469" s="10">
        <f>IFERROR(__xludf.DUMMYFUNCTION("""COMPUTED_VALUE"""),0)</f>
        <v>0</v>
      </c>
      <c r="O469" s="10">
        <f>IFERROR(__xludf.DUMMYFUNCTION("""COMPUTED_VALUE"""),0)</f>
        <v>0</v>
      </c>
      <c r="P469" s="10"/>
      <c r="Q469" s="30"/>
      <c r="R469" s="18"/>
      <c r="S469" s="19"/>
      <c r="T469" s="10"/>
      <c r="U469" s="10"/>
      <c r="V469" s="10"/>
      <c r="W469" s="10"/>
      <c r="X469" s="19"/>
      <c r="Y469" s="1"/>
      <c r="Z469" s="1"/>
      <c r="AA469" s="1"/>
    </row>
    <row r="470" customHeight="1" spans="1:27">
      <c r="A470" s="1" t="str">
        <f>IFERROR(__xludf.DUMMYFUNCTION("""COMPUTED_VALUE"""),"Hurston 108")</f>
        <v>Hurston 108</v>
      </c>
      <c r="B470" s="1" t="str">
        <f>IFERROR(__xludf.DUMMYFUNCTION("""COMPUTED_VALUE"""),"Hurston 121")</f>
        <v>Hurston 121</v>
      </c>
      <c r="C470" s="1" t="str">
        <f>IFERROR(__xludf.DUMMYFUNCTION("""COMPUTED_VALUE"""),"Hurston 132")</f>
        <v>Hurston 132</v>
      </c>
      <c r="D470" s="1" t="str">
        <f>IFERROR(__xludf.DUMMYFUNCTION("""COMPUTED_VALUE"""),"Cutlass Wreck 04T")</f>
        <v>Cutlass Wreck 04T</v>
      </c>
      <c r="E470" s="30" t="str">
        <f>IFERROR(__xludf.DUMMYFUNCTION("""COMPUTED_VALUE"""),"Cutlass 04T")</f>
        <v>Cutlass 04T</v>
      </c>
      <c r="F470" s="10">
        <f>IFERROR(__xludf.DUMMYFUNCTION("""COMPUTED_VALUE"""),-667.749930954357)</f>
        <v>-667.749930954357</v>
      </c>
      <c r="G470" s="10">
        <f>IFERROR(__xludf.DUMMYFUNCTION("""COMPUTED_VALUE"""),-271.843434835245)</f>
        <v>-271.843434835245</v>
      </c>
      <c r="H470" s="10">
        <f>IFERROR(__xludf.DUMMYFUNCTION("""COMPUTED_VALUE"""),694.431805692807)</f>
        <v>694.431805692807</v>
      </c>
      <c r="I470" s="13"/>
      <c r="J470" s="13"/>
      <c r="K470" s="13"/>
      <c r="L470" s="13"/>
      <c r="M470" s="1" t="b">
        <f>IFERROR(__xludf.DUMMYFUNCTION("""COMPUTED_VALUE"""),FALSE)</f>
        <v>0</v>
      </c>
      <c r="N470" s="10">
        <f>IFERROR(__xludf.DUMMYFUNCTION("""COMPUTED_VALUE"""),0)</f>
        <v>0</v>
      </c>
      <c r="O470" s="10">
        <f>IFERROR(__xludf.DUMMYFUNCTION("""COMPUTED_VALUE"""),0)</f>
        <v>0</v>
      </c>
      <c r="P470" s="10"/>
      <c r="Q470" s="30"/>
      <c r="R470" s="18"/>
      <c r="S470" s="19"/>
      <c r="T470" s="10"/>
      <c r="U470" s="10"/>
      <c r="V470" s="10"/>
      <c r="W470" s="10"/>
      <c r="X470" s="19"/>
      <c r="Y470" s="1"/>
      <c r="Z470" s="1"/>
      <c r="AA470" s="1"/>
    </row>
    <row r="471" customHeight="1" spans="1:27">
      <c r="A471" s="1" t="str">
        <f>IFERROR(__xludf.DUMMYFUNCTION("""COMPUTED_VALUE"""),"Hurston 107")</f>
        <v>Hurston 107</v>
      </c>
      <c r="B471" s="1" t="str">
        <f>IFERROR(__xludf.DUMMYFUNCTION("""COMPUTED_VALUE"""),"Hurston 120")</f>
        <v>Hurston 120</v>
      </c>
      <c r="C471" s="1" t="str">
        <f>IFERROR(__xludf.DUMMYFUNCTION("""COMPUTED_VALUE"""),"Hurston 143")</f>
        <v>Hurston 143</v>
      </c>
      <c r="D471" s="1" t="str">
        <f>IFERROR(__xludf.DUMMYFUNCTION("""COMPUTED_VALUE"""),"Cutlass Wreck 01H")</f>
        <v>Cutlass Wreck 01H</v>
      </c>
      <c r="E471" s="30" t="str">
        <f>IFERROR(__xludf.DUMMYFUNCTION("""COMPUTED_VALUE"""),"Cutlass 01H")</f>
        <v>Cutlass 01H</v>
      </c>
      <c r="F471" s="10">
        <f>IFERROR(__xludf.DUMMYFUNCTION("""COMPUTED_VALUE"""),-833.060995850064)</f>
        <v>-833.060995850064</v>
      </c>
      <c r="G471" s="10">
        <f>IFERROR(__xludf.DUMMYFUNCTION("""COMPUTED_VALUE"""),-68.423523096645)</f>
        <v>-68.423523096645</v>
      </c>
      <c r="H471" s="10">
        <f>IFERROR(__xludf.DUMMYFUNCTION("""COMPUTED_VALUE"""),-550.783434756244)</f>
        <v>-550.783434756244</v>
      </c>
      <c r="I471" s="13"/>
      <c r="J471" s="13"/>
      <c r="K471" s="13"/>
      <c r="L471" s="13"/>
      <c r="M471" s="1" t="b">
        <f>IFERROR(__xludf.DUMMYFUNCTION("""COMPUTED_VALUE"""),FALSE)</f>
        <v>0</v>
      </c>
      <c r="N471" s="10">
        <f>IFERROR(__xludf.DUMMYFUNCTION("""COMPUTED_VALUE"""),0)</f>
        <v>0</v>
      </c>
      <c r="O471" s="10">
        <f>IFERROR(__xludf.DUMMYFUNCTION("""COMPUTED_VALUE"""),0)</f>
        <v>0</v>
      </c>
      <c r="P471" s="10"/>
      <c r="Q471" s="30"/>
      <c r="R471" s="18"/>
      <c r="S471" s="19"/>
      <c r="T471" s="10"/>
      <c r="U471" s="10"/>
      <c r="V471" s="10"/>
      <c r="W471" s="10"/>
      <c r="X471" s="19"/>
      <c r="Y471" s="1"/>
      <c r="Z471" s="1"/>
      <c r="AA471" s="1"/>
    </row>
    <row r="472" customHeight="1" spans="1:27">
      <c r="A472" s="1" t="str">
        <f>IFERROR(__xludf.DUMMYFUNCTION("""COMPUTED_VALUE"""),"Hurston 110")</f>
        <v>Hurston 110</v>
      </c>
      <c r="B472" s="1" t="str">
        <f>IFERROR(__xludf.DUMMYFUNCTION("""COMPUTED_VALUE"""),"Hurston 123")</f>
        <v>Hurston 123</v>
      </c>
      <c r="C472" s="1" t="str">
        <f>IFERROR(__xludf.DUMMYFUNCTION("""COMPUTED_VALUE"""),"Hurston 16")</f>
        <v>Hurston 16</v>
      </c>
      <c r="D472" s="1" t="str">
        <f>IFERROR(__xludf.DUMMYFUNCTION("""COMPUTED_VALUE"""),"Cutlass Wreck 56F")</f>
        <v>Cutlass Wreck 56F</v>
      </c>
      <c r="E472" s="30" t="str">
        <f>IFERROR(__xludf.DUMMYFUNCTION("""COMPUTED_VALUE"""),"Cutlass 56F")</f>
        <v>Cutlass 56F</v>
      </c>
      <c r="F472" s="10">
        <f>IFERROR(__xludf.DUMMYFUNCTION("""COMPUTED_VALUE"""),-569.720995957476)</f>
        <v>-569.720995957476</v>
      </c>
      <c r="G472" s="10">
        <f>IFERROR(__xludf.DUMMYFUNCTION("""COMPUTED_VALUE"""),306.214935327215)</f>
        <v>306.214935327215</v>
      </c>
      <c r="H472" s="10">
        <f>IFERROR(__xludf.DUMMYFUNCTION("""COMPUTED_VALUE"""),-764.709744573911)</f>
        <v>-764.709744573911</v>
      </c>
      <c r="I472" s="13"/>
      <c r="J472" s="13"/>
      <c r="K472" s="13"/>
      <c r="L472" s="13"/>
      <c r="M472" s="1" t="b">
        <f>IFERROR(__xludf.DUMMYFUNCTION("""COMPUTED_VALUE"""),FALSE)</f>
        <v>0</v>
      </c>
      <c r="N472" s="10">
        <f>IFERROR(__xludf.DUMMYFUNCTION("""COMPUTED_VALUE"""),0)</f>
        <v>0</v>
      </c>
      <c r="O472" s="10">
        <f>IFERROR(__xludf.DUMMYFUNCTION("""COMPUTED_VALUE"""),0)</f>
        <v>0</v>
      </c>
      <c r="P472" s="10"/>
      <c r="Q472" s="30"/>
      <c r="R472" s="18"/>
      <c r="S472" s="19"/>
      <c r="T472" s="10"/>
      <c r="U472" s="10"/>
      <c r="V472" s="10"/>
      <c r="W472" s="10"/>
      <c r="X472" s="19"/>
      <c r="Y472" s="1"/>
      <c r="Z472" s="1"/>
      <c r="AA472" s="1"/>
    </row>
    <row r="473" customHeight="1" spans="1:27">
      <c r="A473" s="1" t="str">
        <f>IFERROR(__xludf.DUMMYFUNCTION("""COMPUTED_VALUE"""),"Hurston 109")</f>
        <v>Hurston 109</v>
      </c>
      <c r="B473" s="1" t="str">
        <f>IFERROR(__xludf.DUMMYFUNCTION("""COMPUTED_VALUE"""),"Hurston 122")</f>
        <v>Hurston 122</v>
      </c>
      <c r="C473" s="1" t="str">
        <f>IFERROR(__xludf.DUMMYFUNCTION("""COMPUTED_VALUE"""),"Hurston 73")</f>
        <v>Hurston 73</v>
      </c>
      <c r="D473" s="1" t="str">
        <f>IFERROR(__xludf.DUMMYFUNCTION("""COMPUTED_VALUE"""),"Cutlass Wreck 23D")</f>
        <v>Cutlass Wreck 23D</v>
      </c>
      <c r="E473" s="30" t="str">
        <f>IFERROR(__xludf.DUMMYFUNCTION("""COMPUTED_VALUE"""),"Cutlass 23D")</f>
        <v>Cutlass 23D</v>
      </c>
      <c r="F473" s="10">
        <f>IFERROR(__xludf.DUMMYFUNCTION("""COMPUTED_VALUE"""),261.157210994944)</f>
        <v>261.157210994944</v>
      </c>
      <c r="G473" s="10">
        <f>IFERROR(__xludf.DUMMYFUNCTION("""COMPUTED_VALUE"""),-269.430429499271)</f>
        <v>-269.430429499271</v>
      </c>
      <c r="H473" s="10">
        <f>IFERROR(__xludf.DUMMYFUNCTION("""COMPUTED_VALUE"""),-928.880347416925)</f>
        <v>-928.880347416925</v>
      </c>
      <c r="I473" s="13"/>
      <c r="J473" s="13"/>
      <c r="K473" s="13"/>
      <c r="L473" s="13"/>
      <c r="M473" s="1" t="b">
        <f>IFERROR(__xludf.DUMMYFUNCTION("""COMPUTED_VALUE"""),FALSE)</f>
        <v>0</v>
      </c>
      <c r="N473" s="10">
        <f>IFERROR(__xludf.DUMMYFUNCTION("""COMPUTED_VALUE"""),0)</f>
        <v>0</v>
      </c>
      <c r="O473" s="10">
        <f>IFERROR(__xludf.DUMMYFUNCTION("""COMPUTED_VALUE"""),0)</f>
        <v>0</v>
      </c>
      <c r="P473" s="10"/>
      <c r="Q473" s="30"/>
      <c r="R473" s="18"/>
      <c r="S473" s="19"/>
      <c r="T473" s="10"/>
      <c r="U473" s="10"/>
      <c r="V473" s="10"/>
      <c r="W473" s="10"/>
      <c r="X473" s="19"/>
      <c r="Y473" s="1"/>
      <c r="Z473" s="1"/>
      <c r="AA473" s="1"/>
    </row>
    <row r="474" customHeight="1" spans="1:27">
      <c r="A474" s="1" t="str">
        <f>IFERROR(__xludf.DUMMYFUNCTION("""COMPUTED_VALUE"""),"Hurston 111")</f>
        <v>Hurston 111</v>
      </c>
      <c r="B474" s="1" t="str">
        <f>IFERROR(__xludf.DUMMYFUNCTION("""COMPUTED_VALUE"""),"Hurston 124")</f>
        <v>Hurston 124</v>
      </c>
      <c r="C474" s="1" t="str">
        <f>IFERROR(__xludf.DUMMYFUNCTION("""COMPUTED_VALUE"""),"Hurston 74")</f>
        <v>Hurston 74</v>
      </c>
      <c r="D474" s="1" t="str">
        <f>IFERROR(__xludf.DUMMYFUNCTION("""COMPUTED_VALUE"""),"Freelancer Wreck 23N")</f>
        <v>Freelancer Wreck 23N</v>
      </c>
      <c r="E474" s="30" t="str">
        <f>IFERROR(__xludf.DUMMYFUNCTION("""COMPUTED_VALUE"""),"Freelancer 23N")</f>
        <v>Freelancer 23N</v>
      </c>
      <c r="F474" s="10">
        <f>IFERROR(__xludf.DUMMYFUNCTION("""COMPUTED_VALUE"""),674.898444088304)</f>
        <v>674.898444088304</v>
      </c>
      <c r="G474" s="10">
        <f>IFERROR(__xludf.DUMMYFUNCTION("""COMPUTED_VALUE"""),-737.051382195036)</f>
        <v>-737.051382195036</v>
      </c>
      <c r="H474" s="10">
        <f>IFERROR(__xludf.DUMMYFUNCTION("""COMPUTED_VALUE"""),45.595855913853)</f>
        <v>45.595855913853</v>
      </c>
      <c r="I474" s="13"/>
      <c r="J474" s="13"/>
      <c r="K474" s="13"/>
      <c r="L474" s="13"/>
      <c r="M474" s="1" t="b">
        <f>IFERROR(__xludf.DUMMYFUNCTION("""COMPUTED_VALUE"""),FALSE)</f>
        <v>0</v>
      </c>
      <c r="N474" s="10">
        <f>IFERROR(__xludf.DUMMYFUNCTION("""COMPUTED_VALUE"""),0)</f>
        <v>0</v>
      </c>
      <c r="O474" s="10">
        <f>IFERROR(__xludf.DUMMYFUNCTION("""COMPUTED_VALUE"""),0)</f>
        <v>0</v>
      </c>
      <c r="P474" s="10"/>
      <c r="Q474" s="30"/>
      <c r="R474" s="18"/>
      <c r="S474" s="19"/>
      <c r="T474" s="10"/>
      <c r="U474" s="10"/>
      <c r="V474" s="10"/>
      <c r="W474" s="10"/>
      <c r="X474" s="19"/>
      <c r="Y474" s="1"/>
      <c r="Z474" s="1"/>
      <c r="AA474" s="1"/>
    </row>
    <row r="475" customHeight="1" spans="1:27">
      <c r="A475" s="1" t="str">
        <f>IFERROR(__xludf.DUMMYFUNCTION("""COMPUTED_VALUE"""),"Hurston 112")</f>
        <v>Hurston 112</v>
      </c>
      <c r="B475" s="1" t="str">
        <f>IFERROR(__xludf.DUMMYFUNCTION("""COMPUTED_VALUE"""),"Hurston 125")</f>
        <v>Hurston 125</v>
      </c>
      <c r="C475" s="1" t="str">
        <f>IFERROR(__xludf.DUMMYFUNCTION("""COMPUTED_VALUE"""),"Hurston 56")</f>
        <v>Hurston 56</v>
      </c>
      <c r="D475" s="1" t="str">
        <f>IFERROR(__xludf.DUMMYFUNCTION("""COMPUTED_VALUE"""),"Freelancer Wreck 31P")</f>
        <v>Freelancer Wreck 31P</v>
      </c>
      <c r="E475" s="30" t="str">
        <f>IFERROR(__xludf.DUMMYFUNCTION("""COMPUTED_VALUE"""),"Freelancer 31P")</f>
        <v>Freelancer 31P</v>
      </c>
      <c r="F475" s="10">
        <f>IFERROR(__xludf.DUMMYFUNCTION("""COMPUTED_VALUE"""),977.427298894356)</f>
        <v>977.427298894356</v>
      </c>
      <c r="G475" s="10">
        <f>IFERROR(__xludf.DUMMYFUNCTION("""COMPUTED_VALUE"""),90.199903316372)</f>
        <v>90.199903316372</v>
      </c>
      <c r="H475" s="10">
        <f>IFERROR(__xludf.DUMMYFUNCTION("""COMPUTED_VALUE"""),197.997584262001)</f>
        <v>197.997584262001</v>
      </c>
      <c r="I475" s="13"/>
      <c r="J475" s="13"/>
      <c r="K475" s="13"/>
      <c r="L475" s="13"/>
      <c r="M475" s="1" t="b">
        <f>IFERROR(__xludf.DUMMYFUNCTION("""COMPUTED_VALUE"""),FALSE)</f>
        <v>0</v>
      </c>
      <c r="N475" s="10">
        <f>IFERROR(__xludf.DUMMYFUNCTION("""COMPUTED_VALUE"""),0)</f>
        <v>0</v>
      </c>
      <c r="O475" s="10">
        <f>IFERROR(__xludf.DUMMYFUNCTION("""COMPUTED_VALUE"""),0)</f>
        <v>0</v>
      </c>
      <c r="P475" s="10"/>
      <c r="Q475" s="30"/>
      <c r="R475" s="18"/>
      <c r="S475" s="19"/>
      <c r="T475" s="10"/>
      <c r="U475" s="10"/>
      <c r="V475" s="10"/>
      <c r="W475" s="10"/>
      <c r="X475" s="19"/>
      <c r="Y475" s="1"/>
      <c r="Z475" s="1"/>
      <c r="AA475" s="1"/>
    </row>
    <row r="476" customHeight="1" spans="1:27">
      <c r="A476" s="1" t="str">
        <f>IFERROR(__xludf.DUMMYFUNCTION("""COMPUTED_VALUE"""),"Hurston 113")</f>
        <v>Hurston 113</v>
      </c>
      <c r="B476" s="1" t="str">
        <f>IFERROR(__xludf.DUMMYFUNCTION("""COMPUTED_VALUE"""),"Hurston 126")</f>
        <v>Hurston 126</v>
      </c>
      <c r="C476" s="1" t="str">
        <f>IFERROR(__xludf.DUMMYFUNCTION("""COMPUTED_VALUE"""),"Hurston 28")</f>
        <v>Hurston 28</v>
      </c>
      <c r="D476" s="1" t="str">
        <f>IFERROR(__xludf.DUMMYFUNCTION("""COMPUTED_VALUE"""),"Freelancer Wreck 52J")</f>
        <v>Freelancer Wreck 52J</v>
      </c>
      <c r="E476" s="30" t="str">
        <f>IFERROR(__xludf.DUMMYFUNCTION("""COMPUTED_VALUE"""),"Freelancer 52J")</f>
        <v>Freelancer 52J</v>
      </c>
      <c r="F476" s="10">
        <f>IFERROR(__xludf.DUMMYFUNCTION("""COMPUTED_VALUE"""),-550.09605621299)</f>
        <v>-550.09605621299</v>
      </c>
      <c r="G476" s="10">
        <f>IFERROR(__xludf.DUMMYFUNCTION("""COMPUTED_VALUE"""),706.821054421791)</f>
        <v>706.821054421791</v>
      </c>
      <c r="H476" s="10">
        <f>IFERROR(__xludf.DUMMYFUNCTION("""COMPUTED_VALUE"""),-446.533994896594)</f>
        <v>-446.533994896594</v>
      </c>
      <c r="I476" s="13"/>
      <c r="J476" s="13"/>
      <c r="K476" s="13"/>
      <c r="L476" s="13"/>
      <c r="M476" s="1" t="b">
        <f>IFERROR(__xludf.DUMMYFUNCTION("""COMPUTED_VALUE"""),FALSE)</f>
        <v>0</v>
      </c>
      <c r="N476" s="10">
        <f>IFERROR(__xludf.DUMMYFUNCTION("""COMPUTED_VALUE"""),0)</f>
        <v>0</v>
      </c>
      <c r="O476" s="10">
        <f>IFERROR(__xludf.DUMMYFUNCTION("""COMPUTED_VALUE"""),0)</f>
        <v>0</v>
      </c>
      <c r="P476" s="10"/>
      <c r="Q476" s="30"/>
      <c r="R476" s="18"/>
      <c r="S476" s="19"/>
      <c r="T476" s="10"/>
      <c r="U476" s="10"/>
      <c r="V476" s="10"/>
      <c r="W476" s="10"/>
      <c r="X476" s="19"/>
      <c r="Y476" s="1"/>
      <c r="Z476" s="1"/>
      <c r="AA476" s="1"/>
    </row>
    <row r="477" customHeight="1" spans="1:27">
      <c r="A477" s="1" t="str">
        <f>IFERROR(__xludf.DUMMYFUNCTION("""COMPUTED_VALUE"""),"Hurston 114")</f>
        <v>Hurston 114</v>
      </c>
      <c r="B477" s="1" t="str">
        <f>IFERROR(__xludf.DUMMYFUNCTION("""COMPUTED_VALUE"""),"Hurston 127")</f>
        <v>Hurston 127</v>
      </c>
      <c r="C477" s="1" t="str">
        <f>IFERROR(__xludf.DUMMYFUNCTION("""COMPUTED_VALUE"""),"Hurston 05")</f>
        <v>Hurston 05</v>
      </c>
      <c r="D477" s="1" t="str">
        <f>IFERROR(__xludf.DUMMYFUNCTION("""COMPUTED_VALUE"""),"Freelancer Wreck 57J")</f>
        <v>Freelancer Wreck 57J</v>
      </c>
      <c r="E477" s="30" t="str">
        <f>IFERROR(__xludf.DUMMYFUNCTION("""COMPUTED_VALUE"""),"Freelancer 57J")</f>
        <v>Freelancer 57J</v>
      </c>
      <c r="F477" s="10">
        <f>IFERROR(__xludf.DUMMYFUNCTION("""COMPUTED_VALUE"""),-832.045659655999)</f>
        <v>-832.045659655999</v>
      </c>
      <c r="G477" s="10">
        <f>IFERROR(__xludf.DUMMYFUNCTION("""COMPUTED_VALUE"""),293.107272149)</f>
        <v>293.107272149</v>
      </c>
      <c r="H477" s="10">
        <f>IFERROR(__xludf.DUMMYFUNCTION("""COMPUTED_VALUE"""),-471.019837445)</f>
        <v>-471.019837445</v>
      </c>
      <c r="I477" s="13"/>
      <c r="J477" s="13"/>
      <c r="K477" s="13"/>
      <c r="L477" s="13"/>
      <c r="M477" s="1" t="b">
        <f>IFERROR(__xludf.DUMMYFUNCTION("""COMPUTED_VALUE"""),FALSE)</f>
        <v>0</v>
      </c>
      <c r="N477" s="10">
        <f>IFERROR(__xludf.DUMMYFUNCTION("""COMPUTED_VALUE"""),0)</f>
        <v>0</v>
      </c>
      <c r="O477" s="10">
        <f>IFERROR(__xludf.DUMMYFUNCTION("""COMPUTED_VALUE"""),0)</f>
        <v>0</v>
      </c>
      <c r="P477" s="10"/>
      <c r="Q477" s="30"/>
      <c r="R477" s="18"/>
      <c r="S477" s="19"/>
      <c r="T477" s="10"/>
      <c r="U477" s="10"/>
      <c r="V477" s="10"/>
      <c r="W477" s="10"/>
      <c r="X477" s="19"/>
      <c r="Y477" s="1"/>
      <c r="Z477" s="1"/>
      <c r="AA477" s="1"/>
    </row>
    <row r="478" customHeight="1" spans="1:27">
      <c r="A478" s="1" t="str">
        <f>IFERROR(__xludf.DUMMYFUNCTION("""COMPUTED_VALUE"""),"Hurston 117")</f>
        <v>Hurston 117</v>
      </c>
      <c r="B478" s="1" t="str">
        <f>IFERROR(__xludf.DUMMYFUNCTION("""COMPUTED_VALUE"""),"Hurston 130")</f>
        <v>Hurston 130</v>
      </c>
      <c r="C478" s="1" t="str">
        <f>IFERROR(__xludf.DUMMYFUNCTION("""COMPUTED_VALUE"""),"Hurston 49")</f>
        <v>Hurston 49</v>
      </c>
      <c r="D478" s="1" t="str">
        <f>IFERROR(__xludf.DUMMYFUNCTION("""COMPUTED_VALUE"""),"Satellite Wreck 41P")</f>
        <v>Satellite Wreck 41P</v>
      </c>
      <c r="E478" s="30" t="str">
        <f>IFERROR(__xludf.DUMMYFUNCTION("""COMPUTED_VALUE"""),"Satellite 41P")</f>
        <v>Satellite 41P</v>
      </c>
      <c r="F478" s="10">
        <f>IFERROR(__xludf.DUMMYFUNCTION("""COMPUTED_VALUE"""),457.265069843448)</f>
        <v>457.265069843448</v>
      </c>
      <c r="G478" s="10">
        <f>IFERROR(__xludf.DUMMYFUNCTION("""COMPUTED_VALUE"""),876.042326568802)</f>
        <v>876.042326568802</v>
      </c>
      <c r="H478" s="10">
        <f>IFERROR(__xludf.DUMMYFUNCTION("""COMPUTED_VALUE"""),158.397096293778)</f>
        <v>158.397096293778</v>
      </c>
      <c r="I478" s="13"/>
      <c r="J478" s="13"/>
      <c r="K478" s="13"/>
      <c r="L478" s="13"/>
      <c r="M478" s="1" t="b">
        <f>IFERROR(__xludf.DUMMYFUNCTION("""COMPUTED_VALUE"""),FALSE)</f>
        <v>0</v>
      </c>
      <c r="N478" s="10">
        <f>IFERROR(__xludf.DUMMYFUNCTION("""COMPUTED_VALUE"""),0)</f>
        <v>0</v>
      </c>
      <c r="O478" s="10">
        <f>IFERROR(__xludf.DUMMYFUNCTION("""COMPUTED_VALUE"""),0)</f>
        <v>0</v>
      </c>
      <c r="P478" s="10"/>
      <c r="Q478" s="30"/>
      <c r="R478" s="18"/>
      <c r="S478" s="19"/>
      <c r="T478" s="10"/>
      <c r="U478" s="10"/>
      <c r="V478" s="10"/>
      <c r="W478" s="10"/>
      <c r="X478" s="19"/>
      <c r="Y478" s="1"/>
      <c r="Z478" s="1"/>
      <c r="AA478" s="1"/>
    </row>
    <row r="479" customHeight="1" spans="1:27">
      <c r="A479" s="1" t="str">
        <f>IFERROR(__xludf.DUMMYFUNCTION("""COMPUTED_VALUE"""),"Hurston 115")</f>
        <v>Hurston 115</v>
      </c>
      <c r="B479" s="1" t="str">
        <f>IFERROR(__xludf.DUMMYFUNCTION("""COMPUTED_VALUE"""),"Hurston 128")</f>
        <v>Hurston 128</v>
      </c>
      <c r="C479" s="1" t="str">
        <f>IFERROR(__xludf.DUMMYFUNCTION("""COMPUTED_VALUE"""),"Hurston 100")</f>
        <v>Hurston 100</v>
      </c>
      <c r="D479" s="1" t="str">
        <f>IFERROR(__xludf.DUMMYFUNCTION("""COMPUTED_VALUE"""),"Satellite Wreck 13S")</f>
        <v>Satellite Wreck 13S</v>
      </c>
      <c r="E479" s="30" t="str">
        <f>IFERROR(__xludf.DUMMYFUNCTION("""COMPUTED_VALUE"""),"Satellite 13S")</f>
        <v>Satellite 13S</v>
      </c>
      <c r="F479" s="10">
        <f>IFERROR(__xludf.DUMMYFUNCTION("""COMPUTED_VALUE"""),-237.426758431438)</f>
        <v>-237.426758431438</v>
      </c>
      <c r="G479" s="10">
        <f>IFERROR(__xludf.DUMMYFUNCTION("""COMPUTED_VALUE"""),-782.590601289051)</f>
        <v>-782.590601289051</v>
      </c>
      <c r="H479" s="10">
        <f>IFERROR(__xludf.DUMMYFUNCTION("""COMPUTED_VALUE"""),577.771982494651)</f>
        <v>577.771982494651</v>
      </c>
      <c r="I479" s="13"/>
      <c r="J479" s="13"/>
      <c r="K479" s="13"/>
      <c r="L479" s="13"/>
      <c r="M479" s="1" t="b">
        <f>IFERROR(__xludf.DUMMYFUNCTION("""COMPUTED_VALUE"""),FALSE)</f>
        <v>0</v>
      </c>
      <c r="N479" s="10">
        <f>IFERROR(__xludf.DUMMYFUNCTION("""COMPUTED_VALUE"""),0)</f>
        <v>0</v>
      </c>
      <c r="O479" s="10">
        <f>IFERROR(__xludf.DUMMYFUNCTION("""COMPUTED_VALUE"""),0)</f>
        <v>0</v>
      </c>
      <c r="P479" s="10"/>
      <c r="Q479" s="30"/>
      <c r="R479" s="18"/>
      <c r="S479" s="19"/>
      <c r="T479" s="10"/>
      <c r="U479" s="10"/>
      <c r="V479" s="10"/>
      <c r="W479" s="10"/>
      <c r="X479" s="19"/>
      <c r="Y479" s="1"/>
      <c r="Z479" s="1"/>
      <c r="AA479" s="1"/>
    </row>
    <row r="480" customHeight="1" spans="1:27">
      <c r="A480" s="1" t="str">
        <f>IFERROR(__xludf.DUMMYFUNCTION("""COMPUTED_VALUE"""),"Hurston 116")</f>
        <v>Hurston 116</v>
      </c>
      <c r="B480" s="1" t="str">
        <f>IFERROR(__xludf.DUMMYFUNCTION("""COMPUTED_VALUE"""),"Hurston 129")</f>
        <v>Hurston 129</v>
      </c>
      <c r="C480" s="1" t="str">
        <f>IFERROR(__xludf.DUMMYFUNCTION("""COMPUTED_VALUE"""),"Hurston 90")</f>
        <v>Hurston 90</v>
      </c>
      <c r="D480" s="1" t="str">
        <f>IFERROR(__xludf.DUMMYFUNCTION("""COMPUTED_VALUE"""),"Satellite Wreck 16T")</f>
        <v>Satellite Wreck 16T</v>
      </c>
      <c r="E480" s="30" t="str">
        <f>IFERROR(__xludf.DUMMYFUNCTION("""COMPUTED_VALUE"""),"Satellite 16T")</f>
        <v>Satellite 16T</v>
      </c>
      <c r="F480" s="10">
        <f>IFERROR(__xludf.DUMMYFUNCTION("""COMPUTED_VALUE"""),26.262546407085)</f>
        <v>26.262546407085</v>
      </c>
      <c r="G480" s="10">
        <f>IFERROR(__xludf.DUMMYFUNCTION("""COMPUTED_VALUE"""),-763.129423903463)</f>
        <v>-763.129423903463</v>
      </c>
      <c r="H480" s="10">
        <f>IFERROR(__xludf.DUMMYFUNCTION("""COMPUTED_VALUE"""),646.047925989482)</f>
        <v>646.047925989482</v>
      </c>
      <c r="I480" s="13"/>
      <c r="J480" s="13"/>
      <c r="K480" s="13"/>
      <c r="L480" s="13"/>
      <c r="M480" s="1" t="b">
        <f>IFERROR(__xludf.DUMMYFUNCTION("""COMPUTED_VALUE"""),FALSE)</f>
        <v>0</v>
      </c>
      <c r="N480" s="10">
        <f>IFERROR(__xludf.DUMMYFUNCTION("""COMPUTED_VALUE"""),0)</f>
        <v>0</v>
      </c>
      <c r="O480" s="10">
        <f>IFERROR(__xludf.DUMMYFUNCTION("""COMPUTED_VALUE"""),0)</f>
        <v>0</v>
      </c>
      <c r="P480" s="10"/>
      <c r="Q480" s="30"/>
      <c r="R480" s="18"/>
      <c r="S480" s="19"/>
      <c r="T480" s="10"/>
      <c r="U480" s="10"/>
      <c r="V480" s="10"/>
      <c r="W480" s="10"/>
      <c r="X480" s="19"/>
      <c r="Y480" s="1"/>
      <c r="Z480" s="1"/>
      <c r="AA480" s="1"/>
    </row>
    <row r="481" customHeight="1" spans="1:27">
      <c r="A481" s="1" t="str">
        <f>IFERROR(__xludf.DUMMYFUNCTION("""COMPUTED_VALUE"""),"Hurston 118")</f>
        <v>Hurston 118</v>
      </c>
      <c r="B481" s="1" t="str">
        <f>IFERROR(__xludf.DUMMYFUNCTION("""COMPUTED_VALUE"""),"Hurston 131")</f>
        <v>Hurston 131</v>
      </c>
      <c r="C481" s="1" t="str">
        <f>IFERROR(__xludf.DUMMYFUNCTION("""COMPUTED_VALUE"""),"Hurston 18")</f>
        <v>Hurston 18</v>
      </c>
      <c r="D481" s="1" t="str">
        <f>IFERROR(__xludf.DUMMYFUNCTION("""COMPUTED_VALUE"""),"Satellite Wreck 55L")</f>
        <v>Satellite Wreck 55L</v>
      </c>
      <c r="E481" s="30" t="str">
        <f>IFERROR(__xludf.DUMMYFUNCTION("""COMPUTED_VALUE"""),"Satellite 55L")</f>
        <v>Satellite 55L</v>
      </c>
      <c r="F481" s="10">
        <f>IFERROR(__xludf.DUMMYFUNCTION("""COMPUTED_VALUE"""),-846.764854496787)</f>
        <v>-846.764854496787</v>
      </c>
      <c r="G481" s="10">
        <f>IFERROR(__xludf.DUMMYFUNCTION("""COMPUTED_VALUE"""),501.396269109399)</f>
        <v>501.396269109399</v>
      </c>
      <c r="H481" s="10">
        <f>IFERROR(__xludf.DUMMYFUNCTION("""COMPUTED_VALUE"""),-178.919526917716)</f>
        <v>-178.919526917716</v>
      </c>
      <c r="I481" s="13"/>
      <c r="J481" s="13"/>
      <c r="K481" s="13"/>
      <c r="L481" s="13"/>
      <c r="M481" s="1" t="b">
        <f>IFERROR(__xludf.DUMMYFUNCTION("""COMPUTED_VALUE"""),FALSE)</f>
        <v>0</v>
      </c>
      <c r="N481" s="10">
        <f>IFERROR(__xludf.DUMMYFUNCTION("""COMPUTED_VALUE"""),0)</f>
        <v>0</v>
      </c>
      <c r="O481" s="10">
        <f>IFERROR(__xludf.DUMMYFUNCTION("""COMPUTED_VALUE"""),0)</f>
        <v>0</v>
      </c>
      <c r="P481" s="10"/>
      <c r="Q481" s="30"/>
      <c r="R481" s="18"/>
      <c r="S481" s="19"/>
      <c r="T481" s="10"/>
      <c r="U481" s="10"/>
      <c r="V481" s="10"/>
      <c r="W481" s="10"/>
      <c r="X481" s="19"/>
      <c r="Y481" s="1"/>
      <c r="Z481" s="1"/>
      <c r="AA481" s="1"/>
    </row>
    <row r="482" customHeight="1" spans="1:27">
      <c r="A482" s="1" t="str">
        <f>IFERROR(__xludf.DUMMYFUNCTION("""COMPUTED_VALUE"""),"Hurston 121")</f>
        <v>Hurston 121</v>
      </c>
      <c r="B482" s="1" t="str">
        <f>IFERROR(__xludf.DUMMYFUNCTION("""COMPUTED_VALUE"""),"Hurston 134")</f>
        <v>Hurston 134</v>
      </c>
      <c r="C482" s="1" t="str">
        <f>IFERROR(__xludf.DUMMYFUNCTION("""COMPUTED_VALUE"""),"Hurston 29")</f>
        <v>Hurston 29</v>
      </c>
      <c r="D482" s="1" t="str">
        <f>IFERROR(__xludf.DUMMYFUNCTION("""COMPUTED_VALUE"""),"Starfarer Wreck 52P")</f>
        <v>Starfarer Wreck 52P</v>
      </c>
      <c r="E482" s="30" t="str">
        <f>IFERROR(__xludf.DUMMYFUNCTION("""COMPUTED_VALUE"""),"Starfarer 52P")</f>
        <v>Starfarer 52P</v>
      </c>
      <c r="F482" s="10">
        <f>IFERROR(__xludf.DUMMYFUNCTION("""COMPUTED_VALUE"""),-591.697059325445)</f>
        <v>-591.697059325445</v>
      </c>
      <c r="G482" s="10">
        <f>IFERROR(__xludf.DUMMYFUNCTION("""COMPUTED_VALUE"""),779.84299581601)</f>
        <v>779.84299581601</v>
      </c>
      <c r="H482" s="10">
        <f>IFERROR(__xludf.DUMMYFUNCTION("""COMPUTED_VALUE"""),210.275498871836)</f>
        <v>210.275498871836</v>
      </c>
      <c r="I482" s="13"/>
      <c r="J482" s="13"/>
      <c r="K482" s="13"/>
      <c r="L482" s="13"/>
      <c r="M482" s="1" t="b">
        <f>IFERROR(__xludf.DUMMYFUNCTION("""COMPUTED_VALUE"""),FALSE)</f>
        <v>0</v>
      </c>
      <c r="N482" s="10">
        <f>IFERROR(__xludf.DUMMYFUNCTION("""COMPUTED_VALUE"""),0)</f>
        <v>0</v>
      </c>
      <c r="O482" s="10">
        <f>IFERROR(__xludf.DUMMYFUNCTION("""COMPUTED_VALUE"""),0)</f>
        <v>0</v>
      </c>
      <c r="P482" s="10"/>
      <c r="Q482" s="30"/>
      <c r="R482" s="18"/>
      <c r="S482" s="19"/>
      <c r="T482" s="10"/>
      <c r="U482" s="10"/>
      <c r="V482" s="10"/>
      <c r="W482" s="10"/>
      <c r="X482" s="19"/>
      <c r="Y482" s="1"/>
      <c r="Z482" s="1"/>
      <c r="AA482" s="1"/>
    </row>
    <row r="483" customHeight="1" spans="1:27">
      <c r="A483" s="1" t="str">
        <f>IFERROR(__xludf.DUMMYFUNCTION("""COMPUTED_VALUE"""),"Hurston 120")</f>
        <v>Hurston 120</v>
      </c>
      <c r="B483" s="1" t="str">
        <f>IFERROR(__xludf.DUMMYFUNCTION("""COMPUTED_VALUE"""),"Hurston 133")</f>
        <v>Hurston 133</v>
      </c>
      <c r="C483" s="1" t="str">
        <f>IFERROR(__xludf.DUMMYFUNCTION("""COMPUTED_VALUE"""),"Hurston 61")</f>
        <v>Hurston 61</v>
      </c>
      <c r="D483" s="1" t="str">
        <f>IFERROR(__xludf.DUMMYFUNCTION("""COMPUTED_VALUE"""),"Starfarer Wreck 31S")</f>
        <v>Starfarer Wreck 31S</v>
      </c>
      <c r="E483" s="30" t="str">
        <f>IFERROR(__xludf.DUMMYFUNCTION("""COMPUTED_VALUE"""),"Starfarer 31S")</f>
        <v>Starfarer 31S</v>
      </c>
      <c r="F483" s="10">
        <f>IFERROR(__xludf.DUMMYFUNCTION("""COMPUTED_VALUE"""),774.787931697828)</f>
        <v>774.787931697828</v>
      </c>
      <c r="G483" s="10">
        <f>IFERROR(__xludf.DUMMYFUNCTION("""COMPUTED_VALUE"""),8.140294372633)</f>
        <v>8.140294372633</v>
      </c>
      <c r="H483" s="10">
        <f>IFERROR(__xludf.DUMMYFUNCTION("""COMPUTED_VALUE"""),633.956307752477)</f>
        <v>633.956307752477</v>
      </c>
      <c r="I483" s="13"/>
      <c r="J483" s="13"/>
      <c r="K483" s="13"/>
      <c r="L483" s="13"/>
      <c r="M483" s="1" t="b">
        <f>IFERROR(__xludf.DUMMYFUNCTION("""COMPUTED_VALUE"""),FALSE)</f>
        <v>0</v>
      </c>
      <c r="N483" s="10">
        <f>IFERROR(__xludf.DUMMYFUNCTION("""COMPUTED_VALUE"""),0)</f>
        <v>0</v>
      </c>
      <c r="O483" s="10">
        <f>IFERROR(__xludf.DUMMYFUNCTION("""COMPUTED_VALUE"""),0)</f>
        <v>0</v>
      </c>
      <c r="P483" s="10"/>
      <c r="Q483" s="30"/>
      <c r="R483" s="18"/>
      <c r="S483" s="19"/>
      <c r="T483" s="10"/>
      <c r="U483" s="10"/>
      <c r="V483" s="10"/>
      <c r="W483" s="10"/>
      <c r="X483" s="19"/>
      <c r="Y483" s="1"/>
      <c r="Z483" s="1"/>
      <c r="AA483" s="1"/>
    </row>
    <row r="484" customHeight="1" spans="1:27">
      <c r="A484" s="1" t="str">
        <f>IFERROR(__xludf.DUMMYFUNCTION("""COMPUTED_VALUE"""),"Hurston 122")</f>
        <v>Hurston 122</v>
      </c>
      <c r="B484" s="1" t="str">
        <f>IFERROR(__xludf.DUMMYFUNCTION("""COMPUTED_VALUE"""),"Hurston 135")</f>
        <v>Hurston 135</v>
      </c>
      <c r="C484" s="1" t="str">
        <f>IFERROR(__xludf.DUMMYFUNCTION("""COMPUTED_VALUE"""),"Hurston 02")</f>
        <v>Hurston 02</v>
      </c>
      <c r="D484" s="1" t="str">
        <f>IFERROR(__xludf.DUMMYFUNCTION("""COMPUTED_VALUE"""),"Starfarer Wreck 58L")</f>
        <v>Starfarer Wreck 58L</v>
      </c>
      <c r="E484" s="30" t="str">
        <f>IFERROR(__xludf.DUMMYFUNCTION("""COMPUTED_VALUE"""),"Starfarer 58L")</f>
        <v>Starfarer 58L</v>
      </c>
      <c r="F484" s="10">
        <f>IFERROR(__xludf.DUMMYFUNCTION("""COMPUTED_VALUE"""),-950.244058998478)</f>
        <v>-950.244058998478</v>
      </c>
      <c r="G484" s="10">
        <f>IFERROR(__xludf.DUMMYFUNCTION("""COMPUTED_VALUE"""),276.429530231394)</f>
        <v>276.429530231394</v>
      </c>
      <c r="H484" s="10">
        <f>IFERROR(__xludf.DUMMYFUNCTION("""COMPUTED_VALUE"""),-152.586921312737)</f>
        <v>-152.586921312737</v>
      </c>
      <c r="I484" s="13"/>
      <c r="J484" s="13"/>
      <c r="K484" s="13"/>
      <c r="L484" s="13"/>
      <c r="M484" s="1" t="b">
        <f>IFERROR(__xludf.DUMMYFUNCTION("""COMPUTED_VALUE"""),FALSE)</f>
        <v>0</v>
      </c>
      <c r="N484" s="10">
        <f>IFERROR(__xludf.DUMMYFUNCTION("""COMPUTED_VALUE"""),0)</f>
        <v>0</v>
      </c>
      <c r="O484" s="10">
        <f>IFERROR(__xludf.DUMMYFUNCTION("""COMPUTED_VALUE"""),0)</f>
        <v>0</v>
      </c>
      <c r="P484" s="10"/>
      <c r="Q484" s="30"/>
      <c r="R484" s="18"/>
      <c r="S484" s="19"/>
      <c r="T484" s="10"/>
      <c r="U484" s="10"/>
      <c r="V484" s="10"/>
      <c r="W484" s="10"/>
      <c r="X484" s="19"/>
      <c r="Y484" s="1"/>
      <c r="Z484" s="1"/>
      <c r="AA484" s="1"/>
    </row>
    <row r="485" customHeight="1" spans="1:27">
      <c r="A485" s="1" t="str">
        <f>IFERROR(__xludf.DUMMYFUNCTION("""COMPUTED_VALUE"""),"Hurston 119")</f>
        <v>Hurston 119</v>
      </c>
      <c r="B485" s="1" t="str">
        <f>IFERROR(__xludf.DUMMYFUNCTION("""COMPUTED_VALUE"""),"Hurston 132")</f>
        <v>Hurston 132</v>
      </c>
      <c r="C485" s="1" t="str">
        <f>IFERROR(__xludf.DUMMYFUNCTION("""COMPUTED_VALUE"""),"Hurston 63")</f>
        <v>Hurston 63</v>
      </c>
      <c r="D485" s="1" t="str">
        <f>IFERROR(__xludf.DUMMYFUNCTION("""COMPUTED_VALUE"""),"Starfarer Wreck 30L")</f>
        <v>Starfarer Wreck 30L</v>
      </c>
      <c r="E485" s="30" t="str">
        <f>IFERROR(__xludf.DUMMYFUNCTION("""COMPUTED_VALUE"""),"Starfarer 30L")</f>
        <v>Starfarer 30L</v>
      </c>
      <c r="F485" s="10">
        <f>IFERROR(__xludf.DUMMYFUNCTION("""COMPUTED_VALUE"""),979.863794954941)</f>
        <v>979.863794954941</v>
      </c>
      <c r="G485" s="10">
        <f>IFERROR(__xludf.DUMMYFUNCTION("""COMPUTED_VALUE"""),-47.468799931292)</f>
        <v>-47.468799931292</v>
      </c>
      <c r="H485" s="10">
        <f>IFERROR(__xludf.DUMMYFUNCTION("""COMPUTED_VALUE"""),-193.947371527254)</f>
        <v>-193.947371527254</v>
      </c>
      <c r="I485" s="13"/>
      <c r="J485" s="13"/>
      <c r="K485" s="13"/>
      <c r="L485" s="13"/>
      <c r="M485" s="1" t="b">
        <f>IFERROR(__xludf.DUMMYFUNCTION("""COMPUTED_VALUE"""),FALSE)</f>
        <v>0</v>
      </c>
      <c r="N485" s="10">
        <f>IFERROR(__xludf.DUMMYFUNCTION("""COMPUTED_VALUE"""),0)</f>
        <v>0</v>
      </c>
      <c r="O485" s="10">
        <f>IFERROR(__xludf.DUMMYFUNCTION("""COMPUTED_VALUE"""),0)</f>
        <v>0</v>
      </c>
      <c r="P485" s="10"/>
      <c r="Q485" s="30"/>
      <c r="R485" s="18"/>
      <c r="S485" s="19"/>
      <c r="T485" s="10"/>
      <c r="U485" s="10"/>
      <c r="V485" s="10"/>
      <c r="W485" s="10"/>
      <c r="X485" s="19"/>
      <c r="Y485" s="1"/>
      <c r="Z485" s="1"/>
      <c r="AA485" s="1"/>
    </row>
    <row r="486" customHeight="1" spans="1:27">
      <c r="A486" s="1" t="str">
        <f>IFERROR(__xludf.DUMMYFUNCTION("""COMPUTED_VALUE"""),"Hurston")</f>
        <v>Hurston</v>
      </c>
      <c r="B486" s="1" t="str">
        <f>IFERROR(__xludf.DUMMYFUNCTION("""COMPUTED_VALUE"""),"Hurston 137")</f>
        <v>Hurston 137</v>
      </c>
      <c r="C486" s="1"/>
      <c r="D486" s="1" t="str">
        <f>IFERROR(__xludf.DUMMYFUNCTION("""COMPUTED_VALUE"""),"Comm Array")</f>
        <v>Comm Array</v>
      </c>
      <c r="E486" s="30"/>
      <c r="F486" s="10"/>
      <c r="G486" s="10"/>
      <c r="H486" s="10"/>
      <c r="I486" s="13"/>
      <c r="J486" s="13"/>
      <c r="K486" s="13"/>
      <c r="L486" s="13"/>
      <c r="M486" s="1"/>
      <c r="N486" s="10"/>
      <c r="O486" s="10"/>
      <c r="P486" s="10"/>
      <c r="Q486" s="30"/>
      <c r="R486" s="18"/>
      <c r="S486" s="19"/>
      <c r="T486" s="10"/>
      <c r="U486" s="10"/>
      <c r="V486" s="10"/>
      <c r="W486" s="10"/>
      <c r="X486" s="19"/>
      <c r="Y486" s="1"/>
      <c r="Z486" s="1"/>
      <c r="AA486" s="1"/>
    </row>
    <row r="487" customHeight="1" spans="1:27">
      <c r="A487" s="1" t="str">
        <f>IFERROR(__xludf.DUMMYFUNCTION("""COMPUTED_VALUE"""),"Hurston 29")</f>
        <v>Hurston 29</v>
      </c>
      <c r="B487" s="1" t="str">
        <f>IFERROR(__xludf.DUMMYFUNCTION("""COMPUTED_VALUE"""),"Hurston 138")</f>
        <v>Hurston 138</v>
      </c>
      <c r="C487" s="1" t="str">
        <f>IFERROR(__xludf.DUMMYFUNCTION("""COMPUTED_VALUE"""),"Hurston 71")</f>
        <v>Hurston 71</v>
      </c>
      <c r="D487" s="1" t="str">
        <f>IFERROR(__xludf.DUMMYFUNCTION("""COMPUTED_VALUE"""),"Comm Array ST1-61")</f>
        <v>Comm Array ST1-61</v>
      </c>
      <c r="E487" s="30" t="str">
        <f>IFERROR(__xludf.DUMMYFUNCTION("""COMPUTED_VALUE"""),"ST1-61")</f>
        <v>ST1-61</v>
      </c>
      <c r="F487" s="10">
        <f>IFERROR(__xludf.DUMMYFUNCTION("""COMPUTED_VALUE"""),919.253447999954)</f>
        <v>919.253447999954</v>
      </c>
      <c r="G487" s="10">
        <f>IFERROR(__xludf.DUMMYFUNCTION("""COMPUTED_VALUE"""),-771.345408289)</f>
        <v>-771.345408289</v>
      </c>
      <c r="H487" s="10">
        <f>IFERROR(__xludf.DUMMYFUNCTION("""COMPUTED_VALUE"""),24)</f>
        <v>24</v>
      </c>
      <c r="I487" s="13"/>
      <c r="J487" s="13"/>
      <c r="K487" s="13"/>
      <c r="L487" s="13"/>
      <c r="M487" s="1" t="b">
        <f>IFERROR(__xludf.DUMMYFUNCTION("""COMPUTED_VALUE"""),TRUE)</f>
        <v>1</v>
      </c>
      <c r="N487" s="10">
        <f>IFERROR(__xludf.DUMMYFUNCTION("""COMPUTED_VALUE"""),0)</f>
        <v>0</v>
      </c>
      <c r="O487" s="10">
        <f>IFERROR(__xludf.DUMMYFUNCTION("""COMPUTED_VALUE"""),0)</f>
        <v>0</v>
      </c>
      <c r="P487" s="10"/>
      <c r="Q487" s="30"/>
      <c r="R487" s="18"/>
      <c r="S487" s="19"/>
      <c r="T487" s="10"/>
      <c r="U487" s="10"/>
      <c r="V487" s="10"/>
      <c r="W487" s="10"/>
      <c r="X487" s="19"/>
      <c r="Y487" s="1"/>
      <c r="Z487" s="1"/>
      <c r="AA487" s="1"/>
    </row>
    <row r="488" customHeight="1" spans="1:27">
      <c r="A488" s="1" t="str">
        <f>IFERROR(__xludf.DUMMYFUNCTION("""COMPUTED_VALUE"""),"Hurston")</f>
        <v>Hurston</v>
      </c>
      <c r="B488" s="1" t="str">
        <f>IFERROR(__xludf.DUMMYFUNCTION("""COMPUTED_VALUE"""),"Hurston 140")</f>
        <v>Hurston 140</v>
      </c>
      <c r="C488" s="1"/>
      <c r="D488" s="1" t="str">
        <f>IFERROR(__xludf.DUMMYFUNCTION("""COMPUTED_VALUE"""),"Rivers")</f>
        <v>Rivers</v>
      </c>
      <c r="E488" s="30"/>
      <c r="F488" s="10"/>
      <c r="G488" s="10"/>
      <c r="H488" s="10"/>
      <c r="I488" s="13"/>
      <c r="J488" s="13"/>
      <c r="K488" s="13"/>
      <c r="L488" s="13"/>
      <c r="M488" s="1"/>
      <c r="N488" s="10"/>
      <c r="O488" s="10"/>
      <c r="P488" s="10"/>
      <c r="Q488" s="30"/>
      <c r="R488" s="18"/>
      <c r="S488" s="19"/>
      <c r="T488" s="10"/>
      <c r="U488" s="10"/>
      <c r="V488" s="10"/>
      <c r="W488" s="10"/>
      <c r="X488" s="19"/>
      <c r="Y488" s="1"/>
      <c r="Z488" s="1"/>
      <c r="AA488" s="1"/>
    </row>
    <row r="489" customHeight="1" spans="1:27">
      <c r="A489" s="1" t="str">
        <f>IFERROR(__xludf.DUMMYFUNCTION("""COMPUTED_VALUE"""),"Hurston 139")</f>
        <v>Hurston 139</v>
      </c>
      <c r="B489" s="1" t="str">
        <f>IFERROR(__xludf.DUMMYFUNCTION("""COMPUTED_VALUE"""),"Hurston 157")</f>
        <v>Hurston 157</v>
      </c>
      <c r="C489" s="1" t="str">
        <f>IFERROR(__xludf.DUMMYFUNCTION("""COMPUTED_VALUE"""),"Hurston 06")</f>
        <v>Hurston 06</v>
      </c>
      <c r="D489" s="1" t="str">
        <f>IFERROR(__xludf.DUMMYFUNCTION("""COMPUTED_VALUE"""),"River 57M")</f>
        <v>River 57M</v>
      </c>
      <c r="E489" s="30" t="str">
        <f>IFERROR(__xludf.DUMMYFUNCTION("""COMPUTED_VALUE"""),"River 57M")</f>
        <v>River 57M</v>
      </c>
      <c r="F489" s="10">
        <f>IFERROR(__xludf.DUMMYFUNCTION("""COMPUTED_VALUE"""),-941.47293753583)</f>
        <v>-941.47293753583</v>
      </c>
      <c r="G489" s="10">
        <f>IFERROR(__xludf.DUMMYFUNCTION("""COMPUTED_VALUE"""),339.55637006903)</f>
        <v>339.55637006903</v>
      </c>
      <c r="H489" s="10">
        <f>IFERROR(__xludf.DUMMYFUNCTION("""COMPUTED_VALUE"""),-37.63138641525)</f>
        <v>-37.63138641525</v>
      </c>
      <c r="I489" s="13"/>
      <c r="J489" s="13"/>
      <c r="K489" s="13"/>
      <c r="L489" s="13"/>
      <c r="M489" s="1" t="b">
        <f>IFERROR(__xludf.DUMMYFUNCTION("""COMPUTED_VALUE"""),FALSE)</f>
        <v>0</v>
      </c>
      <c r="N489" s="10">
        <f>IFERROR(__xludf.DUMMYFUNCTION("""COMPUTED_VALUE"""),0)</f>
        <v>0</v>
      </c>
      <c r="O489" s="10">
        <f>IFERROR(__xludf.DUMMYFUNCTION("""COMPUTED_VALUE"""),0)</f>
        <v>0</v>
      </c>
      <c r="P489" s="10"/>
      <c r="Q489" s="30"/>
      <c r="R489" s="18"/>
      <c r="S489" s="19"/>
      <c r="T489" s="10"/>
      <c r="U489" s="10"/>
      <c r="V489" s="10"/>
      <c r="W489" s="10"/>
      <c r="X489" s="19"/>
      <c r="Y489" s="1"/>
      <c r="Z489" s="1"/>
      <c r="AA489" s="1"/>
    </row>
    <row r="490" customHeight="1" spans="1:27">
      <c r="A490" s="1" t="str">
        <f>IFERROR(__xludf.DUMMYFUNCTION("""COMPUTED_VALUE"""),"Hurston 128")</f>
        <v>Hurston 128</v>
      </c>
      <c r="B490" s="1" t="str">
        <f>IFERROR(__xludf.DUMMYFUNCTION("""COMPUTED_VALUE"""),"Hurston 146")</f>
        <v>Hurston 146</v>
      </c>
      <c r="C490" s="1" t="str">
        <f>IFERROR(__xludf.DUMMYFUNCTION("""COMPUTED_VALUE"""),"Hurston 128")</f>
        <v>Hurston 128</v>
      </c>
      <c r="D490" s="1" t="str">
        <f>IFERROR(__xludf.DUMMYFUNCTION("""COMPUTED_VALUE"""),"River 04S-048")</f>
        <v>River 04S-048</v>
      </c>
      <c r="E490" s="30" t="str">
        <f>IFERROR(__xludf.DUMMYFUNCTION("""COMPUTED_VALUE"""),"River 04S048")</f>
        <v>River 04S048</v>
      </c>
      <c r="F490" s="10">
        <f>IFERROR(__xludf.DUMMYFUNCTION("""COMPUTED_VALUE"""),-717.81877367865)</f>
        <v>-717.81877367865</v>
      </c>
      <c r="G490" s="10">
        <f>IFERROR(__xludf.DUMMYFUNCTION("""COMPUTED_VALUE"""),-316.37633065235)</f>
        <v>-316.37633065235</v>
      </c>
      <c r="H490" s="10">
        <f>IFERROR(__xludf.DUMMYFUNCTION("""COMPUTED_VALUE"""),623.82253638437)</f>
        <v>623.82253638437</v>
      </c>
      <c r="I490" s="13"/>
      <c r="J490" s="13"/>
      <c r="K490" s="13"/>
      <c r="L490" s="13"/>
      <c r="M490" s="1" t="b">
        <f>IFERROR(__xludf.DUMMYFUNCTION("""COMPUTED_VALUE"""),FALSE)</f>
        <v>0</v>
      </c>
      <c r="N490" s="10">
        <f>IFERROR(__xludf.DUMMYFUNCTION("""COMPUTED_VALUE"""),0)</f>
        <v>0</v>
      </c>
      <c r="O490" s="10">
        <f>IFERROR(__xludf.DUMMYFUNCTION("""COMPUTED_VALUE"""),0)</f>
        <v>0</v>
      </c>
      <c r="P490" s="10"/>
      <c r="Q490" s="30"/>
      <c r="R490" s="18"/>
      <c r="S490" s="19"/>
      <c r="T490" s="10"/>
      <c r="U490" s="10"/>
      <c r="V490" s="10"/>
      <c r="W490" s="10"/>
      <c r="X490" s="19"/>
      <c r="Y490" s="1"/>
      <c r="Z490" s="1"/>
      <c r="AA490" s="1"/>
    </row>
    <row r="491" customHeight="1" spans="1:27">
      <c r="A491" s="1" t="str">
        <f>IFERROR(__xludf.DUMMYFUNCTION("""COMPUTED_VALUE"""),"Hurston 140")</f>
        <v>Hurston 140</v>
      </c>
      <c r="B491" s="1" t="str">
        <f>IFERROR(__xludf.DUMMYFUNCTION("""COMPUTED_VALUE"""),"Hurston 158")</f>
        <v>Hurston 158</v>
      </c>
      <c r="C491" s="1" t="str">
        <f>IFERROR(__xludf.DUMMYFUNCTION("""COMPUTED_VALUE"""),"Hurston 40")</f>
        <v>Hurston 40</v>
      </c>
      <c r="D491" s="1" t="str">
        <f>IFERROR(__xludf.DUMMYFUNCTION("""COMPUTED_VALUE"""),"River BBM")</f>
        <v>River BBM</v>
      </c>
      <c r="E491" s="30" t="str">
        <f>IFERROR(__xludf.DUMMYFUNCTION("""COMPUTED_VALUE"""),"River BBM")</f>
        <v>River BBM</v>
      </c>
      <c r="F491" s="10">
        <f>IFERROR(__xludf.DUMMYFUNCTION("""COMPUTED_VALUE"""),-5.16045343899)</f>
        <v>-5.16045343899</v>
      </c>
      <c r="G491" s="10">
        <f>IFERROR(__xludf.DUMMYFUNCTION("""COMPUTED_VALUE"""),109.53625856982)</f>
        <v>109.53625856982</v>
      </c>
      <c r="H491" s="10">
        <f>IFERROR(__xludf.DUMMYFUNCTION("""COMPUTED_VALUE"""),-995.07984405911)</f>
        <v>-995.07984405911</v>
      </c>
      <c r="I491" s="13"/>
      <c r="J491" s="13"/>
      <c r="K491" s="13"/>
      <c r="L491" s="13"/>
      <c r="M491" s="1" t="b">
        <f>IFERROR(__xludf.DUMMYFUNCTION("""COMPUTED_VALUE"""),FALSE)</f>
        <v>0</v>
      </c>
      <c r="N491" s="10">
        <f>IFERROR(__xludf.DUMMYFUNCTION("""COMPUTED_VALUE"""),0)</f>
        <v>0</v>
      </c>
      <c r="O491" s="10">
        <f>IFERROR(__xludf.DUMMYFUNCTION("""COMPUTED_VALUE"""),0)</f>
        <v>0</v>
      </c>
      <c r="P491" s="10"/>
      <c r="Q491" s="30"/>
      <c r="R491" s="18"/>
      <c r="S491" s="19"/>
      <c r="T491" s="10"/>
      <c r="U491" s="10"/>
      <c r="V491" s="10"/>
      <c r="W491" s="10"/>
      <c r="X491" s="19"/>
      <c r="Y491" s="1"/>
      <c r="Z491" s="1"/>
      <c r="AA491" s="1"/>
    </row>
    <row r="492" customHeight="1" spans="1:27">
      <c r="A492" s="1" t="str">
        <f>IFERROR(__xludf.DUMMYFUNCTION("""COMPUTED_VALUE"""),"Hurston 132")</f>
        <v>Hurston 132</v>
      </c>
      <c r="B492" s="1" t="str">
        <f>IFERROR(__xludf.DUMMYFUNCTION("""COMPUTED_VALUE"""),"Hurston 150")</f>
        <v>Hurston 150</v>
      </c>
      <c r="C492" s="1" t="str">
        <f>IFERROR(__xludf.DUMMYFUNCTION("""COMPUTED_VALUE"""),"Hurston 124")</f>
        <v>Hurston 124</v>
      </c>
      <c r="D492" s="1" t="str">
        <f>IFERROR(__xludf.DUMMYFUNCTION("""COMPUTED_VALUE"""),"River 05T-X38")</f>
        <v>River 05T-X38</v>
      </c>
      <c r="E492" s="30" t="str">
        <f>IFERROR(__xludf.DUMMYFUNCTION("""COMPUTED_VALUE"""),"River 05TX38")</f>
        <v>River 05TX38</v>
      </c>
      <c r="F492" s="10">
        <f>IFERROR(__xludf.DUMMYFUNCTION("""COMPUTED_VALUE"""),-691.89278591302)</f>
        <v>-691.89278591302</v>
      </c>
      <c r="G492" s="10">
        <f>IFERROR(__xludf.DUMMYFUNCTION("""COMPUTED_VALUE"""),-317.43024486443)</f>
        <v>-317.43024486443</v>
      </c>
      <c r="H492" s="10">
        <f>IFERROR(__xludf.DUMMYFUNCTION("""COMPUTED_VALUE"""),651.23329915021)</f>
        <v>651.23329915021</v>
      </c>
      <c r="I492" s="13"/>
      <c r="J492" s="13"/>
      <c r="K492" s="13"/>
      <c r="L492" s="13"/>
      <c r="M492" s="1" t="b">
        <f>IFERROR(__xludf.DUMMYFUNCTION("""COMPUTED_VALUE"""),FALSE)</f>
        <v>0</v>
      </c>
      <c r="N492" s="10">
        <f>IFERROR(__xludf.DUMMYFUNCTION("""COMPUTED_VALUE"""),0)</f>
        <v>0</v>
      </c>
      <c r="O492" s="10">
        <f>IFERROR(__xludf.DUMMYFUNCTION("""COMPUTED_VALUE"""),0)</f>
        <v>0</v>
      </c>
      <c r="P492" s="10"/>
      <c r="Q492" s="30"/>
      <c r="R492" s="18"/>
      <c r="S492" s="19"/>
      <c r="T492" s="10"/>
      <c r="U492" s="10"/>
      <c r="V492" s="10"/>
      <c r="W492" s="10"/>
      <c r="X492" s="19"/>
      <c r="Y492" s="1"/>
      <c r="Z492" s="1"/>
      <c r="AA492" s="1"/>
    </row>
    <row r="493" customHeight="1" spans="1:27">
      <c r="A493" s="1" t="str">
        <f>IFERROR(__xludf.DUMMYFUNCTION("""COMPUTED_VALUE"""),"Hurston 130")</f>
        <v>Hurston 130</v>
      </c>
      <c r="B493" s="1" t="str">
        <f>IFERROR(__xludf.DUMMYFUNCTION("""COMPUTED_VALUE"""),"Hurston 148")</f>
        <v>Hurston 148</v>
      </c>
      <c r="C493" s="1" t="str">
        <f>IFERROR(__xludf.DUMMYFUNCTION("""COMPUTED_VALUE"""),"Hurston 126")</f>
        <v>Hurston 126</v>
      </c>
      <c r="D493" s="1" t="str">
        <f>IFERROR(__xludf.DUMMYFUNCTION("""COMPUTED_VALUE"""),"River 05T-X12")</f>
        <v>River 05T-X12</v>
      </c>
      <c r="E493" s="30" t="str">
        <f>IFERROR(__xludf.DUMMYFUNCTION("""COMPUTED_VALUE"""),"River 05TX12")</f>
        <v>River 05TX12</v>
      </c>
      <c r="F493" s="10">
        <f>IFERROR(__xludf.DUMMYFUNCTION("""COMPUTED_VALUE"""),-690.41717867546)</f>
        <v>-690.41717867546</v>
      </c>
      <c r="G493" s="10">
        <f>IFERROR(__xludf.DUMMYFUNCTION("""COMPUTED_VALUE"""),-309.05756747468)</f>
        <v>-309.05756747468</v>
      </c>
      <c r="H493" s="10">
        <f>IFERROR(__xludf.DUMMYFUNCTION("""COMPUTED_VALUE"""),656.78379003294)</f>
        <v>656.78379003294</v>
      </c>
      <c r="I493" s="13"/>
      <c r="J493" s="13"/>
      <c r="K493" s="13"/>
      <c r="L493" s="13"/>
      <c r="M493" s="1" t="b">
        <f>IFERROR(__xludf.DUMMYFUNCTION("""COMPUTED_VALUE"""),FALSE)</f>
        <v>0</v>
      </c>
      <c r="N493" s="10">
        <f>IFERROR(__xludf.DUMMYFUNCTION("""COMPUTED_VALUE"""),0)</f>
        <v>0</v>
      </c>
      <c r="O493" s="10">
        <f>IFERROR(__xludf.DUMMYFUNCTION("""COMPUTED_VALUE"""),0)</f>
        <v>0</v>
      </c>
      <c r="P493" s="10"/>
      <c r="Q493" s="30"/>
      <c r="R493" s="18"/>
      <c r="S493" s="19"/>
      <c r="T493" s="10"/>
      <c r="U493" s="10"/>
      <c r="V493" s="10"/>
      <c r="W493" s="10"/>
      <c r="X493" s="19"/>
      <c r="Y493" s="1"/>
      <c r="Z493" s="1"/>
      <c r="AA493" s="1"/>
    </row>
    <row r="494" customHeight="1" spans="1:27">
      <c r="A494" s="1" t="str">
        <f>IFERROR(__xludf.DUMMYFUNCTION("""COMPUTED_VALUE"""),"Hurston 129")</f>
        <v>Hurston 129</v>
      </c>
      <c r="B494" s="1" t="str">
        <f>IFERROR(__xludf.DUMMYFUNCTION("""COMPUTED_VALUE"""),"Hurston 147")</f>
        <v>Hurston 147</v>
      </c>
      <c r="C494" s="1" t="str">
        <f>IFERROR(__xludf.DUMMYFUNCTION("""COMPUTED_VALUE"""),"Hurston 121")</f>
        <v>Hurston 121</v>
      </c>
      <c r="D494" s="1" t="str">
        <f>IFERROR(__xludf.DUMMYFUNCTION("""COMPUTED_VALUE"""),"River 05D")</f>
        <v>River 05D</v>
      </c>
      <c r="E494" s="30" t="str">
        <f>IFERROR(__xludf.DUMMYFUNCTION("""COMPUTED_VALUE"""),"River 05D")</f>
        <v>River 05D</v>
      </c>
      <c r="F494" s="10">
        <f>IFERROR(__xludf.DUMMYFUNCTION("""COMPUTED_VALUE"""),-348.26626342389)</f>
        <v>-348.26626342389</v>
      </c>
      <c r="G494" s="10">
        <f>IFERROR(__xludf.DUMMYFUNCTION("""COMPUTED_VALUE"""),-192.23136411692)</f>
        <v>-192.23136411692</v>
      </c>
      <c r="H494" s="10">
        <f>IFERROR(__xludf.DUMMYFUNCTION("""COMPUTED_VALUE"""),-919.82639126899)</f>
        <v>-919.82639126899</v>
      </c>
      <c r="I494" s="13"/>
      <c r="J494" s="13"/>
      <c r="K494" s="13"/>
      <c r="L494" s="13"/>
      <c r="M494" s="1" t="b">
        <f>IFERROR(__xludf.DUMMYFUNCTION("""COMPUTED_VALUE"""),FALSE)</f>
        <v>0</v>
      </c>
      <c r="N494" s="10">
        <f>IFERROR(__xludf.DUMMYFUNCTION("""COMPUTED_VALUE"""),0)</f>
        <v>0</v>
      </c>
      <c r="O494" s="10">
        <f>IFERROR(__xludf.DUMMYFUNCTION("""COMPUTED_VALUE"""),0)</f>
        <v>0</v>
      </c>
      <c r="P494" s="10"/>
      <c r="Q494" s="30"/>
      <c r="R494" s="18"/>
      <c r="S494" s="19"/>
      <c r="T494" s="10"/>
      <c r="U494" s="10"/>
      <c r="V494" s="10"/>
      <c r="W494" s="10"/>
      <c r="X494" s="19"/>
      <c r="Y494" s="1"/>
      <c r="Z494" s="1"/>
      <c r="AA494" s="1"/>
    </row>
    <row r="495" customHeight="1" spans="1:27">
      <c r="A495" s="1" t="str">
        <f>IFERROR(__xludf.DUMMYFUNCTION("""COMPUTED_VALUE"""),"Hurston 134")</f>
        <v>Hurston 134</v>
      </c>
      <c r="B495" s="1" t="str">
        <f>IFERROR(__xludf.DUMMYFUNCTION("""COMPUTED_VALUE"""),"Hurston 152")</f>
        <v>Hurston 152</v>
      </c>
      <c r="C495" s="1" t="str">
        <f>IFERROR(__xludf.DUMMYFUNCTION("""COMPUTED_VALUE"""),"Hurston 118")</f>
        <v>Hurston 118</v>
      </c>
      <c r="D495" s="1" t="str">
        <f>IFERROR(__xludf.DUMMYFUNCTION("""COMPUTED_VALUE"""),"River 06D-064")</f>
        <v>River 06D-064</v>
      </c>
      <c r="E495" s="30" t="str">
        <f>IFERROR(__xludf.DUMMYFUNCTION("""COMPUTED_VALUE"""),"River 06D064")</f>
        <v>River 06D064</v>
      </c>
      <c r="F495" s="10">
        <f>IFERROR(__xludf.DUMMYFUNCTION("""COMPUTED_VALUE"""),-299.12194214148)</f>
        <v>-299.12194214148</v>
      </c>
      <c r="G495" s="10">
        <f>IFERROR(__xludf.DUMMYFUNCTION("""COMPUTED_VALUE"""),-185.31368634153)</f>
        <v>-185.31368634153</v>
      </c>
      <c r="H495" s="10">
        <f>IFERROR(__xludf.DUMMYFUNCTION("""COMPUTED_VALUE"""),-938.22955846523)</f>
        <v>-938.22955846523</v>
      </c>
      <c r="I495" s="13"/>
      <c r="J495" s="13"/>
      <c r="K495" s="13"/>
      <c r="L495" s="13"/>
      <c r="M495" s="1" t="b">
        <f>IFERROR(__xludf.DUMMYFUNCTION("""COMPUTED_VALUE"""),FALSE)</f>
        <v>0</v>
      </c>
      <c r="N495" s="10">
        <f>IFERROR(__xludf.DUMMYFUNCTION("""COMPUTED_VALUE"""),0)</f>
        <v>0</v>
      </c>
      <c r="O495" s="10">
        <f>IFERROR(__xludf.DUMMYFUNCTION("""COMPUTED_VALUE"""),0)</f>
        <v>0</v>
      </c>
      <c r="P495" s="10"/>
      <c r="Q495" s="30"/>
      <c r="R495" s="18"/>
      <c r="S495" s="19"/>
      <c r="T495" s="10"/>
      <c r="U495" s="10"/>
      <c r="V495" s="10"/>
      <c r="W495" s="10"/>
      <c r="X495" s="19"/>
      <c r="Y495" s="1"/>
      <c r="Z495" s="1"/>
      <c r="AA495" s="1"/>
    </row>
    <row r="496" customHeight="1" spans="1:27">
      <c r="A496" s="1" t="str">
        <f>IFERROR(__xludf.DUMMYFUNCTION("""COMPUTED_VALUE"""),"Hurston 138")</f>
        <v>Hurston 138</v>
      </c>
      <c r="B496" s="1" t="str">
        <f>IFERROR(__xludf.DUMMYFUNCTION("""COMPUTED_VALUE"""),"Hurston 156")</f>
        <v>Hurston 156</v>
      </c>
      <c r="C496" s="1" t="str">
        <f>IFERROR(__xludf.DUMMYFUNCTION("""COMPUTED_VALUE"""),"Hurston 07")</f>
        <v>Hurston 07</v>
      </c>
      <c r="D496" s="1" t="str">
        <f>IFERROR(__xludf.DUMMYFUNCTION("""COMPUTED_VALUE"""),"River 57D-680")</f>
        <v>River 57D-680</v>
      </c>
      <c r="E496" s="30" t="str">
        <f>IFERROR(__xludf.DUMMYFUNCTION("""COMPUTED_VALUE"""),"River 57D680")</f>
        <v>River 57D680</v>
      </c>
      <c r="F496" s="10">
        <f>IFERROR(__xludf.DUMMYFUNCTION("""COMPUTED_VALUE"""),-343.94534272749)</f>
        <v>-343.94534272749</v>
      </c>
      <c r="G496" s="10">
        <f>IFERROR(__xludf.DUMMYFUNCTION("""COMPUTED_VALUE"""),127.72060999936)</f>
        <v>127.72060999936</v>
      </c>
      <c r="H496" s="10">
        <f>IFERROR(__xludf.DUMMYFUNCTION("""COMPUTED_VALUE"""),-931.20093209457)</f>
        <v>-931.20093209457</v>
      </c>
      <c r="I496" s="13"/>
      <c r="J496" s="13"/>
      <c r="K496" s="13"/>
      <c r="L496" s="13"/>
      <c r="M496" s="1" t="b">
        <f>IFERROR(__xludf.DUMMYFUNCTION("""COMPUTED_VALUE"""),FALSE)</f>
        <v>0</v>
      </c>
      <c r="N496" s="10">
        <f>IFERROR(__xludf.DUMMYFUNCTION("""COMPUTED_VALUE"""),0)</f>
        <v>0</v>
      </c>
      <c r="O496" s="10">
        <f>IFERROR(__xludf.DUMMYFUNCTION("""COMPUTED_VALUE"""),0)</f>
        <v>0</v>
      </c>
      <c r="P496" s="10"/>
      <c r="Q496" s="30"/>
      <c r="R496" s="18"/>
      <c r="S496" s="19"/>
      <c r="T496" s="10"/>
      <c r="U496" s="10"/>
      <c r="V496" s="10"/>
      <c r="W496" s="10"/>
      <c r="X496" s="19"/>
      <c r="Y496" s="1"/>
      <c r="Z496" s="1"/>
      <c r="AA496" s="1"/>
    </row>
    <row r="497" customHeight="1" spans="1:27">
      <c r="A497" s="1" t="str">
        <f>IFERROR(__xludf.DUMMYFUNCTION("""COMPUTED_VALUE"""),"Hurston 123")</f>
        <v>Hurston 123</v>
      </c>
      <c r="B497" s="1" t="str">
        <f>IFERROR(__xludf.DUMMYFUNCTION("""COMPUTED_VALUE"""),"Hurston 141")</f>
        <v>Hurston 141</v>
      </c>
      <c r="C497" s="1" t="str">
        <f>IFERROR(__xludf.DUMMYFUNCTION("""COMPUTED_VALUE"""),"Hurston 142")</f>
        <v>Hurston 142</v>
      </c>
      <c r="D497" s="1" t="str">
        <f>IFERROR(__xludf.DUMMYFUNCTION("""COMPUTED_VALUE"""),"River 01T")</f>
        <v>River 01T</v>
      </c>
      <c r="E497" s="30" t="str">
        <f>IFERROR(__xludf.DUMMYFUNCTION("""COMPUTED_VALUE"""),"River 01T")</f>
        <v>River 01T</v>
      </c>
      <c r="F497" s="10">
        <f>IFERROR(__xludf.DUMMYFUNCTION("""COMPUTED_VALUE"""),-687.51928250028)</f>
        <v>-687.51928250028</v>
      </c>
      <c r="G497" s="10">
        <f>IFERROR(__xludf.DUMMYFUNCTION("""COMPUTED_VALUE"""),-71.67352933962)</f>
        <v>-71.67352933962</v>
      </c>
      <c r="H497" s="10">
        <f>IFERROR(__xludf.DUMMYFUNCTION("""COMPUTED_VALUE"""),725.63312271877)</f>
        <v>725.63312271877</v>
      </c>
      <c r="I497" s="13"/>
      <c r="J497" s="13"/>
      <c r="K497" s="13"/>
      <c r="L497" s="13"/>
      <c r="M497" s="1" t="b">
        <f>IFERROR(__xludf.DUMMYFUNCTION("""COMPUTED_VALUE"""),FALSE)</f>
        <v>0</v>
      </c>
      <c r="N497" s="10">
        <f>IFERROR(__xludf.DUMMYFUNCTION("""COMPUTED_VALUE"""),0)</f>
        <v>0</v>
      </c>
      <c r="O497" s="10">
        <f>IFERROR(__xludf.DUMMYFUNCTION("""COMPUTED_VALUE"""),0)</f>
        <v>0</v>
      </c>
      <c r="P497" s="10"/>
      <c r="Q497" s="30"/>
      <c r="R497" s="18"/>
      <c r="S497" s="19"/>
      <c r="T497" s="10"/>
      <c r="U497" s="10"/>
      <c r="V497" s="10"/>
      <c r="W497" s="10"/>
      <c r="X497" s="19"/>
      <c r="Y497" s="1"/>
      <c r="Z497" s="1"/>
      <c r="AA497" s="1"/>
    </row>
    <row r="498" customHeight="1" spans="1:27">
      <c r="A498" s="1" t="str">
        <f>IFERROR(__xludf.DUMMYFUNCTION("""COMPUTED_VALUE"""),"Hurston 127")</f>
        <v>Hurston 127</v>
      </c>
      <c r="B498" s="1" t="str">
        <f>IFERROR(__xludf.DUMMYFUNCTION("""COMPUTED_VALUE"""),"Hurston 145")</f>
        <v>Hurston 145</v>
      </c>
      <c r="C498" s="1" t="str">
        <f>IFERROR(__xludf.DUMMYFUNCTION("""COMPUTED_VALUE"""),"Hurston 130")</f>
        <v>Hurston 130</v>
      </c>
      <c r="D498" s="1" t="str">
        <f>IFERROR(__xludf.DUMMYFUNCTION("""COMPUTED_VALUE"""),"River 04S-047")</f>
        <v>River 04S-047</v>
      </c>
      <c r="E498" s="30" t="str">
        <f>IFERROR(__xludf.DUMMYFUNCTION("""COMPUTED_VALUE"""),"River 04S047")</f>
        <v>River 04S047</v>
      </c>
      <c r="F498" s="10">
        <f>IFERROR(__xludf.DUMMYFUNCTION("""COMPUTED_VALUE"""),-722.53990148704)</f>
        <v>-722.53990148704</v>
      </c>
      <c r="G498" s="10">
        <f>IFERROR(__xludf.DUMMYFUNCTION("""COMPUTED_VALUE"""),-314.01957170128)</f>
        <v>-314.01957170128</v>
      </c>
      <c r="H498" s="10">
        <f>IFERROR(__xludf.DUMMYFUNCTION("""COMPUTED_VALUE"""),619.75417366004)</f>
        <v>619.75417366004</v>
      </c>
      <c r="I498" s="13"/>
      <c r="J498" s="13"/>
      <c r="K498" s="13"/>
      <c r="L498" s="13"/>
      <c r="M498" s="1" t="b">
        <f>IFERROR(__xludf.DUMMYFUNCTION("""COMPUTED_VALUE"""),FALSE)</f>
        <v>0</v>
      </c>
      <c r="N498" s="10">
        <f>IFERROR(__xludf.DUMMYFUNCTION("""COMPUTED_VALUE"""),0)</f>
        <v>0</v>
      </c>
      <c r="O498" s="10">
        <f>IFERROR(__xludf.DUMMYFUNCTION("""COMPUTED_VALUE"""),0)</f>
        <v>0</v>
      </c>
      <c r="P498" s="10"/>
      <c r="Q498" s="30"/>
      <c r="R498" s="18"/>
      <c r="S498" s="19"/>
      <c r="T498" s="10"/>
      <c r="U498" s="10"/>
      <c r="V498" s="10"/>
      <c r="W498" s="10"/>
      <c r="X498" s="19"/>
      <c r="Y498" s="1"/>
      <c r="Z498" s="1"/>
      <c r="AA498" s="1"/>
    </row>
    <row r="499" customHeight="1" spans="1:27">
      <c r="A499" s="1" t="str">
        <f>IFERROR(__xludf.DUMMYFUNCTION("""COMPUTED_VALUE"""),"Hurston 136")</f>
        <v>Hurston 136</v>
      </c>
      <c r="B499" s="1" t="str">
        <f>IFERROR(__xludf.DUMMYFUNCTION("""COMPUTED_VALUE"""),"Hurston 154")</f>
        <v>Hurston 154</v>
      </c>
      <c r="C499" s="1" t="str">
        <f>IFERROR(__xludf.DUMMYFUNCTION("""COMPUTED_VALUE"""),"Hurston 14")</f>
        <v>Hurston 14</v>
      </c>
      <c r="D499" s="1" t="str">
        <f>IFERROR(__xludf.DUMMYFUNCTION("""COMPUTED_VALUE"""),"River 56D")</f>
        <v>River 56D</v>
      </c>
      <c r="E499" s="30" t="str">
        <f>IFERROR(__xludf.DUMMYFUNCTION("""COMPUTED_VALUE"""),"River 56D")</f>
        <v>River 56D</v>
      </c>
      <c r="F499" s="10">
        <f>IFERROR(__xludf.DUMMYFUNCTION("""COMPUTED_VALUE"""),-303.93518536825)</f>
        <v>-303.93518536825</v>
      </c>
      <c r="G499" s="10">
        <f>IFERROR(__xludf.DUMMYFUNCTION("""COMPUTED_VALUE"""),141.44256091804)</f>
        <v>141.44256091804</v>
      </c>
      <c r="H499" s="10">
        <f>IFERROR(__xludf.DUMMYFUNCTION("""COMPUTED_VALUE"""),-943.31009946233)</f>
        <v>-943.31009946233</v>
      </c>
      <c r="I499" s="13"/>
      <c r="J499" s="13"/>
      <c r="K499" s="13"/>
      <c r="L499" s="13"/>
      <c r="M499" s="1" t="b">
        <f>IFERROR(__xludf.DUMMYFUNCTION("""COMPUTED_VALUE"""),FALSE)</f>
        <v>0</v>
      </c>
      <c r="N499" s="10">
        <f>IFERROR(__xludf.DUMMYFUNCTION("""COMPUTED_VALUE"""),0)</f>
        <v>0</v>
      </c>
      <c r="O499" s="10">
        <f>IFERROR(__xludf.DUMMYFUNCTION("""COMPUTED_VALUE"""),0)</f>
        <v>0</v>
      </c>
      <c r="P499" s="10"/>
      <c r="Q499" s="30"/>
      <c r="R499" s="18"/>
      <c r="S499" s="19"/>
      <c r="T499" s="10"/>
      <c r="U499" s="10"/>
      <c r="V499" s="10"/>
      <c r="W499" s="10"/>
      <c r="X499" s="19"/>
      <c r="Y499" s="1"/>
      <c r="Z499" s="1"/>
      <c r="AA499" s="1"/>
    </row>
    <row r="500" customHeight="1" spans="1:27">
      <c r="A500" s="1" t="str">
        <f>IFERROR(__xludf.DUMMYFUNCTION("""COMPUTED_VALUE"""),"Hurston 131")</f>
        <v>Hurston 131</v>
      </c>
      <c r="B500" s="1" t="str">
        <f>IFERROR(__xludf.DUMMYFUNCTION("""COMPUTED_VALUE"""),"Hurston 149")</f>
        <v>Hurston 149</v>
      </c>
      <c r="C500" s="1" t="str">
        <f>IFERROR(__xludf.DUMMYFUNCTION("""COMPUTED_VALUE"""),"Hurston 125")</f>
        <v>Hurston 125</v>
      </c>
      <c r="D500" s="1" t="str">
        <f>IFERROR(__xludf.DUMMYFUNCTION("""COMPUTED_VALUE"""),"River 05T-X32")</f>
        <v>River 05T-X32</v>
      </c>
      <c r="E500" s="30" t="str">
        <f>IFERROR(__xludf.DUMMYFUNCTION("""COMPUTED_VALUE"""),"River 05TX32")</f>
        <v>River 05TX32</v>
      </c>
      <c r="F500" s="10">
        <f>IFERROR(__xludf.DUMMYFUNCTION("""COMPUTED_VALUE"""),-690.16878529147)</f>
        <v>-690.16878529147</v>
      </c>
      <c r="G500" s="10">
        <f>IFERROR(__xludf.DUMMYFUNCTION("""COMPUTED_VALUE"""),-316.5462889275)</f>
        <v>-316.5462889275</v>
      </c>
      <c r="H500" s="10">
        <f>IFERROR(__xludf.DUMMYFUNCTION("""COMPUTED_VALUE"""),653.87139276595)</f>
        <v>653.87139276595</v>
      </c>
      <c r="I500" s="13"/>
      <c r="J500" s="13"/>
      <c r="K500" s="13"/>
      <c r="L500" s="13"/>
      <c r="M500" s="1" t="b">
        <f>IFERROR(__xludf.DUMMYFUNCTION("""COMPUTED_VALUE"""),FALSE)</f>
        <v>0</v>
      </c>
      <c r="N500" s="10">
        <f>IFERROR(__xludf.DUMMYFUNCTION("""COMPUTED_VALUE"""),0)</f>
        <v>0</v>
      </c>
      <c r="O500" s="10">
        <f>IFERROR(__xludf.DUMMYFUNCTION("""COMPUTED_VALUE"""),0)</f>
        <v>0</v>
      </c>
      <c r="P500" s="10"/>
      <c r="Q500" s="30"/>
      <c r="R500" s="18"/>
      <c r="S500" s="19"/>
      <c r="T500" s="10"/>
      <c r="U500" s="10"/>
      <c r="V500" s="10"/>
      <c r="W500" s="10"/>
      <c r="X500" s="19"/>
      <c r="Y500" s="1"/>
      <c r="Z500" s="1"/>
      <c r="AA500" s="1"/>
    </row>
    <row r="501" customHeight="1" spans="1:27">
      <c r="A501" s="1" t="str">
        <f>IFERROR(__xludf.DUMMYFUNCTION("""COMPUTED_VALUE"""),"Hurston 124")</f>
        <v>Hurston 124</v>
      </c>
      <c r="B501" s="1" t="str">
        <f>IFERROR(__xludf.DUMMYFUNCTION("""COMPUTED_VALUE"""),"Hurston 142")</f>
        <v>Hurston 142</v>
      </c>
      <c r="C501" s="1" t="str">
        <f>IFERROR(__xludf.DUMMYFUNCTION("""COMPUTED_VALUE"""),"Hurston 140")</f>
        <v>Hurston 140</v>
      </c>
      <c r="D501" s="1" t="str">
        <f>IFERROR(__xludf.DUMMYFUNCTION("""COMPUTED_VALUE"""),"River 02T-016")</f>
        <v>River 02T-016</v>
      </c>
      <c r="E501" s="30" t="str">
        <f>IFERROR(__xludf.DUMMYFUNCTION("""COMPUTED_VALUE"""),"River 02T016")</f>
        <v>River 02T016</v>
      </c>
      <c r="F501" s="10">
        <f>IFERROR(__xludf.DUMMYFUNCTION("""COMPUTED_VALUE"""),-680.96031327602)</f>
        <v>-680.96031327602</v>
      </c>
      <c r="G501" s="10">
        <f>IFERROR(__xludf.DUMMYFUNCTION("""COMPUTED_VALUE"""),-92.07736753096)</f>
        <v>-92.07736753096</v>
      </c>
      <c r="H501" s="10">
        <f>IFERROR(__xludf.DUMMYFUNCTION("""COMPUTED_VALUE"""),728.45129729673)</f>
        <v>728.45129729673</v>
      </c>
      <c r="I501" s="13"/>
      <c r="J501" s="13"/>
      <c r="K501" s="13"/>
      <c r="L501" s="13"/>
      <c r="M501" s="1" t="b">
        <f>IFERROR(__xludf.DUMMYFUNCTION("""COMPUTED_VALUE"""),FALSE)</f>
        <v>0</v>
      </c>
      <c r="N501" s="10">
        <f>IFERROR(__xludf.DUMMYFUNCTION("""COMPUTED_VALUE"""),0)</f>
        <v>0</v>
      </c>
      <c r="O501" s="10">
        <f>IFERROR(__xludf.DUMMYFUNCTION("""COMPUTED_VALUE"""),0)</f>
        <v>0</v>
      </c>
      <c r="P501" s="10"/>
      <c r="Q501" s="30"/>
      <c r="R501" s="18"/>
      <c r="S501" s="19"/>
      <c r="T501" s="10"/>
      <c r="U501" s="10"/>
      <c r="V501" s="10"/>
      <c r="W501" s="10"/>
      <c r="X501" s="19"/>
      <c r="Y501" s="1"/>
      <c r="Z501" s="1"/>
      <c r="AA501" s="1"/>
    </row>
    <row r="502" customHeight="1" spans="1:27">
      <c r="A502" s="1" t="str">
        <f>IFERROR(__xludf.DUMMYFUNCTION("""COMPUTED_VALUE"""),"Hurston 137")</f>
        <v>Hurston 137</v>
      </c>
      <c r="B502" s="1" t="str">
        <f>IFERROR(__xludf.DUMMYFUNCTION("""COMPUTED_VALUE"""),"Hurston 155")</f>
        <v>Hurston 155</v>
      </c>
      <c r="C502" s="1" t="str">
        <f>IFERROR(__xludf.DUMMYFUNCTION("""COMPUTED_VALUE"""),"Hurston 13")</f>
        <v>Hurston 13</v>
      </c>
      <c r="D502" s="1" t="str">
        <f>IFERROR(__xludf.DUMMYFUNCTION("""COMPUTED_VALUE"""),"River 57D-673")</f>
        <v>River 57D-673</v>
      </c>
      <c r="E502" s="30" t="str">
        <f>IFERROR(__xludf.DUMMYFUNCTION("""COMPUTED_VALUE"""),"River 57D673")</f>
        <v>River 57D673</v>
      </c>
      <c r="F502" s="10">
        <f>IFERROR(__xludf.DUMMYFUNCTION("""COMPUTED_VALUE"""),-314.89171776403)</f>
        <v>-314.89171776403</v>
      </c>
      <c r="G502" s="10">
        <f>IFERROR(__xludf.DUMMYFUNCTION("""COMPUTED_VALUE"""),137.10777615271)</f>
        <v>137.10777615271</v>
      </c>
      <c r="H502" s="10">
        <f>IFERROR(__xludf.DUMMYFUNCTION("""COMPUTED_VALUE"""),-940.44037338477)</f>
        <v>-940.44037338477</v>
      </c>
      <c r="I502" s="13"/>
      <c r="J502" s="13"/>
      <c r="K502" s="13"/>
      <c r="L502" s="13"/>
      <c r="M502" s="1" t="b">
        <f>IFERROR(__xludf.DUMMYFUNCTION("""COMPUTED_VALUE"""),FALSE)</f>
        <v>0</v>
      </c>
      <c r="N502" s="10">
        <f>IFERROR(__xludf.DUMMYFUNCTION("""COMPUTED_VALUE"""),0)</f>
        <v>0</v>
      </c>
      <c r="O502" s="10">
        <f>IFERROR(__xludf.DUMMYFUNCTION("""COMPUTED_VALUE"""),0)</f>
        <v>0</v>
      </c>
      <c r="P502" s="10"/>
      <c r="Q502" s="30"/>
      <c r="R502" s="18"/>
      <c r="S502" s="19"/>
      <c r="T502" s="10"/>
      <c r="U502" s="10"/>
      <c r="V502" s="10"/>
      <c r="W502" s="10"/>
      <c r="X502" s="19"/>
      <c r="Y502" s="1"/>
      <c r="Z502" s="1"/>
      <c r="AA502" s="1"/>
    </row>
    <row r="503" customHeight="1" spans="1:27">
      <c r="A503" s="1" t="str">
        <f>IFERROR(__xludf.DUMMYFUNCTION("""COMPUTED_VALUE"""),"Hurston 135")</f>
        <v>Hurston 135</v>
      </c>
      <c r="B503" s="1" t="str">
        <f>IFERROR(__xludf.DUMMYFUNCTION("""COMPUTED_VALUE"""),"Hurston 153")</f>
        <v>Hurston 153</v>
      </c>
      <c r="C503" s="1" t="str">
        <f>IFERROR(__xludf.DUMMYFUNCTION("""COMPUTED_VALUE"""),"Hurston 113")</f>
        <v>Hurston 113</v>
      </c>
      <c r="D503" s="1" t="str">
        <f>IFERROR(__xludf.DUMMYFUNCTION("""COMPUTED_VALUE"""),"River 09C")</f>
        <v>River 09C</v>
      </c>
      <c r="E503" s="30" t="str">
        <f>IFERROR(__xludf.DUMMYFUNCTION("""COMPUTED_VALUE"""),"River 09C")</f>
        <v>River 09C</v>
      </c>
      <c r="F503" s="10">
        <f>IFERROR(__xludf.DUMMYFUNCTION("""COMPUTED_VALUE"""),-126.82639095234)</f>
        <v>-126.82639095234</v>
      </c>
      <c r="G503" s="10">
        <f>IFERROR(__xludf.DUMMYFUNCTION("""COMPUTED_VALUE"""),-156.79135320686)</f>
        <v>-156.79135320686</v>
      </c>
      <c r="H503" s="10">
        <f>IFERROR(__xludf.DUMMYFUNCTION("""COMPUTED_VALUE"""),-981.60257898767)</f>
        <v>-981.60257898767</v>
      </c>
      <c r="I503" s="13"/>
      <c r="J503" s="13"/>
      <c r="K503" s="13"/>
      <c r="L503" s="13"/>
      <c r="M503" s="1" t="b">
        <f>IFERROR(__xludf.DUMMYFUNCTION("""COMPUTED_VALUE"""),FALSE)</f>
        <v>0</v>
      </c>
      <c r="N503" s="10">
        <f>IFERROR(__xludf.DUMMYFUNCTION("""COMPUTED_VALUE"""),0)</f>
        <v>0</v>
      </c>
      <c r="O503" s="10">
        <f>IFERROR(__xludf.DUMMYFUNCTION("""COMPUTED_VALUE"""),0)</f>
        <v>0</v>
      </c>
      <c r="P503" s="10"/>
      <c r="Q503" s="30"/>
      <c r="R503" s="18"/>
      <c r="S503" s="19"/>
      <c r="T503" s="10"/>
      <c r="U503" s="10"/>
      <c r="V503" s="10"/>
      <c r="W503" s="10"/>
      <c r="X503" s="19"/>
      <c r="Y503" s="1"/>
      <c r="Z503" s="1"/>
      <c r="AA503" s="1"/>
    </row>
    <row r="504" customHeight="1" spans="1:27">
      <c r="A504" s="1" t="str">
        <f>IFERROR(__xludf.DUMMYFUNCTION("""COMPUTED_VALUE"""),"Hurston 133")</f>
        <v>Hurston 133</v>
      </c>
      <c r="B504" s="1" t="str">
        <f>IFERROR(__xludf.DUMMYFUNCTION("""COMPUTED_VALUE"""),"Hurston 151")</f>
        <v>Hurston 151</v>
      </c>
      <c r="C504" s="1" t="str">
        <f>IFERROR(__xludf.DUMMYFUNCTION("""COMPUTED_VALUE"""),"Hurston 119")</f>
        <v>Hurston 119</v>
      </c>
      <c r="D504" s="1" t="str">
        <f>IFERROR(__xludf.DUMMYFUNCTION("""COMPUTED_VALUE"""),"River 06D-062")</f>
        <v>River 06D-062</v>
      </c>
      <c r="E504" s="30" t="str">
        <f>IFERROR(__xludf.DUMMYFUNCTION("""COMPUTED_VALUE"""),"River 06D062")</f>
        <v>River 06D062</v>
      </c>
      <c r="F504" s="10">
        <f>IFERROR(__xludf.DUMMYFUNCTION("""COMPUTED_VALUE"""),-350.60060990951)</f>
        <v>-350.60060990951</v>
      </c>
      <c r="G504" s="10">
        <f>IFERROR(__xludf.DUMMYFUNCTION("""COMPUTED_VALUE"""),-210.51961560391)</f>
        <v>-210.51961560391</v>
      </c>
      <c r="H504" s="10">
        <f>IFERROR(__xludf.DUMMYFUNCTION("""COMPUTED_VALUE"""),-913.86932924728)</f>
        <v>-913.86932924728</v>
      </c>
      <c r="I504" s="13"/>
      <c r="J504" s="13"/>
      <c r="K504" s="13"/>
      <c r="L504" s="13"/>
      <c r="M504" s="1" t="b">
        <f>IFERROR(__xludf.DUMMYFUNCTION("""COMPUTED_VALUE"""),FALSE)</f>
        <v>0</v>
      </c>
      <c r="N504" s="10">
        <f>IFERROR(__xludf.DUMMYFUNCTION("""COMPUTED_VALUE"""),0)</f>
        <v>0</v>
      </c>
      <c r="O504" s="10">
        <f>IFERROR(__xludf.DUMMYFUNCTION("""COMPUTED_VALUE"""),0)</f>
        <v>0</v>
      </c>
      <c r="P504" s="10"/>
      <c r="Q504" s="30"/>
      <c r="R504" s="18"/>
      <c r="S504" s="19"/>
      <c r="T504" s="10"/>
      <c r="U504" s="10"/>
      <c r="V504" s="10"/>
      <c r="W504" s="10"/>
      <c r="X504" s="19"/>
      <c r="Y504" s="1"/>
      <c r="Z504" s="1"/>
      <c r="AA504" s="1"/>
    </row>
    <row r="505" customHeight="1" spans="1:27">
      <c r="A505" s="1" t="str">
        <f>IFERROR(__xludf.DUMMYFUNCTION("""COMPUTED_VALUE"""),"Hurston 141")</f>
        <v>Hurston 141</v>
      </c>
      <c r="B505" s="1" t="str">
        <f>IFERROR(__xludf.DUMMYFUNCTION("""COMPUTED_VALUE"""),"Hurston 159")</f>
        <v>Hurston 159</v>
      </c>
      <c r="C505" s="1" t="str">
        <f>IFERROR(__xludf.DUMMYFUNCTION("""COMPUTED_VALUE"""),"Hurston 43")</f>
        <v>Hurston 43</v>
      </c>
      <c r="D505" s="1" t="str">
        <f>IFERROR(__xludf.DUMMYFUNCTION("""COMPUTED_VALUE"""),"River BBN")</f>
        <v>River BBN</v>
      </c>
      <c r="E505" s="30" t="str">
        <f>IFERROR(__xludf.DUMMYFUNCTION("""COMPUTED_VALUE"""),"River BBN")</f>
        <v>River BBN</v>
      </c>
      <c r="F505" s="10">
        <f>IFERROR(__xludf.DUMMYFUNCTION("""COMPUTED_VALUE"""),9.53069568841)</f>
        <v>9.53069568841</v>
      </c>
      <c r="G505" s="10">
        <f>IFERROR(__xludf.DUMMYFUNCTION("""COMPUTED_VALUE"""),105.96113200714)</f>
        <v>105.96113200714</v>
      </c>
      <c r="H505" s="10">
        <f>IFERROR(__xludf.DUMMYFUNCTION("""COMPUTED_VALUE"""),-995.354769734889)</f>
        <v>-995.354769734889</v>
      </c>
      <c r="I505" s="13"/>
      <c r="J505" s="13"/>
      <c r="K505" s="13"/>
      <c r="L505" s="13"/>
      <c r="M505" s="1" t="b">
        <f>IFERROR(__xludf.DUMMYFUNCTION("""COMPUTED_VALUE"""),FALSE)</f>
        <v>0</v>
      </c>
      <c r="N505" s="10">
        <f>IFERROR(__xludf.DUMMYFUNCTION("""COMPUTED_VALUE"""),0)</f>
        <v>0</v>
      </c>
      <c r="O505" s="10">
        <f>IFERROR(__xludf.DUMMYFUNCTION("""COMPUTED_VALUE"""),0)</f>
        <v>0</v>
      </c>
      <c r="P505" s="10"/>
      <c r="Q505" s="30"/>
      <c r="R505" s="18"/>
      <c r="S505" s="19"/>
      <c r="T505" s="10"/>
      <c r="U505" s="10"/>
      <c r="V505" s="10"/>
      <c r="W505" s="10"/>
      <c r="X505" s="19"/>
      <c r="Y505" s="1"/>
      <c r="Z505" s="1"/>
      <c r="AA505" s="1"/>
    </row>
    <row r="506" customHeight="1" spans="1:27">
      <c r="A506" s="1" t="str">
        <f>IFERROR(__xludf.DUMMYFUNCTION("""COMPUTED_VALUE"""),"Hurston 126")</f>
        <v>Hurston 126</v>
      </c>
      <c r="B506" s="1" t="str">
        <f>IFERROR(__xludf.DUMMYFUNCTION("""COMPUTED_VALUE"""),"Hurston 144")</f>
        <v>Hurston 144</v>
      </c>
      <c r="C506" s="1" t="str">
        <f>IFERROR(__xludf.DUMMYFUNCTION("""COMPUTED_VALUE"""),"Hurston 134")</f>
        <v>Hurston 134</v>
      </c>
      <c r="D506" s="1" t="str">
        <f>IFERROR(__xludf.DUMMYFUNCTION("""COMPUTED_VALUE"""),"River 04F")</f>
        <v>River 04F</v>
      </c>
      <c r="E506" s="30" t="str">
        <f>IFERROR(__xludf.DUMMYFUNCTION("""COMPUTED_VALUE"""),"River 04F")</f>
        <v>River 04F</v>
      </c>
      <c r="F506" s="10">
        <f>IFERROR(__xludf.DUMMYFUNCTION("""COMPUTED_VALUE"""),-567.53198209808)</f>
        <v>-567.53198209808</v>
      </c>
      <c r="G506" s="10">
        <f>IFERROR(__xludf.DUMMYFUNCTION("""COMPUTED_VALUE"""),-197.87379302837)</f>
        <v>-197.87379302837</v>
      </c>
      <c r="H506" s="10">
        <f>IFERROR(__xludf.DUMMYFUNCTION("""COMPUTED_VALUE"""),-799.84755264195)</f>
        <v>-799.84755264195</v>
      </c>
      <c r="I506" s="13"/>
      <c r="J506" s="13"/>
      <c r="K506" s="13"/>
      <c r="L506" s="13"/>
      <c r="M506" s="1" t="b">
        <f>IFERROR(__xludf.DUMMYFUNCTION("""COMPUTED_VALUE"""),FALSE)</f>
        <v>0</v>
      </c>
      <c r="N506" s="10">
        <f>IFERROR(__xludf.DUMMYFUNCTION("""COMPUTED_VALUE"""),0)</f>
        <v>0</v>
      </c>
      <c r="O506" s="10">
        <f>IFERROR(__xludf.DUMMYFUNCTION("""COMPUTED_VALUE"""),0)</f>
        <v>0</v>
      </c>
      <c r="P506" s="10"/>
      <c r="Q506" s="30"/>
      <c r="R506" s="18"/>
      <c r="S506" s="19"/>
      <c r="T506" s="10"/>
      <c r="U506" s="10"/>
      <c r="V506" s="10"/>
      <c r="W506" s="10"/>
      <c r="X506" s="19"/>
      <c r="Y506" s="1"/>
      <c r="Z506" s="1"/>
      <c r="AA506" s="1"/>
    </row>
    <row r="507" customHeight="1" spans="1:27">
      <c r="A507" s="1" t="str">
        <f>IFERROR(__xludf.DUMMYFUNCTION("""COMPUTED_VALUE"""),"Hurston 125")</f>
        <v>Hurston 125</v>
      </c>
      <c r="B507" s="1" t="str">
        <f>IFERROR(__xludf.DUMMYFUNCTION("""COMPUTED_VALUE"""),"Hurston 143")</f>
        <v>Hurston 143</v>
      </c>
      <c r="C507" s="1" t="str">
        <f>IFERROR(__xludf.DUMMYFUNCTION("""COMPUTED_VALUE"""),"Hurston 138")</f>
        <v>Hurston 138</v>
      </c>
      <c r="D507" s="1" t="str">
        <f>IFERROR(__xludf.DUMMYFUNCTION("""COMPUTED_VALUE"""),"River 02T-024")</f>
        <v>River 02T-024</v>
      </c>
      <c r="E507" s="30" t="str">
        <f>IFERROR(__xludf.DUMMYFUNCTION("""COMPUTED_VALUE"""),"River 02T024")</f>
        <v>River 02T024</v>
      </c>
      <c r="F507" s="10">
        <f>IFERROR(__xludf.DUMMYFUNCTION("""COMPUTED_VALUE"""),-711.7388356347)</f>
        <v>-711.7388356347</v>
      </c>
      <c r="G507" s="10">
        <f>IFERROR(__xludf.DUMMYFUNCTION("""COMPUTED_VALUE"""),-150.11837209745)</f>
        <v>-150.11837209745</v>
      </c>
      <c r="H507" s="10">
        <f>IFERROR(__xludf.DUMMYFUNCTION("""COMPUTED_VALUE"""),689.39730382809)</f>
        <v>689.39730382809</v>
      </c>
      <c r="I507" s="13"/>
      <c r="J507" s="13"/>
      <c r="K507" s="13"/>
      <c r="L507" s="13"/>
      <c r="M507" s="1" t="b">
        <f>IFERROR(__xludf.DUMMYFUNCTION("""COMPUTED_VALUE"""),FALSE)</f>
        <v>0</v>
      </c>
      <c r="N507" s="10">
        <f>IFERROR(__xludf.DUMMYFUNCTION("""COMPUTED_VALUE"""),0)</f>
        <v>0</v>
      </c>
      <c r="O507" s="10">
        <f>IFERROR(__xludf.DUMMYFUNCTION("""COMPUTED_VALUE"""),0)</f>
        <v>0</v>
      </c>
      <c r="P507" s="10"/>
      <c r="Q507" s="30"/>
      <c r="R507" s="18"/>
      <c r="S507" s="19"/>
      <c r="T507" s="10"/>
      <c r="U507" s="10"/>
      <c r="V507" s="10"/>
      <c r="W507" s="10"/>
      <c r="X507" s="19"/>
      <c r="Y507" s="1"/>
      <c r="Z507" s="1"/>
      <c r="AA507" s="1"/>
    </row>
    <row r="508" customHeight="1" spans="1:27">
      <c r="A508" s="1"/>
      <c r="B508" s="1"/>
      <c r="C508" s="1"/>
      <c r="D508" s="1"/>
      <c r="E508" s="30"/>
      <c r="F508" s="10"/>
      <c r="G508" s="10"/>
      <c r="H508" s="10"/>
      <c r="I508" s="13"/>
      <c r="J508" s="13"/>
      <c r="K508" s="13"/>
      <c r="L508" s="13"/>
      <c r="M508" s="1"/>
      <c r="N508" s="10"/>
      <c r="O508" s="10"/>
      <c r="P508" s="10"/>
      <c r="Q508" s="30"/>
      <c r="R508" s="18"/>
      <c r="S508" s="19"/>
      <c r="T508" s="10"/>
      <c r="U508" s="10"/>
      <c r="V508" s="10"/>
      <c r="W508" s="10"/>
      <c r="X508" s="19"/>
      <c r="Y508" s="1"/>
      <c r="Z508" s="1"/>
      <c r="AA508" s="1"/>
    </row>
    <row r="509" customHeight="1" spans="1:27">
      <c r="A509" s="1" t="str">
        <f>IFERROR(__xludf.DUMMYFUNCTION("""COMPUTED_VALUE"""),"Ita R01")</f>
        <v>Ita R01</v>
      </c>
      <c r="B509" s="1" t="str">
        <f>IFERROR(__xludf.DUMMYFUNCTION("""COMPUTED_VALUE"""),"Ita 50")</f>
        <v>Ita 50</v>
      </c>
      <c r="C509" s="1"/>
      <c r="D509" s="1" t="str">
        <f>IFERROR(__xludf.DUMMYFUNCTION("""COMPUTED_VALUE"""),"OM-1")</f>
        <v>OM-1</v>
      </c>
      <c r="E509" s="30" t="str">
        <f>IFERROR(__xludf.DUMMYFUNCTION("""COMPUTED_VALUE"""),"OM1")</f>
        <v>OM1</v>
      </c>
      <c r="F509" s="10">
        <f>IFERROR(__xludf.DUMMYFUNCTION("""COMPUTED_VALUE"""),0)</f>
        <v>0</v>
      </c>
      <c r="G509" s="10">
        <f>IFERROR(__xludf.DUMMYFUNCTION("""COMPUTED_VALUE"""),0)</f>
        <v>0</v>
      </c>
      <c r="H509" s="10">
        <f>IFERROR(__xludf.DUMMYFUNCTION("""COMPUTED_VALUE"""),472.453)</f>
        <v>472.453</v>
      </c>
      <c r="I509" s="13"/>
      <c r="J509" s="13"/>
      <c r="K509" s="13"/>
      <c r="L509" s="13"/>
      <c r="M509" s="1" t="b">
        <f>IFERROR(__xludf.DUMMYFUNCTION("""COMPUTED_VALUE"""),TRUE)</f>
        <v>1</v>
      </c>
      <c r="N509" s="10">
        <f>IFERROR(__xludf.DUMMYFUNCTION("""COMPUTED_VALUE"""),0)</f>
        <v>0</v>
      </c>
      <c r="O509" s="10">
        <f>IFERROR(__xludf.DUMMYFUNCTION("""COMPUTED_VALUE"""),0)</f>
        <v>0</v>
      </c>
      <c r="P509" s="10"/>
      <c r="Q509" s="30"/>
      <c r="R509" s="18"/>
      <c r="S509" s="19"/>
      <c r="T509" s="10"/>
      <c r="U509" s="10"/>
      <c r="V509" s="10"/>
      <c r="W509" s="10"/>
      <c r="X509" s="19"/>
      <c r="Y509" s="1"/>
      <c r="Z509" s="1"/>
      <c r="AA509" s="1"/>
    </row>
    <row r="510" customHeight="1" spans="1:27">
      <c r="A510" s="1" t="str">
        <f>IFERROR(__xludf.DUMMYFUNCTION("""COMPUTED_VALUE"""),"Ita R02")</f>
        <v>Ita R02</v>
      </c>
      <c r="B510" s="1" t="str">
        <f>IFERROR(__xludf.DUMMYFUNCTION("""COMPUTED_VALUE"""),"Ita 51")</f>
        <v>Ita 51</v>
      </c>
      <c r="C510" s="1"/>
      <c r="D510" s="1" t="str">
        <f>IFERROR(__xludf.DUMMYFUNCTION("""COMPUTED_VALUE"""),"OM-2")</f>
        <v>OM-2</v>
      </c>
      <c r="E510" s="30" t="str">
        <f>IFERROR(__xludf.DUMMYFUNCTION("""COMPUTED_VALUE"""),"OM2")</f>
        <v>OM2</v>
      </c>
      <c r="F510" s="10">
        <f>IFERROR(__xludf.DUMMYFUNCTION("""COMPUTED_VALUE"""),0)</f>
        <v>0</v>
      </c>
      <c r="G510" s="10">
        <f>IFERROR(__xludf.DUMMYFUNCTION("""COMPUTED_VALUE"""),0)</f>
        <v>0</v>
      </c>
      <c r="H510" s="10">
        <f>IFERROR(__xludf.DUMMYFUNCTION("""COMPUTED_VALUE"""),-472.453)</f>
        <v>-472.453</v>
      </c>
      <c r="I510" s="13"/>
      <c r="J510" s="13"/>
      <c r="K510" s="13"/>
      <c r="L510" s="13"/>
      <c r="M510" s="1" t="b">
        <f>IFERROR(__xludf.DUMMYFUNCTION("""COMPUTED_VALUE"""),TRUE)</f>
        <v>1</v>
      </c>
      <c r="N510" s="10">
        <f>IFERROR(__xludf.DUMMYFUNCTION("""COMPUTED_VALUE"""),0)</f>
        <v>0</v>
      </c>
      <c r="O510" s="10">
        <f>IFERROR(__xludf.DUMMYFUNCTION("""COMPUTED_VALUE"""),0)</f>
        <v>0</v>
      </c>
      <c r="P510" s="10"/>
      <c r="Q510" s="30"/>
      <c r="R510" s="18"/>
      <c r="S510" s="19"/>
      <c r="T510" s="10"/>
      <c r="U510" s="10"/>
      <c r="V510" s="10"/>
      <c r="W510" s="10"/>
      <c r="X510" s="19"/>
      <c r="Y510" s="1"/>
      <c r="Z510" s="1"/>
      <c r="AA510" s="1"/>
    </row>
    <row r="511" customHeight="1" spans="1:27">
      <c r="A511" s="1" t="str">
        <f>IFERROR(__xludf.DUMMYFUNCTION("""COMPUTED_VALUE"""),"Ita R03")</f>
        <v>Ita R03</v>
      </c>
      <c r="B511" s="1" t="str">
        <f>IFERROR(__xludf.DUMMYFUNCTION("""COMPUTED_VALUE"""),"Ita 52")</f>
        <v>Ita 52</v>
      </c>
      <c r="C511" s="1" t="str">
        <f>IFERROR(__xludf.DUMMYFUNCTION("""COMPUTED_VALUE"""),"Ita 09")</f>
        <v>Ita 09</v>
      </c>
      <c r="D511" s="1" t="str">
        <f>IFERROR(__xludf.DUMMYFUNCTION("""COMPUTED_VALUE"""),"OM-3")</f>
        <v>OM-3</v>
      </c>
      <c r="E511" s="30" t="str">
        <f>IFERROR(__xludf.DUMMYFUNCTION("""COMPUTED_VALUE"""),"OM3")</f>
        <v>OM3</v>
      </c>
      <c r="F511" s="10">
        <f>IFERROR(__xludf.DUMMYFUNCTION("""COMPUTED_VALUE"""),0)</f>
        <v>0</v>
      </c>
      <c r="G511" s="10">
        <f>IFERROR(__xludf.DUMMYFUNCTION("""COMPUTED_VALUE"""),472.453)</f>
        <v>472.453</v>
      </c>
      <c r="H511" s="10">
        <f>IFERROR(__xludf.DUMMYFUNCTION("""COMPUTED_VALUE"""),0)</f>
        <v>0</v>
      </c>
      <c r="I511" s="13"/>
      <c r="J511" s="13"/>
      <c r="K511" s="13"/>
      <c r="L511" s="13"/>
      <c r="M511" s="1" t="b">
        <f>IFERROR(__xludf.DUMMYFUNCTION("""COMPUTED_VALUE"""),TRUE)</f>
        <v>1</v>
      </c>
      <c r="N511" s="10">
        <f>IFERROR(__xludf.DUMMYFUNCTION("""COMPUTED_VALUE"""),0)</f>
        <v>0</v>
      </c>
      <c r="O511" s="10">
        <f>IFERROR(__xludf.DUMMYFUNCTION("""COMPUTED_VALUE"""),0)</f>
        <v>0</v>
      </c>
      <c r="P511" s="10"/>
      <c r="Q511" s="30"/>
      <c r="R511" s="18"/>
      <c r="S511" s="19"/>
      <c r="T511" s="10"/>
      <c r="U511" s="10"/>
      <c r="V511" s="10"/>
      <c r="W511" s="10"/>
      <c r="X511" s="19"/>
      <c r="Y511" s="1"/>
      <c r="Z511" s="1"/>
      <c r="AA511" s="1"/>
    </row>
    <row r="512" customHeight="1" spans="1:27">
      <c r="A512" s="1" t="str">
        <f>IFERROR(__xludf.DUMMYFUNCTION("""COMPUTED_VALUE"""),"Ita R04")</f>
        <v>Ita R04</v>
      </c>
      <c r="B512" s="1" t="str">
        <f>IFERROR(__xludf.DUMMYFUNCTION("""COMPUTED_VALUE"""),"Ita 53")</f>
        <v>Ita 53</v>
      </c>
      <c r="C512" s="1" t="str">
        <f>IFERROR(__xludf.DUMMYFUNCTION("""COMPUTED_VALUE"""),"Ita 31")</f>
        <v>Ita 31</v>
      </c>
      <c r="D512" s="1" t="str">
        <f>IFERROR(__xludf.DUMMYFUNCTION("""COMPUTED_VALUE"""),"OM-4")</f>
        <v>OM-4</v>
      </c>
      <c r="E512" s="30" t="str">
        <f>IFERROR(__xludf.DUMMYFUNCTION("""COMPUTED_VALUE"""),"OM4")</f>
        <v>OM4</v>
      </c>
      <c r="F512" s="10">
        <f>IFERROR(__xludf.DUMMYFUNCTION("""COMPUTED_VALUE"""),0)</f>
        <v>0</v>
      </c>
      <c r="G512" s="10">
        <f>IFERROR(__xludf.DUMMYFUNCTION("""COMPUTED_VALUE"""),-472.453)</f>
        <v>-472.453</v>
      </c>
      <c r="H512" s="10">
        <f>IFERROR(__xludf.DUMMYFUNCTION("""COMPUTED_VALUE"""),0)</f>
        <v>0</v>
      </c>
      <c r="I512" s="13"/>
      <c r="J512" s="13"/>
      <c r="K512" s="13"/>
      <c r="L512" s="13"/>
      <c r="M512" s="1" t="b">
        <f>IFERROR(__xludf.DUMMYFUNCTION("""COMPUTED_VALUE"""),TRUE)</f>
        <v>1</v>
      </c>
      <c r="N512" s="10">
        <f>IFERROR(__xludf.DUMMYFUNCTION("""COMPUTED_VALUE"""),0)</f>
        <v>0</v>
      </c>
      <c r="O512" s="10">
        <f>IFERROR(__xludf.DUMMYFUNCTION("""COMPUTED_VALUE"""),0)</f>
        <v>0</v>
      </c>
      <c r="P512" s="10"/>
      <c r="Q512" s="30"/>
      <c r="R512" s="18"/>
      <c r="S512" s="19"/>
      <c r="T512" s="10"/>
      <c r="U512" s="10"/>
      <c r="V512" s="10"/>
      <c r="W512" s="10"/>
      <c r="X512" s="19"/>
      <c r="Y512" s="1"/>
      <c r="Z512" s="1"/>
      <c r="AA512" s="1"/>
    </row>
    <row r="513" customHeight="1" spans="1:27">
      <c r="A513" s="1" t="str">
        <f>IFERROR(__xludf.DUMMYFUNCTION("""COMPUTED_VALUE"""),"Ita R05")</f>
        <v>Ita R05</v>
      </c>
      <c r="B513" s="1" t="str">
        <f>IFERROR(__xludf.DUMMYFUNCTION("""COMPUTED_VALUE"""),"Ita 54")</f>
        <v>Ita 54</v>
      </c>
      <c r="C513" s="1" t="str">
        <f>IFERROR(__xludf.DUMMYFUNCTION("""COMPUTED_VALUE"""),"Ita 18")</f>
        <v>Ita 18</v>
      </c>
      <c r="D513" s="1" t="str">
        <f>IFERROR(__xludf.DUMMYFUNCTION("""COMPUTED_VALUE"""),"OM-5")</f>
        <v>OM-5</v>
      </c>
      <c r="E513" s="30" t="str">
        <f>IFERROR(__xludf.DUMMYFUNCTION("""COMPUTED_VALUE"""),"OM5")</f>
        <v>OM5</v>
      </c>
      <c r="F513" s="10">
        <f>IFERROR(__xludf.DUMMYFUNCTION("""COMPUTED_VALUE"""),472.453)</f>
        <v>472.453</v>
      </c>
      <c r="G513" s="10">
        <f>IFERROR(__xludf.DUMMYFUNCTION("""COMPUTED_VALUE"""),0)</f>
        <v>0</v>
      </c>
      <c r="H513" s="10">
        <f>IFERROR(__xludf.DUMMYFUNCTION("""COMPUTED_VALUE"""),0)</f>
        <v>0</v>
      </c>
      <c r="I513" s="13"/>
      <c r="J513" s="13"/>
      <c r="K513" s="13"/>
      <c r="L513" s="13"/>
      <c r="M513" s="1" t="b">
        <f>IFERROR(__xludf.DUMMYFUNCTION("""COMPUTED_VALUE"""),TRUE)</f>
        <v>1</v>
      </c>
      <c r="N513" s="10">
        <f>IFERROR(__xludf.DUMMYFUNCTION("""COMPUTED_VALUE"""),0)</f>
        <v>0</v>
      </c>
      <c r="O513" s="10">
        <f>IFERROR(__xludf.DUMMYFUNCTION("""COMPUTED_VALUE"""),0)</f>
        <v>0</v>
      </c>
      <c r="P513" s="10"/>
      <c r="Q513" s="30"/>
      <c r="R513" s="18"/>
      <c r="S513" s="19"/>
      <c r="T513" s="10"/>
      <c r="U513" s="10"/>
      <c r="V513" s="10"/>
      <c r="W513" s="10"/>
      <c r="X513" s="19"/>
      <c r="Y513" s="1"/>
      <c r="Z513" s="1"/>
      <c r="AA513" s="1"/>
    </row>
    <row r="514" customHeight="1" spans="1:27">
      <c r="A514" s="1" t="str">
        <f>IFERROR(__xludf.DUMMYFUNCTION("""COMPUTED_VALUE"""),"Ita R06")</f>
        <v>Ita R06</v>
      </c>
      <c r="B514" s="1" t="str">
        <f>IFERROR(__xludf.DUMMYFUNCTION("""COMPUTED_VALUE"""),"Ita 55")</f>
        <v>Ita 55</v>
      </c>
      <c r="C514" s="1" t="str">
        <f>IFERROR(__xludf.DUMMYFUNCTION("""COMPUTED_VALUE"""),"Ita 44")</f>
        <v>Ita 44</v>
      </c>
      <c r="D514" s="1" t="str">
        <f>IFERROR(__xludf.DUMMYFUNCTION("""COMPUTED_VALUE"""),"OM-6")</f>
        <v>OM-6</v>
      </c>
      <c r="E514" s="30" t="str">
        <f>IFERROR(__xludf.DUMMYFUNCTION("""COMPUTED_VALUE"""),"OM6")</f>
        <v>OM6</v>
      </c>
      <c r="F514" s="10">
        <f>IFERROR(__xludf.DUMMYFUNCTION("""COMPUTED_VALUE"""),-472.453)</f>
        <v>-472.453</v>
      </c>
      <c r="G514" s="10">
        <f>IFERROR(__xludf.DUMMYFUNCTION("""COMPUTED_VALUE"""),0)</f>
        <v>0</v>
      </c>
      <c r="H514" s="10">
        <f>IFERROR(__xludf.DUMMYFUNCTION("""COMPUTED_VALUE"""),0)</f>
        <v>0</v>
      </c>
      <c r="I514" s="13"/>
      <c r="J514" s="13"/>
      <c r="K514" s="13"/>
      <c r="L514" s="13"/>
      <c r="M514" s="1" t="b">
        <f>IFERROR(__xludf.DUMMYFUNCTION("""COMPUTED_VALUE"""),TRUE)</f>
        <v>1</v>
      </c>
      <c r="N514" s="10">
        <f>IFERROR(__xludf.DUMMYFUNCTION("""COMPUTED_VALUE"""),0)</f>
        <v>0</v>
      </c>
      <c r="O514" s="10">
        <f>IFERROR(__xludf.DUMMYFUNCTION("""COMPUTED_VALUE"""),0)</f>
        <v>0</v>
      </c>
      <c r="P514" s="10"/>
      <c r="Q514" s="30"/>
      <c r="R514" s="18"/>
      <c r="S514" s="19"/>
      <c r="T514" s="10"/>
      <c r="U514" s="10"/>
      <c r="V514" s="10"/>
      <c r="W514" s="10"/>
      <c r="X514" s="19"/>
      <c r="Y514" s="1"/>
      <c r="Z514" s="1"/>
      <c r="AA514" s="1"/>
    </row>
    <row r="515" customHeight="1" spans="1:27">
      <c r="A515" s="1" t="str">
        <f>IFERROR(__xludf.DUMMYFUNCTION("""COMPUTED_VALUE"""),"Ita")</f>
        <v>Ita</v>
      </c>
      <c r="B515" s="1" t="str">
        <f>IFERROR(__xludf.DUMMYFUNCTION("""COMPUTED_VALUE"""),"Ita 00")</f>
        <v>Ita 00</v>
      </c>
      <c r="C515" s="1"/>
      <c r="D515" s="1" t="str">
        <f>IFERROR(__xludf.DUMMYFUNCTION("""COMPUTED_VALUE"""),"Trading Terminals")</f>
        <v>Trading Terminals</v>
      </c>
      <c r="E515" s="30"/>
      <c r="F515" s="10"/>
      <c r="G515" s="10"/>
      <c r="H515" s="10"/>
      <c r="I515" s="13"/>
      <c r="J515" s="13"/>
      <c r="K515" s="13"/>
      <c r="L515" s="13"/>
      <c r="M515" s="1"/>
      <c r="N515" s="10"/>
      <c r="O515" s="10"/>
      <c r="P515" s="10"/>
      <c r="Q515" s="30"/>
      <c r="R515" s="18"/>
      <c r="S515" s="19"/>
      <c r="T515" s="10"/>
      <c r="U515" s="10"/>
      <c r="V515" s="10"/>
      <c r="W515" s="10"/>
      <c r="X515" s="19"/>
      <c r="Y515" s="1"/>
      <c r="Z515" s="1"/>
      <c r="AA515" s="1"/>
    </row>
    <row r="516" customHeight="1" spans="1:27">
      <c r="A516" s="1" t="str">
        <f>IFERROR(__xludf.DUMMYFUNCTION("""COMPUTED_VALUE"""),"Ita 01")</f>
        <v>Ita 01</v>
      </c>
      <c r="B516" s="1" t="str">
        <f>IFERROR(__xludf.DUMMYFUNCTION("""COMPUTED_VALUE"""),"Ita 01")</f>
        <v>Ita 01</v>
      </c>
      <c r="C516" s="1" t="str">
        <f>IFERROR(__xludf.DUMMYFUNCTION("""COMPUTED_VALUE"""),"Ita 34")</f>
        <v>Ita 34</v>
      </c>
      <c r="D516" s="1" t="str">
        <f>IFERROR(__xludf.DUMMYFUNCTION("""COMPUTED_VALUE"""),"HDMS Ryder (PB)")</f>
        <v>HDMS Ryder (PB)</v>
      </c>
      <c r="E516" s="30" t="str">
        <f>IFERROR(__xludf.DUMMYFUNCTION("""COMPUTED_VALUE"""),"Ryder")</f>
        <v>Ryder</v>
      </c>
      <c r="F516" s="10">
        <f>IFERROR(__xludf.DUMMYFUNCTION("""COMPUTED_VALUE"""),-175.874206865999)</f>
        <v>-175.874206865999</v>
      </c>
      <c r="G516" s="10">
        <f>IFERROR(__xludf.DUMMYFUNCTION("""COMPUTED_VALUE"""),-263.381380754999)</f>
        <v>-263.381380754999</v>
      </c>
      <c r="H516" s="10">
        <f>IFERROR(__xludf.DUMMYFUNCTION("""COMPUTED_VALUE"""),73.709287874)</f>
        <v>73.709287874</v>
      </c>
      <c r="I516" s="13"/>
      <c r="J516" s="13"/>
      <c r="K516" s="13"/>
      <c r="L516" s="13"/>
      <c r="M516" s="1" t="b">
        <f>IFERROR(__xludf.DUMMYFUNCTION("""COMPUTED_VALUE"""),TRUE)</f>
        <v>1</v>
      </c>
      <c r="N516" s="10">
        <f>IFERROR(__xludf.DUMMYFUNCTION("""COMPUTED_VALUE"""),0)</f>
        <v>0</v>
      </c>
      <c r="O516" s="10">
        <f>IFERROR(__xludf.DUMMYFUNCTION("""COMPUTED_VALUE"""),0)</f>
        <v>0</v>
      </c>
      <c r="P516" s="10"/>
      <c r="Q516" s="30"/>
      <c r="R516" s="18"/>
      <c r="S516" s="19"/>
      <c r="T516" s="10"/>
      <c r="U516" s="10"/>
      <c r="V516" s="10"/>
      <c r="W516" s="10"/>
      <c r="X516" s="19"/>
      <c r="Y516" s="1"/>
      <c r="Z516" s="1"/>
      <c r="AA516" s="1"/>
    </row>
    <row r="517" customHeight="1" spans="1:27">
      <c r="A517" s="1" t="str">
        <f>IFERROR(__xludf.DUMMYFUNCTION("""COMPUTED_VALUE"""),"Ita 02")</f>
        <v>Ita 02</v>
      </c>
      <c r="B517" s="1" t="str">
        <f>IFERROR(__xludf.DUMMYFUNCTION("""COMPUTED_VALUE"""),"Ita 02")</f>
        <v>Ita 02</v>
      </c>
      <c r="C517" s="1" t="str">
        <f>IFERROR(__xludf.DUMMYFUNCTION("""COMPUTED_VALUE"""),"Ita 12")</f>
        <v>Ita 12</v>
      </c>
      <c r="D517" s="1" t="str">
        <f>IFERROR(__xludf.DUMMYFUNCTION("""COMPUTED_VALUE"""),"HDMS Woodruff (PB)")</f>
        <v>HDMS Woodruff (PB)</v>
      </c>
      <c r="E517" s="30" t="str">
        <f>IFERROR(__xludf.DUMMYFUNCTION("""COMPUTED_VALUE"""),"Woodruff")</f>
        <v>Woodruff</v>
      </c>
      <c r="F517" s="10">
        <f>IFERROR(__xludf.DUMMYFUNCTION("""COMPUTED_VALUE"""),114.791994557)</f>
        <v>114.791994557</v>
      </c>
      <c r="G517" s="10">
        <f>IFERROR(__xludf.DUMMYFUNCTION("""COMPUTED_VALUE"""),219.661083335)</f>
        <v>219.661083335</v>
      </c>
      <c r="H517" s="10">
        <f>IFERROR(__xludf.DUMMYFUNCTION("""COMPUTED_VALUE"""),210.466568146)</f>
        <v>210.466568146</v>
      </c>
      <c r="I517" s="13"/>
      <c r="J517" s="13"/>
      <c r="K517" s="13"/>
      <c r="L517" s="13"/>
      <c r="M517" s="1" t="b">
        <f>IFERROR(__xludf.DUMMYFUNCTION("""COMPUTED_VALUE"""),TRUE)</f>
        <v>1</v>
      </c>
      <c r="N517" s="10">
        <f>IFERROR(__xludf.DUMMYFUNCTION("""COMPUTED_VALUE"""),0)</f>
        <v>0</v>
      </c>
      <c r="O517" s="10">
        <f>IFERROR(__xludf.DUMMYFUNCTION("""COMPUTED_VALUE"""),0)</f>
        <v>0</v>
      </c>
      <c r="P517" s="10"/>
      <c r="Q517" s="30"/>
      <c r="R517" s="18"/>
      <c r="S517" s="19"/>
      <c r="T517" s="10"/>
      <c r="U517" s="10"/>
      <c r="V517" s="10"/>
      <c r="W517" s="10"/>
      <c r="X517" s="19"/>
      <c r="Y517" s="1"/>
      <c r="Z517" s="1"/>
      <c r="AA517" s="1"/>
    </row>
    <row r="518" customHeight="1" spans="1:27">
      <c r="A518" s="1" t="str">
        <f>IFERROR(__xludf.DUMMYFUNCTION("""COMPUTED_VALUE"""),"Ita")</f>
        <v>Ita</v>
      </c>
      <c r="B518" s="1" t="str">
        <f>IFERROR(__xludf.DUMMYFUNCTION("""COMPUTED_VALUE"""),"Ita 04")</f>
        <v>Ita 04</v>
      </c>
      <c r="C518" s="1"/>
      <c r="D518" s="1" t="str">
        <f>IFERROR(__xludf.DUMMYFUNCTION("""COMPUTED_VALUE"""),"Settlements")</f>
        <v>Settlements</v>
      </c>
      <c r="E518" s="30"/>
      <c r="F518" s="10"/>
      <c r="G518" s="10"/>
      <c r="H518" s="10"/>
      <c r="I518" s="13"/>
      <c r="J518" s="13"/>
      <c r="K518" s="13"/>
      <c r="L518" s="13"/>
      <c r="M518" s="1"/>
      <c r="N518" s="10"/>
      <c r="O518" s="10"/>
      <c r="P518" s="10"/>
      <c r="Q518" s="30"/>
      <c r="R518" s="18"/>
      <c r="S518" s="19"/>
      <c r="T518" s="10"/>
      <c r="U518" s="10"/>
      <c r="V518" s="10"/>
      <c r="W518" s="10"/>
      <c r="X518" s="19"/>
      <c r="Y518" s="1"/>
      <c r="Z518" s="1"/>
      <c r="AA518" s="1"/>
    </row>
    <row r="519" customHeight="1" spans="1:27">
      <c r="A519" s="1" t="str">
        <f>IFERROR(__xludf.DUMMYFUNCTION("""COMPUTED_VALUE"""),"Ita 04")</f>
        <v>Ita 04</v>
      </c>
      <c r="B519" s="1" t="str">
        <f>IFERROR(__xludf.DUMMYFUNCTION("""COMPUTED_VALUE"""),"Ita 05")</f>
        <v>Ita 05</v>
      </c>
      <c r="C519" s="1" t="str">
        <f>IFERROR(__xludf.DUMMYFUNCTION("""COMPUTED_VALUE"""),"Ita 35")</f>
        <v>Ita 35</v>
      </c>
      <c r="D519" s="1" t="str">
        <f>IFERROR(__xludf.DUMMYFUNCTION("""COMPUTED_VALUE"""),"Settlement 10P")</f>
        <v>Settlement 10P</v>
      </c>
      <c r="E519" s="30" t="str">
        <f>IFERROR(__xludf.DUMMYFUNCTION("""COMPUTED_VALUE"""),"Settlement 10P")</f>
        <v>Settlement 10P</v>
      </c>
      <c r="F519" s="10">
        <f>IFERROR(__xludf.DUMMYFUNCTION("""COMPUTED_VALUE"""),-178.058424067)</f>
        <v>-178.058424067</v>
      </c>
      <c r="G519" s="10">
        <f>IFERROR(__xludf.DUMMYFUNCTION("""COMPUTED_VALUE"""),-260.61607295)</f>
        <v>-260.61607295</v>
      </c>
      <c r="H519" s="10">
        <f>IFERROR(__xludf.DUMMYFUNCTION("""COMPUTED_VALUE"""),78.4016437819999)</f>
        <v>78.4016437819999</v>
      </c>
      <c r="I519" s="13"/>
      <c r="J519" s="13"/>
      <c r="K519" s="13"/>
      <c r="L519" s="13"/>
      <c r="M519" s="1" t="b">
        <f>IFERROR(__xludf.DUMMYFUNCTION("""COMPUTED_VALUE"""),FALSE)</f>
        <v>0</v>
      </c>
      <c r="N519" s="10">
        <f>IFERROR(__xludf.DUMMYFUNCTION("""COMPUTED_VALUE"""),0)</f>
        <v>0</v>
      </c>
      <c r="O519" s="10">
        <f>IFERROR(__xludf.DUMMYFUNCTION("""COMPUTED_VALUE"""),0)</f>
        <v>0</v>
      </c>
      <c r="P519" s="10"/>
      <c r="Q519" s="30"/>
      <c r="R519" s="18"/>
      <c r="S519" s="19"/>
      <c r="T519" s="10"/>
      <c r="U519" s="10"/>
      <c r="V519" s="10"/>
      <c r="W519" s="10"/>
      <c r="X519" s="19"/>
      <c r="Y519" s="1"/>
      <c r="Z519" s="1"/>
      <c r="AA519" s="1"/>
    </row>
    <row r="520" customHeight="1" spans="1:27">
      <c r="A520" s="1" t="str">
        <f>IFERROR(__xludf.DUMMYFUNCTION("""COMPUTED_VALUE"""),"Ita 05")</f>
        <v>Ita 05</v>
      </c>
      <c r="B520" s="1" t="str">
        <f>IFERROR(__xludf.DUMMYFUNCTION("""COMPUTED_VALUE"""),"Ita 06")</f>
        <v>Ita 06</v>
      </c>
      <c r="C520" s="1" t="str">
        <f>IFERROR(__xludf.DUMMYFUNCTION("""COMPUTED_VALUE"""),"Ita 11")</f>
        <v>Ita 11</v>
      </c>
      <c r="D520" s="1" t="str">
        <f>IFERROR(__xludf.DUMMYFUNCTION("""COMPUTED_VALUE"""),"Settlement 43R")</f>
        <v>Settlement 43R</v>
      </c>
      <c r="E520" s="30" t="str">
        <f>IFERROR(__xludf.DUMMYFUNCTION("""COMPUTED_VALUE"""),"Settlement 43R")</f>
        <v>Settlement 43R</v>
      </c>
      <c r="F520" s="10">
        <f>IFERROR(__xludf.DUMMYFUNCTION("""COMPUTED_VALUE"""),69.5966310079998)</f>
        <v>69.5966310079998</v>
      </c>
      <c r="G520" s="10">
        <f>IFERROR(__xludf.DUMMYFUNCTION("""COMPUTED_VALUE"""),284.3738313)</f>
        <v>284.3738313</v>
      </c>
      <c r="H520" s="10">
        <f>IFERROR(__xludf.DUMMYFUNCTION("""COMPUTED_VALUE"""),141.431959376999)</f>
        <v>141.431959376999</v>
      </c>
      <c r="I520" s="13"/>
      <c r="J520" s="13"/>
      <c r="K520" s="13"/>
      <c r="L520" s="13"/>
      <c r="M520" s="1" t="b">
        <f>IFERROR(__xludf.DUMMYFUNCTION("""COMPUTED_VALUE"""),FALSE)</f>
        <v>0</v>
      </c>
      <c r="N520" s="10">
        <f>IFERROR(__xludf.DUMMYFUNCTION("""COMPUTED_VALUE"""),0)</f>
        <v>0</v>
      </c>
      <c r="O520" s="10">
        <f>IFERROR(__xludf.DUMMYFUNCTION("""COMPUTED_VALUE"""),0)</f>
        <v>0</v>
      </c>
      <c r="P520" s="10"/>
      <c r="Q520" s="30"/>
      <c r="R520" s="18"/>
      <c r="S520" s="19"/>
      <c r="T520" s="10"/>
      <c r="U520" s="10"/>
      <c r="V520" s="10"/>
      <c r="W520" s="10"/>
      <c r="X520" s="19"/>
      <c r="Y520" s="1"/>
      <c r="Z520" s="1"/>
      <c r="AA520" s="1"/>
    </row>
    <row r="521" customHeight="1" spans="1:27">
      <c r="A521" s="1" t="str">
        <f>IFERROR(__xludf.DUMMYFUNCTION("""COMPUTED_VALUE"""),"Ita")</f>
        <v>Ita</v>
      </c>
      <c r="B521" s="1" t="str">
        <f>IFERROR(__xludf.DUMMYFUNCTION("""COMPUTED_VALUE"""),"Ita 08")</f>
        <v>Ita 08</v>
      </c>
      <c r="C521" s="1"/>
      <c r="D521" s="1" t="str">
        <f>IFERROR(__xludf.DUMMYFUNCTION("""COMPUTED_VALUE"""),"Caves")</f>
        <v>Caves</v>
      </c>
      <c r="E521" s="30"/>
      <c r="F521" s="10"/>
      <c r="G521" s="10"/>
      <c r="H521" s="10"/>
      <c r="I521" s="13"/>
      <c r="J521" s="13"/>
      <c r="K521" s="13"/>
      <c r="L521" s="13"/>
      <c r="M521" s="1"/>
      <c r="N521" s="10"/>
      <c r="O521" s="10"/>
      <c r="P521" s="10"/>
      <c r="Q521" s="30"/>
      <c r="R521" s="18"/>
      <c r="S521" s="19"/>
      <c r="T521" s="10"/>
      <c r="U521" s="10"/>
      <c r="V521" s="10"/>
      <c r="W521" s="10"/>
      <c r="X521" s="19"/>
      <c r="Y521" s="1"/>
      <c r="Z521" s="1"/>
      <c r="AA521" s="1"/>
    </row>
    <row r="522" customHeight="1" spans="1:27">
      <c r="A522" s="1" t="str">
        <f>IFERROR(__xludf.DUMMYFUNCTION("""COMPUTED_VALUE"""),"Ita 16")</f>
        <v>Ita 16</v>
      </c>
      <c r="B522" s="1" t="str">
        <f>IFERROR(__xludf.DUMMYFUNCTION("""COMPUTED_VALUE"""),"Ita 19")</f>
        <v>Ita 19</v>
      </c>
      <c r="C522" s="1" t="str">
        <f>IFERROR(__xludf.DUMMYFUNCTION("""COMPUTED_VALUE"""),"Ita 28")</f>
        <v>Ita 28</v>
      </c>
      <c r="D522" s="1" t="str">
        <f>IFERROR(__xludf.DUMMYFUNCTION("""COMPUTED_VALUE"""),"Sand Cave 22Q")</f>
        <v>Sand Cave 22Q</v>
      </c>
      <c r="E522" s="1" t="str">
        <f>IFERROR(__xludf.DUMMYFUNCTION("""COMPUTED_VALUE"""),"SCave 22Q")</f>
        <v>SCave 22Q</v>
      </c>
      <c r="F522" s="2">
        <f>IFERROR(__xludf.DUMMYFUNCTION("""COMPUTED_VALUE"""),193.699603895)</f>
        <v>193.699603895</v>
      </c>
      <c r="G522" s="2">
        <f>IFERROR(__xludf.DUMMYFUNCTION("""COMPUTED_VALUE"""),-227.582237953)</f>
        <v>-227.582237953</v>
      </c>
      <c r="H522" s="2">
        <f>IFERROR(__xludf.DUMMYFUNCTION("""COMPUTED_VALUE"""),127.758798352)</f>
        <v>127.758798352</v>
      </c>
      <c r="I522" s="1"/>
      <c r="J522" s="1"/>
      <c r="K522" s="1"/>
      <c r="L522" s="1"/>
      <c r="M522" s="1" t="b">
        <f>IFERROR(__xludf.DUMMYFUNCTION("""COMPUTED_VALUE"""),FALSE)</f>
        <v>0</v>
      </c>
      <c r="N522" s="2">
        <f>IFERROR(__xludf.DUMMYFUNCTION("""COMPUTED_VALUE"""),0)</f>
        <v>0</v>
      </c>
      <c r="O522" s="2">
        <f>IFERROR(__xludf.DUMMYFUNCTION("""COMPUTED_VALUE"""),0)</f>
        <v>0</v>
      </c>
      <c r="P522" s="1"/>
      <c r="Q522" s="1"/>
      <c r="R522" s="1"/>
      <c r="S522" s="1"/>
      <c r="T522" s="1"/>
      <c r="U522" s="1"/>
      <c r="V522" s="1"/>
      <c r="W522" s="1"/>
      <c r="X522" s="1"/>
      <c r="Y522" s="1"/>
      <c r="Z522" s="1"/>
      <c r="AA522" s="1"/>
    </row>
    <row r="523" customHeight="1" spans="1:27">
      <c r="A523" s="1" t="str">
        <f>IFERROR(__xludf.DUMMYFUNCTION("""COMPUTED_VALUE"""),"Ita 18")</f>
        <v>Ita 18</v>
      </c>
      <c r="B523" s="1" t="str">
        <f>IFERROR(__xludf.DUMMYFUNCTION("""COMPUTED_VALUE"""),"Ita 21")</f>
        <v>Ita 21</v>
      </c>
      <c r="C523" s="1" t="str">
        <f>IFERROR(__xludf.DUMMYFUNCTION("""COMPUTED_VALUE"""),"Ita 26")</f>
        <v>Ita 26</v>
      </c>
      <c r="D523" s="1" t="str">
        <f>IFERROR(__xludf.DUMMYFUNCTION("""COMPUTED_VALUE"""),"Sand Cave 24H-277")</f>
        <v>Sand Cave 24H-277</v>
      </c>
      <c r="E523" s="30" t="str">
        <f>IFERROR(__xludf.DUMMYFUNCTION("""COMPUTED_VALUE"""),"SCave 24H277")</f>
        <v>SCave 24H277</v>
      </c>
      <c r="F523" s="10">
        <f>IFERROR(__xludf.DUMMYFUNCTION("""COMPUTED_VALUE"""),188.807448104999)</f>
        <v>188.807448104999</v>
      </c>
      <c r="G523" s="10">
        <f>IFERROR(__xludf.DUMMYFUNCTION("""COMPUTED_VALUE"""),-167.768550433)</f>
        <v>-167.768550433</v>
      </c>
      <c r="H523" s="10">
        <f>IFERROR(__xludf.DUMMYFUNCTION("""COMPUTED_VALUE"""),-204.413414621)</f>
        <v>-204.413414621</v>
      </c>
      <c r="I523" s="13"/>
      <c r="J523" s="13"/>
      <c r="K523" s="13"/>
      <c r="L523" s="13"/>
      <c r="M523" s="1" t="b">
        <f>IFERROR(__xludf.DUMMYFUNCTION("""COMPUTED_VALUE"""),FALSE)</f>
        <v>0</v>
      </c>
      <c r="N523" s="10">
        <f>IFERROR(__xludf.DUMMYFUNCTION("""COMPUTED_VALUE"""),0)</f>
        <v>0</v>
      </c>
      <c r="O523" s="10">
        <f>IFERROR(__xludf.DUMMYFUNCTION("""COMPUTED_VALUE"""),0)</f>
        <v>0</v>
      </c>
      <c r="P523" s="10"/>
      <c r="Q523" s="30"/>
      <c r="R523" s="18"/>
      <c r="S523" s="19"/>
      <c r="T523" s="10"/>
      <c r="U523" s="10"/>
      <c r="V523" s="10"/>
      <c r="W523" s="10"/>
      <c r="X523" s="19"/>
      <c r="Y523" s="1"/>
      <c r="Z523" s="1"/>
      <c r="AA523" s="1"/>
    </row>
    <row r="524" customHeight="1" spans="1:27">
      <c r="A524" s="1" t="str">
        <f>IFERROR(__xludf.DUMMYFUNCTION("""COMPUTED_VALUE"""),"Ita 29")</f>
        <v>Ita 29</v>
      </c>
      <c r="B524" s="1" t="str">
        <f>IFERROR(__xludf.DUMMYFUNCTION("""COMPUTED_VALUE"""),"Ita 32")</f>
        <v>Ita 32</v>
      </c>
      <c r="C524" s="1" t="str">
        <f>IFERROR(__xludf.DUMMYFUNCTION("""COMPUTED_VALUE"""),"Ita 08")</f>
        <v>Ita 08</v>
      </c>
      <c r="D524" s="1" t="str">
        <f>IFERROR(__xludf.DUMMYFUNCTION("""COMPUTED_VALUE"""),"Sand Cave 48L")</f>
        <v>Sand Cave 48L</v>
      </c>
      <c r="E524" s="30" t="str">
        <f>IFERROR(__xludf.DUMMYFUNCTION("""COMPUTED_VALUE"""),"SCave 48L")</f>
        <v>SCave 48L</v>
      </c>
      <c r="F524" s="10">
        <f>IFERROR(__xludf.DUMMYFUNCTION("""COMPUTED_VALUE"""),-91.951947323)</f>
        <v>-91.951947323</v>
      </c>
      <c r="G524" s="10">
        <f>IFERROR(__xludf.DUMMYFUNCTION("""COMPUTED_VALUE"""),299.685840192998)</f>
        <v>299.685840192998</v>
      </c>
      <c r="H524" s="10">
        <f>IFERROR(__xludf.DUMMYFUNCTION("""COMPUTED_VALUE"""),-85.814203531)</f>
        <v>-85.814203531</v>
      </c>
      <c r="I524" s="13"/>
      <c r="J524" s="13"/>
      <c r="K524" s="13"/>
      <c r="L524" s="13"/>
      <c r="M524" s="1" t="b">
        <f>IFERROR(__xludf.DUMMYFUNCTION("""COMPUTED_VALUE"""),FALSE)</f>
        <v>0</v>
      </c>
      <c r="N524" s="10">
        <f>IFERROR(__xludf.DUMMYFUNCTION("""COMPUTED_VALUE"""),0)</f>
        <v>0</v>
      </c>
      <c r="O524" s="10">
        <f>IFERROR(__xludf.DUMMYFUNCTION("""COMPUTED_VALUE"""),0)</f>
        <v>0</v>
      </c>
      <c r="P524" s="10"/>
      <c r="Q524" s="30"/>
      <c r="R524" s="18"/>
      <c r="S524" s="19"/>
      <c r="T524" s="10"/>
      <c r="U524" s="10"/>
      <c r="V524" s="10"/>
      <c r="W524" s="10"/>
      <c r="X524" s="19"/>
      <c r="Y524" s="1"/>
      <c r="Z524" s="1"/>
      <c r="AA524" s="1"/>
    </row>
    <row r="525" customHeight="1" spans="1:27">
      <c r="A525" s="1" t="str">
        <f>IFERROR(__xludf.DUMMYFUNCTION("""COMPUTED_VALUE"""),"Ita 14")</f>
        <v>Ita 14</v>
      </c>
      <c r="B525" s="1" t="str">
        <f>IFERROR(__xludf.DUMMYFUNCTION("""COMPUTED_VALUE"""),"Ita 17")</f>
        <v>Ita 17</v>
      </c>
      <c r="C525" s="1" t="str">
        <f>IFERROR(__xludf.DUMMYFUNCTION("""COMPUTED_VALUE"""),"Ita 32")</f>
        <v>Ita 32</v>
      </c>
      <c r="D525" s="1" t="str">
        <f>IFERROR(__xludf.DUMMYFUNCTION("""COMPUTED_VALUE"""),"Sand Cave 10P-118")</f>
        <v>Sand Cave 10P-118</v>
      </c>
      <c r="E525" s="30" t="str">
        <f>IFERROR(__xludf.DUMMYFUNCTION("""COMPUTED_VALUE"""),"SCave 10P118")</f>
        <v>SCave 10P118</v>
      </c>
      <c r="F525" s="10">
        <f>IFERROR(__xludf.DUMMYFUNCTION("""COMPUTED_VALUE"""),-164.654306465)</f>
        <v>-164.654306465</v>
      </c>
      <c r="G525" s="10">
        <f>IFERROR(__xludf.DUMMYFUNCTION("""COMPUTED_VALUE"""),-271.127454260999)</f>
        <v>-271.127454260999</v>
      </c>
      <c r="H525" s="10">
        <f>IFERROR(__xludf.DUMMYFUNCTION("""COMPUTED_VALUE"""),71.294127882)</f>
        <v>71.294127882</v>
      </c>
      <c r="I525" s="13"/>
      <c r="J525" s="13"/>
      <c r="K525" s="13"/>
      <c r="L525" s="13"/>
      <c r="M525" s="1" t="b">
        <f>IFERROR(__xludf.DUMMYFUNCTION("""COMPUTED_VALUE"""),FALSE)</f>
        <v>0</v>
      </c>
      <c r="N525" s="10">
        <f>IFERROR(__xludf.DUMMYFUNCTION("""COMPUTED_VALUE"""),0)</f>
        <v>0</v>
      </c>
      <c r="O525" s="10">
        <f>IFERROR(__xludf.DUMMYFUNCTION("""COMPUTED_VALUE"""),0)</f>
        <v>0</v>
      </c>
      <c r="P525" s="10"/>
      <c r="Q525" s="30"/>
      <c r="R525" s="18"/>
      <c r="S525" s="19"/>
      <c r="T525" s="10"/>
      <c r="U525" s="10"/>
      <c r="V525" s="10"/>
      <c r="W525" s="10"/>
      <c r="X525" s="19"/>
      <c r="Y525" s="1"/>
      <c r="Z525" s="1"/>
      <c r="AA525" s="1"/>
    </row>
    <row r="526" customHeight="1" spans="1:27">
      <c r="A526" s="1" t="str">
        <f>IFERROR(__xludf.DUMMYFUNCTION("""COMPUTED_VALUE"""),"Ita 19")</f>
        <v>Ita 19</v>
      </c>
      <c r="B526" s="1" t="str">
        <f>IFERROR(__xludf.DUMMYFUNCTION("""COMPUTED_VALUE"""),"Ita 22")</f>
        <v>Ita 22</v>
      </c>
      <c r="C526" s="1" t="str">
        <f>IFERROR(__xludf.DUMMYFUNCTION("""COMPUTED_VALUE"""),"Ita 25")</f>
        <v>Ita 25</v>
      </c>
      <c r="D526" s="1" t="str">
        <f>IFERROR(__xludf.DUMMYFUNCTION("""COMPUTED_VALUE"""),"Sand Cave 24H-283")</f>
        <v>Sand Cave 24H-283</v>
      </c>
      <c r="E526" s="30" t="str">
        <f>IFERROR(__xludf.DUMMYFUNCTION("""COMPUTED_VALUE"""),"SCave 24H283")</f>
        <v>SCave 24H283</v>
      </c>
      <c r="F526" s="10">
        <f>IFERROR(__xludf.DUMMYFUNCTION("""COMPUTED_VALUE"""),213.022361773999)</f>
        <v>213.022361773999</v>
      </c>
      <c r="G526" s="10">
        <f>IFERROR(__xludf.DUMMYFUNCTION("""COMPUTED_VALUE"""),-171.322173729)</f>
        <v>-171.322173729</v>
      </c>
      <c r="H526" s="10">
        <f>IFERROR(__xludf.DUMMYFUNCTION("""COMPUTED_VALUE"""),-175.822320905)</f>
        <v>-175.822320905</v>
      </c>
      <c r="I526" s="13"/>
      <c r="J526" s="13"/>
      <c r="K526" s="13"/>
      <c r="L526" s="13"/>
      <c r="M526" s="1" t="b">
        <f>IFERROR(__xludf.DUMMYFUNCTION("""COMPUTED_VALUE"""),FALSE)</f>
        <v>0</v>
      </c>
      <c r="N526" s="10">
        <f>IFERROR(__xludf.DUMMYFUNCTION("""COMPUTED_VALUE"""),0)</f>
        <v>0</v>
      </c>
      <c r="O526" s="10">
        <f>IFERROR(__xludf.DUMMYFUNCTION("""COMPUTED_VALUE"""),0)</f>
        <v>0</v>
      </c>
      <c r="P526" s="10"/>
      <c r="Q526" s="30"/>
      <c r="R526" s="18"/>
      <c r="S526" s="19"/>
      <c r="T526" s="10"/>
      <c r="U526" s="10"/>
      <c r="V526" s="10"/>
      <c r="W526" s="10"/>
      <c r="X526" s="19"/>
      <c r="Y526" s="1"/>
      <c r="Z526" s="1"/>
      <c r="AA526" s="1"/>
    </row>
    <row r="527" customHeight="1" spans="1:27">
      <c r="A527" s="1" t="str">
        <f>IFERROR(__xludf.DUMMYFUNCTION("""COMPUTED_VALUE"""),"Ita 11")</f>
        <v>Ita 11</v>
      </c>
      <c r="B527" s="1" t="str">
        <f>IFERROR(__xludf.DUMMYFUNCTION("""COMPUTED_VALUE"""),"Ita 14")</f>
        <v>Ita 14</v>
      </c>
      <c r="C527" s="1" t="str">
        <f>IFERROR(__xludf.DUMMYFUNCTION("""COMPUTED_VALUE"""),"Ita 37")</f>
        <v>Ita 37</v>
      </c>
      <c r="D527" s="1" t="str">
        <f>IFERROR(__xludf.DUMMYFUNCTION("""COMPUTED_VALUE"""),"Sand Cave 08M")</f>
        <v>Sand Cave 08M</v>
      </c>
      <c r="E527" s="30" t="str">
        <f>IFERROR(__xludf.DUMMYFUNCTION("""COMPUTED_VALUE"""),"SCave 08M")</f>
        <v>SCave 08M</v>
      </c>
      <c r="F527" s="10">
        <f>IFERROR(__xludf.DUMMYFUNCTION("""COMPUTED_VALUE"""),-233.601456371999)</f>
        <v>-233.601456371999</v>
      </c>
      <c r="G527" s="10">
        <f>IFERROR(__xludf.DUMMYFUNCTION("""COMPUTED_VALUE"""),-224.910658203)</f>
        <v>-224.910658203</v>
      </c>
      <c r="H527" s="10">
        <f>IFERROR(__xludf.DUMMYFUNCTION("""COMPUTED_VALUE"""),-23.933511178)</f>
        <v>-23.933511178</v>
      </c>
      <c r="I527" s="13"/>
      <c r="J527" s="13"/>
      <c r="K527" s="13"/>
      <c r="L527" s="13"/>
      <c r="M527" s="1" t="b">
        <f>IFERROR(__xludf.DUMMYFUNCTION("""COMPUTED_VALUE"""),FALSE)</f>
        <v>0</v>
      </c>
      <c r="N527" s="10">
        <f>IFERROR(__xludf.DUMMYFUNCTION("""COMPUTED_VALUE"""),0)</f>
        <v>0</v>
      </c>
      <c r="O527" s="10">
        <f>IFERROR(__xludf.DUMMYFUNCTION("""COMPUTED_VALUE"""),0)</f>
        <v>0</v>
      </c>
      <c r="P527" s="10"/>
      <c r="Q527" s="30"/>
      <c r="R527" s="18"/>
      <c r="S527" s="19"/>
      <c r="T527" s="10"/>
      <c r="U527" s="10"/>
      <c r="V527" s="10"/>
      <c r="W527" s="10"/>
      <c r="X527" s="19"/>
      <c r="Y527" s="1"/>
      <c r="Z527" s="1"/>
      <c r="AA527" s="1"/>
    </row>
    <row r="528" customHeight="1" spans="1:27">
      <c r="A528" s="1" t="str">
        <f>IFERROR(__xludf.DUMMYFUNCTION("""COMPUTED_VALUE"""),"Ita 13")</f>
        <v>Ita 13</v>
      </c>
      <c r="B528" s="1" t="str">
        <f>IFERROR(__xludf.DUMMYFUNCTION("""COMPUTED_VALUE"""),"Ita 16")</f>
        <v>Ita 16</v>
      </c>
      <c r="C528" s="1" t="str">
        <f>IFERROR(__xludf.DUMMYFUNCTION("""COMPUTED_VALUE"""),"Ita 33")</f>
        <v>Ita 33</v>
      </c>
      <c r="D528" s="1" t="str">
        <f>IFERROR(__xludf.DUMMYFUNCTION("""COMPUTED_VALUE"""),"Sand Cave 10P-116")</f>
        <v>Sand Cave 10P-116</v>
      </c>
      <c r="E528" s="30" t="str">
        <f>IFERROR(__xludf.DUMMYFUNCTION("""COMPUTED_VALUE"""),"SCave 10P116")</f>
        <v>SCave 10P116</v>
      </c>
      <c r="F528" s="10">
        <f>IFERROR(__xludf.DUMMYFUNCTION("""COMPUTED_VALUE"""),-168.357380267)</f>
        <v>-168.357380267</v>
      </c>
      <c r="G528" s="10">
        <f>IFERROR(__xludf.DUMMYFUNCTION("""COMPUTED_VALUE"""),-267.864783333)</f>
        <v>-267.864783333</v>
      </c>
      <c r="H528" s="10">
        <f>IFERROR(__xludf.DUMMYFUNCTION("""COMPUTED_VALUE"""),74.9401285079999)</f>
        <v>74.9401285079999</v>
      </c>
      <c r="I528" s="13"/>
      <c r="J528" s="13"/>
      <c r="K528" s="13"/>
      <c r="L528" s="13"/>
      <c r="M528" s="1" t="b">
        <f>IFERROR(__xludf.DUMMYFUNCTION("""COMPUTED_VALUE"""),FALSE)</f>
        <v>0</v>
      </c>
      <c r="N528" s="10">
        <f>IFERROR(__xludf.DUMMYFUNCTION("""COMPUTED_VALUE"""),0)</f>
        <v>0</v>
      </c>
      <c r="O528" s="10">
        <f>IFERROR(__xludf.DUMMYFUNCTION("""COMPUTED_VALUE"""),0)</f>
        <v>0</v>
      </c>
      <c r="P528" s="10"/>
      <c r="Q528" s="30"/>
      <c r="R528" s="18"/>
      <c r="S528" s="19"/>
      <c r="T528" s="10"/>
      <c r="U528" s="10"/>
      <c r="V528" s="10"/>
      <c r="W528" s="10"/>
      <c r="X528" s="19"/>
      <c r="Y528" s="1"/>
      <c r="Z528" s="1"/>
      <c r="AA528" s="1"/>
    </row>
    <row r="529" customHeight="1" spans="1:27">
      <c r="A529" s="1" t="str">
        <f>IFERROR(__xludf.DUMMYFUNCTION("""COMPUTED_VALUE"""),"Ita 09")</f>
        <v>Ita 09</v>
      </c>
      <c r="B529" s="1" t="str">
        <f>IFERROR(__xludf.DUMMYFUNCTION("""COMPUTED_VALUE"""),"Ita 12")</f>
        <v>Ita 12</v>
      </c>
      <c r="C529" s="1" t="str">
        <f>IFERROR(__xludf.DUMMYFUNCTION("""COMPUTED_VALUE"""),"Ita 39")</f>
        <v>Ita 39</v>
      </c>
      <c r="D529" s="1" t="str">
        <f>IFERROR(__xludf.DUMMYFUNCTION("""COMPUTED_VALUE"""),"Sand Cave 02P")</f>
        <v>Sand Cave 02P</v>
      </c>
      <c r="E529" s="30" t="str">
        <f>IFERROR(__xludf.DUMMYFUNCTION("""COMPUTED_VALUE"""),"SCave 02P")</f>
        <v>SCave 02P</v>
      </c>
      <c r="F529" s="10">
        <f>IFERROR(__xludf.DUMMYFUNCTION("""COMPUTED_VALUE"""),-314.472152318999)</f>
        <v>-314.472152318999</v>
      </c>
      <c r="G529" s="10">
        <f>IFERROR(__xludf.DUMMYFUNCTION("""COMPUTED_VALUE"""),-59.807420243)</f>
        <v>-59.807420243</v>
      </c>
      <c r="H529" s="10">
        <f>IFERROR(__xludf.DUMMYFUNCTION("""COMPUTED_VALUE"""),56.5533631959999)</f>
        <v>56.5533631959999</v>
      </c>
      <c r="I529" s="13"/>
      <c r="J529" s="13"/>
      <c r="K529" s="13"/>
      <c r="L529" s="13"/>
      <c r="M529" s="1" t="b">
        <f>IFERROR(__xludf.DUMMYFUNCTION("""COMPUTED_VALUE"""),FALSE)</f>
        <v>0</v>
      </c>
      <c r="N529" s="10">
        <f>IFERROR(__xludf.DUMMYFUNCTION("""COMPUTED_VALUE"""),0)</f>
        <v>0</v>
      </c>
      <c r="O529" s="10">
        <f>IFERROR(__xludf.DUMMYFUNCTION("""COMPUTED_VALUE"""),0)</f>
        <v>0</v>
      </c>
      <c r="P529" s="10"/>
      <c r="Q529" s="30"/>
      <c r="R529" s="18"/>
      <c r="S529" s="19"/>
      <c r="T529" s="10"/>
      <c r="U529" s="10"/>
      <c r="V529" s="10"/>
      <c r="W529" s="10"/>
      <c r="X529" s="19"/>
      <c r="Y529" s="1"/>
      <c r="Z529" s="1"/>
      <c r="AA529" s="1"/>
    </row>
    <row r="530" customHeight="1" spans="1:27">
      <c r="A530" s="1" t="str">
        <f>IFERROR(__xludf.DUMMYFUNCTION("""COMPUTED_VALUE"""),"Ita 07")</f>
        <v>Ita 07</v>
      </c>
      <c r="B530" s="1" t="str">
        <f>IFERROR(__xludf.DUMMYFUNCTION("""COMPUTED_VALUE"""),"Ita 10")</f>
        <v>Ita 10</v>
      </c>
      <c r="C530" s="1" t="str">
        <f>IFERROR(__xludf.DUMMYFUNCTION("""COMPUTED_VALUE"""),"Ita 41")</f>
        <v>Ita 41</v>
      </c>
      <c r="D530" s="1" t="str">
        <f>IFERROR(__xludf.DUMMYFUNCTION("""COMPUTED_VALUE"""),"Sand Cave 01N-008")</f>
        <v>Sand Cave 01N-008</v>
      </c>
      <c r="E530" s="30" t="str">
        <f>IFERROR(__xludf.DUMMYFUNCTION("""COMPUTED_VALUE"""),"SCave 01N008")</f>
        <v>SCave 01N008</v>
      </c>
      <c r="F530" s="10">
        <f>IFERROR(__xludf.DUMMYFUNCTION("""COMPUTED_VALUE"""),-324.467647981)</f>
        <v>-324.467647981</v>
      </c>
      <c r="G530" s="10">
        <f>IFERROR(__xludf.DUMMYFUNCTION("""COMPUTED_VALUE"""),-22.1306577709999)</f>
        <v>-22.1306577709999</v>
      </c>
      <c r="H530" s="10">
        <f>IFERROR(__xludf.DUMMYFUNCTION("""COMPUTED_VALUE"""),3.270380682)</f>
        <v>3.270380682</v>
      </c>
      <c r="I530" s="13"/>
      <c r="J530" s="13"/>
      <c r="K530" s="13"/>
      <c r="L530" s="13"/>
      <c r="M530" s="1" t="b">
        <f>IFERROR(__xludf.DUMMYFUNCTION("""COMPUTED_VALUE"""),FALSE)</f>
        <v>0</v>
      </c>
      <c r="N530" s="10">
        <f>IFERROR(__xludf.DUMMYFUNCTION("""COMPUTED_VALUE"""),0)</f>
        <v>0</v>
      </c>
      <c r="O530" s="10">
        <f>IFERROR(__xludf.DUMMYFUNCTION("""COMPUTED_VALUE"""),0)</f>
        <v>0</v>
      </c>
      <c r="P530" s="10"/>
      <c r="Q530" s="30"/>
      <c r="R530" s="18"/>
      <c r="S530" s="19"/>
      <c r="T530" s="10"/>
      <c r="U530" s="10"/>
      <c r="V530" s="10"/>
      <c r="W530" s="10"/>
      <c r="X530" s="19"/>
      <c r="Y530" s="1"/>
      <c r="Z530" s="1"/>
      <c r="AA530" s="1"/>
    </row>
    <row r="531" customHeight="1" spans="1:27">
      <c r="A531" s="1" t="str">
        <f>IFERROR(__xludf.DUMMYFUNCTION("""COMPUTED_VALUE"""),"Ita 35")</f>
        <v>Ita 35</v>
      </c>
      <c r="B531" s="1" t="str">
        <f>IFERROR(__xludf.DUMMYFUNCTION("""COMPUTED_VALUE"""),"Ita 38")</f>
        <v>Ita 38</v>
      </c>
      <c r="C531" s="1" t="str">
        <f>IFERROR(__xludf.DUMMYFUNCTION("""COMPUTED_VALUE"""),"Ita 02")</f>
        <v>Ita 02</v>
      </c>
      <c r="D531" s="1" t="str">
        <f>IFERROR(__xludf.DUMMYFUNCTION("""COMPUTED_VALUE"""),"Sand Cave 58T")</f>
        <v>Sand Cave 58T</v>
      </c>
      <c r="E531" s="30" t="str">
        <f>IFERROR(__xludf.DUMMYFUNCTION("""COMPUTED_VALUE"""),"SCave 58T")</f>
        <v>SCave 58T</v>
      </c>
      <c r="F531" s="10">
        <f>IFERROR(__xludf.DUMMYFUNCTION("""COMPUTED_VALUE"""),-236.665494276)</f>
        <v>-236.665494276</v>
      </c>
      <c r="G531" s="10">
        <f>IFERROR(__xludf.DUMMYFUNCTION("""COMPUTED_VALUE"""),52.6827982429999)</f>
        <v>52.6827982429999</v>
      </c>
      <c r="H531" s="10">
        <f>IFERROR(__xludf.DUMMYFUNCTION("""COMPUTED_VALUE"""),216.703083435999)</f>
        <v>216.703083435999</v>
      </c>
      <c r="I531" s="13"/>
      <c r="J531" s="13"/>
      <c r="K531" s="13"/>
      <c r="L531" s="13"/>
      <c r="M531" s="1" t="b">
        <f>IFERROR(__xludf.DUMMYFUNCTION("""COMPUTED_VALUE"""),FALSE)</f>
        <v>0</v>
      </c>
      <c r="N531" s="10">
        <f>IFERROR(__xludf.DUMMYFUNCTION("""COMPUTED_VALUE"""),0)</f>
        <v>0</v>
      </c>
      <c r="O531" s="10">
        <f>IFERROR(__xludf.DUMMYFUNCTION("""COMPUTED_VALUE"""),0)</f>
        <v>0</v>
      </c>
      <c r="P531" s="10"/>
      <c r="Q531" s="30"/>
      <c r="R531" s="18"/>
      <c r="S531" s="19"/>
      <c r="T531" s="10"/>
      <c r="U531" s="10"/>
      <c r="V531" s="10"/>
      <c r="W531" s="10"/>
      <c r="X531" s="19"/>
      <c r="Y531" s="1"/>
      <c r="Z531" s="1"/>
      <c r="AA531" s="1"/>
    </row>
    <row r="532" customHeight="1" spans="1:27">
      <c r="A532" s="1" t="str">
        <f>IFERROR(__xludf.DUMMYFUNCTION("""COMPUTED_VALUE"""),"Ita 28")</f>
        <v>Ita 28</v>
      </c>
      <c r="B532" s="1" t="str">
        <f>IFERROR(__xludf.DUMMYFUNCTION("""COMPUTED_VALUE"""),"Ita 31")</f>
        <v>Ita 31</v>
      </c>
      <c r="C532" s="1" t="str">
        <f>IFERROR(__xludf.DUMMYFUNCTION("""COMPUTED_VALUE"""),"Ita 10")</f>
        <v>Ita 10</v>
      </c>
      <c r="D532" s="1" t="str">
        <f>IFERROR(__xludf.DUMMYFUNCTION("""COMPUTED_VALUE"""),"Sand Cave 45T")</f>
        <v>Sand Cave 45T</v>
      </c>
      <c r="E532" s="30" t="str">
        <f>IFERROR(__xludf.DUMMYFUNCTION("""COMPUTED_VALUE"""),"SCave 45T")</f>
        <v>SCave 45T</v>
      </c>
      <c r="F532" s="10">
        <f>IFERROR(__xludf.DUMMYFUNCTION("""COMPUTED_VALUE"""),9.90434755799999)</f>
        <v>9.90434755799999</v>
      </c>
      <c r="G532" s="10">
        <f>IFERROR(__xludf.DUMMYFUNCTION("""COMPUTED_VALUE"""),243.31538299)</f>
        <v>243.31538299</v>
      </c>
      <c r="H532" s="10">
        <f>IFERROR(__xludf.DUMMYFUNCTION("""COMPUTED_VALUE"""),215.753489774999)</f>
        <v>215.753489774999</v>
      </c>
      <c r="I532" s="13"/>
      <c r="J532" s="13"/>
      <c r="K532" s="13"/>
      <c r="L532" s="13"/>
      <c r="M532" s="1" t="b">
        <f>IFERROR(__xludf.DUMMYFUNCTION("""COMPUTED_VALUE"""),FALSE)</f>
        <v>0</v>
      </c>
      <c r="N532" s="10">
        <f>IFERROR(__xludf.DUMMYFUNCTION("""COMPUTED_VALUE"""),0)</f>
        <v>0</v>
      </c>
      <c r="O532" s="10">
        <f>IFERROR(__xludf.DUMMYFUNCTION("""COMPUTED_VALUE"""),0)</f>
        <v>0</v>
      </c>
      <c r="P532" s="10"/>
      <c r="Q532" s="30"/>
      <c r="R532" s="18"/>
      <c r="S532" s="19"/>
      <c r="T532" s="10"/>
      <c r="U532" s="10"/>
      <c r="V532" s="10"/>
      <c r="W532" s="10"/>
      <c r="X532" s="19"/>
      <c r="Y532" s="1"/>
      <c r="Z532" s="1"/>
      <c r="AA532" s="1"/>
    </row>
    <row r="533" customHeight="1" spans="1:27">
      <c r="A533" s="1" t="str">
        <f>IFERROR(__xludf.DUMMYFUNCTION("""COMPUTED_VALUE"""),"Ita 33")</f>
        <v>Ita 33</v>
      </c>
      <c r="B533" s="1" t="str">
        <f>IFERROR(__xludf.DUMMYFUNCTION("""COMPUTED_VALUE"""),"Ita 36")</f>
        <v>Ita 36</v>
      </c>
      <c r="C533" s="1" t="str">
        <f>IFERROR(__xludf.DUMMYFUNCTION("""COMPUTED_VALUE"""),"Ita 03")</f>
        <v>Ita 03</v>
      </c>
      <c r="D533" s="1" t="str">
        <f>IFERROR(__xludf.DUMMYFUNCTION("""COMPUTED_VALUE"""),"Sand Cave 54K")</f>
        <v>Sand Cave 54K</v>
      </c>
      <c r="E533" s="30" t="str">
        <f>IFERROR(__xludf.DUMMYFUNCTION("""COMPUTED_VALUE"""),"SCave 54K")</f>
        <v>SCave 54K</v>
      </c>
      <c r="F533" s="10">
        <f>IFERROR(__xludf.DUMMYFUNCTION("""COMPUTED_VALUE"""),-237.292876572999)</f>
        <v>-237.292876572999</v>
      </c>
      <c r="G533" s="10">
        <f>IFERROR(__xludf.DUMMYFUNCTION("""COMPUTED_VALUE"""),192.443234071)</f>
        <v>192.443234071</v>
      </c>
      <c r="H533" s="10">
        <f>IFERROR(__xludf.DUMMYFUNCTION("""COMPUTED_VALUE"""),-111.479376854999)</f>
        <v>-111.479376854999</v>
      </c>
      <c r="I533" s="13"/>
      <c r="J533" s="13"/>
      <c r="K533" s="13"/>
      <c r="L533" s="13"/>
      <c r="M533" s="1" t="b">
        <f>IFERROR(__xludf.DUMMYFUNCTION("""COMPUTED_VALUE"""),FALSE)</f>
        <v>0</v>
      </c>
      <c r="N533" s="10">
        <f>IFERROR(__xludf.DUMMYFUNCTION("""COMPUTED_VALUE"""),0)</f>
        <v>0</v>
      </c>
      <c r="O533" s="10">
        <f>IFERROR(__xludf.DUMMYFUNCTION("""COMPUTED_VALUE"""),0)</f>
        <v>0</v>
      </c>
      <c r="P533" s="10"/>
      <c r="Q533" s="30"/>
      <c r="R533" s="18"/>
      <c r="S533" s="19"/>
      <c r="T533" s="10"/>
      <c r="U533" s="10"/>
      <c r="V533" s="10"/>
      <c r="W533" s="10"/>
      <c r="X533" s="19"/>
      <c r="Y533" s="1"/>
      <c r="Z533" s="1"/>
      <c r="AA533" s="1"/>
    </row>
    <row r="534" customHeight="1" spans="1:27">
      <c r="A534" s="1" t="str">
        <f>IFERROR(__xludf.DUMMYFUNCTION("""COMPUTED_VALUE"""),"Ita 10")</f>
        <v>Ita 10</v>
      </c>
      <c r="B534" s="1" t="str">
        <f>IFERROR(__xludf.DUMMYFUNCTION("""COMPUTED_VALUE"""),"Ita 13")</f>
        <v>Ita 13</v>
      </c>
      <c r="C534" s="1" t="str">
        <f>IFERROR(__xludf.DUMMYFUNCTION("""COMPUTED_VALUE"""),"Ita 38")</f>
        <v>Ita 38</v>
      </c>
      <c r="D534" s="1" t="str">
        <f>IFERROR(__xludf.DUMMYFUNCTION("""COMPUTED_VALUE"""),"Sand Cave 07Q")</f>
        <v>Sand Cave 07Q</v>
      </c>
      <c r="E534" s="30" t="str">
        <f>IFERROR(__xludf.DUMMYFUNCTION("""COMPUTED_VALUE"""),"SCave 07Q")</f>
        <v>SCave 07Q</v>
      </c>
      <c r="F534" s="10">
        <f>IFERROR(__xludf.DUMMYFUNCTION("""COMPUTED_VALUE"""),-246.245934276)</f>
        <v>-246.245934276</v>
      </c>
      <c r="G534" s="10">
        <f>IFERROR(__xludf.DUMMYFUNCTION("""COMPUTED_VALUE"""),-184.652551826999)</f>
        <v>-184.652551826999</v>
      </c>
      <c r="H534" s="10">
        <f>IFERROR(__xludf.DUMMYFUNCTION("""COMPUTED_VALUE"""),105.538798607)</f>
        <v>105.538798607</v>
      </c>
      <c r="I534" s="13"/>
      <c r="J534" s="13"/>
      <c r="K534" s="13"/>
      <c r="L534" s="13"/>
      <c r="M534" s="1" t="b">
        <f>IFERROR(__xludf.DUMMYFUNCTION("""COMPUTED_VALUE"""),FALSE)</f>
        <v>0</v>
      </c>
      <c r="N534" s="10">
        <f>IFERROR(__xludf.DUMMYFUNCTION("""COMPUTED_VALUE"""),0)</f>
        <v>0</v>
      </c>
      <c r="O534" s="10">
        <f>IFERROR(__xludf.DUMMYFUNCTION("""COMPUTED_VALUE"""),0)</f>
        <v>0</v>
      </c>
      <c r="P534" s="10"/>
      <c r="Q534" s="30"/>
      <c r="R534" s="18"/>
      <c r="S534" s="19"/>
      <c r="T534" s="10"/>
      <c r="U534" s="10"/>
      <c r="V534" s="10"/>
      <c r="W534" s="10"/>
      <c r="X534" s="19"/>
      <c r="Y534" s="1"/>
      <c r="Z534" s="1"/>
      <c r="AA534" s="1"/>
    </row>
    <row r="535" customHeight="1" spans="1:27">
      <c r="A535" s="1" t="str">
        <f>IFERROR(__xludf.DUMMYFUNCTION("""COMPUTED_VALUE"""),"Ita 26")</f>
        <v>Ita 26</v>
      </c>
      <c r="B535" s="1" t="str">
        <f>IFERROR(__xludf.DUMMYFUNCTION("""COMPUTED_VALUE"""),"Ita 29")</f>
        <v>Ita 29</v>
      </c>
      <c r="C535" s="1" t="str">
        <f>IFERROR(__xludf.DUMMYFUNCTION("""COMPUTED_VALUE"""),"Ita 15")</f>
        <v>Ita 15</v>
      </c>
      <c r="D535" s="1" t="str">
        <f>IFERROR(__xludf.DUMMYFUNCTION("""COMPUTED_VALUE"""),"Sand Cave 35M")</f>
        <v>Sand Cave 35M</v>
      </c>
      <c r="E535" s="30" t="str">
        <f>IFERROR(__xludf.DUMMYFUNCTION("""COMPUTED_VALUE"""),"SCave 35M")</f>
        <v>SCave 35M</v>
      </c>
      <c r="F535" s="10">
        <f>IFERROR(__xludf.DUMMYFUNCTION("""COMPUTED_VALUE"""),284.248866327999)</f>
        <v>284.248866327999</v>
      </c>
      <c r="G535" s="10">
        <f>IFERROR(__xludf.DUMMYFUNCTION("""COMPUTED_VALUE"""),157.516445521999)</f>
        <v>157.516445521999</v>
      </c>
      <c r="H535" s="10">
        <f>IFERROR(__xludf.DUMMYFUNCTION("""COMPUTED_VALUE"""),-14.705200719)</f>
        <v>-14.705200719</v>
      </c>
      <c r="I535" s="13"/>
      <c r="J535" s="13"/>
      <c r="K535" s="13"/>
      <c r="L535" s="13"/>
      <c r="M535" s="1" t="b">
        <f>IFERROR(__xludf.DUMMYFUNCTION("""COMPUTED_VALUE"""),FALSE)</f>
        <v>0</v>
      </c>
      <c r="N535" s="10">
        <f>IFERROR(__xludf.DUMMYFUNCTION("""COMPUTED_VALUE"""),0)</f>
        <v>0</v>
      </c>
      <c r="O535" s="10">
        <f>IFERROR(__xludf.DUMMYFUNCTION("""COMPUTED_VALUE"""),0)</f>
        <v>0</v>
      </c>
      <c r="P535" s="10"/>
      <c r="Q535" s="30"/>
      <c r="R535" s="18"/>
      <c r="S535" s="19"/>
      <c r="T535" s="10"/>
      <c r="U535" s="10"/>
      <c r="V535" s="10"/>
      <c r="W535" s="10"/>
      <c r="X535" s="19"/>
      <c r="Y535" s="1"/>
      <c r="Z535" s="1"/>
      <c r="AA535" s="1"/>
    </row>
    <row r="536" customHeight="1" spans="1:27">
      <c r="A536" s="1" t="str">
        <f>IFERROR(__xludf.DUMMYFUNCTION("""COMPUTED_VALUE"""),"Ita 24")</f>
        <v>Ita 24</v>
      </c>
      <c r="B536" s="1" t="str">
        <f>IFERROR(__xludf.DUMMYFUNCTION("""COMPUTED_VALUE"""),"Ita 27")</f>
        <v>Ita 27</v>
      </c>
      <c r="C536" s="1" t="str">
        <f>IFERROR(__xludf.DUMMYFUNCTION("""COMPUTED_VALUE"""),"Ita 17")</f>
        <v>Ita 17</v>
      </c>
      <c r="D536" s="1" t="str">
        <f>IFERROR(__xludf.DUMMYFUNCTION("""COMPUTED_VALUE"""),"Sand Cave 33K")</f>
        <v>Sand Cave 33K</v>
      </c>
      <c r="E536" s="30" t="str">
        <f>IFERROR(__xludf.DUMMYFUNCTION("""COMPUTED_VALUE"""),"SCave 33K")</f>
        <v>SCave 33K</v>
      </c>
      <c r="F536" s="10">
        <f>IFERROR(__xludf.DUMMYFUNCTION("""COMPUTED_VALUE"""),289.759058037)</f>
        <v>289.759058037</v>
      </c>
      <c r="G536" s="10">
        <f>IFERROR(__xludf.DUMMYFUNCTION("""COMPUTED_VALUE"""),83.644394369)</f>
        <v>83.644394369</v>
      </c>
      <c r="H536" s="10">
        <f>IFERROR(__xludf.DUMMYFUNCTION("""COMPUTED_VALUE"""),-121.345871413999)</f>
        <v>-121.345871413999</v>
      </c>
      <c r="I536" s="13"/>
      <c r="J536" s="13"/>
      <c r="K536" s="13"/>
      <c r="L536" s="13"/>
      <c r="M536" s="1" t="b">
        <f>IFERROR(__xludf.DUMMYFUNCTION("""COMPUTED_VALUE"""),FALSE)</f>
        <v>0</v>
      </c>
      <c r="N536" s="10">
        <f>IFERROR(__xludf.DUMMYFUNCTION("""COMPUTED_VALUE"""),0)</f>
        <v>0</v>
      </c>
      <c r="O536" s="10">
        <f>IFERROR(__xludf.DUMMYFUNCTION("""COMPUTED_VALUE"""),0)</f>
        <v>0</v>
      </c>
      <c r="P536" s="10"/>
      <c r="Q536" s="30"/>
      <c r="R536" s="18"/>
      <c r="S536" s="19"/>
      <c r="T536" s="10"/>
      <c r="U536" s="10"/>
      <c r="V536" s="10"/>
      <c r="W536" s="10"/>
      <c r="X536" s="19"/>
      <c r="Y536" s="1"/>
      <c r="Z536" s="1"/>
      <c r="AA536" s="1"/>
    </row>
    <row r="537" customHeight="1" spans="1:27">
      <c r="A537" s="1" t="str">
        <f>IFERROR(__xludf.DUMMYFUNCTION("""COMPUTED_VALUE"""),"Ita 06")</f>
        <v>Ita 06</v>
      </c>
      <c r="B537" s="1" t="str">
        <f>IFERROR(__xludf.DUMMYFUNCTION("""COMPUTED_VALUE"""),"Ita 09")</f>
        <v>Ita 09</v>
      </c>
      <c r="C537" s="1" t="str">
        <f>IFERROR(__xludf.DUMMYFUNCTION("""COMPUTED_VALUE"""),"Ita 43")</f>
        <v>Ita 43</v>
      </c>
      <c r="D537" s="1" t="str">
        <f>IFERROR(__xludf.DUMMYFUNCTION("""COMPUTED_VALUE"""),"Sand Cave 01J")</f>
        <v>Sand Cave 01J</v>
      </c>
      <c r="E537" s="30" t="str">
        <f>IFERROR(__xludf.DUMMYFUNCTION("""COMPUTED_VALUE"""),"SCave 01J")</f>
        <v>SCave 01J</v>
      </c>
      <c r="F537" s="10">
        <f>IFERROR(__xludf.DUMMYFUNCTION("""COMPUTED_VALUE"""),-289.761711766999)</f>
        <v>-289.761711766999</v>
      </c>
      <c r="G537" s="10">
        <f>IFERROR(__xludf.DUMMYFUNCTION("""COMPUTED_VALUE"""),-7.63227756599999)</f>
        <v>-7.63227756599999</v>
      </c>
      <c r="H537" s="10">
        <f>IFERROR(__xludf.DUMMYFUNCTION("""COMPUTED_VALUE"""),-147.995424822)</f>
        <v>-147.995424822</v>
      </c>
      <c r="I537" s="13"/>
      <c r="J537" s="13"/>
      <c r="K537" s="13"/>
      <c r="L537" s="13"/>
      <c r="M537" s="1" t="b">
        <f>IFERROR(__xludf.DUMMYFUNCTION("""COMPUTED_VALUE"""),FALSE)</f>
        <v>0</v>
      </c>
      <c r="N537" s="10">
        <f>IFERROR(__xludf.DUMMYFUNCTION("""COMPUTED_VALUE"""),0)</f>
        <v>0</v>
      </c>
      <c r="O537" s="10">
        <f>IFERROR(__xludf.DUMMYFUNCTION("""COMPUTED_VALUE"""),0)</f>
        <v>0</v>
      </c>
      <c r="P537" s="10"/>
      <c r="Q537" s="30"/>
      <c r="R537" s="18"/>
      <c r="S537" s="19"/>
      <c r="T537" s="10"/>
      <c r="U537" s="10"/>
      <c r="V537" s="10"/>
      <c r="W537" s="10"/>
      <c r="X537" s="19"/>
      <c r="Y537" s="1"/>
      <c r="Z537" s="1"/>
      <c r="AA537" s="1"/>
    </row>
    <row r="538" customHeight="1" spans="1:27">
      <c r="A538" s="1" t="str">
        <f>IFERROR(__xludf.DUMMYFUNCTION("""COMPUTED_VALUE"""),"Ita 08")</f>
        <v>Ita 08</v>
      </c>
      <c r="B538" s="1" t="str">
        <f>IFERROR(__xludf.DUMMYFUNCTION("""COMPUTED_VALUE"""),"Ita 11")</f>
        <v>Ita 11</v>
      </c>
      <c r="C538" s="1" t="str">
        <f>IFERROR(__xludf.DUMMYFUNCTION("""COMPUTED_VALUE"""),"Ita 40")</f>
        <v>Ita 40</v>
      </c>
      <c r="D538" s="1" t="str">
        <f>IFERROR(__xludf.DUMMYFUNCTION("""COMPUTED_VALUE"""),"Sand Cave 01N-011")</f>
        <v>Sand Cave 01N-011</v>
      </c>
      <c r="E538" s="30" t="str">
        <f>IFERROR(__xludf.DUMMYFUNCTION("""COMPUTED_VALUE"""),"SCave 01N011")</f>
        <v>SCave 01N011</v>
      </c>
      <c r="F538" s="10">
        <f>IFERROR(__xludf.DUMMYFUNCTION("""COMPUTED_VALUE"""),-321.442836400999)</f>
        <v>-321.442836400999</v>
      </c>
      <c r="G538" s="10">
        <f>IFERROR(__xludf.DUMMYFUNCTION("""COMPUTED_VALUE"""),-28.4912407099999)</f>
        <v>-28.4912407099999</v>
      </c>
      <c r="H538" s="10">
        <f>IFERROR(__xludf.DUMMYFUNCTION("""COMPUTED_VALUE"""),39.7191820349999)</f>
        <v>39.7191820349999</v>
      </c>
      <c r="I538" s="13"/>
      <c r="J538" s="13"/>
      <c r="K538" s="13"/>
      <c r="L538" s="13"/>
      <c r="M538" s="1" t="b">
        <f>IFERROR(__xludf.DUMMYFUNCTION("""COMPUTED_VALUE"""),FALSE)</f>
        <v>0</v>
      </c>
      <c r="N538" s="10">
        <f>IFERROR(__xludf.DUMMYFUNCTION("""COMPUTED_VALUE"""),0)</f>
        <v>0</v>
      </c>
      <c r="O538" s="10">
        <f>IFERROR(__xludf.DUMMYFUNCTION("""COMPUTED_VALUE"""),0)</f>
        <v>0</v>
      </c>
      <c r="P538" s="10"/>
      <c r="Q538" s="30"/>
      <c r="R538" s="18"/>
      <c r="S538" s="19"/>
      <c r="T538" s="10"/>
      <c r="U538" s="10"/>
      <c r="V538" s="10"/>
      <c r="W538" s="10"/>
      <c r="X538" s="19"/>
      <c r="Y538" s="1"/>
      <c r="Z538" s="1"/>
      <c r="AA538" s="1"/>
    </row>
    <row r="539" customHeight="1" spans="1:27">
      <c r="A539" s="1" t="str">
        <f>IFERROR(__xludf.DUMMYFUNCTION("""COMPUTED_VALUE"""),"Ita 20")</f>
        <v>Ita 20</v>
      </c>
      <c r="B539" s="1" t="str">
        <f>IFERROR(__xludf.DUMMYFUNCTION("""COMPUTED_VALUE"""),"Ita 23")</f>
        <v>Ita 23</v>
      </c>
      <c r="C539" s="1" t="str">
        <f>IFERROR(__xludf.DUMMYFUNCTION("""COMPUTED_VALUE"""),"Ita 24")</f>
        <v>Ita 24</v>
      </c>
      <c r="D539" s="1" t="str">
        <f>IFERROR(__xludf.DUMMYFUNCTION("""COMPUTED_VALUE"""),"Sand Cave 25K")</f>
        <v>Sand Cave 25K</v>
      </c>
      <c r="E539" s="30" t="str">
        <f>IFERROR(__xludf.DUMMYFUNCTION("""COMPUTED_VALUE"""),"SCave 25K")</f>
        <v>SCave 25K</v>
      </c>
      <c r="F539" s="10">
        <f>IFERROR(__xludf.DUMMYFUNCTION("""COMPUTED_VALUE"""),252.352995877999)</f>
        <v>252.352995877999</v>
      </c>
      <c r="G539" s="10">
        <f>IFERROR(__xludf.DUMMYFUNCTION("""COMPUTED_VALUE"""),-170.579830462)</f>
        <v>-170.579830462</v>
      </c>
      <c r="H539" s="10">
        <f>IFERROR(__xludf.DUMMYFUNCTION("""COMPUTED_VALUE"""),-114.248212319)</f>
        <v>-114.248212319</v>
      </c>
      <c r="I539" s="13"/>
      <c r="J539" s="13"/>
      <c r="K539" s="13"/>
      <c r="L539" s="13"/>
      <c r="M539" s="1" t="b">
        <f>IFERROR(__xludf.DUMMYFUNCTION("""COMPUTED_VALUE"""),FALSE)</f>
        <v>0</v>
      </c>
      <c r="N539" s="10">
        <f>IFERROR(__xludf.DUMMYFUNCTION("""COMPUTED_VALUE"""),0)</f>
        <v>0</v>
      </c>
      <c r="O539" s="10">
        <f>IFERROR(__xludf.DUMMYFUNCTION("""COMPUTED_VALUE"""),0)</f>
        <v>0</v>
      </c>
      <c r="P539" s="10"/>
      <c r="Q539" s="30"/>
      <c r="R539" s="18"/>
      <c r="S539" s="19"/>
      <c r="T539" s="10"/>
      <c r="U539" s="10"/>
      <c r="V539" s="10"/>
      <c r="W539" s="10"/>
      <c r="X539" s="19"/>
      <c r="Y539" s="1"/>
      <c r="Z539" s="1"/>
      <c r="AA539" s="1"/>
    </row>
    <row r="540" customHeight="1" spans="1:27">
      <c r="A540" s="1" t="str">
        <f>IFERROR(__xludf.DUMMYFUNCTION("""COMPUTED_VALUE"""),"Ita 17")</f>
        <v>Ita 17</v>
      </c>
      <c r="B540" s="1" t="str">
        <f>IFERROR(__xludf.DUMMYFUNCTION("""COMPUTED_VALUE"""),"Ita 20")</f>
        <v>Ita 20</v>
      </c>
      <c r="C540" s="1" t="str">
        <f>IFERROR(__xludf.DUMMYFUNCTION("""COMPUTED_VALUE"""),"Ita 27")</f>
        <v>Ita 27</v>
      </c>
      <c r="D540" s="1" t="str">
        <f>IFERROR(__xludf.DUMMYFUNCTION("""COMPUTED_VALUE"""),"Sand Cave 23N")</f>
        <v>Sand Cave 23N</v>
      </c>
      <c r="E540" s="30" t="str">
        <f>IFERROR(__xludf.DUMMYFUNCTION("""COMPUTED_VALUE"""),"SCave 23N")</f>
        <v>SCave 23N</v>
      </c>
      <c r="F540" s="10">
        <f>IFERROR(__xludf.DUMMYFUNCTION("""COMPUTED_VALUE"""),229.433413506)</f>
        <v>229.433413506</v>
      </c>
      <c r="G540" s="10">
        <f>IFERROR(__xludf.DUMMYFUNCTION("""COMPUTED_VALUE"""),-229.237119104999)</f>
        <v>-229.237119104999</v>
      </c>
      <c r="H540" s="10">
        <f>IFERROR(__xludf.DUMMYFUNCTION("""COMPUTED_VALUE"""),18.39117726)</f>
        <v>18.39117726</v>
      </c>
      <c r="I540" s="13"/>
      <c r="J540" s="13"/>
      <c r="K540" s="13"/>
      <c r="L540" s="13"/>
      <c r="M540" s="1" t="b">
        <f>IFERROR(__xludf.DUMMYFUNCTION("""COMPUTED_VALUE"""),FALSE)</f>
        <v>0</v>
      </c>
      <c r="N540" s="10">
        <f>IFERROR(__xludf.DUMMYFUNCTION("""COMPUTED_VALUE"""),0)</f>
        <v>0</v>
      </c>
      <c r="O540" s="10">
        <f>IFERROR(__xludf.DUMMYFUNCTION("""COMPUTED_VALUE"""),0)</f>
        <v>0</v>
      </c>
      <c r="P540" s="10"/>
      <c r="Q540" s="30"/>
      <c r="R540" s="18"/>
      <c r="S540" s="19"/>
      <c r="T540" s="10"/>
      <c r="U540" s="10"/>
      <c r="V540" s="10"/>
      <c r="W540" s="10"/>
      <c r="X540" s="19"/>
      <c r="Y540" s="1"/>
      <c r="Z540" s="1"/>
      <c r="AA540" s="1"/>
    </row>
    <row r="541" customHeight="1" spans="1:27">
      <c r="A541" s="1" t="str">
        <f>IFERROR(__xludf.DUMMYFUNCTION("""COMPUTED_VALUE"""),"Ita 15")</f>
        <v>Ita 15</v>
      </c>
      <c r="B541" s="1" t="str">
        <f>IFERROR(__xludf.DUMMYFUNCTION("""COMPUTED_VALUE"""),"Ita 18")</f>
        <v>Ita 18</v>
      </c>
      <c r="C541" s="1" t="str">
        <f>IFERROR(__xludf.DUMMYFUNCTION("""COMPUTED_VALUE"""),"Ita 29")</f>
        <v>Ita 29</v>
      </c>
      <c r="D541" s="1" t="str">
        <f>IFERROR(__xludf.DUMMYFUNCTION("""COMPUTED_VALUE"""),"Sand Cave 20J")</f>
        <v>Sand Cave 20J</v>
      </c>
      <c r="E541" s="30" t="str">
        <f>IFERROR(__xludf.DUMMYFUNCTION("""COMPUTED_VALUE"""),"SCave 20J")</f>
        <v>SCave 20J</v>
      </c>
      <c r="F541" s="10">
        <f>IFERROR(__xludf.DUMMYFUNCTION("""COMPUTED_VALUE"""),138.077422563)</f>
        <v>138.077422563</v>
      </c>
      <c r="G541" s="10">
        <f>IFERROR(__xludf.DUMMYFUNCTION("""COMPUTED_VALUE"""),-256.885016131)</f>
        <v>-256.885016131</v>
      </c>
      <c r="H541" s="10">
        <f>IFERROR(__xludf.DUMMYFUNCTION("""COMPUTED_VALUE"""),-144.004440103)</f>
        <v>-144.004440103</v>
      </c>
      <c r="I541" s="13"/>
      <c r="J541" s="13"/>
      <c r="K541" s="13"/>
      <c r="L541" s="13"/>
      <c r="M541" s="1" t="b">
        <f>IFERROR(__xludf.DUMMYFUNCTION("""COMPUTED_VALUE"""),FALSE)</f>
        <v>0</v>
      </c>
      <c r="N541" s="10">
        <f>IFERROR(__xludf.DUMMYFUNCTION("""COMPUTED_VALUE"""),0)</f>
        <v>0</v>
      </c>
      <c r="O541" s="10">
        <f>IFERROR(__xludf.DUMMYFUNCTION("""COMPUTED_VALUE"""),0)</f>
        <v>0</v>
      </c>
      <c r="P541" s="10"/>
      <c r="Q541" s="30"/>
      <c r="R541" s="18"/>
      <c r="S541" s="19"/>
      <c r="T541" s="10"/>
      <c r="U541" s="10"/>
      <c r="V541" s="10"/>
      <c r="W541" s="10"/>
      <c r="X541" s="19"/>
      <c r="Y541" s="1"/>
      <c r="Z541" s="1"/>
      <c r="AA541" s="1"/>
    </row>
    <row r="542" customHeight="1" spans="1:27">
      <c r="A542" s="1" t="str">
        <f>IFERROR(__xludf.DUMMYFUNCTION("""COMPUTED_VALUE"""),"Ita 34")</f>
        <v>Ita 34</v>
      </c>
      <c r="B542" s="1" t="str">
        <f>IFERROR(__xludf.DUMMYFUNCTION("""COMPUTED_VALUE"""),"Ita 37")</f>
        <v>Ita 37</v>
      </c>
      <c r="C542" s="1" t="str">
        <f>IFERROR(__xludf.DUMMYFUNCTION("""COMPUTED_VALUE"""),"Ita 04")</f>
        <v>Ita 04</v>
      </c>
      <c r="D542" s="1" t="str">
        <f>IFERROR(__xludf.DUMMYFUNCTION("""COMPUTED_VALUE"""),"Sand Cave 54M")</f>
        <v>Sand Cave 54M</v>
      </c>
      <c r="E542" s="30" t="str">
        <f>IFERROR(__xludf.DUMMYFUNCTION("""COMPUTED_VALUE"""),"SCave 54M")</f>
        <v>SCave 54M</v>
      </c>
      <c r="F542" s="10">
        <f>IFERROR(__xludf.DUMMYFUNCTION("""COMPUTED_VALUE"""),-244.845325946)</f>
        <v>-244.845325946</v>
      </c>
      <c r="G542" s="10">
        <f>IFERROR(__xludf.DUMMYFUNCTION("""COMPUTED_VALUE"""),210.416856907)</f>
        <v>210.416856907</v>
      </c>
      <c r="H542" s="10">
        <f>IFERROR(__xludf.DUMMYFUNCTION("""COMPUTED_VALUE"""),-36.8739543869999)</f>
        <v>-36.8739543869999</v>
      </c>
      <c r="I542" s="13"/>
      <c r="J542" s="13"/>
      <c r="K542" s="13"/>
      <c r="L542" s="13"/>
      <c r="M542" s="1" t="b">
        <f>IFERROR(__xludf.DUMMYFUNCTION("""COMPUTED_VALUE"""),FALSE)</f>
        <v>0</v>
      </c>
      <c r="N542" s="10">
        <f>IFERROR(__xludf.DUMMYFUNCTION("""COMPUTED_VALUE"""),0)</f>
        <v>0</v>
      </c>
      <c r="O542" s="10">
        <f>IFERROR(__xludf.DUMMYFUNCTION("""COMPUTED_VALUE"""),0)</f>
        <v>0</v>
      </c>
      <c r="P542" s="10"/>
      <c r="Q542" s="30"/>
      <c r="R542" s="18"/>
      <c r="S542" s="19"/>
      <c r="T542" s="10"/>
      <c r="U542" s="10"/>
      <c r="V542" s="10"/>
      <c r="W542" s="10"/>
      <c r="X542" s="19"/>
      <c r="Y542" s="1"/>
      <c r="Z542" s="1"/>
      <c r="AA542" s="1"/>
    </row>
    <row r="543" customHeight="1" spans="1:27">
      <c r="A543" s="1" t="str">
        <f>IFERROR(__xludf.DUMMYFUNCTION("""COMPUTED_VALUE"""),"Ita 32")</f>
        <v>Ita 32</v>
      </c>
      <c r="B543" s="1" t="str">
        <f>IFERROR(__xludf.DUMMYFUNCTION("""COMPUTED_VALUE"""),"Ita 35")</f>
        <v>Ita 35</v>
      </c>
      <c r="C543" s="1" t="str">
        <f>IFERROR(__xludf.DUMMYFUNCTION("""COMPUTED_VALUE"""),"Ita 05")</f>
        <v>Ita 05</v>
      </c>
      <c r="D543" s="1" t="str">
        <f>IFERROR(__xludf.DUMMYFUNCTION("""COMPUTED_VALUE"""),"Sand Cave 53R")</f>
        <v>Sand Cave 53R</v>
      </c>
      <c r="E543" s="30" t="str">
        <f>IFERROR(__xludf.DUMMYFUNCTION("""COMPUTED_VALUE"""),"SCave 53R")</f>
        <v>SCave 53R</v>
      </c>
      <c r="F543" s="10">
        <f>IFERROR(__xludf.DUMMYFUNCTION("""COMPUTED_VALUE"""),-198.366350424)</f>
        <v>-198.366350424</v>
      </c>
      <c r="G543" s="10">
        <f>IFERROR(__xludf.DUMMYFUNCTION("""COMPUTED_VALUE"""),210.079540568)</f>
        <v>210.079540568</v>
      </c>
      <c r="H543" s="10">
        <f>IFERROR(__xludf.DUMMYFUNCTION("""COMPUTED_VALUE"""),149.782289886999)</f>
        <v>149.782289886999</v>
      </c>
      <c r="I543" s="13"/>
      <c r="J543" s="13"/>
      <c r="K543" s="13"/>
      <c r="L543" s="13"/>
      <c r="M543" s="1" t="b">
        <f>IFERROR(__xludf.DUMMYFUNCTION("""COMPUTED_VALUE"""),FALSE)</f>
        <v>0</v>
      </c>
      <c r="N543" s="10">
        <f>IFERROR(__xludf.DUMMYFUNCTION("""COMPUTED_VALUE"""),0)</f>
        <v>0</v>
      </c>
      <c r="O543" s="10">
        <f>IFERROR(__xludf.DUMMYFUNCTION("""COMPUTED_VALUE"""),0)</f>
        <v>0</v>
      </c>
      <c r="P543" s="10"/>
      <c r="Q543" s="30"/>
      <c r="R543" s="18"/>
      <c r="S543" s="19"/>
      <c r="T543" s="10"/>
      <c r="U543" s="10"/>
      <c r="V543" s="10"/>
      <c r="W543" s="10"/>
      <c r="X543" s="19"/>
      <c r="Y543" s="1"/>
      <c r="Z543" s="1"/>
      <c r="AA543" s="1"/>
    </row>
    <row r="544" customHeight="1" spans="1:27">
      <c r="A544" s="1" t="str">
        <f>IFERROR(__xludf.DUMMYFUNCTION("""COMPUTED_VALUE"""),"Ita 31")</f>
        <v>Ita 31</v>
      </c>
      <c r="B544" s="1" t="str">
        <f>IFERROR(__xludf.DUMMYFUNCTION("""COMPUTED_VALUE"""),"Ita 34")</f>
        <v>Ita 34</v>
      </c>
      <c r="C544" s="1" t="str">
        <f>IFERROR(__xludf.DUMMYFUNCTION("""COMPUTED_VALUE"""),"Ita 06")</f>
        <v>Ita 06</v>
      </c>
      <c r="D544" s="1" t="str">
        <f>IFERROR(__xludf.DUMMYFUNCTION("""COMPUTED_VALUE"""),"Sand Cave 51S")</f>
        <v>Sand Cave 51S</v>
      </c>
      <c r="E544" s="30" t="str">
        <f>IFERROR(__xludf.DUMMYFUNCTION("""COMPUTED_VALUE"""),"SCave 51S")</f>
        <v>SCave 51S</v>
      </c>
      <c r="F544" s="10">
        <f>IFERROR(__xludf.DUMMYFUNCTION("""COMPUTED_VALUE"""),-145.85694837)</f>
        <v>-145.85694837</v>
      </c>
      <c r="G544" s="10">
        <f>IFERROR(__xludf.DUMMYFUNCTION("""COMPUTED_VALUE"""),225.601097108999)</f>
        <v>225.601097108999</v>
      </c>
      <c r="H544" s="10">
        <f>IFERROR(__xludf.DUMMYFUNCTION("""COMPUTED_VALUE"""),183.247291558)</f>
        <v>183.247291558</v>
      </c>
      <c r="I544" s="13"/>
      <c r="J544" s="13"/>
      <c r="K544" s="13"/>
      <c r="L544" s="13"/>
      <c r="M544" s="1" t="b">
        <f>IFERROR(__xludf.DUMMYFUNCTION("""COMPUTED_VALUE"""),FALSE)</f>
        <v>0</v>
      </c>
      <c r="N544" s="10">
        <f>IFERROR(__xludf.DUMMYFUNCTION("""COMPUTED_VALUE"""),0)</f>
        <v>0</v>
      </c>
      <c r="O544" s="10">
        <f>IFERROR(__xludf.DUMMYFUNCTION("""COMPUTED_VALUE"""),0)</f>
        <v>0</v>
      </c>
      <c r="P544" s="10"/>
      <c r="Q544" s="30"/>
      <c r="R544" s="18"/>
      <c r="S544" s="19"/>
      <c r="T544" s="10"/>
      <c r="U544" s="10"/>
      <c r="V544" s="10"/>
      <c r="W544" s="10"/>
      <c r="X544" s="19"/>
      <c r="Y544" s="1"/>
      <c r="Z544" s="1"/>
      <c r="AA544" s="1"/>
    </row>
    <row r="545" customHeight="1" spans="1:27">
      <c r="A545" s="1" t="str">
        <f>IFERROR(__xludf.DUMMYFUNCTION("""COMPUTED_VALUE"""),"Ita 30")</f>
        <v>Ita 30</v>
      </c>
      <c r="B545" s="1" t="str">
        <f>IFERROR(__xludf.DUMMYFUNCTION("""COMPUTED_VALUE"""),"Ita 33")</f>
        <v>Ita 33</v>
      </c>
      <c r="C545" s="1" t="str">
        <f>IFERROR(__xludf.DUMMYFUNCTION("""COMPUTED_VALUE"""),"Ita 07")</f>
        <v>Ita 07</v>
      </c>
      <c r="D545" s="1" t="str">
        <f>IFERROR(__xludf.DUMMYFUNCTION("""COMPUTED_VALUE"""),"Sand Cave 49S")</f>
        <v>Sand Cave 49S</v>
      </c>
      <c r="E545" s="30" t="str">
        <f>IFERROR(__xludf.DUMMYFUNCTION("""COMPUTED_VALUE"""),"SCave 49S")</f>
        <v>SCave 49S</v>
      </c>
      <c r="F545" s="10">
        <f>IFERROR(__xludf.DUMMYFUNCTION("""COMPUTED_VALUE"""),-95.6716822459998)</f>
        <v>-95.6716822459998</v>
      </c>
      <c r="G545" s="10">
        <f>IFERROR(__xludf.DUMMYFUNCTION("""COMPUTED_VALUE"""),232.415407027999)</f>
        <v>232.415407027999</v>
      </c>
      <c r="H545" s="10">
        <f>IFERROR(__xludf.DUMMYFUNCTION("""COMPUTED_VALUE"""),206.556507454)</f>
        <v>206.556507454</v>
      </c>
      <c r="I545" s="13"/>
      <c r="J545" s="13"/>
      <c r="K545" s="13"/>
      <c r="L545" s="13"/>
      <c r="M545" s="1" t="b">
        <f>IFERROR(__xludf.DUMMYFUNCTION("""COMPUTED_VALUE"""),FALSE)</f>
        <v>0</v>
      </c>
      <c r="N545" s="10">
        <f>IFERROR(__xludf.DUMMYFUNCTION("""COMPUTED_VALUE"""),0)</f>
        <v>0</v>
      </c>
      <c r="O545" s="10">
        <f>IFERROR(__xludf.DUMMYFUNCTION("""COMPUTED_VALUE"""),0)</f>
        <v>0</v>
      </c>
      <c r="P545" s="10"/>
      <c r="Q545" s="30"/>
      <c r="R545" s="18"/>
      <c r="S545" s="19"/>
      <c r="T545" s="10"/>
      <c r="U545" s="10"/>
      <c r="V545" s="10"/>
      <c r="W545" s="10"/>
      <c r="X545" s="19"/>
      <c r="Y545" s="1"/>
      <c r="Z545" s="1"/>
      <c r="AA545" s="1"/>
    </row>
    <row r="546" customHeight="1" spans="1:27">
      <c r="A546" s="1" t="str">
        <f>IFERROR(__xludf.DUMMYFUNCTION("""COMPUTED_VALUE"""),"Ita 22")</f>
        <v>Ita 22</v>
      </c>
      <c r="B546" s="1" t="str">
        <f>IFERROR(__xludf.DUMMYFUNCTION("""COMPUTED_VALUE"""),"Ita 25")</f>
        <v>Ita 25</v>
      </c>
      <c r="C546" s="1" t="str">
        <f>IFERROR(__xludf.DUMMYFUNCTION("""COMPUTED_VALUE"""),"Ita 22")</f>
        <v>Ita 22</v>
      </c>
      <c r="D546" s="1" t="str">
        <f>IFERROR(__xludf.DUMMYFUNCTION("""COMPUTED_VALUE"""),"Sand Cave 26S")</f>
        <v>Sand Cave 26S</v>
      </c>
      <c r="E546" s="30" t="str">
        <f>IFERROR(__xludf.DUMMYFUNCTION("""COMPUTED_VALUE"""),"SCave 26S")</f>
        <v>SCave 26S</v>
      </c>
      <c r="F546" s="10">
        <f>IFERROR(__xludf.DUMMYFUNCTION("""COMPUTED_VALUE"""),226.490069041)</f>
        <v>226.490069041</v>
      </c>
      <c r="G546" s="10">
        <f>IFERROR(__xludf.DUMMYFUNCTION("""COMPUTED_VALUE"""),-127.471403798)</f>
        <v>-127.471403798</v>
      </c>
      <c r="H546" s="10">
        <f>IFERROR(__xludf.DUMMYFUNCTION("""COMPUTED_VALUE"""),195.092245614)</f>
        <v>195.092245614</v>
      </c>
      <c r="I546" s="13"/>
      <c r="J546" s="13"/>
      <c r="K546" s="13"/>
      <c r="L546" s="13"/>
      <c r="M546" s="1" t="b">
        <f>IFERROR(__xludf.DUMMYFUNCTION("""COMPUTED_VALUE"""),FALSE)</f>
        <v>0</v>
      </c>
      <c r="N546" s="10">
        <f>IFERROR(__xludf.DUMMYFUNCTION("""COMPUTED_VALUE"""),0)</f>
        <v>0</v>
      </c>
      <c r="O546" s="10">
        <f>IFERROR(__xludf.DUMMYFUNCTION("""COMPUTED_VALUE"""),0)</f>
        <v>0</v>
      </c>
      <c r="P546" s="10"/>
      <c r="Q546" s="30"/>
      <c r="R546" s="18"/>
      <c r="S546" s="19"/>
      <c r="T546" s="10"/>
      <c r="U546" s="10"/>
      <c r="V546" s="10"/>
      <c r="W546" s="10"/>
      <c r="X546" s="19"/>
      <c r="Y546" s="1"/>
      <c r="Z546" s="1"/>
      <c r="AA546" s="1"/>
    </row>
    <row r="547" customHeight="1" spans="1:27">
      <c r="A547" s="1" t="str">
        <f>IFERROR(__xludf.DUMMYFUNCTION("""COMPUTED_VALUE"""),"Ita 21")</f>
        <v>Ita 21</v>
      </c>
      <c r="B547" s="1" t="str">
        <f>IFERROR(__xludf.DUMMYFUNCTION("""COMPUTED_VALUE"""),"Ita 24")</f>
        <v>Ita 24</v>
      </c>
      <c r="C547" s="1" t="str">
        <f>IFERROR(__xludf.DUMMYFUNCTION("""COMPUTED_VALUE"""),"Ita 23")</f>
        <v>Ita 23</v>
      </c>
      <c r="D547" s="1" t="str">
        <f>IFERROR(__xludf.DUMMYFUNCTION("""COMPUTED_VALUE"""),"Sand Cave 25S")</f>
        <v>Sand Cave 25S</v>
      </c>
      <c r="E547" s="30" t="str">
        <f>IFERROR(__xludf.DUMMYFUNCTION("""COMPUTED_VALUE"""),"SCave 25S")</f>
        <v>SCave 25S</v>
      </c>
      <c r="F547" s="10">
        <f>IFERROR(__xludf.DUMMYFUNCTION("""COMPUTED_VALUE"""),222.979460536)</f>
        <v>222.979460536</v>
      </c>
      <c r="G547" s="10">
        <f>IFERROR(__xludf.DUMMYFUNCTION("""COMPUTED_VALUE"""),-129.325527858)</f>
        <v>-129.325527858</v>
      </c>
      <c r="H547" s="10">
        <f>IFERROR(__xludf.DUMMYFUNCTION("""COMPUTED_VALUE"""),197.905946739)</f>
        <v>197.905946739</v>
      </c>
      <c r="I547" s="13"/>
      <c r="J547" s="13"/>
      <c r="K547" s="13"/>
      <c r="L547" s="13"/>
      <c r="M547" s="1" t="b">
        <f>IFERROR(__xludf.DUMMYFUNCTION("""COMPUTED_VALUE"""),FALSE)</f>
        <v>0</v>
      </c>
      <c r="N547" s="10">
        <f>IFERROR(__xludf.DUMMYFUNCTION("""COMPUTED_VALUE"""),0)</f>
        <v>0</v>
      </c>
      <c r="O547" s="10">
        <f>IFERROR(__xludf.DUMMYFUNCTION("""COMPUTED_VALUE"""),0)</f>
        <v>0</v>
      </c>
      <c r="P547" s="10"/>
      <c r="Q547" s="30"/>
      <c r="R547" s="18"/>
      <c r="S547" s="19"/>
      <c r="T547" s="10"/>
      <c r="U547" s="10"/>
      <c r="V547" s="10"/>
      <c r="W547" s="10"/>
      <c r="X547" s="19"/>
      <c r="Y547" s="1"/>
      <c r="Z547" s="1"/>
      <c r="AA547" s="1"/>
    </row>
    <row r="548" customHeight="1" spans="1:27">
      <c r="A548" s="1" t="str">
        <f>IFERROR(__xludf.DUMMYFUNCTION("""COMPUTED_VALUE"""),"Ita 23")</f>
        <v>Ita 23</v>
      </c>
      <c r="B548" s="1" t="str">
        <f>IFERROR(__xludf.DUMMYFUNCTION("""COMPUTED_VALUE"""),"Ita 26")</f>
        <v>Ita 26</v>
      </c>
      <c r="C548" s="1" t="str">
        <f>IFERROR(__xludf.DUMMYFUNCTION("""COMPUTED_VALUE"""),"Ita 19")</f>
        <v>Ita 19</v>
      </c>
      <c r="D548" s="1" t="str">
        <f>IFERROR(__xludf.DUMMYFUNCTION("""COMPUTED_VALUE"""),"Sand Cave 28T")</f>
        <v>Sand Cave 28T</v>
      </c>
      <c r="E548" s="30" t="str">
        <f>IFERROR(__xludf.DUMMYFUNCTION("""COMPUTED_VALUE"""),"SCave 28T")</f>
        <v>SCave 28T</v>
      </c>
      <c r="F548" s="10">
        <f>IFERROR(__xludf.DUMMYFUNCTION("""COMPUTED_VALUE"""),220.695596888)</f>
        <v>220.695596888</v>
      </c>
      <c r="G548" s="10">
        <f>IFERROR(__xludf.DUMMYFUNCTION("""COMPUTED_VALUE"""),-65.428039985)</f>
        <v>-65.428039985</v>
      </c>
      <c r="H548" s="10">
        <f>IFERROR(__xludf.DUMMYFUNCTION("""COMPUTED_VALUE"""),229.556560505)</f>
        <v>229.556560505</v>
      </c>
      <c r="I548" s="13"/>
      <c r="J548" s="13"/>
      <c r="K548" s="13"/>
      <c r="L548" s="13"/>
      <c r="M548" s="1" t="b">
        <f>IFERROR(__xludf.DUMMYFUNCTION("""COMPUTED_VALUE"""),FALSE)</f>
        <v>0</v>
      </c>
      <c r="N548" s="10">
        <f>IFERROR(__xludf.DUMMYFUNCTION("""COMPUTED_VALUE"""),0)</f>
        <v>0</v>
      </c>
      <c r="O548" s="10">
        <f>IFERROR(__xludf.DUMMYFUNCTION("""COMPUTED_VALUE"""),0)</f>
        <v>0</v>
      </c>
      <c r="P548" s="10"/>
      <c r="Q548" s="30"/>
      <c r="R548" s="18"/>
      <c r="S548" s="19"/>
      <c r="T548" s="10"/>
      <c r="U548" s="10"/>
      <c r="V548" s="10"/>
      <c r="W548" s="10"/>
      <c r="X548" s="19"/>
      <c r="Y548" s="1"/>
      <c r="Z548" s="1"/>
      <c r="AA548" s="1"/>
    </row>
    <row r="549" customHeight="1" spans="1:27">
      <c r="A549" s="1" t="str">
        <f>IFERROR(__xludf.DUMMYFUNCTION("""COMPUTED_VALUE"""),"Ita 27")</f>
        <v>Ita 27</v>
      </c>
      <c r="B549" s="1" t="str">
        <f>IFERROR(__xludf.DUMMYFUNCTION("""COMPUTED_VALUE"""),"Ita 30")</f>
        <v>Ita 30</v>
      </c>
      <c r="C549" s="1" t="str">
        <f>IFERROR(__xludf.DUMMYFUNCTION("""COMPUTED_VALUE"""),"Ita 14")</f>
        <v>Ita 14</v>
      </c>
      <c r="D549" s="1" t="str">
        <f>IFERROR(__xludf.DUMMYFUNCTION("""COMPUTED_VALUE"""),"Sand Cave 40R")</f>
        <v>Sand Cave 40R</v>
      </c>
      <c r="E549" s="1" t="str">
        <f>IFERROR(__xludf.DUMMYFUNCTION("""COMPUTED_VALUE"""),"SCave 40R")</f>
        <v>SCave 40R</v>
      </c>
      <c r="F549" s="2">
        <f>IFERROR(__xludf.DUMMYFUNCTION("""COMPUTED_VALUE"""),165.617741497999)</f>
        <v>165.617741497999</v>
      </c>
      <c r="G549" s="2">
        <f>IFERROR(__xludf.DUMMYFUNCTION("""COMPUTED_VALUE"""),230.516530414)</f>
        <v>230.516530414</v>
      </c>
      <c r="H549" s="2">
        <f>IFERROR(__xludf.DUMMYFUNCTION("""COMPUTED_VALUE"""),158.177158563)</f>
        <v>158.177158563</v>
      </c>
      <c r="I549" s="1"/>
      <c r="J549" s="1"/>
      <c r="K549" s="1"/>
      <c r="L549" s="1"/>
      <c r="M549" s="1" t="b">
        <f>IFERROR(__xludf.DUMMYFUNCTION("""COMPUTED_VALUE"""),FALSE)</f>
        <v>0</v>
      </c>
      <c r="N549" s="2">
        <f>IFERROR(__xludf.DUMMYFUNCTION("""COMPUTED_VALUE"""),0)</f>
        <v>0</v>
      </c>
      <c r="O549" s="2">
        <f>IFERROR(__xludf.DUMMYFUNCTION("""COMPUTED_VALUE"""),0)</f>
        <v>0</v>
      </c>
      <c r="P549" s="1"/>
      <c r="Q549" s="1"/>
      <c r="R549" s="1"/>
      <c r="S549" s="1"/>
      <c r="T549" s="1"/>
      <c r="U549" s="1"/>
      <c r="V549" s="1"/>
      <c r="W549" s="1"/>
      <c r="X549" s="1"/>
      <c r="Y549" s="1"/>
      <c r="Z549" s="1"/>
      <c r="AA549" s="1"/>
    </row>
    <row r="550" customHeight="1" spans="1:27">
      <c r="A550" s="1" t="str">
        <f>IFERROR(__xludf.DUMMYFUNCTION("""COMPUTED_VALUE"""),"Ita 25")</f>
        <v>Ita 25</v>
      </c>
      <c r="B550" s="1" t="str">
        <f>IFERROR(__xludf.DUMMYFUNCTION("""COMPUTED_VALUE"""),"Ita 28")</f>
        <v>Ita 28</v>
      </c>
      <c r="C550" s="1" t="str">
        <f>IFERROR(__xludf.DUMMYFUNCTION("""COMPUTED_VALUE"""),"Ita 16")</f>
        <v>Ita 16</v>
      </c>
      <c r="D550" s="1" t="str">
        <f>IFERROR(__xludf.DUMMYFUNCTION("""COMPUTED_VALUE"""),"Sand Cave 34P")</f>
        <v>Sand Cave 34P</v>
      </c>
      <c r="E550" s="30" t="str">
        <f>IFERROR(__xludf.DUMMYFUNCTION("""COMPUTED_VALUE"""),"SCave 34P")</f>
        <v>SCave 34P</v>
      </c>
      <c r="F550" s="10">
        <f>IFERROR(__xludf.DUMMYFUNCTION("""COMPUTED_VALUE"""),289.301710672)</f>
        <v>289.301710672</v>
      </c>
      <c r="G550" s="10">
        <f>IFERROR(__xludf.DUMMYFUNCTION("""COMPUTED_VALUE"""),128.190049002999)</f>
        <v>128.190049002999</v>
      </c>
      <c r="H550" s="10">
        <f>IFERROR(__xludf.DUMMYFUNCTION("""COMPUTED_VALUE"""),75.105223668)</f>
        <v>75.105223668</v>
      </c>
      <c r="I550" s="13"/>
      <c r="J550" s="13"/>
      <c r="K550" s="13"/>
      <c r="L550" s="13"/>
      <c r="M550" s="1" t="b">
        <f>IFERROR(__xludf.DUMMYFUNCTION("""COMPUTED_VALUE"""),FALSE)</f>
        <v>0</v>
      </c>
      <c r="N550" s="10">
        <f>IFERROR(__xludf.DUMMYFUNCTION("""COMPUTED_VALUE"""),0)</f>
        <v>0</v>
      </c>
      <c r="O550" s="10">
        <f>IFERROR(__xludf.DUMMYFUNCTION("""COMPUTED_VALUE"""),0)</f>
        <v>0</v>
      </c>
      <c r="P550" s="10"/>
      <c r="Q550" s="30"/>
      <c r="R550" s="18"/>
      <c r="S550" s="19"/>
      <c r="T550" s="10"/>
      <c r="U550" s="10"/>
      <c r="V550" s="10"/>
      <c r="W550" s="10"/>
      <c r="X550" s="19"/>
      <c r="Y550" s="1"/>
      <c r="Z550" s="1"/>
      <c r="AA550" s="1"/>
    </row>
    <row r="551" customHeight="1" spans="1:27">
      <c r="A551" s="1" t="str">
        <f>IFERROR(__xludf.DUMMYFUNCTION("""COMPUTED_VALUE"""),"Ita 12")</f>
        <v>Ita 12</v>
      </c>
      <c r="B551" s="1" t="str">
        <f>IFERROR(__xludf.DUMMYFUNCTION("""COMPUTED_VALUE"""),"Ita 15")</f>
        <v>Ita 15</v>
      </c>
      <c r="C551" s="1" t="str">
        <f>IFERROR(__xludf.DUMMYFUNCTION("""COMPUTED_VALUE"""),"Ita 36")</f>
        <v>Ita 36</v>
      </c>
      <c r="D551" s="1" t="str">
        <f>IFERROR(__xludf.DUMMYFUNCTION("""COMPUTED_VALUE"""),"Sand Cave 09N")</f>
        <v>Sand Cave 09N</v>
      </c>
      <c r="E551" s="30" t="str">
        <f>IFERROR(__xludf.DUMMYFUNCTION("""COMPUTED_VALUE"""),"SCave 09N")</f>
        <v>SCave 09N</v>
      </c>
      <c r="F551" s="10">
        <f>IFERROR(__xludf.DUMMYFUNCTION("""COMPUTED_VALUE"""),-207.860631373999)</f>
        <v>-207.860631373999</v>
      </c>
      <c r="G551" s="10">
        <f>IFERROR(__xludf.DUMMYFUNCTION("""COMPUTED_VALUE"""),-248.555656026999)</f>
        <v>-248.555656026999</v>
      </c>
      <c r="H551" s="10">
        <f>IFERROR(__xludf.DUMMYFUNCTION("""COMPUTED_VALUE"""),26.3260635829999)</f>
        <v>26.3260635829999</v>
      </c>
      <c r="I551" s="13"/>
      <c r="J551" s="13"/>
      <c r="K551" s="13"/>
      <c r="L551" s="13"/>
      <c r="M551" s="1" t="b">
        <f>IFERROR(__xludf.DUMMYFUNCTION("""COMPUTED_VALUE"""),FALSE)</f>
        <v>0</v>
      </c>
      <c r="N551" s="10">
        <f>IFERROR(__xludf.DUMMYFUNCTION("""COMPUTED_VALUE"""),0)</f>
        <v>0</v>
      </c>
      <c r="O551" s="10">
        <f>IFERROR(__xludf.DUMMYFUNCTION("""COMPUTED_VALUE"""),0)</f>
        <v>0</v>
      </c>
      <c r="P551" s="10"/>
      <c r="Q551" s="30"/>
      <c r="R551" s="18"/>
      <c r="S551" s="19"/>
      <c r="T551" s="10"/>
      <c r="U551" s="10"/>
      <c r="V551" s="10"/>
      <c r="W551" s="10"/>
      <c r="X551" s="19"/>
      <c r="Y551" s="1"/>
      <c r="Z551" s="1"/>
      <c r="AA551" s="1"/>
    </row>
    <row r="552" customHeight="1" spans="1:27">
      <c r="A552" s="1" t="str">
        <f>IFERROR(__xludf.DUMMYFUNCTION("""COMPUTED_VALUE"""),"Ita")</f>
        <v>Ita</v>
      </c>
      <c r="B552" s="1" t="str">
        <f>IFERROR(__xludf.DUMMYFUNCTION("""COMPUTED_VALUE"""),"Ita 40")</f>
        <v>Ita 40</v>
      </c>
      <c r="C552" s="1"/>
      <c r="D552" s="1" t="str">
        <f>IFERROR(__xludf.DUMMYFUNCTION("""COMPUTED_VALUE"""),"Wrecks")</f>
        <v>Wrecks</v>
      </c>
      <c r="E552" s="30"/>
      <c r="F552" s="10"/>
      <c r="G552" s="10"/>
      <c r="H552" s="10"/>
      <c r="I552" s="13"/>
      <c r="J552" s="13"/>
      <c r="K552" s="13"/>
      <c r="L552" s="13"/>
      <c r="M552" s="1"/>
      <c r="N552" s="10"/>
      <c r="O552" s="10"/>
      <c r="P552" s="10"/>
      <c r="Q552" s="30"/>
      <c r="R552" s="18"/>
      <c r="S552" s="19"/>
      <c r="T552" s="10"/>
      <c r="U552" s="10"/>
      <c r="V552" s="10"/>
      <c r="W552" s="10"/>
      <c r="X552" s="19"/>
      <c r="Y552" s="1"/>
      <c r="Z552" s="1"/>
      <c r="AA552" s="1"/>
    </row>
    <row r="553" customHeight="1" spans="1:27">
      <c r="A553" s="1" t="str">
        <f>IFERROR(__xludf.DUMMYFUNCTION("""COMPUTED_VALUE"""),"Ita 36")</f>
        <v>Ita 36</v>
      </c>
      <c r="B553" s="1" t="str">
        <f>IFERROR(__xludf.DUMMYFUNCTION("""COMPUTED_VALUE"""),"Ita 41")</f>
        <v>Ita 41</v>
      </c>
      <c r="C553" s="1" t="str">
        <f>IFERROR(__xludf.DUMMYFUNCTION("""COMPUTED_VALUE"""),"Ita 42")</f>
        <v>Ita 42</v>
      </c>
      <c r="D553" s="1" t="str">
        <f>IFERROR(__xludf.DUMMYFUNCTION("""COMPUTED_VALUE"""),"Caterpillar Wreck 01Q")</f>
        <v>Caterpillar Wreck 01Q</v>
      </c>
      <c r="E553" s="30" t="str">
        <f>IFERROR(__xludf.DUMMYFUNCTION("""COMPUTED_VALUE"""),"Caterpillar 01Q")</f>
        <v>Caterpillar 01Q</v>
      </c>
      <c r="F553" s="10">
        <f>IFERROR(__xludf.DUMMYFUNCTION("""COMPUTED_VALUE"""),-306.173442539)</f>
        <v>-306.173442539</v>
      </c>
      <c r="G553" s="10">
        <f>IFERROR(__xludf.DUMMYFUNCTION("""COMPUTED_VALUE"""),-9.83134488799999)</f>
        <v>-9.83134488799999</v>
      </c>
      <c r="H553" s="10">
        <f>IFERROR(__xludf.DUMMYFUNCTION("""COMPUTED_VALUE"""),109.758158056)</f>
        <v>109.758158056</v>
      </c>
      <c r="I553" s="13"/>
      <c r="J553" s="13"/>
      <c r="K553" s="13"/>
      <c r="L553" s="13"/>
      <c r="M553" s="1" t="b">
        <f>IFERROR(__xludf.DUMMYFUNCTION("""COMPUTED_VALUE"""),FALSE)</f>
        <v>0</v>
      </c>
      <c r="N553" s="10">
        <f>IFERROR(__xludf.DUMMYFUNCTION("""COMPUTED_VALUE"""),0)</f>
        <v>0</v>
      </c>
      <c r="O553" s="10">
        <f>IFERROR(__xludf.DUMMYFUNCTION("""COMPUTED_VALUE"""),0)</f>
        <v>0</v>
      </c>
      <c r="P553" s="10"/>
      <c r="Q553" s="30"/>
      <c r="R553" s="18"/>
      <c r="S553" s="19"/>
      <c r="T553" s="10"/>
      <c r="U553" s="10"/>
      <c r="V553" s="10"/>
      <c r="W553" s="10"/>
      <c r="X553" s="19"/>
      <c r="Y553" s="1"/>
      <c r="Z553" s="1"/>
      <c r="AA553" s="1"/>
    </row>
    <row r="554" customHeight="1" spans="1:27">
      <c r="A554" s="1" t="str">
        <f>IFERROR(__xludf.DUMMYFUNCTION("""COMPUTED_VALUE"""),"Ita 37")</f>
        <v>Ita 37</v>
      </c>
      <c r="B554" s="1" t="str">
        <f>IFERROR(__xludf.DUMMYFUNCTION("""COMPUTED_VALUE"""),"Ita 42")</f>
        <v>Ita 42</v>
      </c>
      <c r="C554" s="1" t="str">
        <f>IFERROR(__xludf.DUMMYFUNCTION("""COMPUTED_VALUE"""),"Ita 13")</f>
        <v>Ita 13</v>
      </c>
      <c r="D554" s="1" t="str">
        <f>IFERROR(__xludf.DUMMYFUNCTION("""COMPUTED_VALUE"""),"Caterpillar Wreck 40S")</f>
        <v>Caterpillar Wreck 40S</v>
      </c>
      <c r="E554" s="30" t="str">
        <f>IFERROR(__xludf.DUMMYFUNCTION("""COMPUTED_VALUE"""),"Caterpillar 40S")</f>
        <v>Caterpillar 40S</v>
      </c>
      <c r="F554" s="10">
        <f>IFERROR(__xludf.DUMMYFUNCTION("""COMPUTED_VALUE"""),137.997)</f>
        <v>137.997</v>
      </c>
      <c r="G554" s="10">
        <f>IFERROR(__xludf.DUMMYFUNCTION("""COMPUTED_VALUE"""),211.437)</f>
        <v>211.437</v>
      </c>
      <c r="H554" s="10">
        <f>IFERROR(__xludf.DUMMYFUNCTION("""COMPUTED_VALUE"""),204.97)</f>
        <v>204.97</v>
      </c>
      <c r="I554" s="13"/>
      <c r="J554" s="13"/>
      <c r="K554" s="13"/>
      <c r="L554" s="13"/>
      <c r="M554" s="1"/>
      <c r="N554" s="10"/>
      <c r="O554" s="10"/>
      <c r="P554" s="10"/>
      <c r="Q554" s="30"/>
      <c r="R554" s="18"/>
      <c r="S554" s="19"/>
      <c r="T554" s="10"/>
      <c r="U554" s="10"/>
      <c r="V554" s="10"/>
      <c r="W554" s="10"/>
      <c r="X554" s="19"/>
      <c r="Y554" s="1"/>
      <c r="Z554" s="1"/>
      <c r="AA554" s="1"/>
    </row>
    <row r="555" customHeight="1" spans="1:27">
      <c r="A555" s="1" t="str">
        <f>IFERROR(__xludf.DUMMYFUNCTION("""COMPUTED_VALUE"""),"Ita 38")</f>
        <v>Ita 38</v>
      </c>
      <c r="B555" s="1" t="str">
        <f>IFERROR(__xludf.DUMMYFUNCTION("""COMPUTED_VALUE"""),"Ita 43")</f>
        <v>Ita 43</v>
      </c>
      <c r="C555" s="1" t="str">
        <f>IFERROR(__xludf.DUMMYFUNCTION("""COMPUTED_VALUE"""),"Ita 21")</f>
        <v>Ita 21</v>
      </c>
      <c r="D555" s="1" t="str">
        <f>IFERROR(__xludf.DUMMYFUNCTION("""COMPUTED_VALUE"""),"Constellation Wreck")</f>
        <v>Constellation Wreck</v>
      </c>
      <c r="E555" s="30" t="str">
        <f>IFERROR(__xludf.DUMMYFUNCTION("""COMPUTED_VALUE"""),"Constellation D")</f>
        <v>Constellation D</v>
      </c>
      <c r="F555" s="10">
        <f>IFERROR(__xludf.DUMMYFUNCTION("""COMPUTED_VALUE"""),216.187609743)</f>
        <v>216.187609743</v>
      </c>
      <c r="G555" s="10">
        <f>IFERROR(__xludf.DUMMYFUNCTION("""COMPUTED_VALUE"""),-74.0244923129999)</f>
        <v>-74.0244923129999</v>
      </c>
      <c r="H555" s="10">
        <f>IFERROR(__xludf.DUMMYFUNCTION("""COMPUTED_VALUE"""),230.961625392999)</f>
        <v>230.961625392999</v>
      </c>
      <c r="I555" s="13"/>
      <c r="J555" s="13"/>
      <c r="K555" s="13"/>
      <c r="L555" s="13"/>
      <c r="M555" s="1" t="b">
        <f>IFERROR(__xludf.DUMMYFUNCTION("""COMPUTED_VALUE"""),FALSE)</f>
        <v>0</v>
      </c>
      <c r="N555" s="10">
        <f>IFERROR(__xludf.DUMMYFUNCTION("""COMPUTED_VALUE"""),0)</f>
        <v>0</v>
      </c>
      <c r="O555" s="10">
        <f>IFERROR(__xludf.DUMMYFUNCTION("""COMPUTED_VALUE"""),0)</f>
        <v>0</v>
      </c>
      <c r="P555" s="10"/>
      <c r="Q555" s="30"/>
      <c r="R555" s="18"/>
      <c r="S555" s="19"/>
      <c r="T555" s="10"/>
      <c r="U555" s="10"/>
      <c r="V555" s="10"/>
      <c r="W555" s="10"/>
      <c r="X555" s="19"/>
      <c r="Y555" s="1"/>
      <c r="Z555" s="1"/>
      <c r="AA555" s="1"/>
    </row>
    <row r="556" customHeight="1" spans="1:27">
      <c r="A556" s="1" t="str">
        <f>IFERROR(__xludf.DUMMYFUNCTION("""COMPUTED_VALUE"""),"Ita 39")</f>
        <v>Ita 39</v>
      </c>
      <c r="B556" s="1" t="str">
        <f>IFERROR(__xludf.DUMMYFUNCTION("""COMPUTED_VALUE"""),"Ita 44")</f>
        <v>Ita 44</v>
      </c>
      <c r="C556" s="1" t="str">
        <f>IFERROR(__xludf.DUMMYFUNCTION("""COMPUTED_VALUE"""),"Ita 01")</f>
        <v>Ita 01</v>
      </c>
      <c r="D556" s="1" t="str">
        <f>IFERROR(__xludf.DUMMYFUNCTION("""COMPUTED_VALUE"""),"Freelancer Wreck")</f>
        <v>Freelancer Wreck</v>
      </c>
      <c r="E556" s="30" t="str">
        <f>IFERROR(__xludf.DUMMYFUNCTION("""COMPUTED_VALUE"""),"Freelancer")</f>
        <v>Freelancer</v>
      </c>
      <c r="F556" s="10">
        <f>IFERROR(__xludf.DUMMYFUNCTION("""COMPUTED_VALUE"""),-311.306834008999)</f>
        <v>-311.306834008999</v>
      </c>
      <c r="G556" s="10">
        <f>IFERROR(__xludf.DUMMYFUNCTION("""COMPUTED_VALUE"""),0.474061417)</f>
        <v>0.474061417</v>
      </c>
      <c r="H556" s="10">
        <f>IFERROR(__xludf.DUMMYFUNCTION("""COMPUTED_VALUE"""),-94.344778298)</f>
        <v>-94.344778298</v>
      </c>
      <c r="I556" s="13"/>
      <c r="J556" s="13"/>
      <c r="K556" s="13"/>
      <c r="L556" s="13"/>
      <c r="M556" s="1" t="b">
        <f>IFERROR(__xludf.DUMMYFUNCTION("""COMPUTED_VALUE"""),FALSE)</f>
        <v>0</v>
      </c>
      <c r="N556" s="10">
        <f>IFERROR(__xludf.DUMMYFUNCTION("""COMPUTED_VALUE"""),0)</f>
        <v>0</v>
      </c>
      <c r="O556" s="10">
        <f>IFERROR(__xludf.DUMMYFUNCTION("""COMPUTED_VALUE"""),0)</f>
        <v>0</v>
      </c>
      <c r="P556" s="10"/>
      <c r="Q556" s="30"/>
      <c r="R556" s="18"/>
      <c r="S556" s="19"/>
      <c r="T556" s="10"/>
      <c r="U556" s="10"/>
      <c r="V556" s="10"/>
      <c r="W556" s="10"/>
      <c r="X556" s="19"/>
      <c r="Y556" s="1"/>
      <c r="Z556" s="1"/>
      <c r="AA556" s="1"/>
    </row>
    <row r="557" customHeight="1" spans="1:27">
      <c r="A557" s="1" t="str">
        <f>IFERROR(__xludf.DUMMYFUNCTION("""COMPUTED_VALUE"""),"Ita 40")</f>
        <v>Ita 40</v>
      </c>
      <c r="B557" s="1" t="str">
        <f>IFERROR(__xludf.DUMMYFUNCTION("""COMPUTED_VALUE"""),"Ita 45")</f>
        <v>Ita 45</v>
      </c>
      <c r="C557" s="1" t="str">
        <f>IFERROR(__xludf.DUMMYFUNCTION("""COMPUTED_VALUE"""),"Ita 20")</f>
        <v>Ita 20</v>
      </c>
      <c r="D557" s="1" t="str">
        <f>IFERROR(__xludf.DUMMYFUNCTION("""COMPUTED_VALUE"""),"Starfarer Wreck")</f>
        <v>Starfarer Wreck</v>
      </c>
      <c r="E557" s="30" t="str">
        <f>IFERROR(__xludf.DUMMYFUNCTION("""COMPUTED_VALUE"""),"Starfarer")</f>
        <v>Starfarer</v>
      </c>
      <c r="F557" s="10">
        <f>IFERROR(__xludf.DUMMYFUNCTION("""COMPUTED_VALUE"""),270.671973854999)</f>
        <v>270.671973854999</v>
      </c>
      <c r="G557" s="10">
        <f>IFERROR(__xludf.DUMMYFUNCTION("""COMPUTED_VALUE"""),-86.652134447)</f>
        <v>-86.652134447</v>
      </c>
      <c r="H557" s="10">
        <f>IFERROR(__xludf.DUMMYFUNCTION("""COMPUTED_VALUE"""),-158.135393607)</f>
        <v>-158.135393607</v>
      </c>
      <c r="I557" s="13"/>
      <c r="J557" s="13"/>
      <c r="K557" s="13"/>
      <c r="L557" s="13"/>
      <c r="M557" s="1" t="b">
        <f>IFERROR(__xludf.DUMMYFUNCTION("""COMPUTED_VALUE"""),FALSE)</f>
        <v>0</v>
      </c>
      <c r="N557" s="10">
        <f>IFERROR(__xludf.DUMMYFUNCTION("""COMPUTED_VALUE"""),0)</f>
        <v>0</v>
      </c>
      <c r="O557" s="10">
        <f>IFERROR(__xludf.DUMMYFUNCTION("""COMPUTED_VALUE"""),0)</f>
        <v>0</v>
      </c>
      <c r="P557" s="10"/>
      <c r="Q557" s="30"/>
      <c r="R557" s="18"/>
      <c r="S557" s="19"/>
      <c r="T557" s="10"/>
      <c r="U557" s="10"/>
      <c r="V557" s="10"/>
      <c r="W557" s="10"/>
      <c r="X557" s="19"/>
      <c r="Y557" s="1"/>
      <c r="Z557" s="1"/>
      <c r="AA557" s="1"/>
    </row>
    <row r="558" customHeight="1" spans="1:27">
      <c r="A558" s="1" t="str">
        <f>IFERROR(__xludf.DUMMYFUNCTION("""COMPUTED_VALUE"""),"Ita")</f>
        <v>Ita</v>
      </c>
      <c r="B558" s="1" t="str">
        <f>IFERROR(__xludf.DUMMYFUNCTION("""COMPUTED_VALUE"""),"Ita 47")</f>
        <v>Ita 47</v>
      </c>
      <c r="C558" s="1"/>
      <c r="D558" s="1" t="str">
        <f>IFERROR(__xludf.DUMMYFUNCTION("""COMPUTED_VALUE"""),"Comm Array")</f>
        <v>Comm Array</v>
      </c>
      <c r="E558" s="30"/>
      <c r="F558" s="10"/>
      <c r="G558" s="10"/>
      <c r="H558" s="10"/>
      <c r="I558" s="13"/>
      <c r="J558" s="13"/>
      <c r="K558" s="13"/>
      <c r="L558" s="13"/>
      <c r="M558" s="1"/>
      <c r="N558" s="10"/>
      <c r="O558" s="10"/>
      <c r="P558" s="10"/>
      <c r="Q558" s="30"/>
      <c r="R558" s="18"/>
      <c r="S558" s="19"/>
      <c r="T558" s="10"/>
      <c r="U558" s="10"/>
      <c r="V558" s="10"/>
      <c r="W558" s="10"/>
      <c r="X558" s="19"/>
      <c r="Y558" s="1"/>
      <c r="Z558" s="1"/>
      <c r="AA558" s="1"/>
    </row>
    <row r="559" customHeight="1" spans="1:27">
      <c r="A559" s="1" t="str">
        <f>IFERROR(__xludf.DUMMYFUNCTION("""COMPUTED_VALUE"""),"Ita 03")</f>
        <v>Ita 03</v>
      </c>
      <c r="B559" s="1" t="str">
        <f>IFERROR(__xludf.DUMMYFUNCTION("""COMPUTED_VALUE"""),"Ita 48")</f>
        <v>Ita 48</v>
      </c>
      <c r="C559" s="1" t="str">
        <f>IFERROR(__xludf.DUMMYFUNCTION("""COMPUTED_VALUE"""),"Ita 30")</f>
        <v>Ita 30</v>
      </c>
      <c r="D559" s="1" t="str">
        <f>IFERROR(__xludf.DUMMYFUNCTION("""COMPUTED_VALUE"""),"Comm Array ST1-02")</f>
        <v>Comm Array ST1-02</v>
      </c>
      <c r="E559" s="30" t="str">
        <f>IFERROR(__xludf.DUMMYFUNCTION("""COMPUTED_VALUE"""),"ST1-02")</f>
        <v>ST1-02</v>
      </c>
      <c r="F559" s="10">
        <f>IFERROR(__xludf.DUMMYFUNCTION("""COMPUTED_VALUE"""),122.153162700653)</f>
        <v>122.153162700653</v>
      </c>
      <c r="G559" s="10">
        <f>IFERROR(__xludf.DUMMYFUNCTION("""COMPUTED_VALUE"""),-475.820550621003)</f>
        <v>-475.820550621003</v>
      </c>
      <c r="H559" s="10">
        <f>IFERROR(__xludf.DUMMYFUNCTION("""COMPUTED_VALUE"""),24)</f>
        <v>24</v>
      </c>
      <c r="I559" s="13"/>
      <c r="J559" s="13"/>
      <c r="K559" s="13"/>
      <c r="L559" s="13"/>
      <c r="M559" s="1" t="b">
        <f>IFERROR(__xludf.DUMMYFUNCTION("""COMPUTED_VALUE"""),TRUE)</f>
        <v>1</v>
      </c>
      <c r="N559" s="10">
        <f>IFERROR(__xludf.DUMMYFUNCTION("""COMPUTED_VALUE"""),0)</f>
        <v>0</v>
      </c>
      <c r="O559" s="10">
        <f>IFERROR(__xludf.DUMMYFUNCTION("""COMPUTED_VALUE"""),0)</f>
        <v>0</v>
      </c>
      <c r="P559" s="10"/>
      <c r="Q559" s="30"/>
      <c r="R559" s="18"/>
      <c r="S559" s="19"/>
      <c r="T559" s="10"/>
      <c r="U559" s="10"/>
      <c r="V559" s="10"/>
      <c r="W559" s="10"/>
      <c r="X559" s="19"/>
      <c r="Y559" s="1"/>
      <c r="Z559" s="1"/>
      <c r="AA559" s="1"/>
    </row>
    <row r="560" customHeight="1" spans="1:27">
      <c r="A560" s="1"/>
      <c r="B560" s="1"/>
      <c r="C560" s="1"/>
      <c r="D560" s="1"/>
      <c r="E560" s="30"/>
      <c r="F560" s="10"/>
      <c r="G560" s="10"/>
      <c r="H560" s="10"/>
      <c r="I560" s="13"/>
      <c r="J560" s="13"/>
      <c r="K560" s="13"/>
      <c r="L560" s="13"/>
      <c r="M560" s="1"/>
      <c r="N560" s="10"/>
      <c r="O560" s="10"/>
      <c r="P560" s="10"/>
      <c r="Q560" s="30"/>
      <c r="R560" s="18"/>
      <c r="S560" s="19"/>
      <c r="T560" s="10"/>
      <c r="U560" s="10"/>
      <c r="V560" s="10"/>
      <c r="W560" s="10"/>
      <c r="X560" s="19"/>
      <c r="Y560" s="1"/>
      <c r="Z560" s="1"/>
      <c r="AA560" s="1"/>
    </row>
    <row r="561" customHeight="1" spans="1:27">
      <c r="A561" s="1" t="str">
        <f>IFERROR(__xludf.DUMMYFUNCTION("""COMPUTED_VALUE"""),"Lyria R01")</f>
        <v>Lyria R01</v>
      </c>
      <c r="B561" s="1" t="str">
        <f>IFERROR(__xludf.DUMMYFUNCTION("""COMPUTED_VALUE"""),"Lyria 35")</f>
        <v>Lyria 35</v>
      </c>
      <c r="C561" s="1"/>
      <c r="D561" s="1" t="str">
        <f>IFERROR(__xludf.DUMMYFUNCTION("""COMPUTED_VALUE"""),"OM-1")</f>
        <v>OM-1</v>
      </c>
      <c r="E561" s="30" t="str">
        <f>IFERROR(__xludf.DUMMYFUNCTION("""COMPUTED_VALUE"""),"OM1")</f>
        <v>OM1</v>
      </c>
      <c r="F561" s="10">
        <f>IFERROR(__xludf.DUMMYFUNCTION("""COMPUTED_VALUE"""),0)</f>
        <v>0</v>
      </c>
      <c r="G561" s="10">
        <f>IFERROR(__xludf.DUMMYFUNCTION("""COMPUTED_VALUE"""),0)</f>
        <v>0</v>
      </c>
      <c r="H561" s="10">
        <f>IFERROR(__xludf.DUMMYFUNCTION("""COMPUTED_VALUE"""),328.204)</f>
        <v>328.204</v>
      </c>
      <c r="I561" s="13"/>
      <c r="J561" s="13"/>
      <c r="K561" s="13"/>
      <c r="L561" s="13"/>
      <c r="M561" s="1" t="b">
        <f>IFERROR(__xludf.DUMMYFUNCTION("""COMPUTED_VALUE"""),TRUE)</f>
        <v>1</v>
      </c>
      <c r="N561" s="10">
        <f>IFERROR(__xludf.DUMMYFUNCTION("""COMPUTED_VALUE"""),0)</f>
        <v>0</v>
      </c>
      <c r="O561" s="10">
        <f>IFERROR(__xludf.DUMMYFUNCTION("""COMPUTED_VALUE"""),0)</f>
        <v>0</v>
      </c>
      <c r="P561" s="10"/>
      <c r="Q561" s="30"/>
      <c r="R561" s="18"/>
      <c r="S561" s="19"/>
      <c r="T561" s="10"/>
      <c r="U561" s="10"/>
      <c r="V561" s="10"/>
      <c r="W561" s="10"/>
      <c r="X561" s="19"/>
      <c r="Y561" s="1"/>
      <c r="Z561" s="1"/>
      <c r="AA561" s="1"/>
    </row>
    <row r="562" customHeight="1" spans="1:27">
      <c r="A562" s="1" t="str">
        <f>IFERROR(__xludf.DUMMYFUNCTION("""COMPUTED_VALUE"""),"Lyria R02")</f>
        <v>Lyria R02</v>
      </c>
      <c r="B562" s="1" t="str">
        <f>IFERROR(__xludf.DUMMYFUNCTION("""COMPUTED_VALUE"""),"Lyria 36")</f>
        <v>Lyria 36</v>
      </c>
      <c r="C562" s="1"/>
      <c r="D562" s="1" t="str">
        <f>IFERROR(__xludf.DUMMYFUNCTION("""COMPUTED_VALUE"""),"OM-2")</f>
        <v>OM-2</v>
      </c>
      <c r="E562" s="30" t="str">
        <f>IFERROR(__xludf.DUMMYFUNCTION("""COMPUTED_VALUE"""),"OM2")</f>
        <v>OM2</v>
      </c>
      <c r="F562" s="10">
        <f>IFERROR(__xludf.DUMMYFUNCTION("""COMPUTED_VALUE"""),0)</f>
        <v>0</v>
      </c>
      <c r="G562" s="10">
        <f>IFERROR(__xludf.DUMMYFUNCTION("""COMPUTED_VALUE"""),0)</f>
        <v>0</v>
      </c>
      <c r="H562" s="10">
        <f>IFERROR(__xludf.DUMMYFUNCTION("""COMPUTED_VALUE"""),-328.204)</f>
        <v>-328.204</v>
      </c>
      <c r="I562" s="13"/>
      <c r="J562" s="13"/>
      <c r="K562" s="13"/>
      <c r="L562" s="13"/>
      <c r="M562" s="1" t="b">
        <f>IFERROR(__xludf.DUMMYFUNCTION("""COMPUTED_VALUE"""),TRUE)</f>
        <v>1</v>
      </c>
      <c r="N562" s="10">
        <f>IFERROR(__xludf.DUMMYFUNCTION("""COMPUTED_VALUE"""),0)</f>
        <v>0</v>
      </c>
      <c r="O562" s="10">
        <f>IFERROR(__xludf.DUMMYFUNCTION("""COMPUTED_VALUE"""),0)</f>
        <v>0</v>
      </c>
      <c r="P562" s="10"/>
      <c r="Q562" s="30"/>
      <c r="R562" s="18"/>
      <c r="S562" s="19"/>
      <c r="T562" s="10"/>
      <c r="U562" s="10"/>
      <c r="V562" s="10"/>
      <c r="W562" s="10"/>
      <c r="X562" s="19"/>
      <c r="Y562" s="1"/>
      <c r="Z562" s="1"/>
      <c r="AA562" s="1"/>
    </row>
    <row r="563" customHeight="1" spans="1:27">
      <c r="A563" s="1" t="str">
        <f>IFERROR(__xludf.DUMMYFUNCTION("""COMPUTED_VALUE"""),"Lyria R03")</f>
        <v>Lyria R03</v>
      </c>
      <c r="B563" s="1" t="str">
        <f>IFERROR(__xludf.DUMMYFUNCTION("""COMPUTED_VALUE"""),"Lyria 37")</f>
        <v>Lyria 37</v>
      </c>
      <c r="C563" s="1" t="str">
        <f>IFERROR(__xludf.DUMMYFUNCTION("""COMPUTED_VALUE"""),"Lyria 07")</f>
        <v>Lyria 07</v>
      </c>
      <c r="D563" s="1" t="str">
        <f>IFERROR(__xludf.DUMMYFUNCTION("""COMPUTED_VALUE"""),"OM-3")</f>
        <v>OM-3</v>
      </c>
      <c r="E563" s="30" t="str">
        <f>IFERROR(__xludf.DUMMYFUNCTION("""COMPUTED_VALUE"""),"OM3")</f>
        <v>OM3</v>
      </c>
      <c r="F563" s="10">
        <f>IFERROR(__xludf.DUMMYFUNCTION("""COMPUTED_VALUE"""),0)</f>
        <v>0</v>
      </c>
      <c r="G563" s="10">
        <f>IFERROR(__xludf.DUMMYFUNCTION("""COMPUTED_VALUE"""),328.204)</f>
        <v>328.204</v>
      </c>
      <c r="H563" s="10">
        <f>IFERROR(__xludf.DUMMYFUNCTION("""COMPUTED_VALUE"""),0)</f>
        <v>0</v>
      </c>
      <c r="I563" s="13"/>
      <c r="J563" s="13"/>
      <c r="K563" s="13"/>
      <c r="L563" s="13"/>
      <c r="M563" s="1" t="b">
        <f>IFERROR(__xludf.DUMMYFUNCTION("""COMPUTED_VALUE"""),TRUE)</f>
        <v>1</v>
      </c>
      <c r="N563" s="10">
        <f>IFERROR(__xludf.DUMMYFUNCTION("""COMPUTED_VALUE"""),0)</f>
        <v>0</v>
      </c>
      <c r="O563" s="10">
        <f>IFERROR(__xludf.DUMMYFUNCTION("""COMPUTED_VALUE"""),0)</f>
        <v>0</v>
      </c>
      <c r="P563" s="10"/>
      <c r="Q563" s="30"/>
      <c r="R563" s="18"/>
      <c r="S563" s="19"/>
      <c r="T563" s="10"/>
      <c r="U563" s="10"/>
      <c r="V563" s="10"/>
      <c r="W563" s="10"/>
      <c r="X563" s="19"/>
      <c r="Y563" s="1"/>
      <c r="Z563" s="1"/>
      <c r="AA563" s="1"/>
    </row>
    <row r="564" customHeight="1" spans="1:27">
      <c r="A564" s="1" t="str">
        <f>IFERROR(__xludf.DUMMYFUNCTION("""COMPUTED_VALUE"""),"Lyria R04")</f>
        <v>Lyria R04</v>
      </c>
      <c r="B564" s="1" t="str">
        <f>IFERROR(__xludf.DUMMYFUNCTION("""COMPUTED_VALUE"""),"Lyria 38")</f>
        <v>Lyria 38</v>
      </c>
      <c r="C564" s="1" t="str">
        <f>IFERROR(__xludf.DUMMYFUNCTION("""COMPUTED_VALUE"""),"Lyria 22")</f>
        <v>Lyria 22</v>
      </c>
      <c r="D564" s="1" t="str">
        <f>IFERROR(__xludf.DUMMYFUNCTION("""COMPUTED_VALUE"""),"OM-4")</f>
        <v>OM-4</v>
      </c>
      <c r="E564" s="30" t="str">
        <f>IFERROR(__xludf.DUMMYFUNCTION("""COMPUTED_VALUE"""),"OM4")</f>
        <v>OM4</v>
      </c>
      <c r="F564" s="10">
        <f>IFERROR(__xludf.DUMMYFUNCTION("""COMPUTED_VALUE"""),0)</f>
        <v>0</v>
      </c>
      <c r="G564" s="10">
        <f>IFERROR(__xludf.DUMMYFUNCTION("""COMPUTED_VALUE"""),-328.204)</f>
        <v>-328.204</v>
      </c>
      <c r="H564" s="10">
        <f>IFERROR(__xludf.DUMMYFUNCTION("""COMPUTED_VALUE"""),0)</f>
        <v>0</v>
      </c>
      <c r="I564" s="13"/>
      <c r="J564" s="13"/>
      <c r="K564" s="13"/>
      <c r="L564" s="13"/>
      <c r="M564" s="1" t="b">
        <f>IFERROR(__xludf.DUMMYFUNCTION("""COMPUTED_VALUE"""),TRUE)</f>
        <v>1</v>
      </c>
      <c r="N564" s="10">
        <f>IFERROR(__xludf.DUMMYFUNCTION("""COMPUTED_VALUE"""),0)</f>
        <v>0</v>
      </c>
      <c r="O564" s="10">
        <f>IFERROR(__xludf.DUMMYFUNCTION("""COMPUTED_VALUE"""),0)</f>
        <v>0</v>
      </c>
      <c r="P564" s="10"/>
      <c r="Q564" s="30"/>
      <c r="R564" s="18"/>
      <c r="S564" s="19"/>
      <c r="T564" s="10"/>
      <c r="U564" s="10"/>
      <c r="V564" s="10"/>
      <c r="W564" s="10"/>
      <c r="X564" s="19"/>
      <c r="Y564" s="1"/>
      <c r="Z564" s="1"/>
      <c r="AA564" s="1"/>
    </row>
    <row r="565" customHeight="1" spans="1:27">
      <c r="A565" s="1" t="str">
        <f>IFERROR(__xludf.DUMMYFUNCTION("""COMPUTED_VALUE"""),"Lyria R05")</f>
        <v>Lyria R05</v>
      </c>
      <c r="B565" s="1" t="str">
        <f>IFERROR(__xludf.DUMMYFUNCTION("""COMPUTED_VALUE"""),"Lyria 39")</f>
        <v>Lyria 39</v>
      </c>
      <c r="C565" s="1" t="str">
        <f>IFERROR(__xludf.DUMMYFUNCTION("""COMPUTED_VALUE"""),"Lyria 13")</f>
        <v>Lyria 13</v>
      </c>
      <c r="D565" s="1" t="str">
        <f>IFERROR(__xludf.DUMMYFUNCTION("""COMPUTED_VALUE"""),"OM-5")</f>
        <v>OM-5</v>
      </c>
      <c r="E565" s="30" t="str">
        <f>IFERROR(__xludf.DUMMYFUNCTION("""COMPUTED_VALUE"""),"OM5")</f>
        <v>OM5</v>
      </c>
      <c r="F565" s="10">
        <f>IFERROR(__xludf.DUMMYFUNCTION("""COMPUTED_VALUE"""),328.204)</f>
        <v>328.204</v>
      </c>
      <c r="G565" s="10">
        <f>IFERROR(__xludf.DUMMYFUNCTION("""COMPUTED_VALUE"""),0)</f>
        <v>0</v>
      </c>
      <c r="H565" s="10">
        <f>IFERROR(__xludf.DUMMYFUNCTION("""COMPUTED_VALUE"""),0)</f>
        <v>0</v>
      </c>
      <c r="I565" s="13"/>
      <c r="J565" s="13"/>
      <c r="K565" s="13"/>
      <c r="L565" s="13"/>
      <c r="M565" s="1" t="b">
        <f>IFERROR(__xludf.DUMMYFUNCTION("""COMPUTED_VALUE"""),TRUE)</f>
        <v>1</v>
      </c>
      <c r="N565" s="10">
        <f>IFERROR(__xludf.DUMMYFUNCTION("""COMPUTED_VALUE"""),0)</f>
        <v>0</v>
      </c>
      <c r="O565" s="10">
        <f>IFERROR(__xludf.DUMMYFUNCTION("""COMPUTED_VALUE"""),0)</f>
        <v>0</v>
      </c>
      <c r="P565" s="10"/>
      <c r="Q565" s="30"/>
      <c r="R565" s="18"/>
      <c r="S565" s="19"/>
      <c r="T565" s="10"/>
      <c r="U565" s="10"/>
      <c r="V565" s="10"/>
      <c r="W565" s="10"/>
      <c r="X565" s="19"/>
      <c r="Y565" s="1"/>
      <c r="Z565" s="1"/>
      <c r="AA565" s="1"/>
    </row>
    <row r="566" customHeight="1" spans="1:27">
      <c r="A566" s="1" t="str">
        <f>IFERROR(__xludf.DUMMYFUNCTION("""COMPUTED_VALUE"""),"Lyria R06")</f>
        <v>Lyria R06</v>
      </c>
      <c r="B566" s="1" t="str">
        <f>IFERROR(__xludf.DUMMYFUNCTION("""COMPUTED_VALUE"""),"Lyria 40")</f>
        <v>Lyria 40</v>
      </c>
      <c r="C566" s="1" t="str">
        <f>IFERROR(__xludf.DUMMYFUNCTION("""COMPUTED_VALUE"""),"Lyria 29")</f>
        <v>Lyria 29</v>
      </c>
      <c r="D566" s="1" t="str">
        <f>IFERROR(__xludf.DUMMYFUNCTION("""COMPUTED_VALUE"""),"OM-6")</f>
        <v>OM-6</v>
      </c>
      <c r="E566" s="30" t="str">
        <f>IFERROR(__xludf.DUMMYFUNCTION("""COMPUTED_VALUE"""),"OM6")</f>
        <v>OM6</v>
      </c>
      <c r="F566" s="10">
        <f>IFERROR(__xludf.DUMMYFUNCTION("""COMPUTED_VALUE"""),-328.204)</f>
        <v>-328.204</v>
      </c>
      <c r="G566" s="10">
        <f>IFERROR(__xludf.DUMMYFUNCTION("""COMPUTED_VALUE"""),0)</f>
        <v>0</v>
      </c>
      <c r="H566" s="10">
        <f>IFERROR(__xludf.DUMMYFUNCTION("""COMPUTED_VALUE"""),0)</f>
        <v>0</v>
      </c>
      <c r="I566" s="13"/>
      <c r="J566" s="13"/>
      <c r="K566" s="13"/>
      <c r="L566" s="13"/>
      <c r="M566" s="1" t="b">
        <f>IFERROR(__xludf.DUMMYFUNCTION("""COMPUTED_VALUE"""),TRUE)</f>
        <v>1</v>
      </c>
      <c r="N566" s="10">
        <f>IFERROR(__xludf.DUMMYFUNCTION("""COMPUTED_VALUE"""),0)</f>
        <v>0</v>
      </c>
      <c r="O566" s="10">
        <f>IFERROR(__xludf.DUMMYFUNCTION("""COMPUTED_VALUE"""),0)</f>
        <v>0</v>
      </c>
      <c r="P566" s="10"/>
      <c r="Q566" s="30"/>
      <c r="R566" s="18"/>
      <c r="S566" s="19"/>
      <c r="T566" s="10"/>
      <c r="U566" s="10"/>
      <c r="V566" s="10"/>
      <c r="W566" s="10"/>
      <c r="X566" s="19"/>
      <c r="Y566" s="1"/>
      <c r="Z566" s="1"/>
      <c r="AA566" s="1"/>
    </row>
    <row r="567" customHeight="1" spans="1:27">
      <c r="A567" s="1" t="str">
        <f>IFERROR(__xludf.DUMMYFUNCTION("""COMPUTED_VALUE"""),"Lyria")</f>
        <v>Lyria</v>
      </c>
      <c r="B567" s="1" t="str">
        <f>IFERROR(__xludf.DUMMYFUNCTION("""COMPUTED_VALUE"""),"Lyria 00")</f>
        <v>Lyria 00</v>
      </c>
      <c r="C567" s="1"/>
      <c r="D567" s="1" t="str">
        <f>IFERROR(__xludf.DUMMYFUNCTION("""COMPUTED_VALUE"""),"Trading Terminals")</f>
        <v>Trading Terminals</v>
      </c>
      <c r="E567" s="30"/>
      <c r="F567" s="10"/>
      <c r="G567" s="10"/>
      <c r="H567" s="10"/>
      <c r="I567" s="13"/>
      <c r="J567" s="13"/>
      <c r="K567" s="13"/>
      <c r="L567" s="13"/>
      <c r="M567" s="1"/>
      <c r="N567" s="10"/>
      <c r="O567" s="10"/>
      <c r="P567" s="10"/>
      <c r="Q567" s="30"/>
      <c r="R567" s="18"/>
      <c r="S567" s="19"/>
      <c r="T567" s="10"/>
      <c r="U567" s="10"/>
      <c r="V567" s="10"/>
      <c r="W567" s="10"/>
      <c r="X567" s="19"/>
      <c r="Y567" s="1"/>
      <c r="Z567" s="1"/>
      <c r="AA567" s="1"/>
    </row>
    <row r="568" customHeight="1" spans="1:27">
      <c r="A568" s="1" t="str">
        <f>IFERROR(__xludf.DUMMYFUNCTION("""COMPUTED_VALUE"""),"Lyria 01")</f>
        <v>Lyria 01</v>
      </c>
      <c r="B568" s="1" t="str">
        <f>IFERROR(__xludf.DUMMYFUNCTION("""COMPUTED_VALUE"""),"Lyria 01")</f>
        <v>Lyria 01</v>
      </c>
      <c r="C568" s="1" t="str">
        <f>IFERROR(__xludf.DUMMYFUNCTION("""COMPUTED_VALUE"""),"Lyria 21")</f>
        <v>Lyria 21</v>
      </c>
      <c r="D568" s="1" t="str">
        <f>IFERROR(__xludf.DUMMYFUNCTION("""COMPUTED_VALUE"""),"Humboldt Mines")</f>
        <v>Humboldt Mines</v>
      </c>
      <c r="E568" s="30" t="str">
        <f>IFERROR(__xludf.DUMMYFUNCTION("""COMPUTED_VALUE"""),"Humboldt")</f>
        <v>Humboldt</v>
      </c>
      <c r="F568" s="10">
        <f>IFERROR(__xludf.DUMMYFUNCTION("""COMPUTED_VALUE"""),5.31071587199999)</f>
        <v>5.31071587199999</v>
      </c>
      <c r="G568" s="10">
        <f>IFERROR(__xludf.DUMMYFUNCTION("""COMPUTED_VALUE"""),-193.818517496999)</f>
        <v>-193.818517496999</v>
      </c>
      <c r="H568" s="10">
        <f>IFERROR(__xludf.DUMMYFUNCTION("""COMPUTED_VALUE"""),-112.544821398999)</f>
        <v>-112.544821398999</v>
      </c>
      <c r="I568" s="13"/>
      <c r="J568" s="13"/>
      <c r="K568" s="13"/>
      <c r="L568" s="13"/>
      <c r="M568" s="1" t="b">
        <f>IFERROR(__xludf.DUMMYFUNCTION("""COMPUTED_VALUE"""),TRUE)</f>
        <v>1</v>
      </c>
      <c r="N568" s="10">
        <f>IFERROR(__xludf.DUMMYFUNCTION("""COMPUTED_VALUE"""),0)</f>
        <v>0</v>
      </c>
      <c r="O568" s="10">
        <f>IFERROR(__xludf.DUMMYFUNCTION("""COMPUTED_VALUE"""),0)</f>
        <v>0</v>
      </c>
      <c r="P568" s="10"/>
      <c r="Q568" s="30"/>
      <c r="R568" s="18"/>
      <c r="S568" s="19"/>
      <c r="T568" s="10"/>
      <c r="U568" s="10"/>
      <c r="V568" s="10"/>
      <c r="W568" s="10"/>
      <c r="X568" s="19"/>
      <c r="Y568" s="1"/>
      <c r="Z568" s="1"/>
      <c r="AA568" s="1"/>
    </row>
    <row r="569" customHeight="1" spans="1:27">
      <c r="A569" s="1" t="str">
        <f>IFERROR(__xludf.DUMMYFUNCTION("""COMPUTED_VALUE"""),"Lyria 02")</f>
        <v>Lyria 02</v>
      </c>
      <c r="B569" s="1" t="str">
        <f>IFERROR(__xludf.DUMMYFUNCTION("""COMPUTED_VALUE"""),"Lyria 02")</f>
        <v>Lyria 02</v>
      </c>
      <c r="C569" s="1" t="str">
        <f>IFERROR(__xludf.DUMMYFUNCTION("""COMPUTED_VALUE"""),"Lyria 11")</f>
        <v>Lyria 11</v>
      </c>
      <c r="D569" s="1" t="str">
        <f>IFERROR(__xludf.DUMMYFUNCTION("""COMPUTED_VALUE"""),"Loveridge Mineral Reserve")</f>
        <v>Loveridge Mineral Reserve</v>
      </c>
      <c r="E569" s="30" t="str">
        <f>IFERROR(__xludf.DUMMYFUNCTION("""COMPUTED_VALUE"""),"Loveridge")</f>
        <v>Loveridge</v>
      </c>
      <c r="F569" s="10">
        <f>IFERROR(__xludf.DUMMYFUNCTION("""COMPUTED_VALUE"""),181.799511601)</f>
        <v>181.799511601</v>
      </c>
      <c r="G569" s="10">
        <f>IFERROR(__xludf.DUMMYFUNCTION("""COMPUTED_VALUE"""),128.16648935)</f>
        <v>128.16648935</v>
      </c>
      <c r="H569" s="10">
        <f>IFERROR(__xludf.DUMMYFUNCTION("""COMPUTED_VALUE"""),24.939872495)</f>
        <v>24.939872495</v>
      </c>
      <c r="I569" s="13"/>
      <c r="J569" s="13"/>
      <c r="K569" s="13"/>
      <c r="L569" s="13"/>
      <c r="M569" s="1" t="b">
        <f>IFERROR(__xludf.DUMMYFUNCTION("""COMPUTED_VALUE"""),TRUE)</f>
        <v>1</v>
      </c>
      <c r="N569" s="10">
        <f>IFERROR(__xludf.DUMMYFUNCTION("""COMPUTED_VALUE"""),0)</f>
        <v>0</v>
      </c>
      <c r="O569" s="10">
        <f>IFERROR(__xludf.DUMMYFUNCTION("""COMPUTED_VALUE"""),0)</f>
        <v>0</v>
      </c>
      <c r="P569" s="10"/>
      <c r="Q569" s="30"/>
      <c r="R569" s="18"/>
      <c r="S569" s="19"/>
      <c r="T569" s="10"/>
      <c r="U569" s="10"/>
      <c r="V569" s="10"/>
      <c r="W569" s="10"/>
      <c r="X569" s="19"/>
      <c r="Y569" s="1"/>
      <c r="Z569" s="1"/>
      <c r="AA569" s="1"/>
    </row>
    <row r="570" customHeight="1" spans="1:27">
      <c r="A570" s="1" t="str">
        <f>IFERROR(__xludf.DUMMYFUNCTION("""COMPUTED_VALUE"""),"Lyria 03")</f>
        <v>Lyria 03</v>
      </c>
      <c r="B570" s="1" t="str">
        <f>IFERROR(__xludf.DUMMYFUNCTION("""COMPUTED_VALUE"""),"Lyria 03")</f>
        <v>Lyria 03</v>
      </c>
      <c r="C570" s="1" t="str">
        <f>IFERROR(__xludf.DUMMYFUNCTION("""COMPUTED_VALUE"""),"Lyria 15")</f>
        <v>Lyria 15</v>
      </c>
      <c r="D570" s="1" t="str">
        <f>IFERROR(__xludf.DUMMYFUNCTION("""COMPUTED_VALUE"""),"Shubin Mining Facility SAL-2 (PB)")</f>
        <v>Shubin Mining Facility SAL-2 (PB)</v>
      </c>
      <c r="E570" s="30" t="str">
        <f>IFERROR(__xludf.DUMMYFUNCTION("""COMPUTED_VALUE"""),"SAL-2")</f>
        <v>SAL-2</v>
      </c>
      <c r="F570" s="10">
        <f>IFERROR(__xludf.DUMMYFUNCTION("""COMPUTED_VALUE"""),150.635829063)</f>
        <v>150.635829063</v>
      </c>
      <c r="G570" s="10">
        <f>IFERROR(__xludf.DUMMYFUNCTION("""COMPUTED_VALUE"""),-53.619269865)</f>
        <v>-53.619269865</v>
      </c>
      <c r="H570" s="10">
        <f>IFERROR(__xludf.DUMMYFUNCTION("""COMPUTED_VALUE"""),156.6678916)</f>
        <v>156.6678916</v>
      </c>
      <c r="I570" s="13"/>
      <c r="J570" s="13"/>
      <c r="K570" s="13"/>
      <c r="L570" s="13"/>
      <c r="M570" s="1" t="b">
        <f>IFERROR(__xludf.DUMMYFUNCTION("""COMPUTED_VALUE"""),TRUE)</f>
        <v>1</v>
      </c>
      <c r="N570" s="10">
        <f>IFERROR(__xludf.DUMMYFUNCTION("""COMPUTED_VALUE"""),0)</f>
        <v>0</v>
      </c>
      <c r="O570" s="10">
        <f>IFERROR(__xludf.DUMMYFUNCTION("""COMPUTED_VALUE"""),0)</f>
        <v>0</v>
      </c>
      <c r="P570" s="10"/>
      <c r="Q570" s="30"/>
      <c r="R570" s="18"/>
      <c r="S570" s="19"/>
      <c r="T570" s="10"/>
      <c r="U570" s="10"/>
      <c r="V570" s="10"/>
      <c r="W570" s="10"/>
      <c r="X570" s="19"/>
      <c r="Y570" s="1"/>
      <c r="Z570" s="1"/>
      <c r="AA570" s="1"/>
    </row>
    <row r="571" customHeight="1" spans="1:27">
      <c r="A571" s="1" t="str">
        <f>IFERROR(__xludf.DUMMYFUNCTION("""COMPUTED_VALUE"""),"Lyria 04")</f>
        <v>Lyria 04</v>
      </c>
      <c r="B571" s="1" t="str">
        <f>IFERROR(__xludf.DUMMYFUNCTION("""COMPUTED_VALUE"""),"Lyria 04")</f>
        <v>Lyria 04</v>
      </c>
      <c r="C571" s="1" t="str">
        <f>IFERROR(__xludf.DUMMYFUNCTION("""COMPUTED_VALUE"""),"Lyria 10")</f>
        <v>Lyria 10</v>
      </c>
      <c r="D571" s="1" t="str">
        <f>IFERROR(__xludf.DUMMYFUNCTION("""COMPUTED_VALUE"""),"Shubin Mining Facility SAL-5 (PB)")</f>
        <v>Shubin Mining Facility SAL-5 (PB)</v>
      </c>
      <c r="E571" s="30" t="str">
        <f>IFERROR(__xludf.DUMMYFUNCTION("""COMPUTED_VALUE"""),"SAL-5")</f>
        <v>SAL-5</v>
      </c>
      <c r="F571" s="10">
        <f>IFERROR(__xludf.DUMMYFUNCTION("""COMPUTED_VALUE"""),98.0700163109999)</f>
        <v>98.0700163109999</v>
      </c>
      <c r="G571" s="10">
        <f>IFERROR(__xludf.DUMMYFUNCTION("""COMPUTED_VALUE"""),78.360977111)</f>
        <v>78.360977111</v>
      </c>
      <c r="H571" s="10">
        <f>IFERROR(__xludf.DUMMYFUNCTION("""COMPUTED_VALUE"""),185.820579425)</f>
        <v>185.820579425</v>
      </c>
      <c r="I571" s="13"/>
      <c r="J571" s="13"/>
      <c r="K571" s="13"/>
      <c r="L571" s="13"/>
      <c r="M571" s="1" t="b">
        <f>IFERROR(__xludf.DUMMYFUNCTION("""COMPUTED_VALUE"""),TRUE)</f>
        <v>1</v>
      </c>
      <c r="N571" s="10">
        <f>IFERROR(__xludf.DUMMYFUNCTION("""COMPUTED_VALUE"""),0)</f>
        <v>0</v>
      </c>
      <c r="O571" s="10">
        <f>IFERROR(__xludf.DUMMYFUNCTION("""COMPUTED_VALUE"""),0)</f>
        <v>0</v>
      </c>
      <c r="P571" s="10"/>
      <c r="Q571" s="30"/>
      <c r="R571" s="18"/>
      <c r="S571" s="19"/>
      <c r="T571" s="10"/>
      <c r="U571" s="10"/>
      <c r="V571" s="10"/>
      <c r="W571" s="10"/>
      <c r="X571" s="19"/>
      <c r="Y571" s="1"/>
      <c r="Z571" s="1"/>
      <c r="AA571" s="1"/>
    </row>
    <row r="572" customHeight="1" spans="1:27">
      <c r="A572" s="1" t="str">
        <f>IFERROR(__xludf.DUMMYFUNCTION("""COMPUTED_VALUE"""),"Lyria 05")</f>
        <v>Lyria 05</v>
      </c>
      <c r="B572" s="1" t="str">
        <f>IFERROR(__xludf.DUMMYFUNCTION("""COMPUTED_VALUE"""),"Lyria 05")</f>
        <v>Lyria 05</v>
      </c>
      <c r="C572" s="1" t="str">
        <f>IFERROR(__xludf.DUMMYFUNCTION("""COMPUTED_VALUE"""),"Lyria 06")</f>
        <v>Lyria 06</v>
      </c>
      <c r="D572" s="1" t="str">
        <f>IFERROR(__xludf.DUMMYFUNCTION("""COMPUTED_VALUE"""),"The Orphanage")</f>
        <v>The Orphanage</v>
      </c>
      <c r="E572" s="30" t="str">
        <f>IFERROR(__xludf.DUMMYFUNCTION("""COMPUTED_VALUE"""),"Orphanage")</f>
        <v>Orphanage</v>
      </c>
      <c r="F572" s="10">
        <f>IFERROR(__xludf.DUMMYFUNCTION("""COMPUTED_VALUE"""),-91.990070099)</f>
        <v>-91.990070099</v>
      </c>
      <c r="G572" s="10">
        <f>IFERROR(__xludf.DUMMYFUNCTION("""COMPUTED_VALUE"""),92.4842575979999)</f>
        <v>92.4842575979999</v>
      </c>
      <c r="H572" s="10">
        <f>IFERROR(__xludf.DUMMYFUNCTION("""COMPUTED_VALUE"""),182.182046452)</f>
        <v>182.182046452</v>
      </c>
      <c r="I572" s="13"/>
      <c r="J572" s="13"/>
      <c r="K572" s="13"/>
      <c r="L572" s="13"/>
      <c r="M572" s="1" t="b">
        <f>IFERROR(__xludf.DUMMYFUNCTION("""COMPUTED_VALUE"""),TRUE)</f>
        <v>1</v>
      </c>
      <c r="N572" s="10">
        <f>IFERROR(__xludf.DUMMYFUNCTION("""COMPUTED_VALUE"""),0)</f>
        <v>0</v>
      </c>
      <c r="O572" s="10">
        <f>IFERROR(__xludf.DUMMYFUNCTION("""COMPUTED_VALUE"""),0)</f>
        <v>0</v>
      </c>
      <c r="P572" s="10"/>
      <c r="Q572" s="30"/>
      <c r="R572" s="18"/>
      <c r="S572" s="19"/>
      <c r="T572" s="10"/>
      <c r="U572" s="10"/>
      <c r="V572" s="10"/>
      <c r="W572" s="10"/>
      <c r="X572" s="19"/>
      <c r="Y572" s="1"/>
      <c r="Z572" s="1"/>
      <c r="AA572" s="1"/>
    </row>
    <row r="573" customHeight="1" spans="1:27">
      <c r="A573" s="1" t="str">
        <f>IFERROR(__xludf.DUMMYFUNCTION("""COMPUTED_VALUE"""),"Lyria")</f>
        <v>Lyria</v>
      </c>
      <c r="B573" s="1" t="str">
        <f>IFERROR(__xludf.DUMMYFUNCTION("""COMPUTED_VALUE"""),"Lyria 07")</f>
        <v>Lyria 07</v>
      </c>
      <c r="C573" s="1"/>
      <c r="D573" s="1" t="str">
        <f>IFERROR(__xludf.DUMMYFUNCTION("""COMPUTED_VALUE"""),"Underground Bunker Facilities")</f>
        <v>Underground Bunker Facilities</v>
      </c>
      <c r="E573" s="30"/>
      <c r="F573" s="10"/>
      <c r="G573" s="10"/>
      <c r="H573" s="10"/>
      <c r="I573" s="13"/>
      <c r="J573" s="13"/>
      <c r="K573" s="13"/>
      <c r="L573" s="13"/>
      <c r="M573" s="1"/>
      <c r="N573" s="10"/>
      <c r="O573" s="10"/>
      <c r="P573" s="10"/>
      <c r="Q573" s="30"/>
      <c r="R573" s="18"/>
      <c r="S573" s="19"/>
      <c r="T573" s="10"/>
      <c r="U573" s="10"/>
      <c r="V573" s="10"/>
      <c r="W573" s="10"/>
      <c r="X573" s="19"/>
      <c r="Y573" s="1"/>
      <c r="Z573" s="1"/>
      <c r="AA573" s="1"/>
    </row>
    <row r="574" customHeight="1" spans="1:27">
      <c r="A574" s="1" t="str">
        <f>IFERROR(__xludf.DUMMYFUNCTION("""COMPUTED_VALUE"""),"Lyria 06")</f>
        <v>Lyria 06</v>
      </c>
      <c r="B574" s="1" t="str">
        <f>IFERROR(__xludf.DUMMYFUNCTION("""COMPUTED_VALUE"""),"Lyria 08")</f>
        <v>Lyria 08</v>
      </c>
      <c r="C574" s="1" t="str">
        <f>IFERROR(__xludf.DUMMYFUNCTION("""COMPUTED_VALUE"""),"Lyria 26")</f>
        <v>Lyria 26</v>
      </c>
      <c r="D574" s="1" t="str">
        <f>IFERROR(__xludf.DUMMYFUNCTION("""COMPUTED_VALUE"""),"Buckets")</f>
        <v>Buckets</v>
      </c>
      <c r="E574" s="30" t="str">
        <f>IFERROR(__xludf.DUMMYFUNCTION("""COMPUTED_VALUE"""),"Buckets")</f>
        <v>Buckets</v>
      </c>
      <c r="F574" s="10">
        <f>IFERROR(__xludf.DUMMYFUNCTION("""COMPUTED_VALUE"""),-194.038522223999)</f>
        <v>-194.038522223999</v>
      </c>
      <c r="G574" s="10">
        <f>IFERROR(__xludf.DUMMYFUNCTION("""COMPUTED_VALUE"""),-67.9967949749999)</f>
        <v>-67.9967949749999</v>
      </c>
      <c r="H574" s="10">
        <f>IFERROR(__xludf.DUMMYFUNCTION("""COMPUTED_VALUE"""),-89.4799129149999)</f>
        <v>-89.4799129149999</v>
      </c>
      <c r="I574" s="13"/>
      <c r="J574" s="13"/>
      <c r="K574" s="13"/>
      <c r="L574" s="13"/>
      <c r="M574" s="1" t="b">
        <f>IFERROR(__xludf.DUMMYFUNCTION("""COMPUTED_VALUE"""),TRUE)</f>
        <v>1</v>
      </c>
      <c r="N574" s="10">
        <f>IFERROR(__xludf.DUMMYFUNCTION("""COMPUTED_VALUE"""),0)</f>
        <v>0</v>
      </c>
      <c r="O574" s="10">
        <f>IFERROR(__xludf.DUMMYFUNCTION("""COMPUTED_VALUE"""),0)</f>
        <v>0</v>
      </c>
      <c r="P574" s="10"/>
      <c r="Q574" s="30"/>
      <c r="R574" s="18"/>
      <c r="S574" s="19"/>
      <c r="T574" s="10"/>
      <c r="U574" s="10"/>
      <c r="V574" s="10"/>
      <c r="W574" s="10"/>
      <c r="X574" s="19"/>
      <c r="Y574" s="1"/>
      <c r="Z574" s="1"/>
      <c r="AA574" s="1"/>
    </row>
    <row r="575" customHeight="1" spans="1:27">
      <c r="A575" s="1" t="str">
        <f>IFERROR(__xludf.DUMMYFUNCTION("""COMPUTED_VALUE"""),"Lyria 07")</f>
        <v>Lyria 07</v>
      </c>
      <c r="B575" s="1" t="str">
        <f>IFERROR(__xludf.DUMMYFUNCTION("""COMPUTED_VALUE"""),"Lyria 09")</f>
        <v>Lyria 09</v>
      </c>
      <c r="C575" s="1" t="str">
        <f>IFERROR(__xludf.DUMMYFUNCTION("""COMPUTED_VALUE"""),"Lyria 14")</f>
        <v>Lyria 14</v>
      </c>
      <c r="D575" s="1" t="str">
        <f>IFERROR(__xludf.DUMMYFUNCTION("""COMPUTED_VALUE"""),"Elsewhere")</f>
        <v>Elsewhere</v>
      </c>
      <c r="E575" s="30" t="str">
        <f>IFERROR(__xludf.DUMMYFUNCTION("""COMPUTED_VALUE"""),"Elsewhere")</f>
        <v>Elsewhere</v>
      </c>
      <c r="F575" s="10">
        <f>IFERROR(__xludf.DUMMYFUNCTION("""COMPUTED_VALUE"""),207.832365486)</f>
        <v>207.832365486</v>
      </c>
      <c r="G575" s="10">
        <f>IFERROR(__xludf.DUMMYFUNCTION("""COMPUTED_VALUE"""),-67.343946058)</f>
        <v>-67.343946058</v>
      </c>
      <c r="H575" s="10">
        <f>IFERROR(__xludf.DUMMYFUNCTION("""COMPUTED_VALUE"""),-50.2728090729999)</f>
        <v>-50.2728090729999</v>
      </c>
      <c r="I575" s="13"/>
      <c r="J575" s="13"/>
      <c r="K575" s="13"/>
      <c r="L575" s="13"/>
      <c r="M575" s="1" t="b">
        <f>IFERROR(__xludf.DUMMYFUNCTION("""COMPUTED_VALUE"""),TRUE)</f>
        <v>1</v>
      </c>
      <c r="N575" s="10">
        <f>IFERROR(__xludf.DUMMYFUNCTION("""COMPUTED_VALUE"""),0)</f>
        <v>0</v>
      </c>
      <c r="O575" s="10">
        <f>IFERROR(__xludf.DUMMYFUNCTION("""COMPUTED_VALUE"""),0)</f>
        <v>0</v>
      </c>
      <c r="P575" s="10"/>
      <c r="Q575" s="30"/>
      <c r="R575" s="18"/>
      <c r="S575" s="19"/>
      <c r="T575" s="10"/>
      <c r="U575" s="10"/>
      <c r="V575" s="10"/>
      <c r="W575" s="10"/>
      <c r="X575" s="19"/>
      <c r="Y575" s="1"/>
      <c r="Z575" s="1"/>
      <c r="AA575" s="1"/>
    </row>
    <row r="576" customHeight="1" spans="1:27">
      <c r="A576" s="1" t="str">
        <f>IFERROR(__xludf.DUMMYFUNCTION("""COMPUTED_VALUE"""),"Lyria 08")</f>
        <v>Lyria 08</v>
      </c>
      <c r="B576" s="1" t="str">
        <f>IFERROR(__xludf.DUMMYFUNCTION("""COMPUTED_VALUE"""),"Lyria 10")</f>
        <v>Lyria 10</v>
      </c>
      <c r="C576" s="1" t="str">
        <f>IFERROR(__xludf.DUMMYFUNCTION("""COMPUTED_VALUE"""),"Lyria 27")</f>
        <v>Lyria 27</v>
      </c>
      <c r="D576" s="1" t="str">
        <f>IFERROR(__xludf.DUMMYFUNCTION("""COMPUTED_VALUE"""),"Launch Pad")</f>
        <v>Launch Pad</v>
      </c>
      <c r="E576" s="30" t="str">
        <f>IFERROR(__xludf.DUMMYFUNCTION("""COMPUTED_VALUE"""),"Launch Pad")</f>
        <v>Launch Pad</v>
      </c>
      <c r="F576" s="10">
        <f>IFERROR(__xludf.DUMMYFUNCTION("""COMPUTED_VALUE"""),-213.839920017)</f>
        <v>-213.839920017</v>
      </c>
      <c r="G576" s="10">
        <f>IFERROR(__xludf.DUMMYFUNCTION("""COMPUTED_VALUE"""),-65.1627458019999)</f>
        <v>-65.1627458019999</v>
      </c>
      <c r="H576" s="10">
        <f>IFERROR(__xludf.DUMMYFUNCTION("""COMPUTED_VALUE"""),16.507928637)</f>
        <v>16.507928637</v>
      </c>
      <c r="I576" s="13"/>
      <c r="J576" s="13"/>
      <c r="K576" s="13"/>
      <c r="L576" s="13"/>
      <c r="M576" s="1" t="b">
        <f>IFERROR(__xludf.DUMMYFUNCTION("""COMPUTED_VALUE"""),TRUE)</f>
        <v>1</v>
      </c>
      <c r="N576" s="10">
        <f>IFERROR(__xludf.DUMMYFUNCTION("""COMPUTED_VALUE"""),0)</f>
        <v>0</v>
      </c>
      <c r="O576" s="10">
        <f>IFERROR(__xludf.DUMMYFUNCTION("""COMPUTED_VALUE"""),0)</f>
        <v>0</v>
      </c>
      <c r="P576" s="10"/>
      <c r="Q576" s="30"/>
      <c r="R576" s="18"/>
      <c r="S576" s="19"/>
      <c r="T576" s="10"/>
      <c r="U576" s="10"/>
      <c r="V576" s="10"/>
      <c r="W576" s="10"/>
      <c r="X576" s="19"/>
      <c r="Y576" s="1"/>
      <c r="Z576" s="1"/>
      <c r="AA576" s="1"/>
    </row>
    <row r="577" customHeight="1" spans="1:27">
      <c r="A577" s="1" t="str">
        <f>IFERROR(__xludf.DUMMYFUNCTION("""COMPUTED_VALUE"""),"Lyria 09")</f>
        <v>Lyria 09</v>
      </c>
      <c r="B577" s="1" t="str">
        <f>IFERROR(__xludf.DUMMYFUNCTION("""COMPUTED_VALUE"""),"Lyria 11")</f>
        <v>Lyria 11</v>
      </c>
      <c r="C577" s="1" t="str">
        <f>IFERROR(__xludf.DUMMYFUNCTION("""COMPUTED_VALUE"""),"Lyria 28")</f>
        <v>Lyria 28</v>
      </c>
      <c r="D577" s="1" t="str">
        <f>IFERROR(__xludf.DUMMYFUNCTION("""COMPUTED_VALUE"""),"Operations Depot Lyria")</f>
        <v>Operations Depot Lyria</v>
      </c>
      <c r="E577" s="30" t="str">
        <f>IFERROR(__xludf.DUMMYFUNCTION("""COMPUTED_VALUE"""),"OpDepot")</f>
        <v>OpDepot</v>
      </c>
      <c r="F577" s="10">
        <f>IFERROR(__xludf.DUMMYFUNCTION("""COMPUTED_VALUE"""),-147.803807107)</f>
        <v>-147.803807107</v>
      </c>
      <c r="G577" s="10">
        <f>IFERROR(__xludf.DUMMYFUNCTION("""COMPUTED_VALUE"""),-17.445260707)</f>
        <v>-17.445260707</v>
      </c>
      <c r="H577" s="10">
        <f>IFERROR(__xludf.DUMMYFUNCTION("""COMPUTED_VALUE"""),167.339607251998)</f>
        <v>167.339607251998</v>
      </c>
      <c r="I577" s="13"/>
      <c r="J577" s="13"/>
      <c r="K577" s="13"/>
      <c r="L577" s="13"/>
      <c r="M577" s="1" t="b">
        <f>IFERROR(__xludf.DUMMYFUNCTION("""COMPUTED_VALUE"""),TRUE)</f>
        <v>1</v>
      </c>
      <c r="N577" s="10">
        <f>IFERROR(__xludf.DUMMYFUNCTION("""COMPUTED_VALUE"""),0)</f>
        <v>0</v>
      </c>
      <c r="O577" s="10">
        <f>IFERROR(__xludf.DUMMYFUNCTION("""COMPUTED_VALUE"""),0)</f>
        <v>0</v>
      </c>
      <c r="P577" s="10"/>
      <c r="Q577" s="30"/>
      <c r="R577" s="18"/>
      <c r="S577" s="19"/>
      <c r="T577" s="10"/>
      <c r="U577" s="10"/>
      <c r="V577" s="10"/>
      <c r="W577" s="10"/>
      <c r="X577" s="19"/>
      <c r="Y577" s="1"/>
      <c r="Z577" s="1"/>
      <c r="AA577" s="1"/>
    </row>
    <row r="578" customHeight="1" spans="1:27">
      <c r="A578" s="1" t="str">
        <f>IFERROR(__xludf.DUMMYFUNCTION("""COMPUTED_VALUE"""),"Lyria 10")</f>
        <v>Lyria 10</v>
      </c>
      <c r="B578" s="1" t="str">
        <f>IFERROR(__xludf.DUMMYFUNCTION("""COMPUTED_VALUE"""),"Lyria 12")</f>
        <v>Lyria 12</v>
      </c>
      <c r="C578" s="1" t="str">
        <f>IFERROR(__xludf.DUMMYFUNCTION("""COMPUTED_VALUE"""),"Lyria 01")</f>
        <v>Lyria 01</v>
      </c>
      <c r="D578" s="1" t="str">
        <f>IFERROR(__xludf.DUMMYFUNCTION("""COMPUTED_VALUE"""),"Shubin Processing Facility SPAL-3")</f>
        <v>Shubin Processing Facility SPAL-3</v>
      </c>
      <c r="E578" s="30" t="str">
        <f>IFERROR(__xludf.DUMMYFUNCTION("""COMPUTED_VALUE"""),"SPAL-3")</f>
        <v>SPAL-3</v>
      </c>
      <c r="F578" s="10">
        <f>IFERROR(__xludf.DUMMYFUNCTION("""COMPUTED_VALUE"""),-208.404129518)</f>
        <v>-208.404129518</v>
      </c>
      <c r="G578" s="10">
        <f>IFERROR(__xludf.DUMMYFUNCTION("""COMPUTED_VALUE"""),11.2752080559998)</f>
        <v>11.2752080559998</v>
      </c>
      <c r="H578" s="10">
        <f>IFERROR(__xludf.DUMMYFUNCTION("""COMPUTED_VALUE"""),-81.322103623)</f>
        <v>-81.322103623</v>
      </c>
      <c r="I578" s="13"/>
      <c r="J578" s="13"/>
      <c r="K578" s="13"/>
      <c r="L578" s="13"/>
      <c r="M578" s="1" t="b">
        <f>IFERROR(__xludf.DUMMYFUNCTION("""COMPUTED_VALUE"""),TRUE)</f>
        <v>1</v>
      </c>
      <c r="N578" s="10">
        <f>IFERROR(__xludf.DUMMYFUNCTION("""COMPUTED_VALUE"""),0)</f>
        <v>0</v>
      </c>
      <c r="O578" s="10">
        <f>IFERROR(__xludf.DUMMYFUNCTION("""COMPUTED_VALUE"""),0)</f>
        <v>0</v>
      </c>
      <c r="P578" s="10"/>
      <c r="Q578" s="30"/>
      <c r="R578" s="18"/>
      <c r="S578" s="19"/>
      <c r="T578" s="10"/>
      <c r="U578" s="10"/>
      <c r="V578" s="10"/>
      <c r="W578" s="10"/>
      <c r="X578" s="19"/>
      <c r="Y578" s="1"/>
      <c r="Z578" s="1"/>
      <c r="AA578" s="1"/>
    </row>
    <row r="579" customHeight="1" spans="1:27">
      <c r="A579" s="1" t="str">
        <f>IFERROR(__xludf.DUMMYFUNCTION("""COMPUTED_VALUE"""),"Lyria 11")</f>
        <v>Lyria 11</v>
      </c>
      <c r="B579" s="1" t="str">
        <f>IFERROR(__xludf.DUMMYFUNCTION("""COMPUTED_VALUE"""),"Lyria 13")</f>
        <v>Lyria 13</v>
      </c>
      <c r="C579" s="1" t="str">
        <f>IFERROR(__xludf.DUMMYFUNCTION("""COMPUTED_VALUE"""),"Lyria 19")</f>
        <v>Lyria 19</v>
      </c>
      <c r="D579" s="1" t="str">
        <f>IFERROR(__xludf.DUMMYFUNCTION("""COMPUTED_VALUE"""),"Shubin Processing Facility SPAL-7")</f>
        <v>Shubin Processing Facility SPAL-7</v>
      </c>
      <c r="E579" s="30" t="str">
        <f>IFERROR(__xludf.DUMMYFUNCTION("""COMPUTED_VALUE"""),"SPAL-7")</f>
        <v>SPAL-7</v>
      </c>
      <c r="F579" s="10">
        <f>IFERROR(__xludf.DUMMYFUNCTION("""COMPUTED_VALUE"""),37.913838794)</f>
        <v>37.913838794</v>
      </c>
      <c r="G579" s="10">
        <f>IFERROR(__xludf.DUMMYFUNCTION("""COMPUTED_VALUE"""),-126.142169171999)</f>
        <v>-126.142169171999</v>
      </c>
      <c r="H579" s="10">
        <f>IFERROR(__xludf.DUMMYFUNCTION("""COMPUTED_VALUE"""),181.386671413)</f>
        <v>181.386671413</v>
      </c>
      <c r="I579" s="13"/>
      <c r="J579" s="13"/>
      <c r="K579" s="13"/>
      <c r="L579" s="13"/>
      <c r="M579" s="1" t="b">
        <f>IFERROR(__xludf.DUMMYFUNCTION("""COMPUTED_VALUE"""),TRUE)</f>
        <v>1</v>
      </c>
      <c r="N579" s="10">
        <f>IFERROR(__xludf.DUMMYFUNCTION("""COMPUTED_VALUE"""),0)</f>
        <v>0</v>
      </c>
      <c r="O579" s="10">
        <f>IFERROR(__xludf.DUMMYFUNCTION("""COMPUTED_VALUE"""),0)</f>
        <v>0</v>
      </c>
      <c r="P579" s="10"/>
      <c r="Q579" s="30"/>
      <c r="R579" s="18"/>
      <c r="S579" s="19"/>
      <c r="T579" s="10"/>
      <c r="U579" s="10"/>
      <c r="V579" s="10"/>
      <c r="W579" s="10"/>
      <c r="X579" s="19"/>
      <c r="Y579" s="1"/>
      <c r="Z579" s="1"/>
      <c r="AA579" s="1"/>
    </row>
    <row r="580" customHeight="1" spans="1:27">
      <c r="A580" s="1" t="str">
        <f>IFERROR(__xludf.DUMMYFUNCTION("""COMPUTED_VALUE"""),"Lyria 12")</f>
        <v>Lyria 12</v>
      </c>
      <c r="B580" s="1" t="str">
        <f>IFERROR(__xludf.DUMMYFUNCTION("""COMPUTED_VALUE"""),"Lyria 14")</f>
        <v>Lyria 14</v>
      </c>
      <c r="C580" s="1" t="str">
        <f>IFERROR(__xludf.DUMMYFUNCTION("""COMPUTED_VALUE"""),"Lyria 18")</f>
        <v>Lyria 18</v>
      </c>
      <c r="D580" s="1" t="str">
        <f>IFERROR(__xludf.DUMMYFUNCTION("""COMPUTED_VALUE"""),"Shubin Processing Facility SPAL-9")</f>
        <v>Shubin Processing Facility SPAL-9</v>
      </c>
      <c r="E580" s="30" t="str">
        <f>IFERROR(__xludf.DUMMYFUNCTION("""COMPUTED_VALUE"""),"SPAL-9")</f>
        <v>SPAL-9</v>
      </c>
      <c r="F580" s="10">
        <f>IFERROR(__xludf.DUMMYFUNCTION("""COMPUTED_VALUE"""),146.676418559999)</f>
        <v>146.676418559999</v>
      </c>
      <c r="G580" s="10">
        <f>IFERROR(__xludf.DUMMYFUNCTION("""COMPUTED_VALUE"""),-169.035498555)</f>
        <v>-169.035498555</v>
      </c>
      <c r="H580" s="10">
        <f>IFERROR(__xludf.DUMMYFUNCTION("""COMPUTED_VALUE"""),8.34046491199999)</f>
        <v>8.34046491199999</v>
      </c>
      <c r="I580" s="13"/>
      <c r="J580" s="13"/>
      <c r="K580" s="13"/>
      <c r="L580" s="13"/>
      <c r="M580" s="1" t="b">
        <f>IFERROR(__xludf.DUMMYFUNCTION("""COMPUTED_VALUE"""),TRUE)</f>
        <v>1</v>
      </c>
      <c r="N580" s="10">
        <f>IFERROR(__xludf.DUMMYFUNCTION("""COMPUTED_VALUE"""),0)</f>
        <v>0</v>
      </c>
      <c r="O580" s="10">
        <f>IFERROR(__xludf.DUMMYFUNCTION("""COMPUTED_VALUE"""),0)</f>
        <v>0</v>
      </c>
      <c r="P580" s="10"/>
      <c r="Q580" s="30"/>
      <c r="R580" s="18"/>
      <c r="S580" s="19"/>
      <c r="T580" s="10"/>
      <c r="U580" s="10"/>
      <c r="V580" s="10"/>
      <c r="W580" s="10"/>
      <c r="X580" s="19"/>
      <c r="Y580" s="1"/>
      <c r="Z580" s="1"/>
      <c r="AA580" s="1"/>
    </row>
    <row r="581" customHeight="1" spans="1:27">
      <c r="A581" s="1" t="str">
        <f>IFERROR(__xludf.DUMMYFUNCTION("""COMPUTED_VALUE"""),"Lyria 13")</f>
        <v>Lyria 13</v>
      </c>
      <c r="B581" s="1" t="str">
        <f>IFERROR(__xludf.DUMMYFUNCTION("""COMPUTED_VALUE"""),"Lyria 15")</f>
        <v>Lyria 15</v>
      </c>
      <c r="C581" s="1" t="str">
        <f>IFERROR(__xludf.DUMMYFUNCTION("""COMPUTED_VALUE"""),"Lyria 05")</f>
        <v>Lyria 05</v>
      </c>
      <c r="D581" s="1" t="str">
        <f>IFERROR(__xludf.DUMMYFUNCTION("""COMPUTED_VALUE"""),"Shubin Processing Facility SPAL-12")</f>
        <v>Shubin Processing Facility SPAL-12</v>
      </c>
      <c r="E581" s="30" t="str">
        <f>IFERROR(__xludf.DUMMYFUNCTION("""COMPUTED_VALUE"""),"SPAL-12")</f>
        <v>SPAL-12</v>
      </c>
      <c r="F581" s="10">
        <f>IFERROR(__xludf.DUMMYFUNCTION("""COMPUTED_VALUE"""),-173.502835813)</f>
        <v>-173.502835813</v>
      </c>
      <c r="G581" s="10">
        <f>IFERROR(__xludf.DUMMYFUNCTION("""COMPUTED_VALUE"""),124.81037674)</f>
        <v>124.81037674</v>
      </c>
      <c r="H581" s="10">
        <f>IFERROR(__xludf.DUMMYFUNCTION("""COMPUTED_VALUE"""),66.7839272849998)</f>
        <v>66.7839272849998</v>
      </c>
      <c r="I581" s="13"/>
      <c r="J581" s="13"/>
      <c r="K581" s="13"/>
      <c r="L581" s="13"/>
      <c r="M581" s="1" t="b">
        <f>IFERROR(__xludf.DUMMYFUNCTION("""COMPUTED_VALUE"""),TRUE)</f>
        <v>1</v>
      </c>
      <c r="N581" s="10">
        <f>IFERROR(__xludf.DUMMYFUNCTION("""COMPUTED_VALUE"""),0)</f>
        <v>0</v>
      </c>
      <c r="O581" s="10">
        <f>IFERROR(__xludf.DUMMYFUNCTION("""COMPUTED_VALUE"""),0)</f>
        <v>0</v>
      </c>
      <c r="P581" s="10"/>
      <c r="Q581" s="30"/>
      <c r="R581" s="18"/>
      <c r="S581" s="19"/>
      <c r="T581" s="10"/>
      <c r="U581" s="10"/>
      <c r="V581" s="10"/>
      <c r="W581" s="10"/>
      <c r="X581" s="19"/>
      <c r="Y581" s="1"/>
      <c r="Z581" s="1"/>
      <c r="AA581" s="1"/>
    </row>
    <row r="582" customHeight="1" spans="1:27">
      <c r="A582" s="1" t="str">
        <f>IFERROR(__xludf.DUMMYFUNCTION("""COMPUTED_VALUE"""),"Lyria 14")</f>
        <v>Lyria 14</v>
      </c>
      <c r="B582" s="1" t="str">
        <f>IFERROR(__xludf.DUMMYFUNCTION("""COMPUTED_VALUE"""),"Lyria 16")</f>
        <v>Lyria 16</v>
      </c>
      <c r="C582" s="1" t="str">
        <f>IFERROR(__xludf.DUMMYFUNCTION("""COMPUTED_VALUE"""),"Lyria 24")</f>
        <v>Lyria 24</v>
      </c>
      <c r="D582" s="1" t="str">
        <f>IFERROR(__xludf.DUMMYFUNCTION("""COMPUTED_VALUE"""),"Shubin Processing Facility SPAL-16")</f>
        <v>Shubin Processing Facility SPAL-16</v>
      </c>
      <c r="E582" s="30" t="str">
        <f>IFERROR(__xludf.DUMMYFUNCTION("""COMPUTED_VALUE"""),"SPAL-16")</f>
        <v>SPAL-16</v>
      </c>
      <c r="F582" s="10">
        <f>IFERROR(__xludf.DUMMYFUNCTION("""COMPUTED_VALUE"""),-40.101377967)</f>
        <v>-40.101377967</v>
      </c>
      <c r="G582" s="10">
        <f>IFERROR(__xludf.DUMMYFUNCTION("""COMPUTED_VALUE"""),-66.2631414939999)</f>
        <v>-66.2631414939999</v>
      </c>
      <c r="H582" s="10">
        <f>IFERROR(__xludf.DUMMYFUNCTION("""COMPUTED_VALUE"""),209.89169704)</f>
        <v>209.89169704</v>
      </c>
      <c r="I582" s="13"/>
      <c r="J582" s="13"/>
      <c r="K582" s="13"/>
      <c r="L582" s="13"/>
      <c r="M582" s="1" t="b">
        <f>IFERROR(__xludf.DUMMYFUNCTION("""COMPUTED_VALUE"""),TRUE)</f>
        <v>1</v>
      </c>
      <c r="N582" s="10">
        <f>IFERROR(__xludf.DUMMYFUNCTION("""COMPUTED_VALUE"""),0)</f>
        <v>0</v>
      </c>
      <c r="O582" s="10">
        <f>IFERROR(__xludf.DUMMYFUNCTION("""COMPUTED_VALUE"""),0)</f>
        <v>0</v>
      </c>
      <c r="P582" s="10"/>
      <c r="Q582" s="30"/>
      <c r="R582" s="18"/>
      <c r="S582" s="19"/>
      <c r="T582" s="10"/>
      <c r="U582" s="10"/>
      <c r="V582" s="10"/>
      <c r="W582" s="10"/>
      <c r="X582" s="19"/>
      <c r="Y582" s="1"/>
      <c r="Z582" s="1"/>
      <c r="AA582" s="1"/>
    </row>
    <row r="583" customHeight="1" spans="1:27">
      <c r="A583" s="1" t="str">
        <f>IFERROR(__xludf.DUMMYFUNCTION("""COMPUTED_VALUE"""),"Lyria 15")</f>
        <v>Lyria 15</v>
      </c>
      <c r="B583" s="1" t="str">
        <f>IFERROR(__xludf.DUMMYFUNCTION("""COMPUTED_VALUE"""),"Lyria 17")</f>
        <v>Lyria 17</v>
      </c>
      <c r="C583" s="1" t="str">
        <f>IFERROR(__xludf.DUMMYFUNCTION("""COMPUTED_VALUE"""),"Lyria 04")</f>
        <v>Lyria 04</v>
      </c>
      <c r="D583" s="1" t="str">
        <f>IFERROR(__xludf.DUMMYFUNCTION("""COMPUTED_VALUE"""),"Shubin Processing Facility SPAL-21")</f>
        <v>Shubin Processing Facility SPAL-21</v>
      </c>
      <c r="E583" s="30" t="str">
        <f>IFERROR(__xludf.DUMMYFUNCTION("""COMPUTED_VALUE"""),"SPAL-21")</f>
        <v>SPAL-21</v>
      </c>
      <c r="F583" s="10">
        <f>IFERROR(__xludf.DUMMYFUNCTION("""COMPUTED_VALUE"""),-19.526859218)</f>
        <v>-19.526859218</v>
      </c>
      <c r="G583" s="10">
        <f>IFERROR(__xludf.DUMMYFUNCTION("""COMPUTED_VALUE"""),13.461724096)</f>
        <v>13.461724096</v>
      </c>
      <c r="H583" s="10">
        <f>IFERROR(__xludf.DUMMYFUNCTION("""COMPUTED_VALUE"""),222.715912419)</f>
        <v>222.715912419</v>
      </c>
      <c r="I583" s="13"/>
      <c r="J583" s="13"/>
      <c r="K583" s="13"/>
      <c r="L583" s="13"/>
      <c r="M583" s="1" t="b">
        <f>IFERROR(__xludf.DUMMYFUNCTION("""COMPUTED_VALUE"""),TRUE)</f>
        <v>1</v>
      </c>
      <c r="N583" s="10">
        <f>IFERROR(__xludf.DUMMYFUNCTION("""COMPUTED_VALUE"""),0)</f>
        <v>0</v>
      </c>
      <c r="O583" s="10">
        <f>IFERROR(__xludf.DUMMYFUNCTION("""COMPUTED_VALUE"""),0)</f>
        <v>0</v>
      </c>
      <c r="P583" s="10"/>
      <c r="Q583" s="30"/>
      <c r="R583" s="18"/>
      <c r="S583" s="19"/>
      <c r="T583" s="10"/>
      <c r="U583" s="10"/>
      <c r="V583" s="10"/>
      <c r="W583" s="10"/>
      <c r="X583" s="19"/>
      <c r="Y583" s="1"/>
      <c r="Z583" s="1"/>
      <c r="AA583" s="1"/>
    </row>
    <row r="584" customHeight="1" spans="1:27">
      <c r="A584" s="1" t="str">
        <f>IFERROR(__xludf.DUMMYFUNCTION("""COMPUTED_VALUE"""),"Lyria 16")</f>
        <v>Lyria 16</v>
      </c>
      <c r="B584" s="1" t="str">
        <f>IFERROR(__xludf.DUMMYFUNCTION("""COMPUTED_VALUE"""),"Lyria 18")</f>
        <v>Lyria 18</v>
      </c>
      <c r="C584" s="1" t="str">
        <f>IFERROR(__xludf.DUMMYFUNCTION("""COMPUTED_VALUE"""),"Lyria 08")</f>
        <v>Lyria 08</v>
      </c>
      <c r="D584" s="1" t="str">
        <f>IFERROR(__xludf.DUMMYFUNCTION("""COMPUTED_VALUE"""),"Teddy's Playhouse")</f>
        <v>Teddy's Playhouse</v>
      </c>
      <c r="E584" s="30" t="str">
        <f>IFERROR(__xludf.DUMMYFUNCTION("""COMPUTED_VALUE"""),"Playhouse")</f>
        <v>Playhouse</v>
      </c>
      <c r="F584" s="10">
        <f>IFERROR(__xludf.DUMMYFUNCTION("""COMPUTED_VALUE"""),95.428899223)</f>
        <v>95.428899223</v>
      </c>
      <c r="G584" s="10">
        <f>IFERROR(__xludf.DUMMYFUNCTION("""COMPUTED_VALUE"""),160.939726246)</f>
        <v>160.939726246</v>
      </c>
      <c r="H584" s="10">
        <f>IFERROR(__xludf.DUMMYFUNCTION("""COMPUTED_VALUE"""),-122.845590215)</f>
        <v>-122.845590215</v>
      </c>
      <c r="I584" s="13"/>
      <c r="J584" s="13"/>
      <c r="K584" s="13"/>
      <c r="L584" s="13"/>
      <c r="M584" s="1" t="b">
        <f>IFERROR(__xludf.DUMMYFUNCTION("""COMPUTED_VALUE"""),TRUE)</f>
        <v>1</v>
      </c>
      <c r="N584" s="10">
        <f>IFERROR(__xludf.DUMMYFUNCTION("""COMPUTED_VALUE"""),0)</f>
        <v>0</v>
      </c>
      <c r="O584" s="10">
        <f>IFERROR(__xludf.DUMMYFUNCTION("""COMPUTED_VALUE"""),0)</f>
        <v>0</v>
      </c>
      <c r="P584" s="10"/>
      <c r="Q584" s="30"/>
      <c r="R584" s="18"/>
      <c r="S584" s="19"/>
      <c r="T584" s="10"/>
      <c r="U584" s="10"/>
      <c r="V584" s="10"/>
      <c r="W584" s="10"/>
      <c r="X584" s="19"/>
      <c r="Y584" s="1"/>
      <c r="Z584" s="1"/>
      <c r="AA584" s="1"/>
    </row>
    <row r="585" customHeight="1" spans="1:27">
      <c r="A585" s="1" t="str">
        <f>IFERROR(__xludf.DUMMYFUNCTION("""COMPUTED_VALUE"""),"Lyria 17")</f>
        <v>Lyria 17</v>
      </c>
      <c r="B585" s="1" t="str">
        <f>IFERROR(__xludf.DUMMYFUNCTION("""COMPUTED_VALUE"""),"Lyria 19")</f>
        <v>Lyria 19</v>
      </c>
      <c r="C585" s="1" t="str">
        <f>IFERROR(__xludf.DUMMYFUNCTION("""COMPUTED_VALUE"""),"Lyria 09")</f>
        <v>Lyria 09</v>
      </c>
      <c r="D585" s="1" t="str">
        <f>IFERROR(__xludf.DUMMYFUNCTION("""COMPUTED_VALUE"""),"The Pit")</f>
        <v>The Pit</v>
      </c>
      <c r="E585" s="30" t="str">
        <f>IFERROR(__xludf.DUMMYFUNCTION("""COMPUTED_VALUE"""),"Pit")</f>
        <v>Pit</v>
      </c>
      <c r="F585" s="10">
        <f>IFERROR(__xludf.DUMMYFUNCTION("""COMPUTED_VALUE"""),59.094282046)</f>
        <v>59.094282046</v>
      </c>
      <c r="G585" s="10">
        <f>IFERROR(__xludf.DUMMYFUNCTION("""COMPUTED_VALUE"""),68.1150196529998)</f>
        <v>68.1150196529998</v>
      </c>
      <c r="H585" s="10">
        <f>IFERROR(__xludf.DUMMYFUNCTION("""COMPUTED_VALUE"""),204.996612269)</f>
        <v>204.996612269</v>
      </c>
      <c r="I585" s="13"/>
      <c r="J585" s="13"/>
      <c r="K585" s="13"/>
      <c r="L585" s="13"/>
      <c r="M585" s="1" t="b">
        <f>IFERROR(__xludf.DUMMYFUNCTION("""COMPUTED_VALUE"""),TRUE)</f>
        <v>1</v>
      </c>
      <c r="N585" s="10">
        <f>IFERROR(__xludf.DUMMYFUNCTION("""COMPUTED_VALUE"""),0)</f>
        <v>0</v>
      </c>
      <c r="O585" s="10">
        <f>IFERROR(__xludf.DUMMYFUNCTION("""COMPUTED_VALUE"""),0)</f>
        <v>0</v>
      </c>
      <c r="P585" s="10"/>
      <c r="Q585" s="30"/>
      <c r="R585" s="18"/>
      <c r="S585" s="19"/>
      <c r="T585" s="10"/>
      <c r="U585" s="10"/>
      <c r="V585" s="10"/>
      <c r="W585" s="10"/>
      <c r="X585" s="19"/>
      <c r="Y585" s="1"/>
      <c r="Z585" s="1"/>
      <c r="AA585" s="1"/>
    </row>
    <row r="586" customHeight="1" spans="1:27">
      <c r="A586" s="1" t="str">
        <f>IFERROR(__xludf.DUMMYFUNCTION("""COMPUTED_VALUE"""),"Lyria 18")</f>
        <v>Lyria 18</v>
      </c>
      <c r="B586" s="1" t="str">
        <f>IFERROR(__xludf.DUMMYFUNCTION("""COMPUTED_VALUE"""),"Lyria 20")</f>
        <v>Lyria 20</v>
      </c>
      <c r="C586" s="1" t="str">
        <f>IFERROR(__xludf.DUMMYFUNCTION("""COMPUTED_VALUE"""),"Lyria 23")</f>
        <v>Lyria 23</v>
      </c>
      <c r="D586" s="1" t="str">
        <f>IFERROR(__xludf.DUMMYFUNCTION("""COMPUTED_VALUE"""),"Wheeler's")</f>
        <v>Wheeler's</v>
      </c>
      <c r="E586" s="30" t="str">
        <f>IFERROR(__xludf.DUMMYFUNCTION("""COMPUTED_VALUE"""),"Wheelers")</f>
        <v>Wheelers</v>
      </c>
      <c r="F586" s="10">
        <f>IFERROR(__xludf.DUMMYFUNCTION("""COMPUTED_VALUE"""),-53.369535053)</f>
        <v>-53.369535053</v>
      </c>
      <c r="G586" s="10">
        <f>IFERROR(__xludf.DUMMYFUNCTION("""COMPUTED_VALUE"""),-209.899723563)</f>
        <v>-209.899723563</v>
      </c>
      <c r="H586" s="10">
        <f>IFERROR(__xludf.DUMMYFUNCTION("""COMPUTED_VALUE"""),-57.1234277779999)</f>
        <v>-57.1234277779999</v>
      </c>
      <c r="I586" s="13"/>
      <c r="J586" s="13"/>
      <c r="K586" s="13"/>
      <c r="L586" s="13"/>
      <c r="M586" s="1" t="b">
        <f>IFERROR(__xludf.DUMMYFUNCTION("""COMPUTED_VALUE"""),TRUE)</f>
        <v>1</v>
      </c>
      <c r="N586" s="10">
        <f>IFERROR(__xludf.DUMMYFUNCTION("""COMPUTED_VALUE"""),0)</f>
        <v>0</v>
      </c>
      <c r="O586" s="10">
        <f>IFERROR(__xludf.DUMMYFUNCTION("""COMPUTED_VALUE"""),0)</f>
        <v>0</v>
      </c>
      <c r="P586" s="10"/>
      <c r="Q586" s="30"/>
      <c r="R586" s="18"/>
      <c r="S586" s="19"/>
      <c r="T586" s="10"/>
      <c r="U586" s="10"/>
      <c r="V586" s="10"/>
      <c r="W586" s="10"/>
      <c r="X586" s="19"/>
      <c r="Y586" s="1"/>
      <c r="Z586" s="1"/>
      <c r="AA586" s="1"/>
    </row>
    <row r="587" customHeight="1" spans="1:27">
      <c r="A587" s="1" t="str">
        <f>IFERROR(__xludf.DUMMYFUNCTION("""COMPUTED_VALUE"""),"Lyria")</f>
        <v>Lyria</v>
      </c>
      <c r="B587" s="1" t="str">
        <f>IFERROR(__xludf.DUMMYFUNCTION("""COMPUTED_VALUE"""),"Lyria 22")</f>
        <v>Lyria 22</v>
      </c>
      <c r="C587" s="1"/>
      <c r="D587" s="1" t="str">
        <f>IFERROR(__xludf.DUMMYFUNCTION("""COMPUTED_VALUE"""),"Settlements")</f>
        <v>Settlements</v>
      </c>
      <c r="E587" s="30"/>
      <c r="F587" s="10"/>
      <c r="G587" s="10"/>
      <c r="H587" s="10"/>
      <c r="I587" s="13"/>
      <c r="J587" s="13"/>
      <c r="K587" s="13"/>
      <c r="L587" s="13"/>
      <c r="M587" s="1"/>
      <c r="N587" s="10"/>
      <c r="O587" s="10"/>
      <c r="P587" s="10"/>
      <c r="Q587" s="30"/>
      <c r="R587" s="18"/>
      <c r="S587" s="19"/>
      <c r="T587" s="10"/>
      <c r="U587" s="10"/>
      <c r="V587" s="10"/>
      <c r="W587" s="10"/>
      <c r="X587" s="19"/>
      <c r="Y587" s="1"/>
      <c r="Z587" s="1"/>
      <c r="AA587" s="1"/>
    </row>
    <row r="588" customHeight="1" spans="1:27">
      <c r="A588" s="1" t="str">
        <f>IFERROR(__xludf.DUMMYFUNCTION("""COMPUTED_VALUE"""),"Lyria 20")</f>
        <v>Lyria 20</v>
      </c>
      <c r="B588" s="1" t="str">
        <f>IFERROR(__xludf.DUMMYFUNCTION("""COMPUTED_VALUE"""),"Lyria 23")</f>
        <v>Lyria 23</v>
      </c>
      <c r="C588" s="1" t="str">
        <f>IFERROR(__xludf.DUMMYFUNCTION("""COMPUTED_VALUE"""),"Lyria 03")</f>
        <v>Lyria 03</v>
      </c>
      <c r="D588" s="1" t="str">
        <f>IFERROR(__xludf.DUMMYFUNCTION("""COMPUTED_VALUE"""),"Lyria Settlement")</f>
        <v>Lyria Settlement</v>
      </c>
      <c r="E588" s="30" t="str">
        <f>IFERROR(__xludf.DUMMYFUNCTION("""COMPUTED_VALUE"""),"Settlement 3a")</f>
        <v>Settlement 3a</v>
      </c>
      <c r="F588" s="10">
        <f>IFERROR(__xludf.DUMMYFUNCTION("""COMPUTED_VALUE"""),-180.657995521775)</f>
        <v>-180.657995521775</v>
      </c>
      <c r="G588" s="10">
        <f>IFERROR(__xludf.DUMMYFUNCTION("""COMPUTED_VALUE"""),104.243257399562)</f>
        <v>104.243257399562</v>
      </c>
      <c r="H588" s="10">
        <f>IFERROR(__xludf.DUMMYFUNCTION("""COMPUTED_VALUE"""),81.1053633381186)</f>
        <v>81.1053633381186</v>
      </c>
      <c r="I588" s="13"/>
      <c r="J588" s="13"/>
      <c r="K588" s="13"/>
      <c r="L588" s="13"/>
      <c r="M588" s="1" t="b">
        <f>IFERROR(__xludf.DUMMYFUNCTION("""COMPUTED_VALUE"""),FALSE)</f>
        <v>0</v>
      </c>
      <c r="N588" s="10">
        <f>IFERROR(__xludf.DUMMYFUNCTION("""COMPUTED_VALUE"""),0)</f>
        <v>0</v>
      </c>
      <c r="O588" s="10">
        <f>IFERROR(__xludf.DUMMYFUNCTION("""COMPUTED_VALUE"""),0)</f>
        <v>0</v>
      </c>
      <c r="P588" s="10"/>
      <c r="Q588" s="30"/>
      <c r="R588" s="18"/>
      <c r="S588" s="19"/>
      <c r="T588" s="10"/>
      <c r="U588" s="10"/>
      <c r="V588" s="10"/>
      <c r="W588" s="10"/>
      <c r="X588" s="19"/>
      <c r="Y588" s="1"/>
      <c r="Z588" s="1"/>
      <c r="AA588" s="1"/>
    </row>
    <row r="589" customHeight="1" spans="1:27">
      <c r="A589" s="1" t="str">
        <f>IFERROR(__xludf.DUMMYFUNCTION("""COMPUTED_VALUE"""),"Lyria")</f>
        <v>Lyria</v>
      </c>
      <c r="B589" s="1" t="str">
        <f>IFERROR(__xludf.DUMMYFUNCTION("""COMPUTED_VALUE"""),"Lyria 25")</f>
        <v>Lyria 25</v>
      </c>
      <c r="C589" s="1"/>
      <c r="D589" s="1" t="str">
        <f>IFERROR(__xludf.DUMMYFUNCTION("""COMPUTED_VALUE"""),"Wrecks")</f>
        <v>Wrecks</v>
      </c>
      <c r="E589" s="30"/>
      <c r="F589" s="10"/>
      <c r="G589" s="10"/>
      <c r="H589" s="10"/>
      <c r="I589" s="13"/>
      <c r="J589" s="13"/>
      <c r="K589" s="13"/>
      <c r="L589" s="13"/>
      <c r="M589" s="1"/>
      <c r="N589" s="10"/>
      <c r="O589" s="10"/>
      <c r="P589" s="10"/>
      <c r="Q589" s="30"/>
      <c r="R589" s="18"/>
      <c r="S589" s="19"/>
      <c r="T589" s="10"/>
      <c r="U589" s="10"/>
      <c r="V589" s="10"/>
      <c r="W589" s="10"/>
      <c r="X589" s="19"/>
      <c r="Y589" s="1"/>
      <c r="Z589" s="1"/>
      <c r="AA589" s="1"/>
    </row>
    <row r="590" customHeight="1" spans="1:27">
      <c r="A590" s="1" t="str">
        <f>IFERROR(__xludf.DUMMYFUNCTION("""COMPUTED_VALUE"""),"Lyria 21")</f>
        <v>Lyria 21</v>
      </c>
      <c r="B590" s="1" t="str">
        <f>IFERROR(__xludf.DUMMYFUNCTION("""COMPUTED_VALUE"""),"Lyria 26")</f>
        <v>Lyria 26</v>
      </c>
      <c r="C590" s="1" t="str">
        <f>IFERROR(__xludf.DUMMYFUNCTION("""COMPUTED_VALUE"""),"Lyria 20")</f>
        <v>Lyria 20</v>
      </c>
      <c r="D590" s="1" t="str">
        <f>IFERROR(__xludf.DUMMYFUNCTION("""COMPUTED_VALUE"""),"Caterpillar Wreck 16K")</f>
        <v>Caterpillar Wreck 16K</v>
      </c>
      <c r="E590" s="1" t="str">
        <f>IFERROR(__xludf.DUMMYFUNCTION("""COMPUTED_VALUE"""),"Caterpillar 16K")</f>
        <v>Caterpillar 16K</v>
      </c>
      <c r="F590" s="2">
        <f>IFERROR(__xludf.DUMMYFUNCTION("""COMPUTED_VALUE"""),17.4403066069999)</f>
        <v>17.4403066069999</v>
      </c>
      <c r="G590" s="2">
        <f>IFERROR(__xludf.DUMMYFUNCTION("""COMPUTED_VALUE"""),-206.021780852)</f>
        <v>-206.021780852</v>
      </c>
      <c r="H590" s="2">
        <f>IFERROR(__xludf.DUMMYFUNCTION("""COMPUTED_VALUE"""),-86.2589763959999)</f>
        <v>-86.2589763959999</v>
      </c>
      <c r="I590" s="1"/>
      <c r="J590" s="1"/>
      <c r="K590" s="1"/>
      <c r="L590" s="1"/>
      <c r="M590" s="1" t="b">
        <f>IFERROR(__xludf.DUMMYFUNCTION("""COMPUTED_VALUE"""),FALSE)</f>
        <v>0</v>
      </c>
      <c r="N590" s="2">
        <f>IFERROR(__xludf.DUMMYFUNCTION("""COMPUTED_VALUE"""),0)</f>
        <v>0</v>
      </c>
      <c r="O590" s="2">
        <f>IFERROR(__xludf.DUMMYFUNCTION("""COMPUTED_VALUE"""),0)</f>
        <v>0</v>
      </c>
      <c r="P590" s="1"/>
      <c r="Q590" s="1"/>
      <c r="R590" s="1"/>
      <c r="S590" s="1"/>
      <c r="T590" s="1"/>
      <c r="U590" s="1"/>
      <c r="V590" s="1"/>
      <c r="W590" s="1"/>
      <c r="X590" s="1"/>
      <c r="Y590" s="1"/>
      <c r="Z590" s="1"/>
      <c r="AA590" s="1"/>
    </row>
    <row r="591" customHeight="1" spans="1:27">
      <c r="A591" s="1" t="str">
        <f>IFERROR(__xludf.DUMMYFUNCTION("""COMPUTED_VALUE"""),"Lyria 22")</f>
        <v>Lyria 22</v>
      </c>
      <c r="B591" s="1" t="str">
        <f>IFERROR(__xludf.DUMMYFUNCTION("""COMPUTED_VALUE"""),"Lyria 27")</f>
        <v>Lyria 27</v>
      </c>
      <c r="C591" s="1" t="str">
        <f>IFERROR(__xludf.DUMMYFUNCTION("""COMPUTED_VALUE"""),"Lyria 16")</f>
        <v>Lyria 16</v>
      </c>
      <c r="D591" s="1" t="str">
        <f>IFERROR(__xludf.DUMMYFUNCTION("""COMPUTED_VALUE"""),"Caterpillar Wreck 26T")</f>
        <v>Caterpillar Wreck 26T</v>
      </c>
      <c r="E591" s="1" t="str">
        <f>IFERROR(__xludf.DUMMYFUNCTION("""COMPUTED_VALUE"""),"Caterpillar 26T")</f>
        <v>Caterpillar 26T</v>
      </c>
      <c r="F591" s="2">
        <f>IFERROR(__xludf.DUMMYFUNCTION("""COMPUTED_VALUE"""),143.507116272999)</f>
        <v>143.507116272999</v>
      </c>
      <c r="G591" s="2">
        <f>IFERROR(__xludf.DUMMYFUNCTION("""COMPUTED_VALUE"""),-71.508248925)</f>
        <v>-71.508248925</v>
      </c>
      <c r="H591" s="2">
        <f>IFERROR(__xludf.DUMMYFUNCTION("""COMPUTED_VALUE"""),156.465748843999)</f>
        <v>156.465748843999</v>
      </c>
      <c r="I591" s="1"/>
      <c r="J591" s="1"/>
      <c r="K591" s="1"/>
      <c r="L591" s="1"/>
      <c r="M591" s="1" t="b">
        <f>IFERROR(__xludf.DUMMYFUNCTION("""COMPUTED_VALUE"""),FALSE)</f>
        <v>0</v>
      </c>
      <c r="N591" s="2">
        <f>IFERROR(__xludf.DUMMYFUNCTION("""COMPUTED_VALUE"""),0)</f>
        <v>0</v>
      </c>
      <c r="O591" s="2">
        <f>IFERROR(__xludf.DUMMYFUNCTION("""COMPUTED_VALUE"""),0)</f>
        <v>0</v>
      </c>
      <c r="P591" s="1"/>
      <c r="Q591" s="1"/>
      <c r="R591" s="1"/>
      <c r="S591" s="1"/>
      <c r="T591" s="1"/>
      <c r="U591" s="1"/>
      <c r="V591" s="1"/>
      <c r="W591" s="1"/>
      <c r="X591" s="1"/>
      <c r="Y591" s="1"/>
      <c r="Z591" s="1"/>
      <c r="AA591" s="1"/>
    </row>
    <row r="592" customHeight="1" spans="1:27">
      <c r="A592" s="1" t="str">
        <f>IFERROR(__xludf.DUMMYFUNCTION("""COMPUTED_VALUE"""),"Lyria 23")</f>
        <v>Lyria 23</v>
      </c>
      <c r="B592" s="1" t="str">
        <f>IFERROR(__xludf.DUMMYFUNCTION("""COMPUTED_VALUE"""),"Lyria 28")</f>
        <v>Lyria 28</v>
      </c>
      <c r="C592" s="1" t="str">
        <f>IFERROR(__xludf.DUMMYFUNCTION("""COMPUTED_VALUE"""),"Lyria 12")</f>
        <v>Lyria 12</v>
      </c>
      <c r="D592" s="1" t="str">
        <f>IFERROR(__xludf.DUMMYFUNCTION("""COMPUTED_VALUE"""),"Caterpillar Wreck 36V")</f>
        <v>Caterpillar Wreck 36V</v>
      </c>
      <c r="E592" s="1" t="str">
        <f>IFERROR(__xludf.DUMMYFUNCTION("""COMPUTED_VALUE"""),"Caterpillar 36V")</f>
        <v>Caterpillar 36V</v>
      </c>
      <c r="F592" s="2">
        <f>IFERROR(__xludf.DUMMYFUNCTION("""COMPUTED_VALUE"""),90.1959922309998)</f>
        <v>90.1959922309998</v>
      </c>
      <c r="G592" s="2">
        <f>IFERROR(__xludf.DUMMYFUNCTION("""COMPUTED_VALUE"""),60.4327727349998)</f>
        <v>60.4327727349998</v>
      </c>
      <c r="H592" s="2">
        <f>IFERROR(__xludf.DUMMYFUNCTION("""COMPUTED_VALUE"""),196.271796360999)</f>
        <v>196.271796360999</v>
      </c>
      <c r="I592" s="1"/>
      <c r="J592" s="1"/>
      <c r="K592" s="1"/>
      <c r="L592" s="1"/>
      <c r="M592" s="1" t="b">
        <f>IFERROR(__xludf.DUMMYFUNCTION("""COMPUTED_VALUE"""),FALSE)</f>
        <v>0</v>
      </c>
      <c r="N592" s="2">
        <f>IFERROR(__xludf.DUMMYFUNCTION("""COMPUTED_VALUE"""),0)</f>
        <v>0</v>
      </c>
      <c r="O592" s="2">
        <f>IFERROR(__xludf.DUMMYFUNCTION("""COMPUTED_VALUE"""),0)</f>
        <v>0</v>
      </c>
      <c r="P592" s="1"/>
      <c r="Q592" s="1"/>
      <c r="R592" s="1"/>
      <c r="S592" s="1"/>
      <c r="T592" s="1"/>
      <c r="U592" s="1"/>
      <c r="V592" s="1"/>
      <c r="W592" s="1"/>
      <c r="X592" s="1"/>
      <c r="Y592" s="1"/>
      <c r="Z592" s="1"/>
      <c r="AA592" s="1"/>
    </row>
    <row r="593" customHeight="1" spans="1:27">
      <c r="A593" s="1" t="str">
        <f>IFERROR(__xludf.DUMMYFUNCTION("""COMPUTED_VALUE"""),"Lyria 24")</f>
        <v>Lyria 24</v>
      </c>
      <c r="B593" s="1" t="str">
        <f>IFERROR(__xludf.DUMMYFUNCTION("""COMPUTED_VALUE"""),"Lyria 29")</f>
        <v>Lyria 29</v>
      </c>
      <c r="C593" s="1" t="str">
        <f>IFERROR(__xludf.DUMMYFUNCTION("""COMPUTED_VALUE"""),"Lyria 17")</f>
        <v>Lyria 17</v>
      </c>
      <c r="D593" s="1" t="str">
        <f>IFERROR(__xludf.DUMMYFUNCTION("""COMPUTED_VALUE"""),"Freelancer Wreck")</f>
        <v>Freelancer Wreck</v>
      </c>
      <c r="E593" s="1" t="str">
        <f>IFERROR(__xludf.DUMMYFUNCTION("""COMPUTED_VALUE"""),"Freelancer")</f>
        <v>Freelancer</v>
      </c>
      <c r="F593" s="2">
        <f>IFERROR(__xludf.DUMMYFUNCTION("""COMPUTED_VALUE"""),169.674689626)</f>
        <v>169.674689626</v>
      </c>
      <c r="G593" s="2">
        <f>IFERROR(__xludf.DUMMYFUNCTION("""COMPUTED_VALUE"""),-95.460451373)</f>
        <v>-95.460451373</v>
      </c>
      <c r="H593" s="2">
        <f>IFERROR(__xludf.DUMMYFUNCTION("""COMPUTED_VALUE"""),-110.856102428)</f>
        <v>-110.856102428</v>
      </c>
      <c r="I593" s="1"/>
      <c r="J593" s="1"/>
      <c r="K593" s="1"/>
      <c r="L593" s="1"/>
      <c r="M593" s="1" t="b">
        <f>IFERROR(__xludf.DUMMYFUNCTION("""COMPUTED_VALUE"""),FALSE)</f>
        <v>0</v>
      </c>
      <c r="N593" s="2">
        <f>IFERROR(__xludf.DUMMYFUNCTION("""COMPUTED_VALUE"""),0)</f>
        <v>0</v>
      </c>
      <c r="O593" s="2">
        <f>IFERROR(__xludf.DUMMYFUNCTION("""COMPUTED_VALUE"""),0)</f>
        <v>0</v>
      </c>
      <c r="P593" s="1"/>
      <c r="Q593" s="1"/>
      <c r="R593" s="1"/>
      <c r="S593" s="1"/>
      <c r="T593" s="1"/>
      <c r="U593" s="1"/>
      <c r="V593" s="1"/>
      <c r="W593" s="1"/>
      <c r="X593" s="1"/>
      <c r="Y593" s="1"/>
      <c r="Z593" s="1"/>
      <c r="AA593" s="1"/>
    </row>
    <row r="594" customHeight="1" spans="1:27">
      <c r="A594" s="1" t="str">
        <f>IFERROR(__xludf.DUMMYFUNCTION("""COMPUTED_VALUE"""),"Lyria 25")</f>
        <v>Lyria 25</v>
      </c>
      <c r="B594" s="1" t="str">
        <f>IFERROR(__xludf.DUMMYFUNCTION("""COMPUTED_VALUE"""),"Lyria 30")</f>
        <v>Lyria 30</v>
      </c>
      <c r="C594" s="1" t="str">
        <f>IFERROR(__xludf.DUMMYFUNCTION("""COMPUTED_VALUE"""),"Lyria 25")</f>
        <v>Lyria 25</v>
      </c>
      <c r="D594" s="1" t="str">
        <f>IFERROR(__xludf.DUMMYFUNCTION("""COMPUTED_VALUE"""),"Starfarer Wreck")</f>
        <v>Starfarer Wreck</v>
      </c>
      <c r="E594" s="1" t="str">
        <f>IFERROR(__xludf.DUMMYFUNCTION("""COMPUTED_VALUE"""),"Starfarer")</f>
        <v>Starfarer</v>
      </c>
      <c r="F594" s="2">
        <f>IFERROR(__xludf.DUMMYFUNCTION("""COMPUTED_VALUE"""),-116.660647553)</f>
        <v>-116.660647553</v>
      </c>
      <c r="G594" s="2">
        <f>IFERROR(__xludf.DUMMYFUNCTION("""COMPUTED_VALUE"""),-189.258857939999)</f>
        <v>-189.258857939999</v>
      </c>
      <c r="H594" s="2">
        <f>IFERROR(__xludf.DUMMYFUNCTION("""COMPUTED_VALUE"""),26.6653083919999)</f>
        <v>26.6653083919999</v>
      </c>
      <c r="I594" s="1"/>
      <c r="J594" s="1"/>
      <c r="K594" s="1"/>
      <c r="L594" s="1"/>
      <c r="M594" s="1" t="b">
        <f>IFERROR(__xludf.DUMMYFUNCTION("""COMPUTED_VALUE"""),FALSE)</f>
        <v>0</v>
      </c>
      <c r="N594" s="2">
        <f>IFERROR(__xludf.DUMMYFUNCTION("""COMPUTED_VALUE"""),0)</f>
        <v>0</v>
      </c>
      <c r="O594" s="2">
        <f>IFERROR(__xludf.DUMMYFUNCTION("""COMPUTED_VALUE"""),0)</f>
        <v>0</v>
      </c>
      <c r="P594" s="1"/>
      <c r="Q594" s="1"/>
      <c r="R594" s="1"/>
      <c r="S594" s="1"/>
      <c r="T594" s="1"/>
      <c r="U594" s="1"/>
      <c r="V594" s="1"/>
      <c r="W594" s="1"/>
      <c r="X594" s="1"/>
      <c r="Y594" s="1"/>
      <c r="Z594" s="1"/>
      <c r="AA594" s="1"/>
    </row>
    <row r="595" customHeight="1" spans="1:27">
      <c r="A595" s="1" t="str">
        <f>IFERROR(__xludf.DUMMYFUNCTION("""COMPUTED_VALUE"""),"Lyria")</f>
        <v>Lyria</v>
      </c>
      <c r="B595" s="1" t="str">
        <f>IFERROR(__xludf.DUMMYFUNCTION("""COMPUTED_VALUE"""),"Lyria 32")</f>
        <v>Lyria 32</v>
      </c>
      <c r="C595" s="1"/>
      <c r="D595" s="1" t="str">
        <f>IFERROR(__xludf.DUMMYFUNCTION("""COMPUTED_VALUE"""),"Comm Array")</f>
        <v>Comm Array</v>
      </c>
      <c r="E595" s="1"/>
      <c r="F595" s="1"/>
      <c r="G595" s="1"/>
      <c r="H595" s="1"/>
      <c r="I595" s="1"/>
      <c r="J595" s="1"/>
      <c r="K595" s="1"/>
      <c r="L595" s="1"/>
      <c r="M595" s="1"/>
      <c r="N595" s="1"/>
      <c r="O595" s="1"/>
      <c r="P595" s="1"/>
      <c r="Q595" s="1"/>
      <c r="R595" s="1"/>
      <c r="S595" s="1"/>
      <c r="T595" s="1"/>
      <c r="U595" s="1"/>
      <c r="V595" s="1"/>
      <c r="W595" s="1"/>
      <c r="X595" s="1"/>
      <c r="Y595" s="1"/>
      <c r="Z595" s="1"/>
      <c r="AA595" s="1"/>
    </row>
    <row r="596" customHeight="1" spans="1:27">
      <c r="A596" s="1" t="str">
        <f>IFERROR(__xludf.DUMMYFUNCTION("""COMPUTED_VALUE"""),"Lyria 19")</f>
        <v>Lyria 19</v>
      </c>
      <c r="B596" s="1" t="str">
        <f>IFERROR(__xludf.DUMMYFUNCTION("""COMPUTED_VALUE"""),"Lyria 33")</f>
        <v>Lyria 33</v>
      </c>
      <c r="C596" s="1" t="str">
        <f>IFERROR(__xludf.DUMMYFUNCTION("""COMPUTED_VALUE"""),"Lyria 02")</f>
        <v>Lyria 02</v>
      </c>
      <c r="D596" s="1" t="str">
        <f>IFERROR(__xludf.DUMMYFUNCTION("""COMPUTED_VALUE"""),"Comm Array ST3-18")</f>
        <v>Comm Array ST3-18</v>
      </c>
      <c r="E596" s="30" t="str">
        <f>IFERROR(__xludf.DUMMYFUNCTION("""COMPUTED_VALUE"""),"ST3-18")</f>
        <v>ST3-18</v>
      </c>
      <c r="F596" s="10">
        <f>IFERROR(__xludf.DUMMYFUNCTION("""COMPUTED_VALUE"""),-382.727018798828)</f>
        <v>-382.727018798828</v>
      </c>
      <c r="G596" s="10">
        <f>IFERROR(__xludf.DUMMYFUNCTION("""COMPUTED_VALUE"""),33.033828601837)</f>
        <v>33.033828601837</v>
      </c>
      <c r="H596" s="10">
        <f>IFERROR(__xludf.DUMMYFUNCTION("""COMPUTED_VALUE"""),24)</f>
        <v>24</v>
      </c>
      <c r="I596" s="13"/>
      <c r="J596" s="13"/>
      <c r="K596" s="13"/>
      <c r="L596" s="13"/>
      <c r="M596" s="1" t="b">
        <f>IFERROR(__xludf.DUMMYFUNCTION("""COMPUTED_VALUE"""),TRUE)</f>
        <v>1</v>
      </c>
      <c r="N596" s="10">
        <f>IFERROR(__xludf.DUMMYFUNCTION("""COMPUTED_VALUE"""),0)</f>
        <v>0</v>
      </c>
      <c r="O596" s="10">
        <f>IFERROR(__xludf.DUMMYFUNCTION("""COMPUTED_VALUE"""),0)</f>
        <v>0</v>
      </c>
      <c r="P596" s="10"/>
      <c r="Q596" s="30"/>
      <c r="R596" s="18"/>
      <c r="S596" s="19"/>
      <c r="T596" s="10"/>
      <c r="U596" s="10"/>
      <c r="V596" s="10"/>
      <c r="W596" s="10"/>
      <c r="X596" s="19"/>
      <c r="Y596" s="1"/>
      <c r="Z596" s="1"/>
      <c r="AA596" s="1"/>
    </row>
    <row r="597" customHeight="1" spans="1:27">
      <c r="A597" s="1"/>
      <c r="B597" s="1"/>
      <c r="C597" s="1"/>
      <c r="D597" s="1"/>
      <c r="E597" s="30"/>
      <c r="F597" s="10"/>
      <c r="G597" s="10"/>
      <c r="H597" s="10"/>
      <c r="I597" s="13"/>
      <c r="J597" s="13"/>
      <c r="K597" s="13"/>
      <c r="L597" s="13"/>
      <c r="M597" s="1"/>
      <c r="N597" s="10"/>
      <c r="O597" s="10"/>
      <c r="P597" s="10"/>
      <c r="Q597" s="30"/>
      <c r="R597" s="18"/>
      <c r="S597" s="19"/>
      <c r="T597" s="10"/>
      <c r="U597" s="10"/>
      <c r="V597" s="10"/>
      <c r="W597" s="10"/>
      <c r="X597" s="19"/>
      <c r="Y597" s="1"/>
      <c r="Z597" s="1"/>
      <c r="AA597" s="1"/>
    </row>
    <row r="598" customHeight="1" spans="1:27">
      <c r="A598" s="1" t="str">
        <f>IFERROR(__xludf.DUMMYFUNCTION("""COMPUTED_VALUE"""),"Magda R01")</f>
        <v>Magda R01</v>
      </c>
      <c r="B598" s="1" t="str">
        <f>IFERROR(__xludf.DUMMYFUNCTION("""COMPUTED_VALUE"""),"Magda 63")</f>
        <v>Magda 63</v>
      </c>
      <c r="C598" s="1"/>
      <c r="D598" s="1" t="str">
        <f>IFERROR(__xludf.DUMMYFUNCTION("""COMPUTED_VALUE"""),"OM-1")</f>
        <v>OM-1</v>
      </c>
      <c r="E598" s="30" t="str">
        <f>IFERROR(__xludf.DUMMYFUNCTION("""COMPUTED_VALUE"""),"OM1")</f>
        <v>OM1</v>
      </c>
      <c r="F598" s="10">
        <f>IFERROR(__xludf.DUMMYFUNCTION("""COMPUTED_VALUE"""),0)</f>
        <v>0</v>
      </c>
      <c r="G598" s="10">
        <f>IFERROR(__xludf.DUMMYFUNCTION("""COMPUTED_VALUE"""),0)</f>
        <v>0</v>
      </c>
      <c r="H598" s="10">
        <f>IFERROR(__xludf.DUMMYFUNCTION("""COMPUTED_VALUE"""),494.84)</f>
        <v>494.84</v>
      </c>
      <c r="I598" s="13"/>
      <c r="J598" s="13"/>
      <c r="K598" s="13"/>
      <c r="L598" s="13"/>
      <c r="M598" s="1" t="b">
        <f>IFERROR(__xludf.DUMMYFUNCTION("""COMPUTED_VALUE"""),TRUE)</f>
        <v>1</v>
      </c>
      <c r="N598" s="10">
        <f>IFERROR(__xludf.DUMMYFUNCTION("""COMPUTED_VALUE"""),0)</f>
        <v>0</v>
      </c>
      <c r="O598" s="10">
        <f>IFERROR(__xludf.DUMMYFUNCTION("""COMPUTED_VALUE"""),0)</f>
        <v>0</v>
      </c>
      <c r="P598" s="10"/>
      <c r="Q598" s="30"/>
      <c r="R598" s="18"/>
      <c r="S598" s="19"/>
      <c r="T598" s="10"/>
      <c r="U598" s="10"/>
      <c r="V598" s="10"/>
      <c r="W598" s="10"/>
      <c r="X598" s="19"/>
      <c r="Y598" s="1"/>
      <c r="Z598" s="1"/>
      <c r="AA598" s="1"/>
    </row>
    <row r="599" customHeight="1" spans="1:27">
      <c r="A599" s="1" t="str">
        <f>IFERROR(__xludf.DUMMYFUNCTION("""COMPUTED_VALUE"""),"Magda R02")</f>
        <v>Magda R02</v>
      </c>
      <c r="B599" s="1" t="str">
        <f>IFERROR(__xludf.DUMMYFUNCTION("""COMPUTED_VALUE"""),"Magda 64")</f>
        <v>Magda 64</v>
      </c>
      <c r="C599" s="1"/>
      <c r="D599" s="1" t="str">
        <f>IFERROR(__xludf.DUMMYFUNCTION("""COMPUTED_VALUE"""),"OM-2")</f>
        <v>OM-2</v>
      </c>
      <c r="E599" s="30" t="str">
        <f>IFERROR(__xludf.DUMMYFUNCTION("""COMPUTED_VALUE"""),"OM2")</f>
        <v>OM2</v>
      </c>
      <c r="F599" s="10">
        <f>IFERROR(__xludf.DUMMYFUNCTION("""COMPUTED_VALUE"""),0)</f>
        <v>0</v>
      </c>
      <c r="G599" s="10">
        <f>IFERROR(__xludf.DUMMYFUNCTION("""COMPUTED_VALUE"""),0)</f>
        <v>0</v>
      </c>
      <c r="H599" s="10">
        <f>IFERROR(__xludf.DUMMYFUNCTION("""COMPUTED_VALUE"""),-494.84)</f>
        <v>-494.84</v>
      </c>
      <c r="I599" s="13"/>
      <c r="J599" s="13"/>
      <c r="K599" s="13"/>
      <c r="L599" s="13"/>
      <c r="M599" s="1" t="b">
        <f>IFERROR(__xludf.DUMMYFUNCTION("""COMPUTED_VALUE"""),TRUE)</f>
        <v>1</v>
      </c>
      <c r="N599" s="10">
        <f>IFERROR(__xludf.DUMMYFUNCTION("""COMPUTED_VALUE"""),0)</f>
        <v>0</v>
      </c>
      <c r="O599" s="10">
        <f>IFERROR(__xludf.DUMMYFUNCTION("""COMPUTED_VALUE"""),0)</f>
        <v>0</v>
      </c>
      <c r="P599" s="10"/>
      <c r="Q599" s="30"/>
      <c r="R599" s="18"/>
      <c r="S599" s="19"/>
      <c r="T599" s="10"/>
      <c r="U599" s="10"/>
      <c r="V599" s="10"/>
      <c r="W599" s="10"/>
      <c r="X599" s="19"/>
      <c r="Y599" s="1"/>
      <c r="Z599" s="1"/>
      <c r="AA599" s="1"/>
    </row>
    <row r="600" customHeight="1" spans="1:27">
      <c r="A600" s="1" t="str">
        <f>IFERROR(__xludf.DUMMYFUNCTION("""COMPUTED_VALUE"""),"Magda R03")</f>
        <v>Magda R03</v>
      </c>
      <c r="B600" s="1" t="str">
        <f>IFERROR(__xludf.DUMMYFUNCTION("""COMPUTED_VALUE"""),"Magda 65")</f>
        <v>Magda 65</v>
      </c>
      <c r="C600" s="1" t="str">
        <f>IFERROR(__xludf.DUMMYFUNCTION("""COMPUTED_VALUE"""),"Magda 18")</f>
        <v>Magda 18</v>
      </c>
      <c r="D600" s="1" t="str">
        <f>IFERROR(__xludf.DUMMYFUNCTION("""COMPUTED_VALUE"""),"OM-3")</f>
        <v>OM-3</v>
      </c>
      <c r="E600" s="30" t="str">
        <f>IFERROR(__xludf.DUMMYFUNCTION("""COMPUTED_VALUE"""),"OM3")</f>
        <v>OM3</v>
      </c>
      <c r="F600" s="10">
        <f>IFERROR(__xludf.DUMMYFUNCTION("""COMPUTED_VALUE"""),0)</f>
        <v>0</v>
      </c>
      <c r="G600" s="10">
        <f>IFERROR(__xludf.DUMMYFUNCTION("""COMPUTED_VALUE"""),494.84)</f>
        <v>494.84</v>
      </c>
      <c r="H600" s="10">
        <f>IFERROR(__xludf.DUMMYFUNCTION("""COMPUTED_VALUE"""),0)</f>
        <v>0</v>
      </c>
      <c r="I600" s="13"/>
      <c r="J600" s="13"/>
      <c r="K600" s="13"/>
      <c r="L600" s="13"/>
      <c r="M600" s="1" t="b">
        <f>IFERROR(__xludf.DUMMYFUNCTION("""COMPUTED_VALUE"""),TRUE)</f>
        <v>1</v>
      </c>
      <c r="N600" s="10">
        <f>IFERROR(__xludf.DUMMYFUNCTION("""COMPUTED_VALUE"""),0)</f>
        <v>0</v>
      </c>
      <c r="O600" s="10">
        <f>IFERROR(__xludf.DUMMYFUNCTION("""COMPUTED_VALUE"""),0)</f>
        <v>0</v>
      </c>
      <c r="P600" s="10"/>
      <c r="Q600" s="30"/>
      <c r="R600" s="18"/>
      <c r="S600" s="19"/>
      <c r="T600" s="10"/>
      <c r="U600" s="10"/>
      <c r="V600" s="10"/>
      <c r="W600" s="10"/>
      <c r="X600" s="19"/>
      <c r="Y600" s="1"/>
      <c r="Z600" s="1"/>
      <c r="AA600" s="1"/>
    </row>
    <row r="601" customHeight="1" spans="1:27">
      <c r="A601" s="1" t="str">
        <f>IFERROR(__xludf.DUMMYFUNCTION("""COMPUTED_VALUE"""),"Magda R04")</f>
        <v>Magda R04</v>
      </c>
      <c r="B601" s="1" t="str">
        <f>IFERROR(__xludf.DUMMYFUNCTION("""COMPUTED_VALUE"""),"Magda 66")</f>
        <v>Magda 66</v>
      </c>
      <c r="C601" s="1" t="str">
        <f>IFERROR(__xludf.DUMMYFUNCTION("""COMPUTED_VALUE"""),"Magda 44")</f>
        <v>Magda 44</v>
      </c>
      <c r="D601" s="1" t="str">
        <f>IFERROR(__xludf.DUMMYFUNCTION("""COMPUTED_VALUE"""),"OM-4")</f>
        <v>OM-4</v>
      </c>
      <c r="E601" s="30" t="str">
        <f>IFERROR(__xludf.DUMMYFUNCTION("""COMPUTED_VALUE"""),"OM4")</f>
        <v>OM4</v>
      </c>
      <c r="F601" s="10">
        <f>IFERROR(__xludf.DUMMYFUNCTION("""COMPUTED_VALUE"""),0)</f>
        <v>0</v>
      </c>
      <c r="G601" s="10">
        <f>IFERROR(__xludf.DUMMYFUNCTION("""COMPUTED_VALUE"""),-494.84)</f>
        <v>-494.84</v>
      </c>
      <c r="H601" s="10">
        <f>IFERROR(__xludf.DUMMYFUNCTION("""COMPUTED_VALUE"""),0)</f>
        <v>0</v>
      </c>
      <c r="I601" s="13"/>
      <c r="J601" s="13"/>
      <c r="K601" s="13"/>
      <c r="L601" s="13"/>
      <c r="M601" s="1" t="b">
        <f>IFERROR(__xludf.DUMMYFUNCTION("""COMPUTED_VALUE"""),TRUE)</f>
        <v>1</v>
      </c>
      <c r="N601" s="10">
        <f>IFERROR(__xludf.DUMMYFUNCTION("""COMPUTED_VALUE"""),0)</f>
        <v>0</v>
      </c>
      <c r="O601" s="10">
        <f>IFERROR(__xludf.DUMMYFUNCTION("""COMPUTED_VALUE"""),0)</f>
        <v>0</v>
      </c>
      <c r="P601" s="10"/>
      <c r="Q601" s="30"/>
      <c r="R601" s="18"/>
      <c r="S601" s="19"/>
      <c r="T601" s="10"/>
      <c r="U601" s="10"/>
      <c r="V601" s="10"/>
      <c r="W601" s="10"/>
      <c r="X601" s="19"/>
      <c r="Y601" s="1"/>
      <c r="Z601" s="1"/>
      <c r="AA601" s="1"/>
    </row>
    <row r="602" customHeight="1" spans="1:27">
      <c r="A602" s="1" t="str">
        <f>IFERROR(__xludf.DUMMYFUNCTION("""COMPUTED_VALUE"""),"Magda R05")</f>
        <v>Magda R05</v>
      </c>
      <c r="B602" s="1" t="str">
        <f>IFERROR(__xludf.DUMMYFUNCTION("""COMPUTED_VALUE"""),"Magda 67")</f>
        <v>Magda 67</v>
      </c>
      <c r="C602" s="1" t="str">
        <f>IFERROR(__xludf.DUMMYFUNCTION("""COMPUTED_VALUE"""),"Magda 31")</f>
        <v>Magda 31</v>
      </c>
      <c r="D602" s="1" t="str">
        <f>IFERROR(__xludf.DUMMYFUNCTION("""COMPUTED_VALUE"""),"OM-5")</f>
        <v>OM-5</v>
      </c>
      <c r="E602" s="30" t="str">
        <f>IFERROR(__xludf.DUMMYFUNCTION("""COMPUTED_VALUE"""),"OM5")</f>
        <v>OM5</v>
      </c>
      <c r="F602" s="10">
        <f>IFERROR(__xludf.DUMMYFUNCTION("""COMPUTED_VALUE"""),494.84)</f>
        <v>494.84</v>
      </c>
      <c r="G602" s="10">
        <f>IFERROR(__xludf.DUMMYFUNCTION("""COMPUTED_VALUE"""),0)</f>
        <v>0</v>
      </c>
      <c r="H602" s="10">
        <f>IFERROR(__xludf.DUMMYFUNCTION("""COMPUTED_VALUE"""),0)</f>
        <v>0</v>
      </c>
      <c r="I602" s="13"/>
      <c r="J602" s="13"/>
      <c r="K602" s="13"/>
      <c r="L602" s="13"/>
      <c r="M602" s="1" t="b">
        <f>IFERROR(__xludf.DUMMYFUNCTION("""COMPUTED_VALUE"""),TRUE)</f>
        <v>1</v>
      </c>
      <c r="N602" s="10">
        <f>IFERROR(__xludf.DUMMYFUNCTION("""COMPUTED_VALUE"""),0)</f>
        <v>0</v>
      </c>
      <c r="O602" s="10">
        <f>IFERROR(__xludf.DUMMYFUNCTION("""COMPUTED_VALUE"""),0)</f>
        <v>0</v>
      </c>
      <c r="P602" s="10"/>
      <c r="Q602" s="30"/>
      <c r="R602" s="18"/>
      <c r="S602" s="19"/>
      <c r="T602" s="10"/>
      <c r="U602" s="10"/>
      <c r="V602" s="10"/>
      <c r="W602" s="10"/>
      <c r="X602" s="19"/>
      <c r="Y602" s="1"/>
      <c r="Z602" s="1"/>
      <c r="AA602" s="1"/>
    </row>
    <row r="603" customHeight="1" spans="1:27">
      <c r="A603" s="1" t="str">
        <f>IFERROR(__xludf.DUMMYFUNCTION("""COMPUTED_VALUE"""),"Magda R06")</f>
        <v>Magda R06</v>
      </c>
      <c r="B603" s="1" t="str">
        <f>IFERROR(__xludf.DUMMYFUNCTION("""COMPUTED_VALUE"""),"Magda 68")</f>
        <v>Magda 68</v>
      </c>
      <c r="C603" s="1" t="str">
        <f>IFERROR(__xludf.DUMMYFUNCTION("""COMPUTED_VALUE"""),"Magda 55")</f>
        <v>Magda 55</v>
      </c>
      <c r="D603" s="1" t="str">
        <f>IFERROR(__xludf.DUMMYFUNCTION("""COMPUTED_VALUE"""),"OM-6")</f>
        <v>OM-6</v>
      </c>
      <c r="E603" s="30" t="str">
        <f>IFERROR(__xludf.DUMMYFUNCTION("""COMPUTED_VALUE"""),"OM6")</f>
        <v>OM6</v>
      </c>
      <c r="F603" s="10">
        <f>IFERROR(__xludf.DUMMYFUNCTION("""COMPUTED_VALUE"""),-494.84)</f>
        <v>-494.84</v>
      </c>
      <c r="G603" s="10">
        <f>IFERROR(__xludf.DUMMYFUNCTION("""COMPUTED_VALUE"""),0)</f>
        <v>0</v>
      </c>
      <c r="H603" s="10">
        <f>IFERROR(__xludf.DUMMYFUNCTION("""COMPUTED_VALUE"""),0)</f>
        <v>0</v>
      </c>
      <c r="I603" s="13"/>
      <c r="J603" s="13"/>
      <c r="K603" s="13"/>
      <c r="L603" s="13"/>
      <c r="M603" s="1" t="b">
        <f>IFERROR(__xludf.DUMMYFUNCTION("""COMPUTED_VALUE"""),TRUE)</f>
        <v>1</v>
      </c>
      <c r="N603" s="10">
        <f>IFERROR(__xludf.DUMMYFUNCTION("""COMPUTED_VALUE"""),0)</f>
        <v>0</v>
      </c>
      <c r="O603" s="10">
        <f>IFERROR(__xludf.DUMMYFUNCTION("""COMPUTED_VALUE"""),0)</f>
        <v>0</v>
      </c>
      <c r="P603" s="10"/>
      <c r="Q603" s="30"/>
      <c r="R603" s="18"/>
      <c r="S603" s="19"/>
      <c r="T603" s="10"/>
      <c r="U603" s="10"/>
      <c r="V603" s="10"/>
      <c r="W603" s="10"/>
      <c r="X603" s="19"/>
      <c r="Y603" s="1"/>
      <c r="Z603" s="1"/>
      <c r="AA603" s="1"/>
    </row>
    <row r="604" customHeight="1" spans="1:27">
      <c r="A604" s="1" t="str">
        <f>IFERROR(__xludf.DUMMYFUNCTION("""COMPUTED_VALUE"""),"Magda")</f>
        <v>Magda</v>
      </c>
      <c r="B604" s="1" t="str">
        <f>IFERROR(__xludf.DUMMYFUNCTION("""COMPUTED_VALUE"""),"Magda 00")</f>
        <v>Magda 00</v>
      </c>
      <c r="C604" s="1"/>
      <c r="D604" s="1" t="str">
        <f>IFERROR(__xludf.DUMMYFUNCTION("""COMPUTED_VALUE"""),"Trading Terminals")</f>
        <v>Trading Terminals</v>
      </c>
      <c r="E604" s="30"/>
      <c r="F604" s="10"/>
      <c r="G604" s="10"/>
      <c r="H604" s="10"/>
      <c r="I604" s="13"/>
      <c r="J604" s="13"/>
      <c r="K604" s="13"/>
      <c r="L604" s="13"/>
      <c r="M604" s="1"/>
      <c r="N604" s="10"/>
      <c r="O604" s="10"/>
      <c r="P604" s="10"/>
      <c r="Q604" s="30"/>
      <c r="R604" s="18"/>
      <c r="S604" s="19"/>
      <c r="T604" s="10"/>
      <c r="U604" s="10"/>
      <c r="V604" s="10"/>
      <c r="W604" s="10"/>
      <c r="X604" s="19"/>
      <c r="Y604" s="1"/>
      <c r="Z604" s="1"/>
      <c r="AA604" s="1"/>
    </row>
    <row r="605" customHeight="1" spans="1:27">
      <c r="A605" s="1" t="str">
        <f>IFERROR(__xludf.DUMMYFUNCTION("""COMPUTED_VALUE"""),"Magda 01")</f>
        <v>Magda 01</v>
      </c>
      <c r="B605" s="1" t="str">
        <f>IFERROR(__xludf.DUMMYFUNCTION("""COMPUTED_VALUE"""),"Magda 01")</f>
        <v>Magda 01</v>
      </c>
      <c r="C605" s="1" t="str">
        <f>IFERROR(__xludf.DUMMYFUNCTION("""COMPUTED_VALUE"""),"Magda 46")</f>
        <v>Magda 46</v>
      </c>
      <c r="D605" s="1" t="str">
        <f>IFERROR(__xludf.DUMMYFUNCTION("""COMPUTED_VALUE"""),"HDMS Hahn (PB)")</f>
        <v>HDMS Hahn (PB)</v>
      </c>
      <c r="E605" s="30" t="str">
        <f>IFERROR(__xludf.DUMMYFUNCTION("""COMPUTED_VALUE"""),"Hahn")</f>
        <v>Hahn</v>
      </c>
      <c r="F605" s="10">
        <f>IFERROR(__xludf.DUMMYFUNCTION("""COMPUTED_VALUE"""),-147.383641324)</f>
        <v>-147.383641324</v>
      </c>
      <c r="G605" s="10">
        <f>IFERROR(__xludf.DUMMYFUNCTION("""COMPUTED_VALUE"""),-292.216501385)</f>
        <v>-292.216501385</v>
      </c>
      <c r="H605" s="10">
        <f>IFERROR(__xludf.DUMMYFUNCTION("""COMPUTED_VALUE"""),95.247266076)</f>
        <v>95.247266076</v>
      </c>
      <c r="I605" s="13"/>
      <c r="J605" s="13"/>
      <c r="K605" s="13"/>
      <c r="L605" s="13"/>
      <c r="M605" s="1" t="b">
        <f>IFERROR(__xludf.DUMMYFUNCTION("""COMPUTED_VALUE"""),TRUE)</f>
        <v>1</v>
      </c>
      <c r="N605" s="10">
        <f>IFERROR(__xludf.DUMMYFUNCTION("""COMPUTED_VALUE"""),0)</f>
        <v>0</v>
      </c>
      <c r="O605" s="10">
        <f>IFERROR(__xludf.DUMMYFUNCTION("""COMPUTED_VALUE"""),0)</f>
        <v>0</v>
      </c>
      <c r="P605" s="10"/>
      <c r="Q605" s="30"/>
      <c r="R605" s="18"/>
      <c r="S605" s="19"/>
      <c r="T605" s="10"/>
      <c r="U605" s="10"/>
      <c r="V605" s="10"/>
      <c r="W605" s="10"/>
      <c r="X605" s="19"/>
      <c r="Y605" s="1"/>
      <c r="Z605" s="1"/>
      <c r="AA605" s="1"/>
    </row>
    <row r="606" customHeight="1" spans="1:27">
      <c r="A606" s="1" t="str">
        <f>IFERROR(__xludf.DUMMYFUNCTION("""COMPUTED_VALUE"""),"Magda 02")</f>
        <v>Magda 02</v>
      </c>
      <c r="B606" s="1" t="str">
        <f>IFERROR(__xludf.DUMMYFUNCTION("""COMPUTED_VALUE"""),"Magda 02")</f>
        <v>Magda 02</v>
      </c>
      <c r="C606" s="1" t="str">
        <f>IFERROR(__xludf.DUMMYFUNCTION("""COMPUTED_VALUE"""),"Magda 13")</f>
        <v>Magda 13</v>
      </c>
      <c r="D606" s="1" t="str">
        <f>IFERROR(__xludf.DUMMYFUNCTION("""COMPUTED_VALUE"""),"HDMS Perlman (PB)")</f>
        <v>HDMS Perlman (PB)</v>
      </c>
      <c r="E606" s="30" t="str">
        <f>IFERROR(__xludf.DUMMYFUNCTION("""COMPUTED_VALUE"""),"Perlman")</f>
        <v>Perlman</v>
      </c>
      <c r="F606" s="10">
        <f>IFERROR(__xludf.DUMMYFUNCTION("""COMPUTED_VALUE"""),-140.696033869)</f>
        <v>-140.696033869</v>
      </c>
      <c r="G606" s="10">
        <f>IFERROR(__xludf.DUMMYFUNCTION("""COMPUTED_VALUE"""),287.921599109)</f>
        <v>287.921599109</v>
      </c>
      <c r="H606" s="10">
        <f>IFERROR(__xludf.DUMMYFUNCTION("""COMPUTED_VALUE"""),-116.687783421999)</f>
        <v>-116.687783421999</v>
      </c>
      <c r="I606" s="13"/>
      <c r="J606" s="13"/>
      <c r="K606" s="13"/>
      <c r="L606" s="13"/>
      <c r="M606" s="1" t="b">
        <f>IFERROR(__xludf.DUMMYFUNCTION("""COMPUTED_VALUE"""),TRUE)</f>
        <v>1</v>
      </c>
      <c r="N606" s="10">
        <f>IFERROR(__xludf.DUMMYFUNCTION("""COMPUTED_VALUE"""),0)</f>
        <v>0</v>
      </c>
      <c r="O606" s="10">
        <f>IFERROR(__xludf.DUMMYFUNCTION("""COMPUTED_VALUE"""),0)</f>
        <v>0</v>
      </c>
      <c r="P606" s="10"/>
      <c r="Q606" s="30"/>
      <c r="R606" s="18"/>
      <c r="S606" s="19"/>
      <c r="T606" s="10"/>
      <c r="U606" s="10"/>
      <c r="V606" s="10"/>
      <c r="W606" s="10"/>
      <c r="X606" s="19"/>
      <c r="Y606" s="1"/>
      <c r="Z606" s="1"/>
      <c r="AA606" s="1"/>
    </row>
    <row r="607" customHeight="1" spans="1:27">
      <c r="A607" s="1" t="str">
        <f>IFERROR(__xludf.DUMMYFUNCTION("""COMPUTED_VALUE"""),"Magda")</f>
        <v>Magda</v>
      </c>
      <c r="B607" s="1" t="str">
        <f>IFERROR(__xludf.DUMMYFUNCTION("""COMPUTED_VALUE"""),"Magda 04")</f>
        <v>Magda 04</v>
      </c>
      <c r="C607" s="1"/>
      <c r="D607" s="1" t="str">
        <f>IFERROR(__xludf.DUMMYFUNCTION("""COMPUTED_VALUE"""),"Settlements")</f>
        <v>Settlements</v>
      </c>
      <c r="E607" s="30"/>
      <c r="F607" s="10"/>
      <c r="G607" s="10"/>
      <c r="H607" s="10"/>
      <c r="I607" s="13"/>
      <c r="J607" s="13"/>
      <c r="K607" s="13"/>
      <c r="L607" s="13"/>
      <c r="M607" s="1"/>
      <c r="N607" s="10"/>
      <c r="O607" s="10"/>
      <c r="P607" s="10"/>
      <c r="Q607" s="30"/>
      <c r="R607" s="18"/>
      <c r="S607" s="19"/>
      <c r="T607" s="10"/>
      <c r="U607" s="10"/>
      <c r="V607" s="10"/>
      <c r="W607" s="10"/>
      <c r="X607" s="19"/>
      <c r="Y607" s="1"/>
      <c r="Z607" s="1"/>
      <c r="AA607" s="1"/>
    </row>
    <row r="608" customHeight="1" spans="1:27">
      <c r="A608" s="1" t="str">
        <f>IFERROR(__xludf.DUMMYFUNCTION("""COMPUTED_VALUE"""),"Magda 04")</f>
        <v>Magda 04</v>
      </c>
      <c r="B608" s="1" t="str">
        <f>IFERROR(__xludf.DUMMYFUNCTION("""COMPUTED_VALUE"""),"Magda 05")</f>
        <v>Magda 05</v>
      </c>
      <c r="C608" s="1" t="str">
        <f>IFERROR(__xludf.DUMMYFUNCTION("""COMPUTED_VALUE"""),"Magda 20")</f>
        <v>Magda 20</v>
      </c>
      <c r="D608" s="1" t="str">
        <f>IFERROR(__xludf.DUMMYFUNCTION("""COMPUTED_VALUE"""),"Magda Settlement")</f>
        <v>Magda Settlement</v>
      </c>
      <c r="E608" s="30" t="str">
        <f>IFERROR(__xludf.DUMMYFUNCTION("""COMPUTED_VALUE"""),"Settlement 1c")</f>
        <v>Settlement 1c</v>
      </c>
      <c r="F608" s="10">
        <f>IFERROR(__xludf.DUMMYFUNCTION("""COMPUTED_VALUE"""),22.373402706)</f>
        <v>22.373402706</v>
      </c>
      <c r="G608" s="10">
        <f>IFERROR(__xludf.DUMMYFUNCTION("""COMPUTED_VALUE"""),337.901110561)</f>
        <v>337.901110561</v>
      </c>
      <c r="H608" s="10">
        <f>IFERROR(__xludf.DUMMYFUNCTION("""COMPUTED_VALUE"""),39.720884478)</f>
        <v>39.720884478</v>
      </c>
      <c r="I608" s="13"/>
      <c r="J608" s="13"/>
      <c r="K608" s="13"/>
      <c r="L608" s="13"/>
      <c r="M608" s="1" t="b">
        <f>IFERROR(__xludf.DUMMYFUNCTION("""COMPUTED_VALUE"""),FALSE)</f>
        <v>0</v>
      </c>
      <c r="N608" s="10">
        <f>IFERROR(__xludf.DUMMYFUNCTION("""COMPUTED_VALUE"""),0)</f>
        <v>0</v>
      </c>
      <c r="O608" s="10">
        <f>IFERROR(__xludf.DUMMYFUNCTION("""COMPUTED_VALUE"""),0)</f>
        <v>0</v>
      </c>
      <c r="P608" s="10"/>
      <c r="Q608" s="30"/>
      <c r="R608" s="18"/>
      <c r="S608" s="19"/>
      <c r="T608" s="10"/>
      <c r="U608" s="10"/>
      <c r="V608" s="10"/>
      <c r="W608" s="10"/>
      <c r="X608" s="19"/>
      <c r="Y608" s="1"/>
      <c r="Z608" s="1"/>
      <c r="AA608" s="1"/>
    </row>
    <row r="609" customHeight="1" spans="1:27">
      <c r="A609" s="1" t="str">
        <f>IFERROR(__xludf.DUMMYFUNCTION("""COMPUTED_VALUE"""),"Magda")</f>
        <v>Magda</v>
      </c>
      <c r="B609" s="1" t="str">
        <f>IFERROR(__xludf.DUMMYFUNCTION("""COMPUTED_VALUE"""),"Magda 07")</f>
        <v>Magda 07</v>
      </c>
      <c r="C609" s="1"/>
      <c r="D609" s="1" t="str">
        <f>IFERROR(__xludf.DUMMYFUNCTION("""COMPUTED_VALUE"""),"Caves")</f>
        <v>Caves</v>
      </c>
      <c r="E609" s="30"/>
      <c r="F609" s="10"/>
      <c r="G609" s="10"/>
      <c r="H609" s="10"/>
      <c r="I609" s="13"/>
      <c r="J609" s="13"/>
      <c r="K609" s="13"/>
      <c r="L609" s="13"/>
      <c r="M609" s="1"/>
      <c r="N609" s="10"/>
      <c r="O609" s="10"/>
      <c r="P609" s="10"/>
      <c r="Q609" s="30"/>
      <c r="R609" s="18"/>
      <c r="S609" s="19"/>
      <c r="T609" s="10"/>
      <c r="U609" s="10"/>
      <c r="V609" s="10"/>
      <c r="W609" s="10"/>
      <c r="X609" s="19"/>
      <c r="Y609" s="1"/>
      <c r="Z609" s="1"/>
      <c r="AA609" s="1"/>
    </row>
    <row r="610" customHeight="1" spans="1:27">
      <c r="A610" s="1" t="str">
        <f>IFERROR(__xludf.DUMMYFUNCTION("""COMPUTED_VALUE"""),"Magda 30")</f>
        <v>Magda 30</v>
      </c>
      <c r="B610" s="1" t="str">
        <f>IFERROR(__xludf.DUMMYFUNCTION("""COMPUTED_VALUE"""),"Magda 33")</f>
        <v>Magda 33</v>
      </c>
      <c r="C610" s="1" t="str">
        <f>IFERROR(__xludf.DUMMYFUNCTION("""COMPUTED_VALUE"""),"Magda 19")</f>
        <v>Magda 19</v>
      </c>
      <c r="D610" s="1" t="str">
        <f>IFERROR(__xludf.DUMMYFUNCTION("""COMPUTED_VALUE"""),"Sand Cave 45P")</f>
        <v>Sand Cave 45P</v>
      </c>
      <c r="E610" s="30" t="str">
        <f>IFERROR(__xludf.DUMMYFUNCTION("""COMPUTED_VALUE"""),"SCave 45P")</f>
        <v>SCave 45P</v>
      </c>
      <c r="F610" s="10">
        <f>IFERROR(__xludf.DUMMYFUNCTION("""COMPUTED_VALUE"""),17.111166458)</f>
        <v>17.111166458</v>
      </c>
      <c r="G610" s="10">
        <f>IFERROR(__xludf.DUMMYFUNCTION("""COMPUTED_VALUE"""),329.933334441)</f>
        <v>329.933334441</v>
      </c>
      <c r="H610" s="10">
        <f>IFERROR(__xludf.DUMMYFUNCTION("""COMPUTED_VALUE"""),85.0865906149999)</f>
        <v>85.0865906149999</v>
      </c>
      <c r="I610" s="13"/>
      <c r="J610" s="13"/>
      <c r="K610" s="13"/>
      <c r="L610" s="13"/>
      <c r="M610" s="1" t="b">
        <f>IFERROR(__xludf.DUMMYFUNCTION("""COMPUTED_VALUE"""),FALSE)</f>
        <v>0</v>
      </c>
      <c r="N610" s="10">
        <f>IFERROR(__xludf.DUMMYFUNCTION("""COMPUTED_VALUE"""),0)</f>
        <v>0</v>
      </c>
      <c r="O610" s="10">
        <f>IFERROR(__xludf.DUMMYFUNCTION("""COMPUTED_VALUE"""),0)</f>
        <v>0</v>
      </c>
      <c r="P610" s="10"/>
      <c r="Q610" s="30"/>
      <c r="R610" s="18"/>
      <c r="S610" s="19"/>
      <c r="T610" s="10"/>
      <c r="U610" s="10"/>
      <c r="V610" s="10"/>
      <c r="W610" s="10"/>
      <c r="X610" s="19"/>
      <c r="Y610" s="1"/>
      <c r="Z610" s="1"/>
      <c r="AA610" s="1"/>
    </row>
    <row r="611" customHeight="1" spans="1:27">
      <c r="A611" s="1" t="str">
        <f>IFERROR(__xludf.DUMMYFUNCTION("""COMPUTED_VALUE"""),"Magda 29")</f>
        <v>Magda 29</v>
      </c>
      <c r="B611" s="1" t="str">
        <f>IFERROR(__xludf.DUMMYFUNCTION("""COMPUTED_VALUE"""),"Magda 32")</f>
        <v>Magda 32</v>
      </c>
      <c r="C611" s="1" t="str">
        <f>IFERROR(__xludf.DUMMYFUNCTION("""COMPUTED_VALUE"""),"Magda 21")</f>
        <v>Magda 21</v>
      </c>
      <c r="D611" s="1" t="str">
        <f>IFERROR(__xludf.DUMMYFUNCTION("""COMPUTED_VALUE"""),"Sand Cave 44Q")</f>
        <v>Sand Cave 44Q</v>
      </c>
      <c r="E611" s="30" t="str">
        <f>IFERROR(__xludf.DUMMYFUNCTION("""COMPUTED_VALUE"""),"SCave 44Q")</f>
        <v>SCave 44Q</v>
      </c>
      <c r="F611" s="10">
        <f>IFERROR(__xludf.DUMMYFUNCTION("""COMPUTED_VALUE"""),49.897195827)</f>
        <v>49.897195827</v>
      </c>
      <c r="G611" s="10">
        <f>IFERROR(__xludf.DUMMYFUNCTION("""COMPUTED_VALUE"""),318.192475386)</f>
        <v>318.192475386</v>
      </c>
      <c r="H611" s="10">
        <f>IFERROR(__xludf.DUMMYFUNCTION("""COMPUTED_VALUE"""),112.570846616)</f>
        <v>112.570846616</v>
      </c>
      <c r="I611" s="13"/>
      <c r="J611" s="13"/>
      <c r="K611" s="13"/>
      <c r="L611" s="13"/>
      <c r="M611" s="1" t="b">
        <f>IFERROR(__xludf.DUMMYFUNCTION("""COMPUTED_VALUE"""),FALSE)</f>
        <v>0</v>
      </c>
      <c r="N611" s="10">
        <f>IFERROR(__xludf.DUMMYFUNCTION("""COMPUTED_VALUE"""),0)</f>
        <v>0</v>
      </c>
      <c r="O611" s="10">
        <f>IFERROR(__xludf.DUMMYFUNCTION("""COMPUTED_VALUE"""),0)</f>
        <v>0</v>
      </c>
      <c r="P611" s="10"/>
      <c r="Q611" s="30"/>
      <c r="R611" s="18"/>
      <c r="S611" s="19"/>
      <c r="T611" s="10"/>
      <c r="U611" s="10"/>
      <c r="V611" s="10"/>
      <c r="W611" s="10"/>
      <c r="X611" s="19"/>
      <c r="Y611" s="1"/>
      <c r="Z611" s="1"/>
      <c r="AA611" s="1"/>
    </row>
    <row r="612" customHeight="1" spans="1:27">
      <c r="A612" s="1" t="str">
        <f>IFERROR(__xludf.DUMMYFUNCTION("""COMPUTED_VALUE"""),"Magda 32")</f>
        <v>Magda 32</v>
      </c>
      <c r="B612" s="1" t="str">
        <f>IFERROR(__xludf.DUMMYFUNCTION("""COMPUTED_VALUE"""),"Magda 35")</f>
        <v>Magda 35</v>
      </c>
      <c r="C612" s="1" t="str">
        <f>IFERROR(__xludf.DUMMYFUNCTION("""COMPUTED_VALUE"""),"Magda 16")</f>
        <v>Magda 16</v>
      </c>
      <c r="D612" s="1" t="str">
        <f>IFERROR(__xludf.DUMMYFUNCTION("""COMPUTED_VALUE"""),"Sand Cave 48L")</f>
        <v>Sand Cave 48L</v>
      </c>
      <c r="E612" s="30" t="str">
        <f>IFERROR(__xludf.DUMMYFUNCTION("""COMPUTED_VALUE"""),"SCave 48L")</f>
        <v>SCave 48L</v>
      </c>
      <c r="F612" s="10">
        <f>IFERROR(__xludf.DUMMYFUNCTION("""COMPUTED_VALUE"""),-76.798260246)</f>
        <v>-76.798260246</v>
      </c>
      <c r="G612" s="10">
        <f>IFERROR(__xludf.DUMMYFUNCTION("""COMPUTED_VALUE"""),325.111480937)</f>
        <v>325.111480937</v>
      </c>
      <c r="H612" s="10">
        <f>IFERROR(__xludf.DUMMYFUNCTION("""COMPUTED_VALUE"""),-69.485295054)</f>
        <v>-69.485295054</v>
      </c>
      <c r="I612" s="13"/>
      <c r="J612" s="13"/>
      <c r="K612" s="13"/>
      <c r="L612" s="13"/>
      <c r="M612" s="1" t="b">
        <f>IFERROR(__xludf.DUMMYFUNCTION("""COMPUTED_VALUE"""),FALSE)</f>
        <v>0</v>
      </c>
      <c r="N612" s="10">
        <f>IFERROR(__xludf.DUMMYFUNCTION("""COMPUTED_VALUE"""),0)</f>
        <v>0</v>
      </c>
      <c r="O612" s="10">
        <f>IFERROR(__xludf.DUMMYFUNCTION("""COMPUTED_VALUE"""),0)</f>
        <v>0</v>
      </c>
      <c r="P612" s="10"/>
      <c r="Q612" s="30"/>
      <c r="R612" s="18"/>
      <c r="S612" s="19"/>
      <c r="T612" s="10"/>
      <c r="U612" s="10"/>
      <c r="V612" s="10"/>
      <c r="W612" s="10"/>
      <c r="X612" s="19"/>
      <c r="Y612" s="1"/>
      <c r="Z612" s="1"/>
      <c r="AA612" s="1"/>
    </row>
    <row r="613" customHeight="1" spans="1:27">
      <c r="A613" s="1" t="str">
        <f>IFERROR(__xludf.DUMMYFUNCTION("""COMPUTED_VALUE"""),"Magda 05")</f>
        <v>Magda 05</v>
      </c>
      <c r="B613" s="1" t="str">
        <f>IFERROR(__xludf.DUMMYFUNCTION("""COMPUTED_VALUE"""),"Magda 08")</f>
        <v>Magda 08</v>
      </c>
      <c r="C613" s="1" t="str">
        <f>IFERROR(__xludf.DUMMYFUNCTION("""COMPUTED_VALUE"""),"Magda 52")</f>
        <v>Magda 52</v>
      </c>
      <c r="D613" s="1" t="str">
        <f>IFERROR(__xludf.DUMMYFUNCTION("""COMPUTED_VALUE"""),"Sand Cave 01L")</f>
        <v>Sand Cave 01L</v>
      </c>
      <c r="E613" s="30" t="str">
        <f>IFERROR(__xludf.DUMMYFUNCTION("""COMPUTED_VALUE"""),"SCave 01L")</f>
        <v>SCave 01L</v>
      </c>
      <c r="F613" s="10">
        <f>IFERROR(__xludf.DUMMYFUNCTION("""COMPUTED_VALUE"""),-332.978245818)</f>
        <v>-332.978245818</v>
      </c>
      <c r="G613" s="10">
        <f>IFERROR(__xludf.DUMMYFUNCTION("""COMPUTED_VALUE"""),-25.899620726)</f>
        <v>-25.899620726</v>
      </c>
      <c r="H613" s="10">
        <f>IFERROR(__xludf.DUMMYFUNCTION("""COMPUTED_VALUE"""),-69.5776378149998)</f>
        <v>-69.5776378149998</v>
      </c>
      <c r="I613" s="13"/>
      <c r="J613" s="13"/>
      <c r="K613" s="13"/>
      <c r="L613" s="13"/>
      <c r="M613" s="1" t="b">
        <f>IFERROR(__xludf.DUMMYFUNCTION("""COMPUTED_VALUE"""),FALSE)</f>
        <v>0</v>
      </c>
      <c r="N613" s="10">
        <f>IFERROR(__xludf.DUMMYFUNCTION("""COMPUTED_VALUE"""),0)</f>
        <v>0</v>
      </c>
      <c r="O613" s="10">
        <f>IFERROR(__xludf.DUMMYFUNCTION("""COMPUTED_VALUE"""),0)</f>
        <v>0</v>
      </c>
      <c r="P613" s="10"/>
      <c r="Q613" s="30"/>
      <c r="R613" s="18"/>
      <c r="S613" s="19"/>
      <c r="T613" s="10"/>
      <c r="U613" s="10"/>
      <c r="V613" s="10"/>
      <c r="W613" s="10"/>
      <c r="X613" s="19"/>
      <c r="Y613" s="1"/>
      <c r="Z613" s="1"/>
      <c r="AA613" s="1"/>
    </row>
    <row r="614" customHeight="1" spans="1:27">
      <c r="A614" s="1" t="str">
        <f>IFERROR(__xludf.DUMMYFUNCTION("""COMPUTED_VALUE"""),"Magda 08")</f>
        <v>Magda 08</v>
      </c>
      <c r="B614" s="1" t="str">
        <f>IFERROR(__xludf.DUMMYFUNCTION("""COMPUTED_VALUE"""),"Magda 11")</f>
        <v>Magda 11</v>
      </c>
      <c r="C614" s="1" t="str">
        <f>IFERROR(__xludf.DUMMYFUNCTION("""COMPUTED_VALUE"""),"Magda 50")</f>
        <v>Magda 50</v>
      </c>
      <c r="D614" s="1" t="str">
        <f>IFERROR(__xludf.DUMMYFUNCTION("""COMPUTED_VALUE"""),"Sand Cave 02L")</f>
        <v>Sand Cave 02L</v>
      </c>
      <c r="E614" s="30" t="str">
        <f>IFERROR(__xludf.DUMMYFUNCTION("""COMPUTED_VALUE"""),"SCave 02L")</f>
        <v>SCave 02L</v>
      </c>
      <c r="F614" s="10">
        <f>IFERROR(__xludf.DUMMYFUNCTION("""COMPUTED_VALUE"""),-326.943899177999)</f>
        <v>-326.943899177999</v>
      </c>
      <c r="G614" s="10">
        <f>IFERROR(__xludf.DUMMYFUNCTION("""COMPUTED_VALUE"""),-67.9129298759999)</f>
        <v>-67.9129298759999</v>
      </c>
      <c r="H614" s="10">
        <f>IFERROR(__xludf.DUMMYFUNCTION("""COMPUTED_VALUE"""),-69.759679791)</f>
        <v>-69.759679791</v>
      </c>
      <c r="I614" s="13"/>
      <c r="J614" s="13"/>
      <c r="K614" s="13"/>
      <c r="L614" s="13"/>
      <c r="M614" s="1" t="b">
        <f>IFERROR(__xludf.DUMMYFUNCTION("""COMPUTED_VALUE"""),FALSE)</f>
        <v>0</v>
      </c>
      <c r="N614" s="10">
        <f>IFERROR(__xludf.DUMMYFUNCTION("""COMPUTED_VALUE"""),0)</f>
        <v>0</v>
      </c>
      <c r="O614" s="10">
        <f>IFERROR(__xludf.DUMMYFUNCTION("""COMPUTED_VALUE"""),0)</f>
        <v>0</v>
      </c>
      <c r="P614" s="10"/>
      <c r="Q614" s="30"/>
      <c r="R614" s="18"/>
      <c r="S614" s="19"/>
      <c r="T614" s="10"/>
      <c r="U614" s="10"/>
      <c r="V614" s="10"/>
      <c r="W614" s="10"/>
      <c r="X614" s="19"/>
      <c r="Y614" s="1"/>
      <c r="Z614" s="1"/>
      <c r="AA614" s="1"/>
    </row>
    <row r="615" customHeight="1" spans="1:27">
      <c r="A615" s="1" t="str">
        <f>IFERROR(__xludf.DUMMYFUNCTION("""COMPUTED_VALUE"""),"Magda 06")</f>
        <v>Magda 06</v>
      </c>
      <c r="B615" s="1" t="str">
        <f>IFERROR(__xludf.DUMMYFUNCTION("""COMPUTED_VALUE"""),"Magda 09")</f>
        <v>Magda 09</v>
      </c>
      <c r="C615" s="1" t="str">
        <f>IFERROR(__xludf.DUMMYFUNCTION("""COMPUTED_VALUE"""),"Magda 54")</f>
        <v>Magda 54</v>
      </c>
      <c r="D615" s="1" t="str">
        <f>IFERROR(__xludf.DUMMYFUNCTION("""COMPUTED_VALUE"""),"Sand Cave 01P")</f>
        <v>Sand Cave 01P</v>
      </c>
      <c r="E615" s="30" t="str">
        <f>IFERROR(__xludf.DUMMYFUNCTION("""COMPUTED_VALUE"""),"SCave 01P")</f>
        <v>SCave 01P</v>
      </c>
      <c r="F615" s="10">
        <f>IFERROR(__xludf.DUMMYFUNCTION("""COMPUTED_VALUE"""),-331.472231838)</f>
        <v>-331.472231838</v>
      </c>
      <c r="G615" s="10">
        <f>IFERROR(__xludf.DUMMYFUNCTION("""COMPUTED_VALUE"""),-14.157093695)</f>
        <v>-14.157093695</v>
      </c>
      <c r="H615" s="10">
        <f>IFERROR(__xludf.DUMMYFUNCTION("""COMPUTED_VALUE"""),78.564921778)</f>
        <v>78.564921778</v>
      </c>
      <c r="I615" s="13"/>
      <c r="J615" s="13"/>
      <c r="K615" s="13"/>
      <c r="L615" s="13"/>
      <c r="M615" s="1" t="b">
        <f>IFERROR(__xludf.DUMMYFUNCTION("""COMPUTED_VALUE"""),FALSE)</f>
        <v>0</v>
      </c>
      <c r="N615" s="10">
        <f>IFERROR(__xludf.DUMMYFUNCTION("""COMPUTED_VALUE"""),0)</f>
        <v>0</v>
      </c>
      <c r="O615" s="10">
        <f>IFERROR(__xludf.DUMMYFUNCTION("""COMPUTED_VALUE"""),0)</f>
        <v>0</v>
      </c>
      <c r="P615" s="10"/>
      <c r="Q615" s="30"/>
      <c r="R615" s="18"/>
      <c r="S615" s="19"/>
      <c r="T615" s="10"/>
      <c r="U615" s="10"/>
      <c r="V615" s="10"/>
      <c r="W615" s="10"/>
      <c r="X615" s="19"/>
      <c r="Y615" s="1"/>
      <c r="Z615" s="1"/>
      <c r="AA615" s="1"/>
    </row>
    <row r="616" customHeight="1" spans="1:27">
      <c r="A616" s="1" t="str">
        <f>IFERROR(__xludf.DUMMYFUNCTION("""COMPUTED_VALUE"""),"Magda 10")</f>
        <v>Magda 10</v>
      </c>
      <c r="B616" s="1" t="str">
        <f>IFERROR(__xludf.DUMMYFUNCTION("""COMPUTED_VALUE"""),"Magda 13")</f>
        <v>Magda 13</v>
      </c>
      <c r="C616" s="1" t="str">
        <f>IFERROR(__xludf.DUMMYFUNCTION("""COMPUTED_VALUE"""),"Magda 48")</f>
        <v>Magda 48</v>
      </c>
      <c r="D616" s="1" t="str">
        <f>IFERROR(__xludf.DUMMYFUNCTION("""COMPUTED_VALUE"""),"Sand Cave 05P")</f>
        <v>Sand Cave 05P</v>
      </c>
      <c r="E616" s="30" t="str">
        <f>IFERROR(__xludf.DUMMYFUNCTION("""COMPUTED_VALUE"""),"SCave 05P")</f>
        <v>SCave 05P</v>
      </c>
      <c r="F616" s="10">
        <f>IFERROR(__xludf.DUMMYFUNCTION("""COMPUTED_VALUE"""),-296.202218896)</f>
        <v>-296.202218896</v>
      </c>
      <c r="G616" s="10">
        <f>IFERROR(__xludf.DUMMYFUNCTION("""COMPUTED_VALUE"""),-155.786988588)</f>
        <v>-155.786988588</v>
      </c>
      <c r="H616" s="10">
        <f>IFERROR(__xludf.DUMMYFUNCTION("""COMPUTED_VALUE"""),65.940540003)</f>
        <v>65.940540003</v>
      </c>
      <c r="I616" s="13"/>
      <c r="J616" s="13"/>
      <c r="K616" s="13"/>
      <c r="L616" s="13"/>
      <c r="M616" s="1" t="b">
        <f>IFERROR(__xludf.DUMMYFUNCTION("""COMPUTED_VALUE"""),FALSE)</f>
        <v>0</v>
      </c>
      <c r="N616" s="10">
        <f>IFERROR(__xludf.DUMMYFUNCTION("""COMPUTED_VALUE"""),0)</f>
        <v>0</v>
      </c>
      <c r="O616" s="10">
        <f>IFERROR(__xludf.DUMMYFUNCTION("""COMPUTED_VALUE"""),0)</f>
        <v>0</v>
      </c>
      <c r="P616" s="10"/>
      <c r="Q616" s="30"/>
      <c r="R616" s="18"/>
      <c r="S616" s="19"/>
      <c r="T616" s="10"/>
      <c r="U616" s="10"/>
      <c r="V616" s="10"/>
      <c r="W616" s="10"/>
      <c r="X616" s="19"/>
      <c r="Y616" s="1"/>
      <c r="Z616" s="1"/>
      <c r="AA616" s="1"/>
    </row>
    <row r="617" customHeight="1" spans="1:27">
      <c r="A617" s="1" t="str">
        <f>IFERROR(__xludf.DUMMYFUNCTION("""COMPUTED_VALUE"""),"Magda 31")</f>
        <v>Magda 31</v>
      </c>
      <c r="B617" s="1" t="str">
        <f>IFERROR(__xludf.DUMMYFUNCTION("""COMPUTED_VALUE"""),"Magda 34")</f>
        <v>Magda 34</v>
      </c>
      <c r="C617" s="1" t="str">
        <f>IFERROR(__xludf.DUMMYFUNCTION("""COMPUTED_VALUE"""),"Magda 17")</f>
        <v>Magda 17</v>
      </c>
      <c r="D617" s="1" t="str">
        <f>IFERROR(__xludf.DUMMYFUNCTION("""COMPUTED_VALUE"""),"Sand Cave 47K")</f>
        <v>Sand Cave 47K</v>
      </c>
      <c r="E617" s="30" t="str">
        <f>IFERROR(__xludf.DUMMYFUNCTION("""COMPUTED_VALUE"""),"SCave 47K")</f>
        <v>SCave 47K</v>
      </c>
      <c r="F617" s="10">
        <f>IFERROR(__xludf.DUMMYFUNCTION("""COMPUTED_VALUE"""),-58.111550922)</f>
        <v>-58.111550922</v>
      </c>
      <c r="G617" s="10">
        <f>IFERROR(__xludf.DUMMYFUNCTION("""COMPUTED_VALUE"""),320.886930144999)</f>
        <v>320.886930144999</v>
      </c>
      <c r="H617" s="10">
        <f>IFERROR(__xludf.DUMMYFUNCTION("""COMPUTED_VALUE"""),-100.489221636)</f>
        <v>-100.489221636</v>
      </c>
      <c r="I617" s="13"/>
      <c r="J617" s="13"/>
      <c r="K617" s="13"/>
      <c r="L617" s="13"/>
      <c r="M617" s="1" t="b">
        <f>IFERROR(__xludf.DUMMYFUNCTION("""COMPUTED_VALUE"""),FALSE)</f>
        <v>0</v>
      </c>
      <c r="N617" s="10">
        <f>IFERROR(__xludf.DUMMYFUNCTION("""COMPUTED_VALUE"""),0)</f>
        <v>0</v>
      </c>
      <c r="O617" s="10">
        <f>IFERROR(__xludf.DUMMYFUNCTION("""COMPUTED_VALUE"""),0)</f>
        <v>0</v>
      </c>
      <c r="P617" s="10"/>
      <c r="Q617" s="30"/>
      <c r="R617" s="18"/>
      <c r="S617" s="19"/>
      <c r="T617" s="10"/>
      <c r="U617" s="10"/>
      <c r="V617" s="10"/>
      <c r="W617" s="10"/>
      <c r="X617" s="19"/>
      <c r="Y617" s="1"/>
      <c r="Z617" s="1"/>
      <c r="AA617" s="1"/>
    </row>
    <row r="618" customHeight="1" spans="1:27">
      <c r="A618" s="1" t="str">
        <f>IFERROR(__xludf.DUMMYFUNCTION("""COMPUTED_VALUE"""),"Magda 39")</f>
        <v>Magda 39</v>
      </c>
      <c r="B618" s="1" t="str">
        <f>IFERROR(__xludf.DUMMYFUNCTION("""COMPUTED_VALUE"""),"Magda 42")</f>
        <v>Magda 42</v>
      </c>
      <c r="C618" s="1" t="str">
        <f>IFERROR(__xludf.DUMMYFUNCTION("""COMPUTED_VALUE"""),"Magda 10")</f>
        <v>Magda 10</v>
      </c>
      <c r="D618" s="1" t="str">
        <f>IFERROR(__xludf.DUMMYFUNCTION("""COMPUTED_VALUE"""),"Sand Cave 51N")</f>
        <v>Sand Cave 51N</v>
      </c>
      <c r="E618" s="30" t="str">
        <f>IFERROR(__xludf.DUMMYFUNCTION("""COMPUTED_VALUE"""),"SCave 51N")</f>
        <v>SCave 51N</v>
      </c>
      <c r="F618" s="10">
        <f>IFERROR(__xludf.DUMMYFUNCTION("""COMPUTED_VALUE"""),-181.753992433)</f>
        <v>-181.753992433</v>
      </c>
      <c r="G618" s="10">
        <f>IFERROR(__xludf.DUMMYFUNCTION("""COMPUTED_VALUE"""),288.129055259999)</f>
        <v>288.129055259999</v>
      </c>
      <c r="H618" s="10">
        <f>IFERROR(__xludf.DUMMYFUNCTION("""COMPUTED_VALUE"""),19.751518957)</f>
        <v>19.751518957</v>
      </c>
      <c r="I618" s="13"/>
      <c r="J618" s="13"/>
      <c r="K618" s="13"/>
      <c r="L618" s="13"/>
      <c r="M618" s="1" t="b">
        <f>IFERROR(__xludf.DUMMYFUNCTION("""COMPUTED_VALUE"""),FALSE)</f>
        <v>0</v>
      </c>
      <c r="N618" s="10">
        <f>IFERROR(__xludf.DUMMYFUNCTION("""COMPUTED_VALUE"""),0)</f>
        <v>0</v>
      </c>
      <c r="O618" s="10">
        <f>IFERROR(__xludf.DUMMYFUNCTION("""COMPUTED_VALUE"""),0)</f>
        <v>0</v>
      </c>
      <c r="P618" s="10"/>
      <c r="Q618" s="30"/>
      <c r="R618" s="18"/>
      <c r="S618" s="19"/>
      <c r="T618" s="10"/>
      <c r="U618" s="10"/>
      <c r="V618" s="10"/>
      <c r="W618" s="10"/>
      <c r="X618" s="19"/>
      <c r="Y618" s="1"/>
      <c r="Z618" s="1"/>
      <c r="AA618" s="1"/>
    </row>
    <row r="619" customHeight="1" spans="1:27">
      <c r="A619" s="1" t="str">
        <f>IFERROR(__xludf.DUMMYFUNCTION("""COMPUTED_VALUE"""),"Magda 26")</f>
        <v>Magda 26</v>
      </c>
      <c r="B619" s="1" t="str">
        <f>IFERROR(__xludf.DUMMYFUNCTION("""COMPUTED_VALUE"""),"Magda 29")</f>
        <v>Magda 29</v>
      </c>
      <c r="C619" s="1" t="str">
        <f>IFERROR(__xludf.DUMMYFUNCTION("""COMPUTED_VALUE"""),"Magda 25")</f>
        <v>Magda 25</v>
      </c>
      <c r="D619" s="1" t="str">
        <f>IFERROR(__xludf.DUMMYFUNCTION("""COMPUTED_VALUE"""),"Sand Cave 33K")</f>
        <v>Sand Cave 33K</v>
      </c>
      <c r="E619" s="30" t="str">
        <f>IFERROR(__xludf.DUMMYFUNCTION("""COMPUTED_VALUE"""),"SCave 33K")</f>
        <v>SCave 33K</v>
      </c>
      <c r="F619" s="10">
        <f>IFERROR(__xludf.DUMMYFUNCTION("""COMPUTED_VALUE"""),307.013492184999)</f>
        <v>307.013492184999</v>
      </c>
      <c r="G619" s="10">
        <f>IFERROR(__xludf.DUMMYFUNCTION("""COMPUTED_VALUE"""),95.122497673)</f>
        <v>95.122497673</v>
      </c>
      <c r="H619" s="10">
        <f>IFERROR(__xludf.DUMMYFUNCTION("""COMPUTED_VALUE"""),-114.640051779)</f>
        <v>-114.640051779</v>
      </c>
      <c r="I619" s="13"/>
      <c r="J619" s="13"/>
      <c r="K619" s="13"/>
      <c r="L619" s="13"/>
      <c r="M619" s="1" t="b">
        <f>IFERROR(__xludf.DUMMYFUNCTION("""COMPUTED_VALUE"""),FALSE)</f>
        <v>0</v>
      </c>
      <c r="N619" s="10">
        <f>IFERROR(__xludf.DUMMYFUNCTION("""COMPUTED_VALUE"""),0)</f>
        <v>0</v>
      </c>
      <c r="O619" s="10">
        <f>IFERROR(__xludf.DUMMYFUNCTION("""COMPUTED_VALUE"""),0)</f>
        <v>0</v>
      </c>
      <c r="P619" s="10"/>
      <c r="Q619" s="30"/>
      <c r="R619" s="18"/>
      <c r="S619" s="19"/>
      <c r="T619" s="10"/>
      <c r="U619" s="10"/>
      <c r="V619" s="10"/>
      <c r="W619" s="10"/>
      <c r="X619" s="19"/>
      <c r="Y619" s="1"/>
      <c r="Z619" s="1"/>
      <c r="AA619" s="1"/>
    </row>
    <row r="620" customHeight="1" spans="1:27">
      <c r="A620" s="1" t="str">
        <f>IFERROR(__xludf.DUMMYFUNCTION("""COMPUTED_VALUE"""),"Magda 38")</f>
        <v>Magda 38</v>
      </c>
      <c r="B620" s="1" t="str">
        <f>IFERROR(__xludf.DUMMYFUNCTION("""COMPUTED_VALUE"""),"Magda 41")</f>
        <v>Magda 41</v>
      </c>
      <c r="C620" s="1" t="str">
        <f>IFERROR(__xludf.DUMMYFUNCTION("""COMPUTED_VALUE"""),"Magda 08")</f>
        <v>Magda 08</v>
      </c>
      <c r="D620" s="1" t="str">
        <f>IFERROR(__xludf.DUMMYFUNCTION("""COMPUTED_VALUE"""),"Sand Cave 51M")</f>
        <v>Sand Cave 51M</v>
      </c>
      <c r="E620" s="30" t="str">
        <f>IFERROR(__xludf.DUMMYFUNCTION("""COMPUTED_VALUE"""),"SCave 51M")</f>
        <v>SCave 51M</v>
      </c>
      <c r="F620" s="10">
        <f>IFERROR(__xludf.DUMMYFUNCTION("""COMPUTED_VALUE"""),-183.184829069)</f>
        <v>-183.184829069</v>
      </c>
      <c r="G620" s="10">
        <f>IFERROR(__xludf.DUMMYFUNCTION("""COMPUTED_VALUE"""),287.392058981999)</f>
        <v>287.392058981999</v>
      </c>
      <c r="H620" s="10">
        <f>IFERROR(__xludf.DUMMYFUNCTION("""COMPUTED_VALUE"""),-14.326951161)</f>
        <v>-14.326951161</v>
      </c>
      <c r="I620" s="13"/>
      <c r="J620" s="13"/>
      <c r="K620" s="13"/>
      <c r="L620" s="13"/>
      <c r="M620" s="1" t="b">
        <f>IFERROR(__xludf.DUMMYFUNCTION("""COMPUTED_VALUE"""),FALSE)</f>
        <v>0</v>
      </c>
      <c r="N620" s="10">
        <f>IFERROR(__xludf.DUMMYFUNCTION("""COMPUTED_VALUE"""),0)</f>
        <v>0</v>
      </c>
      <c r="O620" s="10">
        <f>IFERROR(__xludf.DUMMYFUNCTION("""COMPUTED_VALUE"""),0)</f>
        <v>0</v>
      </c>
      <c r="P620" s="10"/>
      <c r="Q620" s="30"/>
      <c r="R620" s="18"/>
      <c r="S620" s="19"/>
      <c r="T620" s="10"/>
      <c r="U620" s="10"/>
      <c r="V620" s="10"/>
      <c r="W620" s="10"/>
      <c r="X620" s="19"/>
      <c r="Y620" s="1"/>
      <c r="Z620" s="1"/>
      <c r="AA620" s="1"/>
    </row>
    <row r="621" customHeight="1" spans="1:27">
      <c r="A621" s="1" t="str">
        <f>IFERROR(__xludf.DUMMYFUNCTION("""COMPUTED_VALUE"""),"Magda 24")</f>
        <v>Magda 24</v>
      </c>
      <c r="B621" s="1" t="str">
        <f>IFERROR(__xludf.DUMMYFUNCTION("""COMPUTED_VALUE"""),"Magda 27")</f>
        <v>Magda 27</v>
      </c>
      <c r="C621" s="1" t="str">
        <f>IFERROR(__xludf.DUMMYFUNCTION("""COMPUTED_VALUE"""),"Magda 28")</f>
        <v>Magda 28</v>
      </c>
      <c r="D621" s="1" t="str">
        <f>IFERROR(__xludf.DUMMYFUNCTION("""COMPUTED_VALUE"""),"Sand Cave 32J")</f>
        <v>Sand Cave 32J</v>
      </c>
      <c r="E621" s="30" t="str">
        <f>IFERROR(__xludf.DUMMYFUNCTION("""COMPUTED_VALUE"""),"SCave 32J")</f>
        <v>SCave 32J</v>
      </c>
      <c r="F621" s="10">
        <f>IFERROR(__xludf.DUMMYFUNCTION("""COMPUTED_VALUE"""),288.455237413999)</f>
        <v>288.455237413999</v>
      </c>
      <c r="G621" s="10">
        <f>IFERROR(__xludf.DUMMYFUNCTION("""COMPUTED_VALUE"""),58.7784932919999)</f>
        <v>58.7784932919999</v>
      </c>
      <c r="H621" s="10">
        <f>IFERROR(__xludf.DUMMYFUNCTION("""COMPUTED_VALUE"""),-172.564410394)</f>
        <v>-172.564410394</v>
      </c>
      <c r="I621" s="13"/>
      <c r="J621" s="13"/>
      <c r="K621" s="13"/>
      <c r="L621" s="13"/>
      <c r="M621" s="1" t="b">
        <f>IFERROR(__xludf.DUMMYFUNCTION("""COMPUTED_VALUE"""),FALSE)</f>
        <v>0</v>
      </c>
      <c r="N621" s="10">
        <f>IFERROR(__xludf.DUMMYFUNCTION("""COMPUTED_VALUE"""),0)</f>
        <v>0</v>
      </c>
      <c r="O621" s="10">
        <f>IFERROR(__xludf.DUMMYFUNCTION("""COMPUTED_VALUE"""),0)</f>
        <v>0</v>
      </c>
      <c r="P621" s="10"/>
      <c r="Q621" s="30"/>
      <c r="R621" s="18"/>
      <c r="S621" s="19"/>
      <c r="T621" s="10"/>
      <c r="U621" s="10"/>
      <c r="V621" s="10"/>
      <c r="W621" s="10"/>
      <c r="X621" s="19"/>
      <c r="Y621" s="1"/>
      <c r="Z621" s="1"/>
      <c r="AA621" s="1"/>
    </row>
    <row r="622" customHeight="1" spans="1:27">
      <c r="A622" s="1" t="str">
        <f>IFERROR(__xludf.DUMMYFUNCTION("""COMPUTED_VALUE"""),"Magda 36")</f>
        <v>Magda 36</v>
      </c>
      <c r="B622" s="1" t="str">
        <f>IFERROR(__xludf.DUMMYFUNCTION("""COMPUTED_VALUE"""),"Magda 39")</f>
        <v>Magda 39</v>
      </c>
      <c r="C622" s="1" t="str">
        <f>IFERROR(__xludf.DUMMYFUNCTION("""COMPUTED_VALUE"""),"Magda 11")</f>
        <v>Magda 11</v>
      </c>
      <c r="D622" s="1" t="str">
        <f>IFERROR(__xludf.DUMMYFUNCTION("""COMPUTED_VALUE"""),"Sand Cave 50M-594")</f>
        <v>Sand Cave 50M-594</v>
      </c>
      <c r="E622" s="30" t="str">
        <f>IFERROR(__xludf.DUMMYFUNCTION("""COMPUTED_VALUE"""),"SCave 50M594")</f>
        <v>SCave 50M594</v>
      </c>
      <c r="F622" s="10">
        <f>IFERROR(__xludf.DUMMYFUNCTION("""COMPUTED_VALUE"""),-154.199021691)</f>
        <v>-154.199021691</v>
      </c>
      <c r="G622" s="10">
        <f>IFERROR(__xludf.DUMMYFUNCTION("""COMPUTED_VALUE"""),303.521784071)</f>
        <v>303.521784071</v>
      </c>
      <c r="H622" s="10">
        <f>IFERROR(__xludf.DUMMYFUNCTION("""COMPUTED_VALUE"""),-20.9650606389999)</f>
        <v>-20.9650606389999</v>
      </c>
      <c r="I622" s="13"/>
      <c r="J622" s="13"/>
      <c r="K622" s="13"/>
      <c r="L622" s="13"/>
      <c r="M622" s="1" t="b">
        <f>IFERROR(__xludf.DUMMYFUNCTION("""COMPUTED_VALUE"""),FALSE)</f>
        <v>0</v>
      </c>
      <c r="N622" s="10">
        <f>IFERROR(__xludf.DUMMYFUNCTION("""COMPUTED_VALUE"""),0)</f>
        <v>0</v>
      </c>
      <c r="O622" s="10">
        <f>IFERROR(__xludf.DUMMYFUNCTION("""COMPUTED_VALUE"""),0)</f>
        <v>0</v>
      </c>
      <c r="P622" s="10"/>
      <c r="Q622" s="30"/>
      <c r="R622" s="18"/>
      <c r="S622" s="19"/>
      <c r="T622" s="10"/>
      <c r="U622" s="10"/>
      <c r="V622" s="10"/>
      <c r="W622" s="10"/>
      <c r="X622" s="19"/>
      <c r="Y622" s="1"/>
      <c r="Z622" s="1"/>
      <c r="AA622" s="1"/>
    </row>
    <row r="623" customHeight="1" spans="1:27">
      <c r="A623" s="1" t="str">
        <f>IFERROR(__xludf.DUMMYFUNCTION("""COMPUTED_VALUE"""),"Magda 35")</f>
        <v>Magda 35</v>
      </c>
      <c r="B623" s="1" t="str">
        <f>IFERROR(__xludf.DUMMYFUNCTION("""COMPUTED_VALUE"""),"Magda 38")</f>
        <v>Magda 38</v>
      </c>
      <c r="C623" s="1" t="str">
        <f>IFERROR(__xludf.DUMMYFUNCTION("""COMPUTED_VALUE"""),"Magda 12")</f>
        <v>Magda 12</v>
      </c>
      <c r="D623" s="1" t="str">
        <f>IFERROR(__xludf.DUMMYFUNCTION("""COMPUTED_VALUE"""),"Sand Cave 50M-593")</f>
        <v>Sand Cave 50M-593</v>
      </c>
      <c r="E623" s="30" t="str">
        <f>IFERROR(__xludf.DUMMYFUNCTION("""COMPUTED_VALUE"""),"SCave 50M593")</f>
        <v>SCave 50M593</v>
      </c>
      <c r="F623" s="10">
        <f>IFERROR(__xludf.DUMMYFUNCTION("""COMPUTED_VALUE"""),-151.379565389)</f>
        <v>-151.379565389</v>
      </c>
      <c r="G623" s="10">
        <f>IFERROR(__xludf.DUMMYFUNCTION("""COMPUTED_VALUE"""),303.962427084999)</f>
        <v>303.962427084999</v>
      </c>
      <c r="H623" s="10">
        <f>IFERROR(__xludf.DUMMYFUNCTION("""COMPUTED_VALUE"""),-32.389251213)</f>
        <v>-32.389251213</v>
      </c>
      <c r="I623" s="13"/>
      <c r="J623" s="13"/>
      <c r="K623" s="13"/>
      <c r="L623" s="13"/>
      <c r="M623" s="1" t="b">
        <f>IFERROR(__xludf.DUMMYFUNCTION("""COMPUTED_VALUE"""),FALSE)</f>
        <v>0</v>
      </c>
      <c r="N623" s="10">
        <f>IFERROR(__xludf.DUMMYFUNCTION("""COMPUTED_VALUE"""),0)</f>
        <v>0</v>
      </c>
      <c r="O623" s="10">
        <f>IFERROR(__xludf.DUMMYFUNCTION("""COMPUTED_VALUE"""),0)</f>
        <v>0</v>
      </c>
      <c r="P623" s="10"/>
      <c r="Q623" s="30"/>
      <c r="R623" s="18"/>
      <c r="S623" s="19"/>
      <c r="T623" s="10"/>
      <c r="U623" s="10"/>
      <c r="V623" s="10"/>
      <c r="W623" s="10"/>
      <c r="X623" s="19"/>
      <c r="Y623" s="1"/>
      <c r="Z623" s="1"/>
      <c r="AA623" s="1"/>
    </row>
    <row r="624" customHeight="1" spans="1:27">
      <c r="A624" s="1" t="str">
        <f>IFERROR(__xludf.DUMMYFUNCTION("""COMPUTED_VALUE"""),"Magda 34")</f>
        <v>Magda 34</v>
      </c>
      <c r="B624" s="1" t="str">
        <f>IFERROR(__xludf.DUMMYFUNCTION("""COMPUTED_VALUE"""),"Magda 37")</f>
        <v>Magda 37</v>
      </c>
      <c r="C624" s="1" t="str">
        <f>IFERROR(__xludf.DUMMYFUNCTION("""COMPUTED_VALUE"""),"Magda 14")</f>
        <v>Magda 14</v>
      </c>
      <c r="D624" s="1" t="str">
        <f>IFERROR(__xludf.DUMMYFUNCTION("""COMPUTED_VALUE"""),"Sand Cave 49M")</f>
        <v>Sand Cave 49M</v>
      </c>
      <c r="E624" s="30" t="str">
        <f>IFERROR(__xludf.DUMMYFUNCTION("""COMPUTED_VALUE"""),"SCave 49M")</f>
        <v>SCave 49M</v>
      </c>
      <c r="F624" s="10">
        <f>IFERROR(__xludf.DUMMYFUNCTION("""COMPUTED_VALUE"""),-119.434371387)</f>
        <v>-119.434371387</v>
      </c>
      <c r="G624" s="10">
        <f>IFERROR(__xludf.DUMMYFUNCTION("""COMPUTED_VALUE"""),318.554687877)</f>
        <v>318.554687877</v>
      </c>
      <c r="H624" s="10">
        <f>IFERROR(__xludf.DUMMYFUNCTION("""COMPUTED_VALUE"""),-25.755988504)</f>
        <v>-25.755988504</v>
      </c>
      <c r="I624" s="13"/>
      <c r="J624" s="13"/>
      <c r="K624" s="13"/>
      <c r="L624" s="13"/>
      <c r="M624" s="1" t="b">
        <f>IFERROR(__xludf.DUMMYFUNCTION("""COMPUTED_VALUE"""),FALSE)</f>
        <v>0</v>
      </c>
      <c r="N624" s="10">
        <f>IFERROR(__xludf.DUMMYFUNCTION("""COMPUTED_VALUE"""),0)</f>
        <v>0</v>
      </c>
      <c r="O624" s="10">
        <f>IFERROR(__xludf.DUMMYFUNCTION("""COMPUTED_VALUE"""),0)</f>
        <v>0</v>
      </c>
      <c r="P624" s="10"/>
      <c r="Q624" s="30"/>
      <c r="R624" s="18"/>
      <c r="S624" s="19"/>
      <c r="T624" s="10"/>
      <c r="U624" s="10"/>
      <c r="V624" s="10"/>
      <c r="W624" s="10"/>
      <c r="X624" s="19"/>
      <c r="Y624" s="1"/>
      <c r="Z624" s="1"/>
      <c r="AA624" s="1"/>
    </row>
    <row r="625" customHeight="1" spans="1:27">
      <c r="A625" s="1" t="str">
        <f>IFERROR(__xludf.DUMMYFUNCTION("""COMPUTED_VALUE"""),"Magda 20")</f>
        <v>Magda 20</v>
      </c>
      <c r="B625" s="1" t="str">
        <f>IFERROR(__xludf.DUMMYFUNCTION("""COMPUTED_VALUE"""),"Magda 23")</f>
        <v>Magda 23</v>
      </c>
      <c r="C625" s="1" t="str">
        <f>IFERROR(__xludf.DUMMYFUNCTION("""COMPUTED_VALUE"""),"Magda 32")</f>
        <v>Magda 32</v>
      </c>
      <c r="D625" s="1" t="str">
        <f>IFERROR(__xludf.DUMMYFUNCTION("""COMPUTED_VALUE"""),"Sand Cave 30K")</f>
        <v>Sand Cave 30K</v>
      </c>
      <c r="E625" s="30" t="str">
        <f>IFERROR(__xludf.DUMMYFUNCTION("""COMPUTED_VALUE"""),"SCave 30K")</f>
        <v>SCave 30K</v>
      </c>
      <c r="F625" s="10">
        <f>IFERROR(__xludf.DUMMYFUNCTION("""COMPUTED_VALUE"""),322.947863617)</f>
        <v>322.947863617</v>
      </c>
      <c r="G625" s="10">
        <f>IFERROR(__xludf.DUMMYFUNCTION("""COMPUTED_VALUE"""),-18.057344066)</f>
        <v>-18.057344066</v>
      </c>
      <c r="H625" s="10">
        <f>IFERROR(__xludf.DUMMYFUNCTION("""COMPUTED_VALUE"""),-108.160726479)</f>
        <v>-108.160726479</v>
      </c>
      <c r="I625" s="13"/>
      <c r="J625" s="13"/>
      <c r="K625" s="13"/>
      <c r="L625" s="13"/>
      <c r="M625" s="1" t="b">
        <f>IFERROR(__xludf.DUMMYFUNCTION("""COMPUTED_VALUE"""),FALSE)</f>
        <v>0</v>
      </c>
      <c r="N625" s="10">
        <f>IFERROR(__xludf.DUMMYFUNCTION("""COMPUTED_VALUE"""),0)</f>
        <v>0</v>
      </c>
      <c r="O625" s="10">
        <f>IFERROR(__xludf.DUMMYFUNCTION("""COMPUTED_VALUE"""),0)</f>
        <v>0</v>
      </c>
      <c r="P625" s="10"/>
      <c r="Q625" s="30"/>
      <c r="R625" s="18"/>
      <c r="S625" s="19"/>
      <c r="T625" s="10"/>
      <c r="U625" s="10"/>
      <c r="V625" s="10"/>
      <c r="W625" s="10"/>
      <c r="X625" s="19"/>
      <c r="Y625" s="1"/>
      <c r="Z625" s="1"/>
      <c r="AA625" s="1"/>
    </row>
    <row r="626" customHeight="1" spans="1:27">
      <c r="A626" s="1" t="str">
        <f>IFERROR(__xludf.DUMMYFUNCTION("""COMPUTED_VALUE"""),"Magda 40")</f>
        <v>Magda 40</v>
      </c>
      <c r="B626" s="1" t="str">
        <f>IFERROR(__xludf.DUMMYFUNCTION("""COMPUTED_VALUE"""),"Magda 43")</f>
        <v>Magda 43</v>
      </c>
      <c r="C626" s="1" t="str">
        <f>IFERROR(__xludf.DUMMYFUNCTION("""COMPUTED_VALUE"""),"Magda 07")</f>
        <v>Magda 07</v>
      </c>
      <c r="D626" s="1" t="str">
        <f>IFERROR(__xludf.DUMMYFUNCTION("""COMPUTED_VALUE"""),"Sand Cave 51W")</f>
        <v>Sand Cave 51W</v>
      </c>
      <c r="E626" s="30" t="str">
        <f>IFERROR(__xludf.DUMMYFUNCTION("""COMPUTED_VALUE"""),"SCave 51W")</f>
        <v>SCave 51W</v>
      </c>
      <c r="F626" s="10">
        <f>IFERROR(__xludf.DUMMYFUNCTION("""COMPUTED_VALUE"""),-80.674377886)</f>
        <v>-80.674377886</v>
      </c>
      <c r="G626" s="10">
        <f>IFERROR(__xludf.DUMMYFUNCTION("""COMPUTED_VALUE"""),119.927906522)</f>
        <v>119.927906522</v>
      </c>
      <c r="H626" s="10">
        <f>IFERROR(__xludf.DUMMYFUNCTION("""COMPUTED_VALUE"""),308.662984479999)</f>
        <v>308.662984479999</v>
      </c>
      <c r="I626" s="13"/>
      <c r="J626" s="13"/>
      <c r="K626" s="13"/>
      <c r="L626" s="13"/>
      <c r="M626" s="1" t="b">
        <f>IFERROR(__xludf.DUMMYFUNCTION("""COMPUTED_VALUE"""),FALSE)</f>
        <v>0</v>
      </c>
      <c r="N626" s="10">
        <f>IFERROR(__xludf.DUMMYFUNCTION("""COMPUTED_VALUE"""),0)</f>
        <v>0</v>
      </c>
      <c r="O626" s="10">
        <f>IFERROR(__xludf.DUMMYFUNCTION("""COMPUTED_VALUE"""),0)</f>
        <v>0</v>
      </c>
      <c r="P626" s="10"/>
      <c r="Q626" s="30"/>
      <c r="R626" s="18"/>
      <c r="S626" s="19"/>
      <c r="T626" s="10"/>
      <c r="U626" s="10"/>
      <c r="V626" s="10"/>
      <c r="W626" s="10"/>
      <c r="X626" s="19"/>
      <c r="Y626" s="1"/>
      <c r="Z626" s="1"/>
      <c r="AA626" s="1"/>
    </row>
    <row r="627" customHeight="1" spans="1:27">
      <c r="A627" s="1" t="str">
        <f>IFERROR(__xludf.DUMMYFUNCTION("""COMPUTED_VALUE"""),"Magda 33")</f>
        <v>Magda 33</v>
      </c>
      <c r="B627" s="1" t="str">
        <f>IFERROR(__xludf.DUMMYFUNCTION("""COMPUTED_VALUE"""),"Magda 36")</f>
        <v>Magda 36</v>
      </c>
      <c r="C627" s="1" t="str">
        <f>IFERROR(__xludf.DUMMYFUNCTION("""COMPUTED_VALUE"""),"Magda 15")</f>
        <v>Magda 15</v>
      </c>
      <c r="D627" s="1" t="str">
        <f>IFERROR(__xludf.DUMMYFUNCTION("""COMPUTED_VALUE"""),"Sand Cave 48M")</f>
        <v>Sand Cave 48M</v>
      </c>
      <c r="E627" s="30" t="str">
        <f>IFERROR(__xludf.DUMMYFUNCTION("""COMPUTED_VALUE"""),"SCave 48M")</f>
        <v>SCave 48M</v>
      </c>
      <c r="F627" s="10">
        <f>IFERROR(__xludf.DUMMYFUNCTION("""COMPUTED_VALUE"""),-93.819557797)</f>
        <v>-93.819557797</v>
      </c>
      <c r="G627" s="10">
        <f>IFERROR(__xludf.DUMMYFUNCTION("""COMPUTED_VALUE"""),328.006905272)</f>
        <v>328.006905272</v>
      </c>
      <c r="H627" s="10">
        <f>IFERROR(__xludf.DUMMYFUNCTION("""COMPUTED_VALUE"""),-0.198322475)</f>
        <v>-0.198322475</v>
      </c>
      <c r="I627" s="13"/>
      <c r="J627" s="13"/>
      <c r="K627" s="13"/>
      <c r="L627" s="13"/>
      <c r="M627" s="1" t="b">
        <f>IFERROR(__xludf.DUMMYFUNCTION("""COMPUTED_VALUE"""),FALSE)</f>
        <v>0</v>
      </c>
      <c r="N627" s="10">
        <f>IFERROR(__xludf.DUMMYFUNCTION("""COMPUTED_VALUE"""),0)</f>
        <v>0</v>
      </c>
      <c r="O627" s="10">
        <f>IFERROR(__xludf.DUMMYFUNCTION("""COMPUTED_VALUE"""),0)</f>
        <v>0</v>
      </c>
      <c r="P627" s="10"/>
      <c r="Q627" s="30"/>
      <c r="R627" s="18"/>
      <c r="S627" s="19"/>
      <c r="T627" s="10"/>
      <c r="U627" s="10"/>
      <c r="V627" s="10"/>
      <c r="W627" s="10"/>
      <c r="X627" s="19"/>
      <c r="Y627" s="1"/>
      <c r="Z627" s="1"/>
      <c r="AA627" s="1"/>
    </row>
    <row r="628" customHeight="1" spans="1:27">
      <c r="A628" s="1" t="str">
        <f>IFERROR(__xludf.DUMMYFUNCTION("""COMPUTED_VALUE"""),"Magda 43")</f>
        <v>Magda 43</v>
      </c>
      <c r="B628" s="1" t="str">
        <f>IFERROR(__xludf.DUMMYFUNCTION("""COMPUTED_VALUE"""),"Magda 46")</f>
        <v>Magda 46</v>
      </c>
      <c r="C628" s="1" t="str">
        <f>IFERROR(__xludf.DUMMYFUNCTION("""COMPUTED_VALUE"""),"Magda 04")</f>
        <v>Magda 04</v>
      </c>
      <c r="D628" s="1" t="str">
        <f>IFERROR(__xludf.DUMMYFUNCTION("""COMPUTED_VALUE"""),"Sand Cave 55P")</f>
        <v>Sand Cave 55P</v>
      </c>
      <c r="E628" s="30" t="str">
        <f>IFERROR(__xludf.DUMMYFUNCTION("""COMPUTED_VALUE"""),"SCave 55P")</f>
        <v>SCave 55P</v>
      </c>
      <c r="F628" s="10">
        <f>IFERROR(__xludf.DUMMYFUNCTION("""COMPUTED_VALUE"""),-282.318309300999)</f>
        <v>-282.318309300999</v>
      </c>
      <c r="G628" s="10">
        <f>IFERROR(__xludf.DUMMYFUNCTION("""COMPUTED_VALUE"""),182.341975387999)</f>
        <v>182.341975387999</v>
      </c>
      <c r="H628" s="10">
        <f>IFERROR(__xludf.DUMMYFUNCTION("""COMPUTED_VALUE"""),58.709024242)</f>
        <v>58.709024242</v>
      </c>
      <c r="I628" s="13"/>
      <c r="J628" s="13"/>
      <c r="K628" s="13"/>
      <c r="L628" s="13"/>
      <c r="M628" s="1" t="b">
        <f>IFERROR(__xludf.DUMMYFUNCTION("""COMPUTED_VALUE"""),FALSE)</f>
        <v>0</v>
      </c>
      <c r="N628" s="10">
        <f>IFERROR(__xludf.DUMMYFUNCTION("""COMPUTED_VALUE"""),0)</f>
        <v>0</v>
      </c>
      <c r="O628" s="10">
        <f>IFERROR(__xludf.DUMMYFUNCTION("""COMPUTED_VALUE"""),0)</f>
        <v>0</v>
      </c>
      <c r="P628" s="10"/>
      <c r="Q628" s="30"/>
      <c r="R628" s="18"/>
      <c r="S628" s="19"/>
      <c r="T628" s="10"/>
      <c r="U628" s="10"/>
      <c r="V628" s="10"/>
      <c r="W628" s="10"/>
      <c r="X628" s="19"/>
      <c r="Y628" s="1"/>
      <c r="Z628" s="1"/>
      <c r="AA628" s="1"/>
    </row>
    <row r="629" customHeight="1" spans="1:27">
      <c r="A629" s="1" t="str">
        <f>IFERROR(__xludf.DUMMYFUNCTION("""COMPUTED_VALUE"""),"Magda 45")</f>
        <v>Magda 45</v>
      </c>
      <c r="B629" s="1" t="str">
        <f>IFERROR(__xludf.DUMMYFUNCTION("""COMPUTED_VALUE"""),"Magda 48")</f>
        <v>Magda 48</v>
      </c>
      <c r="C629" s="1" t="str">
        <f>IFERROR(__xludf.DUMMYFUNCTION("""COMPUTED_VALUE"""),"Magda 02")</f>
        <v>Magda 02</v>
      </c>
      <c r="D629" s="1" t="str">
        <f>IFERROR(__xludf.DUMMYFUNCTION("""COMPUTED_VALUE"""),"Sand Cave 58F")</f>
        <v>Sand Cave 58F</v>
      </c>
      <c r="E629" s="30" t="str">
        <f>IFERROR(__xludf.DUMMYFUNCTION("""COMPUTED_VALUE"""),"SCave 58F")</f>
        <v>SCave 58F</v>
      </c>
      <c r="F629" s="10">
        <f>IFERROR(__xludf.DUMMYFUNCTION("""COMPUTED_VALUE"""),-217.096190846999)</f>
        <v>-217.096190846999</v>
      </c>
      <c r="G629" s="10">
        <f>IFERROR(__xludf.DUMMYFUNCTION("""COMPUTED_VALUE"""),61.9749695159999)</f>
        <v>61.9749695159999</v>
      </c>
      <c r="H629" s="10">
        <f>IFERROR(__xludf.DUMMYFUNCTION("""COMPUTED_VALUE"""),-255.275488034999)</f>
        <v>-255.275488034999</v>
      </c>
      <c r="I629" s="13"/>
      <c r="J629" s="13"/>
      <c r="K629" s="13"/>
      <c r="L629" s="13"/>
      <c r="M629" s="1" t="b">
        <f>IFERROR(__xludf.DUMMYFUNCTION("""COMPUTED_VALUE"""),FALSE)</f>
        <v>0</v>
      </c>
      <c r="N629" s="10">
        <f>IFERROR(__xludf.DUMMYFUNCTION("""COMPUTED_VALUE"""),0)</f>
        <v>0</v>
      </c>
      <c r="O629" s="10">
        <f>IFERROR(__xludf.DUMMYFUNCTION("""COMPUTED_VALUE"""),0)</f>
        <v>0</v>
      </c>
      <c r="P629" s="10"/>
      <c r="Q629" s="30"/>
      <c r="R629" s="18"/>
      <c r="S629" s="19"/>
      <c r="T629" s="10"/>
      <c r="U629" s="10"/>
      <c r="V629" s="10"/>
      <c r="W629" s="10"/>
      <c r="X629" s="19"/>
      <c r="Y629" s="1"/>
      <c r="Z629" s="1"/>
      <c r="AA629" s="1"/>
    </row>
    <row r="630" customHeight="1" spans="1:27">
      <c r="A630" s="1" t="str">
        <f>IFERROR(__xludf.DUMMYFUNCTION("""COMPUTED_VALUE"""),"Magda 18")</f>
        <v>Magda 18</v>
      </c>
      <c r="B630" s="1" t="str">
        <f>IFERROR(__xludf.DUMMYFUNCTION("""COMPUTED_VALUE"""),"Magda 21")</f>
        <v>Magda 21</v>
      </c>
      <c r="C630" s="1" t="str">
        <f>IFERROR(__xludf.DUMMYFUNCTION("""COMPUTED_VALUE"""),"Magda 36")</f>
        <v>Magda 36</v>
      </c>
      <c r="D630" s="1" t="str">
        <f>IFERROR(__xludf.DUMMYFUNCTION("""COMPUTED_VALUE"""),"Sand Cave 23N")</f>
        <v>Sand Cave 23N</v>
      </c>
      <c r="E630" s="30" t="str">
        <f>IFERROR(__xludf.DUMMYFUNCTION("""COMPUTED_VALUE"""),"SCave 23N")</f>
        <v>SCave 23N</v>
      </c>
      <c r="F630" s="10">
        <f>IFERROR(__xludf.DUMMYFUNCTION("""COMPUTED_VALUE"""),249.137431707999)</f>
        <v>249.137431707999</v>
      </c>
      <c r="G630" s="10">
        <f>IFERROR(__xludf.DUMMYFUNCTION("""COMPUTED_VALUE"""),-233.071970089)</f>
        <v>-233.071970089</v>
      </c>
      <c r="H630" s="10">
        <f>IFERROR(__xludf.DUMMYFUNCTION("""COMPUTED_VALUE"""),3.28111913899999)</f>
        <v>3.28111913899999</v>
      </c>
      <c r="I630" s="13"/>
      <c r="J630" s="13"/>
      <c r="K630" s="13"/>
      <c r="L630" s="13"/>
      <c r="M630" s="1" t="b">
        <f>IFERROR(__xludf.DUMMYFUNCTION("""COMPUTED_VALUE"""),FALSE)</f>
        <v>0</v>
      </c>
      <c r="N630" s="10">
        <f>IFERROR(__xludf.DUMMYFUNCTION("""COMPUTED_VALUE"""),0)</f>
        <v>0</v>
      </c>
      <c r="O630" s="10">
        <f>IFERROR(__xludf.DUMMYFUNCTION("""COMPUTED_VALUE"""),0)</f>
        <v>0</v>
      </c>
      <c r="P630" s="10"/>
      <c r="Q630" s="30"/>
      <c r="R630" s="18"/>
      <c r="S630" s="19"/>
      <c r="T630" s="10"/>
      <c r="U630" s="10"/>
      <c r="V630" s="10"/>
      <c r="W630" s="10"/>
      <c r="X630" s="19"/>
      <c r="Y630" s="1"/>
      <c r="Z630" s="1"/>
      <c r="AA630" s="1"/>
    </row>
    <row r="631" customHeight="1" spans="1:27">
      <c r="A631" s="1" t="str">
        <f>IFERROR(__xludf.DUMMYFUNCTION("""COMPUTED_VALUE"""),"Magda 37")</f>
        <v>Magda 37</v>
      </c>
      <c r="B631" s="1" t="str">
        <f>IFERROR(__xludf.DUMMYFUNCTION("""COMPUTED_VALUE"""),"Magda 40")</f>
        <v>Magda 40</v>
      </c>
      <c r="C631" s="1" t="str">
        <f>IFERROR(__xludf.DUMMYFUNCTION("""COMPUTED_VALUE"""),"Magda 09")</f>
        <v>Magda 09</v>
      </c>
      <c r="D631" s="1" t="str">
        <f>IFERROR(__xludf.DUMMYFUNCTION("""COMPUTED_VALUE"""),"Sand Cave 51K")</f>
        <v>Sand Cave 51K</v>
      </c>
      <c r="E631" s="30" t="str">
        <f>IFERROR(__xludf.DUMMYFUNCTION("""COMPUTED_VALUE"""),"SCave 51K")</f>
        <v>SCave 51K</v>
      </c>
      <c r="F631" s="10">
        <f>IFERROR(__xludf.DUMMYFUNCTION("""COMPUTED_VALUE"""),-168.090762847)</f>
        <v>-168.090762847</v>
      </c>
      <c r="G631" s="10">
        <f>IFERROR(__xludf.DUMMYFUNCTION("""COMPUTED_VALUE"""),264.730830307)</f>
        <v>264.730830307</v>
      </c>
      <c r="H631" s="10">
        <f>IFERROR(__xludf.DUMMYFUNCTION("""COMPUTED_VALUE"""),-134.604524004)</f>
        <v>-134.604524004</v>
      </c>
      <c r="I631" s="13"/>
      <c r="J631" s="13"/>
      <c r="K631" s="13"/>
      <c r="L631" s="13"/>
      <c r="M631" s="1" t="b">
        <f>IFERROR(__xludf.DUMMYFUNCTION("""COMPUTED_VALUE"""),FALSE)</f>
        <v>0</v>
      </c>
      <c r="N631" s="10">
        <f>IFERROR(__xludf.DUMMYFUNCTION("""COMPUTED_VALUE"""),0)</f>
        <v>0</v>
      </c>
      <c r="O631" s="10">
        <f>IFERROR(__xludf.DUMMYFUNCTION("""COMPUTED_VALUE"""),0)</f>
        <v>0</v>
      </c>
      <c r="P631" s="10"/>
      <c r="Q631" s="30"/>
      <c r="R631" s="18"/>
      <c r="S631" s="19"/>
      <c r="T631" s="10"/>
      <c r="U631" s="10"/>
      <c r="V631" s="10"/>
      <c r="W631" s="10"/>
      <c r="X631" s="19"/>
      <c r="Y631" s="1"/>
      <c r="Z631" s="1"/>
      <c r="AA631" s="1"/>
    </row>
    <row r="632" customHeight="1" spans="1:27">
      <c r="A632" s="1" t="str">
        <f>IFERROR(__xludf.DUMMYFUNCTION("""COMPUTED_VALUE"""),"Magda 41")</f>
        <v>Magda 41</v>
      </c>
      <c r="B632" s="1" t="str">
        <f>IFERROR(__xludf.DUMMYFUNCTION("""COMPUTED_VALUE"""),"Magda 44")</f>
        <v>Magda 44</v>
      </c>
      <c r="C632" s="1" t="str">
        <f>IFERROR(__xludf.DUMMYFUNCTION("""COMPUTED_VALUE"""),"Magda 06")</f>
        <v>Magda 06</v>
      </c>
      <c r="D632" s="1" t="str">
        <f>IFERROR(__xludf.DUMMYFUNCTION("""COMPUTED_VALUE"""),"Sand Cave 52K")</f>
        <v>Sand Cave 52K</v>
      </c>
      <c r="E632" s="30" t="str">
        <f>IFERROR(__xludf.DUMMYFUNCTION("""COMPUTED_VALUE"""),"SCave 52K")</f>
        <v>SCave 52K</v>
      </c>
      <c r="F632" s="10">
        <f>IFERROR(__xludf.DUMMYFUNCTION("""COMPUTED_VALUE"""),-201.620672098)</f>
        <v>-201.620672098</v>
      </c>
      <c r="G632" s="10">
        <f>IFERROR(__xludf.DUMMYFUNCTION("""COMPUTED_VALUE"""),240.276189469)</f>
        <v>240.276189469</v>
      </c>
      <c r="H632" s="10">
        <f>IFERROR(__xludf.DUMMYFUNCTION("""COMPUTED_VALUE"""),-134.279230993)</f>
        <v>-134.279230993</v>
      </c>
      <c r="I632" s="13"/>
      <c r="J632" s="13"/>
      <c r="K632" s="13"/>
      <c r="L632" s="13"/>
      <c r="M632" s="1" t="b">
        <f>IFERROR(__xludf.DUMMYFUNCTION("""COMPUTED_VALUE"""),FALSE)</f>
        <v>0</v>
      </c>
      <c r="N632" s="10">
        <f>IFERROR(__xludf.DUMMYFUNCTION("""COMPUTED_VALUE"""),0)</f>
        <v>0</v>
      </c>
      <c r="O632" s="10">
        <f>IFERROR(__xludf.DUMMYFUNCTION("""COMPUTED_VALUE"""),0)</f>
        <v>0</v>
      </c>
      <c r="P632" s="10"/>
      <c r="Q632" s="30"/>
      <c r="R632" s="18"/>
      <c r="S632" s="19"/>
      <c r="T632" s="10"/>
      <c r="U632" s="10"/>
      <c r="V632" s="10"/>
      <c r="W632" s="10"/>
      <c r="X632" s="19"/>
      <c r="Y632" s="1"/>
      <c r="Z632" s="1"/>
      <c r="AA632" s="1"/>
    </row>
    <row r="633" customHeight="1" spans="1:27">
      <c r="A633" s="1" t="str">
        <f>IFERROR(__xludf.DUMMYFUNCTION("""COMPUTED_VALUE"""),"Magda 42")</f>
        <v>Magda 42</v>
      </c>
      <c r="B633" s="1" t="str">
        <f>IFERROR(__xludf.DUMMYFUNCTION("""COMPUTED_VALUE"""),"Magda 45")</f>
        <v>Magda 45</v>
      </c>
      <c r="C633" s="1" t="str">
        <f>IFERROR(__xludf.DUMMYFUNCTION("""COMPUTED_VALUE"""),"Magda 05")</f>
        <v>Magda 05</v>
      </c>
      <c r="D633" s="1" t="str">
        <f>IFERROR(__xludf.DUMMYFUNCTION("""COMPUTED_VALUE"""),"Sand Cave 53J")</f>
        <v>Sand Cave 53J</v>
      </c>
      <c r="E633" s="30" t="str">
        <f>IFERROR(__xludf.DUMMYFUNCTION("""COMPUTED_VALUE"""),"SCave 53J")</f>
        <v>SCave 53J</v>
      </c>
      <c r="F633" s="10">
        <f>IFERROR(__xludf.DUMMYFUNCTION("""COMPUTED_VALUE"""),-197.545692553)</f>
        <v>-197.545692553</v>
      </c>
      <c r="G633" s="10">
        <f>IFERROR(__xludf.DUMMYFUNCTION("""COMPUTED_VALUE"""),218.685740538999)</f>
        <v>218.685740538999</v>
      </c>
      <c r="H633" s="10">
        <f>IFERROR(__xludf.DUMMYFUNCTION("""COMPUTED_VALUE"""),-171.510450346)</f>
        <v>-171.510450346</v>
      </c>
      <c r="I633" s="13"/>
      <c r="J633" s="13"/>
      <c r="K633" s="13"/>
      <c r="L633" s="13"/>
      <c r="M633" s="1" t="b">
        <f>IFERROR(__xludf.DUMMYFUNCTION("""COMPUTED_VALUE"""),FALSE)</f>
        <v>0</v>
      </c>
      <c r="N633" s="10">
        <f>IFERROR(__xludf.DUMMYFUNCTION("""COMPUTED_VALUE"""),0)</f>
        <v>0</v>
      </c>
      <c r="O633" s="10">
        <f>IFERROR(__xludf.DUMMYFUNCTION("""COMPUTED_VALUE"""),0)</f>
        <v>0</v>
      </c>
      <c r="P633" s="10"/>
      <c r="Q633" s="30"/>
      <c r="R633" s="18"/>
      <c r="S633" s="19"/>
      <c r="T633" s="10"/>
      <c r="U633" s="10"/>
      <c r="V633" s="10"/>
      <c r="W633" s="10"/>
      <c r="X633" s="19"/>
      <c r="Y633" s="1"/>
      <c r="Z633" s="1"/>
      <c r="AA633" s="1"/>
    </row>
    <row r="634" customHeight="1" spans="1:27">
      <c r="A634" s="1" t="str">
        <f>IFERROR(__xludf.DUMMYFUNCTION("""COMPUTED_VALUE"""),"Magda 09")</f>
        <v>Magda 09</v>
      </c>
      <c r="B634" s="1" t="str">
        <f>IFERROR(__xludf.DUMMYFUNCTION("""COMPUTED_VALUE"""),"Magda 12")</f>
        <v>Magda 12</v>
      </c>
      <c r="C634" s="1" t="str">
        <f>IFERROR(__xludf.DUMMYFUNCTION("""COMPUTED_VALUE"""),"Magda 51")</f>
        <v>Magda 51</v>
      </c>
      <c r="D634" s="1" t="str">
        <f>IFERROR(__xludf.DUMMYFUNCTION("""COMPUTED_VALUE"""),"Sand Cave 02S")</f>
        <v>Sand Cave 02S</v>
      </c>
      <c r="E634" s="30" t="str">
        <f>IFERROR(__xludf.DUMMYFUNCTION("""COMPUTED_VALUE"""),"SCave 02S")</f>
        <v>SCave 02S</v>
      </c>
      <c r="F634" s="10">
        <f>IFERROR(__xludf.DUMMYFUNCTION("""COMPUTED_VALUE"""),-265.632391756)</f>
        <v>-265.632391756</v>
      </c>
      <c r="G634" s="10">
        <f>IFERROR(__xludf.DUMMYFUNCTION("""COMPUTED_VALUE"""),-54.2650127619999)</f>
        <v>-54.2650127619999</v>
      </c>
      <c r="H634" s="10">
        <f>IFERROR(__xludf.DUMMYFUNCTION("""COMPUTED_VALUE"""),206.474485026)</f>
        <v>206.474485026</v>
      </c>
      <c r="I634" s="13"/>
      <c r="J634" s="13"/>
      <c r="K634" s="13"/>
      <c r="L634" s="13"/>
      <c r="M634" s="1" t="b">
        <f>IFERROR(__xludf.DUMMYFUNCTION("""COMPUTED_VALUE"""),FALSE)</f>
        <v>0</v>
      </c>
      <c r="N634" s="10">
        <f>IFERROR(__xludf.DUMMYFUNCTION("""COMPUTED_VALUE"""),0)</f>
        <v>0</v>
      </c>
      <c r="O634" s="10">
        <f>IFERROR(__xludf.DUMMYFUNCTION("""COMPUTED_VALUE"""),0)</f>
        <v>0</v>
      </c>
      <c r="P634" s="10"/>
      <c r="Q634" s="30"/>
      <c r="R634" s="18"/>
      <c r="S634" s="19"/>
      <c r="T634" s="10"/>
      <c r="U634" s="10"/>
      <c r="V634" s="10"/>
      <c r="W634" s="10"/>
      <c r="X634" s="19"/>
      <c r="Y634" s="1"/>
      <c r="Z634" s="1"/>
      <c r="AA634" s="1"/>
    </row>
    <row r="635" customHeight="1" spans="1:27">
      <c r="A635" s="1" t="str">
        <f>IFERROR(__xludf.DUMMYFUNCTION("""COMPUTED_VALUE"""),"Magda 25")</f>
        <v>Magda 25</v>
      </c>
      <c r="B635" s="1" t="str">
        <f>IFERROR(__xludf.DUMMYFUNCTION("""COMPUTED_VALUE"""),"Magda 28")</f>
        <v>Magda 28</v>
      </c>
      <c r="C635" s="1" t="str">
        <f>IFERROR(__xludf.DUMMYFUNCTION("""COMPUTED_VALUE"""),"Magda 27")</f>
        <v>Magda 27</v>
      </c>
      <c r="D635" s="1" t="str">
        <f>IFERROR(__xludf.DUMMYFUNCTION("""COMPUTED_VALUE"""),"Sand Cave 33J")</f>
        <v>Sand Cave 33J</v>
      </c>
      <c r="E635" s="30" t="str">
        <f>IFERROR(__xludf.DUMMYFUNCTION("""COMPUTED_VALUE"""),"SCave 33J")</f>
        <v>SCave 33J</v>
      </c>
      <c r="F635" s="10">
        <f>IFERROR(__xludf.DUMMYFUNCTION("""COMPUTED_VALUE"""),299.160436670999)</f>
        <v>299.160436670999</v>
      </c>
      <c r="G635" s="10">
        <f>IFERROR(__xludf.DUMMYFUNCTION("""COMPUTED_VALUE"""),83.072659322)</f>
        <v>83.072659322</v>
      </c>
      <c r="H635" s="10">
        <f>IFERROR(__xludf.DUMMYFUNCTION("""COMPUTED_VALUE"""),-141.601822665999)</f>
        <v>-141.601822665999</v>
      </c>
      <c r="I635" s="13"/>
      <c r="J635" s="13"/>
      <c r="K635" s="13"/>
      <c r="L635" s="13"/>
      <c r="M635" s="1" t="b">
        <f>IFERROR(__xludf.DUMMYFUNCTION("""COMPUTED_VALUE"""),FALSE)</f>
        <v>0</v>
      </c>
      <c r="N635" s="10">
        <f>IFERROR(__xludf.DUMMYFUNCTION("""COMPUTED_VALUE"""),0)</f>
        <v>0</v>
      </c>
      <c r="O635" s="10">
        <f>IFERROR(__xludf.DUMMYFUNCTION("""COMPUTED_VALUE"""),0)</f>
        <v>0</v>
      </c>
      <c r="P635" s="10"/>
      <c r="Q635" s="30"/>
      <c r="R635" s="18"/>
      <c r="S635" s="19"/>
      <c r="T635" s="10"/>
      <c r="U635" s="10"/>
      <c r="V635" s="10"/>
      <c r="W635" s="10"/>
      <c r="X635" s="19"/>
      <c r="Y635" s="1"/>
      <c r="Z635" s="1"/>
      <c r="AA635" s="1"/>
    </row>
    <row r="636" customHeight="1" spans="1:27">
      <c r="A636" s="1" t="str">
        <f>IFERROR(__xludf.DUMMYFUNCTION("""COMPUTED_VALUE"""),"Magda 22")</f>
        <v>Magda 22</v>
      </c>
      <c r="B636" s="1" t="str">
        <f>IFERROR(__xludf.DUMMYFUNCTION("""COMPUTED_VALUE"""),"Magda 25")</f>
        <v>Magda 25</v>
      </c>
      <c r="C636" s="1" t="str">
        <f>IFERROR(__xludf.DUMMYFUNCTION("""COMPUTED_VALUE"""),"Magda 29")</f>
        <v>Magda 29</v>
      </c>
      <c r="D636" s="1" t="str">
        <f>IFERROR(__xludf.DUMMYFUNCTION("""COMPUTED_VALUE"""),"Sand Cave 31J")</f>
        <v>Sand Cave 31J</v>
      </c>
      <c r="E636" s="30" t="str">
        <f>IFERROR(__xludf.DUMMYFUNCTION("""COMPUTED_VALUE"""),"SCave 31J")</f>
        <v>SCave 31J</v>
      </c>
      <c r="F636" s="10">
        <f>IFERROR(__xludf.DUMMYFUNCTION("""COMPUTED_VALUE"""),301.542738071)</f>
        <v>301.542738071</v>
      </c>
      <c r="G636" s="10">
        <f>IFERROR(__xludf.DUMMYFUNCTION("""COMPUTED_VALUE"""),6.44132297199999)</f>
        <v>6.44132297199999</v>
      </c>
      <c r="H636" s="10">
        <f>IFERROR(__xludf.DUMMYFUNCTION("""COMPUTED_VALUE"""),-159.624630968)</f>
        <v>-159.624630968</v>
      </c>
      <c r="I636" s="13"/>
      <c r="J636" s="13"/>
      <c r="K636" s="13"/>
      <c r="L636" s="13"/>
      <c r="M636" s="1" t="b">
        <f>IFERROR(__xludf.DUMMYFUNCTION("""COMPUTED_VALUE"""),FALSE)</f>
        <v>0</v>
      </c>
      <c r="N636" s="10">
        <f>IFERROR(__xludf.DUMMYFUNCTION("""COMPUTED_VALUE"""),0)</f>
        <v>0</v>
      </c>
      <c r="O636" s="10">
        <f>IFERROR(__xludf.DUMMYFUNCTION("""COMPUTED_VALUE"""),0)</f>
        <v>0</v>
      </c>
      <c r="P636" s="10"/>
      <c r="Q636" s="30"/>
      <c r="R636" s="18"/>
      <c r="S636" s="19"/>
      <c r="T636" s="10"/>
      <c r="U636" s="10"/>
      <c r="V636" s="10"/>
      <c r="W636" s="10"/>
      <c r="X636" s="19"/>
      <c r="Y636" s="1"/>
      <c r="Z636" s="1"/>
      <c r="AA636" s="1"/>
    </row>
    <row r="637" customHeight="1" spans="1:27">
      <c r="A637" s="1" t="str">
        <f>IFERROR(__xludf.DUMMYFUNCTION("""COMPUTED_VALUE"""),"Magda 23")</f>
        <v>Magda 23</v>
      </c>
      <c r="B637" s="1" t="str">
        <f>IFERROR(__xludf.DUMMYFUNCTION("""COMPUTED_VALUE"""),"Magda 26")</f>
        <v>Magda 26</v>
      </c>
      <c r="C637" s="1" t="str">
        <f>IFERROR(__xludf.DUMMYFUNCTION("""COMPUTED_VALUE"""),"Magda 30")</f>
        <v>Magda 30</v>
      </c>
      <c r="D637" s="1" t="str">
        <f>IFERROR(__xludf.DUMMYFUNCTION("""COMPUTED_VALUE"""),"Sand Cave 31L")</f>
        <v>Sand Cave 31L</v>
      </c>
      <c r="E637" s="30" t="str">
        <f>IFERROR(__xludf.DUMMYFUNCTION("""COMPUTED_VALUE"""),"SCave 31L")</f>
        <v>SCave 31L</v>
      </c>
      <c r="F637" s="10">
        <f>IFERROR(__xludf.DUMMYFUNCTION("""COMPUTED_VALUE"""),329.558160909)</f>
        <v>329.558160909</v>
      </c>
      <c r="G637" s="10">
        <f>IFERROR(__xludf.DUMMYFUNCTION("""COMPUTED_VALUE"""),4.407244045)</f>
        <v>4.407244045</v>
      </c>
      <c r="H637" s="10">
        <f>IFERROR(__xludf.DUMMYFUNCTION("""COMPUTED_VALUE"""),-87.876208843)</f>
        <v>-87.876208843</v>
      </c>
      <c r="I637" s="13"/>
      <c r="J637" s="13"/>
      <c r="K637" s="13"/>
      <c r="L637" s="13"/>
      <c r="M637" s="1" t="b">
        <f>IFERROR(__xludf.DUMMYFUNCTION("""COMPUTED_VALUE"""),FALSE)</f>
        <v>0</v>
      </c>
      <c r="N637" s="10">
        <f>IFERROR(__xludf.DUMMYFUNCTION("""COMPUTED_VALUE"""),0)</f>
        <v>0</v>
      </c>
      <c r="O637" s="10">
        <f>IFERROR(__xludf.DUMMYFUNCTION("""COMPUTED_VALUE"""),0)</f>
        <v>0</v>
      </c>
      <c r="P637" s="10"/>
      <c r="Q637" s="30"/>
      <c r="R637" s="18"/>
      <c r="S637" s="19"/>
      <c r="T637" s="10"/>
      <c r="U637" s="10"/>
      <c r="V637" s="10"/>
      <c r="W637" s="10"/>
      <c r="X637" s="19"/>
      <c r="Y637" s="1"/>
      <c r="Z637" s="1"/>
      <c r="AA637" s="1"/>
    </row>
    <row r="638" customHeight="1" spans="1:27">
      <c r="A638" s="1" t="str">
        <f>IFERROR(__xludf.DUMMYFUNCTION("""COMPUTED_VALUE"""),"Magda 21")</f>
        <v>Magda 21</v>
      </c>
      <c r="B638" s="1" t="str">
        <f>IFERROR(__xludf.DUMMYFUNCTION("""COMPUTED_VALUE"""),"Magda 24")</f>
        <v>Magda 24</v>
      </c>
      <c r="C638" s="1" t="str">
        <f>IFERROR(__xludf.DUMMYFUNCTION("""COMPUTED_VALUE"""),"Magda 34")</f>
        <v>Magda 34</v>
      </c>
      <c r="D638" s="1" t="str">
        <f>IFERROR(__xludf.DUMMYFUNCTION("""COMPUTED_VALUE"""),"Sand Cave 30L")</f>
        <v>Sand Cave 30L</v>
      </c>
      <c r="E638" s="30" t="str">
        <f>IFERROR(__xludf.DUMMYFUNCTION("""COMPUTED_VALUE"""),"SCave 30L")</f>
        <v>SCave 30L</v>
      </c>
      <c r="F638" s="10">
        <f>IFERROR(__xludf.DUMMYFUNCTION("""COMPUTED_VALUE"""),333.696862801)</f>
        <v>333.696862801</v>
      </c>
      <c r="G638" s="10">
        <f>IFERROR(__xludf.DUMMYFUNCTION("""COMPUTED_VALUE"""),-31.8475602189999)</f>
        <v>-31.8475602189999</v>
      </c>
      <c r="H638" s="10">
        <f>IFERROR(__xludf.DUMMYFUNCTION("""COMPUTED_VALUE"""),-63.08439721)</f>
        <v>-63.08439721</v>
      </c>
      <c r="I638" s="13"/>
      <c r="J638" s="13"/>
      <c r="K638" s="13"/>
      <c r="L638" s="13"/>
      <c r="M638" s="1" t="b">
        <f>IFERROR(__xludf.DUMMYFUNCTION("""COMPUTED_VALUE"""),FALSE)</f>
        <v>0</v>
      </c>
      <c r="N638" s="10">
        <f>IFERROR(__xludf.DUMMYFUNCTION("""COMPUTED_VALUE"""),0)</f>
        <v>0</v>
      </c>
      <c r="O638" s="10">
        <f>IFERROR(__xludf.DUMMYFUNCTION("""COMPUTED_VALUE"""),0)</f>
        <v>0</v>
      </c>
      <c r="P638" s="10"/>
      <c r="Q638" s="30"/>
      <c r="R638" s="18"/>
      <c r="S638" s="19"/>
      <c r="T638" s="10"/>
      <c r="U638" s="10"/>
      <c r="V638" s="10"/>
      <c r="W638" s="10"/>
      <c r="X638" s="19"/>
      <c r="Y638" s="1"/>
      <c r="Z638" s="1"/>
      <c r="AA638" s="1"/>
    </row>
    <row r="639" customHeight="1" spans="1:27">
      <c r="A639" s="1" t="str">
        <f>IFERROR(__xludf.DUMMYFUNCTION("""COMPUTED_VALUE"""),"Magda 14")</f>
        <v>Magda 14</v>
      </c>
      <c r="B639" s="1" t="str">
        <f>IFERROR(__xludf.DUMMYFUNCTION("""COMPUTED_VALUE"""),"Magda 17")</f>
        <v>Magda 17</v>
      </c>
      <c r="C639" s="1" t="str">
        <f>IFERROR(__xludf.DUMMYFUNCTION("""COMPUTED_VALUE"""),"Magda 39")</f>
        <v>Magda 39</v>
      </c>
      <c r="D639" s="1" t="str">
        <f>IFERROR(__xludf.DUMMYFUNCTION("""COMPUTED_VALUE"""),"Sand Cave 18K")</f>
        <v>Sand Cave 18K</v>
      </c>
      <c r="E639" s="30" t="str">
        <f>IFERROR(__xludf.DUMMYFUNCTION("""COMPUTED_VALUE"""),"SCave 18K")</f>
        <v>SCave 18K</v>
      </c>
      <c r="F639" s="10">
        <f>IFERROR(__xludf.DUMMYFUNCTION("""COMPUTED_VALUE"""),89.0087115219999)</f>
        <v>89.0087115219999</v>
      </c>
      <c r="G639" s="10">
        <f>IFERROR(__xludf.DUMMYFUNCTION("""COMPUTED_VALUE"""),-305.310306198999)</f>
        <v>-305.310306198999</v>
      </c>
      <c r="H639" s="10">
        <f>IFERROR(__xludf.DUMMYFUNCTION("""COMPUTED_VALUE"""),-123.379447669999)</f>
        <v>-123.379447669999</v>
      </c>
      <c r="I639" s="13"/>
      <c r="J639" s="13"/>
      <c r="K639" s="13"/>
      <c r="L639" s="13"/>
      <c r="M639" s="1" t="b">
        <f>IFERROR(__xludf.DUMMYFUNCTION("""COMPUTED_VALUE"""),FALSE)</f>
        <v>0</v>
      </c>
      <c r="N639" s="10">
        <f>IFERROR(__xludf.DUMMYFUNCTION("""COMPUTED_VALUE"""),0)</f>
        <v>0</v>
      </c>
      <c r="O639" s="10">
        <f>IFERROR(__xludf.DUMMYFUNCTION("""COMPUTED_VALUE"""),0)</f>
        <v>0</v>
      </c>
      <c r="P639" s="10"/>
      <c r="Q639" s="30"/>
      <c r="R639" s="18"/>
      <c r="S639" s="19"/>
      <c r="T639" s="10"/>
      <c r="U639" s="10"/>
      <c r="V639" s="10"/>
      <c r="W639" s="10"/>
      <c r="X639" s="19"/>
      <c r="Y639" s="1"/>
      <c r="Z639" s="1"/>
      <c r="AA639" s="1"/>
    </row>
    <row r="640" customHeight="1" spans="1:27">
      <c r="A640" s="1" t="str">
        <f>IFERROR(__xludf.DUMMYFUNCTION("""COMPUTED_VALUE"""),"Magda 15")</f>
        <v>Magda 15</v>
      </c>
      <c r="B640" s="1" t="str">
        <f>IFERROR(__xludf.DUMMYFUNCTION("""COMPUTED_VALUE"""),"Magda 18")</f>
        <v>Magda 18</v>
      </c>
      <c r="C640" s="1" t="str">
        <f>IFERROR(__xludf.DUMMYFUNCTION("""COMPUTED_VALUE"""),"Magda 40")</f>
        <v>Magda 40</v>
      </c>
      <c r="D640" s="1" t="str">
        <f>IFERROR(__xludf.DUMMYFUNCTION("""COMPUTED_VALUE"""),"Sand Cave 18L")</f>
        <v>Sand Cave 18L</v>
      </c>
      <c r="E640" s="30" t="str">
        <f>IFERROR(__xludf.DUMMYFUNCTION("""COMPUTED_VALUE"""),"SCave 18L")</f>
        <v>SCave 18L</v>
      </c>
      <c r="F640" s="10">
        <f>IFERROR(__xludf.DUMMYFUNCTION("""COMPUTED_VALUE"""),88.6026369649999)</f>
        <v>88.6026369649999</v>
      </c>
      <c r="G640" s="10">
        <f>IFERROR(__xludf.DUMMYFUNCTION("""COMPUTED_VALUE"""),-316.726528087)</f>
        <v>-316.726528087</v>
      </c>
      <c r="H640" s="10">
        <f>IFERROR(__xludf.DUMMYFUNCTION("""COMPUTED_VALUE"""),-90.3123154369999)</f>
        <v>-90.3123154369999</v>
      </c>
      <c r="I640" s="13"/>
      <c r="J640" s="13"/>
      <c r="K640" s="13"/>
      <c r="L640" s="13"/>
      <c r="M640" s="1" t="b">
        <f>IFERROR(__xludf.DUMMYFUNCTION("""COMPUTED_VALUE"""),FALSE)</f>
        <v>0</v>
      </c>
      <c r="N640" s="10">
        <f>IFERROR(__xludf.DUMMYFUNCTION("""COMPUTED_VALUE"""),0)</f>
        <v>0</v>
      </c>
      <c r="O640" s="10">
        <f>IFERROR(__xludf.DUMMYFUNCTION("""COMPUTED_VALUE"""),0)</f>
        <v>0</v>
      </c>
      <c r="P640" s="10"/>
      <c r="Q640" s="30"/>
      <c r="R640" s="18"/>
      <c r="S640" s="19"/>
      <c r="T640" s="10"/>
      <c r="U640" s="10"/>
      <c r="V640" s="10"/>
      <c r="W640" s="10"/>
      <c r="X640" s="19"/>
      <c r="Y640" s="1"/>
      <c r="Z640" s="1"/>
      <c r="AA640" s="1"/>
    </row>
    <row r="641" customHeight="1" spans="1:27">
      <c r="A641" s="1" t="str">
        <f>IFERROR(__xludf.DUMMYFUNCTION("""COMPUTED_VALUE"""),"Magda 19")</f>
        <v>Magda 19</v>
      </c>
      <c r="B641" s="1" t="str">
        <f>IFERROR(__xludf.DUMMYFUNCTION("""COMPUTED_VALUE"""),"Magda 22")</f>
        <v>Magda 22</v>
      </c>
      <c r="C641" s="1" t="str">
        <f>IFERROR(__xludf.DUMMYFUNCTION("""COMPUTED_VALUE"""),"Magda 35")</f>
        <v>Magda 35</v>
      </c>
      <c r="D641" s="1" t="str">
        <f>IFERROR(__xludf.DUMMYFUNCTION("""COMPUTED_VALUE"""),"Sand Cave 26R")</f>
        <v>Sand Cave 26R</v>
      </c>
      <c r="E641" s="30" t="str">
        <f>IFERROR(__xludf.DUMMYFUNCTION("""COMPUTED_VALUE"""),"SCave 26R")</f>
        <v>SCave 26R</v>
      </c>
      <c r="F641" s="10">
        <f>IFERROR(__xludf.DUMMYFUNCTION("""COMPUTED_VALUE"""),256.942686605)</f>
        <v>256.942686605</v>
      </c>
      <c r="G641" s="10">
        <f>IFERROR(__xludf.DUMMYFUNCTION("""COMPUTED_VALUE"""),-137.421508967)</f>
        <v>-137.421508967</v>
      </c>
      <c r="H641" s="10">
        <f>IFERROR(__xludf.DUMMYFUNCTION("""COMPUTED_VALUE"""),177.50817343)</f>
        <v>177.50817343</v>
      </c>
      <c r="I641" s="13"/>
      <c r="J641" s="13"/>
      <c r="K641" s="13"/>
      <c r="L641" s="13"/>
      <c r="M641" s="1" t="b">
        <f>IFERROR(__xludf.DUMMYFUNCTION("""COMPUTED_VALUE"""),FALSE)</f>
        <v>0</v>
      </c>
      <c r="N641" s="10">
        <f>IFERROR(__xludf.DUMMYFUNCTION("""COMPUTED_VALUE"""),0)</f>
        <v>0</v>
      </c>
      <c r="O641" s="10">
        <f>IFERROR(__xludf.DUMMYFUNCTION("""COMPUTED_VALUE"""),0)</f>
        <v>0</v>
      </c>
      <c r="P641" s="10"/>
      <c r="Q641" s="30"/>
      <c r="R641" s="18"/>
      <c r="S641" s="19"/>
      <c r="T641" s="10"/>
      <c r="U641" s="10"/>
      <c r="V641" s="10"/>
      <c r="W641" s="10"/>
      <c r="X641" s="19"/>
      <c r="Y641" s="1"/>
      <c r="Z641" s="1"/>
      <c r="AA641" s="1"/>
    </row>
    <row r="642" customHeight="1" spans="1:27">
      <c r="A642" s="1" t="str">
        <f>IFERROR(__xludf.DUMMYFUNCTION("""COMPUTED_VALUE"""),"Magda 11")</f>
        <v>Magda 11</v>
      </c>
      <c r="B642" s="1" t="str">
        <f>IFERROR(__xludf.DUMMYFUNCTION("""COMPUTED_VALUE"""),"Magda 14")</f>
        <v>Magda 14</v>
      </c>
      <c r="C642" s="1" t="str">
        <f>IFERROR(__xludf.DUMMYFUNCTION("""COMPUTED_VALUE"""),"Magda 42")</f>
        <v>Magda 42</v>
      </c>
      <c r="D642" s="1" t="str">
        <f>IFERROR(__xludf.DUMMYFUNCTION("""COMPUTED_VALUE"""),"Sand Cave 16K")</f>
        <v>Sand Cave 16K</v>
      </c>
      <c r="E642" s="1" t="str">
        <f>IFERROR(__xludf.DUMMYFUNCTION("""COMPUTED_VALUE"""),"SCave 16K")</f>
        <v>SCave 16K</v>
      </c>
      <c r="F642" s="2">
        <f>IFERROR(__xludf.DUMMYFUNCTION("""COMPUTED_VALUE"""),15.794360497)</f>
        <v>15.794360497</v>
      </c>
      <c r="G642" s="2">
        <f>IFERROR(__xludf.DUMMYFUNCTION("""COMPUTED_VALUE"""),-324.733333654)</f>
        <v>-324.733333654</v>
      </c>
      <c r="H642" s="2">
        <f>IFERROR(__xludf.DUMMYFUNCTION("""COMPUTED_VALUE"""),-103.002587484)</f>
        <v>-103.002587484</v>
      </c>
      <c r="I642" s="1"/>
      <c r="J642" s="1"/>
      <c r="K642" s="1"/>
      <c r="L642" s="1"/>
      <c r="M642" s="1" t="b">
        <f>IFERROR(__xludf.DUMMYFUNCTION("""COMPUTED_VALUE"""),FALSE)</f>
        <v>0</v>
      </c>
      <c r="N642" s="2">
        <f>IFERROR(__xludf.DUMMYFUNCTION("""COMPUTED_VALUE"""),0)</f>
        <v>0</v>
      </c>
      <c r="O642" s="2">
        <f>IFERROR(__xludf.DUMMYFUNCTION("""COMPUTED_VALUE"""),0)</f>
        <v>0</v>
      </c>
      <c r="P642" s="1"/>
      <c r="Q642" s="1"/>
      <c r="R642" s="1"/>
      <c r="S642" s="1"/>
      <c r="T642" s="1"/>
      <c r="U642" s="1"/>
      <c r="V642" s="1"/>
      <c r="W642" s="1"/>
      <c r="X642" s="1"/>
      <c r="Y642" s="1"/>
      <c r="Z642" s="1"/>
      <c r="AA642" s="1"/>
    </row>
    <row r="643" customHeight="1" spans="1:27">
      <c r="A643" s="1" t="str">
        <f>IFERROR(__xludf.DUMMYFUNCTION("""COMPUTED_VALUE"""),"Magda 12")</f>
        <v>Magda 12</v>
      </c>
      <c r="B643" s="1" t="str">
        <f>IFERROR(__xludf.DUMMYFUNCTION("""COMPUTED_VALUE"""),"Magda 15")</f>
        <v>Magda 15</v>
      </c>
      <c r="C643" s="1" t="str">
        <f>IFERROR(__xludf.DUMMYFUNCTION("""COMPUTED_VALUE"""),"Magda 43")</f>
        <v>Magda 43</v>
      </c>
      <c r="D643" s="1" t="str">
        <f>IFERROR(__xludf.DUMMYFUNCTION("""COMPUTED_VALUE"""),"Sand Cave 16M")</f>
        <v>Sand Cave 16M</v>
      </c>
      <c r="E643" s="30" t="str">
        <f>IFERROR(__xludf.DUMMYFUNCTION("""COMPUTED_VALUE"""),"SCave 16M")</f>
        <v>SCave 16M</v>
      </c>
      <c r="F643" s="10">
        <f>IFERROR(__xludf.DUMMYFUNCTION("""COMPUTED_VALUE"""),4.628156264)</f>
        <v>4.628156264</v>
      </c>
      <c r="G643" s="10">
        <f>IFERROR(__xludf.DUMMYFUNCTION("""COMPUTED_VALUE"""),-341.064784410999)</f>
        <v>-341.064784410999</v>
      </c>
      <c r="H643" s="10">
        <f>IFERROR(__xludf.DUMMYFUNCTION("""COMPUTED_VALUE"""),-2.503968433)</f>
        <v>-2.503968433</v>
      </c>
      <c r="I643" s="13"/>
      <c r="J643" s="13"/>
      <c r="K643" s="13"/>
      <c r="L643" s="13"/>
      <c r="M643" s="1" t="b">
        <f>IFERROR(__xludf.DUMMYFUNCTION("""COMPUTED_VALUE"""),FALSE)</f>
        <v>0</v>
      </c>
      <c r="N643" s="10">
        <f>IFERROR(__xludf.DUMMYFUNCTION("""COMPUTED_VALUE"""),0)</f>
        <v>0</v>
      </c>
      <c r="O643" s="10">
        <f>IFERROR(__xludf.DUMMYFUNCTION("""COMPUTED_VALUE"""),0)</f>
        <v>0</v>
      </c>
      <c r="P643" s="10"/>
      <c r="Q643" s="30"/>
      <c r="R643" s="18"/>
      <c r="S643" s="19"/>
      <c r="T643" s="10"/>
      <c r="U643" s="10"/>
      <c r="V643" s="10"/>
      <c r="W643" s="10"/>
      <c r="X643" s="19"/>
      <c r="Y643" s="1"/>
      <c r="Z643" s="1"/>
      <c r="AA643" s="1"/>
    </row>
    <row r="644" customHeight="1" spans="1:27">
      <c r="A644" s="1" t="str">
        <f>IFERROR(__xludf.DUMMYFUNCTION("""COMPUTED_VALUE"""),"Magda 13")</f>
        <v>Magda 13</v>
      </c>
      <c r="B644" s="1" t="str">
        <f>IFERROR(__xludf.DUMMYFUNCTION("""COMPUTED_VALUE"""),"Magda 16")</f>
        <v>Magda 16</v>
      </c>
      <c r="C644" s="1" t="str">
        <f>IFERROR(__xludf.DUMMYFUNCTION("""COMPUTED_VALUE"""),"Magda 41")</f>
        <v>Magda 41</v>
      </c>
      <c r="D644" s="1" t="str">
        <f>IFERROR(__xludf.DUMMYFUNCTION("""COMPUTED_VALUE"""),"Sand Cave 17Q")</f>
        <v>Sand Cave 17Q</v>
      </c>
      <c r="E644" s="1" t="str">
        <f>IFERROR(__xludf.DUMMYFUNCTION("""COMPUTED_VALUE"""),"SCave 17Q")</f>
        <v>SCave 17Q</v>
      </c>
      <c r="F644" s="2">
        <f>IFERROR(__xludf.DUMMYFUNCTION("""COMPUTED_VALUE"""),61.39611467)</f>
        <v>61.39611467</v>
      </c>
      <c r="G644" s="2">
        <f>IFERROR(__xludf.DUMMYFUNCTION("""COMPUTED_VALUE"""),-308.035902886)</f>
        <v>-308.035902886</v>
      </c>
      <c r="H644" s="2">
        <f>IFERROR(__xludf.DUMMYFUNCTION("""COMPUTED_VALUE"""),132.850799040999)</f>
        <v>132.850799040999</v>
      </c>
      <c r="I644" s="1"/>
      <c r="J644" s="1"/>
      <c r="K644" s="1"/>
      <c r="L644" s="1"/>
      <c r="M644" s="1" t="b">
        <f>IFERROR(__xludf.DUMMYFUNCTION("""COMPUTED_VALUE"""),FALSE)</f>
        <v>0</v>
      </c>
      <c r="N644" s="2">
        <f>IFERROR(__xludf.DUMMYFUNCTION("""COMPUTED_VALUE"""),0)</f>
        <v>0</v>
      </c>
      <c r="O644" s="2">
        <f>IFERROR(__xludf.DUMMYFUNCTION("""COMPUTED_VALUE"""),0)</f>
        <v>0</v>
      </c>
      <c r="P644" s="1"/>
      <c r="Q644" s="1"/>
      <c r="R644" s="1"/>
      <c r="S644" s="1"/>
      <c r="T644" s="1"/>
      <c r="U644" s="1"/>
      <c r="V644" s="1"/>
      <c r="W644" s="1"/>
      <c r="X644" s="1"/>
      <c r="Y644" s="1"/>
      <c r="Z644" s="1"/>
      <c r="AA644" s="1"/>
    </row>
    <row r="645" customHeight="1" spans="1:27">
      <c r="A645" s="1" t="str">
        <f>IFERROR(__xludf.DUMMYFUNCTION("""COMPUTED_VALUE"""),"Magda 27")</f>
        <v>Magda 27</v>
      </c>
      <c r="B645" s="1" t="str">
        <f>IFERROR(__xludf.DUMMYFUNCTION("""COMPUTED_VALUE"""),"Magda 30")</f>
        <v>Magda 30</v>
      </c>
      <c r="C645" s="1" t="str">
        <f>IFERROR(__xludf.DUMMYFUNCTION("""COMPUTED_VALUE"""),"Magda 24")</f>
        <v>Magda 24</v>
      </c>
      <c r="D645" s="1" t="str">
        <f>IFERROR(__xludf.DUMMYFUNCTION("""COMPUTED_VALUE"""),"Sand Cave 36R")</f>
        <v>Sand Cave 36R</v>
      </c>
      <c r="E645" s="1" t="str">
        <f>IFERROR(__xludf.DUMMYFUNCTION("""COMPUTED_VALUE"""),"SCave 36R")</f>
        <v>SCave 36R</v>
      </c>
      <c r="F645" s="2">
        <f>IFERROR(__xludf.DUMMYFUNCTION("""COMPUTED_VALUE"""),250.097576582)</f>
        <v>250.097576582</v>
      </c>
      <c r="G645" s="2">
        <f>IFERROR(__xludf.DUMMYFUNCTION("""COMPUTED_VALUE"""),176.884149874)</f>
        <v>176.884149874</v>
      </c>
      <c r="H645" s="2">
        <f>IFERROR(__xludf.DUMMYFUNCTION("""COMPUTED_VALUE"""),150.369856696)</f>
        <v>150.369856696</v>
      </c>
      <c r="I645" s="1"/>
      <c r="J645" s="1"/>
      <c r="K645" s="1"/>
      <c r="L645" s="1"/>
      <c r="M645" s="1" t="b">
        <f>IFERROR(__xludf.DUMMYFUNCTION("""COMPUTED_VALUE"""),FALSE)</f>
        <v>0</v>
      </c>
      <c r="N645" s="2">
        <f>IFERROR(__xludf.DUMMYFUNCTION("""COMPUTED_VALUE"""),0)</f>
        <v>0</v>
      </c>
      <c r="O645" s="2">
        <f>IFERROR(__xludf.DUMMYFUNCTION("""COMPUTED_VALUE"""),0)</f>
        <v>0</v>
      </c>
      <c r="P645" s="1"/>
      <c r="Q645" s="1"/>
      <c r="R645" s="1"/>
      <c r="S645" s="1"/>
      <c r="T645" s="1"/>
      <c r="U645" s="1"/>
      <c r="V645" s="1"/>
      <c r="W645" s="1"/>
      <c r="X645" s="1"/>
      <c r="Y645" s="1"/>
      <c r="Z645" s="1"/>
      <c r="AA645" s="1"/>
    </row>
    <row r="646" customHeight="1" spans="1:27">
      <c r="A646" s="1" t="str">
        <f>IFERROR(__xludf.DUMMYFUNCTION("""COMPUTED_VALUE"""),"Magda 28")</f>
        <v>Magda 28</v>
      </c>
      <c r="B646" s="1" t="str">
        <f>IFERROR(__xludf.DUMMYFUNCTION("""COMPUTED_VALUE"""),"Magda 31")</f>
        <v>Magda 31</v>
      </c>
      <c r="C646" s="1" t="str">
        <f>IFERROR(__xludf.DUMMYFUNCTION("""COMPUTED_VALUE"""),"Magda 22")</f>
        <v>Magda 22</v>
      </c>
      <c r="D646" s="1" t="str">
        <f>IFERROR(__xludf.DUMMYFUNCTION("""COMPUTED_VALUE"""),"Sand Cave 43P")</f>
        <v>Sand Cave 43P</v>
      </c>
      <c r="E646" s="1" t="str">
        <f>IFERROR(__xludf.DUMMYFUNCTION("""COMPUTED_VALUE"""),"SCave 43P")</f>
        <v>SCave 43P</v>
      </c>
      <c r="F646" s="2">
        <f>IFERROR(__xludf.DUMMYFUNCTION("""COMPUTED_VALUE"""),90.864068077)</f>
        <v>90.864068077</v>
      </c>
      <c r="G646" s="2">
        <f>IFERROR(__xludf.DUMMYFUNCTION("""COMPUTED_VALUE"""),318.981595924)</f>
        <v>318.981595924</v>
      </c>
      <c r="H646" s="2">
        <f>IFERROR(__xludf.DUMMYFUNCTION("""COMPUTED_VALUE"""),79.913883088)</f>
        <v>79.913883088</v>
      </c>
      <c r="I646" s="1"/>
      <c r="J646" s="1"/>
      <c r="K646" s="1"/>
      <c r="L646" s="1"/>
      <c r="M646" s="1" t="b">
        <f>IFERROR(__xludf.DUMMYFUNCTION("""COMPUTED_VALUE"""),FALSE)</f>
        <v>0</v>
      </c>
      <c r="N646" s="2">
        <f>IFERROR(__xludf.DUMMYFUNCTION("""COMPUTED_VALUE"""),0)</f>
        <v>0</v>
      </c>
      <c r="O646" s="2">
        <f>IFERROR(__xludf.DUMMYFUNCTION("""COMPUTED_VALUE"""),0)</f>
        <v>0</v>
      </c>
      <c r="P646" s="1"/>
      <c r="Q646" s="1"/>
      <c r="R646" s="1"/>
      <c r="S646" s="1"/>
      <c r="T646" s="1"/>
      <c r="U646" s="1"/>
      <c r="V646" s="1"/>
      <c r="W646" s="1"/>
      <c r="X646" s="1"/>
      <c r="Y646" s="1"/>
      <c r="Z646" s="1"/>
      <c r="AA646" s="1"/>
    </row>
    <row r="647" customHeight="1" spans="1:27">
      <c r="A647" s="1" t="str">
        <f>IFERROR(__xludf.DUMMYFUNCTION("""COMPUTED_VALUE"""),"Magda 44")</f>
        <v>Magda 44</v>
      </c>
      <c r="B647" s="1" t="str">
        <f>IFERROR(__xludf.DUMMYFUNCTION("""COMPUTED_VALUE"""),"Magda 47")</f>
        <v>Magda 47</v>
      </c>
      <c r="C647" s="1" t="str">
        <f>IFERROR(__xludf.DUMMYFUNCTION("""COMPUTED_VALUE"""),"Magda 03")</f>
        <v>Magda 03</v>
      </c>
      <c r="D647" s="1" t="str">
        <f>IFERROR(__xludf.DUMMYFUNCTION("""COMPUTED_VALUE"""),"Sand Cave 57P")</f>
        <v>Sand Cave 57P</v>
      </c>
      <c r="E647" s="1" t="str">
        <f>IFERROR(__xludf.DUMMYFUNCTION("""COMPUTED_VALUE"""),"SCave 57P")</f>
        <v>SCave 57P</v>
      </c>
      <c r="F647" s="2">
        <f>IFERROR(__xludf.DUMMYFUNCTION("""COMPUTED_VALUE"""),-312.569947294)</f>
        <v>-312.569947294</v>
      </c>
      <c r="G647" s="2">
        <f>IFERROR(__xludf.DUMMYFUNCTION("""COMPUTED_VALUE"""),125.521328431999)</f>
        <v>125.521328431999</v>
      </c>
      <c r="H647" s="2">
        <f>IFERROR(__xludf.DUMMYFUNCTION("""COMPUTED_VALUE"""),54.650402131)</f>
        <v>54.650402131</v>
      </c>
      <c r="I647" s="1"/>
      <c r="J647" s="1"/>
      <c r="K647" s="1"/>
      <c r="L647" s="1"/>
      <c r="M647" s="1" t="b">
        <f>IFERROR(__xludf.DUMMYFUNCTION("""COMPUTED_VALUE"""),FALSE)</f>
        <v>0</v>
      </c>
      <c r="N647" s="2">
        <f>IFERROR(__xludf.DUMMYFUNCTION("""COMPUTED_VALUE"""),0)</f>
        <v>0</v>
      </c>
      <c r="O647" s="2">
        <f>IFERROR(__xludf.DUMMYFUNCTION("""COMPUTED_VALUE"""),0)</f>
        <v>0</v>
      </c>
      <c r="P647" s="1"/>
      <c r="Q647" s="1"/>
      <c r="R647" s="1"/>
      <c r="S647" s="1"/>
      <c r="T647" s="1"/>
      <c r="U647" s="1"/>
      <c r="V647" s="1"/>
      <c r="W647" s="1"/>
      <c r="X647" s="1"/>
      <c r="Y647" s="1"/>
      <c r="Z647" s="1"/>
      <c r="AA647" s="1"/>
    </row>
    <row r="648" customHeight="1" spans="1:27">
      <c r="A648" s="1" t="str">
        <f>IFERROR(__xludf.DUMMYFUNCTION("""COMPUTED_VALUE"""),"Magda 16")</f>
        <v>Magda 16</v>
      </c>
      <c r="B648" s="1" t="str">
        <f>IFERROR(__xludf.DUMMYFUNCTION("""COMPUTED_VALUE"""),"Magda 19")</f>
        <v>Magda 19</v>
      </c>
      <c r="C648" s="1" t="str">
        <f>IFERROR(__xludf.DUMMYFUNCTION("""COMPUTED_VALUE"""),"Magda 38")</f>
        <v>Magda 38</v>
      </c>
      <c r="D648" s="1" t="str">
        <f>IFERROR(__xludf.DUMMYFUNCTION("""COMPUTED_VALUE"""),"Sand Cave 21R")</f>
        <v>Sand Cave 21R</v>
      </c>
      <c r="E648" s="1" t="str">
        <f>IFERROR(__xludf.DUMMYFUNCTION("""COMPUTED_VALUE"""),"SCave 21R")</f>
        <v>SCave 21R</v>
      </c>
      <c r="F648" s="2">
        <f>IFERROR(__xludf.DUMMYFUNCTION("""COMPUTED_VALUE"""),160.170224323)</f>
        <v>160.170224323</v>
      </c>
      <c r="G648" s="2">
        <f>IFERROR(__xludf.DUMMYFUNCTION("""COMPUTED_VALUE"""),-254.642820612)</f>
        <v>-254.642820612</v>
      </c>
      <c r="H648" s="2">
        <f>IFERROR(__xludf.DUMMYFUNCTION("""COMPUTED_VALUE"""),160.223743997999)</f>
        <v>160.223743997999</v>
      </c>
      <c r="I648" s="1"/>
      <c r="J648" s="1"/>
      <c r="K648" s="1"/>
      <c r="L648" s="1"/>
      <c r="M648" s="1" t="b">
        <f>IFERROR(__xludf.DUMMYFUNCTION("""COMPUTED_VALUE"""),FALSE)</f>
        <v>0</v>
      </c>
      <c r="N648" s="2">
        <f>IFERROR(__xludf.DUMMYFUNCTION("""COMPUTED_VALUE"""),0)</f>
        <v>0</v>
      </c>
      <c r="O648" s="2">
        <f>IFERROR(__xludf.DUMMYFUNCTION("""COMPUTED_VALUE"""),0)</f>
        <v>0</v>
      </c>
      <c r="P648" s="1"/>
      <c r="Q648" s="1"/>
      <c r="R648" s="1"/>
      <c r="S648" s="1"/>
      <c r="T648" s="1"/>
      <c r="U648" s="1"/>
      <c r="V648" s="1"/>
      <c r="W648" s="1"/>
      <c r="X648" s="1"/>
      <c r="Y648" s="1"/>
      <c r="Z648" s="1"/>
      <c r="AA648" s="1"/>
    </row>
    <row r="649" customHeight="1" spans="1:27">
      <c r="A649" s="1" t="str">
        <f>IFERROR(__xludf.DUMMYFUNCTION("""COMPUTED_VALUE"""),"Magda 17")</f>
        <v>Magda 17</v>
      </c>
      <c r="B649" s="1" t="str">
        <f>IFERROR(__xludf.DUMMYFUNCTION("""COMPUTED_VALUE"""),"Magda 20")</f>
        <v>Magda 20</v>
      </c>
      <c r="C649" s="1" t="str">
        <f>IFERROR(__xludf.DUMMYFUNCTION("""COMPUTED_VALUE"""),"Magda 37")</f>
        <v>Magda 37</v>
      </c>
      <c r="D649" s="1" t="str">
        <f>IFERROR(__xludf.DUMMYFUNCTION("""COMPUTED_VALUE"""),"Sand Cave 23E")</f>
        <v>Sand Cave 23E</v>
      </c>
      <c r="E649" s="1" t="str">
        <f>IFERROR(__xludf.DUMMYFUNCTION("""COMPUTED_VALUE"""),"SCave 23E")</f>
        <v>SCave 23E</v>
      </c>
      <c r="F649" s="2">
        <f>IFERROR(__xludf.DUMMYFUNCTION("""COMPUTED_VALUE"""),130.791772526)</f>
        <v>130.791772526</v>
      </c>
      <c r="G649" s="2">
        <f>IFERROR(__xludf.DUMMYFUNCTION("""COMPUTED_VALUE"""),-136.815347255)</f>
        <v>-136.815347255</v>
      </c>
      <c r="H649" s="2">
        <f>IFERROR(__xludf.DUMMYFUNCTION("""COMPUTED_VALUE"""),-283.682960979999)</f>
        <v>-283.682960979999</v>
      </c>
      <c r="I649" s="1"/>
      <c r="J649" s="1"/>
      <c r="K649" s="1"/>
      <c r="L649" s="1"/>
      <c r="M649" s="1" t="b">
        <f>IFERROR(__xludf.DUMMYFUNCTION("""COMPUTED_VALUE"""),FALSE)</f>
        <v>0</v>
      </c>
      <c r="N649" s="2">
        <f>IFERROR(__xludf.DUMMYFUNCTION("""COMPUTED_VALUE"""),0)</f>
        <v>0</v>
      </c>
      <c r="O649" s="2">
        <f>IFERROR(__xludf.DUMMYFUNCTION("""COMPUTED_VALUE"""),0)</f>
        <v>0</v>
      </c>
      <c r="P649" s="1"/>
      <c r="Q649" s="1"/>
      <c r="R649" s="1"/>
      <c r="S649" s="1"/>
      <c r="T649" s="1"/>
      <c r="U649" s="1"/>
      <c r="V649" s="1"/>
      <c r="W649" s="1"/>
      <c r="X649" s="1"/>
      <c r="Y649" s="1"/>
      <c r="Z649" s="1"/>
      <c r="AA649" s="1"/>
    </row>
    <row r="650" customHeight="1" spans="1:27">
      <c r="A650" s="1" t="str">
        <f>IFERROR(__xludf.DUMMYFUNCTION("""COMPUTED_VALUE"""),"Magda 07")</f>
        <v>Magda 07</v>
      </c>
      <c r="B650" s="1" t="str">
        <f>IFERROR(__xludf.DUMMYFUNCTION("""COMPUTED_VALUE"""),"Magda 10")</f>
        <v>Magda 10</v>
      </c>
      <c r="C650" s="1" t="str">
        <f>IFERROR(__xludf.DUMMYFUNCTION("""COMPUTED_VALUE"""),"Magda 53")</f>
        <v>Magda 53</v>
      </c>
      <c r="D650" s="1" t="str">
        <f>IFERROR(__xludf.DUMMYFUNCTION("""COMPUTED_VALUE"""),"Sand Cave 01V")</f>
        <v>Sand Cave 01V</v>
      </c>
      <c r="E650" s="1" t="str">
        <f>IFERROR(__xludf.DUMMYFUNCTION("""COMPUTED_VALUE"""),"SCave 01V")</f>
        <v>SCave 01V</v>
      </c>
      <c r="F650" s="2">
        <f>IFERROR(__xludf.DUMMYFUNCTION("""COMPUTED_VALUE"""),-169.421950351)</f>
        <v>-169.421950351</v>
      </c>
      <c r="G650" s="2">
        <f>IFERROR(__xludf.DUMMYFUNCTION("""COMPUTED_VALUE"""),-9.72948166499999)</f>
        <v>-9.72948166499999</v>
      </c>
      <c r="H650" s="2">
        <f>IFERROR(__xludf.DUMMYFUNCTION("""COMPUTED_VALUE"""),295.755307564)</f>
        <v>295.755307564</v>
      </c>
      <c r="I650" s="1"/>
      <c r="J650" s="1"/>
      <c r="K650" s="1"/>
      <c r="L650" s="1"/>
      <c r="M650" s="1" t="b">
        <f>IFERROR(__xludf.DUMMYFUNCTION("""COMPUTED_VALUE"""),FALSE)</f>
        <v>0</v>
      </c>
      <c r="N650" s="2">
        <f>IFERROR(__xludf.DUMMYFUNCTION("""COMPUTED_VALUE"""),0)</f>
        <v>0</v>
      </c>
      <c r="O650" s="2">
        <f>IFERROR(__xludf.DUMMYFUNCTION("""COMPUTED_VALUE"""),0)</f>
        <v>0</v>
      </c>
      <c r="P650" s="1"/>
      <c r="Q650" s="1"/>
      <c r="R650" s="1"/>
      <c r="S650" s="1"/>
      <c r="T650" s="1"/>
      <c r="U650" s="1"/>
      <c r="V650" s="1"/>
      <c r="W650" s="1"/>
      <c r="X650" s="1"/>
      <c r="Y650" s="1"/>
      <c r="Z650" s="1"/>
      <c r="AA650" s="1"/>
    </row>
    <row r="651" customHeight="1" spans="1:27">
      <c r="A651" s="1" t="str">
        <f>IFERROR(__xludf.DUMMYFUNCTION("""COMPUTED_VALUE"""),"Magda")</f>
        <v>Magda</v>
      </c>
      <c r="B651" s="1" t="str">
        <f>IFERROR(__xludf.DUMMYFUNCTION("""COMPUTED_VALUE"""),"Magda 50")</f>
        <v>Magda 50</v>
      </c>
      <c r="C651" s="1"/>
      <c r="D651" s="1" t="str">
        <f>IFERROR(__xludf.DUMMYFUNCTION("""COMPUTED_VALUE"""),"Wrecks")</f>
        <v>Wrecks</v>
      </c>
      <c r="E651" s="30"/>
      <c r="F651" s="10"/>
      <c r="G651" s="10"/>
      <c r="H651" s="10"/>
      <c r="I651" s="13"/>
      <c r="J651" s="13"/>
      <c r="K651" s="13"/>
      <c r="L651" s="13"/>
      <c r="M651" s="1"/>
      <c r="N651" s="10"/>
      <c r="O651" s="10"/>
      <c r="P651" s="10"/>
      <c r="Q651" s="30"/>
      <c r="R651" s="18"/>
      <c r="S651" s="19"/>
      <c r="T651" s="10"/>
      <c r="U651" s="10"/>
      <c r="V651" s="10"/>
      <c r="W651" s="10"/>
      <c r="X651" s="19"/>
      <c r="Y651" s="1"/>
      <c r="Z651" s="1"/>
      <c r="AA651" s="1"/>
    </row>
    <row r="652" customHeight="1" spans="1:27">
      <c r="A652" s="1" t="str">
        <f>IFERROR(__xludf.DUMMYFUNCTION("""COMPUTED_VALUE"""),"Magda 48")</f>
        <v>Magda 48</v>
      </c>
      <c r="B652" s="1" t="str">
        <f>IFERROR(__xludf.DUMMYFUNCTION("""COMPUTED_VALUE"""),"Magda 53")</f>
        <v>Magda 53</v>
      </c>
      <c r="C652" s="1" t="str">
        <f>IFERROR(__xludf.DUMMYFUNCTION("""COMPUTED_VALUE"""),"Magda 26")</f>
        <v>Magda 26</v>
      </c>
      <c r="D652" s="1" t="str">
        <f>IFERROR(__xludf.DUMMYFUNCTION("""COMPUTED_VALUE"""),"Caterpillar Wreck 33P")</f>
        <v>Caterpillar Wreck 33P</v>
      </c>
      <c r="E652" s="30" t="str">
        <f>IFERROR(__xludf.DUMMYFUNCTION("""COMPUTED_VALUE"""),"Caterpillar 33P")</f>
        <v>Caterpillar 33P</v>
      </c>
      <c r="F652" s="10">
        <f>IFERROR(__xludf.DUMMYFUNCTION("""COMPUTED_VALUE"""),320.168531741)</f>
        <v>320.168531741</v>
      </c>
      <c r="G652" s="10">
        <f>IFERROR(__xludf.DUMMYFUNCTION("""COMPUTED_VALUE"""),98.7265939019999)</f>
        <v>98.7265939019999</v>
      </c>
      <c r="H652" s="10">
        <f>IFERROR(__xludf.DUMMYFUNCTION("""COMPUTED_VALUE"""),64.42017588)</f>
        <v>64.42017588</v>
      </c>
      <c r="I652" s="13"/>
      <c r="J652" s="13"/>
      <c r="K652" s="13"/>
      <c r="L652" s="13"/>
      <c r="M652" s="1" t="b">
        <f>IFERROR(__xludf.DUMMYFUNCTION("""COMPUTED_VALUE"""),FALSE)</f>
        <v>0</v>
      </c>
      <c r="N652" s="10">
        <f>IFERROR(__xludf.DUMMYFUNCTION("""COMPUTED_VALUE"""),0)</f>
        <v>0</v>
      </c>
      <c r="O652" s="10">
        <f>IFERROR(__xludf.DUMMYFUNCTION("""COMPUTED_VALUE"""),0)</f>
        <v>0</v>
      </c>
      <c r="P652" s="10"/>
      <c r="Q652" s="30"/>
      <c r="R652" s="18"/>
      <c r="S652" s="19"/>
      <c r="T652" s="10"/>
      <c r="U652" s="10"/>
      <c r="V652" s="10"/>
      <c r="W652" s="10"/>
      <c r="X652" s="19"/>
      <c r="Y652" s="1"/>
      <c r="Z652" s="1"/>
      <c r="AA652" s="1"/>
    </row>
    <row r="653" customHeight="1" spans="1:27">
      <c r="A653" s="1" t="str">
        <f>IFERROR(__xludf.DUMMYFUNCTION("""COMPUTED_VALUE"""),"Magda 46")</f>
        <v>Magda 46</v>
      </c>
      <c r="B653" s="1" t="str">
        <f>IFERROR(__xludf.DUMMYFUNCTION("""COMPUTED_VALUE"""),"Magda 51")</f>
        <v>Magda 51</v>
      </c>
      <c r="C653" s="1" t="str">
        <f>IFERROR(__xludf.DUMMYFUNCTION("""COMPUTED_VALUE"""),"Magda 47")</f>
        <v>Magda 47</v>
      </c>
      <c r="D653" s="1" t="str">
        <f>IFERROR(__xludf.DUMMYFUNCTION("""COMPUTED_VALUE"""),"Caterpillar Wreck 10Q")</f>
        <v>Caterpillar Wreck 10Q</v>
      </c>
      <c r="E653" s="30" t="str">
        <f>IFERROR(__xludf.DUMMYFUNCTION("""COMPUTED_VALUE"""),"Caterpillar 10Q")</f>
        <v>Caterpillar 10Q</v>
      </c>
      <c r="F653" s="10">
        <f>IFERROR(__xludf.DUMMYFUNCTION("""COMPUTED_VALUE"""),-171.922849059)</f>
        <v>-171.922849059</v>
      </c>
      <c r="G653" s="10">
        <f>IFERROR(__xludf.DUMMYFUNCTION("""COMPUTED_VALUE"""),-278.139414347)</f>
        <v>-278.139414347</v>
      </c>
      <c r="H653" s="10">
        <f>IFERROR(__xludf.DUMMYFUNCTION("""COMPUTED_VALUE"""),96.952845436)</f>
        <v>96.952845436</v>
      </c>
      <c r="I653" s="13"/>
      <c r="J653" s="13"/>
      <c r="K653" s="13"/>
      <c r="L653" s="13"/>
      <c r="M653" s="1" t="b">
        <f>IFERROR(__xludf.DUMMYFUNCTION("""COMPUTED_VALUE"""),FALSE)</f>
        <v>0</v>
      </c>
      <c r="N653" s="10">
        <f>IFERROR(__xludf.DUMMYFUNCTION("""COMPUTED_VALUE"""),0)</f>
        <v>0</v>
      </c>
      <c r="O653" s="10">
        <f>IFERROR(__xludf.DUMMYFUNCTION("""COMPUTED_VALUE"""),0)</f>
        <v>0</v>
      </c>
      <c r="P653" s="10"/>
      <c r="Q653" s="30"/>
      <c r="R653" s="18"/>
      <c r="S653" s="19"/>
      <c r="T653" s="10"/>
      <c r="U653" s="10"/>
      <c r="V653" s="10"/>
      <c r="W653" s="10"/>
      <c r="X653" s="19"/>
      <c r="Y653" s="1"/>
      <c r="Z653" s="1"/>
      <c r="AA653" s="1"/>
    </row>
    <row r="654" customHeight="1" spans="1:27">
      <c r="A654" s="1" t="str">
        <f>IFERROR(__xludf.DUMMYFUNCTION("""COMPUTED_VALUE"""),"Magda 47")</f>
        <v>Magda 47</v>
      </c>
      <c r="B654" s="1" t="str">
        <f>IFERROR(__xludf.DUMMYFUNCTION("""COMPUTED_VALUE"""),"Magda 52")</f>
        <v>Magda 52</v>
      </c>
      <c r="C654" s="1" t="str">
        <f>IFERROR(__xludf.DUMMYFUNCTION("""COMPUTED_VALUE"""),"Magda 45")</f>
        <v>Magda 45</v>
      </c>
      <c r="D654" s="1" t="str">
        <f>IFERROR(__xludf.DUMMYFUNCTION("""COMPUTED_VALUE"""),"Caterpillar Wreck 13R")</f>
        <v>Caterpillar Wreck 13R</v>
      </c>
      <c r="E654" s="30" t="str">
        <f>IFERROR(__xludf.DUMMYFUNCTION("""COMPUTED_VALUE"""),"Caterpillar 13R")</f>
        <v>Caterpillar 13R</v>
      </c>
      <c r="F654" s="10">
        <f>IFERROR(__xludf.DUMMYFUNCTION("""COMPUTED_VALUE"""),-84.944)</f>
        <v>-84.944</v>
      </c>
      <c r="G654" s="10">
        <f>IFERROR(__xludf.DUMMYFUNCTION("""COMPUTED_VALUE"""),-284.415)</f>
        <v>-284.415</v>
      </c>
      <c r="H654" s="10">
        <f>IFERROR(__xludf.DUMMYFUNCTION("""COMPUTED_VALUE"""),168.126)</f>
        <v>168.126</v>
      </c>
      <c r="I654" s="13"/>
      <c r="J654" s="13"/>
      <c r="K654" s="13"/>
      <c r="L654" s="13"/>
      <c r="M654" s="1" t="b">
        <f>IFERROR(__xludf.DUMMYFUNCTION("""COMPUTED_VALUE"""),FALSE)</f>
        <v>0</v>
      </c>
      <c r="N654" s="10">
        <f>IFERROR(__xludf.DUMMYFUNCTION("""COMPUTED_VALUE"""),0)</f>
        <v>0</v>
      </c>
      <c r="O654" s="10">
        <f>IFERROR(__xludf.DUMMYFUNCTION("""COMPUTED_VALUE"""),0)</f>
        <v>0</v>
      </c>
      <c r="P654" s="10"/>
      <c r="Q654" s="30"/>
      <c r="R654" s="18"/>
      <c r="S654" s="19"/>
      <c r="T654" s="10"/>
      <c r="U654" s="10"/>
      <c r="V654" s="10"/>
      <c r="W654" s="10"/>
      <c r="X654" s="19"/>
      <c r="Y654" s="1"/>
      <c r="Z654" s="1"/>
      <c r="AA654" s="1"/>
    </row>
    <row r="655" customHeight="1" spans="1:27">
      <c r="A655" s="1" t="str">
        <f>IFERROR(__xludf.DUMMYFUNCTION("""COMPUTED_VALUE"""),"Magda 49")</f>
        <v>Magda 49</v>
      </c>
      <c r="B655" s="1" t="str">
        <f>IFERROR(__xludf.DUMMYFUNCTION("""COMPUTED_VALUE"""),"Magda 54")</f>
        <v>Magda 54</v>
      </c>
      <c r="C655" s="1" t="str">
        <f>IFERROR(__xludf.DUMMYFUNCTION("""COMPUTED_VALUE"""),"Magda 33")</f>
        <v>Magda 33</v>
      </c>
      <c r="D655" s="1" t="str">
        <f>IFERROR(__xludf.DUMMYFUNCTION("""COMPUTED_VALUE"""),"Constellation Wreck")</f>
        <v>Constellation Wreck</v>
      </c>
      <c r="E655" s="30" t="str">
        <f>IFERROR(__xludf.DUMMYFUNCTION("""COMPUTED_VALUE"""),"Constellation")</f>
        <v>Constellation</v>
      </c>
      <c r="F655" s="10">
        <f>IFERROR(__xludf.DUMMYFUNCTION("""COMPUTED_VALUE"""),195.502136686999)</f>
        <v>195.502136686999</v>
      </c>
      <c r="G655" s="10">
        <f>IFERROR(__xludf.DUMMYFUNCTION("""COMPUTED_VALUE"""),-14.6522399389999)</f>
        <v>-14.6522399389999</v>
      </c>
      <c r="H655" s="10">
        <f>IFERROR(__xludf.DUMMYFUNCTION("""COMPUTED_VALUE"""),-278.963494381)</f>
        <v>-278.963494381</v>
      </c>
      <c r="I655" s="13"/>
      <c r="J655" s="13"/>
      <c r="K655" s="13"/>
      <c r="L655" s="13"/>
      <c r="M655" s="1" t="b">
        <f>IFERROR(__xludf.DUMMYFUNCTION("""COMPUTED_VALUE"""),FALSE)</f>
        <v>0</v>
      </c>
      <c r="N655" s="10">
        <f>IFERROR(__xludf.DUMMYFUNCTION("""COMPUTED_VALUE"""),0)</f>
        <v>0</v>
      </c>
      <c r="O655" s="10">
        <f>IFERROR(__xludf.DUMMYFUNCTION("""COMPUTED_VALUE"""),0)</f>
        <v>0</v>
      </c>
      <c r="P655" s="10"/>
      <c r="Q655" s="30"/>
      <c r="R655" s="18"/>
      <c r="S655" s="19"/>
      <c r="T655" s="10"/>
      <c r="U655" s="10"/>
      <c r="V655" s="10"/>
      <c r="W655" s="10"/>
      <c r="X655" s="19"/>
      <c r="Y655" s="1"/>
      <c r="Z655" s="1"/>
      <c r="AA655" s="1"/>
    </row>
    <row r="656" customHeight="1" spans="1:27">
      <c r="A656" s="1" t="str">
        <f>IFERROR(__xludf.DUMMYFUNCTION("""COMPUTED_VALUE"""),"Magda 50")</f>
        <v>Magda 50</v>
      </c>
      <c r="B656" s="1" t="str">
        <f>IFERROR(__xludf.DUMMYFUNCTION("""COMPUTED_VALUE"""),"Magda 55")</f>
        <v>Magda 55</v>
      </c>
      <c r="C656" s="1" t="str">
        <f>IFERROR(__xludf.DUMMYFUNCTION("""COMPUTED_VALUE"""),"Magda 49")</f>
        <v>Magda 49</v>
      </c>
      <c r="D656" s="1" t="str">
        <f>IFERROR(__xludf.DUMMYFUNCTION("""COMPUTED_VALUE"""),"Cutlass Wreck")</f>
        <v>Cutlass Wreck</v>
      </c>
      <c r="E656" s="30" t="str">
        <f>IFERROR(__xludf.DUMMYFUNCTION("""COMPUTED_VALUE"""),"Cutlass")</f>
        <v>Cutlass</v>
      </c>
      <c r="F656" s="10">
        <f>IFERROR(__xludf.DUMMYFUNCTION("""COMPUTED_VALUE"""),-300.821252814)</f>
        <v>-300.821252814</v>
      </c>
      <c r="G656" s="10">
        <f>IFERROR(__xludf.DUMMYFUNCTION("""COMPUTED_VALUE"""),-72.7844439319998)</f>
        <v>-72.7844439319998</v>
      </c>
      <c r="H656" s="10">
        <f>IFERROR(__xludf.DUMMYFUNCTION("""COMPUTED_VALUE"""),143.451797163)</f>
        <v>143.451797163</v>
      </c>
      <c r="I656" s="13"/>
      <c r="J656" s="13"/>
      <c r="K656" s="13"/>
      <c r="L656" s="13"/>
      <c r="M656" s="1" t="b">
        <f>IFERROR(__xludf.DUMMYFUNCTION("""COMPUTED_VALUE"""),FALSE)</f>
        <v>0</v>
      </c>
      <c r="N656" s="10">
        <f>IFERROR(__xludf.DUMMYFUNCTION("""COMPUTED_VALUE"""),0)</f>
        <v>0</v>
      </c>
      <c r="O656" s="10">
        <f>IFERROR(__xludf.DUMMYFUNCTION("""COMPUTED_VALUE"""),0)</f>
        <v>0</v>
      </c>
      <c r="P656" s="10"/>
      <c r="Q656" s="30"/>
      <c r="R656" s="18"/>
      <c r="S656" s="19"/>
      <c r="T656" s="10"/>
      <c r="U656" s="10"/>
      <c r="V656" s="10"/>
      <c r="W656" s="10"/>
      <c r="X656" s="19"/>
      <c r="Y656" s="1"/>
      <c r="Z656" s="1"/>
      <c r="AA656" s="1"/>
    </row>
    <row r="657" customHeight="1" spans="1:27">
      <c r="A657" s="1" t="str">
        <f>IFERROR(__xludf.DUMMYFUNCTION("""COMPUTED_VALUE"""),"Magda")</f>
        <v>Magda</v>
      </c>
      <c r="B657" s="1" t="str">
        <f>IFERROR(__xludf.DUMMYFUNCTION("""COMPUTED_VALUE"""),"Magda 57")</f>
        <v>Magda 57</v>
      </c>
      <c r="C657" s="1"/>
      <c r="D657" s="1" t="str">
        <f>IFERROR(__xludf.DUMMYFUNCTION("""COMPUTED_VALUE"""),"Comm Array")</f>
        <v>Comm Array</v>
      </c>
      <c r="E657" s="30"/>
      <c r="F657" s="10"/>
      <c r="G657" s="10"/>
      <c r="H657" s="10"/>
      <c r="I657" s="13"/>
      <c r="J657" s="13"/>
      <c r="K657" s="13"/>
      <c r="L657" s="13"/>
      <c r="M657" s="1"/>
      <c r="N657" s="10"/>
      <c r="O657" s="10"/>
      <c r="P657" s="10"/>
      <c r="Q657" s="30"/>
      <c r="R657" s="18"/>
      <c r="S657" s="19"/>
      <c r="T657" s="10"/>
      <c r="U657" s="10"/>
      <c r="V657" s="10"/>
      <c r="W657" s="10"/>
      <c r="X657" s="19"/>
      <c r="Y657" s="1"/>
      <c r="Z657" s="1"/>
      <c r="AA657" s="1"/>
    </row>
    <row r="658" customHeight="1" spans="1:27">
      <c r="A658" s="1" t="str">
        <f>IFERROR(__xludf.DUMMYFUNCTION("""COMPUTED_VALUE"""),"Magda 03")</f>
        <v>Magda 03</v>
      </c>
      <c r="B658" s="1" t="str">
        <f>IFERROR(__xludf.DUMMYFUNCTION("""COMPUTED_VALUE"""),"Magda 58")</f>
        <v>Magda 58</v>
      </c>
      <c r="C658" s="1" t="str">
        <f>IFERROR(__xludf.DUMMYFUNCTION("""COMPUTED_VALUE"""),"Magda 23")</f>
        <v>Magda 23</v>
      </c>
      <c r="D658" s="1" t="str">
        <f>IFERROR(__xludf.DUMMYFUNCTION("""COMPUTED_VALUE"""),"Comm Array ST1-48")</f>
        <v>Comm Array ST1-48</v>
      </c>
      <c r="E658" s="30" t="str">
        <f>IFERROR(__xludf.DUMMYFUNCTION("""COMPUTED_VALUE"""),"ST1-48")</f>
        <v>ST1-48</v>
      </c>
      <c r="F658" s="10">
        <f>IFERROR(__xludf.DUMMYFUNCTION("""COMPUTED_VALUE"""),295.516463199616)</f>
        <v>295.516463199616</v>
      </c>
      <c r="G658" s="10">
        <f>IFERROR(__xludf.DUMMYFUNCTION("""COMPUTED_VALUE"""),413.045628523111)</f>
        <v>413.045628523111</v>
      </c>
      <c r="H658" s="10">
        <f>IFERROR(__xludf.DUMMYFUNCTION("""COMPUTED_VALUE"""),24)</f>
        <v>24</v>
      </c>
      <c r="I658" s="13"/>
      <c r="J658" s="13"/>
      <c r="K658" s="13"/>
      <c r="L658" s="13"/>
      <c r="M658" s="1" t="b">
        <f>IFERROR(__xludf.DUMMYFUNCTION("""COMPUTED_VALUE"""),TRUE)</f>
        <v>1</v>
      </c>
      <c r="N658" s="10">
        <f>IFERROR(__xludf.DUMMYFUNCTION("""COMPUTED_VALUE"""),0)</f>
        <v>0</v>
      </c>
      <c r="O658" s="10">
        <f>IFERROR(__xludf.DUMMYFUNCTION("""COMPUTED_VALUE"""),0)</f>
        <v>0</v>
      </c>
      <c r="P658" s="10"/>
      <c r="Q658" s="30"/>
      <c r="R658" s="18"/>
      <c r="S658" s="19"/>
      <c r="T658" s="10"/>
      <c r="U658" s="10"/>
      <c r="V658" s="10"/>
      <c r="W658" s="10"/>
      <c r="X658" s="19"/>
      <c r="Y658" s="1"/>
      <c r="Z658" s="1"/>
      <c r="AA658" s="1"/>
    </row>
    <row r="659" customHeight="1" spans="1:27">
      <c r="A659" s="1" t="str">
        <f>IFERROR(__xludf.DUMMYFUNCTION("""COMPUTED_VALUE"""),"Magda 51")</f>
        <v>Magda 51</v>
      </c>
      <c r="B659" s="1" t="str">
        <f>IFERROR(__xludf.DUMMYFUNCTION("""COMPUTED_VALUE"""),"Magda 60")</f>
        <v>Magda 60</v>
      </c>
      <c r="C659" s="1" t="str">
        <f>IFERROR(__xludf.DUMMYFUNCTION("""COMPUTED_VALUE"""),"Magda 01")</f>
        <v>Magda 01</v>
      </c>
      <c r="D659" s="1" t="str">
        <f>IFERROR(__xludf.DUMMYFUNCTION("""COMPUTED_VALUE"""),"Sketto Rock")</f>
        <v>Sketto Rock</v>
      </c>
      <c r="E659" s="30" t="str">
        <f>IFERROR(__xludf.DUMMYFUNCTION("""COMPUTED_VALUE"""),"Sketto")</f>
        <v>Sketto</v>
      </c>
      <c r="F659" s="10">
        <f>IFERROR(__xludf.DUMMYFUNCTION("""COMPUTED_VALUE"""),-335.013)</f>
        <v>-335.013</v>
      </c>
      <c r="G659" s="10">
        <f>IFERROR(__xludf.DUMMYFUNCTION("""COMPUTED_VALUE"""),45.699)</f>
        <v>45.699</v>
      </c>
      <c r="H659" s="10">
        <f>IFERROR(__xludf.DUMMYFUNCTION("""COMPUTED_VALUE"""),50.233)</f>
        <v>50.233</v>
      </c>
      <c r="I659" s="13"/>
      <c r="J659" s="13"/>
      <c r="K659" s="13"/>
      <c r="L659" s="13"/>
      <c r="M659" s="1" t="b">
        <f>IFERROR(__xludf.DUMMYFUNCTION("""COMPUTED_VALUE"""),FALSE)</f>
        <v>0</v>
      </c>
      <c r="N659" s="10">
        <f>IFERROR(__xludf.DUMMYFUNCTION("""COMPUTED_VALUE"""),0)</f>
        <v>0</v>
      </c>
      <c r="O659" s="10">
        <f>IFERROR(__xludf.DUMMYFUNCTION("""COMPUTED_VALUE"""),0)</f>
        <v>0</v>
      </c>
      <c r="P659" s="10"/>
      <c r="Q659" s="30"/>
      <c r="R659" s="18"/>
      <c r="S659" s="19"/>
      <c r="T659" s="10"/>
      <c r="U659" s="10"/>
      <c r="V659" s="10"/>
      <c r="W659" s="10"/>
      <c r="X659" s="19"/>
      <c r="Y659" s="1"/>
      <c r="Z659" s="1"/>
      <c r="AA659" s="1"/>
    </row>
    <row r="660" customHeight="1" spans="1:27">
      <c r="A660" s="1" t="str">
        <f>IFERROR(__xludf.DUMMYFUNCTION("""COMPUTED_VALUE"""),"Magda 52")</f>
        <v>Magda 52</v>
      </c>
      <c r="B660" s="1" t="str">
        <f>IFERROR(__xludf.DUMMYFUNCTION("""COMPUTED_VALUE"""),"Magda 61")</f>
        <v>Magda 61</v>
      </c>
      <c r="C660" s="1" t="str">
        <f>IFERROR(__xludf.DUMMYFUNCTION("""COMPUTED_VALUE"""),"Magda")</f>
        <v>Magda</v>
      </c>
      <c r="D660" s="1" t="str">
        <f>IFERROR(__xludf.DUMMYFUNCTION("""COMPUTED_VALUE"""),"Murphy's Promontory")</f>
        <v>Murphy's Promontory</v>
      </c>
      <c r="E660" s="30" t="str">
        <f>IFERROR(__xludf.DUMMYFUNCTION("""COMPUTED_VALUE"""),"Murphy")</f>
        <v>Murphy</v>
      </c>
      <c r="F660" s="10">
        <f>IFERROR(__xludf.DUMMYFUNCTION("""COMPUTED_VALUE"""),72.962)</f>
        <v>72.962</v>
      </c>
      <c r="G660" s="10">
        <f>IFERROR(__xludf.DUMMYFUNCTION("""COMPUTED_VALUE"""),-232.035)</f>
        <v>-232.035</v>
      </c>
      <c r="H660" s="10">
        <f>IFERROR(__xludf.DUMMYFUNCTION("""COMPUTED_VALUE"""),239.173)</f>
        <v>239.173</v>
      </c>
      <c r="I660" s="13"/>
      <c r="J660" s="13"/>
      <c r="K660" s="13"/>
      <c r="L660" s="13"/>
      <c r="M660" s="1" t="b">
        <f>IFERROR(__xludf.DUMMYFUNCTION("""COMPUTED_VALUE"""),FALSE)</f>
        <v>0</v>
      </c>
      <c r="N660" s="10">
        <f>IFERROR(__xludf.DUMMYFUNCTION("""COMPUTED_VALUE"""),0)</f>
        <v>0</v>
      </c>
      <c r="O660" s="10">
        <f>IFERROR(__xludf.DUMMYFUNCTION("""COMPUTED_VALUE"""),0)</f>
        <v>0</v>
      </c>
      <c r="P660" s="10"/>
      <c r="Q660" s="30"/>
      <c r="R660" s="18"/>
      <c r="S660" s="19"/>
      <c r="T660" s="10"/>
      <c r="U660" s="10"/>
      <c r="V660" s="10"/>
      <c r="W660" s="10"/>
      <c r="X660" s="19"/>
      <c r="Y660" s="1"/>
      <c r="Z660" s="1"/>
      <c r="AA660" s="1"/>
    </row>
    <row r="661" customHeight="1" spans="1:27">
      <c r="A661" s="1"/>
      <c r="B661" s="1"/>
      <c r="C661" s="1"/>
      <c r="D661" s="1"/>
      <c r="E661" s="30"/>
      <c r="F661" s="10"/>
      <c r="G661" s="10"/>
      <c r="H661" s="10"/>
      <c r="I661" s="13"/>
      <c r="J661" s="13"/>
      <c r="K661" s="13"/>
      <c r="L661" s="13"/>
      <c r="M661" s="1"/>
      <c r="N661" s="10"/>
      <c r="O661" s="10"/>
      <c r="P661" s="10"/>
      <c r="Q661" s="30"/>
      <c r="R661" s="18"/>
      <c r="S661" s="19"/>
      <c r="T661" s="10"/>
      <c r="U661" s="10"/>
      <c r="V661" s="10"/>
      <c r="W661" s="10"/>
      <c r="X661" s="19"/>
      <c r="Y661" s="1"/>
      <c r="Z661" s="1"/>
      <c r="AA661" s="1"/>
    </row>
    <row r="662" customHeight="1" spans="1:27">
      <c r="A662" s="1" t="str">
        <f>IFERROR(__xludf.DUMMYFUNCTION("""COMPUTED_VALUE"""),"microTech R01")</f>
        <v>microTech R01</v>
      </c>
      <c r="B662" s="1" t="str">
        <f>IFERROR(__xludf.DUMMYFUNCTION("""COMPUTED_VALUE"""),"microTech 119")</f>
        <v>microTech 119</v>
      </c>
      <c r="C662" s="1"/>
      <c r="D662" s="1" t="str">
        <f>IFERROR(__xludf.DUMMYFUNCTION("""COMPUTED_VALUE"""),"OM-1")</f>
        <v>OM-1</v>
      </c>
      <c r="E662" s="30" t="str">
        <f>IFERROR(__xludf.DUMMYFUNCTION("""COMPUTED_VALUE"""),"OM1")</f>
        <v>OM1</v>
      </c>
      <c r="F662" s="10">
        <f>IFERROR(__xludf.DUMMYFUNCTION("""COMPUTED_VALUE"""),0)</f>
        <v>0</v>
      </c>
      <c r="G662" s="10">
        <f>IFERROR(__xludf.DUMMYFUNCTION("""COMPUTED_VALUE"""),0)</f>
        <v>0</v>
      </c>
      <c r="H662" s="10">
        <f>IFERROR(__xludf.DUMMYFUNCTION("""COMPUTED_VALUE"""),1439.593)</f>
        <v>1439.593</v>
      </c>
      <c r="I662" s="13"/>
      <c r="J662" s="13"/>
      <c r="K662" s="13"/>
      <c r="L662" s="13"/>
      <c r="M662" s="1" t="b">
        <f>IFERROR(__xludf.DUMMYFUNCTION("""COMPUTED_VALUE"""),TRUE)</f>
        <v>1</v>
      </c>
      <c r="N662" s="10">
        <f>IFERROR(__xludf.DUMMYFUNCTION("""COMPUTED_VALUE"""),0)</f>
        <v>0</v>
      </c>
      <c r="O662" s="10">
        <f>IFERROR(__xludf.DUMMYFUNCTION("""COMPUTED_VALUE"""),0)</f>
        <v>0</v>
      </c>
      <c r="P662" s="10"/>
      <c r="Q662" s="30"/>
      <c r="R662" s="18"/>
      <c r="S662" s="19"/>
      <c r="T662" s="10"/>
      <c r="U662" s="10"/>
      <c r="V662" s="10"/>
      <c r="W662" s="10"/>
      <c r="X662" s="19"/>
      <c r="Y662" s="1"/>
      <c r="Z662" s="1"/>
      <c r="AA662" s="1"/>
    </row>
    <row r="663" customHeight="1" spans="1:27">
      <c r="A663" s="1" t="str">
        <f>IFERROR(__xludf.DUMMYFUNCTION("""COMPUTED_VALUE"""),"microTech R02")</f>
        <v>microTech R02</v>
      </c>
      <c r="B663" s="1" t="str">
        <f>IFERROR(__xludf.DUMMYFUNCTION("""COMPUTED_VALUE"""),"microTech 120")</f>
        <v>microTech 120</v>
      </c>
      <c r="C663" s="1"/>
      <c r="D663" s="1" t="str">
        <f>IFERROR(__xludf.DUMMYFUNCTION("""COMPUTED_VALUE"""),"OM-2")</f>
        <v>OM-2</v>
      </c>
      <c r="E663" s="30" t="str">
        <f>IFERROR(__xludf.DUMMYFUNCTION("""COMPUTED_VALUE"""),"OM2")</f>
        <v>OM2</v>
      </c>
      <c r="F663" s="10">
        <f>IFERROR(__xludf.DUMMYFUNCTION("""COMPUTED_VALUE"""),0)</f>
        <v>0</v>
      </c>
      <c r="G663" s="10">
        <f>IFERROR(__xludf.DUMMYFUNCTION("""COMPUTED_VALUE"""),0)</f>
        <v>0</v>
      </c>
      <c r="H663" s="10">
        <f>IFERROR(__xludf.DUMMYFUNCTION("""COMPUTED_VALUE"""),-1439.593)</f>
        <v>-1439.593</v>
      </c>
      <c r="I663" s="13"/>
      <c r="J663" s="13"/>
      <c r="K663" s="13"/>
      <c r="L663" s="13"/>
      <c r="M663" s="1" t="b">
        <f>IFERROR(__xludf.DUMMYFUNCTION("""COMPUTED_VALUE"""),TRUE)</f>
        <v>1</v>
      </c>
      <c r="N663" s="10">
        <f>IFERROR(__xludf.DUMMYFUNCTION("""COMPUTED_VALUE"""),0)</f>
        <v>0</v>
      </c>
      <c r="O663" s="10">
        <f>IFERROR(__xludf.DUMMYFUNCTION("""COMPUTED_VALUE"""),0)</f>
        <v>0</v>
      </c>
      <c r="P663" s="10"/>
      <c r="Q663" s="30"/>
      <c r="R663" s="18"/>
      <c r="S663" s="19"/>
      <c r="T663" s="10"/>
      <c r="U663" s="10"/>
      <c r="V663" s="10"/>
      <c r="W663" s="10"/>
      <c r="X663" s="19"/>
      <c r="Y663" s="1"/>
      <c r="Z663" s="1"/>
      <c r="AA663" s="1"/>
    </row>
    <row r="664" customHeight="1" spans="1:27">
      <c r="A664" s="1" t="str">
        <f>IFERROR(__xludf.DUMMYFUNCTION("""COMPUTED_VALUE"""),"microTech R03")</f>
        <v>microTech R03</v>
      </c>
      <c r="B664" s="1" t="str">
        <f>IFERROR(__xludf.DUMMYFUNCTION("""COMPUTED_VALUE"""),"microTech 121")</f>
        <v>microTech 121</v>
      </c>
      <c r="C664" s="1" t="str">
        <f>IFERROR(__xludf.DUMMYFUNCTION("""COMPUTED_VALUE"""),"microTech 39")</f>
        <v>microTech 39</v>
      </c>
      <c r="D664" s="1" t="str">
        <f>IFERROR(__xludf.DUMMYFUNCTION("""COMPUTED_VALUE"""),"OM-3")</f>
        <v>OM-3</v>
      </c>
      <c r="E664" s="30" t="str">
        <f>IFERROR(__xludf.DUMMYFUNCTION("""COMPUTED_VALUE"""),"OM3")</f>
        <v>OM3</v>
      </c>
      <c r="F664" s="10">
        <f>IFERROR(__xludf.DUMMYFUNCTION("""COMPUTED_VALUE"""),0)</f>
        <v>0</v>
      </c>
      <c r="G664" s="10">
        <f>IFERROR(__xludf.DUMMYFUNCTION("""COMPUTED_VALUE"""),1439.593)</f>
        <v>1439.593</v>
      </c>
      <c r="H664" s="10">
        <f>IFERROR(__xludf.DUMMYFUNCTION("""COMPUTED_VALUE"""),0)</f>
        <v>0</v>
      </c>
      <c r="I664" s="13"/>
      <c r="J664" s="13"/>
      <c r="K664" s="13"/>
      <c r="L664" s="13"/>
      <c r="M664" s="1" t="b">
        <f>IFERROR(__xludf.DUMMYFUNCTION("""COMPUTED_VALUE"""),TRUE)</f>
        <v>1</v>
      </c>
      <c r="N664" s="10">
        <f>IFERROR(__xludf.DUMMYFUNCTION("""COMPUTED_VALUE"""),0)</f>
        <v>0</v>
      </c>
      <c r="O664" s="10">
        <f>IFERROR(__xludf.DUMMYFUNCTION("""COMPUTED_VALUE"""),0)</f>
        <v>0</v>
      </c>
      <c r="P664" s="10"/>
      <c r="Q664" s="30"/>
      <c r="R664" s="18"/>
      <c r="S664" s="19"/>
      <c r="T664" s="10"/>
      <c r="U664" s="10"/>
      <c r="V664" s="10"/>
      <c r="W664" s="10"/>
      <c r="X664" s="19"/>
      <c r="Y664" s="1"/>
      <c r="Z664" s="1"/>
      <c r="AA664" s="1"/>
    </row>
    <row r="665" customHeight="1" spans="1:27">
      <c r="A665" s="1" t="str">
        <f>IFERROR(__xludf.DUMMYFUNCTION("""COMPUTED_VALUE"""),"microTech R04")</f>
        <v>microTech R04</v>
      </c>
      <c r="B665" s="1" t="str">
        <f>IFERROR(__xludf.DUMMYFUNCTION("""COMPUTED_VALUE"""),"microTech 122")</f>
        <v>microTech 122</v>
      </c>
      <c r="C665" s="1" t="str">
        <f>IFERROR(__xludf.DUMMYFUNCTION("""COMPUTED_VALUE"""),"microTech 87")</f>
        <v>microTech 87</v>
      </c>
      <c r="D665" s="1" t="str">
        <f>IFERROR(__xludf.DUMMYFUNCTION("""COMPUTED_VALUE"""),"OM-4")</f>
        <v>OM-4</v>
      </c>
      <c r="E665" s="30" t="str">
        <f>IFERROR(__xludf.DUMMYFUNCTION("""COMPUTED_VALUE"""),"OM4")</f>
        <v>OM4</v>
      </c>
      <c r="F665" s="10">
        <f>IFERROR(__xludf.DUMMYFUNCTION("""COMPUTED_VALUE"""),0)</f>
        <v>0</v>
      </c>
      <c r="G665" s="10">
        <f>IFERROR(__xludf.DUMMYFUNCTION("""COMPUTED_VALUE"""),-1439.593)</f>
        <v>-1439.593</v>
      </c>
      <c r="H665" s="10">
        <f>IFERROR(__xludf.DUMMYFUNCTION("""COMPUTED_VALUE"""),0)</f>
        <v>0</v>
      </c>
      <c r="I665" s="13"/>
      <c r="J665" s="13"/>
      <c r="K665" s="13"/>
      <c r="L665" s="13"/>
      <c r="M665" s="1" t="b">
        <f>IFERROR(__xludf.DUMMYFUNCTION("""COMPUTED_VALUE"""),TRUE)</f>
        <v>1</v>
      </c>
      <c r="N665" s="10">
        <f>IFERROR(__xludf.DUMMYFUNCTION("""COMPUTED_VALUE"""),0)</f>
        <v>0</v>
      </c>
      <c r="O665" s="10">
        <f>IFERROR(__xludf.DUMMYFUNCTION("""COMPUTED_VALUE"""),0)</f>
        <v>0</v>
      </c>
      <c r="P665" s="10"/>
      <c r="Q665" s="30"/>
      <c r="R665" s="18"/>
      <c r="S665" s="19"/>
      <c r="T665" s="10"/>
      <c r="U665" s="10"/>
      <c r="V665" s="10"/>
      <c r="W665" s="10"/>
      <c r="X665" s="19"/>
      <c r="Y665" s="1"/>
      <c r="Z665" s="1"/>
      <c r="AA665" s="1"/>
    </row>
    <row r="666" customHeight="1" spans="1:27">
      <c r="A666" s="1" t="str">
        <f>IFERROR(__xludf.DUMMYFUNCTION("""COMPUTED_VALUE"""),"microTech R05")</f>
        <v>microTech R05</v>
      </c>
      <c r="B666" s="1" t="str">
        <f>IFERROR(__xludf.DUMMYFUNCTION("""COMPUTED_VALUE"""),"microTech 123")</f>
        <v>microTech 123</v>
      </c>
      <c r="C666" s="1" t="str">
        <f>IFERROR(__xludf.DUMMYFUNCTION("""COMPUTED_VALUE"""),"microTech 69")</f>
        <v>microTech 69</v>
      </c>
      <c r="D666" s="1" t="str">
        <f>IFERROR(__xludf.DUMMYFUNCTION("""COMPUTED_VALUE"""),"OM-5")</f>
        <v>OM-5</v>
      </c>
      <c r="E666" s="30" t="str">
        <f>IFERROR(__xludf.DUMMYFUNCTION("""COMPUTED_VALUE"""),"OM5")</f>
        <v>OM5</v>
      </c>
      <c r="F666" s="10">
        <f>IFERROR(__xludf.DUMMYFUNCTION("""COMPUTED_VALUE"""),1439.593)</f>
        <v>1439.593</v>
      </c>
      <c r="G666" s="10">
        <f>IFERROR(__xludf.DUMMYFUNCTION("""COMPUTED_VALUE"""),0)</f>
        <v>0</v>
      </c>
      <c r="H666" s="10">
        <f>IFERROR(__xludf.DUMMYFUNCTION("""COMPUTED_VALUE"""),0)</f>
        <v>0</v>
      </c>
      <c r="I666" s="13"/>
      <c r="J666" s="13"/>
      <c r="K666" s="13"/>
      <c r="L666" s="13"/>
      <c r="M666" s="1" t="b">
        <f>IFERROR(__xludf.DUMMYFUNCTION("""COMPUTED_VALUE"""),TRUE)</f>
        <v>1</v>
      </c>
      <c r="N666" s="10">
        <f>IFERROR(__xludf.DUMMYFUNCTION("""COMPUTED_VALUE"""),0)</f>
        <v>0</v>
      </c>
      <c r="O666" s="10">
        <f>IFERROR(__xludf.DUMMYFUNCTION("""COMPUTED_VALUE"""),0)</f>
        <v>0</v>
      </c>
      <c r="P666" s="10"/>
      <c r="Q666" s="30"/>
      <c r="R666" s="18"/>
      <c r="S666" s="19"/>
      <c r="T666" s="10"/>
      <c r="U666" s="10"/>
      <c r="V666" s="10"/>
      <c r="W666" s="10"/>
      <c r="X666" s="19"/>
      <c r="Y666" s="1"/>
      <c r="Z666" s="1"/>
      <c r="AA666" s="1"/>
    </row>
    <row r="667" customHeight="1" spans="1:27">
      <c r="A667" s="1" t="str">
        <f>IFERROR(__xludf.DUMMYFUNCTION("""COMPUTED_VALUE"""),"microTech R06")</f>
        <v>microTech R06</v>
      </c>
      <c r="B667" s="1" t="str">
        <f>IFERROR(__xludf.DUMMYFUNCTION("""COMPUTED_VALUE"""),"microTech 124")</f>
        <v>microTech 124</v>
      </c>
      <c r="C667" s="1" t="str">
        <f>IFERROR(__xludf.DUMMYFUNCTION("""COMPUTED_VALUE"""),"microTech 101")</f>
        <v>microTech 101</v>
      </c>
      <c r="D667" s="1" t="str">
        <f>IFERROR(__xludf.DUMMYFUNCTION("""COMPUTED_VALUE"""),"OM-6")</f>
        <v>OM-6</v>
      </c>
      <c r="E667" s="30" t="str">
        <f>IFERROR(__xludf.DUMMYFUNCTION("""COMPUTED_VALUE"""),"OM6")</f>
        <v>OM6</v>
      </c>
      <c r="F667" s="10">
        <f>IFERROR(__xludf.DUMMYFUNCTION("""COMPUTED_VALUE"""),-1439.593)</f>
        <v>-1439.593</v>
      </c>
      <c r="G667" s="10">
        <f>IFERROR(__xludf.DUMMYFUNCTION("""COMPUTED_VALUE"""),0)</f>
        <v>0</v>
      </c>
      <c r="H667" s="10">
        <f>IFERROR(__xludf.DUMMYFUNCTION("""COMPUTED_VALUE"""),0)</f>
        <v>0</v>
      </c>
      <c r="I667" s="13"/>
      <c r="J667" s="13"/>
      <c r="K667" s="13"/>
      <c r="L667" s="13"/>
      <c r="M667" s="1" t="b">
        <f>IFERROR(__xludf.DUMMYFUNCTION("""COMPUTED_VALUE"""),TRUE)</f>
        <v>1</v>
      </c>
      <c r="N667" s="10">
        <f>IFERROR(__xludf.DUMMYFUNCTION("""COMPUTED_VALUE"""),0)</f>
        <v>0</v>
      </c>
      <c r="O667" s="10">
        <f>IFERROR(__xludf.DUMMYFUNCTION("""COMPUTED_VALUE"""),0)</f>
        <v>0</v>
      </c>
      <c r="P667" s="10"/>
      <c r="Q667" s="30"/>
      <c r="R667" s="18"/>
      <c r="S667" s="19"/>
      <c r="T667" s="10"/>
      <c r="U667" s="10"/>
      <c r="V667" s="10"/>
      <c r="W667" s="10"/>
      <c r="X667" s="19"/>
      <c r="Y667" s="1"/>
      <c r="Z667" s="1"/>
      <c r="AA667" s="1"/>
    </row>
    <row r="668" customHeight="1" spans="1:27">
      <c r="A668" s="1" t="str">
        <f>IFERROR(__xludf.DUMMYFUNCTION("""COMPUTED_VALUE"""),"microTech")</f>
        <v>microTech</v>
      </c>
      <c r="B668" s="1" t="str">
        <f>IFERROR(__xludf.DUMMYFUNCTION("""COMPUTED_VALUE"""),"microTech 00")</f>
        <v>microTech 00</v>
      </c>
      <c r="C668" s="1"/>
      <c r="D668" s="1" t="str">
        <f>IFERROR(__xludf.DUMMYFUNCTION("""COMPUTED_VALUE"""),"Landing Zone")</f>
        <v>Landing Zone</v>
      </c>
      <c r="E668" s="30"/>
      <c r="F668" s="10"/>
      <c r="G668" s="10"/>
      <c r="H668" s="10"/>
      <c r="I668" s="13"/>
      <c r="J668" s="13"/>
      <c r="K668" s="13"/>
      <c r="L668" s="13"/>
      <c r="M668" s="1"/>
      <c r="N668" s="10"/>
      <c r="O668" s="10"/>
      <c r="P668" s="10"/>
      <c r="Q668" s="30"/>
      <c r="R668" s="18"/>
      <c r="S668" s="19"/>
      <c r="T668" s="10"/>
      <c r="U668" s="10"/>
      <c r="V668" s="10"/>
      <c r="W668" s="10"/>
      <c r="X668" s="19"/>
      <c r="Y668" s="1"/>
      <c r="Z668" s="1"/>
      <c r="AA668" s="1"/>
    </row>
    <row r="669" customHeight="1" spans="1:27">
      <c r="A669" s="1" t="str">
        <f>IFERROR(__xludf.DUMMYFUNCTION("""COMPUTED_VALUE"""),"microTech 01")</f>
        <v>microTech 01</v>
      </c>
      <c r="B669" s="1" t="str">
        <f>IFERROR(__xludf.DUMMYFUNCTION("""COMPUTED_VALUE"""),"microTech 01")</f>
        <v>microTech 01</v>
      </c>
      <c r="C669" s="1" t="str">
        <f>IFERROR(__xludf.DUMMYFUNCTION("""COMPUTED_VALUE"""),"microTech 52")</f>
        <v>microTech 52</v>
      </c>
      <c r="D669" s="1" t="str">
        <f>IFERROR(__xludf.DUMMYFUNCTION("""COMPUTED_VALUE"""),"New Babbage")</f>
        <v>New Babbage</v>
      </c>
      <c r="E669" s="30" t="str">
        <f>IFERROR(__xludf.DUMMYFUNCTION("""COMPUTED_VALUE"""),"Babbage")</f>
        <v>Babbage</v>
      </c>
      <c r="F669" s="10">
        <f>IFERROR(__xludf.DUMMYFUNCTION("""COMPUTED_VALUE"""),520.722992113)</f>
        <v>520.722992113</v>
      </c>
      <c r="G669" s="10">
        <f>IFERROR(__xludf.DUMMYFUNCTION("""COMPUTED_VALUE"""),419.364313161999)</f>
        <v>419.364313161999</v>
      </c>
      <c r="H669" s="10">
        <f>IFERROR(__xludf.DUMMYFUNCTION("""COMPUTED_VALUE"""),743.654685314)</f>
        <v>743.654685314</v>
      </c>
      <c r="I669" s="13"/>
      <c r="J669" s="13"/>
      <c r="K669" s="13"/>
      <c r="L669" s="13"/>
      <c r="M669" s="1" t="b">
        <f>IFERROR(__xludf.DUMMYFUNCTION("""COMPUTED_VALUE"""),TRUE)</f>
        <v>1</v>
      </c>
      <c r="N669" s="10">
        <f>IFERROR(__xludf.DUMMYFUNCTION("""COMPUTED_VALUE"""),0)</f>
        <v>0</v>
      </c>
      <c r="O669" s="10">
        <f>IFERROR(__xludf.DUMMYFUNCTION("""COMPUTED_VALUE"""),0)</f>
        <v>0</v>
      </c>
      <c r="P669" s="10"/>
      <c r="Q669" s="30"/>
      <c r="R669" s="18"/>
      <c r="S669" s="19"/>
      <c r="T669" s="10"/>
      <c r="U669" s="10"/>
      <c r="V669" s="10"/>
      <c r="W669" s="10"/>
      <c r="X669" s="19"/>
      <c r="Y669" s="1"/>
      <c r="Z669" s="1"/>
      <c r="AA669" s="1"/>
    </row>
    <row r="670" customHeight="1" spans="1:27">
      <c r="A670" s="1" t="str">
        <f>IFERROR(__xludf.DUMMYFUNCTION("""COMPUTED_VALUE"""),"microTech 24")</f>
        <v>microTech 24</v>
      </c>
      <c r="B670" s="1" t="str">
        <f>IFERROR(__xludf.DUMMYFUNCTION("""COMPUTED_VALUE"""),"microTech 02")</f>
        <v>microTech 02</v>
      </c>
      <c r="C670" s="1" t="str">
        <f>IFERROR(__xludf.DUMMYFUNCTION("""COMPUTED_VALUE"""),"microTech 49")</f>
        <v>microTech 49</v>
      </c>
      <c r="D670" s="1" t="str">
        <f>IFERROR(__xludf.DUMMYFUNCTION("""COMPUTED_VALUE"""),"New Babbage Interstellar Spaceport")</f>
        <v>New Babbage Interstellar Spaceport</v>
      </c>
      <c r="E670" s="30" t="str">
        <f>IFERROR(__xludf.DUMMYFUNCTION("""COMPUTED_VALUE"""),"Spaceport")</f>
        <v>Spaceport</v>
      </c>
      <c r="F670" s="10">
        <f>IFERROR(__xludf.DUMMYFUNCTION("""COMPUTED_VALUE"""),520.320401830282)</f>
        <v>520.320401830282</v>
      </c>
      <c r="G670" s="10">
        <f>IFERROR(__xludf.DUMMYFUNCTION("""COMPUTED_VALUE"""),435.102213305407)</f>
        <v>435.102213305407</v>
      </c>
      <c r="H670" s="10">
        <f>IFERROR(__xludf.DUMMYFUNCTION("""COMPUTED_VALUE"""),736.226011636578)</f>
        <v>736.226011636578</v>
      </c>
      <c r="I670" s="13"/>
      <c r="J670" s="13"/>
      <c r="K670" s="13"/>
      <c r="L670" s="13"/>
      <c r="M670" s="1" t="b">
        <f>IFERROR(__xludf.DUMMYFUNCTION("""COMPUTED_VALUE"""),FALSE)</f>
        <v>0</v>
      </c>
      <c r="N670" s="10">
        <f>IFERROR(__xludf.DUMMYFUNCTION("""COMPUTED_VALUE"""),0)</f>
        <v>0</v>
      </c>
      <c r="O670" s="10">
        <f>IFERROR(__xludf.DUMMYFUNCTION("""COMPUTED_VALUE"""),0)</f>
        <v>0</v>
      </c>
      <c r="P670" s="10"/>
      <c r="Q670" s="30"/>
      <c r="R670" s="18"/>
      <c r="S670" s="19"/>
      <c r="T670" s="10"/>
      <c r="U670" s="10"/>
      <c r="V670" s="10"/>
      <c r="W670" s="10"/>
      <c r="X670" s="19"/>
      <c r="Y670" s="1"/>
      <c r="Z670" s="1"/>
      <c r="AA670" s="1"/>
    </row>
    <row r="671" customHeight="1" spans="1:27">
      <c r="A671" s="1" t="str">
        <f>IFERROR(__xludf.DUMMYFUNCTION("""COMPUTED_VALUE"""),"microTech 02")</f>
        <v>microTech 02</v>
      </c>
      <c r="B671" s="1" t="str">
        <f>IFERROR(__xludf.DUMMYFUNCTION("""COMPUTED_VALUE"""),"microTech 03")</f>
        <v>microTech 03</v>
      </c>
      <c r="C671" s="1" t="str">
        <f>IFERROR(__xludf.DUMMYFUNCTION("""COMPUTED_VALUE"""),"microTech 45")</f>
        <v>microTech 45</v>
      </c>
      <c r="D671" s="1" t="str">
        <f>IFERROR(__xludf.DUMMYFUNCTION("""COMPUTED_VALUE"""),"Port Tressler")</f>
        <v>Port Tressler</v>
      </c>
      <c r="E671" s="30" t="str">
        <f>IFERROR(__xludf.DUMMYFUNCTION("""COMPUTED_VALUE"""),"Tressler")</f>
        <v>Tressler</v>
      </c>
      <c r="F671" s="10">
        <f>IFERROR(__xludf.DUMMYFUNCTION("""COMPUTED_VALUE"""),561.471046150999)</f>
        <v>561.471046150999</v>
      </c>
      <c r="G671" s="10">
        <f>IFERROR(__xludf.DUMMYFUNCTION("""COMPUTED_VALUE"""),545.853017028999)</f>
        <v>545.853017028999</v>
      </c>
      <c r="H671" s="10">
        <f>IFERROR(__xludf.DUMMYFUNCTION("""COMPUTED_VALUE"""),808.831762530999)</f>
        <v>808.831762530999</v>
      </c>
      <c r="I671" s="13"/>
      <c r="J671" s="13"/>
      <c r="K671" s="13"/>
      <c r="L671" s="13"/>
      <c r="M671" s="1" t="b">
        <f>IFERROR(__xludf.DUMMYFUNCTION("""COMPUTED_VALUE"""),TRUE)</f>
        <v>1</v>
      </c>
      <c r="N671" s="10">
        <f>IFERROR(__xludf.DUMMYFUNCTION("""COMPUTED_VALUE"""),0)</f>
        <v>0</v>
      </c>
      <c r="O671" s="10">
        <f>IFERROR(__xludf.DUMMYFUNCTION("""COMPUTED_VALUE"""),0)</f>
        <v>0</v>
      </c>
      <c r="P671" s="10"/>
      <c r="Q671" s="30"/>
      <c r="R671" s="18"/>
      <c r="S671" s="19"/>
      <c r="T671" s="10"/>
      <c r="U671" s="10"/>
      <c r="V671" s="10"/>
      <c r="W671" s="10"/>
      <c r="X671" s="19"/>
      <c r="Y671" s="1"/>
      <c r="Z671" s="1"/>
      <c r="AA671" s="1"/>
    </row>
    <row r="672" customHeight="1" spans="1:27">
      <c r="A672" s="1" t="str">
        <f>IFERROR(__xludf.DUMMYFUNCTION("""COMPUTED_VALUE"""),"microTech")</f>
        <v>microTech</v>
      </c>
      <c r="B672" s="1" t="str">
        <f>IFERROR(__xludf.DUMMYFUNCTION("""COMPUTED_VALUE"""),"microTech 05")</f>
        <v>microTech 05</v>
      </c>
      <c r="C672" s="1"/>
      <c r="D672" s="1" t="str">
        <f>IFERROR(__xludf.DUMMYFUNCTION("""COMPUTED_VALUE"""),"Trading Terminals")</f>
        <v>Trading Terminals</v>
      </c>
      <c r="E672" s="30"/>
      <c r="F672" s="10"/>
      <c r="G672" s="10"/>
      <c r="H672" s="10"/>
      <c r="I672" s="13"/>
      <c r="J672" s="13"/>
      <c r="K672" s="13"/>
      <c r="L672" s="13"/>
      <c r="M672" s="1"/>
      <c r="N672" s="10"/>
      <c r="O672" s="10"/>
      <c r="P672" s="10"/>
      <c r="Q672" s="30"/>
      <c r="R672" s="18"/>
      <c r="S672" s="19"/>
      <c r="T672" s="10"/>
      <c r="U672" s="10"/>
      <c r="V672" s="10"/>
      <c r="W672" s="10"/>
      <c r="X672" s="19"/>
      <c r="Y672" s="1"/>
      <c r="Z672" s="1"/>
      <c r="AA672" s="1"/>
    </row>
    <row r="673" customHeight="1" spans="1:27">
      <c r="A673" s="1" t="str">
        <f>IFERROR(__xludf.DUMMYFUNCTION("""COMPUTED_VALUE"""),"microTech 03")</f>
        <v>microTech 03</v>
      </c>
      <c r="B673" s="1" t="str">
        <f>IFERROR(__xludf.DUMMYFUNCTION("""COMPUTED_VALUE"""),"microTech 06")</f>
        <v>microTech 06</v>
      </c>
      <c r="C673" s="1" t="str">
        <f>IFERROR(__xludf.DUMMYFUNCTION("""COMPUTED_VALUE"""),"microTech 96")</f>
        <v>microTech 96</v>
      </c>
      <c r="D673" s="1" t="str">
        <f>IFERROR(__xludf.DUMMYFUNCTION("""COMPUTED_VALUE"""),"Rayari Deltana Research Outpost (PB)")</f>
        <v>Rayari Deltana Research Outpost (PB)</v>
      </c>
      <c r="E673" s="30" t="str">
        <f>IFERROR(__xludf.DUMMYFUNCTION("""COMPUTED_VALUE"""),"Rayari Deltana")</f>
        <v>Rayari Deltana</v>
      </c>
      <c r="F673" s="10">
        <f>IFERROR(__xludf.DUMMYFUNCTION("""COMPUTED_VALUE"""),-693.909981009999)</f>
        <v>-693.909981009999</v>
      </c>
      <c r="G673" s="10">
        <f>IFERROR(__xludf.DUMMYFUNCTION("""COMPUTED_VALUE"""),-648.298794758999)</f>
        <v>-648.298794758999</v>
      </c>
      <c r="H673" s="10">
        <f>IFERROR(__xludf.DUMMYFUNCTION("""COMPUTED_VALUE"""),316.681366334)</f>
        <v>316.681366334</v>
      </c>
      <c r="I673" s="13"/>
      <c r="J673" s="13"/>
      <c r="K673" s="13"/>
      <c r="L673" s="13"/>
      <c r="M673" s="1" t="b">
        <f>IFERROR(__xludf.DUMMYFUNCTION("""COMPUTED_VALUE"""),TRUE)</f>
        <v>1</v>
      </c>
      <c r="N673" s="10">
        <f>IFERROR(__xludf.DUMMYFUNCTION("""COMPUTED_VALUE"""),0)</f>
        <v>0</v>
      </c>
      <c r="O673" s="10">
        <f>IFERROR(__xludf.DUMMYFUNCTION("""COMPUTED_VALUE"""),0)</f>
        <v>0</v>
      </c>
      <c r="P673" s="10"/>
      <c r="Q673" s="30"/>
      <c r="R673" s="18"/>
      <c r="S673" s="19"/>
      <c r="T673" s="10"/>
      <c r="U673" s="10"/>
      <c r="V673" s="10"/>
      <c r="W673" s="10"/>
      <c r="X673" s="19"/>
      <c r="Y673" s="1"/>
      <c r="Z673" s="1"/>
      <c r="AA673" s="1"/>
    </row>
    <row r="674" customHeight="1" spans="1:27">
      <c r="A674" s="1" t="str">
        <f>IFERROR(__xludf.DUMMYFUNCTION("""COMPUTED_VALUE"""),"microTech 04")</f>
        <v>microTech 04</v>
      </c>
      <c r="B674" s="1" t="str">
        <f>IFERROR(__xludf.DUMMYFUNCTION("""COMPUTED_VALUE"""),"microTech 07")</f>
        <v>microTech 07</v>
      </c>
      <c r="C674" s="1" t="str">
        <f>IFERROR(__xludf.DUMMYFUNCTION("""COMPUTED_VALUE"""),"microTech 84")</f>
        <v>microTech 84</v>
      </c>
      <c r="D674" s="1" t="str">
        <f>IFERROR(__xludf.DUMMYFUNCTION("""COMPUTED_VALUE"""),"Shubin Mining Facility SM0-10 (PB)")</f>
        <v>Shubin Mining Facility SM0-10 (PB)</v>
      </c>
      <c r="E674" s="30" t="str">
        <f>IFERROR(__xludf.DUMMYFUNCTION("""COMPUTED_VALUE"""),"Shubin 10")</f>
        <v>Shubin 10</v>
      </c>
      <c r="F674" s="10">
        <f>IFERROR(__xludf.DUMMYFUNCTION("""COMPUTED_VALUE"""),85.476133747)</f>
        <v>85.476133747</v>
      </c>
      <c r="G674" s="10">
        <f>IFERROR(__xludf.DUMMYFUNCTION("""COMPUTED_VALUE"""),-950.855885394999)</f>
        <v>-950.855885394999</v>
      </c>
      <c r="H674" s="10">
        <f>IFERROR(__xludf.DUMMYFUNCTION("""COMPUTED_VALUE"""),298.799440766)</f>
        <v>298.799440766</v>
      </c>
      <c r="I674" s="13"/>
      <c r="J674" s="13"/>
      <c r="K674" s="13"/>
      <c r="L674" s="13"/>
      <c r="M674" s="1" t="b">
        <f>IFERROR(__xludf.DUMMYFUNCTION("""COMPUTED_VALUE"""),TRUE)</f>
        <v>1</v>
      </c>
      <c r="N674" s="10">
        <f>IFERROR(__xludf.DUMMYFUNCTION("""COMPUTED_VALUE"""),0)</f>
        <v>0</v>
      </c>
      <c r="O674" s="10">
        <f>IFERROR(__xludf.DUMMYFUNCTION("""COMPUTED_VALUE"""),0)</f>
        <v>0</v>
      </c>
      <c r="P674" s="10"/>
      <c r="Q674" s="30"/>
      <c r="R674" s="18"/>
      <c r="S674" s="19"/>
      <c r="T674" s="10"/>
      <c r="U674" s="10"/>
      <c r="V674" s="10"/>
      <c r="W674" s="10"/>
      <c r="X674" s="19"/>
      <c r="Y674" s="1"/>
      <c r="Z674" s="1"/>
      <c r="AA674" s="1"/>
    </row>
    <row r="675" customHeight="1" spans="1:27">
      <c r="A675" s="1" t="str">
        <f>IFERROR(__xludf.DUMMYFUNCTION("""COMPUTED_VALUE"""),"microTech 05")</f>
        <v>microTech 05</v>
      </c>
      <c r="B675" s="1" t="str">
        <f>IFERROR(__xludf.DUMMYFUNCTION("""COMPUTED_VALUE"""),"microTech 08")</f>
        <v>microTech 08</v>
      </c>
      <c r="C675" s="1" t="str">
        <f>IFERROR(__xludf.DUMMYFUNCTION("""COMPUTED_VALUE"""),"microTech 89")</f>
        <v>microTech 89</v>
      </c>
      <c r="D675" s="1" t="str">
        <f>IFERROR(__xludf.DUMMYFUNCTION("""COMPUTED_VALUE"""),"Shubin Mining Facility SM0-13 (PB)")</f>
        <v>Shubin Mining Facility SM0-13 (PB)</v>
      </c>
      <c r="E675" s="30" t="str">
        <f>IFERROR(__xludf.DUMMYFUNCTION("""COMPUTED_VALUE"""),"Shubin 13")</f>
        <v>Shubin 13</v>
      </c>
      <c r="F675" s="10">
        <f>IFERROR(__xludf.DUMMYFUNCTION("""COMPUTED_VALUE"""),-172.818644799)</f>
        <v>-172.818644799</v>
      </c>
      <c r="G675" s="10">
        <f>IFERROR(__xludf.DUMMYFUNCTION("""COMPUTED_VALUE"""),-981.308336199)</f>
        <v>-981.308336199</v>
      </c>
      <c r="H675" s="10">
        <f>IFERROR(__xludf.DUMMYFUNCTION("""COMPUTED_VALUE"""),97.7671820489999)</f>
        <v>97.7671820489999</v>
      </c>
      <c r="I675" s="13"/>
      <c r="J675" s="13"/>
      <c r="K675" s="13"/>
      <c r="L675" s="13"/>
      <c r="M675" s="1" t="b">
        <f>IFERROR(__xludf.DUMMYFUNCTION("""COMPUTED_VALUE"""),TRUE)</f>
        <v>1</v>
      </c>
      <c r="N675" s="10">
        <f>IFERROR(__xludf.DUMMYFUNCTION("""COMPUTED_VALUE"""),0)</f>
        <v>0</v>
      </c>
      <c r="O675" s="10">
        <f>IFERROR(__xludf.DUMMYFUNCTION("""COMPUTED_VALUE"""),0)</f>
        <v>0</v>
      </c>
      <c r="P675" s="10"/>
      <c r="Q675" s="30"/>
      <c r="R675" s="18"/>
      <c r="S675" s="19"/>
      <c r="T675" s="10"/>
      <c r="U675" s="10"/>
      <c r="V675" s="10"/>
      <c r="W675" s="10"/>
      <c r="X675" s="19"/>
      <c r="Y675" s="1"/>
      <c r="Z675" s="1"/>
      <c r="AA675" s="1"/>
    </row>
    <row r="676" customHeight="1" spans="1:27">
      <c r="A676" s="1" t="str">
        <f>IFERROR(__xludf.DUMMYFUNCTION("""COMPUTED_VALUE"""),"microTech 06")</f>
        <v>microTech 06</v>
      </c>
      <c r="B676" s="1" t="str">
        <f>IFERROR(__xludf.DUMMYFUNCTION("""COMPUTED_VALUE"""),"microTech 09")</f>
        <v>microTech 09</v>
      </c>
      <c r="C676" s="1" t="str">
        <f>IFERROR(__xludf.DUMMYFUNCTION("""COMPUTED_VALUE"""),"microTech 77")</f>
        <v>microTech 77</v>
      </c>
      <c r="D676" s="1" t="str">
        <f>IFERROR(__xludf.DUMMYFUNCTION("""COMPUTED_VALUE"""),"Shubin Mining Facility SM0-18 (PB)")</f>
        <v>Shubin Mining Facility SM0-18 (PB)</v>
      </c>
      <c r="E676" s="30" t="str">
        <f>IFERROR(__xludf.DUMMYFUNCTION("""COMPUTED_VALUE"""),"Shubin 18")</f>
        <v>Shubin 18</v>
      </c>
      <c r="F676" s="10">
        <f>IFERROR(__xludf.DUMMYFUNCTION("""COMPUTED_VALUE"""),920.210111885)</f>
        <v>920.210111885</v>
      </c>
      <c r="G676" s="10">
        <f>IFERROR(__xludf.DUMMYFUNCTION("""COMPUTED_VALUE"""),-389.541681947999)</f>
        <v>-389.541681947999</v>
      </c>
      <c r="H676" s="10">
        <f>IFERROR(__xludf.DUMMYFUNCTION("""COMPUTED_VALUE"""),43.8368626559999)</f>
        <v>43.8368626559999</v>
      </c>
      <c r="I676" s="13"/>
      <c r="J676" s="13"/>
      <c r="K676" s="13"/>
      <c r="L676" s="13"/>
      <c r="M676" s="1" t="b">
        <f>IFERROR(__xludf.DUMMYFUNCTION("""COMPUTED_VALUE"""),TRUE)</f>
        <v>1</v>
      </c>
      <c r="N676" s="10">
        <f>IFERROR(__xludf.DUMMYFUNCTION("""COMPUTED_VALUE"""),0)</f>
        <v>0</v>
      </c>
      <c r="O676" s="10">
        <f>IFERROR(__xludf.DUMMYFUNCTION("""COMPUTED_VALUE"""),0)</f>
        <v>0</v>
      </c>
      <c r="P676" s="10"/>
      <c r="Q676" s="30"/>
      <c r="R676" s="18"/>
      <c r="S676" s="19"/>
      <c r="T676" s="10"/>
      <c r="U676" s="10"/>
      <c r="V676" s="10"/>
      <c r="W676" s="10"/>
      <c r="X676" s="19"/>
      <c r="Y676" s="1"/>
      <c r="Z676" s="1"/>
      <c r="AA676" s="1"/>
    </row>
    <row r="677" customHeight="1" spans="1:27">
      <c r="A677" s="1" t="str">
        <f>IFERROR(__xludf.DUMMYFUNCTION("""COMPUTED_VALUE"""),"microTech 07")</f>
        <v>microTech 07</v>
      </c>
      <c r="B677" s="1" t="str">
        <f>IFERROR(__xludf.DUMMYFUNCTION("""COMPUTED_VALUE"""),"microTech 10")</f>
        <v>microTech 10</v>
      </c>
      <c r="C677" s="1" t="str">
        <f>IFERROR(__xludf.DUMMYFUNCTION("""COMPUTED_VALUE"""),"microTech 85")</f>
        <v>microTech 85</v>
      </c>
      <c r="D677" s="1" t="str">
        <f>IFERROR(__xludf.DUMMYFUNCTION("""COMPUTED_VALUE"""),"Shubin Mining Facility SM0-22 (PB)")</f>
        <v>Shubin Mining Facility SM0-22 (PB)</v>
      </c>
      <c r="E677" s="30" t="str">
        <f>IFERROR(__xludf.DUMMYFUNCTION("""COMPUTED_VALUE"""),"Shubin 22")</f>
        <v>Shubin 22</v>
      </c>
      <c r="F677" s="10">
        <f>IFERROR(__xludf.DUMMYFUNCTION("""COMPUTED_VALUE"""),24.29854894)</f>
        <v>24.29854894</v>
      </c>
      <c r="G677" s="10">
        <f>IFERROR(__xludf.DUMMYFUNCTION("""COMPUTED_VALUE"""),-822.590691274998)</f>
        <v>-822.590691274998</v>
      </c>
      <c r="H677" s="10">
        <f>IFERROR(__xludf.DUMMYFUNCTION("""COMPUTED_VALUE"""),568.174190107999)</f>
        <v>568.174190107999</v>
      </c>
      <c r="I677" s="13"/>
      <c r="J677" s="13"/>
      <c r="K677" s="13"/>
      <c r="L677" s="13"/>
      <c r="M677" s="1" t="b">
        <f>IFERROR(__xludf.DUMMYFUNCTION("""COMPUTED_VALUE"""),TRUE)</f>
        <v>1</v>
      </c>
      <c r="N677" s="10">
        <f>IFERROR(__xludf.DUMMYFUNCTION("""COMPUTED_VALUE"""),0)</f>
        <v>0</v>
      </c>
      <c r="O677" s="10">
        <f>IFERROR(__xludf.DUMMYFUNCTION("""COMPUTED_VALUE"""),0)</f>
        <v>0</v>
      </c>
      <c r="P677" s="10"/>
      <c r="Q677" s="30"/>
      <c r="R677" s="18"/>
      <c r="S677" s="19"/>
      <c r="T677" s="10"/>
      <c r="U677" s="10"/>
      <c r="V677" s="10"/>
      <c r="W677" s="10"/>
      <c r="X677" s="19"/>
      <c r="Y677" s="1"/>
      <c r="Z677" s="1"/>
      <c r="AA677" s="1"/>
    </row>
    <row r="678" customHeight="1" spans="1:27">
      <c r="A678" s="1" t="str">
        <f>IFERROR(__xludf.DUMMYFUNCTION("""COMPUTED_VALUE"""),"microTech 08")</f>
        <v>microTech 08</v>
      </c>
      <c r="B678" s="1" t="str">
        <f>IFERROR(__xludf.DUMMYFUNCTION("""COMPUTED_VALUE"""),"microTech 11")</f>
        <v>microTech 11</v>
      </c>
      <c r="C678" s="1" t="str">
        <f>IFERROR(__xludf.DUMMYFUNCTION("""COMPUTED_VALUE"""),"microTech 72")</f>
        <v>microTech 72</v>
      </c>
      <c r="D678" s="1" t="str">
        <f>IFERROR(__xludf.DUMMYFUNCTION("""COMPUTED_VALUE"""),"Raven's Roost")</f>
        <v>Raven's Roost</v>
      </c>
      <c r="E678" s="30" t="str">
        <f>IFERROR(__xludf.DUMMYFUNCTION("""COMPUTED_VALUE"""),"Raven's Roost")</f>
        <v>Raven's Roost</v>
      </c>
      <c r="F678" s="10">
        <f>IFERROR(__xludf.DUMMYFUNCTION("""COMPUTED_VALUE"""),355.903594579999)</f>
        <v>355.903594579999</v>
      </c>
      <c r="G678" s="10">
        <f>IFERROR(__xludf.DUMMYFUNCTION("""COMPUTED_VALUE"""),-75.593839481)</f>
        <v>-75.593839481</v>
      </c>
      <c r="H678" s="10">
        <f>IFERROR(__xludf.DUMMYFUNCTION("""COMPUTED_VALUE"""),932.64525482)</f>
        <v>932.64525482</v>
      </c>
      <c r="I678" s="13"/>
      <c r="J678" s="13"/>
      <c r="K678" s="13"/>
      <c r="L678" s="13"/>
      <c r="M678" s="1" t="b">
        <f>IFERROR(__xludf.DUMMYFUNCTION("""COMPUTED_VALUE"""),TRUE)</f>
        <v>1</v>
      </c>
      <c r="N678" s="10">
        <f>IFERROR(__xludf.DUMMYFUNCTION("""COMPUTED_VALUE"""),0)</f>
        <v>0</v>
      </c>
      <c r="O678" s="10">
        <f>IFERROR(__xludf.DUMMYFUNCTION("""COMPUTED_VALUE"""),0)</f>
        <v>0</v>
      </c>
      <c r="P678" s="10"/>
      <c r="Q678" s="30"/>
      <c r="R678" s="18"/>
      <c r="S678" s="19"/>
      <c r="T678" s="10"/>
      <c r="U678" s="10"/>
      <c r="V678" s="10"/>
      <c r="W678" s="10"/>
      <c r="X678" s="19"/>
      <c r="Y678" s="1"/>
      <c r="Z678" s="1"/>
      <c r="AA678" s="1"/>
    </row>
    <row r="679" customHeight="1" spans="1:27">
      <c r="A679" s="1" t="str">
        <f>IFERROR(__xludf.DUMMYFUNCTION("""COMPUTED_VALUE"""),"microTech 09")</f>
        <v>microTech 09</v>
      </c>
      <c r="B679" s="1" t="str">
        <f>IFERROR(__xludf.DUMMYFUNCTION("""COMPUTED_VALUE"""),"microTech 12")</f>
        <v>microTech 12</v>
      </c>
      <c r="C679" s="1" t="str">
        <f>IFERROR(__xludf.DUMMYFUNCTION("""COMPUTED_VALUE"""),"microTech 83")</f>
        <v>microTech 83</v>
      </c>
      <c r="D679" s="1" t="str">
        <f>IFERROR(__xludf.DUMMYFUNCTION("""COMPUTED_VALUE"""),"Necropolis (Stash House)")</f>
        <v>Necropolis (Stash House)</v>
      </c>
      <c r="E679" s="30" t="str">
        <f>IFERROR(__xludf.DUMMYFUNCTION("""COMPUTED_VALUE"""),"Necropolis")</f>
        <v>Necropolis</v>
      </c>
      <c r="F679" s="10">
        <f>IFERROR(__xludf.DUMMYFUNCTION("""COMPUTED_VALUE"""),63.642723848)</f>
        <v>63.642723848</v>
      </c>
      <c r="G679" s="10">
        <f>IFERROR(__xludf.DUMMYFUNCTION("""COMPUTED_VALUE"""),-162.08523741)</f>
        <v>-162.08523741</v>
      </c>
      <c r="H679" s="10">
        <f>IFERROR(__xludf.DUMMYFUNCTION("""COMPUTED_VALUE"""),985.651018458)</f>
        <v>985.651018458</v>
      </c>
      <c r="I679" s="13"/>
      <c r="J679" s="13"/>
      <c r="K679" s="13"/>
      <c r="L679" s="13"/>
      <c r="M679" s="1" t="b">
        <f>IFERROR(__xludf.DUMMYFUNCTION("""COMPUTED_VALUE"""),TRUE)</f>
        <v>1</v>
      </c>
      <c r="N679" s="10">
        <f>IFERROR(__xludf.DUMMYFUNCTION("""COMPUTED_VALUE"""),0)</f>
        <v>0</v>
      </c>
      <c r="O679" s="10">
        <f>IFERROR(__xludf.DUMMYFUNCTION("""COMPUTED_VALUE"""),0)</f>
        <v>0</v>
      </c>
      <c r="P679" s="10"/>
      <c r="Q679" s="30"/>
      <c r="R679" s="18"/>
      <c r="S679" s="19"/>
      <c r="T679" s="10"/>
      <c r="U679" s="10"/>
      <c r="V679" s="10"/>
      <c r="W679" s="10"/>
      <c r="X679" s="19"/>
      <c r="Y679" s="1"/>
      <c r="Z679" s="1"/>
      <c r="AA679" s="1"/>
    </row>
    <row r="680" customHeight="1" spans="1:27">
      <c r="A680" s="1" t="str">
        <f>IFERROR(__xludf.DUMMYFUNCTION("""COMPUTED_VALUE"""),"microTech 10")</f>
        <v>microTech 10</v>
      </c>
      <c r="B680" s="1" t="str">
        <f>IFERROR(__xludf.DUMMYFUNCTION("""COMPUTED_VALUE"""),"microTech 13")</f>
        <v>microTech 13</v>
      </c>
      <c r="C680" s="1" t="str">
        <f>IFERROR(__xludf.DUMMYFUNCTION("""COMPUTED_VALUE"""),"microTech 67")</f>
        <v>microTech 67</v>
      </c>
      <c r="D680" s="1" t="str">
        <f>IFERROR(__xludf.DUMMYFUNCTION("""COMPUTED_VALUE"""),"Outpost 54 (Stash House)")</f>
        <v>Outpost 54 (Stash House)</v>
      </c>
      <c r="E680" s="30" t="str">
        <f>IFERROR(__xludf.DUMMYFUNCTION("""COMPUTED_VALUE"""),"Outpost 54")</f>
        <v>Outpost 54</v>
      </c>
      <c r="F680" s="10">
        <f>IFERROR(__xludf.DUMMYFUNCTION("""COMPUTED_VALUE"""),113.566409472)</f>
        <v>113.566409472</v>
      </c>
      <c r="G680" s="10">
        <f>IFERROR(__xludf.DUMMYFUNCTION("""COMPUTED_VALUE"""),14.479383223)</f>
        <v>14.479383223</v>
      </c>
      <c r="H680" s="10">
        <f>IFERROR(__xludf.DUMMYFUNCTION("""COMPUTED_VALUE"""),-994.362778214)</f>
        <v>-994.362778214</v>
      </c>
      <c r="I680" s="13"/>
      <c r="J680" s="13"/>
      <c r="K680" s="13"/>
      <c r="L680" s="13"/>
      <c r="M680" s="1" t="b">
        <f>IFERROR(__xludf.DUMMYFUNCTION("""COMPUTED_VALUE"""),TRUE)</f>
        <v>1</v>
      </c>
      <c r="N680" s="10">
        <f>IFERROR(__xludf.DUMMYFUNCTION("""COMPUTED_VALUE"""),0)</f>
        <v>0</v>
      </c>
      <c r="O680" s="10">
        <f>IFERROR(__xludf.DUMMYFUNCTION("""COMPUTED_VALUE"""),0)</f>
        <v>0</v>
      </c>
      <c r="P680" s="10"/>
      <c r="Q680" s="30"/>
      <c r="R680" s="18"/>
      <c r="S680" s="19"/>
      <c r="T680" s="10"/>
      <c r="U680" s="10"/>
      <c r="V680" s="10"/>
      <c r="W680" s="10"/>
      <c r="X680" s="19"/>
      <c r="Y680" s="1"/>
      <c r="Z680" s="1"/>
      <c r="AA680" s="1"/>
    </row>
    <row r="681" customHeight="1" spans="1:27">
      <c r="A681" s="1" t="str">
        <f>IFERROR(__xludf.DUMMYFUNCTION("""COMPUTED_VALUE"""),"microTech")</f>
        <v>microTech</v>
      </c>
      <c r="B681" s="1" t="str">
        <f>IFERROR(__xludf.DUMMYFUNCTION("""COMPUTED_VALUE"""),"microTech 15")</f>
        <v>microTech 15</v>
      </c>
      <c r="C681" s="1" t="str">
        <f>IFERROR(__xludf.DUMMYFUNCTION("""COMPUTED_VALUE"""),"microTech")</f>
        <v>microTech</v>
      </c>
      <c r="D681" s="1" t="str">
        <f>IFERROR(__xludf.DUMMYFUNCTION("""COMPUTED_VALUE"""),"Distribution Centers")</f>
        <v>Distribution Centers</v>
      </c>
      <c r="E681" s="30"/>
      <c r="F681" s="10"/>
      <c r="G681" s="10"/>
      <c r="H681" s="10"/>
      <c r="I681" s="13"/>
      <c r="J681" s="13"/>
      <c r="K681" s="13"/>
      <c r="L681" s="13"/>
      <c r="M681" s="1"/>
      <c r="N681" s="10"/>
      <c r="O681" s="10"/>
      <c r="P681" s="10"/>
      <c r="Q681" s="30"/>
      <c r="R681" s="18"/>
      <c r="S681" s="19"/>
      <c r="T681" s="10"/>
      <c r="U681" s="10"/>
      <c r="V681" s="10"/>
      <c r="W681" s="10"/>
      <c r="X681" s="19"/>
      <c r="Y681" s="1"/>
      <c r="Z681" s="1"/>
      <c r="AA681" s="1"/>
    </row>
    <row r="682" customHeight="1" spans="1:27">
      <c r="A682" s="1" t="str">
        <f>IFERROR(__xludf.DUMMYFUNCTION("""COMPUTED_VALUE"""),"microTech 35")</f>
        <v>microTech 35</v>
      </c>
      <c r="B682" s="1" t="str">
        <f>IFERROR(__xludf.DUMMYFUNCTION("""COMPUTED_VALUE"""),"microTech 16")</f>
        <v>microTech 16</v>
      </c>
      <c r="C682" s="1" t="str">
        <f>IFERROR(__xludf.DUMMYFUNCTION("""COMPUTED_VALUE"""),"microTech 33")</f>
        <v>microTech 33</v>
      </c>
      <c r="D682" s="1" t="str">
        <f>IFERROR(__xludf.DUMMYFUNCTION("""COMPUTED_VALUE"""),"Covalex Distribution Centre S4DC05")</f>
        <v>Covalex Distribution Centre S4DC05</v>
      </c>
      <c r="E682" s="30" t="str">
        <f>IFERROR(__xludf.DUMMYFUNCTION("""COMPUTED_VALUE"""),"S4DC05")</f>
        <v>S4DC05</v>
      </c>
      <c r="F682" s="10">
        <f>IFERROR(__xludf.DUMMYFUNCTION("""COMPUTED_VALUE"""),-332.505016295999)</f>
        <v>-332.505016295999</v>
      </c>
      <c r="G682" s="10">
        <f>IFERROR(__xludf.DUMMYFUNCTION("""COMPUTED_VALUE"""),897.833806883999)</f>
        <v>897.833806883999</v>
      </c>
      <c r="H682" s="10">
        <f>IFERROR(__xludf.DUMMYFUNCTION("""COMPUTED_VALUE"""),-290.234081721)</f>
        <v>-290.234081721</v>
      </c>
      <c r="I682" s="13"/>
      <c r="J682" s="13"/>
      <c r="K682" s="13"/>
      <c r="L682" s="13"/>
      <c r="M682" s="1" t="b">
        <f>IFERROR(__xludf.DUMMYFUNCTION("""COMPUTED_VALUE"""),TRUE)</f>
        <v>1</v>
      </c>
      <c r="N682" s="10">
        <f>IFERROR(__xludf.DUMMYFUNCTION("""COMPUTED_VALUE"""),0)</f>
        <v>0</v>
      </c>
      <c r="O682" s="10">
        <f>IFERROR(__xludf.DUMMYFUNCTION("""COMPUTED_VALUE"""),0)</f>
        <v>0</v>
      </c>
      <c r="P682" s="10"/>
      <c r="Q682" s="30"/>
      <c r="R682" s="18"/>
      <c r="S682" s="19"/>
      <c r="T682" s="10"/>
      <c r="U682" s="10"/>
      <c r="V682" s="10"/>
      <c r="W682" s="10"/>
      <c r="X682" s="19"/>
      <c r="Y682" s="1"/>
      <c r="Z682" s="1"/>
      <c r="AA682" s="1"/>
    </row>
    <row r="683" customHeight="1" spans="1:27">
      <c r="A683" s="1" t="str">
        <f>IFERROR(__xludf.DUMMYFUNCTION("""COMPUTED_VALUE"""),"microTech 36")</f>
        <v>microTech 36</v>
      </c>
      <c r="B683" s="1" t="str">
        <f>IFERROR(__xludf.DUMMYFUNCTION("""COMPUTED_VALUE"""),"microTech 17")</f>
        <v>microTech 17</v>
      </c>
      <c r="C683" s="1" t="str">
        <f>IFERROR(__xludf.DUMMYFUNCTION("""COMPUTED_VALUE"""),"microTech 70")</f>
        <v>microTech 70</v>
      </c>
      <c r="D683" s="1" t="str">
        <f>IFERROR(__xludf.DUMMYFUNCTION("""COMPUTED_VALUE"""),"Cry-Astro Processing Plant 19-02")</f>
        <v>Cry-Astro Processing Plant 19-02</v>
      </c>
      <c r="E683" s="30" t="str">
        <f>IFERROR(__xludf.DUMMYFUNCTION("""COMPUTED_VALUE"""),"CryAstro 19-02")</f>
        <v>CryAstro 19-02</v>
      </c>
      <c r="F683" s="10">
        <f>IFERROR(__xludf.DUMMYFUNCTION("""COMPUTED_VALUE"""),584.139223971999)</f>
        <v>584.139223971999</v>
      </c>
      <c r="G683" s="10">
        <f>IFERROR(__xludf.DUMMYFUNCTION("""COMPUTED_VALUE"""),-0.789386706)</f>
        <v>-0.789386706</v>
      </c>
      <c r="H683" s="10">
        <f>IFERROR(__xludf.DUMMYFUNCTION("""COMPUTED_VALUE"""),812.169190745)</f>
        <v>812.169190745</v>
      </c>
      <c r="I683" s="13"/>
      <c r="J683" s="13"/>
      <c r="K683" s="13"/>
      <c r="L683" s="13"/>
      <c r="M683" s="1" t="b">
        <f>IFERROR(__xludf.DUMMYFUNCTION("""COMPUTED_VALUE"""),TRUE)</f>
        <v>1</v>
      </c>
      <c r="N683" s="10">
        <f>IFERROR(__xludf.DUMMYFUNCTION("""COMPUTED_VALUE"""),0)</f>
        <v>0</v>
      </c>
      <c r="O683" s="10">
        <f>IFERROR(__xludf.DUMMYFUNCTION("""COMPUTED_VALUE"""),0)</f>
        <v>0</v>
      </c>
      <c r="P683" s="10"/>
      <c r="Q683" s="30"/>
      <c r="R683" s="18"/>
      <c r="S683" s="19"/>
      <c r="T683" s="10"/>
      <c r="U683" s="10"/>
      <c r="V683" s="10"/>
      <c r="W683" s="10"/>
      <c r="X683" s="19"/>
      <c r="Y683" s="1"/>
      <c r="Z683" s="1"/>
      <c r="AA683" s="1"/>
    </row>
    <row r="684" customHeight="1" spans="1:27">
      <c r="A684" s="1" t="str">
        <f>IFERROR(__xludf.DUMMYFUNCTION("""COMPUTED_VALUE"""),"microTech 37")</f>
        <v>microTech 37</v>
      </c>
      <c r="B684" s="1" t="str">
        <f>IFERROR(__xludf.DUMMYFUNCTION("""COMPUTED_VALUE"""),"microTech 18")</f>
        <v>microTech 18</v>
      </c>
      <c r="C684" s="1" t="str">
        <f>IFERROR(__xludf.DUMMYFUNCTION("""COMPUTED_VALUE"""),"microTech 91")</f>
        <v>microTech 91</v>
      </c>
      <c r="D684" s="1" t="str">
        <f>IFERROR(__xludf.DUMMYFUNCTION("""COMPUTED_VALUE"""),"Cry-Astro Processing Plant 34-12")</f>
        <v>Cry-Astro Processing Plant 34-12</v>
      </c>
      <c r="E684" s="30" t="str">
        <f>IFERROR(__xludf.DUMMYFUNCTION("""COMPUTED_VALUE"""),"CryAstro 34-12")</f>
        <v>CryAstro 34-12</v>
      </c>
      <c r="F684" s="10">
        <f>IFERROR(__xludf.DUMMYFUNCTION("""COMPUTED_VALUE"""),-316.284851151)</f>
        <v>-316.284851151</v>
      </c>
      <c r="G684" s="10">
        <f>IFERROR(__xludf.DUMMYFUNCTION("""COMPUTED_VALUE"""),-882.04033701)</f>
        <v>-882.04033701</v>
      </c>
      <c r="H684" s="10">
        <f>IFERROR(__xludf.DUMMYFUNCTION("""COMPUTED_VALUE"""),-350.639382315)</f>
        <v>-350.639382315</v>
      </c>
      <c r="I684" s="13"/>
      <c r="J684" s="13"/>
      <c r="K684" s="13"/>
      <c r="L684" s="13"/>
      <c r="M684" s="1" t="b">
        <f>IFERROR(__xludf.DUMMYFUNCTION("""COMPUTED_VALUE"""),TRUE)</f>
        <v>1</v>
      </c>
      <c r="N684" s="10">
        <f>IFERROR(__xludf.DUMMYFUNCTION("""COMPUTED_VALUE"""),0)</f>
        <v>0</v>
      </c>
      <c r="O684" s="10">
        <f>IFERROR(__xludf.DUMMYFUNCTION("""COMPUTED_VALUE"""),0)</f>
        <v>0</v>
      </c>
      <c r="P684" s="10"/>
      <c r="Q684" s="30"/>
      <c r="R684" s="18"/>
      <c r="S684" s="19"/>
      <c r="T684" s="10"/>
      <c r="U684" s="10"/>
      <c r="V684" s="10"/>
      <c r="W684" s="10"/>
      <c r="X684" s="19"/>
      <c r="Y684" s="1"/>
      <c r="Z684" s="1"/>
      <c r="AA684" s="1"/>
    </row>
    <row r="685" customHeight="1" spans="1:27">
      <c r="A685" s="1" t="str">
        <f>IFERROR(__xludf.DUMMYFUNCTION("""COMPUTED_VALUE"""),"microTech 38")</f>
        <v>microTech 38</v>
      </c>
      <c r="B685" s="1" t="str">
        <f>IFERROR(__xludf.DUMMYFUNCTION("""COMPUTED_VALUE"""),"microTech 19")</f>
        <v>microTech 19</v>
      </c>
      <c r="C685" s="1" t="str">
        <f>IFERROR(__xludf.DUMMYFUNCTION("""COMPUTED_VALUE"""),"microTech 98")</f>
        <v>microTech 98</v>
      </c>
      <c r="D685" s="1" t="str">
        <f>IFERROR(__xludf.DUMMYFUNCTION("""COMPUTED_VALUE"""),"Greycat Stanton IV Production Complex-A")</f>
        <v>Greycat Stanton IV Production Complex-A</v>
      </c>
      <c r="E685" s="30" t="str">
        <f>IFERROR(__xludf.DUMMYFUNCTION("""COMPUTED_VALUE"""),"Greycat IV PCA")</f>
        <v>Greycat IV PCA</v>
      </c>
      <c r="F685" s="10">
        <f>IFERROR(__xludf.DUMMYFUNCTION("""COMPUTED_VALUE"""),-423.347337066999)</f>
        <v>-423.347337066999</v>
      </c>
      <c r="G685" s="10">
        <f>IFERROR(__xludf.DUMMYFUNCTION("""COMPUTED_VALUE"""),-141.168748082)</f>
        <v>-141.168748082</v>
      </c>
      <c r="H685" s="10">
        <f>IFERROR(__xludf.DUMMYFUNCTION("""COMPUTED_VALUE"""),-895.144870543)</f>
        <v>-895.144870543</v>
      </c>
      <c r="I685" s="13"/>
      <c r="J685" s="13"/>
      <c r="K685" s="13"/>
      <c r="L685" s="13"/>
      <c r="M685" s="1" t="b">
        <f>IFERROR(__xludf.DUMMYFUNCTION("""COMPUTED_VALUE"""),TRUE)</f>
        <v>1</v>
      </c>
      <c r="N685" s="10">
        <f>IFERROR(__xludf.DUMMYFUNCTION("""COMPUTED_VALUE"""),0)</f>
        <v>0</v>
      </c>
      <c r="O685" s="10">
        <f>IFERROR(__xludf.DUMMYFUNCTION("""COMPUTED_VALUE"""),0)</f>
        <v>0</v>
      </c>
      <c r="P685" s="10"/>
      <c r="Q685" s="30"/>
      <c r="R685" s="18"/>
      <c r="S685" s="19"/>
      <c r="T685" s="10"/>
      <c r="U685" s="10"/>
      <c r="V685" s="10"/>
      <c r="W685" s="10"/>
      <c r="X685" s="19"/>
      <c r="Y685" s="1"/>
      <c r="Z685" s="1"/>
      <c r="AA685" s="1"/>
    </row>
    <row r="686" customHeight="1" spans="1:27">
      <c r="A686" s="1" t="str">
        <f>IFERROR(__xludf.DUMMYFUNCTION("""COMPUTED_VALUE"""),"microTech 39")</f>
        <v>microTech 39</v>
      </c>
      <c r="B686" s="1" t="str">
        <f>IFERROR(__xludf.DUMMYFUNCTION("""COMPUTED_VALUE"""),"microTech 20")</f>
        <v>microTech 20</v>
      </c>
      <c r="C686" s="1" t="str">
        <f>IFERROR(__xludf.DUMMYFUNCTION("""COMPUTED_VALUE"""),"microTech 59")</f>
        <v>microTech 59</v>
      </c>
      <c r="D686" s="1" t="str">
        <f>IFERROR(__xludf.DUMMYFUNCTION("""COMPUTED_VALUE"""),"microTech Logistics Depot S4LD01")</f>
        <v>microTech Logistics Depot S4LD01</v>
      </c>
      <c r="E686" s="30" t="str">
        <f>IFERROR(__xludf.DUMMYFUNCTION("""COMPUTED_VALUE"""),"S4LD01")</f>
        <v>S4LD01</v>
      </c>
      <c r="F686" s="10">
        <f>IFERROR(__xludf.DUMMYFUNCTION("""COMPUTED_VALUE"""),884.615003940999)</f>
        <v>884.615003940999</v>
      </c>
      <c r="G686" s="10">
        <f>IFERROR(__xludf.DUMMYFUNCTION("""COMPUTED_VALUE"""),467.867816999999)</f>
        <v>467.867816999999</v>
      </c>
      <c r="H686" s="10">
        <f>IFERROR(__xludf.DUMMYFUNCTION("""COMPUTED_VALUE"""),-19.1525361889999)</f>
        <v>-19.1525361889999</v>
      </c>
      <c r="I686" s="13"/>
      <c r="J686" s="13"/>
      <c r="K686" s="13"/>
      <c r="L686" s="13"/>
      <c r="M686" s="1" t="b">
        <f>IFERROR(__xludf.DUMMYFUNCTION("""COMPUTED_VALUE"""),TRUE)</f>
        <v>1</v>
      </c>
      <c r="N686" s="10">
        <f>IFERROR(__xludf.DUMMYFUNCTION("""COMPUTED_VALUE"""),0)</f>
        <v>0</v>
      </c>
      <c r="O686" s="10">
        <f>IFERROR(__xludf.DUMMYFUNCTION("""COMPUTED_VALUE"""),0)</f>
        <v>0</v>
      </c>
      <c r="P686" s="10"/>
      <c r="Q686" s="30"/>
      <c r="R686" s="18"/>
      <c r="S686" s="19"/>
      <c r="T686" s="10"/>
      <c r="U686" s="10"/>
      <c r="V686" s="10"/>
      <c r="W686" s="10"/>
      <c r="X686" s="19"/>
      <c r="Y686" s="1"/>
      <c r="Z686" s="1"/>
      <c r="AA686" s="1"/>
    </row>
    <row r="687" customHeight="1" spans="1:27">
      <c r="A687" s="1" t="str">
        <f>IFERROR(__xludf.DUMMYFUNCTION("""COMPUTED_VALUE"""),"microTech 40")</f>
        <v>microTech 40</v>
      </c>
      <c r="B687" s="1" t="str">
        <f>IFERROR(__xludf.DUMMYFUNCTION("""COMPUTED_VALUE"""),"microTech 21")</f>
        <v>microTech 21</v>
      </c>
      <c r="C687" s="1" t="str">
        <f>IFERROR(__xludf.DUMMYFUNCTION("""COMPUTED_VALUE"""),"microTech 73")</f>
        <v>microTech 73</v>
      </c>
      <c r="D687" s="1" t="str">
        <f>IFERROR(__xludf.DUMMYFUNCTION("""COMPUTED_VALUE"""),"microTech Logistics Depot S4LD13")</f>
        <v>microTech Logistics Depot S4LD13</v>
      </c>
      <c r="E687" s="30" t="str">
        <f>IFERROR(__xludf.DUMMYFUNCTION("""COMPUTED_VALUE"""),"S4LD13")</f>
        <v>S4LD13</v>
      </c>
      <c r="F687" s="10">
        <f>IFERROR(__xludf.DUMMYFUNCTION("""COMPUTED_VALUE"""),843.837953494)</f>
        <v>843.837953494</v>
      </c>
      <c r="G687" s="10">
        <f>IFERROR(__xludf.DUMMYFUNCTION("""COMPUTED_VALUE"""),-179.534831679)</f>
        <v>-179.534831679</v>
      </c>
      <c r="H687" s="10">
        <f>IFERROR(__xludf.DUMMYFUNCTION("""COMPUTED_VALUE"""),505.834097438)</f>
        <v>505.834097438</v>
      </c>
      <c r="I687" s="13"/>
      <c r="J687" s="13"/>
      <c r="K687" s="13"/>
      <c r="L687" s="13"/>
      <c r="M687" s="1" t="b">
        <f>IFERROR(__xludf.DUMMYFUNCTION("""COMPUTED_VALUE"""),TRUE)</f>
        <v>1</v>
      </c>
      <c r="N687" s="10">
        <f>IFERROR(__xludf.DUMMYFUNCTION("""COMPUTED_VALUE"""),0)</f>
        <v>0</v>
      </c>
      <c r="O687" s="10">
        <f>IFERROR(__xludf.DUMMYFUNCTION("""COMPUTED_VALUE"""),0)</f>
        <v>0</v>
      </c>
      <c r="P687" s="10"/>
      <c r="Q687" s="30"/>
      <c r="R687" s="18"/>
      <c r="S687" s="19"/>
      <c r="T687" s="10"/>
      <c r="U687" s="10"/>
      <c r="V687" s="10"/>
      <c r="W687" s="10"/>
      <c r="X687" s="19"/>
      <c r="Y687" s="1"/>
      <c r="Z687" s="1"/>
      <c r="AA687" s="1"/>
    </row>
    <row r="688" customHeight="1" spans="1:27">
      <c r="A688" s="1" t="str">
        <f>IFERROR(__xludf.DUMMYFUNCTION("""COMPUTED_VALUE"""),"microTech 41")</f>
        <v>microTech 41</v>
      </c>
      <c r="B688" s="1" t="str">
        <f>IFERROR(__xludf.DUMMYFUNCTION("""COMPUTED_VALUE"""),"microTech 22")</f>
        <v>microTech 22</v>
      </c>
      <c r="C688" s="1" t="str">
        <f>IFERROR(__xludf.DUMMYFUNCTION("""COMPUTED_VALUE"""),"microTech 90")</f>
        <v>microTech 90</v>
      </c>
      <c r="D688" s="1" t="str">
        <f>IFERROR(__xludf.DUMMYFUNCTION("""COMPUTED_VALUE"""),"Sakura Sun Goldenrod Workcenter")</f>
        <v>Sakura Sun Goldenrod Workcenter</v>
      </c>
      <c r="E688" s="30" t="str">
        <f>IFERROR(__xludf.DUMMYFUNCTION("""COMPUTED_VALUE"""),"Goldenrod")</f>
        <v>Goldenrod</v>
      </c>
      <c r="F688" s="10">
        <f>IFERROR(__xludf.DUMMYFUNCTION("""COMPUTED_VALUE"""),-173.422432138)</f>
        <v>-173.422432138</v>
      </c>
      <c r="G688" s="10">
        <f>IFERROR(__xludf.DUMMYFUNCTION("""COMPUTED_VALUE"""),-923.630455717999)</f>
        <v>-923.630455717999</v>
      </c>
      <c r="H688" s="10">
        <f>IFERROR(__xludf.DUMMYFUNCTION("""COMPUTED_VALUE"""),-343.264571051999)</f>
        <v>-343.264571051999</v>
      </c>
      <c r="I688" s="13"/>
      <c r="J688" s="13"/>
      <c r="K688" s="13"/>
      <c r="L688" s="13"/>
      <c r="M688" s="1" t="b">
        <f>IFERROR(__xludf.DUMMYFUNCTION("""COMPUTED_VALUE"""),TRUE)</f>
        <v>1</v>
      </c>
      <c r="N688" s="10">
        <f>IFERROR(__xludf.DUMMYFUNCTION("""COMPUTED_VALUE"""),0)</f>
        <v>0</v>
      </c>
      <c r="O688" s="10">
        <f>IFERROR(__xludf.DUMMYFUNCTION("""COMPUTED_VALUE"""),0)</f>
        <v>0</v>
      </c>
      <c r="P688" s="10"/>
      <c r="Q688" s="30"/>
      <c r="R688" s="18"/>
      <c r="S688" s="19"/>
      <c r="T688" s="10"/>
      <c r="U688" s="10"/>
      <c r="V688" s="10"/>
      <c r="W688" s="10"/>
      <c r="X688" s="19"/>
      <c r="Y688" s="1"/>
      <c r="Z688" s="1"/>
      <c r="AA688" s="1"/>
    </row>
    <row r="689" customHeight="1" spans="1:27">
      <c r="A689" s="1" t="str">
        <f>IFERROR(__xludf.DUMMYFUNCTION("""COMPUTED_VALUE"""),"microTech")</f>
        <v>microTech</v>
      </c>
      <c r="B689" s="1" t="str">
        <f>IFERROR(__xludf.DUMMYFUNCTION("""COMPUTED_VALUE"""),"microTech 24")</f>
        <v>microTech 24</v>
      </c>
      <c r="C689" s="1"/>
      <c r="D689" s="1" t="str">
        <f>IFERROR(__xludf.DUMMYFUNCTION("""COMPUTED_VALUE"""),"Underground Bunker Facilities")</f>
        <v>Underground Bunker Facilities</v>
      </c>
      <c r="E689" s="30"/>
      <c r="F689" s="10"/>
      <c r="G689" s="10"/>
      <c r="H689" s="10"/>
      <c r="I689" s="13"/>
      <c r="J689" s="13"/>
      <c r="K689" s="13"/>
      <c r="L689" s="13"/>
      <c r="M689" s="1"/>
      <c r="N689" s="10"/>
      <c r="O689" s="10"/>
      <c r="P689" s="10"/>
      <c r="Q689" s="30"/>
      <c r="R689" s="18"/>
      <c r="S689" s="19"/>
      <c r="T689" s="10"/>
      <c r="U689" s="10"/>
      <c r="V689" s="10"/>
      <c r="W689" s="10"/>
      <c r="X689" s="19"/>
      <c r="Y689" s="1"/>
      <c r="Z689" s="1"/>
      <c r="AA689" s="1"/>
    </row>
    <row r="690" customHeight="1" spans="1:27">
      <c r="A690" s="1" t="str">
        <f>IFERROR(__xludf.DUMMYFUNCTION("""COMPUTED_VALUE"""),"microTech 11")</f>
        <v>microTech 11</v>
      </c>
      <c r="B690" s="1" t="str">
        <f>IFERROR(__xludf.DUMMYFUNCTION("""COMPUTED_VALUE"""),"microTech 25")</f>
        <v>microTech 25</v>
      </c>
      <c r="C690" s="1" t="str">
        <f>IFERROR(__xludf.DUMMYFUNCTION("""COMPUTED_VALUE"""),"microTech 65")</f>
        <v>microTech 65</v>
      </c>
      <c r="D690" s="1" t="str">
        <f>IFERROR(__xludf.DUMMYFUNCTION("""COMPUTED_VALUE"""),"MT DataCenter 2UB-RB9-5")</f>
        <v>MT DataCenter 2UB-RB9-5</v>
      </c>
      <c r="E690" s="30" t="str">
        <f>IFERROR(__xludf.DUMMYFUNCTION("""COMPUTED_VALUE"""),"DC 2UB")</f>
        <v>DC 2UB</v>
      </c>
      <c r="F690" s="10">
        <f>IFERROR(__xludf.DUMMYFUNCTION("""COMPUTED_VALUE"""),907.001926866)</f>
        <v>907.001926866</v>
      </c>
      <c r="G690" s="10">
        <f>IFERROR(__xludf.DUMMYFUNCTION("""COMPUTED_VALUE"""),139.908078669)</f>
        <v>139.908078669</v>
      </c>
      <c r="H690" s="10">
        <f>IFERROR(__xludf.DUMMYFUNCTION("""COMPUTED_VALUE"""),-397.662409549999)</f>
        <v>-397.662409549999</v>
      </c>
      <c r="I690" s="13"/>
      <c r="J690" s="13"/>
      <c r="K690" s="13"/>
      <c r="L690" s="13"/>
      <c r="M690" s="1" t="b">
        <f>IFERROR(__xludf.DUMMYFUNCTION("""COMPUTED_VALUE"""),TRUE)</f>
        <v>1</v>
      </c>
      <c r="N690" s="10">
        <f>IFERROR(__xludf.DUMMYFUNCTION("""COMPUTED_VALUE"""),0)</f>
        <v>0</v>
      </c>
      <c r="O690" s="10">
        <f>IFERROR(__xludf.DUMMYFUNCTION("""COMPUTED_VALUE"""),0)</f>
        <v>0</v>
      </c>
      <c r="P690" s="10"/>
      <c r="Q690" s="30"/>
      <c r="R690" s="18"/>
      <c r="S690" s="19"/>
      <c r="T690" s="10"/>
      <c r="U690" s="10"/>
      <c r="V690" s="10"/>
      <c r="W690" s="10"/>
      <c r="X690" s="19"/>
      <c r="Y690" s="1"/>
      <c r="Z690" s="1"/>
      <c r="AA690" s="1"/>
    </row>
    <row r="691" customHeight="1" spans="1:27">
      <c r="A691" s="1" t="str">
        <f>IFERROR(__xludf.DUMMYFUNCTION("""COMPUTED_VALUE"""),"microTech 12")</f>
        <v>microTech 12</v>
      </c>
      <c r="B691" s="1" t="str">
        <f>IFERROR(__xludf.DUMMYFUNCTION("""COMPUTED_VALUE"""),"microTech 26")</f>
        <v>microTech 26</v>
      </c>
      <c r="C691" s="1" t="str">
        <f>IFERROR(__xludf.DUMMYFUNCTION("""COMPUTED_VALUE"""),"microTech 38")</f>
        <v>microTech 38</v>
      </c>
      <c r="D691" s="1" t="str">
        <f>IFERROR(__xludf.DUMMYFUNCTION("""COMPUTED_VALUE"""),"MT DataCenter 4HJ-LVE-A")</f>
        <v>MT DataCenter 4HJ-LVE-A</v>
      </c>
      <c r="E691" s="30" t="str">
        <f>IFERROR(__xludf.DUMMYFUNCTION("""COMPUTED_VALUE"""),"DC 4HJ")</f>
        <v>DC 4HJ</v>
      </c>
      <c r="F691" s="10">
        <f>IFERROR(__xludf.DUMMYFUNCTION("""COMPUTED_VALUE"""),-100.841420526999)</f>
        <v>-100.841420526999</v>
      </c>
      <c r="G691" s="10">
        <f>IFERROR(__xludf.DUMMYFUNCTION("""COMPUTED_VALUE"""),962.406628046)</f>
        <v>962.406628046</v>
      </c>
      <c r="H691" s="10">
        <f>IFERROR(__xludf.DUMMYFUNCTION("""COMPUTED_VALUE"""),-255.721361148)</f>
        <v>-255.721361148</v>
      </c>
      <c r="I691" s="13"/>
      <c r="J691" s="13"/>
      <c r="K691" s="13"/>
      <c r="L691" s="13"/>
      <c r="M691" s="1" t="b">
        <f>IFERROR(__xludf.DUMMYFUNCTION("""COMPUTED_VALUE"""),TRUE)</f>
        <v>1</v>
      </c>
      <c r="N691" s="10">
        <f>IFERROR(__xludf.DUMMYFUNCTION("""COMPUTED_VALUE"""),0)</f>
        <v>0</v>
      </c>
      <c r="O691" s="10">
        <f>IFERROR(__xludf.DUMMYFUNCTION("""COMPUTED_VALUE"""),0)</f>
        <v>0</v>
      </c>
      <c r="P691" s="10"/>
      <c r="Q691" s="30"/>
      <c r="R691" s="18"/>
      <c r="S691" s="19"/>
      <c r="T691" s="10"/>
      <c r="U691" s="10"/>
      <c r="V691" s="10"/>
      <c r="W691" s="10"/>
      <c r="X691" s="19"/>
      <c r="Y691" s="1"/>
      <c r="Z691" s="1"/>
      <c r="AA691" s="1"/>
    </row>
    <row r="692" customHeight="1" spans="1:27">
      <c r="A692" s="1" t="str">
        <f>IFERROR(__xludf.DUMMYFUNCTION("""COMPUTED_VALUE"""),"microTech 13")</f>
        <v>microTech 13</v>
      </c>
      <c r="B692" s="1" t="str">
        <f>IFERROR(__xludf.DUMMYFUNCTION("""COMPUTED_VALUE"""),"microTech 27")</f>
        <v>microTech 27</v>
      </c>
      <c r="C692" s="1" t="str">
        <f>IFERROR(__xludf.DUMMYFUNCTION("""COMPUTED_VALUE"""),"microTech 68")</f>
        <v>microTech 68</v>
      </c>
      <c r="D692" s="1" t="str">
        <f>IFERROR(__xludf.DUMMYFUNCTION("""COMPUTED_VALUE"""),"MT DataCenter 5WQ-R2V-C")</f>
        <v>MT DataCenter 5WQ-R2V-C</v>
      </c>
      <c r="E692" s="30" t="str">
        <f>IFERROR(__xludf.DUMMYFUNCTION("""COMPUTED_VALUE"""),"DC 5WQ")</f>
        <v>DC 5WQ</v>
      </c>
      <c r="F692" s="10">
        <f>IFERROR(__xludf.DUMMYFUNCTION("""COMPUTED_VALUE"""),959.880006009)</f>
        <v>959.880006009</v>
      </c>
      <c r="G692" s="10">
        <f>IFERROR(__xludf.DUMMYFUNCTION("""COMPUTED_VALUE"""),40.2947158029998)</f>
        <v>40.2947158029998</v>
      </c>
      <c r="H692" s="10">
        <f>IFERROR(__xludf.DUMMYFUNCTION("""COMPUTED_VALUE"""),-279.073290281999)</f>
        <v>-279.073290281999</v>
      </c>
      <c r="I692" s="13"/>
      <c r="J692" s="13"/>
      <c r="K692" s="13"/>
      <c r="L692" s="13"/>
      <c r="M692" s="1" t="b">
        <f>IFERROR(__xludf.DUMMYFUNCTION("""COMPUTED_VALUE"""),TRUE)</f>
        <v>1</v>
      </c>
      <c r="N692" s="10">
        <f>IFERROR(__xludf.DUMMYFUNCTION("""COMPUTED_VALUE"""),0)</f>
        <v>0</v>
      </c>
      <c r="O692" s="10">
        <f>IFERROR(__xludf.DUMMYFUNCTION("""COMPUTED_VALUE"""),0)</f>
        <v>0</v>
      </c>
      <c r="P692" s="10"/>
      <c r="Q692" s="30"/>
      <c r="R692" s="18"/>
      <c r="S692" s="19"/>
      <c r="T692" s="10"/>
      <c r="U692" s="10"/>
      <c r="V692" s="10"/>
      <c r="W692" s="10"/>
      <c r="X692" s="19"/>
      <c r="Y692" s="1"/>
      <c r="Z692" s="1"/>
      <c r="AA692" s="1"/>
    </row>
    <row r="693" customHeight="1" spans="1:27">
      <c r="A693" s="1" t="str">
        <f>IFERROR(__xludf.DUMMYFUNCTION("""COMPUTED_VALUE"""),"microTech 14")</f>
        <v>microTech 14</v>
      </c>
      <c r="B693" s="1" t="str">
        <f>IFERROR(__xludf.DUMMYFUNCTION("""COMPUTED_VALUE"""),"microTech 28")</f>
        <v>microTech 28</v>
      </c>
      <c r="C693" s="1" t="str">
        <f>IFERROR(__xludf.DUMMYFUNCTION("""COMPUTED_VALUE"""),"microTech 66")</f>
        <v>microTech 66</v>
      </c>
      <c r="D693" s="1" t="str">
        <f>IFERROR(__xludf.DUMMYFUNCTION("""COMPUTED_VALUE"""),"MT DataCenter 8FK-Q2X-K")</f>
        <v>MT DataCenter 8FK-Q2X-K</v>
      </c>
      <c r="E693" s="30" t="str">
        <f>IFERROR(__xludf.DUMMYFUNCTION("""COMPUTED_VALUE"""),"DC 8FK")</f>
        <v>DC 8FK</v>
      </c>
      <c r="F693" s="10">
        <f>IFERROR(__xludf.DUMMYFUNCTION("""COMPUTED_VALUE"""),22.3972399909999)</f>
        <v>22.3972399909999</v>
      </c>
      <c r="G693" s="10">
        <f>IFERROR(__xludf.DUMMYFUNCTION("""COMPUTED_VALUE"""),2.904963732)</f>
        <v>2.904963732</v>
      </c>
      <c r="H693" s="10">
        <f>IFERROR(__xludf.DUMMYFUNCTION("""COMPUTED_VALUE"""),-1000.724867091)</f>
        <v>-1000.724867091</v>
      </c>
      <c r="I693" s="13"/>
      <c r="J693" s="13"/>
      <c r="K693" s="13"/>
      <c r="L693" s="13"/>
      <c r="M693" s="1" t="b">
        <f>IFERROR(__xludf.DUMMYFUNCTION("""COMPUTED_VALUE"""),TRUE)</f>
        <v>1</v>
      </c>
      <c r="N693" s="10">
        <f>IFERROR(__xludf.DUMMYFUNCTION("""COMPUTED_VALUE"""),0)</f>
        <v>0</v>
      </c>
      <c r="O693" s="10">
        <f>IFERROR(__xludf.DUMMYFUNCTION("""COMPUTED_VALUE"""),0)</f>
        <v>0</v>
      </c>
      <c r="P693" s="10"/>
      <c r="Q693" s="30"/>
      <c r="R693" s="18"/>
      <c r="S693" s="19"/>
      <c r="T693" s="10"/>
      <c r="U693" s="10"/>
      <c r="V693" s="10"/>
      <c r="W693" s="10"/>
      <c r="X693" s="19"/>
      <c r="Y693" s="1"/>
      <c r="Z693" s="1"/>
      <c r="AA693" s="1"/>
    </row>
    <row r="694" customHeight="1" spans="1:27">
      <c r="A694" s="1" t="str">
        <f>IFERROR(__xludf.DUMMYFUNCTION("""COMPUTED_VALUE"""),"microTech 15")</f>
        <v>microTech 15</v>
      </c>
      <c r="B694" s="1" t="str">
        <f>IFERROR(__xludf.DUMMYFUNCTION("""COMPUTED_VALUE"""),"microTech 29")</f>
        <v>microTech 29</v>
      </c>
      <c r="C694" s="1" t="str">
        <f>IFERROR(__xludf.DUMMYFUNCTION("""COMPUTED_VALUE"""),"microTech 42")</f>
        <v>microTech 42</v>
      </c>
      <c r="D694" s="1" t="str">
        <f>IFERROR(__xludf.DUMMYFUNCTION("""COMPUTED_VALUE"""),"MT DataCenter D79-ECG-R")</f>
        <v>MT DataCenter D79-ECG-R</v>
      </c>
      <c r="E694" s="30" t="str">
        <f>IFERROR(__xludf.DUMMYFUNCTION("""COMPUTED_VALUE"""),"DC D79")</f>
        <v>DC D79</v>
      </c>
      <c r="F694" s="10">
        <f>IFERROR(__xludf.DUMMYFUNCTION("""COMPUTED_VALUE"""),200.928137781)</f>
        <v>200.928137781</v>
      </c>
      <c r="G694" s="10">
        <f>IFERROR(__xludf.DUMMYFUNCTION("""COMPUTED_VALUE"""),308.739605014999)</f>
        <v>308.739605014999</v>
      </c>
      <c r="H694" s="10">
        <f>IFERROR(__xludf.DUMMYFUNCTION("""COMPUTED_VALUE"""),-929.820080088)</f>
        <v>-929.820080088</v>
      </c>
      <c r="I694" s="13"/>
      <c r="J694" s="13"/>
      <c r="K694" s="13"/>
      <c r="L694" s="13"/>
      <c r="M694" s="1" t="b">
        <f>IFERROR(__xludf.DUMMYFUNCTION("""COMPUTED_VALUE"""),TRUE)</f>
        <v>1</v>
      </c>
      <c r="N694" s="10">
        <f>IFERROR(__xludf.DUMMYFUNCTION("""COMPUTED_VALUE"""),0)</f>
        <v>0</v>
      </c>
      <c r="O694" s="10">
        <f>IFERROR(__xludf.DUMMYFUNCTION("""COMPUTED_VALUE"""),0)</f>
        <v>0</v>
      </c>
      <c r="P694" s="10"/>
      <c r="Q694" s="30"/>
      <c r="R694" s="18"/>
      <c r="S694" s="19"/>
      <c r="T694" s="10"/>
      <c r="U694" s="10"/>
      <c r="V694" s="10"/>
      <c r="W694" s="10"/>
      <c r="X694" s="19"/>
      <c r="Y694" s="1"/>
      <c r="Z694" s="1"/>
      <c r="AA694" s="1"/>
    </row>
    <row r="695" customHeight="1" spans="1:27">
      <c r="A695" s="1" t="str">
        <f>IFERROR(__xludf.DUMMYFUNCTION("""COMPUTED_VALUE"""),"microTech 16")</f>
        <v>microTech 16</v>
      </c>
      <c r="B695" s="1" t="str">
        <f>IFERROR(__xludf.DUMMYFUNCTION("""COMPUTED_VALUE"""),"microTech 30")</f>
        <v>microTech 30</v>
      </c>
      <c r="C695" s="1" t="str">
        <f>IFERROR(__xludf.DUMMYFUNCTION("""COMPUTED_VALUE"""),"microTech 64")</f>
        <v>microTech 64</v>
      </c>
      <c r="D695" s="1" t="str">
        <f>IFERROR(__xludf.DUMMYFUNCTION("""COMPUTED_VALUE"""),"MT DataCenter E2Q-NSG-Y")</f>
        <v>MT DataCenter E2Q-NSG-Y</v>
      </c>
      <c r="E695" s="30" t="str">
        <f>IFERROR(__xludf.DUMMYFUNCTION("""COMPUTED_VALUE"""),"DC E2Q")</f>
        <v>DC E2Q</v>
      </c>
      <c r="F695" s="10">
        <f>IFERROR(__xludf.DUMMYFUNCTION("""COMPUTED_VALUE"""),916.831795390999)</f>
        <v>916.831795390999</v>
      </c>
      <c r="G695" s="10">
        <f>IFERROR(__xludf.DUMMYFUNCTION("""COMPUTED_VALUE"""),187.159489357999)</f>
        <v>187.159489357999</v>
      </c>
      <c r="H695" s="10">
        <f>IFERROR(__xludf.DUMMYFUNCTION("""COMPUTED_VALUE"""),-354.144106525)</f>
        <v>-354.144106525</v>
      </c>
      <c r="I695" s="13"/>
      <c r="J695" s="13"/>
      <c r="K695" s="13"/>
      <c r="L695" s="13"/>
      <c r="M695" s="1" t="b">
        <f>IFERROR(__xludf.DUMMYFUNCTION("""COMPUTED_VALUE"""),TRUE)</f>
        <v>1</v>
      </c>
      <c r="N695" s="10">
        <f>IFERROR(__xludf.DUMMYFUNCTION("""COMPUTED_VALUE"""),0)</f>
        <v>0</v>
      </c>
      <c r="O695" s="10">
        <f>IFERROR(__xludf.DUMMYFUNCTION("""COMPUTED_VALUE"""),0)</f>
        <v>0</v>
      </c>
      <c r="P695" s="10"/>
      <c r="Q695" s="30"/>
      <c r="R695" s="18"/>
      <c r="S695" s="19"/>
      <c r="T695" s="10"/>
      <c r="U695" s="10"/>
      <c r="V695" s="10"/>
      <c r="W695" s="10"/>
      <c r="X695" s="19"/>
      <c r="Y695" s="1"/>
      <c r="Z695" s="1"/>
      <c r="AA695" s="1"/>
    </row>
    <row r="696" customHeight="1" spans="1:27">
      <c r="A696" s="1" t="str">
        <f>IFERROR(__xludf.DUMMYFUNCTION("""COMPUTED_VALUE"""),"microTech 17")</f>
        <v>microTech 17</v>
      </c>
      <c r="B696" s="1" t="str">
        <f>IFERROR(__xludf.DUMMYFUNCTION("""COMPUTED_VALUE"""),"microTech 31")</f>
        <v>microTech 31</v>
      </c>
      <c r="C696" s="1" t="str">
        <f>IFERROR(__xludf.DUMMYFUNCTION("""COMPUTED_VALUE"""),"microTech 29")</f>
        <v>microTech 29</v>
      </c>
      <c r="D696" s="1" t="str">
        <f>IFERROR(__xludf.DUMMYFUNCTION("""COMPUTED_VALUE"""),"MT DataCenter KH3-AAE-L")</f>
        <v>MT DataCenter KH3-AAE-L</v>
      </c>
      <c r="E696" s="30" t="str">
        <f>IFERROR(__xludf.DUMMYFUNCTION("""COMPUTED_VALUE"""),"DC KH3")</f>
        <v>DC KH3</v>
      </c>
      <c r="F696" s="10">
        <f>IFERROR(__xludf.DUMMYFUNCTION("""COMPUTED_VALUE"""),-468.928187746)</f>
        <v>-468.928187746</v>
      </c>
      <c r="G696" s="10">
        <f>IFERROR(__xludf.DUMMYFUNCTION("""COMPUTED_VALUE"""),801.472605984)</f>
        <v>801.472605984</v>
      </c>
      <c r="H696" s="10">
        <f>IFERROR(__xludf.DUMMYFUNCTION("""COMPUTED_VALUE"""),-375.315782979)</f>
        <v>-375.315782979</v>
      </c>
      <c r="I696" s="13"/>
      <c r="J696" s="13"/>
      <c r="K696" s="13"/>
      <c r="L696" s="13"/>
      <c r="M696" s="1" t="b">
        <f>IFERROR(__xludf.DUMMYFUNCTION("""COMPUTED_VALUE"""),TRUE)</f>
        <v>1</v>
      </c>
      <c r="N696" s="10"/>
      <c r="O696" s="10"/>
      <c r="P696" s="10"/>
      <c r="Q696" s="30"/>
      <c r="R696" s="18"/>
      <c r="S696" s="19"/>
      <c r="T696" s="10"/>
      <c r="U696" s="10"/>
      <c r="V696" s="10"/>
      <c r="W696" s="10"/>
      <c r="X696" s="19"/>
      <c r="Y696" s="1"/>
      <c r="Z696" s="1"/>
      <c r="AA696" s="1"/>
    </row>
    <row r="697" customHeight="1" spans="1:27">
      <c r="A697" s="1" t="str">
        <f>IFERROR(__xludf.DUMMYFUNCTION("""COMPUTED_VALUE"""),"microTech 18")</f>
        <v>microTech 18</v>
      </c>
      <c r="B697" s="1" t="str">
        <f>IFERROR(__xludf.DUMMYFUNCTION("""COMPUTED_VALUE"""),"microTech 32")</f>
        <v>microTech 32</v>
      </c>
      <c r="C697" s="1" t="str">
        <f>IFERROR(__xludf.DUMMYFUNCTION("""COMPUTED_VALUE"""),"microTech 32")</f>
        <v>microTech 32</v>
      </c>
      <c r="D697" s="1" t="str">
        <f>IFERROR(__xludf.DUMMYFUNCTION("""COMPUTED_VALUE"""),"MT DataCenter L8P-JUC-8")</f>
        <v>MT DataCenter L8P-JUC-8</v>
      </c>
      <c r="E697" s="30" t="str">
        <f>IFERROR(__xludf.DUMMYFUNCTION("""COMPUTED_VALUE"""),"DC L8P")</f>
        <v>DC L8P</v>
      </c>
      <c r="F697" s="10">
        <f>IFERROR(__xludf.DUMMYFUNCTION("""COMPUTED_VALUE"""),-86.563453194)</f>
        <v>-86.563453194</v>
      </c>
      <c r="G697" s="10">
        <f>IFERROR(__xludf.DUMMYFUNCTION("""COMPUTED_VALUE"""),218.55998655)</f>
        <v>218.55998655</v>
      </c>
      <c r="H697" s="10">
        <f>IFERROR(__xludf.DUMMYFUNCTION("""COMPUTED_VALUE"""),-972.069793889999)</f>
        <v>-972.069793889999</v>
      </c>
      <c r="I697" s="13"/>
      <c r="J697" s="13"/>
      <c r="K697" s="13"/>
      <c r="L697" s="13"/>
      <c r="M697" s="1" t="b">
        <f>IFERROR(__xludf.DUMMYFUNCTION("""COMPUTED_VALUE"""),TRUE)</f>
        <v>1</v>
      </c>
      <c r="N697" s="10"/>
      <c r="O697" s="10"/>
      <c r="P697" s="10"/>
      <c r="Q697" s="30"/>
      <c r="R697" s="18"/>
      <c r="S697" s="19"/>
      <c r="T697" s="10"/>
      <c r="U697" s="10"/>
      <c r="V697" s="10"/>
      <c r="W697" s="10"/>
      <c r="X697" s="19"/>
      <c r="Y697" s="1"/>
      <c r="Z697" s="1"/>
      <c r="AA697" s="1"/>
    </row>
    <row r="698" customHeight="1" spans="1:27">
      <c r="A698" s="1" t="str">
        <f>IFERROR(__xludf.DUMMYFUNCTION("""COMPUTED_VALUE"""),"microTech 19")</f>
        <v>microTech 19</v>
      </c>
      <c r="B698" s="1" t="str">
        <f>IFERROR(__xludf.DUMMYFUNCTION("""COMPUTED_VALUE"""),"microTech 33")</f>
        <v>microTech 33</v>
      </c>
      <c r="C698" s="1" t="str">
        <f>IFERROR(__xludf.DUMMYFUNCTION("""COMPUTED_VALUE"""),"microTech 34")</f>
        <v>microTech 34</v>
      </c>
      <c r="D698" s="1" t="str">
        <f>IFERROR(__xludf.DUMMYFUNCTION("""COMPUTED_VALUE"""),"MT DataCenter QVX-J88-J")</f>
        <v>MT DataCenter QVX-J88-J</v>
      </c>
      <c r="E698" s="30" t="str">
        <f>IFERROR(__xludf.DUMMYFUNCTION("""COMPUTED_VALUE"""),"DC QVX")</f>
        <v>DC QVX</v>
      </c>
      <c r="F698" s="10">
        <f>IFERROR(__xludf.DUMMYFUNCTION("""COMPUTED_VALUE"""),-247.944541911)</f>
        <v>-247.944541911</v>
      </c>
      <c r="G698" s="10">
        <f>IFERROR(__xludf.DUMMYFUNCTION("""COMPUTED_VALUE"""),892.69862661)</f>
        <v>892.69862661</v>
      </c>
      <c r="H698" s="10">
        <f>IFERROR(__xludf.DUMMYFUNCTION("""COMPUTED_VALUE"""),-379.677863927)</f>
        <v>-379.677863927</v>
      </c>
      <c r="I698" s="13"/>
      <c r="J698" s="13"/>
      <c r="K698" s="13"/>
      <c r="L698" s="13"/>
      <c r="M698" s="1" t="b">
        <f>IFERROR(__xludf.DUMMYFUNCTION("""COMPUTED_VALUE"""),TRUE)</f>
        <v>1</v>
      </c>
      <c r="N698" s="10">
        <f>IFERROR(__xludf.DUMMYFUNCTION("""COMPUTED_VALUE"""),0)</f>
        <v>0</v>
      </c>
      <c r="O698" s="10">
        <f>IFERROR(__xludf.DUMMYFUNCTION("""COMPUTED_VALUE"""),0)</f>
        <v>0</v>
      </c>
      <c r="P698" s="10"/>
      <c r="Q698" s="30"/>
      <c r="R698" s="18"/>
      <c r="S698" s="19"/>
      <c r="T698" s="10"/>
      <c r="U698" s="10"/>
      <c r="V698" s="10"/>
      <c r="W698" s="10"/>
      <c r="X698" s="19"/>
      <c r="Y698" s="1"/>
      <c r="Z698" s="1"/>
      <c r="AA698" s="1"/>
    </row>
    <row r="699" customHeight="1" spans="1:27">
      <c r="A699" s="1" t="str">
        <f>IFERROR(__xludf.DUMMYFUNCTION("""COMPUTED_VALUE"""),"microTech 20")</f>
        <v>microTech 20</v>
      </c>
      <c r="B699" s="1" t="str">
        <f>IFERROR(__xludf.DUMMYFUNCTION("""COMPUTED_VALUE"""),"microTech 34")</f>
        <v>microTech 34</v>
      </c>
      <c r="C699" s="1" t="str">
        <f>IFERROR(__xludf.DUMMYFUNCTION("""COMPUTED_VALUE"""),"microTech 01")</f>
        <v>microTech 01</v>
      </c>
      <c r="D699" s="1" t="str">
        <f>IFERROR(__xludf.DUMMYFUNCTION("""COMPUTED_VALUE"""),"MT DataCenter TMG-XEV-2")</f>
        <v>MT DataCenter TMG-XEV-2</v>
      </c>
      <c r="E699" s="30" t="str">
        <f>IFERROR(__xludf.DUMMYFUNCTION("""COMPUTED_VALUE"""),"DC TMG")</f>
        <v>DC TMG</v>
      </c>
      <c r="F699" s="10">
        <f>IFERROR(__xludf.DUMMYFUNCTION("""COMPUTED_VALUE"""),-160.991677441999)</f>
        <v>-160.991677441999</v>
      </c>
      <c r="G699" s="10">
        <f>IFERROR(__xludf.DUMMYFUNCTION("""COMPUTED_VALUE"""),62.4419799809999)</f>
        <v>62.4419799809999</v>
      </c>
      <c r="H699" s="10">
        <f>IFERROR(__xludf.DUMMYFUNCTION("""COMPUTED_VALUE"""),985.997622497)</f>
        <v>985.997622497</v>
      </c>
      <c r="I699" s="13"/>
      <c r="J699" s="13"/>
      <c r="K699" s="13"/>
      <c r="L699" s="13"/>
      <c r="M699" s="1" t="b">
        <f>IFERROR(__xludf.DUMMYFUNCTION("""COMPUTED_VALUE"""),TRUE)</f>
        <v>1</v>
      </c>
      <c r="N699" s="10">
        <f>IFERROR(__xludf.DUMMYFUNCTION("""COMPUTED_VALUE"""),0)</f>
        <v>0</v>
      </c>
      <c r="O699" s="10">
        <f>IFERROR(__xludf.DUMMYFUNCTION("""COMPUTED_VALUE"""),0)</f>
        <v>0</v>
      </c>
      <c r="P699" s="10"/>
      <c r="Q699" s="30"/>
      <c r="R699" s="18"/>
      <c r="S699" s="19"/>
      <c r="T699" s="10"/>
      <c r="U699" s="10"/>
      <c r="V699" s="10"/>
      <c r="W699" s="10"/>
      <c r="X699" s="19"/>
      <c r="Y699" s="1"/>
      <c r="Z699" s="1"/>
      <c r="AA699" s="1"/>
    </row>
    <row r="700" customHeight="1" spans="1:27">
      <c r="A700" s="1" t="str">
        <f>IFERROR(__xludf.DUMMYFUNCTION("""COMPUTED_VALUE"""),"microTech 21")</f>
        <v>microTech 21</v>
      </c>
      <c r="B700" s="1" t="str">
        <f>IFERROR(__xludf.DUMMYFUNCTION("""COMPUTED_VALUE"""),"microTech 35")</f>
        <v>microTech 35</v>
      </c>
      <c r="C700" s="1" t="str">
        <f>IFERROR(__xludf.DUMMYFUNCTION("""COMPUTED_VALUE"""),"microTech 46")</f>
        <v>microTech 46</v>
      </c>
      <c r="D700" s="1" t="str">
        <f>IFERROR(__xludf.DUMMYFUNCTION("""COMPUTED_VALUE"""),"MT OpCenter LTI-4")</f>
        <v>MT OpCenter LTI-4</v>
      </c>
      <c r="E700" s="30" t="str">
        <f>IFERROR(__xludf.DUMMYFUNCTION("""COMPUTED_VALUE"""),"OpCtr LTI-4")</f>
        <v>OpCtr LTI-4</v>
      </c>
      <c r="F700" s="10">
        <f>IFERROR(__xludf.DUMMYFUNCTION("""COMPUTED_VALUE"""),68.3643821809999)</f>
        <v>68.3643821809999</v>
      </c>
      <c r="G700" s="10">
        <f>IFERROR(__xludf.DUMMYFUNCTION("""COMPUTED_VALUE"""),64.2762099499999)</f>
        <v>64.2762099499999</v>
      </c>
      <c r="H700" s="10">
        <f>IFERROR(__xludf.DUMMYFUNCTION("""COMPUTED_VALUE"""),-996.489556525)</f>
        <v>-996.489556525</v>
      </c>
      <c r="I700" s="13"/>
      <c r="J700" s="13"/>
      <c r="K700" s="13"/>
      <c r="L700" s="13"/>
      <c r="M700" s="1" t="b">
        <f>IFERROR(__xludf.DUMMYFUNCTION("""COMPUTED_VALUE"""),TRUE)</f>
        <v>1</v>
      </c>
      <c r="N700" s="10"/>
      <c r="O700" s="10"/>
      <c r="P700" s="10"/>
      <c r="Q700" s="30"/>
      <c r="R700" s="18"/>
      <c r="S700" s="19"/>
      <c r="T700" s="10"/>
      <c r="U700" s="10"/>
      <c r="V700" s="10"/>
      <c r="W700" s="10"/>
      <c r="X700" s="19"/>
      <c r="Y700" s="1"/>
      <c r="Z700" s="1"/>
      <c r="AA700" s="1"/>
    </row>
    <row r="701" customHeight="1" spans="1:27">
      <c r="A701" s="1" t="str">
        <f>IFERROR(__xludf.DUMMYFUNCTION("""COMPUTED_VALUE"""),"microTech")</f>
        <v>microTech</v>
      </c>
      <c r="B701" s="1" t="str">
        <f>IFERROR(__xludf.DUMMYFUNCTION("""COMPUTED_VALUE"""),"microTech 37")</f>
        <v>microTech 37</v>
      </c>
      <c r="C701" s="1"/>
      <c r="D701" s="1" t="str">
        <f>IFERROR(__xludf.DUMMYFUNCTION("""COMPUTED_VALUE"""),"Emergency Shelters")</f>
        <v>Emergency Shelters</v>
      </c>
      <c r="E701" s="30"/>
      <c r="F701" s="10"/>
      <c r="G701" s="10"/>
      <c r="H701" s="10"/>
      <c r="I701" s="13"/>
      <c r="J701" s="13"/>
      <c r="K701" s="13"/>
      <c r="L701" s="13"/>
      <c r="M701" s="1"/>
      <c r="N701" s="10"/>
      <c r="O701" s="10"/>
      <c r="P701" s="10"/>
      <c r="Q701" s="30"/>
      <c r="R701" s="18"/>
      <c r="S701" s="19"/>
      <c r="T701" s="10"/>
      <c r="U701" s="10"/>
      <c r="V701" s="10"/>
      <c r="W701" s="10"/>
      <c r="X701" s="19"/>
      <c r="Y701" s="1"/>
      <c r="Z701" s="1"/>
      <c r="AA701" s="1"/>
    </row>
    <row r="702" customHeight="1" spans="1:27">
      <c r="A702" s="1" t="str">
        <f>IFERROR(__xludf.DUMMYFUNCTION("""COMPUTED_VALUE"""),"microTech 22")</f>
        <v>microTech 22</v>
      </c>
      <c r="B702" s="1" t="str">
        <f>IFERROR(__xludf.DUMMYFUNCTION("""COMPUTED_VALUE"""),"microTech 38")</f>
        <v>microTech 38</v>
      </c>
      <c r="C702" s="1" t="str">
        <f>IFERROR(__xludf.DUMMYFUNCTION("""COMPUTED_VALUE"""),"microTech 76")</f>
        <v>microTech 76</v>
      </c>
      <c r="D702" s="1" t="str">
        <f>IFERROR(__xludf.DUMMYFUNCTION("""COMPUTED_VALUE"""),"Calhoun Pass Emergency Shelter")</f>
        <v>Calhoun Pass Emergency Shelter</v>
      </c>
      <c r="E702" s="30" t="str">
        <f>IFERROR(__xludf.DUMMYFUNCTION("""COMPUTED_VALUE"""),"Calhoun Pass")</f>
        <v>Calhoun Pass</v>
      </c>
      <c r="F702" s="10">
        <f>IFERROR(__xludf.DUMMYFUNCTION("""COMPUTED_VALUE"""),938.116231367)</f>
        <v>938.116231367</v>
      </c>
      <c r="G702" s="10">
        <f>IFERROR(__xludf.DUMMYFUNCTION("""COMPUTED_VALUE"""),-347.817930592)</f>
        <v>-347.817930592</v>
      </c>
      <c r="H702" s="10">
        <f>IFERROR(__xludf.DUMMYFUNCTION("""COMPUTED_VALUE"""),31.707663433)</f>
        <v>31.707663433</v>
      </c>
      <c r="I702" s="13"/>
      <c r="J702" s="13"/>
      <c r="K702" s="13"/>
      <c r="L702" s="13"/>
      <c r="M702" s="1" t="b">
        <f>IFERROR(__xludf.DUMMYFUNCTION("""COMPUTED_VALUE"""),TRUE)</f>
        <v>1</v>
      </c>
      <c r="N702" s="10">
        <f>IFERROR(__xludf.DUMMYFUNCTION("""COMPUTED_VALUE"""),0)</f>
        <v>0</v>
      </c>
      <c r="O702" s="10">
        <f>IFERROR(__xludf.DUMMYFUNCTION("""COMPUTED_VALUE"""),0)</f>
        <v>0</v>
      </c>
      <c r="P702" s="10"/>
      <c r="Q702" s="30"/>
      <c r="R702" s="18"/>
      <c r="S702" s="19"/>
      <c r="T702" s="10"/>
      <c r="U702" s="10"/>
      <c r="V702" s="10"/>
      <c r="W702" s="10"/>
      <c r="X702" s="19"/>
      <c r="Y702" s="1"/>
      <c r="Z702" s="1"/>
      <c r="AA702" s="1"/>
    </row>
    <row r="703" customHeight="1" spans="1:27">
      <c r="A703" s="1" t="str">
        <f>IFERROR(__xludf.DUMMYFUNCTION("""COMPUTED_VALUE"""),"microTech 23")</f>
        <v>microTech 23</v>
      </c>
      <c r="B703" s="1" t="str">
        <f>IFERROR(__xludf.DUMMYFUNCTION("""COMPUTED_VALUE"""),"microTech 39")</f>
        <v>microTech 39</v>
      </c>
      <c r="C703" s="1" t="str">
        <f>IFERROR(__xludf.DUMMYFUNCTION("""COMPUTED_VALUE"""),"microTech 92")</f>
        <v>microTech 92</v>
      </c>
      <c r="D703" s="1" t="str">
        <f>IFERROR(__xludf.DUMMYFUNCTION("""COMPUTED_VALUE"""),"Clear View Emergency Shelter")</f>
        <v>Clear View Emergency Shelter</v>
      </c>
      <c r="E703" s="30" t="str">
        <f>IFERROR(__xludf.DUMMYFUNCTION("""COMPUTED_VALUE"""),"Clear View")</f>
        <v>Clear View</v>
      </c>
      <c r="F703" s="10">
        <f>IFERROR(__xludf.DUMMYFUNCTION("""COMPUTED_VALUE"""),-609.561071826)</f>
        <v>-609.561071826</v>
      </c>
      <c r="G703" s="10">
        <f>IFERROR(__xludf.DUMMYFUNCTION("""COMPUTED_VALUE"""),-688.363323031999)</f>
        <v>-688.363323031999</v>
      </c>
      <c r="H703" s="10">
        <f>IFERROR(__xludf.DUMMYFUNCTION("""COMPUTED_VALUE"""),393.203256016)</f>
        <v>393.203256016</v>
      </c>
      <c r="I703" s="13"/>
      <c r="J703" s="13"/>
      <c r="K703" s="13"/>
      <c r="L703" s="13"/>
      <c r="M703" s="1" t="b">
        <f>IFERROR(__xludf.DUMMYFUNCTION("""COMPUTED_VALUE"""),TRUE)</f>
        <v>1</v>
      </c>
      <c r="N703" s="10">
        <f>IFERROR(__xludf.DUMMYFUNCTION("""COMPUTED_VALUE"""),0)</f>
        <v>0</v>
      </c>
      <c r="O703" s="10">
        <f>IFERROR(__xludf.DUMMYFUNCTION("""COMPUTED_VALUE"""),0)</f>
        <v>0</v>
      </c>
      <c r="P703" s="10"/>
      <c r="Q703" s="30"/>
      <c r="R703" s="18"/>
      <c r="S703" s="19"/>
      <c r="T703" s="10"/>
      <c r="U703" s="10"/>
      <c r="V703" s="10"/>
      <c r="W703" s="10"/>
      <c r="X703" s="19"/>
      <c r="Y703" s="1"/>
      <c r="Z703" s="1"/>
      <c r="AA703" s="1"/>
    </row>
    <row r="704" customHeight="1" spans="1:27">
      <c r="A704" s="1" t="str">
        <f>IFERROR(__xludf.DUMMYFUNCTION("""COMPUTED_VALUE"""),"microTech 24")</f>
        <v>microTech 24</v>
      </c>
      <c r="B704" s="1" t="str">
        <f>IFERROR(__xludf.DUMMYFUNCTION("""COMPUTED_VALUE"""),"microTech 40")</f>
        <v>microTech 40</v>
      </c>
      <c r="C704" s="1" t="str">
        <f>IFERROR(__xludf.DUMMYFUNCTION("""COMPUTED_VALUE"""),"microTech 75")</f>
        <v>microTech 75</v>
      </c>
      <c r="D704" s="1" t="str">
        <f>IFERROR(__xludf.DUMMYFUNCTION("""COMPUTED_VALUE"""),"Nuiqsut Emergency Shelter")</f>
        <v>Nuiqsut Emergency Shelter</v>
      </c>
      <c r="E704" s="30" t="str">
        <f>IFERROR(__xludf.DUMMYFUNCTION("""COMPUTED_VALUE"""),"Nuiqsut")</f>
        <v>Nuiqsut</v>
      </c>
      <c r="F704" s="10">
        <f>IFERROR(__xludf.DUMMYFUNCTION("""COMPUTED_VALUE"""),750.612869081999)</f>
        <v>750.612869081999</v>
      </c>
      <c r="G704" s="10">
        <f>IFERROR(__xludf.DUMMYFUNCTION("""COMPUTED_VALUE"""),-207.851592111)</f>
        <v>-207.851592111</v>
      </c>
      <c r="H704" s="10">
        <f>IFERROR(__xludf.DUMMYFUNCTION("""COMPUTED_VALUE"""),-627.225495054)</f>
        <v>-627.225495054</v>
      </c>
      <c r="I704" s="13"/>
      <c r="J704" s="13"/>
      <c r="K704" s="13"/>
      <c r="L704" s="13"/>
      <c r="M704" s="1" t="b">
        <f>IFERROR(__xludf.DUMMYFUNCTION("""COMPUTED_VALUE"""),TRUE)</f>
        <v>1</v>
      </c>
      <c r="N704" s="10">
        <f>IFERROR(__xludf.DUMMYFUNCTION("""COMPUTED_VALUE"""),0)</f>
        <v>0</v>
      </c>
      <c r="O704" s="10">
        <f>IFERROR(__xludf.DUMMYFUNCTION("""COMPUTED_VALUE"""),0)</f>
        <v>0</v>
      </c>
      <c r="P704" s="10"/>
      <c r="Q704" s="30"/>
      <c r="R704" s="18"/>
      <c r="S704" s="19"/>
      <c r="T704" s="10"/>
      <c r="U704" s="10"/>
      <c r="V704" s="10"/>
      <c r="W704" s="10"/>
      <c r="X704" s="19"/>
      <c r="Y704" s="1"/>
      <c r="Z704" s="1"/>
      <c r="AA704" s="1"/>
    </row>
    <row r="705" customHeight="1" spans="1:27">
      <c r="A705" s="1" t="str">
        <f>IFERROR(__xludf.DUMMYFUNCTION("""COMPUTED_VALUE"""),"microTech 25")</f>
        <v>microTech 25</v>
      </c>
      <c r="B705" s="1" t="str">
        <f>IFERROR(__xludf.DUMMYFUNCTION("""COMPUTED_VALUE"""),"microTech 41")</f>
        <v>microTech 41</v>
      </c>
      <c r="C705" s="1" t="str">
        <f>IFERROR(__xludf.DUMMYFUNCTION("""COMPUTED_VALUE"""),"microTech 97")</f>
        <v>microTech 97</v>
      </c>
      <c r="D705" s="1" t="str">
        <f>IFERROR(__xludf.DUMMYFUNCTION("""COMPUTED_VALUE"""),"Point Wain Emergency Shelter")</f>
        <v>Point Wain Emergency Shelter</v>
      </c>
      <c r="E705" s="30" t="str">
        <f>IFERROR(__xludf.DUMMYFUNCTION("""COMPUTED_VALUE"""),"Point Wain")</f>
        <v>Point Wain</v>
      </c>
      <c r="F705" s="10">
        <f>IFERROR(__xludf.DUMMYFUNCTION("""COMPUTED_VALUE"""),-627.440743631)</f>
        <v>-627.440743631</v>
      </c>
      <c r="G705" s="10">
        <f>IFERROR(__xludf.DUMMYFUNCTION("""COMPUTED_VALUE"""),-485.258151323998)</f>
        <v>-485.258151323998</v>
      </c>
      <c r="H705" s="10">
        <f>IFERROR(__xludf.DUMMYFUNCTION("""COMPUTED_VALUE"""),611.733181289999)</f>
        <v>611.733181289999</v>
      </c>
      <c r="I705" s="13"/>
      <c r="J705" s="13"/>
      <c r="K705" s="13"/>
      <c r="L705" s="13"/>
      <c r="M705" s="1" t="b">
        <f>IFERROR(__xludf.DUMMYFUNCTION("""COMPUTED_VALUE"""),TRUE)</f>
        <v>1</v>
      </c>
      <c r="N705" s="10">
        <f>IFERROR(__xludf.DUMMYFUNCTION("""COMPUTED_VALUE"""),0)</f>
        <v>0</v>
      </c>
      <c r="O705" s="10">
        <f>IFERROR(__xludf.DUMMYFUNCTION("""COMPUTED_VALUE"""),0)</f>
        <v>0</v>
      </c>
      <c r="P705" s="10"/>
      <c r="Q705" s="30"/>
      <c r="R705" s="18"/>
      <c r="S705" s="19"/>
      <c r="T705" s="10"/>
      <c r="U705" s="10"/>
      <c r="V705" s="10"/>
      <c r="W705" s="10"/>
      <c r="X705" s="19"/>
      <c r="Y705" s="1"/>
      <c r="Z705" s="1"/>
      <c r="AA705" s="1"/>
    </row>
    <row r="706" customHeight="1" spans="1:27">
      <c r="A706" s="1" t="str">
        <f>IFERROR(__xludf.DUMMYFUNCTION("""COMPUTED_VALUE"""),"microTech")</f>
        <v>microTech</v>
      </c>
      <c r="B706" s="1" t="str">
        <f>IFERROR(__xludf.DUMMYFUNCTION("""COMPUTED_VALUE"""),"microTech 43")</f>
        <v>microTech 43</v>
      </c>
      <c r="C706" s="1"/>
      <c r="D706" s="1" t="str">
        <f>IFERROR(__xludf.DUMMYFUNCTION("""COMPUTED_VALUE"""),"Settlements")</f>
        <v>Settlements</v>
      </c>
      <c r="E706" s="30"/>
      <c r="F706" s="10"/>
      <c r="G706" s="10"/>
      <c r="H706" s="10"/>
      <c r="I706" s="13"/>
      <c r="J706" s="13"/>
      <c r="K706" s="13"/>
      <c r="L706" s="13"/>
      <c r="M706" s="1"/>
      <c r="N706" s="10"/>
      <c r="O706" s="10"/>
      <c r="P706" s="10"/>
      <c r="Q706" s="30"/>
      <c r="R706" s="18"/>
      <c r="S706" s="19"/>
      <c r="T706" s="10"/>
      <c r="U706" s="10"/>
      <c r="V706" s="10"/>
      <c r="W706" s="10"/>
      <c r="X706" s="19"/>
      <c r="Y706" s="1"/>
      <c r="Z706" s="1"/>
      <c r="AA706" s="1"/>
    </row>
    <row r="707" customHeight="1" spans="1:27">
      <c r="A707" s="1" t="str">
        <f>IFERROR(__xludf.DUMMYFUNCTION("""COMPUTED_VALUE"""),"microTech 28")</f>
        <v>microTech 28</v>
      </c>
      <c r="B707" s="1" t="str">
        <f>IFERROR(__xludf.DUMMYFUNCTION("""COMPUTED_VALUE"""),"microTech 44")</f>
        <v>microTech 44</v>
      </c>
      <c r="C707" s="1" t="str">
        <f>IFERROR(__xludf.DUMMYFUNCTION("""COMPUTED_VALUE"""),"microTech 03")</f>
        <v>microTech 03</v>
      </c>
      <c r="D707" s="1" t="str">
        <f>IFERROR(__xludf.DUMMYFUNCTION("""COMPUTED_VALUE"""),"Astor's Clearing (Ewok Village)")</f>
        <v>Astor's Clearing (Ewok Village)</v>
      </c>
      <c r="E707" s="30" t="str">
        <f>IFERROR(__xludf.DUMMYFUNCTION("""COMPUTED_VALUE"""),"Astors")</f>
        <v>Astors</v>
      </c>
      <c r="F707" s="10">
        <f>IFERROR(__xludf.DUMMYFUNCTION("""COMPUTED_VALUE"""),-810.219016957)</f>
        <v>-810.219016957</v>
      </c>
      <c r="G707" s="10">
        <f>IFERROR(__xludf.DUMMYFUNCTION("""COMPUTED_VALUE"""),577.883641289)</f>
        <v>577.883641289</v>
      </c>
      <c r="H707" s="10">
        <f>IFERROR(__xludf.DUMMYFUNCTION("""COMPUTED_VALUE"""),-101.430451723)</f>
        <v>-101.430451723</v>
      </c>
      <c r="I707" s="13"/>
      <c r="J707" s="13"/>
      <c r="K707" s="13"/>
      <c r="L707" s="13"/>
      <c r="M707" s="1" t="b">
        <f>IFERROR(__xludf.DUMMYFUNCTION("""COMPUTED_VALUE"""),TRUE)</f>
        <v>1</v>
      </c>
      <c r="N707" s="10">
        <f>IFERROR(__xludf.DUMMYFUNCTION("""COMPUTED_VALUE"""),0)</f>
        <v>0</v>
      </c>
      <c r="O707" s="10">
        <f>IFERROR(__xludf.DUMMYFUNCTION("""COMPUTED_VALUE"""),0)</f>
        <v>0</v>
      </c>
      <c r="P707" s="10"/>
      <c r="Q707" s="30"/>
      <c r="R707" s="18"/>
      <c r="S707" s="19"/>
      <c r="T707" s="10"/>
      <c r="U707" s="10"/>
      <c r="V707" s="10"/>
      <c r="W707" s="10"/>
      <c r="X707" s="19"/>
      <c r="Y707" s="1"/>
      <c r="Z707" s="1"/>
      <c r="AA707" s="1"/>
    </row>
    <row r="708" customHeight="1" spans="1:27">
      <c r="A708" s="1" t="str">
        <f>IFERROR(__xludf.DUMMYFUNCTION("""COMPUTED_VALUE"""),"microTech 29")</f>
        <v>microTech 29</v>
      </c>
      <c r="B708" s="1" t="str">
        <f>IFERROR(__xludf.DUMMYFUNCTION("""COMPUTED_VALUE"""),"microTech 45")</f>
        <v>microTech 45</v>
      </c>
      <c r="C708" s="1" t="str">
        <f>IFERROR(__xludf.DUMMYFUNCTION("""COMPUTED_VALUE"""),"microTech 80")</f>
        <v>microTech 80</v>
      </c>
      <c r="D708" s="1" t="str">
        <f>IFERROR(__xludf.DUMMYFUNCTION("""COMPUTED_VALUE"""),"Bloodshot Ridge")</f>
        <v>Bloodshot Ridge</v>
      </c>
      <c r="E708" s="30" t="str">
        <f>IFERROR(__xludf.DUMMYFUNCTION("""COMPUTED_VALUE"""),"Bloodshot")</f>
        <v>Bloodshot</v>
      </c>
      <c r="F708" s="10">
        <f>IFERROR(__xludf.DUMMYFUNCTION("""COMPUTED_VALUE"""),733.939579616999)</f>
        <v>733.939579616999</v>
      </c>
      <c r="G708" s="10">
        <f>IFERROR(__xludf.DUMMYFUNCTION("""COMPUTED_VALUE"""),-674.64842261)</f>
        <v>-674.64842261</v>
      </c>
      <c r="H708" s="10">
        <f>IFERROR(__xludf.DUMMYFUNCTION("""COMPUTED_VALUE"""),101.875648837999)</f>
        <v>101.875648837999</v>
      </c>
      <c r="I708" s="13"/>
      <c r="J708" s="13"/>
      <c r="K708" s="13"/>
      <c r="L708" s="13"/>
      <c r="M708" s="1" t="b">
        <f>IFERROR(__xludf.DUMMYFUNCTION("""COMPUTED_VALUE"""),FALSE)</f>
        <v>0</v>
      </c>
      <c r="N708" s="10">
        <f>IFERROR(__xludf.DUMMYFUNCTION("""COMPUTED_VALUE"""),0)</f>
        <v>0</v>
      </c>
      <c r="O708" s="10">
        <f>IFERROR(__xludf.DUMMYFUNCTION("""COMPUTED_VALUE"""),0)</f>
        <v>0</v>
      </c>
      <c r="P708" s="10"/>
      <c r="Q708" s="30"/>
      <c r="R708" s="18"/>
      <c r="S708" s="19"/>
      <c r="T708" s="10"/>
      <c r="U708" s="10"/>
      <c r="V708" s="10"/>
      <c r="W708" s="10"/>
      <c r="X708" s="19"/>
      <c r="Y708" s="1"/>
      <c r="Z708" s="1"/>
      <c r="AA708" s="1"/>
    </row>
    <row r="709" customHeight="1" spans="1:27">
      <c r="A709" s="1" t="str">
        <f>IFERROR(__xludf.DUMMYFUNCTION("""COMPUTED_VALUE"""),"microTech 30")</f>
        <v>microTech 30</v>
      </c>
      <c r="B709" s="1" t="str">
        <f>IFERROR(__xludf.DUMMYFUNCTION("""COMPUTED_VALUE"""),"microTech 46")</f>
        <v>microTech 46</v>
      </c>
      <c r="C709" s="1" t="str">
        <f>IFERROR(__xludf.DUMMYFUNCTION("""COMPUTED_VALUE"""),"microTech 11")</f>
        <v>microTech 11</v>
      </c>
      <c r="D709" s="1" t="str">
        <f>IFERROR(__xludf.DUMMYFUNCTION("""COMPUTED_VALUE"""),"Dunboro (Megaton)")</f>
        <v>Dunboro (Megaton)</v>
      </c>
      <c r="E709" s="30" t="str">
        <f>IFERROR(__xludf.DUMMYFUNCTION("""COMPUTED_VALUE"""),"Dunboro")</f>
        <v>Dunboro</v>
      </c>
      <c r="F709" s="10">
        <f>IFERROR(__xludf.DUMMYFUNCTION("""COMPUTED_VALUE"""),-735.672192799999)</f>
        <v>-735.672192799999</v>
      </c>
      <c r="G709" s="10">
        <f>IFERROR(__xludf.DUMMYFUNCTION("""COMPUTED_VALUE"""),678.040346404999)</f>
        <v>678.040346404999</v>
      </c>
      <c r="H709" s="10">
        <f>IFERROR(__xludf.DUMMYFUNCTION("""COMPUTED_VALUE"""),9.30993913099999)</f>
        <v>9.30993913099999</v>
      </c>
      <c r="I709" s="13"/>
      <c r="J709" s="13"/>
      <c r="K709" s="13"/>
      <c r="L709" s="13"/>
      <c r="M709" s="1" t="b">
        <f>IFERROR(__xludf.DUMMYFUNCTION("""COMPUTED_VALUE"""),TRUE)</f>
        <v>1</v>
      </c>
      <c r="N709" s="10">
        <f>IFERROR(__xludf.DUMMYFUNCTION("""COMPUTED_VALUE"""),0)</f>
        <v>0</v>
      </c>
      <c r="O709" s="10">
        <f>IFERROR(__xludf.DUMMYFUNCTION("""COMPUTED_VALUE"""),0)</f>
        <v>0</v>
      </c>
      <c r="P709" s="10"/>
      <c r="Q709" s="30"/>
      <c r="R709" s="18"/>
      <c r="S709" s="19"/>
      <c r="T709" s="10"/>
      <c r="U709" s="10"/>
      <c r="V709" s="10"/>
      <c r="W709" s="10"/>
      <c r="X709" s="19"/>
      <c r="Y709" s="1"/>
      <c r="Z709" s="1"/>
      <c r="AA709" s="1"/>
    </row>
    <row r="710" customHeight="1" spans="1:27">
      <c r="A710" s="1" t="str">
        <f>IFERROR(__xludf.DUMMYFUNCTION("""COMPUTED_VALUE"""),"microTech 31")</f>
        <v>microTech 31</v>
      </c>
      <c r="B710" s="1" t="str">
        <f>IFERROR(__xludf.DUMMYFUNCTION("""COMPUTED_VALUE"""),"microTech 47")</f>
        <v>microTech 47</v>
      </c>
      <c r="C710" s="1" t="str">
        <f>IFERROR(__xludf.DUMMYFUNCTION("""COMPUTED_VALUE"""),"microTech 43")</f>
        <v>microTech 43</v>
      </c>
      <c r="D710" s="1" t="str">
        <f>IFERROR(__xludf.DUMMYFUNCTION("""COMPUTED_VALUE"""),"Frostbite (Windy Cove)")</f>
        <v>Frostbite (Windy Cove)</v>
      </c>
      <c r="E710" s="30" t="str">
        <f>IFERROR(__xludf.DUMMYFUNCTION("""COMPUTED_VALUE"""),"Frostbite")</f>
        <v>Frostbite</v>
      </c>
      <c r="F710" s="10">
        <f>IFERROR(__xludf.DUMMYFUNCTION("""COMPUTED_VALUE"""),539.619934335)</f>
        <v>539.619934335</v>
      </c>
      <c r="G710" s="10">
        <f>IFERROR(__xludf.DUMMYFUNCTION("""COMPUTED_VALUE"""),762.338992717999)</f>
        <v>762.338992717999</v>
      </c>
      <c r="H710" s="10">
        <f>IFERROR(__xludf.DUMMYFUNCTION("""COMPUTED_VALUE"""),-361.447888067)</f>
        <v>-361.447888067</v>
      </c>
      <c r="I710" s="13"/>
      <c r="J710" s="13"/>
      <c r="K710" s="13"/>
      <c r="L710" s="13"/>
      <c r="M710" s="1" t="b">
        <f>IFERROR(__xludf.DUMMYFUNCTION("""COMPUTED_VALUE"""),FALSE)</f>
        <v>0</v>
      </c>
      <c r="N710" s="10">
        <f>IFERROR(__xludf.DUMMYFUNCTION("""COMPUTED_VALUE"""),0)</f>
        <v>0</v>
      </c>
      <c r="O710" s="10">
        <f>IFERROR(__xludf.DUMMYFUNCTION("""COMPUTED_VALUE"""),0)</f>
        <v>0</v>
      </c>
      <c r="P710" s="10"/>
      <c r="Q710" s="30"/>
      <c r="R710" s="18"/>
      <c r="S710" s="19"/>
      <c r="T710" s="10"/>
      <c r="U710" s="10"/>
      <c r="V710" s="10"/>
      <c r="W710" s="10"/>
      <c r="X710" s="19"/>
      <c r="Y710" s="1"/>
      <c r="Z710" s="1"/>
      <c r="AA710" s="1"/>
    </row>
    <row r="711" customHeight="1" spans="1:27">
      <c r="A711" s="1" t="str">
        <f>IFERROR(__xludf.DUMMYFUNCTION("""COMPUTED_VALUE"""),"microTech 26")</f>
        <v>microTech 26</v>
      </c>
      <c r="B711" s="1" t="str">
        <f>IFERROR(__xludf.DUMMYFUNCTION("""COMPUTED_VALUE"""),"microTech 48")</f>
        <v>microTech 48</v>
      </c>
      <c r="C711" s="1" t="str">
        <f>IFERROR(__xludf.DUMMYFUNCTION("""COMPUTED_VALUE"""),"microTech 37")</f>
        <v>microTech 37</v>
      </c>
      <c r="D711" s="1" t="str">
        <f>IFERROR(__xludf.DUMMYFUNCTION("""COMPUTED_VALUE"""),"Ghost Hollow (Reclaimer Wreck)")</f>
        <v>Ghost Hollow (Reclaimer Wreck)</v>
      </c>
      <c r="E711" s="30" t="str">
        <f>IFERROR(__xludf.DUMMYFUNCTION("""COMPUTED_VALUE"""),"Ghost Hollow")</f>
        <v>Ghost Hollow</v>
      </c>
      <c r="F711" s="10">
        <f>IFERROR(__xludf.DUMMYFUNCTION("""COMPUTED_VALUE"""),-127.193553939)</f>
        <v>-127.193553939</v>
      </c>
      <c r="G711" s="10">
        <f>IFERROR(__xludf.DUMMYFUNCTION("""COMPUTED_VALUE"""),982.003985381999)</f>
        <v>982.003985381999</v>
      </c>
      <c r="H711" s="10">
        <f>IFERROR(__xludf.DUMMYFUNCTION("""COMPUTED_VALUE"""),149.145067474999)</f>
        <v>149.145067474999</v>
      </c>
      <c r="I711" s="13"/>
      <c r="J711" s="13"/>
      <c r="K711" s="13"/>
      <c r="L711" s="13"/>
      <c r="M711" s="1" t="b">
        <f>IFERROR(__xludf.DUMMYFUNCTION("""COMPUTED_VALUE"""),TRUE)</f>
        <v>1</v>
      </c>
      <c r="N711" s="10">
        <f>IFERROR(__xludf.DUMMYFUNCTION("""COMPUTED_VALUE"""),0)</f>
        <v>0</v>
      </c>
      <c r="O711" s="10">
        <f>IFERROR(__xludf.DUMMYFUNCTION("""COMPUTED_VALUE"""),0)</f>
        <v>0</v>
      </c>
      <c r="P711" s="10"/>
      <c r="Q711" s="30"/>
      <c r="R711" s="18"/>
      <c r="S711" s="19"/>
      <c r="T711" s="10"/>
      <c r="U711" s="10"/>
      <c r="V711" s="10"/>
      <c r="W711" s="10"/>
      <c r="X711" s="19"/>
      <c r="Y711" s="1"/>
      <c r="Z711" s="1"/>
      <c r="AA711" s="1"/>
    </row>
    <row r="712" customHeight="1" spans="1:27">
      <c r="A712" s="1" t="str">
        <f>IFERROR(__xludf.DUMMYFUNCTION("""COMPUTED_VALUE"""),"microTech 32")</f>
        <v>microTech 32</v>
      </c>
      <c r="B712" s="1" t="str">
        <f>IFERROR(__xludf.DUMMYFUNCTION("""COMPUTED_VALUE"""),"microTech 49")</f>
        <v>microTech 49</v>
      </c>
      <c r="C712" s="1" t="str">
        <f>IFERROR(__xludf.DUMMYFUNCTION("""COMPUTED_VALUE"""),"microTech 19")</f>
        <v>microTech 19</v>
      </c>
      <c r="D712" s="1" t="str">
        <f>IFERROR(__xludf.DUMMYFUNCTION("""COMPUTED_VALUE"""),"Harper's Point")</f>
        <v>Harper's Point</v>
      </c>
      <c r="E712" s="30" t="str">
        <f>IFERROR(__xludf.DUMMYFUNCTION("""COMPUTED_VALUE"""),"Harpers")</f>
        <v>Harpers</v>
      </c>
      <c r="F712" s="10">
        <f>IFERROR(__xludf.DUMMYFUNCTION("""COMPUTED_VALUE"""),-687.373417784)</f>
        <v>-687.373417784</v>
      </c>
      <c r="G712" s="10">
        <f>IFERROR(__xludf.DUMMYFUNCTION("""COMPUTED_VALUE"""),716.61301141)</f>
        <v>716.61301141</v>
      </c>
      <c r="H712" s="10">
        <f>IFERROR(__xludf.DUMMYFUNCTION("""COMPUTED_VALUE"""),128.227454472)</f>
        <v>128.227454472</v>
      </c>
      <c r="I712" s="13"/>
      <c r="J712" s="13"/>
      <c r="K712" s="13"/>
      <c r="L712" s="13"/>
      <c r="M712" s="1" t="b">
        <f>IFERROR(__xludf.DUMMYFUNCTION("""COMPUTED_VALUE"""),TRUE)</f>
        <v>1</v>
      </c>
      <c r="N712" s="10">
        <f>IFERROR(__xludf.DUMMYFUNCTION("""COMPUTED_VALUE"""),0)</f>
        <v>0</v>
      </c>
      <c r="O712" s="10">
        <f>IFERROR(__xludf.DUMMYFUNCTION("""COMPUTED_VALUE"""),0)</f>
        <v>0</v>
      </c>
      <c r="P712" s="10"/>
      <c r="Q712" s="30"/>
      <c r="R712" s="18"/>
      <c r="S712" s="19"/>
      <c r="T712" s="10"/>
      <c r="U712" s="10"/>
      <c r="V712" s="10"/>
      <c r="W712" s="10"/>
      <c r="X712" s="19"/>
      <c r="Y712" s="1"/>
      <c r="Z712" s="1"/>
      <c r="AA712" s="1"/>
    </row>
    <row r="713" customHeight="1" spans="1:27">
      <c r="A713" s="1" t="str">
        <f>IFERROR(__xludf.DUMMYFUNCTION("""COMPUTED_VALUE"""),"microTech 33")</f>
        <v>microTech 33</v>
      </c>
      <c r="B713" s="1" t="str">
        <f>IFERROR(__xludf.DUMMYFUNCTION("""COMPUTED_VALUE"""),"microTech 50")</f>
        <v>microTech 50</v>
      </c>
      <c r="C713" s="1" t="str">
        <f>IFERROR(__xludf.DUMMYFUNCTION("""COMPUTED_VALUE"""),"microTech 22")</f>
        <v>microTech 22</v>
      </c>
      <c r="D713" s="1" t="str">
        <f>IFERROR(__xludf.DUMMYFUNCTION("""COMPUTED_VALUE"""),"Moreland Hills")</f>
        <v>Moreland Hills</v>
      </c>
      <c r="E713" s="30" t="str">
        <f>IFERROR(__xludf.DUMMYFUNCTION("""COMPUTED_VALUE"""),"Moreland")</f>
        <v>Moreland</v>
      </c>
      <c r="F713" s="10">
        <f>IFERROR(__xludf.DUMMYFUNCTION("""COMPUTED_VALUE"""),-665.087764925)</f>
        <v>-665.087764925</v>
      </c>
      <c r="G713" s="10">
        <f>IFERROR(__xludf.DUMMYFUNCTION("""COMPUTED_VALUE"""),726.918075026)</f>
        <v>726.918075026</v>
      </c>
      <c r="H713" s="10">
        <f>IFERROR(__xludf.DUMMYFUNCTION("""COMPUTED_VALUE"""),178.063924494)</f>
        <v>178.063924494</v>
      </c>
      <c r="I713" s="13"/>
      <c r="J713" s="13"/>
      <c r="K713" s="13"/>
      <c r="L713" s="13"/>
      <c r="M713" s="1" t="b">
        <f>IFERROR(__xludf.DUMMYFUNCTION("""COMPUTED_VALUE"""),FALSE)</f>
        <v>0</v>
      </c>
      <c r="N713" s="10">
        <f>IFERROR(__xludf.DUMMYFUNCTION("""COMPUTED_VALUE"""),0)</f>
        <v>0</v>
      </c>
      <c r="O713" s="10">
        <f>IFERROR(__xludf.DUMMYFUNCTION("""COMPUTED_VALUE"""),0)</f>
        <v>0</v>
      </c>
      <c r="P713" s="10"/>
      <c r="Q713" s="30"/>
      <c r="R713" s="18"/>
      <c r="S713" s="19"/>
      <c r="T713" s="10"/>
      <c r="U713" s="10"/>
      <c r="V713" s="10"/>
      <c r="W713" s="10"/>
      <c r="X713" s="19"/>
      <c r="Y713" s="1"/>
      <c r="Z713" s="1"/>
      <c r="AA713" s="1"/>
    </row>
    <row r="714" customHeight="1" spans="1:27">
      <c r="A714" s="1" t="str">
        <f>IFERROR(__xludf.DUMMYFUNCTION("""COMPUTED_VALUE"""),"microTech 34")</f>
        <v>microTech 34</v>
      </c>
      <c r="B714" s="1" t="str">
        <f>IFERROR(__xludf.DUMMYFUNCTION("""COMPUTED_VALUE"""),"microTech 51")</f>
        <v>microTech 51</v>
      </c>
      <c r="C714" s="1" t="str">
        <f>IFERROR(__xludf.DUMMYFUNCTION("""COMPUTED_VALUE"""),"microTech 21")</f>
        <v>microTech 21</v>
      </c>
      <c r="D714" s="1" t="str">
        <f>IFERROR(__xludf.DUMMYFUNCTION("""COMPUTED_VALUE"""),"Razor's Edge")</f>
        <v>Razor's Edge</v>
      </c>
      <c r="E714" s="30" t="str">
        <f>IFERROR(__xludf.DUMMYFUNCTION("""COMPUTED_VALUE"""),"Razors")</f>
        <v>Razors</v>
      </c>
      <c r="F714" s="10">
        <f>IFERROR(__xludf.DUMMYFUNCTION("""COMPUTED_VALUE"""),-666.067306713999)</f>
        <v>-666.067306713999</v>
      </c>
      <c r="G714" s="10">
        <f>IFERROR(__xludf.DUMMYFUNCTION("""COMPUTED_VALUE"""),726.221158387999)</f>
        <v>726.221158387999</v>
      </c>
      <c r="H714" s="10">
        <f>IFERROR(__xludf.DUMMYFUNCTION("""COMPUTED_VALUE"""),179.517785705999)</f>
        <v>179.517785705999</v>
      </c>
      <c r="I714" s="13"/>
      <c r="J714" s="13"/>
      <c r="K714" s="13"/>
      <c r="L714" s="13"/>
      <c r="M714" s="1" t="b">
        <f>IFERROR(__xludf.DUMMYFUNCTION("""COMPUTED_VALUE"""),FALSE)</f>
        <v>0</v>
      </c>
      <c r="N714" s="10">
        <f>IFERROR(__xludf.DUMMYFUNCTION("""COMPUTED_VALUE"""),0)</f>
        <v>0</v>
      </c>
      <c r="O714" s="10">
        <f>IFERROR(__xludf.DUMMYFUNCTION("""COMPUTED_VALUE"""),0)</f>
        <v>0</v>
      </c>
      <c r="P714" s="10"/>
      <c r="Q714" s="30"/>
      <c r="R714" s="18"/>
      <c r="S714" s="19"/>
      <c r="T714" s="10"/>
      <c r="U714" s="10"/>
      <c r="V714" s="10"/>
      <c r="W714" s="10"/>
      <c r="X714" s="19"/>
      <c r="Y714" s="1"/>
      <c r="Z714" s="1"/>
      <c r="AA714" s="1"/>
    </row>
    <row r="715" customHeight="1" spans="1:27">
      <c r="A715" s="1" t="str">
        <f>IFERROR(__xludf.DUMMYFUNCTION("""COMPUTED_VALUE"""),"microTech 42")</f>
        <v>microTech 42</v>
      </c>
      <c r="B715" s="1" t="str">
        <f>IFERROR(__xludf.DUMMYFUNCTION("""COMPUTED_VALUE"""),"microTech 52")</f>
        <v>microTech 52</v>
      </c>
      <c r="C715" s="1" t="str">
        <f>IFERROR(__xludf.DUMMYFUNCTION("""COMPUTED_VALUE"""),"microTech 88")</f>
        <v>microTech 88</v>
      </c>
      <c r="D715" s="1" t="str">
        <f>IFERROR(__xludf.DUMMYFUNCTION("""COMPUTED_VALUE"""),"Settlement 14N")</f>
        <v>Settlement 14N</v>
      </c>
      <c r="E715" s="30" t="str">
        <f>IFERROR(__xludf.DUMMYFUNCTION("""COMPUTED_VALUE"""),"Settlement 14N")</f>
        <v>Settlement 14N</v>
      </c>
      <c r="F715" s="10">
        <f>IFERROR(__xludf.DUMMYFUNCTION("""COMPUTED_VALUE"""),-154.512351289)</f>
        <v>-154.512351289</v>
      </c>
      <c r="G715" s="10">
        <f>IFERROR(__xludf.DUMMYFUNCTION("""COMPUTED_VALUE"""),-984.296107581999)</f>
        <v>-984.296107581999</v>
      </c>
      <c r="H715" s="10">
        <f>IFERROR(__xludf.DUMMYFUNCTION("""COMPUTED_VALUE"""),93.975155987)</f>
        <v>93.975155987</v>
      </c>
      <c r="I715" s="13"/>
      <c r="J715" s="13"/>
      <c r="K715" s="13"/>
      <c r="L715" s="13"/>
      <c r="M715" s="1" t="b">
        <f>IFERROR(__xludf.DUMMYFUNCTION("""COMPUTED_VALUE"""),FALSE)</f>
        <v>0</v>
      </c>
      <c r="N715" s="10">
        <f>IFERROR(__xludf.DUMMYFUNCTION("""COMPUTED_VALUE"""),0)</f>
        <v>0</v>
      </c>
      <c r="O715" s="10">
        <f>IFERROR(__xludf.DUMMYFUNCTION("""COMPUTED_VALUE"""),0)</f>
        <v>0</v>
      </c>
      <c r="P715" s="10"/>
      <c r="Q715" s="30"/>
      <c r="R715" s="18"/>
      <c r="S715" s="19"/>
      <c r="T715" s="10"/>
      <c r="U715" s="10"/>
      <c r="V715" s="10"/>
      <c r="W715" s="10"/>
      <c r="X715" s="19"/>
      <c r="Y715" s="1"/>
      <c r="Z715" s="1"/>
      <c r="AA715" s="1"/>
    </row>
    <row r="716" customHeight="1" spans="1:27">
      <c r="A716" s="1" t="str">
        <f>IFERROR(__xludf.DUMMYFUNCTION("""COMPUTED_VALUE"""),"microTech 43")</f>
        <v>microTech 43</v>
      </c>
      <c r="B716" s="1" t="str">
        <f>IFERROR(__xludf.DUMMYFUNCTION("""COMPUTED_VALUE"""),"microTech 53")</f>
        <v>microTech 53</v>
      </c>
      <c r="C716" s="1" t="str">
        <f>IFERROR(__xludf.DUMMYFUNCTION("""COMPUTED_VALUE"""),"microTech 86")</f>
        <v>microTech 86</v>
      </c>
      <c r="D716" s="1" t="str">
        <f>IFERROR(__xludf.DUMMYFUNCTION("""COMPUTED_VALUE"""),"Settlement 16N")</f>
        <v>Settlement 16N</v>
      </c>
      <c r="E716" s="30" t="str">
        <f>IFERROR(__xludf.DUMMYFUNCTION("""COMPUTED_VALUE"""),"Settlement 16N")</f>
        <v>Settlement 16N</v>
      </c>
      <c r="F716" s="10">
        <f>IFERROR(__xludf.DUMMYFUNCTION("""COMPUTED_VALUE"""),20.614093015)</f>
        <v>20.614093015</v>
      </c>
      <c r="G716" s="10">
        <f>IFERROR(__xludf.DUMMYFUNCTION("""COMPUTED_VALUE"""),-1000.709692701)</f>
        <v>-1000.709692701</v>
      </c>
      <c r="H716" s="10">
        <f>IFERROR(__xludf.DUMMYFUNCTION("""COMPUTED_VALUE"""),8.921606672)</f>
        <v>8.921606672</v>
      </c>
      <c r="I716" s="13"/>
      <c r="J716" s="13"/>
      <c r="K716" s="13"/>
      <c r="L716" s="13"/>
      <c r="M716" s="1" t="b">
        <f>IFERROR(__xludf.DUMMYFUNCTION("""COMPUTED_VALUE"""),FALSE)</f>
        <v>0</v>
      </c>
      <c r="N716" s="10">
        <f>IFERROR(__xludf.DUMMYFUNCTION("""COMPUTED_VALUE"""),0)</f>
        <v>0</v>
      </c>
      <c r="O716" s="10">
        <f>IFERROR(__xludf.DUMMYFUNCTION("""COMPUTED_VALUE"""),0)</f>
        <v>0</v>
      </c>
      <c r="P716" s="10"/>
      <c r="Q716" s="30"/>
      <c r="R716" s="18"/>
      <c r="S716" s="19"/>
      <c r="T716" s="10"/>
      <c r="U716" s="10"/>
      <c r="V716" s="10"/>
      <c r="W716" s="10"/>
      <c r="X716" s="19"/>
      <c r="Y716" s="1"/>
      <c r="Z716" s="1"/>
      <c r="AA716" s="1"/>
    </row>
    <row r="717" customHeight="1" spans="1:27">
      <c r="A717" s="1" t="str">
        <f>IFERROR(__xludf.DUMMYFUNCTION("""COMPUTED_VALUE"""),"microTech 44")</f>
        <v>microTech 44</v>
      </c>
      <c r="B717" s="1" t="str">
        <f>IFERROR(__xludf.DUMMYFUNCTION("""COMPUTED_VALUE"""),"microTech 54")</f>
        <v>microTech 54</v>
      </c>
      <c r="C717" s="1" t="str">
        <f>IFERROR(__xludf.DUMMYFUNCTION("""COMPUTED_VALUE"""),"microTech 81")</f>
        <v>microTech 81</v>
      </c>
      <c r="D717" s="1" t="str">
        <f>IFERROR(__xludf.DUMMYFUNCTION("""COMPUTED_VALUE"""),"Settlement 23N")</f>
        <v>Settlement 23N</v>
      </c>
      <c r="E717" s="30" t="str">
        <f>IFERROR(__xludf.DUMMYFUNCTION("""COMPUTED_VALUE"""),"Settlement 23N")</f>
        <v>Settlement 23N</v>
      </c>
      <c r="F717" s="10">
        <f>IFERROR(__xludf.DUMMYFUNCTION("""COMPUTED_VALUE"""),669.478935367999)</f>
        <v>669.478935367999</v>
      </c>
      <c r="G717" s="10">
        <f>IFERROR(__xludf.DUMMYFUNCTION("""COMPUTED_VALUE"""),-731.271787499999)</f>
        <v>-731.271787499999</v>
      </c>
      <c r="H717" s="10">
        <f>IFERROR(__xludf.DUMMYFUNCTION("""COMPUTED_VALUE"""),138.155074789)</f>
        <v>138.155074789</v>
      </c>
      <c r="I717" s="13"/>
      <c r="J717" s="13"/>
      <c r="K717" s="13"/>
      <c r="L717" s="13"/>
      <c r="M717" s="1" t="b">
        <f>IFERROR(__xludf.DUMMYFUNCTION("""COMPUTED_VALUE"""),FALSE)</f>
        <v>0</v>
      </c>
      <c r="N717" s="10">
        <f>IFERROR(__xludf.DUMMYFUNCTION("""COMPUTED_VALUE"""),0)</f>
        <v>0</v>
      </c>
      <c r="O717" s="10">
        <f>IFERROR(__xludf.DUMMYFUNCTION("""COMPUTED_VALUE"""),0)</f>
        <v>0</v>
      </c>
      <c r="P717" s="10"/>
      <c r="Q717" s="30"/>
      <c r="R717" s="18"/>
      <c r="S717" s="19"/>
      <c r="T717" s="10"/>
      <c r="U717" s="10"/>
      <c r="V717" s="10"/>
      <c r="W717" s="10"/>
      <c r="X717" s="19"/>
      <c r="Y717" s="1"/>
      <c r="Z717" s="1"/>
      <c r="AA717" s="1"/>
    </row>
    <row r="718" customHeight="1" spans="1:27">
      <c r="A718" s="1" t="str">
        <f>IFERROR(__xludf.DUMMYFUNCTION("""COMPUTED_VALUE"""),"microTech 45")</f>
        <v>microTech 45</v>
      </c>
      <c r="B718" s="1" t="str">
        <f>IFERROR(__xludf.DUMMYFUNCTION("""COMPUTED_VALUE"""),"microTech 55")</f>
        <v>microTech 55</v>
      </c>
      <c r="C718" s="1" t="str">
        <f>IFERROR(__xludf.DUMMYFUNCTION("""COMPUTED_VALUE"""),"microTech 62")</f>
        <v>microTech 62</v>
      </c>
      <c r="D718" s="1" t="str">
        <f>IFERROR(__xludf.DUMMYFUNCTION("""COMPUTED_VALUE"""),"Settlement 34V")</f>
        <v>Settlement 34V</v>
      </c>
      <c r="E718" s="30" t="str">
        <f>IFERROR(__xludf.DUMMYFUNCTION("""COMPUTED_VALUE"""),"Settlement 34V")</f>
        <v>Settlement 34V</v>
      </c>
      <c r="F718" s="10">
        <f>IFERROR(__xludf.DUMMYFUNCTION("""COMPUTED_VALUE"""),420.962127608)</f>
        <v>420.962127608</v>
      </c>
      <c r="G718" s="10">
        <f>IFERROR(__xludf.DUMMYFUNCTION("""COMPUTED_VALUE"""),172.436136824999)</f>
        <v>172.436136824999</v>
      </c>
      <c r="H718" s="10">
        <f>IFERROR(__xludf.DUMMYFUNCTION("""COMPUTED_VALUE"""),890.822923225)</f>
        <v>890.822923225</v>
      </c>
      <c r="I718" s="13"/>
      <c r="J718" s="13"/>
      <c r="K718" s="13"/>
      <c r="L718" s="13"/>
      <c r="M718" s="1" t="b">
        <f>IFERROR(__xludf.DUMMYFUNCTION("""COMPUTED_VALUE"""),FALSE)</f>
        <v>0</v>
      </c>
      <c r="N718" s="10">
        <f>IFERROR(__xludf.DUMMYFUNCTION("""COMPUTED_VALUE"""),0)</f>
        <v>0</v>
      </c>
      <c r="O718" s="10">
        <f>IFERROR(__xludf.DUMMYFUNCTION("""COMPUTED_VALUE"""),0)</f>
        <v>0</v>
      </c>
      <c r="P718" s="10"/>
      <c r="Q718" s="30"/>
      <c r="R718" s="18"/>
      <c r="S718" s="19"/>
      <c r="T718" s="10"/>
      <c r="U718" s="10"/>
      <c r="V718" s="10"/>
      <c r="W718" s="10"/>
      <c r="X718" s="19"/>
      <c r="Y718" s="1"/>
      <c r="Z718" s="1"/>
      <c r="AA718" s="1"/>
    </row>
    <row r="719" customHeight="1" spans="1:27">
      <c r="A719" s="1" t="str">
        <f>IFERROR(__xludf.DUMMYFUNCTION("""COMPUTED_VALUE"""),"microTech 46")</f>
        <v>microTech 46</v>
      </c>
      <c r="B719" s="1" t="str">
        <f>IFERROR(__xludf.DUMMYFUNCTION("""COMPUTED_VALUE"""),"microTech 56")</f>
        <v>microTech 56</v>
      </c>
      <c r="C719" s="1" t="str">
        <f>IFERROR(__xludf.DUMMYFUNCTION("""COMPUTED_VALUE"""),"microTech 61")</f>
        <v>microTech 61</v>
      </c>
      <c r="D719" s="1" t="str">
        <f>IFERROR(__xludf.DUMMYFUNCTION("""COMPUTED_VALUE"""),"Settlement 35R")</f>
        <v>Settlement 35R</v>
      </c>
      <c r="E719" s="30" t="str">
        <f>IFERROR(__xludf.DUMMYFUNCTION("""COMPUTED_VALUE"""),"Settlement 35R")</f>
        <v>Settlement 35R</v>
      </c>
      <c r="F719" s="10">
        <f>IFERROR(__xludf.DUMMYFUNCTION("""COMPUTED_VALUE"""),808.969948483)</f>
        <v>808.969948483</v>
      </c>
      <c r="G719" s="10">
        <f>IFERROR(__xludf.DUMMYFUNCTION("""COMPUTED_VALUE"""),416.799127286)</f>
        <v>416.799127286</v>
      </c>
      <c r="H719" s="10">
        <f>IFERROR(__xludf.DUMMYFUNCTION("""COMPUTED_VALUE"""),415.698917468)</f>
        <v>415.698917468</v>
      </c>
      <c r="I719" s="13"/>
      <c r="J719" s="13"/>
      <c r="K719" s="13"/>
      <c r="L719" s="13"/>
      <c r="M719" s="1" t="b">
        <f>IFERROR(__xludf.DUMMYFUNCTION("""COMPUTED_VALUE"""),FALSE)</f>
        <v>0</v>
      </c>
      <c r="N719" s="10">
        <f>IFERROR(__xludf.DUMMYFUNCTION("""COMPUTED_VALUE"""),0)</f>
        <v>0</v>
      </c>
      <c r="O719" s="10">
        <f>IFERROR(__xludf.DUMMYFUNCTION("""COMPUTED_VALUE"""),0)</f>
        <v>0</v>
      </c>
      <c r="P719" s="10"/>
      <c r="Q719" s="30"/>
      <c r="R719" s="18"/>
      <c r="S719" s="19"/>
      <c r="T719" s="10"/>
      <c r="U719" s="10"/>
      <c r="V719" s="10"/>
      <c r="W719" s="10"/>
      <c r="X719" s="19"/>
      <c r="Y719" s="1"/>
      <c r="Z719" s="1"/>
      <c r="AA719" s="1"/>
    </row>
    <row r="720" customHeight="1" spans="1:27">
      <c r="A720" s="1" t="str">
        <f>IFERROR(__xludf.DUMMYFUNCTION("""COMPUTED_VALUE"""),"microTech 47")</f>
        <v>microTech 47</v>
      </c>
      <c r="B720" s="1" t="str">
        <f>IFERROR(__xludf.DUMMYFUNCTION("""COMPUTED_VALUE"""),"microTech 57")</f>
        <v>microTech 57</v>
      </c>
      <c r="C720" s="1" t="str">
        <f>IFERROR(__xludf.DUMMYFUNCTION("""COMPUTED_VALUE"""),"microTech 56")</f>
        <v>microTech 56</v>
      </c>
      <c r="D720" s="1" t="str">
        <f>IFERROR(__xludf.DUMMYFUNCTION("""COMPUTED_VALUE"""),"Settlement 36T")</f>
        <v>Settlement 36T</v>
      </c>
      <c r="E720" s="30" t="str">
        <f>IFERROR(__xludf.DUMMYFUNCTION("""COMPUTED_VALUE"""),"Settlement 36T")</f>
        <v>Settlement 36T</v>
      </c>
      <c r="F720" s="10">
        <f>IFERROR(__xludf.DUMMYFUNCTION("""COMPUTED_VALUE"""),559.167050289)</f>
        <v>559.167050289</v>
      </c>
      <c r="G720" s="10">
        <f>IFERROR(__xludf.DUMMYFUNCTION("""COMPUTED_VALUE"""),386.753813170999)</f>
        <v>386.753813170999</v>
      </c>
      <c r="H720" s="10">
        <f>IFERROR(__xludf.DUMMYFUNCTION("""COMPUTED_VALUE"""),733.407084939999)</f>
        <v>733.407084939999</v>
      </c>
      <c r="I720" s="13"/>
      <c r="J720" s="13"/>
      <c r="K720" s="13"/>
      <c r="L720" s="13"/>
      <c r="M720" s="1" t="b">
        <f>IFERROR(__xludf.DUMMYFUNCTION("""COMPUTED_VALUE"""),FALSE)</f>
        <v>0</v>
      </c>
      <c r="N720" s="10">
        <f>IFERROR(__xludf.DUMMYFUNCTION("""COMPUTED_VALUE"""),0)</f>
        <v>0</v>
      </c>
      <c r="O720" s="10">
        <f>IFERROR(__xludf.DUMMYFUNCTION("""COMPUTED_VALUE"""),0)</f>
        <v>0</v>
      </c>
      <c r="P720" s="10"/>
      <c r="Q720" s="30"/>
      <c r="R720" s="18"/>
      <c r="S720" s="19"/>
      <c r="T720" s="10"/>
      <c r="U720" s="10"/>
      <c r="V720" s="10"/>
      <c r="W720" s="10"/>
      <c r="X720" s="19"/>
      <c r="Y720" s="1"/>
      <c r="Z720" s="1"/>
      <c r="AA720" s="1"/>
    </row>
    <row r="721" customHeight="1" spans="1:27">
      <c r="A721" s="1" t="str">
        <f>IFERROR(__xludf.DUMMYFUNCTION("""COMPUTED_VALUE"""),"microTech 48")</f>
        <v>microTech 48</v>
      </c>
      <c r="B721" s="1" t="str">
        <f>IFERROR(__xludf.DUMMYFUNCTION("""COMPUTED_VALUE"""),"microTech 58")</f>
        <v>microTech 58</v>
      </c>
      <c r="C721" s="1" t="str">
        <f>IFERROR(__xludf.DUMMYFUNCTION("""COMPUTED_VALUE"""),"microTech 55")</f>
        <v>microTech 55</v>
      </c>
      <c r="D721" s="1" t="str">
        <f>IFERROR(__xludf.DUMMYFUNCTION("""COMPUTED_VALUE"""),"Settlement 36U")</f>
        <v>Settlement 36U</v>
      </c>
      <c r="E721" s="30" t="str">
        <f>IFERROR(__xludf.DUMMYFUNCTION("""COMPUTED_VALUE"""),"Settlement 36U")</f>
        <v>Settlement 36U</v>
      </c>
      <c r="F721" s="10">
        <f>IFERROR(__xludf.DUMMYFUNCTION("""COMPUTED_VALUE"""),517.841119621)</f>
        <v>517.841119621</v>
      </c>
      <c r="G721" s="10">
        <f>IFERROR(__xludf.DUMMYFUNCTION("""COMPUTED_VALUE"""),361.649282301)</f>
        <v>361.649282301</v>
      </c>
      <c r="H721" s="10">
        <f>IFERROR(__xludf.DUMMYFUNCTION("""COMPUTED_VALUE"""),777.067530642)</f>
        <v>777.067530642</v>
      </c>
      <c r="I721" s="13"/>
      <c r="J721" s="13"/>
      <c r="K721" s="13"/>
      <c r="L721" s="13"/>
      <c r="M721" s="1" t="b">
        <f>IFERROR(__xludf.DUMMYFUNCTION("""COMPUTED_VALUE"""),FALSE)</f>
        <v>0</v>
      </c>
      <c r="N721" s="10">
        <f>IFERROR(__xludf.DUMMYFUNCTION("""COMPUTED_VALUE"""),0)</f>
        <v>0</v>
      </c>
      <c r="O721" s="10">
        <f>IFERROR(__xludf.DUMMYFUNCTION("""COMPUTED_VALUE"""),0)</f>
        <v>0</v>
      </c>
      <c r="P721" s="10"/>
      <c r="Q721" s="30"/>
      <c r="R721" s="18"/>
      <c r="S721" s="19"/>
      <c r="T721" s="10"/>
      <c r="U721" s="10"/>
      <c r="V721" s="10"/>
      <c r="W721" s="10"/>
      <c r="X721" s="19"/>
      <c r="Y721" s="1"/>
      <c r="Z721" s="1"/>
      <c r="AA721" s="1"/>
    </row>
    <row r="722" customHeight="1" spans="1:27">
      <c r="A722" s="1" t="str">
        <f>IFERROR(__xludf.DUMMYFUNCTION("""COMPUTED_VALUE"""),"microTech 49")</f>
        <v>microTech 49</v>
      </c>
      <c r="B722" s="1" t="str">
        <f>IFERROR(__xludf.DUMMYFUNCTION("""COMPUTED_VALUE"""),"microTech 59")</f>
        <v>microTech 59</v>
      </c>
      <c r="C722" s="1" t="str">
        <f>IFERROR(__xludf.DUMMYFUNCTION("""COMPUTED_VALUE"""),"microTech 57")</f>
        <v>microTech 57</v>
      </c>
      <c r="D722" s="1" t="str">
        <f>IFERROR(__xludf.DUMMYFUNCTION("""COMPUTED_VALUE"""),"Settlement 36X")</f>
        <v>Settlement 36X</v>
      </c>
      <c r="E722" s="30" t="str">
        <f>IFERROR(__xludf.DUMMYFUNCTION("""COMPUTED_VALUE"""),"Settlement 36X")</f>
        <v>Settlement 36X</v>
      </c>
      <c r="F722" s="10">
        <f>IFERROR(__xludf.DUMMYFUNCTION("""COMPUTED_VALUE"""),242.686449006999)</f>
        <v>242.686449006999</v>
      </c>
      <c r="G722" s="10">
        <f>IFERROR(__xludf.DUMMYFUNCTION("""COMPUTED_VALUE"""),159.040409961)</f>
        <v>159.040409961</v>
      </c>
      <c r="H722" s="10">
        <f>IFERROR(__xludf.DUMMYFUNCTION("""COMPUTED_VALUE"""),957.158602271)</f>
        <v>957.158602271</v>
      </c>
      <c r="I722" s="13"/>
      <c r="J722" s="13"/>
      <c r="K722" s="13"/>
      <c r="L722" s="13"/>
      <c r="M722" s="1" t="b">
        <f>IFERROR(__xludf.DUMMYFUNCTION("""COMPUTED_VALUE"""),FALSE)</f>
        <v>0</v>
      </c>
      <c r="N722" s="10">
        <f>IFERROR(__xludf.DUMMYFUNCTION("""COMPUTED_VALUE"""),0)</f>
        <v>0</v>
      </c>
      <c r="O722" s="10">
        <f>IFERROR(__xludf.DUMMYFUNCTION("""COMPUTED_VALUE"""),0)</f>
        <v>0</v>
      </c>
      <c r="P722" s="10"/>
      <c r="Q722" s="30"/>
      <c r="R722" s="18"/>
      <c r="S722" s="19"/>
      <c r="T722" s="10"/>
      <c r="U722" s="10"/>
      <c r="V722" s="10"/>
      <c r="W722" s="10"/>
      <c r="X722" s="19"/>
      <c r="Y722" s="1"/>
      <c r="Z722" s="1"/>
      <c r="AA722" s="1"/>
    </row>
    <row r="723" customHeight="1" spans="1:27">
      <c r="A723" s="1" t="str">
        <f>IFERROR(__xludf.DUMMYFUNCTION("""COMPUTED_VALUE"""),"microTech 50")</f>
        <v>microTech 50</v>
      </c>
      <c r="B723" s="1" t="str">
        <f>IFERROR(__xludf.DUMMYFUNCTION("""COMPUTED_VALUE"""),"microTech 60")</f>
        <v>microTech 60</v>
      </c>
      <c r="C723" s="1" t="str">
        <f>IFERROR(__xludf.DUMMYFUNCTION("""COMPUTED_VALUE"""),"microTech 48")</f>
        <v>microTech 48</v>
      </c>
      <c r="D723" s="1" t="str">
        <f>IFERROR(__xludf.DUMMYFUNCTION("""COMPUTED_VALUE"""),"Settlement 38U")</f>
        <v>Settlement 38U</v>
      </c>
      <c r="E723" s="30" t="str">
        <f>IFERROR(__xludf.DUMMYFUNCTION("""COMPUTED_VALUE"""),"Settlement 38U")</f>
        <v>Settlement 38U</v>
      </c>
      <c r="F723" s="10">
        <f>IFERROR(__xludf.DUMMYFUNCTION("""COMPUTED_VALUE"""),488.986771232999)</f>
        <v>488.986771232999</v>
      </c>
      <c r="G723" s="10">
        <f>IFERROR(__xludf.DUMMYFUNCTION("""COMPUTED_VALUE"""),440.90672323)</f>
        <v>440.90672323</v>
      </c>
      <c r="H723" s="10">
        <f>IFERROR(__xludf.DUMMYFUNCTION("""COMPUTED_VALUE"""),753.943556719999)</f>
        <v>753.943556719999</v>
      </c>
      <c r="I723" s="13"/>
      <c r="J723" s="13"/>
      <c r="K723" s="13"/>
      <c r="L723" s="13"/>
      <c r="M723" s="1" t="b">
        <f>IFERROR(__xludf.DUMMYFUNCTION("""COMPUTED_VALUE"""),FALSE)</f>
        <v>0</v>
      </c>
      <c r="N723" s="10">
        <f>IFERROR(__xludf.DUMMYFUNCTION("""COMPUTED_VALUE"""),0)</f>
        <v>0</v>
      </c>
      <c r="O723" s="10">
        <f>IFERROR(__xludf.DUMMYFUNCTION("""COMPUTED_VALUE"""),0)</f>
        <v>0</v>
      </c>
      <c r="P723" s="10"/>
      <c r="Q723" s="30"/>
      <c r="R723" s="18"/>
      <c r="S723" s="19"/>
      <c r="T723" s="10"/>
      <c r="U723" s="10"/>
      <c r="V723" s="10"/>
      <c r="W723" s="10"/>
      <c r="X723" s="19"/>
      <c r="Y723" s="1"/>
      <c r="Z723" s="1"/>
      <c r="AA723" s="1"/>
    </row>
    <row r="724" customHeight="1" spans="1:27">
      <c r="A724" s="1" t="str">
        <f>IFERROR(__xludf.DUMMYFUNCTION("""COMPUTED_VALUE"""),"microTech 51")</f>
        <v>microTech 51</v>
      </c>
      <c r="B724" s="1" t="str">
        <f>IFERROR(__xludf.DUMMYFUNCTION("""COMPUTED_VALUE"""),"microTech 61")</f>
        <v>microTech 61</v>
      </c>
      <c r="C724" s="1" t="str">
        <f>IFERROR(__xludf.DUMMYFUNCTION("""COMPUTED_VALUE"""),"microTech 30")</f>
        <v>microTech 30</v>
      </c>
      <c r="D724" s="1" t="str">
        <f>IFERROR(__xludf.DUMMYFUNCTION("""COMPUTED_VALUE"""),"Settlement 50K")</f>
        <v>Settlement 50K</v>
      </c>
      <c r="E724" s="30" t="str">
        <f>IFERROR(__xludf.DUMMYFUNCTION("""COMPUTED_VALUE"""),"Settlement 50K")</f>
        <v>Settlement 50K</v>
      </c>
      <c r="F724" s="10">
        <f>IFERROR(__xludf.DUMMYFUNCTION("""COMPUTED_VALUE"""),-458.492768339)</f>
        <v>-458.492768339</v>
      </c>
      <c r="G724" s="10">
        <f>IFERROR(__xludf.DUMMYFUNCTION("""COMPUTED_VALUE"""),807.380966956999)</f>
        <v>807.380966956999</v>
      </c>
      <c r="H724" s="10">
        <f>IFERROR(__xludf.DUMMYFUNCTION("""COMPUTED_VALUE"""),-371.930131793999)</f>
        <v>-371.930131793999</v>
      </c>
      <c r="I724" s="13"/>
      <c r="J724" s="13"/>
      <c r="K724" s="13"/>
      <c r="L724" s="13"/>
      <c r="M724" s="1" t="b">
        <f>IFERROR(__xludf.DUMMYFUNCTION("""COMPUTED_VALUE"""),FALSE)</f>
        <v>0</v>
      </c>
      <c r="N724" s="10">
        <f>IFERROR(__xludf.DUMMYFUNCTION("""COMPUTED_VALUE"""),0)</f>
        <v>0</v>
      </c>
      <c r="O724" s="10">
        <f>IFERROR(__xludf.DUMMYFUNCTION("""COMPUTED_VALUE"""),0)</f>
        <v>0</v>
      </c>
      <c r="P724" s="10"/>
      <c r="Q724" s="30"/>
      <c r="R724" s="18"/>
      <c r="S724" s="19"/>
      <c r="T724" s="10"/>
      <c r="U724" s="10"/>
      <c r="V724" s="10"/>
      <c r="W724" s="10"/>
      <c r="X724" s="19"/>
      <c r="Y724" s="1"/>
      <c r="Z724" s="1"/>
      <c r="AA724" s="1"/>
    </row>
    <row r="725" customHeight="1" spans="1:27">
      <c r="A725" s="1" t="str">
        <f>IFERROR(__xludf.DUMMYFUNCTION("""COMPUTED_VALUE"""),"microTech")</f>
        <v>microTech</v>
      </c>
      <c r="B725" s="1" t="str">
        <f>IFERROR(__xludf.DUMMYFUNCTION("""COMPUTED_VALUE"""),"microTech 63")</f>
        <v>microTech 63</v>
      </c>
      <c r="C725" s="1"/>
      <c r="D725" s="1" t="str">
        <f>IFERROR(__xludf.DUMMYFUNCTION("""COMPUTED_VALUE"""),"Caves")</f>
        <v>Caves</v>
      </c>
      <c r="E725" s="30"/>
      <c r="F725" s="10"/>
      <c r="G725" s="10"/>
      <c r="H725" s="10"/>
      <c r="I725" s="13"/>
      <c r="J725" s="13"/>
      <c r="K725" s="13"/>
      <c r="L725" s="13"/>
      <c r="M725" s="1"/>
      <c r="N725" s="10"/>
      <c r="O725" s="10"/>
      <c r="P725" s="10"/>
      <c r="Q725" s="30"/>
      <c r="R725" s="18"/>
      <c r="S725" s="19"/>
      <c r="T725" s="10"/>
      <c r="U725" s="10"/>
      <c r="V725" s="10"/>
      <c r="W725" s="10"/>
      <c r="X725" s="19"/>
      <c r="Y725" s="1"/>
      <c r="Z725" s="1"/>
      <c r="AA725" s="1"/>
    </row>
    <row r="726" customHeight="1" spans="1:27">
      <c r="A726" s="1" t="str">
        <f>IFERROR(__xludf.DUMMYFUNCTION("""COMPUTED_VALUE"""),"microTech 53")</f>
        <v>microTech 53</v>
      </c>
      <c r="B726" s="1" t="str">
        <f>IFERROR(__xludf.DUMMYFUNCTION("""COMPUTED_VALUE"""),"microTech 65")</f>
        <v>microTech 65</v>
      </c>
      <c r="C726" s="1" t="str">
        <f>IFERROR(__xludf.DUMMYFUNCTION("""COMPUTED_VALUE"""),"microTech 78")</f>
        <v>microTech 78</v>
      </c>
      <c r="D726" s="1" t="str">
        <f>IFERROR(__xludf.DUMMYFUNCTION("""COMPUTED_VALUE"""),"Rock Cave 27N")</f>
        <v>Rock Cave 27N</v>
      </c>
      <c r="E726" s="30" t="str">
        <f>IFERROR(__xludf.DUMMYFUNCTION("""COMPUTED_VALUE"""),"RCave 27N")</f>
        <v>RCave 27N</v>
      </c>
      <c r="F726" s="10">
        <f>IFERROR(__xludf.DUMMYFUNCTION("""COMPUTED_VALUE"""),914.966506301299)</f>
        <v>914.966506301299</v>
      </c>
      <c r="G726" s="10">
        <f>IFERROR(__xludf.DUMMYFUNCTION("""COMPUTED_VALUE"""),-405.202815290598)</f>
        <v>-405.202815290598</v>
      </c>
      <c r="H726" s="10">
        <f>IFERROR(__xludf.DUMMYFUNCTION("""COMPUTED_VALUE"""),40.824910437408)</f>
        <v>40.824910437408</v>
      </c>
      <c r="I726" s="13"/>
      <c r="J726" s="13"/>
      <c r="K726" s="13"/>
      <c r="L726" s="13"/>
      <c r="M726" s="1" t="b">
        <f>IFERROR(__xludf.DUMMYFUNCTION("""COMPUTED_VALUE"""),FALSE)</f>
        <v>0</v>
      </c>
      <c r="N726" s="10">
        <f>IFERROR(__xludf.DUMMYFUNCTION("""COMPUTED_VALUE"""),0)</f>
        <v>0</v>
      </c>
      <c r="O726" s="10">
        <f>IFERROR(__xludf.DUMMYFUNCTION("""COMPUTED_VALUE"""),0)</f>
        <v>0</v>
      </c>
      <c r="P726" s="10"/>
      <c r="Q726" s="30"/>
      <c r="R726" s="18"/>
      <c r="S726" s="19"/>
      <c r="T726" s="10"/>
      <c r="U726" s="10"/>
      <c r="V726" s="10"/>
      <c r="W726" s="10"/>
      <c r="X726" s="19"/>
      <c r="Y726" s="1"/>
      <c r="Z726" s="1"/>
      <c r="AA726" s="1"/>
    </row>
    <row r="727" customHeight="1" spans="1:27">
      <c r="A727" s="1" t="str">
        <f>IFERROR(__xludf.DUMMYFUNCTION("""COMPUTED_VALUE"""),"microTech 54")</f>
        <v>microTech 54</v>
      </c>
      <c r="B727" s="1" t="str">
        <f>IFERROR(__xludf.DUMMYFUNCTION("""COMPUTED_VALUE"""),"microTech 66")</f>
        <v>microTech 66</v>
      </c>
      <c r="C727" s="1" t="str">
        <f>IFERROR(__xludf.DUMMYFUNCTION("""COMPUTED_VALUE"""),"microTech 71")</f>
        <v>microTech 71</v>
      </c>
      <c r="D727" s="1" t="str">
        <f>IFERROR(__xludf.DUMMYFUNCTION("""COMPUTED_VALUE"""),"Rock Cave 30Q")</f>
        <v>Rock Cave 30Q</v>
      </c>
      <c r="E727" s="30" t="str">
        <f>IFERROR(__xludf.DUMMYFUNCTION("""COMPUTED_VALUE"""),"RCave 30Q")</f>
        <v>RCave 30Q</v>
      </c>
      <c r="F727" s="10">
        <f>IFERROR(__xludf.DUMMYFUNCTION("""COMPUTED_VALUE"""),940.940022176765)</f>
        <v>940.940022176765</v>
      </c>
      <c r="G727" s="10">
        <f>IFERROR(__xludf.DUMMYFUNCTION("""COMPUTED_VALUE"""),-23.790363417196)</f>
        <v>-23.790363417196</v>
      </c>
      <c r="H727" s="10">
        <f>IFERROR(__xludf.DUMMYFUNCTION("""COMPUTED_VALUE"""),343.678614255491)</f>
        <v>343.678614255491</v>
      </c>
      <c r="I727" s="13"/>
      <c r="J727" s="13"/>
      <c r="K727" s="13"/>
      <c r="L727" s="13"/>
      <c r="M727" s="1" t="b">
        <f>IFERROR(__xludf.DUMMYFUNCTION("""COMPUTED_VALUE"""),FALSE)</f>
        <v>0</v>
      </c>
      <c r="N727" s="10">
        <f>IFERROR(__xludf.DUMMYFUNCTION("""COMPUTED_VALUE"""),0)</f>
        <v>0</v>
      </c>
      <c r="O727" s="10">
        <f>IFERROR(__xludf.DUMMYFUNCTION("""COMPUTED_VALUE"""),0)</f>
        <v>0</v>
      </c>
      <c r="P727" s="10"/>
      <c r="Q727" s="30"/>
      <c r="R727" s="18"/>
      <c r="S727" s="19"/>
      <c r="T727" s="10"/>
      <c r="U727" s="10"/>
      <c r="V727" s="10"/>
      <c r="W727" s="10"/>
      <c r="X727" s="19"/>
      <c r="Y727" s="1"/>
      <c r="Z727" s="1"/>
      <c r="AA727" s="1"/>
    </row>
    <row r="728" customHeight="1" spans="1:27">
      <c r="A728" s="1" t="str">
        <f>IFERROR(__xludf.DUMMYFUNCTION("""COMPUTED_VALUE"""),"microTech 55")</f>
        <v>microTech 55</v>
      </c>
      <c r="B728" s="1" t="str">
        <f>IFERROR(__xludf.DUMMYFUNCTION("""COMPUTED_VALUE"""),"microTech 67")</f>
        <v>microTech 67</v>
      </c>
      <c r="C728" s="1" t="str">
        <f>IFERROR(__xludf.DUMMYFUNCTION("""COMPUTED_VALUE"""),"microTech 58")</f>
        <v>microTech 58</v>
      </c>
      <c r="D728" s="1" t="str">
        <f>IFERROR(__xludf.DUMMYFUNCTION("""COMPUTED_VALUE"""),"Rock Cave 35S")</f>
        <v>Rock Cave 35S</v>
      </c>
      <c r="E728" s="30" t="str">
        <f>IFERROR(__xludf.DUMMYFUNCTION("""COMPUTED_VALUE"""),"RCave 35S")</f>
        <v>RCave 35S</v>
      </c>
      <c r="F728" s="10">
        <f>IFERROR(__xludf.DUMMYFUNCTION("""COMPUTED_VALUE"""),679.115112802588)</f>
        <v>679.115112802588</v>
      </c>
      <c r="G728" s="10">
        <f>IFERROR(__xludf.DUMMYFUNCTION("""COMPUTED_VALUE"""),379.184993189556)</f>
        <v>379.184993189556</v>
      </c>
      <c r="H728" s="10">
        <f>IFERROR(__xludf.DUMMYFUNCTION("""COMPUTED_VALUE"""),630.074051183402)</f>
        <v>630.074051183402</v>
      </c>
      <c r="I728" s="13"/>
      <c r="J728" s="13"/>
      <c r="K728" s="13"/>
      <c r="L728" s="13"/>
      <c r="M728" s="1" t="b">
        <f>IFERROR(__xludf.DUMMYFUNCTION("""COMPUTED_VALUE"""),FALSE)</f>
        <v>0</v>
      </c>
      <c r="N728" s="10">
        <f>IFERROR(__xludf.DUMMYFUNCTION("""COMPUTED_VALUE"""),0)</f>
        <v>0</v>
      </c>
      <c r="O728" s="10">
        <f>IFERROR(__xludf.DUMMYFUNCTION("""COMPUTED_VALUE"""),0)</f>
        <v>0</v>
      </c>
      <c r="P728" s="10"/>
      <c r="Q728" s="30"/>
      <c r="R728" s="18"/>
      <c r="S728" s="19"/>
      <c r="T728" s="10"/>
      <c r="U728" s="10"/>
      <c r="V728" s="10"/>
      <c r="W728" s="10"/>
      <c r="X728" s="19"/>
      <c r="Y728" s="1"/>
      <c r="Z728" s="1"/>
      <c r="AA728" s="1"/>
    </row>
    <row r="729" customHeight="1" spans="1:27">
      <c r="A729" s="1" t="str">
        <f>IFERROR(__xludf.DUMMYFUNCTION("""COMPUTED_VALUE"""),"microTech 56")</f>
        <v>microTech 56</v>
      </c>
      <c r="B729" s="1" t="str">
        <f>IFERROR(__xludf.DUMMYFUNCTION("""COMPUTED_VALUE"""),"microTech 68")</f>
        <v>microTech 68</v>
      </c>
      <c r="C729" s="1" t="str">
        <f>IFERROR(__xludf.DUMMYFUNCTION("""COMPUTED_VALUE"""),"microTech 47")</f>
        <v>microTech 47</v>
      </c>
      <c r="D729" s="1" t="str">
        <f>IFERROR(__xludf.DUMMYFUNCTION("""COMPUTED_VALUE"""),"Rock Cave 38U")</f>
        <v>Rock Cave 38U</v>
      </c>
      <c r="E729" s="30" t="str">
        <f>IFERROR(__xludf.DUMMYFUNCTION("""COMPUTED_VALUE"""),"RCave 38U")</f>
        <v>RCave 38U</v>
      </c>
      <c r="F729" s="10">
        <f>IFERROR(__xludf.DUMMYFUNCTION("""COMPUTED_VALUE"""),495.284955224999)</f>
        <v>495.284955224999</v>
      </c>
      <c r="G729" s="10">
        <f>IFERROR(__xludf.DUMMYFUNCTION("""COMPUTED_VALUE"""),446.712846874999)</f>
        <v>446.712846874999</v>
      </c>
      <c r="H729" s="10">
        <f>IFERROR(__xludf.DUMMYFUNCTION("""COMPUTED_VALUE"""),749.188305691999)</f>
        <v>749.188305691999</v>
      </c>
      <c r="I729" s="13"/>
      <c r="J729" s="13"/>
      <c r="K729" s="13"/>
      <c r="L729" s="13"/>
      <c r="M729" s="1" t="b">
        <f>IFERROR(__xludf.DUMMYFUNCTION("""COMPUTED_VALUE"""),FALSE)</f>
        <v>0</v>
      </c>
      <c r="N729" s="10">
        <f>IFERROR(__xludf.DUMMYFUNCTION("""COMPUTED_VALUE"""),0)</f>
        <v>0</v>
      </c>
      <c r="O729" s="10">
        <f>IFERROR(__xludf.DUMMYFUNCTION("""COMPUTED_VALUE"""),0)</f>
        <v>0</v>
      </c>
      <c r="P729" s="10"/>
      <c r="Q729" s="30"/>
      <c r="R729" s="18"/>
      <c r="S729" s="19"/>
      <c r="T729" s="10"/>
      <c r="U729" s="10"/>
      <c r="V729" s="10"/>
      <c r="W729" s="10"/>
      <c r="X729" s="19"/>
      <c r="Y729" s="1"/>
      <c r="Z729" s="1"/>
      <c r="AA729" s="1"/>
    </row>
    <row r="730" customHeight="1" spans="1:27">
      <c r="A730" s="1" t="str">
        <f>IFERROR(__xludf.DUMMYFUNCTION("""COMPUTED_VALUE"""),"microTech 52")</f>
        <v>microTech 52</v>
      </c>
      <c r="B730" s="1" t="str">
        <f>IFERROR(__xludf.DUMMYFUNCTION("""COMPUTED_VALUE"""),"microTech 64")</f>
        <v>microTech 64</v>
      </c>
      <c r="C730" s="1" t="str">
        <f>IFERROR(__xludf.DUMMYFUNCTION("""COMPUTED_VALUE"""),"microTech 82")</f>
        <v>microTech 82</v>
      </c>
      <c r="D730" s="1" t="str">
        <f>IFERROR(__xludf.DUMMYFUNCTION("""COMPUTED_VALUE"""),"Rock Cave 22W")</f>
        <v>Rock Cave 22W</v>
      </c>
      <c r="E730" s="30" t="str">
        <f>IFERROR(__xludf.DUMMYFUNCTION("""COMPUTED_VALUE"""),"RCave 22W")</f>
        <v>RCave 22W</v>
      </c>
      <c r="F730" s="10">
        <f>IFERROR(__xludf.DUMMYFUNCTION("""COMPUTED_VALUE"""),209.18863974215)</f>
        <v>209.18863974215</v>
      </c>
      <c r="G730" s="10">
        <f>IFERROR(__xludf.DUMMYFUNCTION("""COMPUTED_VALUE"""),-260.050155152496)</f>
        <v>-260.050155152496</v>
      </c>
      <c r="H730" s="10">
        <f>IFERROR(__xludf.DUMMYFUNCTION("""COMPUTED_VALUE"""),944.768433512743)</f>
        <v>944.768433512743</v>
      </c>
      <c r="I730" s="13"/>
      <c r="J730" s="13"/>
      <c r="K730" s="13"/>
      <c r="L730" s="13"/>
      <c r="M730" s="1" t="b">
        <f>IFERROR(__xludf.DUMMYFUNCTION("""COMPUTED_VALUE"""),FALSE)</f>
        <v>0</v>
      </c>
      <c r="N730" s="10">
        <f>IFERROR(__xludf.DUMMYFUNCTION("""COMPUTED_VALUE"""),0)</f>
        <v>0</v>
      </c>
      <c r="O730" s="10">
        <f>IFERROR(__xludf.DUMMYFUNCTION("""COMPUTED_VALUE"""),0)</f>
        <v>0</v>
      </c>
      <c r="P730" s="10"/>
      <c r="Q730" s="30"/>
      <c r="R730" s="18"/>
      <c r="S730" s="19"/>
      <c r="T730" s="10"/>
      <c r="U730" s="10"/>
      <c r="V730" s="10"/>
      <c r="W730" s="10"/>
      <c r="X730" s="19"/>
      <c r="Y730" s="1"/>
      <c r="Z730" s="1"/>
      <c r="AA730" s="1"/>
    </row>
    <row r="731" customHeight="1" spans="1:27">
      <c r="A731" s="1" t="str">
        <f>IFERROR(__xludf.DUMMYFUNCTION("""COMPUTED_VALUE"""),"microTech 57")</f>
        <v>microTech 57</v>
      </c>
      <c r="B731" s="1" t="str">
        <f>IFERROR(__xludf.DUMMYFUNCTION("""COMPUTED_VALUE"""),"microTech 69")</f>
        <v>microTech 69</v>
      </c>
      <c r="C731" s="1" t="str">
        <f>IFERROR(__xludf.DUMMYFUNCTION("""COMPUTED_VALUE"""),"microTech 31")</f>
        <v>microTech 31</v>
      </c>
      <c r="D731" s="1" t="str">
        <f>IFERROR(__xludf.DUMMYFUNCTION("""COMPUTED_VALUE"""),"Rock Cave 50M")</f>
        <v>Rock Cave 50M</v>
      </c>
      <c r="E731" s="30" t="str">
        <f>IFERROR(__xludf.DUMMYFUNCTION("""COMPUTED_VALUE"""),"RCave 50M")</f>
        <v>RCave 50M</v>
      </c>
      <c r="F731" s="10">
        <f>IFERROR(__xludf.DUMMYFUNCTION("""COMPUTED_VALUE"""),-428.145065818594)</f>
        <v>-428.145065818594</v>
      </c>
      <c r="G731" s="10">
        <f>IFERROR(__xludf.DUMMYFUNCTION("""COMPUTED_VALUE"""),903.758319505118)</f>
        <v>903.758319505118</v>
      </c>
      <c r="H731" s="10">
        <f>IFERROR(__xludf.DUMMYFUNCTION("""COMPUTED_VALUE"""),-31.123730709993)</f>
        <v>-31.123730709993</v>
      </c>
      <c r="I731" s="13"/>
      <c r="J731" s="13"/>
      <c r="K731" s="13"/>
      <c r="L731" s="13"/>
      <c r="M731" s="1" t="b">
        <f>IFERROR(__xludf.DUMMYFUNCTION("""COMPUTED_VALUE"""),FALSE)</f>
        <v>0</v>
      </c>
      <c r="N731" s="10">
        <f>IFERROR(__xludf.DUMMYFUNCTION("""COMPUTED_VALUE"""),0)</f>
        <v>0</v>
      </c>
      <c r="O731" s="10">
        <f>IFERROR(__xludf.DUMMYFUNCTION("""COMPUTED_VALUE"""),0)</f>
        <v>0</v>
      </c>
      <c r="P731" s="10"/>
      <c r="Q731" s="30"/>
      <c r="R731" s="18"/>
      <c r="S731" s="19"/>
      <c r="T731" s="10"/>
      <c r="U731" s="10"/>
      <c r="V731" s="10"/>
      <c r="W731" s="10"/>
      <c r="X731" s="19"/>
      <c r="Y731" s="1"/>
      <c r="Z731" s="1"/>
      <c r="AA731" s="1"/>
    </row>
    <row r="732" customHeight="1" spans="1:27">
      <c r="A732" s="1" t="str">
        <f>IFERROR(__xludf.DUMMYFUNCTION("""COMPUTED_VALUE"""),"microTech")</f>
        <v>microTech</v>
      </c>
      <c r="B732" s="1" t="str">
        <f>IFERROR(__xludf.DUMMYFUNCTION("""COMPUTED_VALUE"""),"microTech 71")</f>
        <v>microTech 71</v>
      </c>
      <c r="C732" s="1"/>
      <c r="D732" s="1" t="str">
        <f>IFERROR(__xludf.DUMMYFUNCTION("""COMPUTED_VALUE"""),"Wrecks")</f>
        <v>Wrecks</v>
      </c>
      <c r="E732" s="30"/>
      <c r="F732" s="10"/>
      <c r="G732" s="10"/>
      <c r="H732" s="10"/>
      <c r="I732" s="13"/>
      <c r="J732" s="13"/>
      <c r="K732" s="13"/>
      <c r="L732" s="13"/>
      <c r="M732" s="1"/>
      <c r="N732" s="10"/>
      <c r="O732" s="10"/>
      <c r="P732" s="10"/>
      <c r="Q732" s="30"/>
      <c r="R732" s="18"/>
      <c r="S732" s="19"/>
      <c r="T732" s="10"/>
      <c r="U732" s="10"/>
      <c r="V732" s="10"/>
      <c r="W732" s="10"/>
      <c r="X732" s="19"/>
      <c r="Y732" s="1"/>
      <c r="Z732" s="1"/>
      <c r="AA732" s="1"/>
    </row>
    <row r="733" customHeight="1" spans="1:27">
      <c r="A733" s="1" t="str">
        <f>IFERROR(__xludf.DUMMYFUNCTION("""COMPUTED_VALUE"""),"microTech 58")</f>
        <v>microTech 58</v>
      </c>
      <c r="B733" s="1" t="str">
        <f>IFERROR(__xludf.DUMMYFUNCTION("""COMPUTED_VALUE"""),"microTech 72")</f>
        <v>microTech 72</v>
      </c>
      <c r="C733" s="1" t="str">
        <f>IFERROR(__xludf.DUMMYFUNCTION("""COMPUTED_VALUE"""),"microTech 63")</f>
        <v>microTech 63</v>
      </c>
      <c r="D733" s="1" t="str">
        <f>IFERROR(__xludf.DUMMYFUNCTION("""COMPUTED_VALUE"""),"Caterpillar Wreck 34V")</f>
        <v>Caterpillar Wreck 34V</v>
      </c>
      <c r="E733" s="30" t="str">
        <f>IFERROR(__xludf.DUMMYFUNCTION("""COMPUTED_VALUE"""),"Caterpillar 34V")</f>
        <v>Caterpillar 34V</v>
      </c>
      <c r="F733" s="10">
        <f>IFERROR(__xludf.DUMMYFUNCTION("""COMPUTED_VALUE"""),422.030565493172)</f>
        <v>422.030565493172</v>
      </c>
      <c r="G733" s="10">
        <f>IFERROR(__xludf.DUMMYFUNCTION("""COMPUTED_VALUE"""),170.8188762115)</f>
        <v>170.8188762115</v>
      </c>
      <c r="H733" s="10">
        <f>IFERROR(__xludf.DUMMYFUNCTION("""COMPUTED_VALUE"""),890.497381315684)</f>
        <v>890.497381315684</v>
      </c>
      <c r="I733" s="13"/>
      <c r="J733" s="13"/>
      <c r="K733" s="13"/>
      <c r="L733" s="13"/>
      <c r="M733" s="1" t="b">
        <f>IFERROR(__xludf.DUMMYFUNCTION("""COMPUTED_VALUE"""),FALSE)</f>
        <v>0</v>
      </c>
      <c r="N733" s="10">
        <f>IFERROR(__xludf.DUMMYFUNCTION("""COMPUTED_VALUE"""),0)</f>
        <v>0</v>
      </c>
      <c r="O733" s="10">
        <f>IFERROR(__xludf.DUMMYFUNCTION("""COMPUTED_VALUE"""),0)</f>
        <v>0</v>
      </c>
      <c r="P733" s="10"/>
      <c r="Q733" s="30"/>
      <c r="R733" s="18"/>
      <c r="S733" s="19"/>
      <c r="T733" s="10"/>
      <c r="U733" s="10"/>
      <c r="V733" s="10"/>
      <c r="W733" s="10"/>
      <c r="X733" s="19"/>
      <c r="Y733" s="1"/>
      <c r="Z733" s="1"/>
      <c r="AA733" s="1"/>
    </row>
    <row r="734" customHeight="1" spans="1:27">
      <c r="A734" s="1" t="str">
        <f>IFERROR(__xludf.DUMMYFUNCTION("""COMPUTED_VALUE"""),"microTech 59")</f>
        <v>microTech 59</v>
      </c>
      <c r="B734" s="1" t="str">
        <f>IFERROR(__xludf.DUMMYFUNCTION("""COMPUTED_VALUE"""),"microTech 73")</f>
        <v>microTech 73</v>
      </c>
      <c r="C734" s="1" t="str">
        <f>IFERROR(__xludf.DUMMYFUNCTION("""COMPUTED_VALUE"""),"microTech 35")</f>
        <v>microTech 35</v>
      </c>
      <c r="D734" s="1" t="str">
        <f>IFERROR(__xludf.DUMMYFUNCTION("""COMPUTED_VALUE"""),"Caterpillar Wreck 47M")</f>
        <v>Caterpillar Wreck 47M</v>
      </c>
      <c r="E734" s="30" t="str">
        <f>IFERROR(__xludf.DUMMYFUNCTION("""COMPUTED_VALUE"""),"Caterpillar 47M")</f>
        <v>Caterpillar 47M</v>
      </c>
      <c r="F734" s="10">
        <f>IFERROR(__xludf.DUMMYFUNCTION("""COMPUTED_VALUE"""),-174.985191389468)</f>
        <v>-174.985191389468</v>
      </c>
      <c r="G734" s="10">
        <f>IFERROR(__xludf.DUMMYFUNCTION("""COMPUTED_VALUE"""),978.25858424416)</f>
        <v>978.25858424416</v>
      </c>
      <c r="H734" s="10">
        <f>IFERROR(__xludf.DUMMYFUNCTION("""COMPUTED_VALUE"""),-116.906611973531)</f>
        <v>-116.906611973531</v>
      </c>
      <c r="I734" s="13"/>
      <c r="J734" s="13"/>
      <c r="K734" s="13"/>
      <c r="L734" s="13"/>
      <c r="M734" s="1" t="b">
        <f>IFERROR(__xludf.DUMMYFUNCTION("""COMPUTED_VALUE"""),FALSE)</f>
        <v>0</v>
      </c>
      <c r="N734" s="10">
        <f>IFERROR(__xludf.DUMMYFUNCTION("""COMPUTED_VALUE"""),0)</f>
        <v>0</v>
      </c>
      <c r="O734" s="10">
        <f>IFERROR(__xludf.DUMMYFUNCTION("""COMPUTED_VALUE"""),0)</f>
        <v>0</v>
      </c>
      <c r="P734" s="10"/>
      <c r="Q734" s="30"/>
      <c r="R734" s="18"/>
      <c r="S734" s="19"/>
      <c r="T734" s="10"/>
      <c r="U734" s="10"/>
      <c r="V734" s="10"/>
      <c r="W734" s="10"/>
      <c r="X734" s="19"/>
      <c r="Y734" s="1"/>
      <c r="Z734" s="1"/>
      <c r="AA734" s="1"/>
    </row>
    <row r="735" customHeight="1" spans="1:27">
      <c r="A735" s="1" t="str">
        <f>IFERROR(__xludf.DUMMYFUNCTION("""COMPUTED_VALUE"""),"microTech 60")</f>
        <v>microTech 60</v>
      </c>
      <c r="B735" s="1" t="str">
        <f>IFERROR(__xludf.DUMMYFUNCTION("""COMPUTED_VALUE"""),"microTech 74")</f>
        <v>microTech 74</v>
      </c>
      <c r="C735" s="1" t="str">
        <f>IFERROR(__xludf.DUMMYFUNCTION("""COMPUTED_VALUE"""),"microTech 25")</f>
        <v>microTech 25</v>
      </c>
      <c r="D735" s="1" t="str">
        <f>IFERROR(__xludf.DUMMYFUNCTION("""COMPUTED_VALUE"""),"Caterpillar Wreck 52W")</f>
        <v>Caterpillar Wreck 52W</v>
      </c>
      <c r="E735" s="30" t="str">
        <f>IFERROR(__xludf.DUMMYFUNCTION("""COMPUTED_VALUE"""),"Caterpillar 52W")</f>
        <v>Caterpillar 52W</v>
      </c>
      <c r="F735" s="10">
        <f>IFERROR(__xludf.DUMMYFUNCTION("""COMPUTED_VALUE"""),-267.953108728863)</f>
        <v>-267.953108728863</v>
      </c>
      <c r="G735" s="10">
        <f>IFERROR(__xludf.DUMMYFUNCTION("""COMPUTED_VALUE"""),310.782251487106)</f>
        <v>310.782251487106</v>
      </c>
      <c r="H735" s="10">
        <f>IFERROR(__xludf.DUMMYFUNCTION("""COMPUTED_VALUE"""),912.085579711613)</f>
        <v>912.085579711613</v>
      </c>
      <c r="I735" s="13"/>
      <c r="J735" s="13"/>
      <c r="K735" s="13"/>
      <c r="L735" s="13"/>
      <c r="M735" s="1" t="b">
        <f>IFERROR(__xludf.DUMMYFUNCTION("""COMPUTED_VALUE"""),FALSE)</f>
        <v>0</v>
      </c>
      <c r="N735" s="10">
        <f>IFERROR(__xludf.DUMMYFUNCTION("""COMPUTED_VALUE"""),0)</f>
        <v>0</v>
      </c>
      <c r="O735" s="10">
        <f>IFERROR(__xludf.DUMMYFUNCTION("""COMPUTED_VALUE"""),0)</f>
        <v>0</v>
      </c>
      <c r="P735" s="10"/>
      <c r="Q735" s="30"/>
      <c r="R735" s="18"/>
      <c r="S735" s="19"/>
      <c r="T735" s="10"/>
      <c r="U735" s="10"/>
      <c r="V735" s="10"/>
      <c r="W735" s="10"/>
      <c r="X735" s="19"/>
      <c r="Y735" s="1"/>
      <c r="Z735" s="1"/>
      <c r="AA735" s="1"/>
    </row>
    <row r="736" customHeight="1" spans="1:27">
      <c r="A736" s="1" t="str">
        <f>IFERROR(__xludf.DUMMYFUNCTION("""COMPUTED_VALUE"""),"microTech 61")</f>
        <v>microTech 61</v>
      </c>
      <c r="B736" s="1" t="str">
        <f>IFERROR(__xludf.DUMMYFUNCTION("""COMPUTED_VALUE"""),"microTech 75")</f>
        <v>microTech 75</v>
      </c>
      <c r="C736" s="1" t="str">
        <f>IFERROR(__xludf.DUMMYFUNCTION("""COMPUTED_VALUE"""),"microTech 14")</f>
        <v>microTech 14</v>
      </c>
      <c r="D736" s="1" t="str">
        <f>IFERROR(__xludf.DUMMYFUNCTION("""COMPUTED_VALUE"""),"Caterpillar Wreck 53W")</f>
        <v>Caterpillar Wreck 53W</v>
      </c>
      <c r="E736" s="30" t="str">
        <f>IFERROR(__xludf.DUMMYFUNCTION("""COMPUTED_VALUE"""),"Caterpillar 53W")</f>
        <v>Caterpillar 53W</v>
      </c>
      <c r="F736" s="10">
        <f>IFERROR(__xludf.DUMMYFUNCTION("""COMPUTED_VALUE"""),-223.633552985958)</f>
        <v>-223.633552985958</v>
      </c>
      <c r="G736" s="10">
        <f>IFERROR(__xludf.DUMMYFUNCTION("""COMPUTED_VALUE"""),218.51939659621)</f>
        <v>218.51939659621</v>
      </c>
      <c r="H736" s="10">
        <f>IFERROR(__xludf.DUMMYFUNCTION("""COMPUTED_VALUE"""),949.902150956804)</f>
        <v>949.902150956804</v>
      </c>
      <c r="I736" s="13"/>
      <c r="J736" s="13"/>
      <c r="K736" s="13"/>
      <c r="L736" s="13"/>
      <c r="M736" s="1" t="b">
        <f>IFERROR(__xludf.DUMMYFUNCTION("""COMPUTED_VALUE"""),FALSE)</f>
        <v>0</v>
      </c>
      <c r="N736" s="10">
        <f>IFERROR(__xludf.DUMMYFUNCTION("""COMPUTED_VALUE"""),0)</f>
        <v>0</v>
      </c>
      <c r="O736" s="10">
        <f>IFERROR(__xludf.DUMMYFUNCTION("""COMPUTED_VALUE"""),0)</f>
        <v>0</v>
      </c>
      <c r="P736" s="10"/>
      <c r="Q736" s="30"/>
      <c r="R736" s="18"/>
      <c r="S736" s="19"/>
      <c r="T736" s="10"/>
      <c r="U736" s="10"/>
      <c r="V736" s="10"/>
      <c r="W736" s="10"/>
      <c r="X736" s="19"/>
      <c r="Y736" s="1"/>
      <c r="Z736" s="1"/>
      <c r="AA736" s="1"/>
    </row>
    <row r="737" customHeight="1" spans="1:27">
      <c r="A737" s="1" t="str">
        <f>IFERROR(__xludf.DUMMYFUNCTION("""COMPUTED_VALUE"""),"microTech 62")</f>
        <v>microTech 62</v>
      </c>
      <c r="B737" s="1" t="str">
        <f>IFERROR(__xludf.DUMMYFUNCTION("""COMPUTED_VALUE"""),"microTech 76")</f>
        <v>microTech 76</v>
      </c>
      <c r="C737" s="1" t="str">
        <f>IFERROR(__xludf.DUMMYFUNCTION("""COMPUTED_VALUE"""),"microTech 93")</f>
        <v>microTech 93</v>
      </c>
      <c r="D737" s="1" t="str">
        <f>IFERROR(__xludf.DUMMYFUNCTION("""COMPUTED_VALUE"""),"Constellation Wreck 08N")</f>
        <v>Constellation Wreck 08N</v>
      </c>
      <c r="E737" s="30" t="str">
        <f>IFERROR(__xludf.DUMMYFUNCTION("""COMPUTED_VALUE"""),"Constellation 08N")</f>
        <v>Constellation 08N</v>
      </c>
      <c r="F737" s="10">
        <f>IFERROR(__xludf.DUMMYFUNCTION("""COMPUTED_VALUE"""),-676.717865094178)</f>
        <v>-676.717865094178</v>
      </c>
      <c r="G737" s="10">
        <f>IFERROR(__xludf.DUMMYFUNCTION("""COMPUTED_VALUE"""),-728.925426829962)</f>
        <v>-728.925426829962</v>
      </c>
      <c r="H737" s="10">
        <f>IFERROR(__xludf.DUMMYFUNCTION("""COMPUTED_VALUE"""),112.129584296142)</f>
        <v>112.129584296142</v>
      </c>
      <c r="I737" s="13"/>
      <c r="J737" s="13"/>
      <c r="K737" s="13"/>
      <c r="L737" s="13"/>
      <c r="M737" s="1" t="b">
        <f>IFERROR(__xludf.DUMMYFUNCTION("""COMPUTED_VALUE"""),FALSE)</f>
        <v>0</v>
      </c>
      <c r="N737" s="10">
        <f>IFERROR(__xludf.DUMMYFUNCTION("""COMPUTED_VALUE"""),0)</f>
        <v>0</v>
      </c>
      <c r="O737" s="10">
        <f>IFERROR(__xludf.DUMMYFUNCTION("""COMPUTED_VALUE"""),0)</f>
        <v>0</v>
      </c>
      <c r="P737" s="10"/>
      <c r="Q737" s="30"/>
      <c r="R737" s="18"/>
      <c r="S737" s="19"/>
      <c r="T737" s="10"/>
      <c r="U737" s="10"/>
      <c r="V737" s="10"/>
      <c r="W737" s="10"/>
      <c r="X737" s="19"/>
      <c r="Y737" s="1"/>
      <c r="Z737" s="1"/>
      <c r="AA737" s="1"/>
    </row>
    <row r="738" customHeight="1" spans="1:27">
      <c r="A738" s="1" t="str">
        <f>IFERROR(__xludf.DUMMYFUNCTION("""COMPUTED_VALUE"""),"microTech 63")</f>
        <v>microTech 63</v>
      </c>
      <c r="B738" s="1" t="str">
        <f>IFERROR(__xludf.DUMMYFUNCTION("""COMPUTED_VALUE"""),"microTech 77")</f>
        <v>microTech 77</v>
      </c>
      <c r="C738" s="1" t="str">
        <f>IFERROR(__xludf.DUMMYFUNCTION("""COMPUTED_VALUE"""),"microTech 79")</f>
        <v>microTech 79</v>
      </c>
      <c r="D738" s="1" t="str">
        <f>IFERROR(__xludf.DUMMYFUNCTION("""COMPUTED_VALUE"""),"Constellation Wreck 26L")</f>
        <v>Constellation Wreck 26L</v>
      </c>
      <c r="E738" s="30" t="str">
        <f>IFERROR(__xludf.DUMMYFUNCTION("""COMPUTED_VALUE"""),"Constellation 26L")</f>
        <v>Constellation 26L</v>
      </c>
      <c r="F738" s="10">
        <f>IFERROR(__xludf.DUMMYFUNCTION("""COMPUTED_VALUE"""),875.200546632067)</f>
        <v>875.200546632067</v>
      </c>
      <c r="G738" s="10">
        <f>IFERROR(__xludf.DUMMYFUNCTION("""COMPUTED_VALUE"""),-465.380147321214)</f>
        <v>-465.380147321214</v>
      </c>
      <c r="H738" s="10">
        <f>IFERROR(__xludf.DUMMYFUNCTION("""COMPUTED_VALUE"""),-142.68191251041)</f>
        <v>-142.68191251041</v>
      </c>
      <c r="I738" s="13"/>
      <c r="J738" s="13"/>
      <c r="K738" s="13"/>
      <c r="L738" s="13"/>
      <c r="M738" s="1" t="b">
        <f>IFERROR(__xludf.DUMMYFUNCTION("""COMPUTED_VALUE"""),FALSE)</f>
        <v>0</v>
      </c>
      <c r="N738" s="10">
        <f>IFERROR(__xludf.DUMMYFUNCTION("""COMPUTED_VALUE"""),0)</f>
        <v>0</v>
      </c>
      <c r="O738" s="10">
        <f>IFERROR(__xludf.DUMMYFUNCTION("""COMPUTED_VALUE"""),0)</f>
        <v>0</v>
      </c>
      <c r="P738" s="10"/>
      <c r="Q738" s="30"/>
      <c r="R738" s="18"/>
      <c r="S738" s="19"/>
      <c r="T738" s="10"/>
      <c r="U738" s="10"/>
      <c r="V738" s="10"/>
      <c r="W738" s="10"/>
      <c r="X738" s="19"/>
      <c r="Y738" s="1"/>
      <c r="Z738" s="1"/>
      <c r="AA738" s="1"/>
    </row>
    <row r="739" customHeight="1" spans="1:27">
      <c r="A739" s="1" t="str">
        <f>IFERROR(__xludf.DUMMYFUNCTION("""COMPUTED_VALUE"""),"microTech 64")</f>
        <v>microTech 64</v>
      </c>
      <c r="B739" s="1" t="str">
        <f>IFERROR(__xludf.DUMMYFUNCTION("""COMPUTED_VALUE"""),"microTech 78")</f>
        <v>microTech 78</v>
      </c>
      <c r="C739" s="1" t="str">
        <f>IFERROR(__xludf.DUMMYFUNCTION("""COMPUTED_VALUE"""),"microTech 41")</f>
        <v>microTech 41</v>
      </c>
      <c r="D739" s="1" t="str">
        <f>IFERROR(__xludf.DUMMYFUNCTION("""COMPUTED_VALUE"""),"Constellation Wreck 42M")</f>
        <v>Constellation Wreck 42M</v>
      </c>
      <c r="E739" s="30" t="str">
        <f>IFERROR(__xludf.DUMMYFUNCTION("""COMPUTED_VALUE"""),"Constellation 42M")</f>
        <v>Constellation 42M</v>
      </c>
      <c r="F739" s="10">
        <f>IFERROR(__xludf.DUMMYFUNCTION("""COMPUTED_VALUE"""),376.775847030883)</f>
        <v>376.775847030883</v>
      </c>
      <c r="G739" s="10">
        <f>IFERROR(__xludf.DUMMYFUNCTION("""COMPUTED_VALUE"""),920.915695519137)</f>
        <v>920.915695519137</v>
      </c>
      <c r="H739" s="10">
        <f>IFERROR(__xludf.DUMMYFUNCTION("""COMPUTED_VALUE"""),-105.955657172639)</f>
        <v>-105.955657172639</v>
      </c>
      <c r="I739" s="13"/>
      <c r="J739" s="13"/>
      <c r="K739" s="13"/>
      <c r="L739" s="13"/>
      <c r="M739" s="1" t="b">
        <f>IFERROR(__xludf.DUMMYFUNCTION("""COMPUTED_VALUE"""),FALSE)</f>
        <v>0</v>
      </c>
      <c r="N739" s="10">
        <f>IFERROR(__xludf.DUMMYFUNCTION("""COMPUTED_VALUE"""),0)</f>
        <v>0</v>
      </c>
      <c r="O739" s="10">
        <f>IFERROR(__xludf.DUMMYFUNCTION("""COMPUTED_VALUE"""),0)</f>
        <v>0</v>
      </c>
      <c r="P739" s="10"/>
      <c r="Q739" s="30"/>
      <c r="R739" s="18"/>
      <c r="S739" s="19"/>
      <c r="T739" s="10"/>
      <c r="U739" s="10"/>
      <c r="V739" s="10"/>
      <c r="W739" s="10"/>
      <c r="X739" s="19"/>
      <c r="Y739" s="1"/>
      <c r="Z739" s="1"/>
      <c r="AA739" s="1"/>
    </row>
    <row r="740" customHeight="1" spans="1:27">
      <c r="A740" s="1" t="str">
        <f>IFERROR(__xludf.DUMMYFUNCTION("""COMPUTED_VALUE"""),"microTech 65")</f>
        <v>microTech 65</v>
      </c>
      <c r="B740" s="1" t="str">
        <f>IFERROR(__xludf.DUMMYFUNCTION("""COMPUTED_VALUE"""),"microTech 79")</f>
        <v>microTech 79</v>
      </c>
      <c r="C740" s="1" t="str">
        <f>IFERROR(__xludf.DUMMYFUNCTION("""COMPUTED_VALUE"""),"microTech 36")</f>
        <v>microTech 36</v>
      </c>
      <c r="D740" s="1" t="str">
        <f>IFERROR(__xludf.DUMMYFUNCTION("""COMPUTED_VALUE"""),"Constellation Wreck 47L")</f>
        <v>Constellation Wreck 47L</v>
      </c>
      <c r="E740" s="30" t="str">
        <f>IFERROR(__xludf.DUMMYFUNCTION("""COMPUTED_VALUE"""),"Constellation 47L")</f>
        <v>Constellation 47L</v>
      </c>
      <c r="F740" s="10">
        <f>IFERROR(__xludf.DUMMYFUNCTION("""COMPUTED_VALUE"""),-167.210361350261)</f>
        <v>-167.210361350261</v>
      </c>
      <c r="G740" s="10">
        <f>IFERROR(__xludf.DUMMYFUNCTION("""COMPUTED_VALUE"""),960.391198845134)</f>
        <v>960.391198845134</v>
      </c>
      <c r="H740" s="10">
        <f>IFERROR(__xludf.DUMMYFUNCTION("""COMPUTED_VALUE"""),-228.479705824038)</f>
        <v>-228.479705824038</v>
      </c>
      <c r="I740" s="13"/>
      <c r="J740" s="13"/>
      <c r="K740" s="13"/>
      <c r="L740" s="13"/>
      <c r="M740" s="1" t="b">
        <f>IFERROR(__xludf.DUMMYFUNCTION("""COMPUTED_VALUE"""),FALSE)</f>
        <v>0</v>
      </c>
      <c r="N740" s="10">
        <f>IFERROR(__xludf.DUMMYFUNCTION("""COMPUTED_VALUE"""),0)</f>
        <v>0</v>
      </c>
      <c r="O740" s="10">
        <f>IFERROR(__xludf.DUMMYFUNCTION("""COMPUTED_VALUE"""),0)</f>
        <v>0</v>
      </c>
      <c r="P740" s="10"/>
      <c r="Q740" s="30"/>
      <c r="R740" s="18"/>
      <c r="S740" s="19"/>
      <c r="T740" s="10"/>
      <c r="U740" s="10"/>
      <c r="V740" s="10"/>
      <c r="W740" s="10"/>
      <c r="X740" s="19"/>
      <c r="Y740" s="1"/>
      <c r="Z740" s="1"/>
      <c r="AA740" s="1"/>
    </row>
    <row r="741" customHeight="1" spans="1:27">
      <c r="A741" s="1" t="str">
        <f>IFERROR(__xludf.DUMMYFUNCTION("""COMPUTED_VALUE"""),"microTech 66")</f>
        <v>microTech 66</v>
      </c>
      <c r="B741" s="1" t="str">
        <f>IFERROR(__xludf.DUMMYFUNCTION("""COMPUTED_VALUE"""),"microTech 80")</f>
        <v>microTech 80</v>
      </c>
      <c r="C741" s="1" t="str">
        <f>IFERROR(__xludf.DUMMYFUNCTION("""COMPUTED_VALUE"""),"microTech 100")</f>
        <v>microTech 100</v>
      </c>
      <c r="D741" s="1" t="str">
        <f>IFERROR(__xludf.DUMMYFUNCTION("""COMPUTED_VALUE"""),"Freelancer Wreck 03N")</f>
        <v>Freelancer Wreck 03N</v>
      </c>
      <c r="E741" s="30" t="str">
        <f>IFERROR(__xludf.DUMMYFUNCTION("""COMPUTED_VALUE"""),"Freelancer 03N")</f>
        <v>Freelancer 03N</v>
      </c>
      <c r="F741" s="10">
        <f>IFERROR(__xludf.DUMMYFUNCTION("""COMPUTED_VALUE"""),-973.703809272717)</f>
        <v>-973.703809272717</v>
      </c>
      <c r="G741" s="10">
        <f>IFERROR(__xludf.DUMMYFUNCTION("""COMPUTED_VALUE"""),-225.634764877147)</f>
        <v>-225.634764877147</v>
      </c>
      <c r="H741" s="10">
        <f>IFERROR(__xludf.DUMMYFUNCTION("""COMPUTED_VALUE"""),40.800499864769)</f>
        <v>40.800499864769</v>
      </c>
      <c r="I741" s="13"/>
      <c r="J741" s="13"/>
      <c r="K741" s="13"/>
      <c r="L741" s="13"/>
      <c r="M741" s="1" t="b">
        <f>IFERROR(__xludf.DUMMYFUNCTION("""COMPUTED_VALUE"""),FALSE)</f>
        <v>0</v>
      </c>
      <c r="N741" s="10">
        <f>IFERROR(__xludf.DUMMYFUNCTION("""COMPUTED_VALUE"""),0)</f>
        <v>0</v>
      </c>
      <c r="O741" s="10">
        <f>IFERROR(__xludf.DUMMYFUNCTION("""COMPUTED_VALUE"""),0)</f>
        <v>0</v>
      </c>
      <c r="P741" s="10"/>
      <c r="Q741" s="30"/>
      <c r="R741" s="18"/>
      <c r="S741" s="19"/>
      <c r="T741" s="10"/>
      <c r="U741" s="10"/>
      <c r="V741" s="10"/>
      <c r="W741" s="10"/>
      <c r="X741" s="19"/>
      <c r="Y741" s="1"/>
      <c r="Z741" s="1"/>
      <c r="AA741" s="1"/>
    </row>
    <row r="742" customHeight="1" spans="1:27">
      <c r="A742" s="1" t="str">
        <f>IFERROR(__xludf.DUMMYFUNCTION("""COMPUTED_VALUE"""),"microTech 67")</f>
        <v>microTech 67</v>
      </c>
      <c r="B742" s="1" t="str">
        <f>IFERROR(__xludf.DUMMYFUNCTION("""COMPUTED_VALUE"""),"microTech 81")</f>
        <v>microTech 81</v>
      </c>
      <c r="C742" s="1" t="str">
        <f>IFERROR(__xludf.DUMMYFUNCTION("""COMPUTED_VALUE"""),"microTech 99")</f>
        <v>microTech 99</v>
      </c>
      <c r="D742" s="1" t="str">
        <f>IFERROR(__xludf.DUMMYFUNCTION("""COMPUTED_VALUE"""),"Freelancer Wreck 04L")</f>
        <v>Freelancer Wreck 04L</v>
      </c>
      <c r="E742" s="30" t="str">
        <f>IFERROR(__xludf.DUMMYFUNCTION("""COMPUTED_VALUE"""),"Freelancer 04L")</f>
        <v>Freelancer 04L</v>
      </c>
      <c r="F742" s="10">
        <f>IFERROR(__xludf.DUMMYFUNCTION("""COMPUTED_VALUE"""),-933.299747754197)</f>
        <v>-933.299747754197</v>
      </c>
      <c r="G742" s="10">
        <f>IFERROR(__xludf.DUMMYFUNCTION("""COMPUTED_VALUE"""),-309.024262314054)</f>
        <v>-309.024262314054</v>
      </c>
      <c r="H742" s="10">
        <f>IFERROR(__xludf.DUMMYFUNCTION("""COMPUTED_VALUE"""),-189.531586515152)</f>
        <v>-189.531586515152</v>
      </c>
      <c r="I742" s="13"/>
      <c r="J742" s="13"/>
      <c r="K742" s="13"/>
      <c r="L742" s="13"/>
      <c r="M742" s="1" t="b">
        <f>IFERROR(__xludf.DUMMYFUNCTION("""COMPUTED_VALUE"""),FALSE)</f>
        <v>0</v>
      </c>
      <c r="N742" s="10">
        <f>IFERROR(__xludf.DUMMYFUNCTION("""COMPUTED_VALUE"""),0)</f>
        <v>0</v>
      </c>
      <c r="O742" s="10">
        <f>IFERROR(__xludf.DUMMYFUNCTION("""COMPUTED_VALUE"""),0)</f>
        <v>0</v>
      </c>
      <c r="P742" s="10"/>
      <c r="Q742" s="30"/>
      <c r="R742" s="18"/>
      <c r="S742" s="19"/>
      <c r="T742" s="10"/>
      <c r="U742" s="10"/>
      <c r="V742" s="10"/>
      <c r="W742" s="10"/>
      <c r="X742" s="19"/>
      <c r="Y742" s="1"/>
      <c r="Z742" s="1"/>
      <c r="AA742" s="1"/>
    </row>
    <row r="743" customHeight="1" spans="1:27">
      <c r="A743" s="1" t="str">
        <f>IFERROR(__xludf.DUMMYFUNCTION("""COMPUTED_VALUE"""),"microTech 68")</f>
        <v>microTech 68</v>
      </c>
      <c r="B743" s="1" t="str">
        <f>IFERROR(__xludf.DUMMYFUNCTION("""COMPUTED_VALUE"""),"microTech 82")</f>
        <v>microTech 82</v>
      </c>
      <c r="C743" s="1" t="str">
        <f>IFERROR(__xludf.DUMMYFUNCTION("""COMPUTED_VALUE"""),"microTech 95")</f>
        <v>microTech 95</v>
      </c>
      <c r="D743" s="1" t="str">
        <f>IFERROR(__xludf.DUMMYFUNCTION("""COMPUTED_VALUE"""),"Freelancer Wreck 08N-A24")</f>
        <v>Freelancer Wreck 08N-A24</v>
      </c>
      <c r="E743" s="30" t="str">
        <f>IFERROR(__xludf.DUMMYFUNCTION("""COMPUTED_VALUE"""),"Freelancer 08NA24")</f>
        <v>Freelancer 08NA24</v>
      </c>
      <c r="F743" s="10">
        <f>IFERROR(__xludf.DUMMYFUNCTION("""COMPUTED_VALUE"""),-686.687642149452)</f>
        <v>-686.687642149452</v>
      </c>
      <c r="G743" s="10">
        <f>IFERROR(__xludf.DUMMYFUNCTION("""COMPUTED_VALUE"""),-719.066830458095)</f>
        <v>-719.066830458095</v>
      </c>
      <c r="H743" s="10">
        <f>IFERROR(__xludf.DUMMYFUNCTION("""COMPUTED_VALUE"""),111.168182463832)</f>
        <v>111.168182463832</v>
      </c>
      <c r="I743" s="13"/>
      <c r="J743" s="13"/>
      <c r="K743" s="13"/>
      <c r="L743" s="13"/>
      <c r="M743" s="1" t="b">
        <f>IFERROR(__xludf.DUMMYFUNCTION("""COMPUTED_VALUE"""),FALSE)</f>
        <v>0</v>
      </c>
      <c r="N743" s="10">
        <f>IFERROR(__xludf.DUMMYFUNCTION("""COMPUTED_VALUE"""),0)</f>
        <v>0</v>
      </c>
      <c r="O743" s="10">
        <f>IFERROR(__xludf.DUMMYFUNCTION("""COMPUTED_VALUE"""),0)</f>
        <v>0</v>
      </c>
      <c r="P743" s="10"/>
      <c r="Q743" s="30"/>
      <c r="R743" s="18"/>
      <c r="S743" s="19"/>
      <c r="T743" s="10"/>
      <c r="U743" s="10"/>
      <c r="V743" s="10"/>
      <c r="W743" s="10"/>
      <c r="X743" s="19"/>
      <c r="Y743" s="1"/>
      <c r="Z743" s="1"/>
      <c r="AA743" s="1"/>
    </row>
    <row r="744" customHeight="1" spans="1:27">
      <c r="A744" s="1" t="str">
        <f>IFERROR(__xludf.DUMMYFUNCTION("""COMPUTED_VALUE"""),"microTech 69")</f>
        <v>microTech 69</v>
      </c>
      <c r="B744" s="1" t="str">
        <f>IFERROR(__xludf.DUMMYFUNCTION("""COMPUTED_VALUE"""),"microTech 83")</f>
        <v>microTech 83</v>
      </c>
      <c r="C744" s="1" t="str">
        <f>IFERROR(__xludf.DUMMYFUNCTION("""COMPUTED_VALUE"""),"microTech 94")</f>
        <v>microTech 94</v>
      </c>
      <c r="D744" s="1" t="str">
        <f>IFERROR(__xludf.DUMMYFUNCTION("""COMPUTED_VALUE"""),"Freelancer Wreck 08N-D43")</f>
        <v>Freelancer Wreck 08N-D43</v>
      </c>
      <c r="E744" s="30" t="str">
        <f>IFERROR(__xludf.DUMMYFUNCTION("""COMPUTED_VALUE"""),"Freelancer 08ND43")</f>
        <v>Freelancer 08ND43</v>
      </c>
      <c r="F744" s="10">
        <f>IFERROR(__xludf.DUMMYFUNCTION("""COMPUTED_VALUE"""),-683.47693031583)</f>
        <v>-683.47693031583</v>
      </c>
      <c r="G744" s="10">
        <f>IFERROR(__xludf.DUMMYFUNCTION("""COMPUTED_VALUE"""),-719.404561508934)</f>
        <v>-719.404561508934</v>
      </c>
      <c r="H744" s="10">
        <f>IFERROR(__xludf.DUMMYFUNCTION("""COMPUTED_VALUE"""),134.431148172863)</f>
        <v>134.431148172863</v>
      </c>
      <c r="I744" s="13"/>
      <c r="J744" s="13"/>
      <c r="K744" s="13"/>
      <c r="L744" s="13"/>
      <c r="M744" s="1" t="b">
        <f>IFERROR(__xludf.DUMMYFUNCTION("""COMPUTED_VALUE"""),FALSE)</f>
        <v>0</v>
      </c>
      <c r="N744" s="10">
        <f>IFERROR(__xludf.DUMMYFUNCTION("""COMPUTED_VALUE"""),0)</f>
        <v>0</v>
      </c>
      <c r="O744" s="10">
        <f>IFERROR(__xludf.DUMMYFUNCTION("""COMPUTED_VALUE"""),0)</f>
        <v>0</v>
      </c>
      <c r="P744" s="10"/>
      <c r="Q744" s="30"/>
      <c r="R744" s="18"/>
      <c r="S744" s="19"/>
      <c r="T744" s="10"/>
      <c r="U744" s="10"/>
      <c r="V744" s="10"/>
      <c r="W744" s="10"/>
      <c r="X744" s="19"/>
      <c r="Y744" s="1"/>
      <c r="Z744" s="1"/>
      <c r="AA744" s="1"/>
    </row>
    <row r="745" customHeight="1" spans="1:27">
      <c r="A745" s="1" t="str">
        <f>IFERROR(__xludf.DUMMYFUNCTION("""COMPUTED_VALUE"""),"microTech 70")</f>
        <v>microTech 70</v>
      </c>
      <c r="B745" s="1" t="str">
        <f>IFERROR(__xludf.DUMMYFUNCTION("""COMPUTED_VALUE"""),"microTech 84")</f>
        <v>microTech 84</v>
      </c>
      <c r="C745" s="1" t="str">
        <f>IFERROR(__xludf.DUMMYFUNCTION("""COMPUTED_VALUE"""),"microTech 28")</f>
        <v>microTech 28</v>
      </c>
      <c r="D745" s="1" t="str">
        <f>IFERROR(__xludf.DUMMYFUNCTION("""COMPUTED_VALUE"""),"Starfarer Wreck 52M")</f>
        <v>Starfarer Wreck 52M</v>
      </c>
      <c r="E745" s="30" t="str">
        <f>IFERROR(__xludf.DUMMYFUNCTION("""COMPUTED_VALUE"""),"Starfarer 52M")</f>
        <v>Starfarer 52M</v>
      </c>
      <c r="F745" s="10">
        <f>IFERROR(__xludf.DUMMYFUNCTION("""COMPUTED_VALUE"""),-588.08975842639)</f>
        <v>-588.08975842639</v>
      </c>
      <c r="G745" s="10">
        <f>IFERROR(__xludf.DUMMYFUNCTION("""COMPUTED_VALUE"""),805.331386539117)</f>
        <v>805.331386539117</v>
      </c>
      <c r="H745" s="10">
        <f>IFERROR(__xludf.DUMMYFUNCTION("""COMPUTED_VALUE"""),-78.362321435307)</f>
        <v>-78.362321435307</v>
      </c>
      <c r="I745" s="13"/>
      <c r="J745" s="13"/>
      <c r="K745" s="13"/>
      <c r="L745" s="13"/>
      <c r="M745" s="1" t="b">
        <f>IFERROR(__xludf.DUMMYFUNCTION("""COMPUTED_VALUE"""),FALSE)</f>
        <v>0</v>
      </c>
      <c r="N745" s="10">
        <f>IFERROR(__xludf.DUMMYFUNCTION("""COMPUTED_VALUE"""),0)</f>
        <v>0</v>
      </c>
      <c r="O745" s="10">
        <f>IFERROR(__xludf.DUMMYFUNCTION("""COMPUTED_VALUE"""),0)</f>
        <v>0</v>
      </c>
      <c r="P745" s="10"/>
      <c r="Q745" s="30"/>
      <c r="R745" s="18"/>
      <c r="S745" s="19"/>
      <c r="T745" s="10"/>
      <c r="U745" s="10"/>
      <c r="V745" s="10"/>
      <c r="W745" s="10"/>
      <c r="X745" s="19"/>
      <c r="Y745" s="1"/>
      <c r="Z745" s="1"/>
      <c r="AA745" s="1"/>
    </row>
    <row r="746" customHeight="1" spans="1:27">
      <c r="A746" s="1" t="str">
        <f>IFERROR(__xludf.DUMMYFUNCTION("""COMPUTED_VALUE"""),"microTech 71")</f>
        <v>microTech 71</v>
      </c>
      <c r="B746" s="1" t="str">
        <f>IFERROR(__xludf.DUMMYFUNCTION("""COMPUTED_VALUE"""),"microTech 85")</f>
        <v>microTech 85</v>
      </c>
      <c r="C746" s="1" t="str">
        <f>IFERROR(__xludf.DUMMYFUNCTION("""COMPUTED_VALUE"""),"microTech 27")</f>
        <v>microTech 27</v>
      </c>
      <c r="D746" s="1" t="str">
        <f>IFERROR(__xludf.DUMMYFUNCTION("""COMPUTED_VALUE"""),"Starfarer Wreck 52P")</f>
        <v>Starfarer Wreck 52P</v>
      </c>
      <c r="E746" s="30" t="str">
        <f>IFERROR(__xludf.DUMMYFUNCTION("""COMPUTED_VALUE"""),"Starfarer 52P")</f>
        <v>Starfarer 52P</v>
      </c>
      <c r="F746" s="10">
        <f>IFERROR(__xludf.DUMMYFUNCTION("""COMPUTED_VALUE"""),-637.938300534408)</f>
        <v>-637.938300534408</v>
      </c>
      <c r="G746" s="10">
        <f>IFERROR(__xludf.DUMMYFUNCTION("""COMPUTED_VALUE"""),747.781923474108)</f>
        <v>747.781923474108</v>
      </c>
      <c r="H746" s="10">
        <f>IFERROR(__xludf.DUMMYFUNCTION("""COMPUTED_VALUE"""),185.557559019559)</f>
        <v>185.557559019559</v>
      </c>
      <c r="I746" s="13"/>
      <c r="J746" s="13"/>
      <c r="K746" s="13"/>
      <c r="L746" s="13"/>
      <c r="M746" s="1" t="b">
        <f>IFERROR(__xludf.DUMMYFUNCTION("""COMPUTED_VALUE"""),FALSE)</f>
        <v>0</v>
      </c>
      <c r="N746" s="10">
        <f>IFERROR(__xludf.DUMMYFUNCTION("""COMPUTED_VALUE"""),0)</f>
        <v>0</v>
      </c>
      <c r="O746" s="10">
        <f>IFERROR(__xludf.DUMMYFUNCTION("""COMPUTED_VALUE"""),0)</f>
        <v>0</v>
      </c>
      <c r="P746" s="10"/>
      <c r="Q746" s="30"/>
      <c r="R746" s="18"/>
      <c r="S746" s="19"/>
      <c r="T746" s="10"/>
      <c r="U746" s="10"/>
      <c r="V746" s="10"/>
      <c r="W746" s="10"/>
      <c r="X746" s="19"/>
      <c r="Y746" s="1"/>
      <c r="Z746" s="1"/>
      <c r="AA746" s="1"/>
    </row>
    <row r="747" customHeight="1" spans="1:27">
      <c r="A747" s="1" t="str">
        <f>IFERROR(__xludf.DUMMYFUNCTION("""COMPUTED_VALUE"""),"microTech 72")</f>
        <v>microTech 72</v>
      </c>
      <c r="B747" s="1" t="str">
        <f>IFERROR(__xludf.DUMMYFUNCTION("""COMPUTED_VALUE"""),"microTech 86")</f>
        <v>microTech 86</v>
      </c>
      <c r="C747" s="1" t="str">
        <f>IFERROR(__xludf.DUMMYFUNCTION("""COMPUTED_VALUE"""),"microTech 12")</f>
        <v>microTech 12</v>
      </c>
      <c r="D747" s="1" t="str">
        <f>IFERROR(__xludf.DUMMYFUNCTION("""COMPUTED_VALUE"""),"Starfarer Wreck 53W")</f>
        <v>Starfarer Wreck 53W</v>
      </c>
      <c r="E747" s="30" t="str">
        <f>IFERROR(__xludf.DUMMYFUNCTION("""COMPUTED_VALUE"""),"Starfarer 53W")</f>
        <v>Starfarer 53W</v>
      </c>
      <c r="F747" s="10">
        <f>IFERROR(__xludf.DUMMYFUNCTION("""COMPUTED_VALUE"""),-226.007572205983)</f>
        <v>-226.007572205983</v>
      </c>
      <c r="G747" s="10">
        <f>IFERROR(__xludf.DUMMYFUNCTION("""COMPUTED_VALUE"""),212.796556926972)</f>
        <v>212.796556926972</v>
      </c>
      <c r="H747" s="10">
        <f>IFERROR(__xludf.DUMMYFUNCTION("""COMPUTED_VALUE"""),950.747037600446)</f>
        <v>950.747037600446</v>
      </c>
      <c r="I747" s="13"/>
      <c r="J747" s="13"/>
      <c r="K747" s="13"/>
      <c r="L747" s="13"/>
      <c r="M747" s="1" t="b">
        <f>IFERROR(__xludf.DUMMYFUNCTION("""COMPUTED_VALUE"""),FALSE)</f>
        <v>0</v>
      </c>
      <c r="N747" s="10">
        <f>IFERROR(__xludf.DUMMYFUNCTION("""COMPUTED_VALUE"""),0)</f>
        <v>0</v>
      </c>
      <c r="O747" s="10">
        <f>IFERROR(__xludf.DUMMYFUNCTION("""COMPUTED_VALUE"""),0)</f>
        <v>0</v>
      </c>
      <c r="P747" s="10"/>
      <c r="Q747" s="30"/>
      <c r="R747" s="18"/>
      <c r="S747" s="19"/>
      <c r="T747" s="10"/>
      <c r="U747" s="10"/>
      <c r="V747" s="10"/>
      <c r="W747" s="10"/>
      <c r="X747" s="19"/>
      <c r="Y747" s="1"/>
      <c r="Z747" s="1"/>
      <c r="AA747" s="1"/>
    </row>
    <row r="748" customHeight="1" spans="1:27">
      <c r="A748" s="1" t="str">
        <f>IFERROR(__xludf.DUMMYFUNCTION("""COMPUTED_VALUE"""),"microTech 73")</f>
        <v>microTech 73</v>
      </c>
      <c r="B748" s="1" t="str">
        <f>IFERROR(__xludf.DUMMYFUNCTION("""COMPUTED_VALUE"""),"microTech 87")</f>
        <v>microTech 87</v>
      </c>
      <c r="C748" s="1" t="str">
        <f>IFERROR(__xludf.DUMMYFUNCTION("""COMPUTED_VALUE"""),"microTech 40")</f>
        <v>microTech 40</v>
      </c>
      <c r="D748" s="1" t="str">
        <f>IFERROR(__xludf.DUMMYFUNCTION("""COMPUTED_VALUE"""),"Starfarer Wreck ZBG")</f>
        <v>Starfarer Wreck ZBG</v>
      </c>
      <c r="E748" s="30" t="str">
        <f>IFERROR(__xludf.DUMMYFUNCTION("""COMPUTED_VALUE"""),"Starfarer ZBG")</f>
        <v>Starfarer ZBG</v>
      </c>
      <c r="F748" s="10">
        <f>IFERROR(__xludf.DUMMYFUNCTION("""COMPUTED_VALUE"""),9.472077956748)</f>
        <v>9.472077956748</v>
      </c>
      <c r="G748" s="10">
        <f>IFERROR(__xludf.DUMMYFUNCTION("""COMPUTED_VALUE"""),103.799998156201)</f>
        <v>103.799998156201</v>
      </c>
      <c r="H748" s="10">
        <f>IFERROR(__xludf.DUMMYFUNCTION("""COMPUTED_VALUE"""),995.340544819772)</f>
        <v>995.340544819772</v>
      </c>
      <c r="I748" s="13"/>
      <c r="J748" s="13"/>
      <c r="K748" s="13"/>
      <c r="L748" s="13"/>
      <c r="M748" s="1" t="b">
        <f>IFERROR(__xludf.DUMMYFUNCTION("""COMPUTED_VALUE"""),FALSE)</f>
        <v>0</v>
      </c>
      <c r="N748" s="10">
        <f>IFERROR(__xludf.DUMMYFUNCTION("""COMPUTED_VALUE"""),0)</f>
        <v>0</v>
      </c>
      <c r="O748" s="10">
        <f>IFERROR(__xludf.DUMMYFUNCTION("""COMPUTED_VALUE"""),0)</f>
        <v>0</v>
      </c>
      <c r="P748" s="10"/>
      <c r="Q748" s="30"/>
      <c r="R748" s="18"/>
      <c r="S748" s="19"/>
      <c r="T748" s="10"/>
      <c r="U748" s="10"/>
      <c r="V748" s="10"/>
      <c r="W748" s="10"/>
      <c r="X748" s="19"/>
      <c r="Y748" s="1"/>
      <c r="Z748" s="1"/>
      <c r="AA748" s="1"/>
    </row>
    <row r="749" customHeight="1" spans="1:27">
      <c r="A749" s="1" t="str">
        <f>IFERROR(__xludf.DUMMYFUNCTION("""COMPUTED_VALUE"""),"microTech")</f>
        <v>microTech</v>
      </c>
      <c r="B749" s="1" t="str">
        <f>IFERROR(__xludf.DUMMYFUNCTION("""COMPUTED_VALUE"""),"microTech 89")</f>
        <v>microTech 89</v>
      </c>
      <c r="C749" s="1"/>
      <c r="D749" s="1" t="str">
        <f>IFERROR(__xludf.DUMMYFUNCTION("""COMPUTED_VALUE"""),"Comm Array")</f>
        <v>Comm Array</v>
      </c>
      <c r="E749" s="30"/>
      <c r="F749" s="10"/>
      <c r="G749" s="10"/>
      <c r="H749" s="10"/>
      <c r="I749" s="13"/>
      <c r="J749" s="13"/>
      <c r="K749" s="13"/>
      <c r="L749" s="13"/>
      <c r="M749" s="1"/>
      <c r="N749" s="10"/>
      <c r="O749" s="10"/>
      <c r="P749" s="10"/>
      <c r="Q749" s="30"/>
      <c r="R749" s="18"/>
      <c r="S749" s="19"/>
      <c r="T749" s="10"/>
      <c r="U749" s="10"/>
      <c r="V749" s="10"/>
      <c r="W749" s="10"/>
      <c r="X749" s="19"/>
      <c r="Y749" s="1"/>
      <c r="Z749" s="1"/>
      <c r="AA749" s="1"/>
    </row>
    <row r="750" customHeight="1" spans="1:27">
      <c r="A750" s="1" t="str">
        <f>IFERROR(__xludf.DUMMYFUNCTION("""COMPUTED_VALUE"""),"microTech 27")</f>
        <v>microTech 27</v>
      </c>
      <c r="B750" s="1" t="str">
        <f>IFERROR(__xludf.DUMMYFUNCTION("""COMPUTED_VALUE"""),"microTech 90")</f>
        <v>microTech 90</v>
      </c>
      <c r="C750" s="1" t="str">
        <f>IFERROR(__xludf.DUMMYFUNCTION("""COMPUTED_VALUE"""),"microTech 44")</f>
        <v>microTech 44</v>
      </c>
      <c r="D750" s="1" t="str">
        <f>IFERROR(__xludf.DUMMYFUNCTION("""COMPUTED_VALUE"""),"Comm Array ST4-22")</f>
        <v>Comm Array ST4-22</v>
      </c>
      <c r="E750" s="30" t="str">
        <f>IFERROR(__xludf.DUMMYFUNCTION("""COMPUTED_VALUE"""),"ST4-22")</f>
        <v>ST4-22</v>
      </c>
      <c r="F750" s="10">
        <f>IFERROR(__xludf.DUMMYFUNCTION("""COMPUTED_VALUE"""),1395.18702770233)</f>
        <v>1395.18702770233</v>
      </c>
      <c r="G750" s="10">
        <f>IFERROR(__xludf.DUMMYFUNCTION("""COMPUTED_VALUE"""),1967.74453779602)</f>
        <v>1967.74453779602</v>
      </c>
      <c r="H750" s="10">
        <f>IFERROR(__xludf.DUMMYFUNCTION("""COMPUTED_VALUE"""),24)</f>
        <v>24</v>
      </c>
      <c r="I750" s="13"/>
      <c r="J750" s="13"/>
      <c r="K750" s="13"/>
      <c r="L750" s="13"/>
      <c r="M750" s="1" t="b">
        <f>IFERROR(__xludf.DUMMYFUNCTION("""COMPUTED_VALUE"""),TRUE)</f>
        <v>1</v>
      </c>
      <c r="N750" s="10">
        <f>IFERROR(__xludf.DUMMYFUNCTION("""COMPUTED_VALUE"""),0)</f>
        <v>0</v>
      </c>
      <c r="O750" s="10">
        <f>IFERROR(__xludf.DUMMYFUNCTION("""COMPUTED_VALUE"""),0)</f>
        <v>0</v>
      </c>
      <c r="P750" s="10"/>
      <c r="Q750" s="30"/>
      <c r="R750" s="18"/>
      <c r="S750" s="19"/>
      <c r="T750" s="10"/>
      <c r="U750" s="10"/>
      <c r="V750" s="10"/>
      <c r="W750" s="10"/>
      <c r="X750" s="19"/>
      <c r="Y750" s="1"/>
      <c r="Z750" s="1"/>
      <c r="AA750" s="1"/>
    </row>
    <row r="751" customHeight="1" spans="1:27">
      <c r="A751" s="1" t="str">
        <f>IFERROR(__xludf.DUMMYFUNCTION("""COMPUTED_VALUE"""),"microTech")</f>
        <v>microTech</v>
      </c>
      <c r="B751" s="1" t="str">
        <f>IFERROR(__xludf.DUMMYFUNCTION("""COMPUTED_VALUE"""),"microTech 92")</f>
        <v>microTech 92</v>
      </c>
      <c r="C751" s="1"/>
      <c r="D751" s="1" t="str">
        <f>IFERROR(__xludf.DUMMYFUNCTION("""COMPUTED_VALUE"""),"Rivers")</f>
        <v>Rivers</v>
      </c>
      <c r="E751" s="30"/>
      <c r="F751" s="10"/>
      <c r="G751" s="10"/>
      <c r="H751" s="10"/>
      <c r="I751" s="13"/>
      <c r="J751" s="13"/>
      <c r="K751" s="13"/>
      <c r="L751" s="13"/>
      <c r="M751" s="1"/>
      <c r="N751" s="10"/>
      <c r="O751" s="10"/>
      <c r="P751" s="10"/>
      <c r="Q751" s="30"/>
      <c r="R751" s="18"/>
      <c r="S751" s="19"/>
      <c r="T751" s="10"/>
      <c r="U751" s="10"/>
      <c r="V751" s="10"/>
      <c r="W751" s="10"/>
      <c r="X751" s="19"/>
      <c r="Y751" s="1"/>
      <c r="Z751" s="1"/>
      <c r="AA751" s="1"/>
    </row>
    <row r="752" customHeight="1" spans="1:27">
      <c r="A752" s="1" t="str">
        <f>IFERROR(__xludf.DUMMYFUNCTION("""COMPUTED_VALUE"""),"microTech 74")</f>
        <v>microTech 74</v>
      </c>
      <c r="B752" s="1" t="str">
        <f>IFERROR(__xludf.DUMMYFUNCTION("""COMPUTED_VALUE"""),"microTech 93")</f>
        <v>microTech 93</v>
      </c>
      <c r="C752" s="1" t="str">
        <f>IFERROR(__xludf.DUMMYFUNCTION("""COMPUTED_VALUE"""),"microTech 60")</f>
        <v>microTech 60</v>
      </c>
      <c r="D752" s="1" t="str">
        <f>IFERROR(__xludf.DUMMYFUNCTION("""COMPUTED_VALUE"""),"River 35R")</f>
        <v>River 35R</v>
      </c>
      <c r="E752" s="30" t="str">
        <f>IFERROR(__xludf.DUMMYFUNCTION("""COMPUTED_VALUE"""),"River 35R")</f>
        <v>River 35R</v>
      </c>
      <c r="F752" s="10">
        <f>IFERROR(__xludf.DUMMYFUNCTION("""COMPUTED_VALUE"""),806.12952788544)</f>
        <v>806.12952788544</v>
      </c>
      <c r="G752" s="10">
        <f>IFERROR(__xludf.DUMMYFUNCTION("""COMPUTED_VALUE"""),424.64153803191)</f>
        <v>424.64153803191</v>
      </c>
      <c r="H752" s="10">
        <f>IFERROR(__xludf.DUMMYFUNCTION("""COMPUTED_VALUE"""),414.60756717617)</f>
        <v>414.60756717617</v>
      </c>
      <c r="I752" s="13"/>
      <c r="J752" s="13"/>
      <c r="K752" s="13"/>
      <c r="L752" s="13"/>
      <c r="M752" s="1" t="b">
        <f>IFERROR(__xludf.DUMMYFUNCTION("""COMPUTED_VALUE"""),FALSE)</f>
        <v>0</v>
      </c>
      <c r="N752" s="10"/>
      <c r="O752" s="10"/>
      <c r="P752" s="10"/>
      <c r="Q752" s="30"/>
      <c r="R752" s="18"/>
      <c r="S752" s="19"/>
      <c r="T752" s="10"/>
      <c r="U752" s="10"/>
      <c r="V752" s="10"/>
      <c r="W752" s="10"/>
      <c r="X752" s="19"/>
      <c r="Y752" s="1"/>
      <c r="Z752" s="1"/>
      <c r="AA752" s="1"/>
    </row>
    <row r="753" customHeight="1" spans="1:27">
      <c r="A753" s="1" t="str">
        <f>IFERROR(__xludf.DUMMYFUNCTION("""COMPUTED_VALUE"""),"microTech 75")</f>
        <v>microTech 75</v>
      </c>
      <c r="B753" s="1" t="str">
        <f>IFERROR(__xludf.DUMMYFUNCTION("""COMPUTED_VALUE"""),"microTech 94")</f>
        <v>microTech 94</v>
      </c>
      <c r="C753" s="1" t="str">
        <f>IFERROR(__xludf.DUMMYFUNCTION("""COMPUTED_VALUE"""),"microTech 26")</f>
        <v>microTech 26</v>
      </c>
      <c r="D753" s="1" t="str">
        <f>IFERROR(__xludf.DUMMYFUNCTION("""COMPUTED_VALUE"""),"River 52M")</f>
        <v>River 52M</v>
      </c>
      <c r="E753" s="30" t="str">
        <f>IFERROR(__xludf.DUMMYFUNCTION("""COMPUTED_VALUE"""),"River 52M")</f>
        <v>River 52M</v>
      </c>
      <c r="F753" s="10">
        <f>IFERROR(__xludf.DUMMYFUNCTION("""COMPUTED_VALUE"""),-653.17005538579)</f>
        <v>-653.17005538579</v>
      </c>
      <c r="G753" s="10">
        <f>IFERROR(__xludf.DUMMYFUNCTION("""COMPUTED_VALUE"""),758.01399892978)</f>
        <v>758.01399892978</v>
      </c>
      <c r="H753" s="10">
        <f>IFERROR(__xludf.DUMMYFUNCTION("""COMPUTED_VALUE"""),-1.19610378766)</f>
        <v>-1.19610378766</v>
      </c>
      <c r="I753" s="13"/>
      <c r="J753" s="13"/>
      <c r="K753" s="13"/>
      <c r="L753" s="13"/>
      <c r="M753" s="1" t="b">
        <f>IFERROR(__xludf.DUMMYFUNCTION("""COMPUTED_VALUE"""),FALSE)</f>
        <v>0</v>
      </c>
      <c r="N753" s="10"/>
      <c r="O753" s="10"/>
      <c r="P753" s="10"/>
      <c r="Q753" s="30"/>
      <c r="R753" s="18"/>
      <c r="S753" s="19"/>
      <c r="T753" s="10"/>
      <c r="U753" s="10"/>
      <c r="V753" s="10"/>
      <c r="W753" s="10"/>
      <c r="X753" s="19"/>
      <c r="Y753" s="1"/>
      <c r="Z753" s="1"/>
      <c r="AA753" s="1"/>
    </row>
    <row r="754" customHeight="1" spans="1:27">
      <c r="A754" s="1" t="str">
        <f>IFERROR(__xludf.DUMMYFUNCTION("""COMPUTED_VALUE"""),"microTech 90")</f>
        <v>microTech 90</v>
      </c>
      <c r="B754" s="1" t="str">
        <f>IFERROR(__xludf.DUMMYFUNCTION("""COMPUTED_VALUE"""),"microTech 109")</f>
        <v>microTech 109</v>
      </c>
      <c r="C754" s="1" t="str">
        <f>IFERROR(__xludf.DUMMYFUNCTION("""COMPUTED_VALUE"""),"microTech 04")</f>
        <v>microTech 04</v>
      </c>
      <c r="D754" s="1" t="str">
        <f>IFERROR(__xludf.DUMMYFUNCTION("""COMPUTED_VALUE"""),"River 54N-647")</f>
        <v>River 54N-647</v>
      </c>
      <c r="E754" s="30" t="str">
        <f>IFERROR(__xludf.DUMMYFUNCTION("""COMPUTED_VALUE"""),"River 54N647")</f>
        <v>River 54N647</v>
      </c>
      <c r="F754" s="10">
        <f>IFERROR(__xludf.DUMMYFUNCTION("""COMPUTED_VALUE"""),-803.65533737428)</f>
        <v>-803.65533737428</v>
      </c>
      <c r="G754" s="10">
        <f>IFERROR(__xludf.DUMMYFUNCTION("""COMPUTED_VALUE"""),596.95426384438)</f>
        <v>596.95426384438</v>
      </c>
      <c r="H754" s="10">
        <f>IFERROR(__xludf.DUMMYFUNCTION("""COMPUTED_VALUE"""),6.09849944024)</f>
        <v>6.09849944024</v>
      </c>
      <c r="I754" s="13"/>
      <c r="J754" s="13"/>
      <c r="K754" s="13"/>
      <c r="L754" s="13"/>
      <c r="M754" s="1" t="b">
        <f>IFERROR(__xludf.DUMMYFUNCTION("""COMPUTED_VALUE"""),FALSE)</f>
        <v>0</v>
      </c>
      <c r="N754" s="10"/>
      <c r="O754" s="10"/>
      <c r="P754" s="10"/>
      <c r="Q754" s="30"/>
      <c r="R754" s="18"/>
      <c r="S754" s="19"/>
      <c r="T754" s="10"/>
      <c r="U754" s="10"/>
      <c r="V754" s="10"/>
      <c r="W754" s="10"/>
      <c r="X754" s="19"/>
      <c r="Y754" s="1"/>
      <c r="Z754" s="1"/>
      <c r="AA754" s="1"/>
    </row>
    <row r="755" customHeight="1" spans="1:27">
      <c r="A755" s="1" t="str">
        <f>IFERROR(__xludf.DUMMYFUNCTION("""COMPUTED_VALUE"""),"microTech 86")</f>
        <v>microTech 86</v>
      </c>
      <c r="B755" s="1" t="str">
        <f>IFERROR(__xludf.DUMMYFUNCTION("""COMPUTED_VALUE"""),"microTech 105")</f>
        <v>microTech 105</v>
      </c>
      <c r="C755" s="1" t="str">
        <f>IFERROR(__xludf.DUMMYFUNCTION("""COMPUTED_VALUE"""),"microTech 05")</f>
        <v>microTech 05</v>
      </c>
      <c r="D755" s="1" t="str">
        <f>IFERROR(__xludf.DUMMYFUNCTION("""COMPUTED_VALUE"""),"River 54M")</f>
        <v>River 54M</v>
      </c>
      <c r="E755" s="30" t="str">
        <f>IFERROR(__xludf.DUMMYFUNCTION("""COMPUTED_VALUE"""),"River 54M")</f>
        <v>River 54M</v>
      </c>
      <c r="F755" s="10">
        <f>IFERROR(__xludf.DUMMYFUNCTION("""COMPUTED_VALUE"""),-801.08808977709)</f>
        <v>-801.08808977709</v>
      </c>
      <c r="G755" s="10">
        <f>IFERROR(__xludf.DUMMYFUNCTION("""COMPUTED_VALUE"""),601.46299101323)</f>
        <v>601.46299101323</v>
      </c>
      <c r="H755" s="10">
        <f>IFERROR(__xludf.DUMMYFUNCTION("""COMPUTED_VALUE"""),-5.71770008787)</f>
        <v>-5.71770008787</v>
      </c>
      <c r="I755" s="13"/>
      <c r="J755" s="13"/>
      <c r="K755" s="13"/>
      <c r="L755" s="13"/>
      <c r="M755" s="1" t="b">
        <f>IFERROR(__xludf.DUMMYFUNCTION("""COMPUTED_VALUE"""),FALSE)</f>
        <v>0</v>
      </c>
      <c r="N755" s="10"/>
      <c r="O755" s="10"/>
      <c r="P755" s="10"/>
      <c r="Q755" s="30"/>
      <c r="R755" s="18"/>
      <c r="S755" s="19"/>
      <c r="T755" s="10"/>
      <c r="U755" s="10"/>
      <c r="V755" s="10"/>
      <c r="W755" s="10"/>
      <c r="X755" s="19"/>
      <c r="Y755" s="1"/>
      <c r="Z755" s="1"/>
      <c r="AA755" s="1"/>
    </row>
    <row r="756" customHeight="1" spans="1:27">
      <c r="A756" s="1" t="str">
        <f>IFERROR(__xludf.DUMMYFUNCTION("""COMPUTED_VALUE"""),"microTech 82")</f>
        <v>microTech 82</v>
      </c>
      <c r="B756" s="1" t="str">
        <f>IFERROR(__xludf.DUMMYFUNCTION("""COMPUTED_VALUE"""),"microTech 101")</f>
        <v>microTech 101</v>
      </c>
      <c r="C756" s="1" t="str">
        <f>IFERROR(__xludf.DUMMYFUNCTION("""COMPUTED_VALUE"""),"microTech 09")</f>
        <v>microTech 09</v>
      </c>
      <c r="D756" s="1" t="str">
        <f>IFERROR(__xludf.DUMMYFUNCTION("""COMPUTED_VALUE"""),"River 53N-636")</f>
        <v>River 53N-636</v>
      </c>
      <c r="E756" s="30" t="str">
        <f>IFERROR(__xludf.DUMMYFUNCTION("""COMPUTED_VALUE"""),"River 53N636")</f>
        <v>River 53N636</v>
      </c>
      <c r="F756" s="10">
        <f>IFERROR(__xludf.DUMMYFUNCTION("""COMPUTED_VALUE"""),-740.63392725701)</f>
        <v>-740.63392725701</v>
      </c>
      <c r="G756" s="10">
        <f>IFERROR(__xludf.DUMMYFUNCTION("""COMPUTED_VALUE"""),673.33522484449)</f>
        <v>673.33522484449</v>
      </c>
      <c r="H756" s="10">
        <f>IFERROR(__xludf.DUMMYFUNCTION("""COMPUTED_VALUE"""),8.85046959811)</f>
        <v>8.85046959811</v>
      </c>
      <c r="I756" s="13"/>
      <c r="J756" s="13"/>
      <c r="K756" s="13"/>
      <c r="L756" s="13"/>
      <c r="M756" s="1" t="b">
        <f>IFERROR(__xludf.DUMMYFUNCTION("""COMPUTED_VALUE"""),FALSE)</f>
        <v>0</v>
      </c>
      <c r="N756" s="10"/>
      <c r="O756" s="10"/>
      <c r="P756" s="10"/>
      <c r="Q756" s="30"/>
      <c r="R756" s="18"/>
      <c r="S756" s="19"/>
      <c r="T756" s="10"/>
      <c r="U756" s="10"/>
      <c r="V756" s="10"/>
      <c r="W756" s="10"/>
      <c r="X756" s="19"/>
      <c r="Y756" s="1"/>
      <c r="Z756" s="1"/>
      <c r="AA756" s="1"/>
    </row>
    <row r="757" customHeight="1" spans="1:27">
      <c r="A757" s="1" t="str">
        <f>IFERROR(__xludf.DUMMYFUNCTION("""COMPUTED_VALUE"""),"microTech 81")</f>
        <v>microTech 81</v>
      </c>
      <c r="B757" s="1" t="str">
        <f>IFERROR(__xludf.DUMMYFUNCTION("""COMPUTED_VALUE"""),"microTech 100")</f>
        <v>microTech 100</v>
      </c>
      <c r="C757" s="1" t="str">
        <f>IFERROR(__xludf.DUMMYFUNCTION("""COMPUTED_VALUE"""),"microTech 10")</f>
        <v>microTech 10</v>
      </c>
      <c r="D757" s="1" t="str">
        <f>IFERROR(__xludf.DUMMYFUNCTION("""COMPUTED_VALUE"""),"River 53N-635")</f>
        <v>River 53N-635</v>
      </c>
      <c r="E757" s="30" t="str">
        <f>IFERROR(__xludf.DUMMYFUNCTION("""COMPUTED_VALUE"""),"River 53N635")</f>
        <v>River 53N635</v>
      </c>
      <c r="F757" s="10">
        <f>IFERROR(__xludf.DUMMYFUNCTION("""COMPUTED_VALUE"""),-737.61605488143)</f>
        <v>-737.61605488143</v>
      </c>
      <c r="G757" s="10">
        <f>IFERROR(__xludf.DUMMYFUNCTION("""COMPUTED_VALUE"""),676.62032420707)</f>
        <v>676.62032420707</v>
      </c>
      <c r="H757" s="10">
        <f>IFERROR(__xludf.DUMMYFUNCTION("""COMPUTED_VALUE"""),0.80486141263)</f>
        <v>0.80486141263</v>
      </c>
      <c r="I757" s="13"/>
      <c r="J757" s="13"/>
      <c r="K757" s="13"/>
      <c r="L757" s="13"/>
      <c r="M757" s="1" t="b">
        <f>IFERROR(__xludf.DUMMYFUNCTION("""COMPUTED_VALUE"""),FALSE)</f>
        <v>0</v>
      </c>
      <c r="N757" s="10"/>
      <c r="O757" s="10"/>
      <c r="P757" s="10"/>
      <c r="Q757" s="30"/>
      <c r="R757" s="18"/>
      <c r="S757" s="19"/>
      <c r="T757" s="10"/>
      <c r="U757" s="10"/>
      <c r="V757" s="10"/>
      <c r="W757" s="10"/>
      <c r="X757" s="19"/>
      <c r="Y757" s="1"/>
      <c r="Z757" s="1"/>
      <c r="AA757" s="1"/>
    </row>
    <row r="758" customHeight="1" spans="1:27">
      <c r="A758" s="1" t="str">
        <f>IFERROR(__xludf.DUMMYFUNCTION("""COMPUTED_VALUE"""),"microTech 79")</f>
        <v>microTech 79</v>
      </c>
      <c r="B758" s="1" t="str">
        <f>IFERROR(__xludf.DUMMYFUNCTION("""COMPUTED_VALUE"""),"microTech 98")</f>
        <v>microTech 98</v>
      </c>
      <c r="C758" s="1" t="str">
        <f>IFERROR(__xludf.DUMMYFUNCTION("""COMPUTED_VALUE"""),"microTech 16")</f>
        <v>microTech 16</v>
      </c>
      <c r="D758" s="1" t="str">
        <f>IFERROR(__xludf.DUMMYFUNCTION("""COMPUTED_VALUE"""),"River 53N-630")</f>
        <v>River 53N-630</v>
      </c>
      <c r="E758" s="30" t="str">
        <f>IFERROR(__xludf.DUMMYFUNCTION("""COMPUTED_VALUE"""),"River 53N630")</f>
        <v>River 53N630</v>
      </c>
      <c r="F758" s="10">
        <f>IFERROR(__xludf.DUMMYFUNCTION("""COMPUTED_VALUE"""),-707.00629584817)</f>
        <v>-707.00629584817</v>
      </c>
      <c r="G758" s="10">
        <f>IFERROR(__xludf.DUMMYFUNCTION("""COMPUTED_VALUE"""),708.48388936968)</f>
        <v>708.48388936968</v>
      </c>
      <c r="H758" s="10">
        <f>IFERROR(__xludf.DUMMYFUNCTION("""COMPUTED_VALUE"""),3.99330654078)</f>
        <v>3.99330654078</v>
      </c>
      <c r="I758" s="13"/>
      <c r="J758" s="13"/>
      <c r="K758" s="13"/>
      <c r="L758" s="13"/>
      <c r="M758" s="1" t="b">
        <f>IFERROR(__xludf.DUMMYFUNCTION("""COMPUTED_VALUE"""),FALSE)</f>
        <v>0</v>
      </c>
      <c r="N758" s="10"/>
      <c r="O758" s="10"/>
      <c r="P758" s="10"/>
      <c r="Q758" s="30"/>
      <c r="R758" s="18"/>
      <c r="S758" s="19"/>
      <c r="T758" s="10"/>
      <c r="U758" s="10"/>
      <c r="V758" s="10"/>
      <c r="W758" s="10"/>
      <c r="X758" s="19"/>
      <c r="Y758" s="1"/>
      <c r="Z758" s="1"/>
      <c r="AA758" s="1"/>
    </row>
    <row r="759" customHeight="1" spans="1:27">
      <c r="A759" s="1" t="str">
        <f>IFERROR(__xludf.DUMMYFUNCTION("""COMPUTED_VALUE"""),"microTech 80")</f>
        <v>microTech 80</v>
      </c>
      <c r="B759" s="1" t="str">
        <f>IFERROR(__xludf.DUMMYFUNCTION("""COMPUTED_VALUE"""),"microTech 99")</f>
        <v>microTech 99</v>
      </c>
      <c r="C759" s="1" t="str">
        <f>IFERROR(__xludf.DUMMYFUNCTION("""COMPUTED_VALUE"""),"microTech 13")</f>
        <v>microTech 13</v>
      </c>
      <c r="D759" s="1" t="str">
        <f>IFERROR(__xludf.DUMMYFUNCTION("""COMPUTED_VALUE"""),"River 53N-633")</f>
        <v>River 53N-633</v>
      </c>
      <c r="E759" s="30" t="str">
        <f>IFERROR(__xludf.DUMMYFUNCTION("""COMPUTED_VALUE"""),"River 53N633")</f>
        <v>River 53N633</v>
      </c>
      <c r="F759" s="10">
        <f>IFERROR(__xludf.DUMMYFUNCTION("""COMPUTED_VALUE"""),-724.49010855951)</f>
        <v>-724.49010855951</v>
      </c>
      <c r="G759" s="10">
        <f>IFERROR(__xludf.DUMMYFUNCTION("""COMPUTED_VALUE"""),690.56441334727)</f>
        <v>690.56441334727</v>
      </c>
      <c r="H759" s="10">
        <f>IFERROR(__xludf.DUMMYFUNCTION("""COMPUTED_VALUE"""),11.37279001968)</f>
        <v>11.37279001968</v>
      </c>
      <c r="I759" s="13"/>
      <c r="J759" s="13"/>
      <c r="K759" s="13"/>
      <c r="L759" s="13"/>
      <c r="M759" s="1" t="b">
        <f>IFERROR(__xludf.DUMMYFUNCTION("""COMPUTED_VALUE"""),FALSE)</f>
        <v>0</v>
      </c>
      <c r="N759" s="10"/>
      <c r="O759" s="10"/>
      <c r="P759" s="10"/>
      <c r="Q759" s="30"/>
      <c r="R759" s="18"/>
      <c r="S759" s="19"/>
      <c r="T759" s="10"/>
      <c r="U759" s="10"/>
      <c r="V759" s="10"/>
      <c r="W759" s="10"/>
      <c r="X759" s="19"/>
      <c r="Y759" s="1"/>
      <c r="Z759" s="1"/>
      <c r="AA759" s="1"/>
    </row>
    <row r="760" customHeight="1" spans="1:27">
      <c r="A760" s="1" t="str">
        <f>IFERROR(__xludf.DUMMYFUNCTION("""COMPUTED_VALUE"""),"microTech 83")</f>
        <v>microTech 83</v>
      </c>
      <c r="B760" s="1" t="str">
        <f>IFERROR(__xludf.DUMMYFUNCTION("""COMPUTED_VALUE"""),"microTech 102")</f>
        <v>microTech 102</v>
      </c>
      <c r="C760" s="1" t="str">
        <f>IFERROR(__xludf.DUMMYFUNCTION("""COMPUTED_VALUE"""),"microTech 23")</f>
        <v>microTech 23</v>
      </c>
      <c r="D760" s="1" t="str">
        <f>IFERROR(__xludf.DUMMYFUNCTION("""COMPUTED_VALUE"""),"River 53P-625")</f>
        <v>River 53P-625</v>
      </c>
      <c r="E760" s="30" t="str">
        <f>IFERROR(__xludf.DUMMYFUNCTION("""COMPUTED_VALUE"""),"River 53P625")</f>
        <v>River 53P625</v>
      </c>
      <c r="F760" s="10">
        <f>IFERROR(__xludf.DUMMYFUNCTION("""COMPUTED_VALUE"""),-661.28154028757)</f>
        <v>-661.28154028757</v>
      </c>
      <c r="G760" s="10">
        <f>IFERROR(__xludf.DUMMYFUNCTION("""COMPUTED_VALUE"""),725.22427655367)</f>
        <v>725.22427655367</v>
      </c>
      <c r="H760" s="10">
        <f>IFERROR(__xludf.DUMMYFUNCTION("""COMPUTED_VALUE"""),196.11160539173)</f>
        <v>196.11160539173</v>
      </c>
      <c r="I760" s="13"/>
      <c r="J760" s="13"/>
      <c r="K760" s="13"/>
      <c r="L760" s="13"/>
      <c r="M760" s="1" t="b">
        <f>IFERROR(__xludf.DUMMYFUNCTION("""COMPUTED_VALUE"""),FALSE)</f>
        <v>0</v>
      </c>
      <c r="N760" s="10"/>
      <c r="O760" s="10"/>
      <c r="P760" s="10"/>
      <c r="Q760" s="30"/>
      <c r="R760" s="18"/>
      <c r="S760" s="19"/>
      <c r="T760" s="10"/>
      <c r="U760" s="10"/>
      <c r="V760" s="10"/>
      <c r="W760" s="10"/>
      <c r="X760" s="19"/>
      <c r="Y760" s="1"/>
      <c r="Z760" s="1"/>
      <c r="AA760" s="1"/>
    </row>
    <row r="761" customHeight="1" spans="1:27">
      <c r="A761" s="1" t="str">
        <f>IFERROR(__xludf.DUMMYFUNCTION("""COMPUTED_VALUE"""),"microTech 77")</f>
        <v>microTech 77</v>
      </c>
      <c r="B761" s="1" t="str">
        <f>IFERROR(__xludf.DUMMYFUNCTION("""COMPUTED_VALUE"""),"microTech 96")</f>
        <v>microTech 96</v>
      </c>
      <c r="C761" s="1" t="str">
        <f>IFERROR(__xludf.DUMMYFUNCTION("""COMPUTED_VALUE"""),"microTech 20")</f>
        <v>microTech 20</v>
      </c>
      <c r="D761" s="1" t="str">
        <f>IFERROR(__xludf.DUMMYFUNCTION("""COMPUTED_VALUE"""),"River 53N-627")</f>
        <v>River 53N-627</v>
      </c>
      <c r="E761" s="30" t="str">
        <f>IFERROR(__xludf.DUMMYFUNCTION("""COMPUTED_VALUE"""),"River 53N627")</f>
        <v>River 53N627</v>
      </c>
      <c r="F761" s="10">
        <f>IFERROR(__xludf.DUMMYFUNCTION("""COMPUTED_VALUE"""),-682.27331957135)</f>
        <v>-682.27331957135</v>
      </c>
      <c r="G761" s="10">
        <f>IFERROR(__xludf.DUMMYFUNCTION("""COMPUTED_VALUE"""),731.64156839804)</f>
        <v>731.64156839804</v>
      </c>
      <c r="H761" s="10">
        <f>IFERROR(__xludf.DUMMYFUNCTION("""COMPUTED_VALUE"""),6.84236910808)</f>
        <v>6.84236910808</v>
      </c>
      <c r="I761" s="13"/>
      <c r="J761" s="13"/>
      <c r="K761" s="13"/>
      <c r="L761" s="13"/>
      <c r="M761" s="1" t="b">
        <f>IFERROR(__xludf.DUMMYFUNCTION("""COMPUTED_VALUE"""),FALSE)</f>
        <v>0</v>
      </c>
      <c r="N761" s="10"/>
      <c r="O761" s="10"/>
      <c r="P761" s="10"/>
      <c r="Q761" s="30"/>
      <c r="R761" s="18"/>
      <c r="S761" s="19"/>
      <c r="T761" s="10"/>
      <c r="U761" s="10"/>
      <c r="V761" s="10"/>
      <c r="W761" s="10"/>
      <c r="X761" s="19"/>
      <c r="Y761" s="1"/>
      <c r="Z761" s="1"/>
      <c r="AA761" s="1"/>
    </row>
    <row r="762" customHeight="1" spans="1:27">
      <c r="A762" s="1" t="str">
        <f>IFERROR(__xludf.DUMMYFUNCTION("""COMPUTED_VALUE"""),"microTech 88")</f>
        <v>microTech 88</v>
      </c>
      <c r="B762" s="1" t="str">
        <f>IFERROR(__xludf.DUMMYFUNCTION("""COMPUTED_VALUE"""),"microTech 107")</f>
        <v>microTech 107</v>
      </c>
      <c r="C762" s="1" t="str">
        <f>IFERROR(__xludf.DUMMYFUNCTION("""COMPUTED_VALUE"""),"microTech 07")</f>
        <v>microTech 07</v>
      </c>
      <c r="D762" s="1" t="str">
        <f>IFERROR(__xludf.DUMMYFUNCTION("""COMPUTED_VALUE"""),"River 54N-639")</f>
        <v>River 54N-639</v>
      </c>
      <c r="E762" s="30" t="str">
        <f>IFERROR(__xludf.DUMMYFUNCTION("""COMPUTED_VALUE"""),"River 54N639")</f>
        <v>River 54N639</v>
      </c>
      <c r="F762" s="10">
        <f>IFERROR(__xludf.DUMMYFUNCTION("""COMPUTED_VALUE"""),-758.59063795013)</f>
        <v>-758.59063795013</v>
      </c>
      <c r="G762" s="10">
        <f>IFERROR(__xludf.DUMMYFUNCTION("""COMPUTED_VALUE"""),653.09384087314)</f>
        <v>653.09384087314</v>
      </c>
      <c r="H762" s="10">
        <f>IFERROR(__xludf.DUMMYFUNCTION("""COMPUTED_VALUE"""),16.50549280405)</f>
        <v>16.50549280405</v>
      </c>
      <c r="I762" s="13"/>
      <c r="J762" s="13"/>
      <c r="K762" s="13"/>
      <c r="L762" s="13"/>
      <c r="M762" s="1" t="b">
        <f>IFERROR(__xludf.DUMMYFUNCTION("""COMPUTED_VALUE"""),FALSE)</f>
        <v>0</v>
      </c>
      <c r="N762" s="10"/>
      <c r="O762" s="10"/>
      <c r="P762" s="10"/>
      <c r="Q762" s="30"/>
      <c r="R762" s="18"/>
      <c r="S762" s="19"/>
      <c r="T762" s="10"/>
      <c r="U762" s="10"/>
      <c r="V762" s="10"/>
      <c r="W762" s="10"/>
      <c r="X762" s="19"/>
      <c r="Y762" s="1"/>
      <c r="Z762" s="1"/>
      <c r="AA762" s="1"/>
    </row>
    <row r="763" customHeight="1" spans="1:27">
      <c r="A763" s="1" t="str">
        <f>IFERROR(__xludf.DUMMYFUNCTION("""COMPUTED_VALUE"""),"microTech 78")</f>
        <v>microTech 78</v>
      </c>
      <c r="B763" s="1" t="str">
        <f>IFERROR(__xludf.DUMMYFUNCTION("""COMPUTED_VALUE"""),"microTech 97")</f>
        <v>microTech 97</v>
      </c>
      <c r="C763" s="1" t="str">
        <f>IFERROR(__xludf.DUMMYFUNCTION("""COMPUTED_VALUE"""),"microTech 18")</f>
        <v>microTech 18</v>
      </c>
      <c r="D763" s="1" t="str">
        <f>IFERROR(__xludf.DUMMYFUNCTION("""COMPUTED_VALUE"""),"River 53N-628")</f>
        <v>River 53N-628</v>
      </c>
      <c r="E763" s="30" t="str">
        <f>IFERROR(__xludf.DUMMYFUNCTION("""COMPUTED_VALUE"""),"River 53N628")</f>
        <v>River 53N628</v>
      </c>
      <c r="F763" s="10">
        <f>IFERROR(__xludf.DUMMYFUNCTION("""COMPUTED_VALUE"""),-690.11601783916)</f>
        <v>-690.11601783916</v>
      </c>
      <c r="G763" s="10">
        <f>IFERROR(__xludf.DUMMYFUNCTION("""COMPUTED_VALUE"""),715.07065117631)</f>
        <v>715.07065117631</v>
      </c>
      <c r="H763" s="10">
        <f>IFERROR(__xludf.DUMMYFUNCTION("""COMPUTED_VALUE"""),126.72312525077)</f>
        <v>126.72312525077</v>
      </c>
      <c r="I763" s="13"/>
      <c r="J763" s="13"/>
      <c r="K763" s="13"/>
      <c r="L763" s="13"/>
      <c r="M763" s="1" t="b">
        <f>IFERROR(__xludf.DUMMYFUNCTION("""COMPUTED_VALUE"""),FALSE)</f>
        <v>0</v>
      </c>
      <c r="N763" s="10"/>
      <c r="O763" s="10"/>
      <c r="P763" s="10"/>
      <c r="Q763" s="30"/>
      <c r="R763" s="18"/>
      <c r="S763" s="19"/>
      <c r="T763" s="10"/>
      <c r="U763" s="10"/>
      <c r="V763" s="10"/>
      <c r="W763" s="10"/>
      <c r="X763" s="19"/>
      <c r="Y763" s="1"/>
      <c r="Z763" s="1"/>
      <c r="AA763" s="1"/>
    </row>
    <row r="764" customHeight="1" spans="1:27">
      <c r="A764" s="1" t="str">
        <f>IFERROR(__xludf.DUMMYFUNCTION("""COMPUTED_VALUE"""),"microTech 91")</f>
        <v>microTech 91</v>
      </c>
      <c r="B764" s="1" t="str">
        <f>IFERROR(__xludf.DUMMYFUNCTION("""COMPUTED_VALUE"""),"microTech 110")</f>
        <v>microTech 110</v>
      </c>
      <c r="C764" s="1" t="str">
        <f>IFERROR(__xludf.DUMMYFUNCTION("""COMPUTED_VALUE"""),"microTech 02")</f>
        <v>microTech 02</v>
      </c>
      <c r="D764" s="1" t="str">
        <f>IFERROR(__xludf.DUMMYFUNCTION("""COMPUTED_VALUE"""),"River 55N")</f>
        <v>River 55N</v>
      </c>
      <c r="E764" s="30" t="str">
        <f>IFERROR(__xludf.DUMMYFUNCTION("""COMPUTED_VALUE"""),"River 55N")</f>
        <v>River 55N</v>
      </c>
      <c r="F764" s="10">
        <f>IFERROR(__xludf.DUMMYFUNCTION("""COMPUTED_VALUE"""),-820.73159667614)</f>
        <v>-820.73159667614</v>
      </c>
      <c r="G764" s="10">
        <f>IFERROR(__xludf.DUMMYFUNCTION("""COMPUTED_VALUE"""),568.35011354749)</f>
        <v>568.35011354749</v>
      </c>
      <c r="H764" s="10">
        <f>IFERROR(__xludf.DUMMYFUNCTION("""COMPUTED_VALUE"""),72.12896686881)</f>
        <v>72.12896686881</v>
      </c>
      <c r="I764" s="13"/>
      <c r="J764" s="13"/>
      <c r="K764" s="13"/>
      <c r="L764" s="13"/>
      <c r="M764" s="1" t="b">
        <f>IFERROR(__xludf.DUMMYFUNCTION("""COMPUTED_VALUE"""),FALSE)</f>
        <v>0</v>
      </c>
      <c r="N764" s="10"/>
      <c r="O764" s="10"/>
      <c r="P764" s="10"/>
      <c r="Q764" s="30"/>
      <c r="R764" s="18"/>
      <c r="S764" s="19"/>
      <c r="T764" s="10"/>
      <c r="U764" s="10"/>
      <c r="V764" s="10"/>
      <c r="W764" s="10"/>
      <c r="X764" s="19"/>
      <c r="Y764" s="1"/>
      <c r="Z764" s="1"/>
      <c r="AA764" s="1"/>
    </row>
    <row r="765" customHeight="1" spans="1:27">
      <c r="A765" s="1" t="str">
        <f>IFERROR(__xludf.DUMMYFUNCTION("""COMPUTED_VALUE"""),"microTech 85")</f>
        <v>microTech 85</v>
      </c>
      <c r="B765" s="1" t="str">
        <f>IFERROR(__xludf.DUMMYFUNCTION("""COMPUTED_VALUE"""),"microTech 104")</f>
        <v>microTech 104</v>
      </c>
      <c r="C765" s="1" t="str">
        <f>IFERROR(__xludf.DUMMYFUNCTION("""COMPUTED_VALUE"""),"microTech 15")</f>
        <v>microTech 15</v>
      </c>
      <c r="D765" s="1" t="str">
        <f>IFERROR(__xludf.DUMMYFUNCTION("""COMPUTED_VALUE"""),"River 53P-631")</f>
        <v>River 53P-631</v>
      </c>
      <c r="E765" s="30" t="str">
        <f>IFERROR(__xludf.DUMMYFUNCTION("""COMPUTED_VALUE"""),"River 53P631")</f>
        <v>River 53P631</v>
      </c>
      <c r="F765" s="10">
        <f>IFERROR(__xludf.DUMMYFUNCTION("""COMPUTED_VALUE"""),-693.64940424645)</f>
        <v>-693.64940424645</v>
      </c>
      <c r="G765" s="10">
        <f>IFERROR(__xludf.DUMMYFUNCTION("""COMPUTED_VALUE"""),687.63526013252)</f>
        <v>687.63526013252</v>
      </c>
      <c r="H765" s="10">
        <f>IFERROR(__xludf.DUMMYFUNCTION("""COMPUTED_VALUE"""),219.20152316351)</f>
        <v>219.20152316351</v>
      </c>
      <c r="I765" s="13"/>
      <c r="J765" s="13"/>
      <c r="K765" s="13"/>
      <c r="L765" s="13"/>
      <c r="M765" s="1" t="b">
        <f>IFERROR(__xludf.DUMMYFUNCTION("""COMPUTED_VALUE"""),FALSE)</f>
        <v>0</v>
      </c>
      <c r="N765" s="10"/>
      <c r="O765" s="10"/>
      <c r="P765" s="10"/>
      <c r="Q765" s="30"/>
      <c r="R765" s="18"/>
      <c r="S765" s="19"/>
      <c r="T765" s="10"/>
      <c r="U765" s="10"/>
      <c r="V765" s="10"/>
      <c r="W765" s="10"/>
      <c r="X765" s="19"/>
      <c r="Y765" s="1"/>
      <c r="Z765" s="1"/>
      <c r="AA765" s="1"/>
    </row>
    <row r="766" customHeight="1" spans="1:27">
      <c r="A766" s="1" t="str">
        <f>IFERROR(__xludf.DUMMYFUNCTION("""COMPUTED_VALUE"""),"microTech 87")</f>
        <v>microTech 87</v>
      </c>
      <c r="B766" s="1" t="str">
        <f>IFERROR(__xludf.DUMMYFUNCTION("""COMPUTED_VALUE"""),"microTech 106")</f>
        <v>microTech 106</v>
      </c>
      <c r="C766" s="1" t="str">
        <f>IFERROR(__xludf.DUMMYFUNCTION("""COMPUTED_VALUE"""),"microTech 08")</f>
        <v>microTech 08</v>
      </c>
      <c r="D766" s="1" t="str">
        <f>IFERROR(__xludf.DUMMYFUNCTION("""COMPUTED_VALUE"""),"River 54N-638")</f>
        <v>River 54N-638</v>
      </c>
      <c r="E766" s="30" t="str">
        <f>IFERROR(__xludf.DUMMYFUNCTION("""COMPUTED_VALUE"""),"River 54N638")</f>
        <v>River 54N638</v>
      </c>
      <c r="F766" s="10">
        <f>IFERROR(__xludf.DUMMYFUNCTION("""COMPUTED_VALUE"""),-754.61837282719)</f>
        <v>-754.61837282719</v>
      </c>
      <c r="G766" s="10">
        <f>IFERROR(__xludf.DUMMYFUNCTION("""COMPUTED_VALUE"""),657.4929587854)</f>
        <v>657.4929587854</v>
      </c>
      <c r="H766" s="10">
        <f>IFERROR(__xludf.DUMMYFUNCTION("""COMPUTED_VALUE"""),15.87634694054)</f>
        <v>15.87634694054</v>
      </c>
      <c r="I766" s="13"/>
      <c r="J766" s="13"/>
      <c r="K766" s="13"/>
      <c r="L766" s="13"/>
      <c r="M766" s="1" t="b">
        <f>IFERROR(__xludf.DUMMYFUNCTION("""COMPUTED_VALUE"""),FALSE)</f>
        <v>0</v>
      </c>
      <c r="N766" s="10"/>
      <c r="O766" s="10"/>
      <c r="P766" s="10"/>
      <c r="Q766" s="30"/>
      <c r="R766" s="18"/>
      <c r="S766" s="19"/>
      <c r="T766" s="10"/>
      <c r="U766" s="10"/>
      <c r="V766" s="10"/>
      <c r="W766" s="10"/>
      <c r="X766" s="19"/>
      <c r="Y766" s="1"/>
      <c r="Z766" s="1"/>
      <c r="AA766" s="1"/>
    </row>
    <row r="767" customHeight="1" spans="1:27">
      <c r="A767" s="1" t="str">
        <f>IFERROR(__xludf.DUMMYFUNCTION("""COMPUTED_VALUE"""),"microTech 76")</f>
        <v>microTech 76</v>
      </c>
      <c r="B767" s="1" t="str">
        <f>IFERROR(__xludf.DUMMYFUNCTION("""COMPUTED_VALUE"""),"microTech 95")</f>
        <v>microTech 95</v>
      </c>
      <c r="C767" s="1" t="str">
        <f>IFERROR(__xludf.DUMMYFUNCTION("""COMPUTED_VALUE"""),"microTech 24")</f>
        <v>microTech 24</v>
      </c>
      <c r="D767" s="1" t="str">
        <f>IFERROR(__xludf.DUMMYFUNCTION("""COMPUTED_VALUE"""),"River 53N-625")</f>
        <v>River 53N-625</v>
      </c>
      <c r="E767" s="30" t="str">
        <f>IFERROR(__xludf.DUMMYFUNCTION("""COMPUTED_VALUE"""),"River 53N625")</f>
        <v>River 53N625</v>
      </c>
      <c r="F767" s="10">
        <f>IFERROR(__xludf.DUMMYFUNCTION("""COMPUTED_VALUE"""),-671.95912652879)</f>
        <v>-671.95912652879</v>
      </c>
      <c r="G767" s="10">
        <f>IFERROR(__xludf.DUMMYFUNCTION("""COMPUTED_VALUE"""),741.26646720449)</f>
        <v>741.26646720449</v>
      </c>
      <c r="H767" s="10">
        <f>IFERROR(__xludf.DUMMYFUNCTION("""COMPUTED_VALUE"""),19.68942692564)</f>
        <v>19.68942692564</v>
      </c>
      <c r="I767" s="13"/>
      <c r="J767" s="13"/>
      <c r="K767" s="13"/>
      <c r="L767" s="13"/>
      <c r="M767" s="1" t="b">
        <f>IFERROR(__xludf.DUMMYFUNCTION("""COMPUTED_VALUE"""),FALSE)</f>
        <v>0</v>
      </c>
      <c r="N767" s="10"/>
      <c r="O767" s="10"/>
      <c r="P767" s="10"/>
      <c r="Q767" s="30"/>
      <c r="R767" s="18"/>
      <c r="S767" s="19"/>
      <c r="T767" s="10"/>
      <c r="U767" s="10"/>
      <c r="V767" s="10"/>
      <c r="W767" s="10"/>
      <c r="X767" s="19"/>
      <c r="Y767" s="1"/>
      <c r="Z767" s="1"/>
      <c r="AA767" s="1"/>
    </row>
    <row r="768" customHeight="1" spans="1:27">
      <c r="A768" s="1" t="str">
        <f>IFERROR(__xludf.DUMMYFUNCTION("""COMPUTED_VALUE"""),"microTech 84")</f>
        <v>microTech 84</v>
      </c>
      <c r="B768" s="1" t="str">
        <f>IFERROR(__xludf.DUMMYFUNCTION("""COMPUTED_VALUE"""),"microTech 103")</f>
        <v>microTech 103</v>
      </c>
      <c r="C768" s="1" t="str">
        <f>IFERROR(__xludf.DUMMYFUNCTION("""COMPUTED_VALUE"""),"microTech 17")</f>
        <v>microTech 17</v>
      </c>
      <c r="D768" s="1" t="str">
        <f>IFERROR(__xludf.DUMMYFUNCTION("""COMPUTED_VALUE"""),"River 53P-630")</f>
        <v>River 53P-630</v>
      </c>
      <c r="E768" s="30" t="str">
        <f>IFERROR(__xludf.DUMMYFUNCTION("""COMPUTED_VALUE"""),"River 53P630")</f>
        <v>River 53P630</v>
      </c>
      <c r="F768" s="10">
        <f>IFERROR(__xludf.DUMMYFUNCTION("""COMPUTED_VALUE"""),-694.519747280249)</f>
        <v>-694.519747280249</v>
      </c>
      <c r="G768" s="10">
        <f>IFERROR(__xludf.DUMMYFUNCTION("""COMPUTED_VALUE"""),703.15465518414)</f>
        <v>703.15465518414</v>
      </c>
      <c r="H768" s="10">
        <f>IFERROR(__xludf.DUMMYFUNCTION("""COMPUTED_VALUE"""),166.0948089991)</f>
        <v>166.0948089991</v>
      </c>
      <c r="I768" s="13"/>
      <c r="J768" s="13"/>
      <c r="K768" s="13"/>
      <c r="L768" s="13"/>
      <c r="M768" s="1" t="b">
        <f>IFERROR(__xludf.DUMMYFUNCTION("""COMPUTED_VALUE"""),FALSE)</f>
        <v>0</v>
      </c>
      <c r="N768" s="10"/>
      <c r="O768" s="10"/>
      <c r="P768" s="10"/>
      <c r="Q768" s="30"/>
      <c r="R768" s="18"/>
      <c r="S768" s="19"/>
      <c r="T768" s="10"/>
      <c r="U768" s="10"/>
      <c r="V768" s="10"/>
      <c r="W768" s="10"/>
      <c r="X768" s="19"/>
      <c r="Y768" s="1"/>
      <c r="Z768" s="1"/>
      <c r="AA768" s="1"/>
    </row>
    <row r="769" customHeight="1" spans="1:27">
      <c r="A769" s="1" t="str">
        <f>IFERROR(__xludf.DUMMYFUNCTION("""COMPUTED_VALUE"""),"microTech 89")</f>
        <v>microTech 89</v>
      </c>
      <c r="B769" s="1" t="str">
        <f>IFERROR(__xludf.DUMMYFUNCTION("""COMPUTED_VALUE"""),"microTech 108")</f>
        <v>microTech 108</v>
      </c>
      <c r="C769" s="1" t="str">
        <f>IFERROR(__xludf.DUMMYFUNCTION("""COMPUTED_VALUE"""),"microTech 06")</f>
        <v>microTech 06</v>
      </c>
      <c r="D769" s="1" t="str">
        <f>IFERROR(__xludf.DUMMYFUNCTION("""COMPUTED_VALUE"""),"River 54N-642")</f>
        <v>River 54N-642</v>
      </c>
      <c r="E769" s="30" t="str">
        <f>IFERROR(__xludf.DUMMYFUNCTION("""COMPUTED_VALUE"""),"River 54N642")</f>
        <v>River 54N642</v>
      </c>
      <c r="F769" s="10">
        <f>IFERROR(__xludf.DUMMYFUNCTION("""COMPUTED_VALUE"""),-776.95680492816)</f>
        <v>-776.95680492816</v>
      </c>
      <c r="G769" s="10">
        <f>IFERROR(__xludf.DUMMYFUNCTION("""COMPUTED_VALUE"""),631.82575742003)</f>
        <v>631.82575742003</v>
      </c>
      <c r="H769" s="10">
        <f>IFERROR(__xludf.DUMMYFUNCTION("""COMPUTED_VALUE"""),12.12209835673)</f>
        <v>12.12209835673</v>
      </c>
      <c r="I769" s="13"/>
      <c r="J769" s="13"/>
      <c r="K769" s="13"/>
      <c r="L769" s="13"/>
      <c r="M769" s="1" t="b">
        <f>IFERROR(__xludf.DUMMYFUNCTION("""COMPUTED_VALUE"""),FALSE)</f>
        <v>0</v>
      </c>
      <c r="N769" s="10"/>
      <c r="O769" s="10"/>
      <c r="P769" s="10"/>
      <c r="Q769" s="30"/>
      <c r="R769" s="18"/>
      <c r="S769" s="19"/>
      <c r="T769" s="10"/>
      <c r="U769" s="10"/>
      <c r="V769" s="10"/>
      <c r="W769" s="10"/>
      <c r="X769" s="19"/>
      <c r="Y769" s="1"/>
      <c r="Z769" s="1"/>
      <c r="AA769" s="1"/>
    </row>
    <row r="770" customHeight="1" spans="1:27">
      <c r="A770" s="1" t="str">
        <f>IFERROR(__xludf.DUMMYFUNCTION("""COMPUTED_VALUE"""),"microTech")</f>
        <v>microTech</v>
      </c>
      <c r="B770" s="1" t="str">
        <f>IFERROR(__xludf.DUMMYFUNCTION("""COMPUTED_VALUE"""),"microTech 112")</f>
        <v>microTech 112</v>
      </c>
      <c r="C770" s="1"/>
      <c r="D770" s="1" t="str">
        <f>IFERROR(__xludf.DUMMYFUNCTION("""COMPUTED_VALUE"""),"Other Locations")</f>
        <v>Other Locations</v>
      </c>
      <c r="E770" s="30"/>
      <c r="F770" s="10"/>
      <c r="G770" s="10"/>
      <c r="H770" s="10"/>
      <c r="I770" s="13"/>
      <c r="J770" s="13"/>
      <c r="K770" s="13"/>
      <c r="L770" s="13"/>
      <c r="M770" s="1"/>
      <c r="N770" s="10"/>
      <c r="O770" s="10"/>
      <c r="P770" s="10"/>
      <c r="Q770" s="30"/>
      <c r="R770" s="18"/>
      <c r="S770" s="19"/>
      <c r="T770" s="10"/>
      <c r="U770" s="10"/>
      <c r="V770" s="10"/>
      <c r="W770" s="10"/>
      <c r="X770" s="19"/>
      <c r="Y770" s="1"/>
      <c r="Z770" s="1"/>
      <c r="AA770" s="1"/>
    </row>
    <row r="771" customHeight="1" spans="1:27">
      <c r="A771" s="1" t="str">
        <f>IFERROR(__xludf.DUMMYFUNCTION("""COMPUTED_VALUE"""),"microTech 92")</f>
        <v>microTech 92</v>
      </c>
      <c r="B771" s="1" t="str">
        <f>IFERROR(__xludf.DUMMYFUNCTION("""COMPUTED_VALUE"""),"microTech 113")</f>
        <v>microTech 113</v>
      </c>
      <c r="C771" s="1" t="str">
        <f>IFERROR(__xludf.DUMMYFUNCTION("""COMPUTED_VALUE"""),"microTech 74")</f>
        <v>microTech 74</v>
      </c>
      <c r="D771" s="1" t="str">
        <f>IFERROR(__xludf.DUMMYFUNCTION("""COMPUTED_VALUE"""),"Test Facility Octagon")</f>
        <v>Test Facility Octagon</v>
      </c>
      <c r="E771" s="30" t="str">
        <f>IFERROR(__xludf.DUMMYFUNCTION("""COMPUTED_VALUE"""),"Octagon")</f>
        <v>Octagon</v>
      </c>
      <c r="F771" s="10">
        <f>IFERROR(__xludf.DUMMYFUNCTION("""COMPUTED_VALUE"""),635.765)</f>
        <v>635.765</v>
      </c>
      <c r="G771" s="10">
        <f>IFERROR(__xludf.DUMMYFUNCTION("""COMPUTED_VALUE"""),-155.464)</f>
        <v>-155.464</v>
      </c>
      <c r="H771" s="10">
        <f>IFERROR(__xludf.DUMMYFUNCTION("""COMPUTED_VALUE"""),758.837)</f>
        <v>758.837</v>
      </c>
      <c r="I771" s="13"/>
      <c r="J771" s="13"/>
      <c r="K771" s="13"/>
      <c r="L771" s="13"/>
      <c r="M771" s="1" t="b">
        <f>IFERROR(__xludf.DUMMYFUNCTION("""COMPUTED_VALUE"""),FALSE)</f>
        <v>0</v>
      </c>
      <c r="N771" s="10">
        <f>IFERROR(__xludf.DUMMYFUNCTION("""COMPUTED_VALUE"""),0)</f>
        <v>0</v>
      </c>
      <c r="O771" s="10">
        <f>IFERROR(__xludf.DUMMYFUNCTION("""COMPUTED_VALUE"""),0)</f>
        <v>0</v>
      </c>
      <c r="P771" s="10"/>
      <c r="Q771" s="30"/>
      <c r="R771" s="18"/>
      <c r="S771" s="19"/>
      <c r="T771" s="10"/>
      <c r="U771" s="10"/>
      <c r="V771" s="10"/>
      <c r="W771" s="10"/>
      <c r="X771" s="19"/>
      <c r="Y771" s="1"/>
      <c r="Z771" s="1"/>
      <c r="AA771" s="1"/>
    </row>
    <row r="772" customHeight="1" spans="1:27">
      <c r="A772" s="1" t="str">
        <f>IFERROR(__xludf.DUMMYFUNCTION("""COMPUTED_VALUE"""),"microTech 93")</f>
        <v>microTech 93</v>
      </c>
      <c r="B772" s="1" t="str">
        <f>IFERROR(__xludf.DUMMYFUNCTION("""COMPUTED_VALUE"""),"microTech 114")</f>
        <v>microTech 114</v>
      </c>
      <c r="C772" s="1" t="str">
        <f>IFERROR(__xludf.DUMMYFUNCTION("""COMPUTED_VALUE"""),"microTech 53")</f>
        <v>microTech 53</v>
      </c>
      <c r="D772" s="1" t="str">
        <f>IFERROR(__xludf.DUMMYFUNCTION("""COMPUTED_VALUE"""),"Chestnuts on an open fire")</f>
        <v>Chestnuts on an open fire</v>
      </c>
      <c r="E772" s="30" t="str">
        <f>IFERROR(__xludf.DUMMYFUNCTION("""COMPUTED_VALUE"""),"Campfire")</f>
        <v>Campfire</v>
      </c>
      <c r="F772" s="10">
        <f>IFERROR(__xludf.DUMMYFUNCTION("""COMPUTED_VALUE"""),520.693326411756)</f>
        <v>520.693326411756</v>
      </c>
      <c r="G772" s="10">
        <f>IFERROR(__xludf.DUMMYFUNCTION("""COMPUTED_VALUE"""),419.260263867295)</f>
        <v>419.260263867295</v>
      </c>
      <c r="H772" s="10">
        <f>IFERROR(__xludf.DUMMYFUNCTION("""COMPUTED_VALUE"""),743.713993715584)</f>
        <v>743.713993715584</v>
      </c>
      <c r="I772" s="13"/>
      <c r="J772" s="13"/>
      <c r="K772" s="13"/>
      <c r="L772" s="13"/>
      <c r="M772" s="1" t="b">
        <f>IFERROR(__xludf.DUMMYFUNCTION("""COMPUTED_VALUE"""),FALSE)</f>
        <v>0</v>
      </c>
      <c r="N772" s="10">
        <f>IFERROR(__xludf.DUMMYFUNCTION("""COMPUTED_VALUE"""),0)</f>
        <v>0</v>
      </c>
      <c r="O772" s="10">
        <f>IFERROR(__xludf.DUMMYFUNCTION("""COMPUTED_VALUE"""),0)</f>
        <v>0</v>
      </c>
      <c r="P772" s="10"/>
      <c r="Q772" s="30"/>
      <c r="R772" s="18"/>
      <c r="S772" s="19"/>
      <c r="T772" s="10"/>
      <c r="U772" s="10"/>
      <c r="V772" s="10"/>
      <c r="W772" s="10"/>
      <c r="X772" s="19"/>
      <c r="Y772" s="1"/>
      <c r="Z772" s="1"/>
      <c r="AA772" s="1"/>
    </row>
    <row r="773" customHeight="1" spans="1:27">
      <c r="A773" s="1" t="str">
        <f>IFERROR(__xludf.DUMMYFUNCTION("""COMPUTED_VALUE"""),"microTech 94")</f>
        <v>microTech 94</v>
      </c>
      <c r="B773" s="1" t="str">
        <f>IFERROR(__xludf.DUMMYFUNCTION("""COMPUTED_VALUE"""),"microTech 115")</f>
        <v>microTech 115</v>
      </c>
      <c r="C773" s="1" t="str">
        <f>IFERROR(__xludf.DUMMYFUNCTION("""COMPUTED_VALUE"""),"microTech 51")</f>
        <v>microTech 51</v>
      </c>
      <c r="D773" s="1" t="str">
        <f>IFERROR(__xludf.DUMMYFUNCTION("""COMPUTED_VALUE"""),"Lakeside Chairs")</f>
        <v>Lakeside Chairs</v>
      </c>
      <c r="E773" s="30" t="str">
        <f>IFERROR(__xludf.DUMMYFUNCTION("""COMPUTED_VALUE"""),"Lake Chair")</f>
        <v>Lake Chair</v>
      </c>
      <c r="F773" s="10">
        <f>IFERROR(__xludf.DUMMYFUNCTION("""COMPUTED_VALUE"""),524.873227220621)</f>
        <v>524.873227220621</v>
      </c>
      <c r="G773" s="10">
        <f>IFERROR(__xludf.DUMMYFUNCTION("""COMPUTED_VALUE"""),425.682953869917)</f>
        <v>425.682953869917</v>
      </c>
      <c r="H773" s="10">
        <f>IFERROR(__xludf.DUMMYFUNCTION("""COMPUTED_VALUE"""),737.102441837138)</f>
        <v>737.102441837138</v>
      </c>
      <c r="I773" s="13"/>
      <c r="J773" s="13"/>
      <c r="K773" s="13"/>
      <c r="L773" s="13"/>
      <c r="M773" s="1" t="b">
        <f>IFERROR(__xludf.DUMMYFUNCTION("""COMPUTED_VALUE"""),FALSE)</f>
        <v>0</v>
      </c>
      <c r="N773" s="10">
        <f>IFERROR(__xludf.DUMMYFUNCTION("""COMPUTED_VALUE"""),0)</f>
        <v>0</v>
      </c>
      <c r="O773" s="10">
        <f>IFERROR(__xludf.DUMMYFUNCTION("""COMPUTED_VALUE"""),0)</f>
        <v>0</v>
      </c>
      <c r="P773" s="10"/>
      <c r="Q773" s="30"/>
      <c r="R773" s="18"/>
      <c r="S773" s="19"/>
      <c r="T773" s="10"/>
      <c r="U773" s="10"/>
      <c r="V773" s="10"/>
      <c r="W773" s="10"/>
      <c r="X773" s="19"/>
      <c r="Y773" s="1"/>
      <c r="Z773" s="1"/>
      <c r="AA773" s="1"/>
    </row>
    <row r="774" customHeight="1" spans="1:27">
      <c r="A774" s="1" t="str">
        <f>IFERROR(__xludf.DUMMYFUNCTION("""COMPUTED_VALUE"""),"microTech 95")</f>
        <v>microTech 95</v>
      </c>
      <c r="B774" s="1" t="str">
        <f>IFERROR(__xludf.DUMMYFUNCTION("""COMPUTED_VALUE"""),"microTech 116")</f>
        <v>microTech 116</v>
      </c>
      <c r="C774" s="1" t="str">
        <f>IFERROR(__xludf.DUMMYFUNCTION("""COMPUTED_VALUE"""),"microTech 50")</f>
        <v>microTech 50</v>
      </c>
      <c r="D774" s="1" t="str">
        <f>IFERROR(__xludf.DUMMYFUNCTION("""COMPUTED_VALUE"""),"Mountainside Chairs")</f>
        <v>Mountainside Chairs</v>
      </c>
      <c r="E774" s="30" t="str">
        <f>IFERROR(__xludf.DUMMYFUNCTION("""COMPUTED_VALUE"""),"Mtn Chair")</f>
        <v>Mtn Chair</v>
      </c>
      <c r="F774" s="10">
        <f>IFERROR(__xludf.DUMMYFUNCTION("""COMPUTED_VALUE"""),506.681654210353)</f>
        <v>506.681654210353</v>
      </c>
      <c r="G774" s="10">
        <f>IFERROR(__xludf.DUMMYFUNCTION("""COMPUTED_VALUE"""),421.171165357204)</f>
        <v>421.171165357204</v>
      </c>
      <c r="H774" s="10">
        <f>IFERROR(__xludf.DUMMYFUNCTION("""COMPUTED_VALUE"""),754.682731680966)</f>
        <v>754.682731680966</v>
      </c>
      <c r="I774" s="13"/>
      <c r="J774" s="13"/>
      <c r="K774" s="13"/>
      <c r="L774" s="13"/>
      <c r="M774" s="1" t="b">
        <f>IFERROR(__xludf.DUMMYFUNCTION("""COMPUTED_VALUE"""),FALSE)</f>
        <v>0</v>
      </c>
      <c r="N774" s="10">
        <f>IFERROR(__xludf.DUMMYFUNCTION("""COMPUTED_VALUE"""),0)</f>
        <v>0</v>
      </c>
      <c r="O774" s="10">
        <f>IFERROR(__xludf.DUMMYFUNCTION("""COMPUTED_VALUE"""),0)</f>
        <v>0</v>
      </c>
      <c r="P774" s="10"/>
      <c r="Q774" s="30"/>
      <c r="R774" s="18"/>
      <c r="S774" s="19"/>
      <c r="T774" s="10"/>
      <c r="U774" s="10"/>
      <c r="V774" s="10"/>
      <c r="W774" s="10"/>
      <c r="X774" s="19"/>
      <c r="Y774" s="1"/>
      <c r="Z774" s="1"/>
      <c r="AA774" s="1"/>
    </row>
    <row r="775" customHeight="1" spans="1:27">
      <c r="A775" s="1" t="str">
        <f>IFERROR(__xludf.DUMMYFUNCTION("""COMPUTED_VALUE"""),"microTech 96")</f>
        <v>microTech 96</v>
      </c>
      <c r="B775" s="1" t="str">
        <f>IFERROR(__xludf.DUMMYFUNCTION("""COMPUTED_VALUE"""),"microTech 117")</f>
        <v>microTech 117</v>
      </c>
      <c r="C775" s="1" t="str">
        <f>IFERROR(__xludf.DUMMYFUNCTION("""COMPUTED_VALUE"""),"microTech 54")</f>
        <v>microTech 54</v>
      </c>
      <c r="D775" s="1" t="str">
        <f>IFERROR(__xludf.DUMMYFUNCTION("""COMPUTED_VALUE"""),"Tears of Fire Painting")</f>
        <v>Tears of Fire Painting</v>
      </c>
      <c r="E775" s="30" t="str">
        <f>IFERROR(__xludf.DUMMYFUNCTION("""COMPUTED_VALUE"""),"Tears of Fire")</f>
        <v>Tears of Fire</v>
      </c>
      <c r="F775" s="10">
        <f>IFERROR(__xludf.DUMMYFUNCTION("""COMPUTED_VALUE"""),518.388064604595)</f>
        <v>518.388064604595</v>
      </c>
      <c r="G775" s="10">
        <f>IFERROR(__xludf.DUMMYFUNCTION("""COMPUTED_VALUE"""),416.270524745018)</f>
        <v>416.270524745018</v>
      </c>
      <c r="H775" s="10">
        <f>IFERROR(__xludf.DUMMYFUNCTION("""COMPUTED_VALUE"""),747.875548809016)</f>
        <v>747.875548809016</v>
      </c>
      <c r="I775" s="13"/>
      <c r="J775" s="13"/>
      <c r="K775" s="13"/>
      <c r="L775" s="13"/>
      <c r="M775" s="1" t="b">
        <f>IFERROR(__xludf.DUMMYFUNCTION("""COMPUTED_VALUE"""),FALSE)</f>
        <v>0</v>
      </c>
      <c r="N775" s="10">
        <f>IFERROR(__xludf.DUMMYFUNCTION("""COMPUTED_VALUE"""),0)</f>
        <v>0</v>
      </c>
      <c r="O775" s="10">
        <f>IFERROR(__xludf.DUMMYFUNCTION("""COMPUTED_VALUE"""),0)</f>
        <v>0</v>
      </c>
      <c r="P775" s="10"/>
      <c r="Q775" s="30"/>
      <c r="R775" s="18"/>
      <c r="S775" s="19"/>
      <c r="T775" s="10"/>
      <c r="U775" s="10"/>
      <c r="V775" s="10"/>
      <c r="W775" s="10"/>
      <c r="X775" s="19"/>
      <c r="Y775" s="1"/>
      <c r="Z775" s="1"/>
      <c r="AA775" s="1"/>
    </row>
    <row r="776" customHeight="1" spans="1:27">
      <c r="A776" s="1"/>
      <c r="B776" s="1"/>
      <c r="C776" s="1"/>
      <c r="D776" s="1"/>
      <c r="E776" s="30"/>
      <c r="F776" s="10"/>
      <c r="G776" s="10"/>
      <c r="H776" s="10"/>
      <c r="I776" s="13"/>
      <c r="J776" s="13"/>
      <c r="K776" s="13"/>
      <c r="L776" s="13"/>
      <c r="M776" s="1"/>
      <c r="N776" s="10"/>
      <c r="O776" s="10"/>
      <c r="P776" s="10"/>
      <c r="Q776" s="30"/>
      <c r="R776" s="18"/>
      <c r="S776" s="19"/>
      <c r="T776" s="10"/>
      <c r="U776" s="10"/>
      <c r="V776" s="10"/>
      <c r="W776" s="10"/>
      <c r="X776" s="19"/>
      <c r="Y776" s="1"/>
      <c r="Z776" s="1"/>
      <c r="AA776" s="1"/>
    </row>
    <row r="777" customHeight="1" spans="1:27">
      <c r="A777" s="1" t="str">
        <f>IFERROR(__xludf.DUMMYFUNCTION("""COMPUTED_VALUE"""),"Wala R01")</f>
        <v>Wala R01</v>
      </c>
      <c r="B777" s="1" t="str">
        <f>IFERROR(__xludf.DUMMYFUNCTION("""COMPUTED_VALUE"""),"Wala 50")</f>
        <v>Wala 50</v>
      </c>
      <c r="C777" s="1"/>
      <c r="D777" s="1" t="str">
        <f>IFERROR(__xludf.DUMMYFUNCTION("""COMPUTED_VALUE"""),"OM-1")</f>
        <v>OM-1</v>
      </c>
      <c r="E777" s="30" t="str">
        <f>IFERROR(__xludf.DUMMYFUNCTION("""COMPUTED_VALUE"""),"OM1")</f>
        <v>OM1</v>
      </c>
      <c r="F777" s="10">
        <f>IFERROR(__xludf.DUMMYFUNCTION("""COMPUTED_VALUE"""),0)</f>
        <v>0</v>
      </c>
      <c r="G777" s="10">
        <f>IFERROR(__xludf.DUMMYFUNCTION("""COMPUTED_VALUE"""),0)</f>
        <v>0</v>
      </c>
      <c r="H777" s="10">
        <f>IFERROR(__xludf.DUMMYFUNCTION("""COMPUTED_VALUE"""),413.056)</f>
        <v>413.056</v>
      </c>
      <c r="I777" s="13"/>
      <c r="J777" s="13"/>
      <c r="K777" s="13"/>
      <c r="L777" s="13"/>
      <c r="M777" s="1" t="b">
        <f>IFERROR(__xludf.DUMMYFUNCTION("""COMPUTED_VALUE"""),TRUE)</f>
        <v>1</v>
      </c>
      <c r="N777" s="10">
        <f>IFERROR(__xludf.DUMMYFUNCTION("""COMPUTED_VALUE"""),0)</f>
        <v>0</v>
      </c>
      <c r="O777" s="10">
        <f>IFERROR(__xludf.DUMMYFUNCTION("""COMPUTED_VALUE"""),0)</f>
        <v>0</v>
      </c>
      <c r="P777" s="10"/>
      <c r="Q777" s="30"/>
      <c r="R777" s="18"/>
      <c r="S777" s="19"/>
      <c r="T777" s="10"/>
      <c r="U777" s="10"/>
      <c r="V777" s="10"/>
      <c r="W777" s="10"/>
      <c r="X777" s="19"/>
      <c r="Y777" s="1"/>
      <c r="Z777" s="1"/>
      <c r="AA777" s="1"/>
    </row>
    <row r="778" customHeight="1" spans="1:27">
      <c r="A778" s="1" t="str">
        <f>IFERROR(__xludf.DUMMYFUNCTION("""COMPUTED_VALUE"""),"Wala R02")</f>
        <v>Wala R02</v>
      </c>
      <c r="B778" s="1" t="str">
        <f>IFERROR(__xludf.DUMMYFUNCTION("""COMPUTED_VALUE"""),"Wala 51")</f>
        <v>Wala 51</v>
      </c>
      <c r="C778" s="1"/>
      <c r="D778" s="1" t="str">
        <f>IFERROR(__xludf.DUMMYFUNCTION("""COMPUTED_VALUE"""),"OM-2")</f>
        <v>OM-2</v>
      </c>
      <c r="E778" s="30" t="str">
        <f>IFERROR(__xludf.DUMMYFUNCTION("""COMPUTED_VALUE"""),"OM2")</f>
        <v>OM2</v>
      </c>
      <c r="F778" s="10">
        <f>IFERROR(__xludf.DUMMYFUNCTION("""COMPUTED_VALUE"""),0)</f>
        <v>0</v>
      </c>
      <c r="G778" s="10">
        <f>IFERROR(__xludf.DUMMYFUNCTION("""COMPUTED_VALUE"""),0)</f>
        <v>0</v>
      </c>
      <c r="H778" s="10">
        <f>IFERROR(__xludf.DUMMYFUNCTION("""COMPUTED_VALUE"""),-413.056)</f>
        <v>-413.056</v>
      </c>
      <c r="I778" s="13"/>
      <c r="J778" s="13"/>
      <c r="K778" s="13"/>
      <c r="L778" s="13"/>
      <c r="M778" s="1" t="b">
        <f>IFERROR(__xludf.DUMMYFUNCTION("""COMPUTED_VALUE"""),TRUE)</f>
        <v>1</v>
      </c>
      <c r="N778" s="10">
        <f>IFERROR(__xludf.DUMMYFUNCTION("""COMPUTED_VALUE"""),0)</f>
        <v>0</v>
      </c>
      <c r="O778" s="10">
        <f>IFERROR(__xludf.DUMMYFUNCTION("""COMPUTED_VALUE"""),0)</f>
        <v>0</v>
      </c>
      <c r="P778" s="10"/>
      <c r="Q778" s="30"/>
      <c r="R778" s="18"/>
      <c r="S778" s="19"/>
      <c r="T778" s="10"/>
      <c r="U778" s="10"/>
      <c r="V778" s="10"/>
      <c r="W778" s="10"/>
      <c r="X778" s="19"/>
      <c r="Y778" s="1"/>
      <c r="Z778" s="1"/>
      <c r="AA778" s="1"/>
    </row>
    <row r="779" customHeight="1" spans="1:27">
      <c r="A779" s="1" t="str">
        <f>IFERROR(__xludf.DUMMYFUNCTION("""COMPUTED_VALUE"""),"Wala R03")</f>
        <v>Wala R03</v>
      </c>
      <c r="B779" s="1" t="str">
        <f>IFERROR(__xludf.DUMMYFUNCTION("""COMPUTED_VALUE"""),"Wala 52")</f>
        <v>Wala 52</v>
      </c>
      <c r="C779" s="1" t="str">
        <f>IFERROR(__xludf.DUMMYFUNCTION("""COMPUTED_VALUE"""),"Wala 12")</f>
        <v>Wala 12</v>
      </c>
      <c r="D779" s="1" t="str">
        <f>IFERROR(__xludf.DUMMYFUNCTION("""COMPUTED_VALUE"""),"OM-3")</f>
        <v>OM-3</v>
      </c>
      <c r="E779" s="30" t="str">
        <f>IFERROR(__xludf.DUMMYFUNCTION("""COMPUTED_VALUE"""),"OM3")</f>
        <v>OM3</v>
      </c>
      <c r="F779" s="10">
        <f>IFERROR(__xludf.DUMMYFUNCTION("""COMPUTED_VALUE"""),0)</f>
        <v>0</v>
      </c>
      <c r="G779" s="10">
        <f>IFERROR(__xludf.DUMMYFUNCTION("""COMPUTED_VALUE"""),413.056)</f>
        <v>413.056</v>
      </c>
      <c r="H779" s="10">
        <f>IFERROR(__xludf.DUMMYFUNCTION("""COMPUTED_VALUE"""),0)</f>
        <v>0</v>
      </c>
      <c r="I779" s="13"/>
      <c r="J779" s="13"/>
      <c r="K779" s="13"/>
      <c r="L779" s="13"/>
      <c r="M779" s="1" t="b">
        <f>IFERROR(__xludf.DUMMYFUNCTION("""COMPUTED_VALUE"""),TRUE)</f>
        <v>1</v>
      </c>
      <c r="N779" s="10">
        <f>IFERROR(__xludf.DUMMYFUNCTION("""COMPUTED_VALUE"""),0)</f>
        <v>0</v>
      </c>
      <c r="O779" s="10">
        <f>IFERROR(__xludf.DUMMYFUNCTION("""COMPUTED_VALUE"""),0)</f>
        <v>0</v>
      </c>
      <c r="P779" s="10"/>
      <c r="Q779" s="30"/>
      <c r="R779" s="18"/>
      <c r="S779" s="19"/>
      <c r="T779" s="10"/>
      <c r="U779" s="10"/>
      <c r="V779" s="10"/>
      <c r="W779" s="10"/>
      <c r="X779" s="19"/>
      <c r="Y779" s="1"/>
      <c r="Z779" s="1"/>
      <c r="AA779" s="1"/>
    </row>
    <row r="780" customHeight="1" spans="1:27">
      <c r="A780" s="1" t="str">
        <f>IFERROR(__xludf.DUMMYFUNCTION("""COMPUTED_VALUE"""),"Wala R04")</f>
        <v>Wala R04</v>
      </c>
      <c r="B780" s="1" t="str">
        <f>IFERROR(__xludf.DUMMYFUNCTION("""COMPUTED_VALUE"""),"Wala 53")</f>
        <v>Wala 53</v>
      </c>
      <c r="C780" s="1" t="str">
        <f>IFERROR(__xludf.DUMMYFUNCTION("""COMPUTED_VALUE"""),"Wala 32")</f>
        <v>Wala 32</v>
      </c>
      <c r="D780" s="1" t="str">
        <f>IFERROR(__xludf.DUMMYFUNCTION("""COMPUTED_VALUE"""),"OM-4")</f>
        <v>OM-4</v>
      </c>
      <c r="E780" s="30" t="str">
        <f>IFERROR(__xludf.DUMMYFUNCTION("""COMPUTED_VALUE"""),"OM4")</f>
        <v>OM4</v>
      </c>
      <c r="F780" s="10">
        <f>IFERROR(__xludf.DUMMYFUNCTION("""COMPUTED_VALUE"""),0)</f>
        <v>0</v>
      </c>
      <c r="G780" s="10">
        <f>IFERROR(__xludf.DUMMYFUNCTION("""COMPUTED_VALUE"""),-413.056)</f>
        <v>-413.056</v>
      </c>
      <c r="H780" s="10">
        <f>IFERROR(__xludf.DUMMYFUNCTION("""COMPUTED_VALUE"""),0)</f>
        <v>0</v>
      </c>
      <c r="I780" s="13"/>
      <c r="J780" s="13"/>
      <c r="K780" s="13"/>
      <c r="L780" s="13"/>
      <c r="M780" s="1" t="b">
        <f>IFERROR(__xludf.DUMMYFUNCTION("""COMPUTED_VALUE"""),TRUE)</f>
        <v>1</v>
      </c>
      <c r="N780" s="10">
        <f>IFERROR(__xludf.DUMMYFUNCTION("""COMPUTED_VALUE"""),0)</f>
        <v>0</v>
      </c>
      <c r="O780" s="10">
        <f>IFERROR(__xludf.DUMMYFUNCTION("""COMPUTED_VALUE"""),0)</f>
        <v>0</v>
      </c>
      <c r="P780" s="10"/>
      <c r="Q780" s="30"/>
      <c r="R780" s="18"/>
      <c r="S780" s="19"/>
      <c r="T780" s="10"/>
      <c r="U780" s="10"/>
      <c r="V780" s="10"/>
      <c r="W780" s="10"/>
      <c r="X780" s="19"/>
      <c r="Y780" s="1"/>
      <c r="Z780" s="1"/>
      <c r="AA780" s="1"/>
    </row>
    <row r="781" customHeight="1" spans="1:27">
      <c r="A781" s="1" t="str">
        <f>IFERROR(__xludf.DUMMYFUNCTION("""COMPUTED_VALUE"""),"Wala R05")</f>
        <v>Wala R05</v>
      </c>
      <c r="B781" s="1" t="str">
        <f>IFERROR(__xludf.DUMMYFUNCTION("""COMPUTED_VALUE"""),"Wala 54")</f>
        <v>Wala 54</v>
      </c>
      <c r="C781" s="1" t="str">
        <f>IFERROR(__xludf.DUMMYFUNCTION("""COMPUTED_VALUE"""),"Wala 24")</f>
        <v>Wala 24</v>
      </c>
      <c r="D781" s="1" t="str">
        <f>IFERROR(__xludf.DUMMYFUNCTION("""COMPUTED_VALUE"""),"OM-5")</f>
        <v>OM-5</v>
      </c>
      <c r="E781" s="30" t="str">
        <f>IFERROR(__xludf.DUMMYFUNCTION("""COMPUTED_VALUE"""),"OM5")</f>
        <v>OM5</v>
      </c>
      <c r="F781" s="10">
        <f>IFERROR(__xludf.DUMMYFUNCTION("""COMPUTED_VALUE"""),413.056)</f>
        <v>413.056</v>
      </c>
      <c r="G781" s="10">
        <f>IFERROR(__xludf.DUMMYFUNCTION("""COMPUTED_VALUE"""),0)</f>
        <v>0</v>
      </c>
      <c r="H781" s="10">
        <f>IFERROR(__xludf.DUMMYFUNCTION("""COMPUTED_VALUE"""),0)</f>
        <v>0</v>
      </c>
      <c r="I781" s="13"/>
      <c r="J781" s="13"/>
      <c r="K781" s="13"/>
      <c r="L781" s="13"/>
      <c r="M781" s="1" t="b">
        <f>IFERROR(__xludf.DUMMYFUNCTION("""COMPUTED_VALUE"""),TRUE)</f>
        <v>1</v>
      </c>
      <c r="N781" s="10">
        <f>IFERROR(__xludf.DUMMYFUNCTION("""COMPUTED_VALUE"""),0)</f>
        <v>0</v>
      </c>
      <c r="O781" s="10">
        <f>IFERROR(__xludf.DUMMYFUNCTION("""COMPUTED_VALUE"""),0)</f>
        <v>0</v>
      </c>
      <c r="P781" s="10"/>
      <c r="Q781" s="30"/>
      <c r="R781" s="18"/>
      <c r="S781" s="19"/>
      <c r="T781" s="10"/>
      <c r="U781" s="10"/>
      <c r="V781" s="10"/>
      <c r="W781" s="10"/>
      <c r="X781" s="19"/>
      <c r="Y781" s="1"/>
      <c r="Z781" s="1"/>
      <c r="AA781" s="1"/>
    </row>
    <row r="782" customHeight="1" spans="1:27">
      <c r="A782" s="1" t="str">
        <f>IFERROR(__xludf.DUMMYFUNCTION("""COMPUTED_VALUE"""),"Wala R06")</f>
        <v>Wala R06</v>
      </c>
      <c r="B782" s="1" t="str">
        <f>IFERROR(__xludf.DUMMYFUNCTION("""COMPUTED_VALUE"""),"Wala 55")</f>
        <v>Wala 55</v>
      </c>
      <c r="C782" s="1" t="str">
        <f>IFERROR(__xludf.DUMMYFUNCTION("""COMPUTED_VALUE"""),"Wala 42")</f>
        <v>Wala 42</v>
      </c>
      <c r="D782" s="1" t="str">
        <f>IFERROR(__xludf.DUMMYFUNCTION("""COMPUTED_VALUE"""),"OM-6")</f>
        <v>OM-6</v>
      </c>
      <c r="E782" s="30" t="str">
        <f>IFERROR(__xludf.DUMMYFUNCTION("""COMPUTED_VALUE"""),"OM6")</f>
        <v>OM6</v>
      </c>
      <c r="F782" s="10">
        <f>IFERROR(__xludf.DUMMYFUNCTION("""COMPUTED_VALUE"""),-413.056)</f>
        <v>-413.056</v>
      </c>
      <c r="G782" s="10">
        <f>IFERROR(__xludf.DUMMYFUNCTION("""COMPUTED_VALUE"""),0)</f>
        <v>0</v>
      </c>
      <c r="H782" s="10">
        <f>IFERROR(__xludf.DUMMYFUNCTION("""COMPUTED_VALUE"""),0)</f>
        <v>0</v>
      </c>
      <c r="I782" s="13"/>
      <c r="J782" s="13"/>
      <c r="K782" s="13"/>
      <c r="L782" s="13"/>
      <c r="M782" s="1" t="b">
        <f>IFERROR(__xludf.DUMMYFUNCTION("""COMPUTED_VALUE"""),TRUE)</f>
        <v>1</v>
      </c>
      <c r="N782" s="10">
        <f>IFERROR(__xludf.DUMMYFUNCTION("""COMPUTED_VALUE"""),0)</f>
        <v>0</v>
      </c>
      <c r="O782" s="10">
        <f>IFERROR(__xludf.DUMMYFUNCTION("""COMPUTED_VALUE"""),0)</f>
        <v>0</v>
      </c>
      <c r="P782" s="10"/>
      <c r="Q782" s="30"/>
      <c r="R782" s="18"/>
      <c r="S782" s="19"/>
      <c r="T782" s="10"/>
      <c r="U782" s="10"/>
      <c r="V782" s="10"/>
      <c r="W782" s="10"/>
      <c r="X782" s="19"/>
      <c r="Y782" s="1"/>
      <c r="Z782" s="1"/>
      <c r="AA782" s="1"/>
    </row>
    <row r="783" customHeight="1" spans="1:27">
      <c r="A783" s="1" t="str">
        <f>IFERROR(__xludf.DUMMYFUNCTION("""COMPUTED_VALUE"""),"Wala")</f>
        <v>Wala</v>
      </c>
      <c r="B783" s="1" t="str">
        <f>IFERROR(__xludf.DUMMYFUNCTION("""COMPUTED_VALUE"""),"Wala 00")</f>
        <v>Wala 00</v>
      </c>
      <c r="C783" s="1"/>
      <c r="D783" s="1" t="str">
        <f>IFERROR(__xludf.DUMMYFUNCTION("""COMPUTED_VALUE"""),"Trading Terminals")</f>
        <v>Trading Terminals</v>
      </c>
      <c r="E783" s="30"/>
      <c r="F783" s="10"/>
      <c r="G783" s="10"/>
      <c r="H783" s="10"/>
      <c r="I783" s="13"/>
      <c r="J783" s="13"/>
      <c r="K783" s="13"/>
      <c r="L783" s="13"/>
      <c r="M783" s="1"/>
      <c r="N783" s="10"/>
      <c r="O783" s="10"/>
      <c r="P783" s="10"/>
      <c r="Q783" s="30"/>
      <c r="R783" s="18"/>
      <c r="S783" s="19"/>
      <c r="T783" s="10"/>
      <c r="U783" s="10"/>
      <c r="V783" s="10"/>
      <c r="W783" s="10"/>
      <c r="X783" s="19"/>
      <c r="Y783" s="1"/>
      <c r="Z783" s="1"/>
      <c r="AA783" s="1"/>
    </row>
    <row r="784" customHeight="1" spans="1:27">
      <c r="A784" s="1" t="str">
        <f>IFERROR(__xludf.DUMMYFUNCTION("""COMPUTED_VALUE"""),"Wala 01")</f>
        <v>Wala 01</v>
      </c>
      <c r="B784" s="1" t="str">
        <f>IFERROR(__xludf.DUMMYFUNCTION("""COMPUTED_VALUE"""),"Wala 01")</f>
        <v>Wala 01</v>
      </c>
      <c r="C784" s="1" t="str">
        <f>IFERROR(__xludf.DUMMYFUNCTION("""COMPUTED_VALUE"""),"Wala 02")</f>
        <v>Wala 02</v>
      </c>
      <c r="D784" s="1" t="str">
        <f>IFERROR(__xludf.DUMMYFUNCTION("""COMPUTED_VALUE"""),"ArcCorp Mining Area 045 (PB)")</f>
        <v>ArcCorp Mining Area 045 (PB)</v>
      </c>
      <c r="E784" s="30" t="str">
        <f>IFERROR(__xludf.DUMMYFUNCTION("""COMPUTED_VALUE"""),"ArcCorp 045")</f>
        <v>ArcCorp 045</v>
      </c>
      <c r="F784" s="10">
        <f>IFERROR(__xludf.DUMMYFUNCTION("""COMPUTED_VALUE"""),-282.798440474131)</f>
        <v>-282.798440474131</v>
      </c>
      <c r="G784" s="10">
        <f>IFERROR(__xludf.DUMMYFUNCTION("""COMPUTED_VALUE"""),14.1079913593082)</f>
        <v>14.1079913593082</v>
      </c>
      <c r="H784" s="10">
        <f>IFERROR(__xludf.DUMMYFUNCTION("""COMPUTED_VALUE"""),10.6203682757545)</f>
        <v>10.6203682757545</v>
      </c>
      <c r="I784" s="13"/>
      <c r="J784" s="13"/>
      <c r="K784" s="13"/>
      <c r="L784" s="13"/>
      <c r="M784" s="1" t="b">
        <f>IFERROR(__xludf.DUMMYFUNCTION("""COMPUTED_VALUE"""),TRUE)</f>
        <v>1</v>
      </c>
      <c r="N784" s="10">
        <f>IFERROR(__xludf.DUMMYFUNCTION("""COMPUTED_VALUE"""),0)</f>
        <v>0</v>
      </c>
      <c r="O784" s="10">
        <f>IFERROR(__xludf.DUMMYFUNCTION("""COMPUTED_VALUE"""),0)</f>
        <v>0</v>
      </c>
      <c r="P784" s="10"/>
      <c r="Q784" s="30"/>
      <c r="R784" s="18"/>
      <c r="S784" s="19"/>
      <c r="T784" s="10"/>
      <c r="U784" s="10"/>
      <c r="V784" s="10"/>
      <c r="W784" s="10"/>
      <c r="X784" s="19"/>
      <c r="Y784" s="1"/>
      <c r="Z784" s="1"/>
      <c r="AA784" s="1"/>
    </row>
    <row r="785" customHeight="1" spans="1:27">
      <c r="A785" s="1" t="str">
        <f>IFERROR(__xludf.DUMMYFUNCTION("""COMPUTED_VALUE"""),"Wala 02")</f>
        <v>Wala 02</v>
      </c>
      <c r="B785" s="1" t="str">
        <f>IFERROR(__xludf.DUMMYFUNCTION("""COMPUTED_VALUE"""),"Wala 02")</f>
        <v>Wala 02</v>
      </c>
      <c r="C785" s="1" t="str">
        <f>IFERROR(__xludf.DUMMYFUNCTION("""COMPUTED_VALUE"""),"Wala 06")</f>
        <v>Wala 06</v>
      </c>
      <c r="D785" s="1" t="str">
        <f>IFERROR(__xludf.DUMMYFUNCTION("""COMPUTED_VALUE"""),"ArcCorp Mining Area 048 (PB)")</f>
        <v>ArcCorp Mining Area 048 (PB)</v>
      </c>
      <c r="E785" s="30" t="str">
        <f>IFERROR(__xludf.DUMMYFUNCTION("""COMPUTED_VALUE"""),"ArcCorp 048")</f>
        <v>ArcCorp 048</v>
      </c>
      <c r="F785" s="10">
        <f>IFERROR(__xludf.DUMMYFUNCTION("""COMPUTED_VALUE"""),-178.192667984196)</f>
        <v>-178.192667984196</v>
      </c>
      <c r="G785" s="10">
        <f>IFERROR(__xludf.DUMMYFUNCTION("""COMPUTED_VALUE"""),97.7564822405057)</f>
        <v>97.7564822405057</v>
      </c>
      <c r="H785" s="10">
        <f>IFERROR(__xludf.DUMMYFUNCTION("""COMPUTED_VALUE"""),-196.339526962963)</f>
        <v>-196.339526962963</v>
      </c>
      <c r="I785" s="13"/>
      <c r="J785" s="13"/>
      <c r="K785" s="13"/>
      <c r="L785" s="13"/>
      <c r="M785" s="1" t="b">
        <f>IFERROR(__xludf.DUMMYFUNCTION("""COMPUTED_VALUE"""),TRUE)</f>
        <v>1</v>
      </c>
      <c r="N785" s="10">
        <f>IFERROR(__xludf.DUMMYFUNCTION("""COMPUTED_VALUE"""),0)</f>
        <v>0</v>
      </c>
      <c r="O785" s="10">
        <f>IFERROR(__xludf.DUMMYFUNCTION("""COMPUTED_VALUE"""),0)</f>
        <v>0</v>
      </c>
      <c r="P785" s="10"/>
      <c r="Q785" s="30"/>
      <c r="R785" s="18"/>
      <c r="S785" s="19"/>
      <c r="T785" s="10"/>
      <c r="U785" s="10"/>
      <c r="V785" s="10"/>
      <c r="W785" s="10"/>
      <c r="X785" s="19"/>
      <c r="Y785" s="1"/>
      <c r="Z785" s="1"/>
      <c r="AA785" s="1"/>
    </row>
    <row r="786" customHeight="1" spans="1:27">
      <c r="A786" s="1" t="str">
        <f>IFERROR(__xludf.DUMMYFUNCTION("""COMPUTED_VALUE"""),"Wala 03")</f>
        <v>Wala 03</v>
      </c>
      <c r="B786" s="1" t="str">
        <f>IFERROR(__xludf.DUMMYFUNCTION("""COMPUTED_VALUE"""),"Wala 03")</f>
        <v>Wala 03</v>
      </c>
      <c r="C786" s="1" t="str">
        <f>IFERROR(__xludf.DUMMYFUNCTION("""COMPUTED_VALUE"""),"Wala 27")</f>
        <v>Wala 27</v>
      </c>
      <c r="D786" s="1" t="str">
        <f>IFERROR(__xludf.DUMMYFUNCTION("""COMPUTED_VALUE"""),"ArcCorp Mining Area 056 (PB)")</f>
        <v>ArcCorp Mining Area 056 (PB)</v>
      </c>
      <c r="E786" s="30" t="str">
        <f>IFERROR(__xludf.DUMMYFUNCTION("""COMPUTED_VALUE"""),"ArcCorp 056")</f>
        <v>ArcCorp 056</v>
      </c>
      <c r="F786" s="10">
        <f>IFERROR(__xludf.DUMMYFUNCTION("""COMPUTED_VALUE"""),116.545697035018)</f>
        <v>116.545697035018</v>
      </c>
      <c r="G786" s="10">
        <f>IFERROR(__xludf.DUMMYFUNCTION("""COMPUTED_VALUE"""),-50.1465905849049)</f>
        <v>-50.1465905849049</v>
      </c>
      <c r="H786" s="10">
        <f>IFERROR(__xludf.DUMMYFUNCTION("""COMPUTED_VALUE"""),253.154550616565)</f>
        <v>253.154550616565</v>
      </c>
      <c r="I786" s="13"/>
      <c r="J786" s="13"/>
      <c r="K786" s="13"/>
      <c r="L786" s="13"/>
      <c r="M786" s="1" t="b">
        <f>IFERROR(__xludf.DUMMYFUNCTION("""COMPUTED_VALUE"""),TRUE)</f>
        <v>1</v>
      </c>
      <c r="N786" s="10">
        <f>IFERROR(__xludf.DUMMYFUNCTION("""COMPUTED_VALUE"""),0)</f>
        <v>0</v>
      </c>
      <c r="O786" s="10">
        <f>IFERROR(__xludf.DUMMYFUNCTION("""COMPUTED_VALUE"""),0)</f>
        <v>0</v>
      </c>
      <c r="P786" s="10"/>
      <c r="Q786" s="30"/>
      <c r="R786" s="18"/>
      <c r="S786" s="19"/>
      <c r="T786" s="10"/>
      <c r="U786" s="10"/>
      <c r="V786" s="10"/>
      <c r="W786" s="10"/>
      <c r="X786" s="19"/>
      <c r="Y786" s="1"/>
      <c r="Z786" s="1"/>
      <c r="AA786" s="1"/>
    </row>
    <row r="787" customHeight="1" spans="1:27">
      <c r="A787" s="1" t="str">
        <f>IFERROR(__xludf.DUMMYFUNCTION("""COMPUTED_VALUE"""),"Wala 04")</f>
        <v>Wala 04</v>
      </c>
      <c r="B787" s="1" t="str">
        <f>IFERROR(__xludf.DUMMYFUNCTION("""COMPUTED_VALUE"""),"Wala 04")</f>
        <v>Wala 04</v>
      </c>
      <c r="C787" s="1" t="str">
        <f>IFERROR(__xludf.DUMMYFUNCTION("""COMPUTED_VALUE"""),"Wala 33")</f>
        <v>Wala 33</v>
      </c>
      <c r="D787" s="1" t="str">
        <f>IFERROR(__xludf.DUMMYFUNCTION("""COMPUTED_VALUE"""),"ArcCorp Mining Area 061 (PB)")</f>
        <v>ArcCorp Mining Area 061 (PB)</v>
      </c>
      <c r="E787" s="30" t="str">
        <f>IFERROR(__xludf.DUMMYFUNCTION("""COMPUTED_VALUE"""),"ArcCorp 061")</f>
        <v>ArcCorp 061</v>
      </c>
      <c r="F787" s="10">
        <f>IFERROR(__xludf.DUMMYFUNCTION("""COMPUTED_VALUE"""),-21.0398674825543)</f>
        <v>-21.0398674825543</v>
      </c>
      <c r="G787" s="10">
        <f>IFERROR(__xludf.DUMMYFUNCTION("""COMPUTED_VALUE"""),-247.547925346509)</f>
        <v>-247.547925346509</v>
      </c>
      <c r="H787" s="10">
        <f>IFERROR(__xludf.DUMMYFUNCTION("""COMPUTED_VALUE"""),-132.569892484105)</f>
        <v>-132.569892484105</v>
      </c>
      <c r="I787" s="13"/>
      <c r="J787" s="13"/>
      <c r="K787" s="13"/>
      <c r="L787" s="13"/>
      <c r="M787" s="1" t="b">
        <f>IFERROR(__xludf.DUMMYFUNCTION("""COMPUTED_VALUE"""),TRUE)</f>
        <v>1</v>
      </c>
      <c r="N787" s="10">
        <f>IFERROR(__xludf.DUMMYFUNCTION("""COMPUTED_VALUE"""),0)</f>
        <v>0</v>
      </c>
      <c r="O787" s="10">
        <f>IFERROR(__xludf.DUMMYFUNCTION("""COMPUTED_VALUE"""),0)</f>
        <v>0</v>
      </c>
      <c r="P787" s="10"/>
      <c r="Q787" s="30"/>
      <c r="R787" s="18"/>
      <c r="S787" s="19"/>
      <c r="T787" s="10"/>
      <c r="U787" s="10"/>
      <c r="V787" s="10"/>
      <c r="W787" s="10"/>
      <c r="X787" s="19"/>
      <c r="Y787" s="1"/>
      <c r="Z787" s="1"/>
      <c r="AA787" s="1"/>
    </row>
    <row r="788" customHeight="1" spans="1:27">
      <c r="A788" s="1" t="str">
        <f>IFERROR(__xludf.DUMMYFUNCTION("""COMPUTED_VALUE"""),"Wala 06")</f>
        <v>Wala 06</v>
      </c>
      <c r="B788" s="1" t="str">
        <f>IFERROR(__xludf.DUMMYFUNCTION("""COMPUTED_VALUE"""),"Wala 06")</f>
        <v>Wala 06</v>
      </c>
      <c r="C788" s="1" t="str">
        <f>IFERROR(__xludf.DUMMYFUNCTION("""COMPUTED_VALUE"""),"Wala 11")</f>
        <v>Wala 11</v>
      </c>
      <c r="D788" s="1" t="str">
        <f>IFERROR(__xludf.DUMMYFUNCTION("""COMPUTED_VALUE"""),"Shady Glen Farms")</f>
        <v>Shady Glen Farms</v>
      </c>
      <c r="E788" s="30" t="str">
        <f>IFERROR(__xludf.DUMMYFUNCTION("""COMPUTED_VALUE"""),"ShadyGlen")</f>
        <v>ShadyGlen</v>
      </c>
      <c r="F788" s="10">
        <f>IFERROR(__xludf.DUMMYFUNCTION("""COMPUTED_VALUE"""),-20.622454704)</f>
        <v>-20.622454704</v>
      </c>
      <c r="G788" s="10">
        <f>IFERROR(__xludf.DUMMYFUNCTION("""COMPUTED_VALUE"""),268.985307624)</f>
        <v>268.985307624</v>
      </c>
      <c r="H788" s="10">
        <f>IFERROR(__xludf.DUMMYFUNCTION("""COMPUTED_VALUE"""),87.5342171629999)</f>
        <v>87.5342171629999</v>
      </c>
      <c r="I788" s="13"/>
      <c r="J788" s="13"/>
      <c r="K788" s="13"/>
      <c r="L788" s="13"/>
      <c r="M788" s="1" t="b">
        <f>IFERROR(__xludf.DUMMYFUNCTION("""COMPUTED_VALUE"""),TRUE)</f>
        <v>1</v>
      </c>
      <c r="N788" s="10">
        <f>IFERROR(__xludf.DUMMYFUNCTION("""COMPUTED_VALUE"""),0)</f>
        <v>0</v>
      </c>
      <c r="O788" s="10">
        <f>IFERROR(__xludf.DUMMYFUNCTION("""COMPUTED_VALUE"""),0)</f>
        <v>0</v>
      </c>
      <c r="P788" s="10"/>
      <c r="Q788" s="30"/>
      <c r="R788" s="18"/>
      <c r="S788" s="19"/>
      <c r="T788" s="10"/>
      <c r="U788" s="10"/>
      <c r="V788" s="10"/>
      <c r="W788" s="10"/>
      <c r="X788" s="19"/>
      <c r="Y788" s="1"/>
      <c r="Z788" s="1"/>
      <c r="AA788" s="1"/>
    </row>
    <row r="789" customHeight="1" spans="1:27">
      <c r="A789" s="1" t="str">
        <f>IFERROR(__xludf.DUMMYFUNCTION("""COMPUTED_VALUE"""),"Wala 05")</f>
        <v>Wala 05</v>
      </c>
      <c r="B789" s="1" t="str">
        <f>IFERROR(__xludf.DUMMYFUNCTION("""COMPUTED_VALUE"""),"Wala 05")</f>
        <v>Wala 05</v>
      </c>
      <c r="C789" s="1" t="str">
        <f>IFERROR(__xludf.DUMMYFUNCTION("""COMPUTED_VALUE"""),"Wala 10")</f>
        <v>Wala 10</v>
      </c>
      <c r="D789" s="1" t="str">
        <f>IFERROR(__xludf.DUMMYFUNCTION("""COMPUTED_VALUE"""),"Samson &amp; Son's Salvage Yard")</f>
        <v>Samson &amp; Son's Salvage Yard</v>
      </c>
      <c r="E789" s="30" t="str">
        <f>IFERROR(__xludf.DUMMYFUNCTION("""COMPUTED_VALUE"""),"Samson &amp; Son's")</f>
        <v>Samson &amp; Son's</v>
      </c>
      <c r="F789" s="10">
        <f>IFERROR(__xludf.DUMMYFUNCTION("""COMPUTED_VALUE"""),-42.60003562)</f>
        <v>-42.60003562</v>
      </c>
      <c r="G789" s="10">
        <f>IFERROR(__xludf.DUMMYFUNCTION("""COMPUTED_VALUE"""),279.055209386)</f>
        <v>279.055209386</v>
      </c>
      <c r="H789" s="10">
        <f>IFERROR(__xludf.DUMMYFUNCTION("""COMPUTED_VALUE"""),19.230105734)</f>
        <v>19.230105734</v>
      </c>
      <c r="I789" s="13"/>
      <c r="J789" s="13"/>
      <c r="K789" s="13"/>
      <c r="L789" s="13"/>
      <c r="M789" s="1" t="b">
        <f>IFERROR(__xludf.DUMMYFUNCTION("""COMPUTED_VALUE"""),TRUE)</f>
        <v>1</v>
      </c>
      <c r="N789" s="10">
        <f>IFERROR(__xludf.DUMMYFUNCTION("""COMPUTED_VALUE"""),0)</f>
        <v>0</v>
      </c>
      <c r="O789" s="10">
        <f>IFERROR(__xludf.DUMMYFUNCTION("""COMPUTED_VALUE"""),0)</f>
        <v>0</v>
      </c>
      <c r="P789" s="10"/>
      <c r="Q789" s="30"/>
      <c r="R789" s="18"/>
      <c r="S789" s="19"/>
      <c r="T789" s="10"/>
      <c r="U789" s="10"/>
      <c r="V789" s="10"/>
      <c r="W789" s="10"/>
      <c r="X789" s="19"/>
      <c r="Y789" s="1"/>
      <c r="Z789" s="1"/>
      <c r="AA789" s="1"/>
    </row>
    <row r="790" customHeight="1" spans="1:27">
      <c r="A790" s="1" t="str">
        <f>IFERROR(__xludf.DUMMYFUNCTION("""COMPUTED_VALUE"""),"Wala 07")</f>
        <v>Wala 07</v>
      </c>
      <c r="B790" s="1" t="str">
        <f>IFERROR(__xludf.DUMMYFUNCTION("""COMPUTED_VALUE"""),"Wala 07")</f>
        <v>Wala 07</v>
      </c>
      <c r="C790" s="1" t="str">
        <f>IFERROR(__xludf.DUMMYFUNCTION("""COMPUTED_VALUE"""),"Wala 41")</f>
        <v>Wala 41</v>
      </c>
      <c r="D790" s="1" t="str">
        <f>IFERROR(__xludf.DUMMYFUNCTION("""COMPUTED_VALUE"""),"Paradise Cove")</f>
        <v>Paradise Cove</v>
      </c>
      <c r="E790" s="30" t="str">
        <f>IFERROR(__xludf.DUMMYFUNCTION("""COMPUTED_VALUE"""),"Paradise")</f>
        <v>Paradise</v>
      </c>
      <c r="F790" s="10">
        <f>IFERROR(__xludf.DUMMYFUNCTION("""COMPUTED_VALUE"""),79.975409619)</f>
        <v>79.975409619</v>
      </c>
      <c r="G790" s="10">
        <f>IFERROR(__xludf.DUMMYFUNCTION("""COMPUTED_VALUE"""),-217.911185587)</f>
        <v>-217.911185587</v>
      </c>
      <c r="H790" s="10">
        <f>IFERROR(__xludf.DUMMYFUNCTION("""COMPUTED_VALUE"""),162.334817229)</f>
        <v>162.334817229</v>
      </c>
      <c r="I790" s="13"/>
      <c r="J790" s="13"/>
      <c r="K790" s="13"/>
      <c r="L790" s="13"/>
      <c r="M790" s="1" t="b">
        <f>IFERROR(__xludf.DUMMYFUNCTION("""COMPUTED_VALUE"""),FALSE)</f>
        <v>0</v>
      </c>
      <c r="N790" s="10">
        <f>IFERROR(__xludf.DUMMYFUNCTION("""COMPUTED_VALUE"""),0)</f>
        <v>0</v>
      </c>
      <c r="O790" s="10">
        <f>IFERROR(__xludf.DUMMYFUNCTION("""COMPUTED_VALUE"""),0)</f>
        <v>0</v>
      </c>
      <c r="P790" s="10"/>
      <c r="Q790" s="30"/>
      <c r="R790" s="18"/>
      <c r="S790" s="19"/>
      <c r="T790" s="10"/>
      <c r="U790" s="10"/>
      <c r="V790" s="10"/>
      <c r="W790" s="10"/>
      <c r="X790" s="19"/>
      <c r="Y790" s="1"/>
      <c r="Z790" s="1"/>
      <c r="AA790" s="1"/>
    </row>
    <row r="791" customHeight="1" spans="1:27">
      <c r="A791" s="1" t="str">
        <f>IFERROR(__xludf.DUMMYFUNCTION("""COMPUTED_VALUE"""),"Wala")</f>
        <v>Wala</v>
      </c>
      <c r="B791" s="1" t="str">
        <f>IFERROR(__xludf.DUMMYFUNCTION("""COMPUTED_VALUE"""),"Wala 09")</f>
        <v>Wala 09</v>
      </c>
      <c r="C791" s="1"/>
      <c r="D791" s="1" t="str">
        <f>IFERROR(__xludf.DUMMYFUNCTION("""COMPUTED_VALUE"""),"Underground Bunker Facilities")</f>
        <v>Underground Bunker Facilities</v>
      </c>
      <c r="E791" s="30"/>
      <c r="F791" s="10"/>
      <c r="G791" s="10"/>
      <c r="H791" s="10"/>
      <c r="I791" s="13"/>
      <c r="J791" s="13"/>
      <c r="K791" s="13"/>
      <c r="L791" s="13"/>
      <c r="M791" s="1"/>
      <c r="N791" s="10"/>
      <c r="O791" s="10"/>
      <c r="P791" s="10"/>
      <c r="Q791" s="30"/>
      <c r="R791" s="18"/>
      <c r="S791" s="19"/>
      <c r="T791" s="10"/>
      <c r="U791" s="10"/>
      <c r="V791" s="10"/>
      <c r="W791" s="10"/>
      <c r="X791" s="19"/>
      <c r="Y791" s="1"/>
      <c r="Z791" s="1"/>
      <c r="AA791" s="1"/>
    </row>
    <row r="792" customHeight="1" spans="1:27">
      <c r="A792" s="1" t="str">
        <f>IFERROR(__xludf.DUMMYFUNCTION("""COMPUTED_VALUE"""),"Wala 08")</f>
        <v>Wala 08</v>
      </c>
      <c r="B792" s="1" t="str">
        <f>IFERROR(__xludf.DUMMYFUNCTION("""COMPUTED_VALUE"""),"Wala 10")</f>
        <v>Wala 10</v>
      </c>
      <c r="C792" s="1" t="str">
        <f>IFERROR(__xludf.DUMMYFUNCTION("""COMPUTED_VALUE"""),"Wala 04")</f>
        <v>Wala 04</v>
      </c>
      <c r="D792" s="1" t="str">
        <f>IFERROR(__xludf.DUMMYFUNCTION("""COMPUTED_VALUE"""),"ArcCorp Processing Center 115")</f>
        <v>ArcCorp Processing Center 115</v>
      </c>
      <c r="E792" s="30" t="str">
        <f>IFERROR(__xludf.DUMMYFUNCTION("""COMPUTED_VALUE"""),"ArcCorp 115")</f>
        <v>ArcCorp 115</v>
      </c>
      <c r="F792" s="10">
        <f>IFERROR(__xludf.DUMMYFUNCTION("""COMPUTED_VALUE"""),-277.355976978)</f>
        <v>-277.355976978</v>
      </c>
      <c r="G792" s="10">
        <f>IFERROR(__xludf.DUMMYFUNCTION("""COMPUTED_VALUE"""),50.109954874)</f>
        <v>50.109954874</v>
      </c>
      <c r="H792" s="10">
        <f>IFERROR(__xludf.DUMMYFUNCTION("""COMPUTED_VALUE"""),27.88014772)</f>
        <v>27.88014772</v>
      </c>
      <c r="I792" s="13"/>
      <c r="J792" s="13"/>
      <c r="K792" s="13"/>
      <c r="L792" s="13"/>
      <c r="M792" s="1" t="b">
        <f>IFERROR(__xludf.DUMMYFUNCTION("""COMPUTED_VALUE"""),TRUE)</f>
        <v>1</v>
      </c>
      <c r="N792" s="10"/>
      <c r="O792" s="10"/>
      <c r="P792" s="10"/>
      <c r="Q792" s="30"/>
      <c r="R792" s="18"/>
      <c r="S792" s="19"/>
      <c r="T792" s="10"/>
      <c r="U792" s="10"/>
      <c r="V792" s="10"/>
      <c r="W792" s="10"/>
      <c r="X792" s="19"/>
      <c r="Y792" s="1"/>
      <c r="Z792" s="1"/>
      <c r="AA792" s="1"/>
    </row>
    <row r="793" customHeight="1" spans="1:27">
      <c r="A793" s="1" t="str">
        <f>IFERROR(__xludf.DUMMYFUNCTION("""COMPUTED_VALUE"""),"Wala 09")</f>
        <v>Wala 09</v>
      </c>
      <c r="B793" s="1" t="str">
        <f>IFERROR(__xludf.DUMMYFUNCTION("""COMPUTED_VALUE"""),"Wala 11")</f>
        <v>Wala 11</v>
      </c>
      <c r="C793" s="1" t="str">
        <f>IFERROR(__xludf.DUMMYFUNCTION("""COMPUTED_VALUE"""),"Wala 30")</f>
        <v>Wala 30</v>
      </c>
      <c r="D793" s="1" t="str">
        <f>IFERROR(__xludf.DUMMYFUNCTION("""COMPUTED_VALUE"""),"ArcCorp Processing Center 123")</f>
        <v>ArcCorp Processing Center 123</v>
      </c>
      <c r="E793" s="30" t="str">
        <f>IFERROR(__xludf.DUMMYFUNCTION("""COMPUTED_VALUE"""),"ArcCorp 123")</f>
        <v>ArcCorp 123</v>
      </c>
      <c r="F793" s="10">
        <f>IFERROR(__xludf.DUMMYFUNCTION("""COMPUTED_VALUE"""),130.624319533)</f>
        <v>130.624319533</v>
      </c>
      <c r="G793" s="10">
        <f>IFERROR(__xludf.DUMMYFUNCTION("""COMPUTED_VALUE"""),-247.520551264999)</f>
        <v>-247.520551264999</v>
      </c>
      <c r="H793" s="10">
        <f>IFERROR(__xludf.DUMMYFUNCTION("""COMPUTED_VALUE"""),43.128612045)</f>
        <v>43.128612045</v>
      </c>
      <c r="I793" s="13"/>
      <c r="J793" s="13"/>
      <c r="K793" s="13"/>
      <c r="L793" s="13"/>
      <c r="M793" s="1" t="b">
        <f>IFERROR(__xludf.DUMMYFUNCTION("""COMPUTED_VALUE"""),TRUE)</f>
        <v>1</v>
      </c>
      <c r="N793" s="10"/>
      <c r="O793" s="10"/>
      <c r="P793" s="10"/>
      <c r="Q793" s="30"/>
      <c r="R793" s="18"/>
      <c r="S793" s="19"/>
      <c r="T793" s="10"/>
      <c r="U793" s="10"/>
      <c r="V793" s="10"/>
      <c r="W793" s="10"/>
      <c r="X793" s="19"/>
      <c r="Y793" s="1"/>
      <c r="Z793" s="1"/>
      <c r="AA793" s="1"/>
    </row>
    <row r="794" customHeight="1" spans="1:27">
      <c r="A794" s="1" t="str">
        <f>IFERROR(__xludf.DUMMYFUNCTION("""COMPUTED_VALUE"""),"Wala 10")</f>
        <v>Wala 10</v>
      </c>
      <c r="B794" s="1" t="str">
        <f>IFERROR(__xludf.DUMMYFUNCTION("""COMPUTED_VALUE"""),"Wala 12")</f>
        <v>Wala 12</v>
      </c>
      <c r="C794" s="1" t="str">
        <f>IFERROR(__xludf.DUMMYFUNCTION("""COMPUTED_VALUE"""),"Wala 08")</f>
        <v>Wala 08</v>
      </c>
      <c r="D794" s="1" t="str">
        <f>IFERROR(__xludf.DUMMYFUNCTION("""COMPUTED_VALUE"""),"Good Times Temple")</f>
        <v>Good Times Temple</v>
      </c>
      <c r="E794" s="30" t="str">
        <f>IFERROR(__xludf.DUMMYFUNCTION("""COMPUTED_VALUE"""),"GoodTimes")</f>
        <v>GoodTimes</v>
      </c>
      <c r="F794" s="10">
        <f>IFERROR(__xludf.DUMMYFUNCTION("""COMPUTED_VALUE"""),-113.299669524)</f>
        <v>-113.299669524</v>
      </c>
      <c r="G794" s="10">
        <f>IFERROR(__xludf.DUMMYFUNCTION("""COMPUTED_VALUE"""),179.510183592999)</f>
        <v>179.510183592999</v>
      </c>
      <c r="H794" s="10">
        <f>IFERROR(__xludf.DUMMYFUNCTION("""COMPUTED_VALUE"""),187.365807493)</f>
        <v>187.365807493</v>
      </c>
      <c r="I794" s="13"/>
      <c r="J794" s="13"/>
      <c r="K794" s="13"/>
      <c r="L794" s="13"/>
      <c r="M794" s="1" t="b">
        <f>IFERROR(__xludf.DUMMYFUNCTION("""COMPUTED_VALUE"""),TRUE)</f>
        <v>1</v>
      </c>
      <c r="N794" s="10"/>
      <c r="O794" s="10"/>
      <c r="P794" s="10"/>
      <c r="Q794" s="30"/>
      <c r="R794" s="18"/>
      <c r="S794" s="19"/>
      <c r="T794" s="10"/>
      <c r="U794" s="10"/>
      <c r="V794" s="10"/>
      <c r="W794" s="10"/>
      <c r="X794" s="19"/>
      <c r="Y794" s="1"/>
      <c r="Z794" s="1"/>
      <c r="AA794" s="1"/>
    </row>
    <row r="795" customHeight="1" spans="1:27">
      <c r="A795" s="1" t="str">
        <f>IFERROR(__xludf.DUMMYFUNCTION("""COMPUTED_VALUE"""),"Wala 11")</f>
        <v>Wala 11</v>
      </c>
      <c r="B795" s="1" t="str">
        <f>IFERROR(__xludf.DUMMYFUNCTION("""COMPUTED_VALUE"""),"Wala 13")</f>
        <v>Wala 13</v>
      </c>
      <c r="C795" s="1" t="str">
        <f>IFERROR(__xludf.DUMMYFUNCTION("""COMPUTED_VALUE"""),"Wala 18")</f>
        <v>Wala 18</v>
      </c>
      <c r="D795" s="1" t="str">
        <f>IFERROR(__xludf.DUMMYFUNCTION("""COMPUTED_VALUE"""),"Lost and Found")</f>
        <v>Lost and Found</v>
      </c>
      <c r="E795" s="30" t="str">
        <f>IFERROR(__xludf.DUMMYFUNCTION("""COMPUTED_VALUE"""),"LostFound")</f>
        <v>LostFound</v>
      </c>
      <c r="F795" s="10">
        <f>IFERROR(__xludf.DUMMYFUNCTION("""COMPUTED_VALUE"""),62.556055113)</f>
        <v>62.556055113</v>
      </c>
      <c r="G795" s="10">
        <f>IFERROR(__xludf.DUMMYFUNCTION("""COMPUTED_VALUE"""),114.329512422999)</f>
        <v>114.329512422999</v>
      </c>
      <c r="H795" s="10">
        <f>IFERROR(__xludf.DUMMYFUNCTION("""COMPUTED_VALUE"""),251.558728612)</f>
        <v>251.558728612</v>
      </c>
      <c r="I795" s="13"/>
      <c r="J795" s="13"/>
      <c r="K795" s="13"/>
      <c r="L795" s="13"/>
      <c r="M795" s="1" t="b">
        <f>IFERROR(__xludf.DUMMYFUNCTION("""COMPUTED_VALUE"""),TRUE)</f>
        <v>1</v>
      </c>
      <c r="N795" s="10"/>
      <c r="O795" s="10"/>
      <c r="P795" s="10"/>
      <c r="Q795" s="30"/>
      <c r="R795" s="18"/>
      <c r="S795" s="19"/>
      <c r="T795" s="10"/>
      <c r="U795" s="10"/>
      <c r="V795" s="10"/>
      <c r="W795" s="10"/>
      <c r="X795" s="19"/>
      <c r="Y795" s="1"/>
      <c r="Z795" s="1"/>
      <c r="AA795" s="1"/>
    </row>
    <row r="796" customHeight="1" spans="1:27">
      <c r="A796" s="1" t="str">
        <f>IFERROR(__xludf.DUMMYFUNCTION("""COMPUTED_VALUE"""),"Wala")</f>
        <v>Wala</v>
      </c>
      <c r="B796" s="1" t="str">
        <f>IFERROR(__xludf.DUMMYFUNCTION("""COMPUTED_VALUE"""),"Wala 15")</f>
        <v>Wala 15</v>
      </c>
      <c r="C796" s="1"/>
      <c r="D796" s="1" t="str">
        <f>IFERROR(__xludf.DUMMYFUNCTION("""COMPUTED_VALUE"""),"Settlements")</f>
        <v>Settlements</v>
      </c>
      <c r="E796" s="30"/>
      <c r="F796" s="10"/>
      <c r="G796" s="10"/>
      <c r="H796" s="10"/>
      <c r="I796" s="13"/>
      <c r="J796" s="13"/>
      <c r="K796" s="13"/>
      <c r="L796" s="13"/>
      <c r="M796" s="1"/>
      <c r="N796" s="10"/>
      <c r="O796" s="10"/>
      <c r="P796" s="10"/>
      <c r="Q796" s="30"/>
      <c r="R796" s="18"/>
      <c r="S796" s="19"/>
      <c r="T796" s="10"/>
      <c r="U796" s="10"/>
      <c r="V796" s="10"/>
      <c r="W796" s="10"/>
      <c r="X796" s="19"/>
      <c r="Y796" s="1"/>
      <c r="Z796" s="1"/>
      <c r="AA796" s="1"/>
    </row>
    <row r="797" customHeight="1" spans="1:27">
      <c r="A797" s="1" t="str">
        <f>IFERROR(__xludf.DUMMYFUNCTION("""COMPUTED_VALUE"""),"Wala 13")</f>
        <v>Wala 13</v>
      </c>
      <c r="B797" s="1" t="str">
        <f>IFERROR(__xludf.DUMMYFUNCTION("""COMPUTED_VALUE"""),"Wala 16")</f>
        <v>Wala 16</v>
      </c>
      <c r="C797" s="1" t="str">
        <f>IFERROR(__xludf.DUMMYFUNCTION("""COMPUTED_VALUE"""),"Wala 03")</f>
        <v>Wala 03</v>
      </c>
      <c r="D797" s="1" t="str">
        <f>IFERROR(__xludf.DUMMYFUNCTION("""COMPUTED_VALUE"""),"Wala Settlement")</f>
        <v>Wala Settlement</v>
      </c>
      <c r="E797" s="30" t="str">
        <f>IFERROR(__xludf.DUMMYFUNCTION("""COMPUTED_VALUE"""),"Settlement 3b")</f>
        <v>Settlement 3b</v>
      </c>
      <c r="F797" s="10">
        <f>IFERROR(__xludf.DUMMYFUNCTION("""COMPUTED_VALUE"""),-282.215569006)</f>
        <v>-282.215569006</v>
      </c>
      <c r="G797" s="10">
        <f>IFERROR(__xludf.DUMMYFUNCTION("""COMPUTED_VALUE"""),24.874644376)</f>
        <v>24.874644376</v>
      </c>
      <c r="H797" s="10">
        <f>IFERROR(__xludf.DUMMYFUNCTION("""COMPUTED_VALUE"""),5.802410767)</f>
        <v>5.802410767</v>
      </c>
      <c r="I797" s="13"/>
      <c r="J797" s="13"/>
      <c r="K797" s="13"/>
      <c r="L797" s="13"/>
      <c r="M797" s="1" t="b">
        <f>IFERROR(__xludf.DUMMYFUNCTION("""COMPUTED_VALUE"""),FALSE)</f>
        <v>0</v>
      </c>
      <c r="N797" s="10">
        <f>IFERROR(__xludf.DUMMYFUNCTION("""COMPUTED_VALUE"""),0)</f>
        <v>0</v>
      </c>
      <c r="O797" s="10">
        <f>IFERROR(__xludf.DUMMYFUNCTION("""COMPUTED_VALUE"""),0)</f>
        <v>0</v>
      </c>
      <c r="P797" s="10"/>
      <c r="Q797" s="30"/>
      <c r="R797" s="18"/>
      <c r="S797" s="19"/>
      <c r="T797" s="10"/>
      <c r="U797" s="10"/>
      <c r="V797" s="10"/>
      <c r="W797" s="10"/>
      <c r="X797" s="19"/>
      <c r="Y797" s="1"/>
      <c r="Z797" s="1"/>
      <c r="AA797" s="1"/>
    </row>
    <row r="798" customHeight="1" spans="1:27">
      <c r="A798" s="1" t="str">
        <f>IFERROR(__xludf.DUMMYFUNCTION("""COMPUTED_VALUE"""),"Wala")</f>
        <v>Wala</v>
      </c>
      <c r="B798" s="1" t="str">
        <f>IFERROR(__xludf.DUMMYFUNCTION("""COMPUTED_VALUE"""),"Wala 18")</f>
        <v>Wala 18</v>
      </c>
      <c r="C798" s="1"/>
      <c r="D798" s="1" t="str">
        <f>IFERROR(__xludf.DUMMYFUNCTION("""COMPUTED_VALUE"""),"Caves")</f>
        <v>Caves</v>
      </c>
      <c r="E798" s="30"/>
      <c r="F798" s="10"/>
      <c r="G798" s="10"/>
      <c r="H798" s="10"/>
      <c r="I798" s="13"/>
      <c r="J798" s="13"/>
      <c r="K798" s="13"/>
      <c r="L798" s="13"/>
      <c r="M798" s="1"/>
      <c r="N798" s="10"/>
      <c r="O798" s="10"/>
      <c r="P798" s="10"/>
      <c r="Q798" s="30"/>
      <c r="R798" s="18"/>
      <c r="S798" s="19"/>
      <c r="T798" s="10"/>
      <c r="U798" s="10"/>
      <c r="V798" s="10"/>
      <c r="W798" s="10"/>
      <c r="X798" s="19"/>
      <c r="Y798" s="1"/>
      <c r="Z798" s="1"/>
      <c r="AA798" s="1"/>
    </row>
    <row r="799" customHeight="1" spans="1:27">
      <c r="A799" s="1" t="str">
        <f>IFERROR(__xludf.DUMMYFUNCTION("""COMPUTED_VALUE"""),"Wala 30")</f>
        <v>Wala 30</v>
      </c>
      <c r="B799" s="1" t="str">
        <f>IFERROR(__xludf.DUMMYFUNCTION("""COMPUTED_VALUE"""),"Wala 35")</f>
        <v>Wala 35</v>
      </c>
      <c r="C799" s="1" t="str">
        <f>IFERROR(__xludf.DUMMYFUNCTION("""COMPUTED_VALUE"""),"Wala 14")</f>
        <v>Wala 14</v>
      </c>
      <c r="D799" s="1" t="str">
        <f>IFERROR(__xludf.DUMMYFUNCTION("""COMPUTED_VALUE"""),"Sand Cave 42S")</f>
        <v>Sand Cave 42S</v>
      </c>
      <c r="E799" s="30" t="str">
        <f>IFERROR(__xludf.DUMMYFUNCTION("""COMPUTED_VALUE"""),"SCave 42S")</f>
        <v>SCave 42S</v>
      </c>
      <c r="F799" s="10">
        <f>IFERROR(__xludf.DUMMYFUNCTION("""COMPUTED_VALUE"""),75.3781792279999)</f>
        <v>75.3781792279999</v>
      </c>
      <c r="G799" s="10">
        <f>IFERROR(__xludf.DUMMYFUNCTION("""COMPUTED_VALUE"""),224.132840023)</f>
        <v>224.132840023</v>
      </c>
      <c r="H799" s="10">
        <f>IFERROR(__xludf.DUMMYFUNCTION("""COMPUTED_VALUE"""),155.442797820999)</f>
        <v>155.442797820999</v>
      </c>
      <c r="I799" s="13"/>
      <c r="J799" s="13"/>
      <c r="K799" s="13"/>
      <c r="L799" s="13"/>
      <c r="M799" s="1" t="b">
        <f>IFERROR(__xludf.DUMMYFUNCTION("""COMPUTED_VALUE"""),FALSE)</f>
        <v>0</v>
      </c>
      <c r="N799" s="10">
        <f>IFERROR(__xludf.DUMMYFUNCTION("""COMPUTED_VALUE"""),0)</f>
        <v>0</v>
      </c>
      <c r="O799" s="10">
        <f>IFERROR(__xludf.DUMMYFUNCTION("""COMPUTED_VALUE"""),0)</f>
        <v>0</v>
      </c>
      <c r="P799" s="10"/>
      <c r="Q799" s="30"/>
      <c r="R799" s="18"/>
      <c r="S799" s="19"/>
      <c r="T799" s="10"/>
      <c r="U799" s="10"/>
      <c r="V799" s="10"/>
      <c r="W799" s="10"/>
      <c r="X799" s="19"/>
      <c r="Y799" s="1"/>
      <c r="Z799" s="1"/>
      <c r="AA799" s="1"/>
    </row>
    <row r="800" customHeight="1" spans="1:27">
      <c r="A800" s="1" t="str">
        <f>IFERROR(__xludf.DUMMYFUNCTION("""COMPUTED_VALUE"""),"Wala 27")</f>
        <v>Wala 27</v>
      </c>
      <c r="B800" s="1" t="str">
        <f>IFERROR(__xludf.DUMMYFUNCTION("""COMPUTED_VALUE"""),"Wala 32")</f>
        <v>Wala 32</v>
      </c>
      <c r="C800" s="1" t="str">
        <f>IFERROR(__xludf.DUMMYFUNCTION("""COMPUTED_VALUE"""),"Wala 17")</f>
        <v>Wala 17</v>
      </c>
      <c r="D800" s="1" t="str">
        <f>IFERROR(__xludf.DUMMYFUNCTION("""COMPUTED_VALUE"""),"Sand Cave 41Q")</f>
        <v>Sand Cave 41Q</v>
      </c>
      <c r="E800" s="30" t="str">
        <f>IFERROR(__xludf.DUMMYFUNCTION("""COMPUTED_VALUE"""),"SCave 41Q")</f>
        <v>SCave 41Q</v>
      </c>
      <c r="F800" s="10">
        <f>IFERROR(__xludf.DUMMYFUNCTION("""COMPUTED_VALUE"""),109.525723191)</f>
        <v>109.525723191</v>
      </c>
      <c r="G800" s="10">
        <f>IFERROR(__xludf.DUMMYFUNCTION("""COMPUTED_VALUE"""),242.627691511)</f>
        <v>242.627691511</v>
      </c>
      <c r="H800" s="10">
        <f>IFERROR(__xludf.DUMMYFUNCTION("""COMPUTED_VALUE"""),99.072811524)</f>
        <v>99.072811524</v>
      </c>
      <c r="I800" s="13"/>
      <c r="J800" s="13"/>
      <c r="K800" s="13"/>
      <c r="L800" s="13"/>
      <c r="M800" s="1" t="b">
        <f>IFERROR(__xludf.DUMMYFUNCTION("""COMPUTED_VALUE"""),FALSE)</f>
        <v>0</v>
      </c>
      <c r="N800" s="10">
        <f>IFERROR(__xludf.DUMMYFUNCTION("""COMPUTED_VALUE"""),0)</f>
        <v>0</v>
      </c>
      <c r="O800" s="10">
        <f>IFERROR(__xludf.DUMMYFUNCTION("""COMPUTED_VALUE"""),0)</f>
        <v>0</v>
      </c>
      <c r="P800" s="10"/>
      <c r="Q800" s="30"/>
      <c r="R800" s="18"/>
      <c r="S800" s="19"/>
      <c r="T800" s="10"/>
      <c r="U800" s="10"/>
      <c r="V800" s="10"/>
      <c r="W800" s="10"/>
      <c r="X800" s="19"/>
      <c r="Y800" s="1"/>
      <c r="Z800" s="1"/>
      <c r="AA800" s="1"/>
    </row>
    <row r="801" customHeight="1" spans="1:27">
      <c r="A801" s="1" t="str">
        <f>IFERROR(__xludf.DUMMYFUNCTION("""COMPUTED_VALUE"""),"Wala 29")</f>
        <v>Wala 29</v>
      </c>
      <c r="B801" s="1" t="str">
        <f>IFERROR(__xludf.DUMMYFUNCTION("""COMPUTED_VALUE"""),"Wala 34")</f>
        <v>Wala 34</v>
      </c>
      <c r="C801" s="1" t="str">
        <f>IFERROR(__xludf.DUMMYFUNCTION("""COMPUTED_VALUE"""),"Wala 16")</f>
        <v>Wala 16</v>
      </c>
      <c r="D801" s="1" t="str">
        <f>IFERROR(__xludf.DUMMYFUNCTION("""COMPUTED_VALUE"""),"Sand Cave 42P")</f>
        <v>Sand Cave 42P</v>
      </c>
      <c r="E801" s="30" t="str">
        <f>IFERROR(__xludf.DUMMYFUNCTION("""COMPUTED_VALUE"""),"SCave 42P")</f>
        <v>SCave 42P</v>
      </c>
      <c r="F801" s="10">
        <f>IFERROR(__xludf.DUMMYFUNCTION("""COMPUTED_VALUE"""),99.3419145319998)</f>
        <v>99.3419145319998</v>
      </c>
      <c r="G801" s="10">
        <f>IFERROR(__xludf.DUMMYFUNCTION("""COMPUTED_VALUE"""),259.995649440999)</f>
        <v>259.995649440999</v>
      </c>
      <c r="H801" s="10">
        <f>IFERROR(__xludf.DUMMYFUNCTION("""COMPUTED_VALUE"""),51.610348591)</f>
        <v>51.610348591</v>
      </c>
      <c r="I801" s="13"/>
      <c r="J801" s="13"/>
      <c r="K801" s="13"/>
      <c r="L801" s="13"/>
      <c r="M801" s="1" t="b">
        <f>IFERROR(__xludf.DUMMYFUNCTION("""COMPUTED_VALUE"""),FALSE)</f>
        <v>0</v>
      </c>
      <c r="N801" s="10">
        <f>IFERROR(__xludf.DUMMYFUNCTION("""COMPUTED_VALUE"""),0)</f>
        <v>0</v>
      </c>
      <c r="O801" s="10">
        <f>IFERROR(__xludf.DUMMYFUNCTION("""COMPUTED_VALUE"""),0)</f>
        <v>0</v>
      </c>
      <c r="P801" s="10"/>
      <c r="Q801" s="30"/>
      <c r="R801" s="18"/>
      <c r="S801" s="19"/>
      <c r="T801" s="10"/>
      <c r="U801" s="10"/>
      <c r="V801" s="10"/>
      <c r="W801" s="10"/>
      <c r="X801" s="19"/>
      <c r="Y801" s="1"/>
      <c r="Z801" s="1"/>
      <c r="AA801" s="1"/>
    </row>
    <row r="802" customHeight="1" spans="1:27">
      <c r="A802" s="1" t="str">
        <f>IFERROR(__xludf.DUMMYFUNCTION("""COMPUTED_VALUE"""),"Wala 26")</f>
        <v>Wala 26</v>
      </c>
      <c r="B802" s="1" t="str">
        <f>IFERROR(__xludf.DUMMYFUNCTION("""COMPUTED_VALUE"""),"Wala 31")</f>
        <v>Wala 31</v>
      </c>
      <c r="C802" s="1" t="str">
        <f>IFERROR(__xludf.DUMMYFUNCTION("""COMPUTED_VALUE"""),"Wala 19")</f>
        <v>Wala 19</v>
      </c>
      <c r="D802" s="1" t="str">
        <f>IFERROR(__xludf.DUMMYFUNCTION("""COMPUTED_VALUE"""),"Sand Cave 37L")</f>
        <v>Sand Cave 37L</v>
      </c>
      <c r="E802" s="30" t="str">
        <f>IFERROR(__xludf.DUMMYFUNCTION("""COMPUTED_VALUE"""),"SCave 37L")</f>
        <v>SCave 37L</v>
      </c>
      <c r="F802" s="10">
        <f>IFERROR(__xludf.DUMMYFUNCTION("""COMPUTED_VALUE"""),208.809538657)</f>
        <v>208.809538657</v>
      </c>
      <c r="G802" s="10">
        <f>IFERROR(__xludf.DUMMYFUNCTION("""COMPUTED_VALUE"""),185.675666514999)</f>
        <v>185.675666514999</v>
      </c>
      <c r="H802" s="10">
        <f>IFERROR(__xludf.DUMMYFUNCTION("""COMPUTED_VALUE"""),-47.3710333889999)</f>
        <v>-47.3710333889999</v>
      </c>
      <c r="I802" s="13"/>
      <c r="J802" s="13"/>
      <c r="K802" s="13"/>
      <c r="L802" s="13"/>
      <c r="M802" s="1" t="b">
        <f>IFERROR(__xludf.DUMMYFUNCTION("""COMPUTED_VALUE"""),FALSE)</f>
        <v>0</v>
      </c>
      <c r="N802" s="10">
        <f>IFERROR(__xludf.DUMMYFUNCTION("""COMPUTED_VALUE"""),0)</f>
        <v>0</v>
      </c>
      <c r="O802" s="10">
        <f>IFERROR(__xludf.DUMMYFUNCTION("""COMPUTED_VALUE"""),0)</f>
        <v>0</v>
      </c>
      <c r="P802" s="10"/>
      <c r="Q802" s="30"/>
      <c r="R802" s="18"/>
      <c r="S802" s="19"/>
      <c r="T802" s="10"/>
      <c r="U802" s="10"/>
      <c r="V802" s="10"/>
      <c r="W802" s="10"/>
      <c r="X802" s="19"/>
      <c r="Y802" s="1"/>
      <c r="Z802" s="1"/>
      <c r="AA802" s="1"/>
    </row>
    <row r="803" customHeight="1" spans="1:27">
      <c r="A803" s="1" t="str">
        <f>IFERROR(__xludf.DUMMYFUNCTION("""COMPUTED_VALUE"""),"Wala 31")</f>
        <v>Wala 31</v>
      </c>
      <c r="B803" s="1" t="str">
        <f>IFERROR(__xludf.DUMMYFUNCTION("""COMPUTED_VALUE"""),"Wala 36")</f>
        <v>Wala 36</v>
      </c>
      <c r="C803" s="1" t="str">
        <f>IFERROR(__xludf.DUMMYFUNCTION("""COMPUTED_VALUE"""),"Wala 13")</f>
        <v>Wala 13</v>
      </c>
      <c r="D803" s="1" t="str">
        <f>IFERROR(__xludf.DUMMYFUNCTION("""COMPUTED_VALUE"""),"Sand Cave 43K")</f>
        <v>Sand Cave 43K</v>
      </c>
      <c r="E803" s="30" t="str">
        <f>IFERROR(__xludf.DUMMYFUNCTION("""COMPUTED_VALUE"""),"SCave 43K")</f>
        <v>SCave 43K</v>
      </c>
      <c r="F803" s="10">
        <f>IFERROR(__xludf.DUMMYFUNCTION("""COMPUTED_VALUE"""),63.7878897149999)</f>
        <v>63.7878897149999</v>
      </c>
      <c r="G803" s="10">
        <f>IFERROR(__xludf.DUMMYFUNCTION("""COMPUTED_VALUE"""),251.641255278)</f>
        <v>251.641255278</v>
      </c>
      <c r="H803" s="10">
        <f>IFERROR(__xludf.DUMMYFUNCTION("""COMPUTED_VALUE"""),-113.115833787)</f>
        <v>-113.115833787</v>
      </c>
      <c r="I803" s="13"/>
      <c r="J803" s="13"/>
      <c r="K803" s="13"/>
      <c r="L803" s="13"/>
      <c r="M803" s="1" t="b">
        <f>IFERROR(__xludf.DUMMYFUNCTION("""COMPUTED_VALUE"""),FALSE)</f>
        <v>0</v>
      </c>
      <c r="N803" s="10">
        <f>IFERROR(__xludf.DUMMYFUNCTION("""COMPUTED_VALUE"""),0)</f>
        <v>0</v>
      </c>
      <c r="O803" s="10">
        <f>IFERROR(__xludf.DUMMYFUNCTION("""COMPUTED_VALUE"""),0)</f>
        <v>0</v>
      </c>
      <c r="P803" s="10"/>
      <c r="Q803" s="30"/>
      <c r="R803" s="18"/>
      <c r="S803" s="19"/>
      <c r="T803" s="10"/>
      <c r="U803" s="10"/>
      <c r="V803" s="10"/>
      <c r="W803" s="10"/>
      <c r="X803" s="19"/>
      <c r="Y803" s="1"/>
      <c r="Z803" s="1"/>
      <c r="AA803" s="1"/>
    </row>
    <row r="804" customHeight="1" spans="1:27">
      <c r="A804" s="1" t="str">
        <f>IFERROR(__xludf.DUMMYFUNCTION("""COMPUTED_VALUE"""),"Wala 32")</f>
        <v>Wala 32</v>
      </c>
      <c r="B804" s="1" t="str">
        <f>IFERROR(__xludf.DUMMYFUNCTION("""COMPUTED_VALUE"""),"Wala 37")</f>
        <v>Wala 37</v>
      </c>
      <c r="C804" s="1" t="str">
        <f>IFERROR(__xludf.DUMMYFUNCTION("""COMPUTED_VALUE"""),"Wala 09")</f>
        <v>Wala 09</v>
      </c>
      <c r="D804" s="1" t="str">
        <f>IFERROR(__xludf.DUMMYFUNCTION("""COMPUTED_VALUE"""),"Sand Cave 48L")</f>
        <v>Sand Cave 48L</v>
      </c>
      <c r="E804" s="30" t="str">
        <f>IFERROR(__xludf.DUMMYFUNCTION("""COMPUTED_VALUE"""),"SCave 48L")</f>
        <v>SCave 48L</v>
      </c>
      <c r="F804" s="10">
        <f>IFERROR(__xludf.DUMMYFUNCTION("""COMPUTED_VALUE"""),-61.961991905)</f>
        <v>-61.961991905</v>
      </c>
      <c r="G804" s="10">
        <f>IFERROR(__xludf.DUMMYFUNCTION("""COMPUTED_VALUE"""),273.111300006999)</f>
        <v>273.111300006999</v>
      </c>
      <c r="H804" s="10">
        <f>IFERROR(__xludf.DUMMYFUNCTION("""COMPUTED_VALUE"""),-41.8759401369999)</f>
        <v>-41.8759401369999</v>
      </c>
      <c r="I804" s="13"/>
      <c r="J804" s="13"/>
      <c r="K804" s="13"/>
      <c r="L804" s="13"/>
      <c r="M804" s="1" t="b">
        <f>IFERROR(__xludf.DUMMYFUNCTION("""COMPUTED_VALUE"""),FALSE)</f>
        <v>0</v>
      </c>
      <c r="N804" s="10">
        <f>IFERROR(__xludf.DUMMYFUNCTION("""COMPUTED_VALUE"""),0)</f>
        <v>0</v>
      </c>
      <c r="O804" s="10">
        <f>IFERROR(__xludf.DUMMYFUNCTION("""COMPUTED_VALUE"""),0)</f>
        <v>0</v>
      </c>
      <c r="P804" s="10"/>
      <c r="Q804" s="30"/>
      <c r="R804" s="18"/>
      <c r="S804" s="19"/>
      <c r="T804" s="10"/>
      <c r="U804" s="10"/>
      <c r="V804" s="10"/>
      <c r="W804" s="10"/>
      <c r="X804" s="19"/>
      <c r="Y804" s="1"/>
      <c r="Z804" s="1"/>
      <c r="AA804" s="1"/>
    </row>
    <row r="805" customHeight="1" spans="1:27">
      <c r="A805" s="1" t="str">
        <f>IFERROR(__xludf.DUMMYFUNCTION("""COMPUTED_VALUE"""),"Wala 33")</f>
        <v>Wala 33</v>
      </c>
      <c r="B805" s="1" t="str">
        <f>IFERROR(__xludf.DUMMYFUNCTION("""COMPUTED_VALUE"""),"Wala 38")</f>
        <v>Wala 38</v>
      </c>
      <c r="C805" s="1" t="str">
        <f>IFERROR(__xludf.DUMMYFUNCTION("""COMPUTED_VALUE"""),"Wala 07")</f>
        <v>Wala 07</v>
      </c>
      <c r="D805" s="1" t="str">
        <f>IFERROR(__xludf.DUMMYFUNCTION("""COMPUTED_VALUE"""),"Sand Cave 54K")</f>
        <v>Sand Cave 54K</v>
      </c>
      <c r="E805" s="30" t="str">
        <f>IFERROR(__xludf.DUMMYFUNCTION("""COMPUTED_VALUE"""),"SCave 54K")</f>
        <v>SCave 54K</v>
      </c>
      <c r="F805" s="10">
        <f>IFERROR(__xludf.DUMMYFUNCTION("""COMPUTED_VALUE"""),-193.863458707)</f>
        <v>-193.863458707</v>
      </c>
      <c r="G805" s="10">
        <f>IFERROR(__xludf.DUMMYFUNCTION("""COMPUTED_VALUE"""),171.549633154999)</f>
        <v>171.549633154999</v>
      </c>
      <c r="H805" s="10">
        <f>IFERROR(__xludf.DUMMYFUNCTION("""COMPUTED_VALUE"""),-114.353478816)</f>
        <v>-114.353478816</v>
      </c>
      <c r="I805" s="13"/>
      <c r="J805" s="13"/>
      <c r="K805" s="13"/>
      <c r="L805" s="13"/>
      <c r="M805" s="1" t="b">
        <f>IFERROR(__xludf.DUMMYFUNCTION("""COMPUTED_VALUE"""),FALSE)</f>
        <v>0</v>
      </c>
      <c r="N805" s="10">
        <f>IFERROR(__xludf.DUMMYFUNCTION("""COMPUTED_VALUE"""),0)</f>
        <v>0</v>
      </c>
      <c r="O805" s="10">
        <f>IFERROR(__xludf.DUMMYFUNCTION("""COMPUTED_VALUE"""),0)</f>
        <v>0</v>
      </c>
      <c r="P805" s="10"/>
      <c r="Q805" s="30"/>
      <c r="R805" s="18"/>
      <c r="S805" s="19"/>
      <c r="T805" s="10"/>
      <c r="U805" s="10"/>
      <c r="V805" s="10"/>
      <c r="W805" s="10"/>
      <c r="X805" s="19"/>
      <c r="Y805" s="1"/>
      <c r="Z805" s="1"/>
      <c r="AA805" s="1"/>
    </row>
    <row r="806" customHeight="1" spans="1:27">
      <c r="A806" s="1" t="str">
        <f>IFERROR(__xludf.DUMMYFUNCTION("""COMPUTED_VALUE"""),"Wala 15")</f>
        <v>Wala 15</v>
      </c>
      <c r="B806" s="1" t="str">
        <f>IFERROR(__xludf.DUMMYFUNCTION("""COMPUTED_VALUE"""),"Wala 20")</f>
        <v>Wala 20</v>
      </c>
      <c r="C806" s="1" t="str">
        <f>IFERROR(__xludf.DUMMYFUNCTION("""COMPUTED_VALUE"""),"Wala 39")</f>
        <v>Wala 39</v>
      </c>
      <c r="D806" s="1" t="str">
        <f>IFERROR(__xludf.DUMMYFUNCTION("""COMPUTED_VALUE"""),"Sand Cave 02J")</f>
        <v>Sand Cave 02J</v>
      </c>
      <c r="E806" s="30" t="str">
        <f>IFERROR(__xludf.DUMMYFUNCTION("""COMPUTED_VALUE"""),"SCave 02J")</f>
        <v>SCave 02J</v>
      </c>
      <c r="F806" s="10">
        <f>IFERROR(__xludf.DUMMYFUNCTION("""COMPUTED_VALUE"""),-243.927328767)</f>
        <v>-243.927328767</v>
      </c>
      <c r="G806" s="10">
        <f>IFERROR(__xludf.DUMMYFUNCTION("""COMPUTED_VALUE"""),-39.222250328)</f>
        <v>-39.222250328</v>
      </c>
      <c r="H806" s="10">
        <f>IFERROR(__xludf.DUMMYFUNCTION("""COMPUTED_VALUE"""),-138.548881571)</f>
        <v>-138.548881571</v>
      </c>
      <c r="I806" s="13"/>
      <c r="J806" s="13"/>
      <c r="K806" s="13"/>
      <c r="L806" s="13"/>
      <c r="M806" s="1" t="b">
        <f>IFERROR(__xludf.DUMMYFUNCTION("""COMPUTED_VALUE"""),FALSE)</f>
        <v>0</v>
      </c>
      <c r="N806" s="10">
        <f>IFERROR(__xludf.DUMMYFUNCTION("""COMPUTED_VALUE"""),0)</f>
        <v>0</v>
      </c>
      <c r="O806" s="10">
        <f>IFERROR(__xludf.DUMMYFUNCTION("""COMPUTED_VALUE"""),0)</f>
        <v>0</v>
      </c>
      <c r="P806" s="10"/>
      <c r="Q806" s="30"/>
      <c r="R806" s="18"/>
      <c r="S806" s="19"/>
      <c r="T806" s="10"/>
      <c r="U806" s="10"/>
      <c r="V806" s="10"/>
      <c r="W806" s="10"/>
      <c r="X806" s="19"/>
      <c r="Y806" s="1"/>
      <c r="Z806" s="1"/>
      <c r="AA806" s="1"/>
    </row>
    <row r="807" customHeight="1" spans="1:27">
      <c r="A807" s="1" t="str">
        <f>IFERROR(__xludf.DUMMYFUNCTION("""COMPUTED_VALUE"""),"Wala 16")</f>
        <v>Wala 16</v>
      </c>
      <c r="B807" s="1" t="str">
        <f>IFERROR(__xludf.DUMMYFUNCTION("""COMPUTED_VALUE"""),"Wala 21")</f>
        <v>Wala 21</v>
      </c>
      <c r="C807" s="1" t="str">
        <f>IFERROR(__xludf.DUMMYFUNCTION("""COMPUTED_VALUE"""),"Wala 38")</f>
        <v>Wala 38</v>
      </c>
      <c r="D807" s="1" t="str">
        <f>IFERROR(__xludf.DUMMYFUNCTION("""COMPUTED_VALUE"""),"Sand Cave 07K")</f>
        <v>Sand Cave 07K</v>
      </c>
      <c r="E807" s="30" t="str">
        <f>IFERROR(__xludf.DUMMYFUNCTION("""COMPUTED_VALUE"""),"SCave 07K")</f>
        <v>SCave 07K</v>
      </c>
      <c r="F807" s="10">
        <f>IFERROR(__xludf.DUMMYFUNCTION("""COMPUTED_VALUE"""),-197.960446243)</f>
        <v>-197.960446243</v>
      </c>
      <c r="G807" s="10">
        <f>IFERROR(__xludf.DUMMYFUNCTION("""COMPUTED_VALUE"""),-167.735679001)</f>
        <v>-167.735679001</v>
      </c>
      <c r="H807" s="10">
        <f>IFERROR(__xludf.DUMMYFUNCTION("""COMPUTED_VALUE"""),-112.535451358999)</f>
        <v>-112.535451358999</v>
      </c>
      <c r="I807" s="13"/>
      <c r="J807" s="13"/>
      <c r="K807" s="13"/>
      <c r="L807" s="13"/>
      <c r="M807" s="1" t="b">
        <f>IFERROR(__xludf.DUMMYFUNCTION("""COMPUTED_VALUE"""),FALSE)</f>
        <v>0</v>
      </c>
      <c r="N807" s="10">
        <f>IFERROR(__xludf.DUMMYFUNCTION("""COMPUTED_VALUE"""),0)</f>
        <v>0</v>
      </c>
      <c r="O807" s="10">
        <f>IFERROR(__xludf.DUMMYFUNCTION("""COMPUTED_VALUE"""),0)</f>
        <v>0</v>
      </c>
      <c r="P807" s="10"/>
      <c r="Q807" s="30"/>
      <c r="R807" s="18"/>
      <c r="S807" s="19"/>
      <c r="T807" s="10"/>
      <c r="U807" s="10"/>
      <c r="V807" s="10"/>
      <c r="W807" s="10"/>
      <c r="X807" s="19"/>
      <c r="Y807" s="1"/>
      <c r="Z807" s="1"/>
      <c r="AA807" s="1"/>
    </row>
    <row r="808" customHeight="1" spans="1:27">
      <c r="A808" s="1" t="str">
        <f>IFERROR(__xludf.DUMMYFUNCTION("""COMPUTED_VALUE"""),"Wala 18")</f>
        <v>Wala 18</v>
      </c>
      <c r="B808" s="1" t="str">
        <f>IFERROR(__xludf.DUMMYFUNCTION("""COMPUTED_VALUE"""),"Wala 23")</f>
        <v>Wala 23</v>
      </c>
      <c r="C808" s="1" t="str">
        <f>IFERROR(__xludf.DUMMYFUNCTION("""COMPUTED_VALUE"""),"Wala 36")</f>
        <v>Wala 36</v>
      </c>
      <c r="D808" s="1" t="str">
        <f>IFERROR(__xludf.DUMMYFUNCTION("""COMPUTED_VALUE"""),"Sand Cave 10H")</f>
        <v>Sand Cave 10H</v>
      </c>
      <c r="E808" s="30" t="str">
        <f>IFERROR(__xludf.DUMMYFUNCTION("""COMPUTED_VALUE"""),"SCave 10H")</f>
        <v>SCave 10H</v>
      </c>
      <c r="F808" s="10">
        <f>IFERROR(__xludf.DUMMYFUNCTION("""COMPUTED_VALUE"""),-112.33546793)</f>
        <v>-112.33546793</v>
      </c>
      <c r="G808" s="10">
        <f>IFERROR(__xludf.DUMMYFUNCTION("""COMPUTED_VALUE"""),-187.198900564999)</f>
        <v>-187.198900564999</v>
      </c>
      <c r="H808" s="10">
        <f>IFERROR(__xludf.DUMMYFUNCTION("""COMPUTED_VALUE"""),-179.170695882)</f>
        <v>-179.170695882</v>
      </c>
      <c r="I808" s="13"/>
      <c r="J808" s="13"/>
      <c r="K808" s="13"/>
      <c r="L808" s="13"/>
      <c r="M808" s="1" t="b">
        <f>IFERROR(__xludf.DUMMYFUNCTION("""COMPUTED_VALUE"""),FALSE)</f>
        <v>0</v>
      </c>
      <c r="N808" s="10">
        <f>IFERROR(__xludf.DUMMYFUNCTION("""COMPUTED_VALUE"""),0)</f>
        <v>0</v>
      </c>
      <c r="O808" s="10">
        <f>IFERROR(__xludf.DUMMYFUNCTION("""COMPUTED_VALUE"""),0)</f>
        <v>0</v>
      </c>
      <c r="P808" s="10"/>
      <c r="Q808" s="30"/>
      <c r="R808" s="18"/>
      <c r="S808" s="19"/>
      <c r="T808" s="10"/>
      <c r="U808" s="10"/>
      <c r="V808" s="10"/>
      <c r="W808" s="10"/>
      <c r="X808" s="19"/>
      <c r="Y808" s="1"/>
      <c r="Z808" s="1"/>
      <c r="AA808" s="1"/>
    </row>
    <row r="809" customHeight="1" spans="1:27">
      <c r="A809" s="1" t="str">
        <f>IFERROR(__xludf.DUMMYFUNCTION("""COMPUTED_VALUE"""),"Wala 17")</f>
        <v>Wala 17</v>
      </c>
      <c r="B809" s="1" t="str">
        <f>IFERROR(__xludf.DUMMYFUNCTION("""COMPUTED_VALUE"""),"Wala 22")</f>
        <v>Wala 22</v>
      </c>
      <c r="C809" s="1" t="str">
        <f>IFERROR(__xludf.DUMMYFUNCTION("""COMPUTED_VALUE"""),"Wala 37")</f>
        <v>Wala 37</v>
      </c>
      <c r="D809" s="1" t="str">
        <f>IFERROR(__xludf.DUMMYFUNCTION("""COMPUTED_VALUE"""),"Sand Cave 09Q")</f>
        <v>Sand Cave 09Q</v>
      </c>
      <c r="E809" s="30" t="str">
        <f>IFERROR(__xludf.DUMMYFUNCTION("""COMPUTED_VALUE"""),"SCave 09Q")</f>
        <v>SCave 09Q</v>
      </c>
      <c r="F809" s="10">
        <f>IFERROR(__xludf.DUMMYFUNCTION("""COMPUTED_VALUE"""),-164.398705934)</f>
        <v>-164.398705934</v>
      </c>
      <c r="G809" s="10">
        <f>IFERROR(__xludf.DUMMYFUNCTION("""COMPUTED_VALUE"""),-209.749606369999)</f>
        <v>-209.749606369999</v>
      </c>
      <c r="H809" s="10">
        <f>IFERROR(__xludf.DUMMYFUNCTION("""COMPUTED_VALUE"""),95.807149114)</f>
        <v>95.807149114</v>
      </c>
      <c r="I809" s="13"/>
      <c r="J809" s="13"/>
      <c r="K809" s="13"/>
      <c r="L809" s="13"/>
      <c r="M809" s="1" t="b">
        <f>IFERROR(__xludf.DUMMYFUNCTION("""COMPUTED_VALUE"""),FALSE)</f>
        <v>0</v>
      </c>
      <c r="N809" s="10">
        <f>IFERROR(__xludf.DUMMYFUNCTION("""COMPUTED_VALUE"""),0)</f>
        <v>0</v>
      </c>
      <c r="O809" s="10">
        <f>IFERROR(__xludf.DUMMYFUNCTION("""COMPUTED_VALUE"""),0)</f>
        <v>0</v>
      </c>
      <c r="P809" s="10"/>
      <c r="Q809" s="30"/>
      <c r="R809" s="18"/>
      <c r="S809" s="19"/>
      <c r="T809" s="10"/>
      <c r="U809" s="10"/>
      <c r="V809" s="10"/>
      <c r="W809" s="10"/>
      <c r="X809" s="19"/>
      <c r="Y809" s="1"/>
      <c r="Z809" s="1"/>
      <c r="AA809" s="1"/>
    </row>
    <row r="810" customHeight="1" spans="1:27">
      <c r="A810" s="1" t="str">
        <f>IFERROR(__xludf.DUMMYFUNCTION("""COMPUTED_VALUE"""),"Wala 20")</f>
        <v>Wala 20</v>
      </c>
      <c r="B810" s="1" t="str">
        <f>IFERROR(__xludf.DUMMYFUNCTION("""COMPUTED_VALUE"""),"Wala 25")</f>
        <v>Wala 25</v>
      </c>
      <c r="C810" s="1" t="str">
        <f>IFERROR(__xludf.DUMMYFUNCTION("""COMPUTED_VALUE"""),"Wala 31")</f>
        <v>Wala 31</v>
      </c>
      <c r="D810" s="1" t="str">
        <f>IFERROR(__xludf.DUMMYFUNCTION("""COMPUTED_VALUE"""),"Sand Cave 20S")</f>
        <v>Sand Cave 20S</v>
      </c>
      <c r="E810" s="30" t="str">
        <f>IFERROR(__xludf.DUMMYFUNCTION("""COMPUTED_VALUE"""),"SCave 20S")</f>
        <v>SCave 20S</v>
      </c>
      <c r="F810" s="10">
        <f>IFERROR(__xludf.DUMMYFUNCTION("""COMPUTED_VALUE"""),96.673689782)</f>
        <v>96.673689782</v>
      </c>
      <c r="G810" s="10">
        <f>IFERROR(__xludf.DUMMYFUNCTION("""COMPUTED_VALUE"""),-204.496152153)</f>
        <v>-204.496152153</v>
      </c>
      <c r="H810" s="10">
        <f>IFERROR(__xludf.DUMMYFUNCTION("""COMPUTED_VALUE"""),170.427341833)</f>
        <v>170.427341833</v>
      </c>
      <c r="I810" s="13"/>
      <c r="J810" s="13"/>
      <c r="K810" s="13"/>
      <c r="L810" s="13"/>
      <c r="M810" s="1" t="b">
        <f>IFERROR(__xludf.DUMMYFUNCTION("""COMPUTED_VALUE"""),FALSE)</f>
        <v>0</v>
      </c>
      <c r="N810" s="10">
        <f>IFERROR(__xludf.DUMMYFUNCTION("""COMPUTED_VALUE"""),0)</f>
        <v>0</v>
      </c>
      <c r="O810" s="10">
        <f>IFERROR(__xludf.DUMMYFUNCTION("""COMPUTED_VALUE"""),0)</f>
        <v>0</v>
      </c>
      <c r="P810" s="10"/>
      <c r="Q810" s="30"/>
      <c r="R810" s="18"/>
      <c r="S810" s="19"/>
      <c r="T810" s="10"/>
      <c r="U810" s="10"/>
      <c r="V810" s="10"/>
      <c r="W810" s="10"/>
      <c r="X810" s="19"/>
      <c r="Y810" s="1"/>
      <c r="Z810" s="1"/>
      <c r="AA810" s="1"/>
    </row>
    <row r="811" customHeight="1" spans="1:27">
      <c r="A811" s="1" t="str">
        <f>IFERROR(__xludf.DUMMYFUNCTION("""COMPUTED_VALUE"""),"Wala 23")</f>
        <v>Wala 23</v>
      </c>
      <c r="B811" s="1" t="str">
        <f>IFERROR(__xludf.DUMMYFUNCTION("""COMPUTED_VALUE"""),"Wala 28")</f>
        <v>Wala 28</v>
      </c>
      <c r="C811" s="1" t="str">
        <f>IFERROR(__xludf.DUMMYFUNCTION("""COMPUTED_VALUE"""),"Wala 23")</f>
        <v>Wala 23</v>
      </c>
      <c r="D811" s="1" t="str">
        <f>IFERROR(__xludf.DUMMYFUNCTION("""COMPUTED_VALUE"""),"Sand Cave 32L")</f>
        <v>Sand Cave 32L</v>
      </c>
      <c r="E811" s="30" t="str">
        <f>IFERROR(__xludf.DUMMYFUNCTION("""COMPUTED_VALUE"""),"SCave 32L")</f>
        <v>SCave 32L</v>
      </c>
      <c r="F811" s="10">
        <f>IFERROR(__xludf.DUMMYFUNCTION("""COMPUTED_VALUE"""),274.945766813999)</f>
        <v>274.945766813999</v>
      </c>
      <c r="G811" s="10">
        <f>IFERROR(__xludf.DUMMYFUNCTION("""COMPUTED_VALUE"""),31.540046628)</f>
        <v>31.540046628</v>
      </c>
      <c r="H811" s="10">
        <f>IFERROR(__xludf.DUMMYFUNCTION("""COMPUTED_VALUE"""),-58.601162827)</f>
        <v>-58.601162827</v>
      </c>
      <c r="I811" s="13"/>
      <c r="J811" s="13"/>
      <c r="K811" s="13"/>
      <c r="L811" s="13"/>
      <c r="M811" s="1" t="b">
        <f>IFERROR(__xludf.DUMMYFUNCTION("""COMPUTED_VALUE"""),FALSE)</f>
        <v>0</v>
      </c>
      <c r="N811" s="10">
        <f>IFERROR(__xludf.DUMMYFUNCTION("""COMPUTED_VALUE"""),0)</f>
        <v>0</v>
      </c>
      <c r="O811" s="10">
        <f>IFERROR(__xludf.DUMMYFUNCTION("""COMPUTED_VALUE"""),0)</f>
        <v>0</v>
      </c>
      <c r="P811" s="10"/>
      <c r="Q811" s="30"/>
      <c r="R811" s="18"/>
      <c r="S811" s="19"/>
      <c r="T811" s="10"/>
      <c r="U811" s="10"/>
      <c r="V811" s="10"/>
      <c r="W811" s="10"/>
      <c r="X811" s="19"/>
      <c r="Y811" s="1"/>
      <c r="Z811" s="1"/>
      <c r="AA811" s="1"/>
    </row>
    <row r="812" customHeight="1" spans="1:27">
      <c r="A812" s="1" t="str">
        <f>IFERROR(__xludf.DUMMYFUNCTION("""COMPUTED_VALUE"""),"Wala 25")</f>
        <v>Wala 25</v>
      </c>
      <c r="B812" s="1" t="str">
        <f>IFERROR(__xludf.DUMMYFUNCTION("""COMPUTED_VALUE"""),"Wala 30")</f>
        <v>Wala 30</v>
      </c>
      <c r="C812" s="1" t="str">
        <f>IFERROR(__xludf.DUMMYFUNCTION("""COMPUTED_VALUE"""),"Wala 20")</f>
        <v>Wala 20</v>
      </c>
      <c r="D812" s="1" t="str">
        <f>IFERROR(__xludf.DUMMYFUNCTION("""COMPUTED_VALUE"""),"Sand Cave 34M")</f>
        <v>Sand Cave 34M</v>
      </c>
      <c r="E812" s="30" t="str">
        <f>IFERROR(__xludf.DUMMYFUNCTION("""COMPUTED_VALUE"""),"SCave 34M")</f>
        <v>SCave 34M</v>
      </c>
      <c r="F812" s="10">
        <f>IFERROR(__xludf.DUMMYFUNCTION("""COMPUTED_VALUE"""),266.763589454)</f>
        <v>266.763589454</v>
      </c>
      <c r="G812" s="10">
        <f>IFERROR(__xludf.DUMMYFUNCTION("""COMPUTED_VALUE"""),91.924458578)</f>
        <v>91.924458578</v>
      </c>
      <c r="H812" s="10">
        <f>IFERROR(__xludf.DUMMYFUNCTION("""COMPUTED_VALUE"""),-0.785379785999998)</f>
        <v>-0.785379785999998</v>
      </c>
      <c r="I812" s="13"/>
      <c r="J812" s="13"/>
      <c r="K812" s="13"/>
      <c r="L812" s="13"/>
      <c r="M812" s="1" t="b">
        <f>IFERROR(__xludf.DUMMYFUNCTION("""COMPUTED_VALUE"""),FALSE)</f>
        <v>0</v>
      </c>
      <c r="N812" s="10">
        <f>IFERROR(__xludf.DUMMYFUNCTION("""COMPUTED_VALUE"""),0)</f>
        <v>0</v>
      </c>
      <c r="O812" s="10">
        <f>IFERROR(__xludf.DUMMYFUNCTION("""COMPUTED_VALUE"""),0)</f>
        <v>0</v>
      </c>
      <c r="P812" s="10"/>
      <c r="Q812" s="30"/>
      <c r="R812" s="18"/>
      <c r="S812" s="19"/>
      <c r="T812" s="10"/>
      <c r="U812" s="10"/>
      <c r="V812" s="10"/>
      <c r="W812" s="10"/>
      <c r="X812" s="19"/>
      <c r="Y812" s="1"/>
      <c r="Z812" s="1"/>
      <c r="AA812" s="1"/>
    </row>
    <row r="813" customHeight="1" spans="1:27">
      <c r="A813" s="1" t="str">
        <f>IFERROR(__xludf.DUMMYFUNCTION("""COMPUTED_VALUE"""),"Wala 24")</f>
        <v>Wala 24</v>
      </c>
      <c r="B813" s="1" t="str">
        <f>IFERROR(__xludf.DUMMYFUNCTION("""COMPUTED_VALUE"""),"Wala 29")</f>
        <v>Wala 29</v>
      </c>
      <c r="C813" s="1" t="str">
        <f>IFERROR(__xludf.DUMMYFUNCTION("""COMPUTED_VALUE"""),"Wala 21")</f>
        <v>Wala 21</v>
      </c>
      <c r="D813" s="1" t="str">
        <f>IFERROR(__xludf.DUMMYFUNCTION("""COMPUTED_VALUE"""),"Sand Cave 32N")</f>
        <v>Sand Cave 32N</v>
      </c>
      <c r="E813" s="30" t="str">
        <f>IFERROR(__xludf.DUMMYFUNCTION("""COMPUTED_VALUE"""),"SCave 32N")</f>
        <v>SCave 32N</v>
      </c>
      <c r="F813" s="10">
        <f>IFERROR(__xludf.DUMMYFUNCTION("""COMPUTED_VALUE"""),277.889655071999)</f>
        <v>277.889655071999</v>
      </c>
      <c r="G813" s="10">
        <f>IFERROR(__xludf.DUMMYFUNCTION("""COMPUTED_VALUE"""),47.862433245)</f>
        <v>47.862433245</v>
      </c>
      <c r="H813" s="10">
        <f>IFERROR(__xludf.DUMMYFUNCTION("""COMPUTED_VALUE"""),27.8083953909998)</f>
        <v>27.8083953909998</v>
      </c>
      <c r="I813" s="13"/>
      <c r="J813" s="13"/>
      <c r="K813" s="13"/>
      <c r="L813" s="13"/>
      <c r="M813" s="1" t="b">
        <f>IFERROR(__xludf.DUMMYFUNCTION("""COMPUTED_VALUE"""),FALSE)</f>
        <v>0</v>
      </c>
      <c r="N813" s="10">
        <f>IFERROR(__xludf.DUMMYFUNCTION("""COMPUTED_VALUE"""),0)</f>
        <v>0</v>
      </c>
      <c r="O813" s="10">
        <f>IFERROR(__xludf.DUMMYFUNCTION("""COMPUTED_VALUE"""),0)</f>
        <v>0</v>
      </c>
      <c r="P813" s="10"/>
      <c r="Q813" s="30"/>
      <c r="R813" s="18"/>
      <c r="S813" s="19"/>
      <c r="T813" s="10"/>
      <c r="U813" s="10"/>
      <c r="V813" s="10"/>
      <c r="W813" s="10"/>
      <c r="X813" s="19"/>
      <c r="Y813" s="1"/>
      <c r="Z813" s="1"/>
      <c r="AA813" s="1"/>
    </row>
    <row r="814" customHeight="1" spans="1:27">
      <c r="A814" s="1" t="str">
        <f>IFERROR(__xludf.DUMMYFUNCTION("""COMPUTED_VALUE"""),"Wala 21")</f>
        <v>Wala 21</v>
      </c>
      <c r="B814" s="1" t="str">
        <f>IFERROR(__xludf.DUMMYFUNCTION("""COMPUTED_VALUE"""),"Wala 26")</f>
        <v>Wala 26</v>
      </c>
      <c r="C814" s="1" t="str">
        <f>IFERROR(__xludf.DUMMYFUNCTION("""COMPUTED_VALUE"""),"Wala 26")</f>
        <v>Wala 26</v>
      </c>
      <c r="D814" s="1" t="str">
        <f>IFERROR(__xludf.DUMMYFUNCTION("""COMPUTED_VALUE"""),"Sand Cave 27S")</f>
        <v>Sand Cave 27S</v>
      </c>
      <c r="E814" s="30" t="str">
        <f>IFERROR(__xludf.DUMMYFUNCTION("""COMPUTED_VALUE"""),"SCave 27S")</f>
        <v>SCave 27S</v>
      </c>
      <c r="F814" s="10">
        <f>IFERROR(__xludf.DUMMYFUNCTION("""COMPUTED_VALUE"""),204.271057007)</f>
        <v>204.271057007</v>
      </c>
      <c r="G814" s="10">
        <f>IFERROR(__xludf.DUMMYFUNCTION("""COMPUTED_VALUE"""),-83.5827612039999)</f>
        <v>-83.5827612039999</v>
      </c>
      <c r="H814" s="10">
        <f>IFERROR(__xludf.DUMMYFUNCTION("""COMPUTED_VALUE"""),177.352392586)</f>
        <v>177.352392586</v>
      </c>
      <c r="I814" s="13"/>
      <c r="J814" s="13"/>
      <c r="K814" s="13"/>
      <c r="L814" s="13"/>
      <c r="M814" s="1" t="b">
        <f>IFERROR(__xludf.DUMMYFUNCTION("""COMPUTED_VALUE"""),FALSE)</f>
        <v>0</v>
      </c>
      <c r="N814" s="10">
        <f>IFERROR(__xludf.DUMMYFUNCTION("""COMPUTED_VALUE"""),0)</f>
        <v>0</v>
      </c>
      <c r="O814" s="10">
        <f>IFERROR(__xludf.DUMMYFUNCTION("""COMPUTED_VALUE"""),0)</f>
        <v>0</v>
      </c>
      <c r="P814" s="10"/>
      <c r="Q814" s="30"/>
      <c r="R814" s="18"/>
      <c r="S814" s="19"/>
      <c r="T814" s="10"/>
      <c r="U814" s="10"/>
      <c r="V814" s="10"/>
      <c r="W814" s="10"/>
      <c r="X814" s="19"/>
      <c r="Y814" s="1"/>
      <c r="Z814" s="1"/>
      <c r="AA814" s="1"/>
    </row>
    <row r="815" customHeight="1" spans="1:27">
      <c r="A815" s="1" t="str">
        <f>IFERROR(__xludf.DUMMYFUNCTION("""COMPUTED_VALUE"""),"Wala 22")</f>
        <v>Wala 22</v>
      </c>
      <c r="B815" s="1" t="str">
        <f>IFERROR(__xludf.DUMMYFUNCTION("""COMPUTED_VALUE"""),"Wala 27")</f>
        <v>Wala 27</v>
      </c>
      <c r="C815" s="1" t="str">
        <f>IFERROR(__xludf.DUMMYFUNCTION("""COMPUTED_VALUE"""),"Wala 25")</f>
        <v>Wala 25</v>
      </c>
      <c r="D815" s="1" t="str">
        <f>IFERROR(__xludf.DUMMYFUNCTION("""COMPUTED_VALUE"""),"Sand Cave 28K")</f>
        <v>Sand Cave 28K</v>
      </c>
      <c r="E815" s="30" t="str">
        <f>IFERROR(__xludf.DUMMYFUNCTION("""COMPUTED_VALUE"""),"SCave 28K")</f>
        <v>SCave 28K</v>
      </c>
      <c r="F815" s="10">
        <f>IFERROR(__xludf.DUMMYFUNCTION("""COMPUTED_VALUE"""),260.271784419)</f>
        <v>260.271784419</v>
      </c>
      <c r="G815" s="10">
        <f>IFERROR(__xludf.DUMMYFUNCTION("""COMPUTED_VALUE"""),-57.7616310509999)</f>
        <v>-57.7616310509999</v>
      </c>
      <c r="H815" s="10">
        <f>IFERROR(__xludf.DUMMYFUNCTION("""COMPUTED_VALUE"""),-93.993780067)</f>
        <v>-93.993780067</v>
      </c>
      <c r="I815" s="13"/>
      <c r="J815" s="13"/>
      <c r="K815" s="13"/>
      <c r="L815" s="13"/>
      <c r="M815" s="1" t="b">
        <f>IFERROR(__xludf.DUMMYFUNCTION("""COMPUTED_VALUE"""),FALSE)</f>
        <v>0</v>
      </c>
      <c r="N815" s="10">
        <f>IFERROR(__xludf.DUMMYFUNCTION("""COMPUTED_VALUE"""),0)</f>
        <v>0</v>
      </c>
      <c r="O815" s="10">
        <f>IFERROR(__xludf.DUMMYFUNCTION("""COMPUTED_VALUE"""),0)</f>
        <v>0</v>
      </c>
      <c r="P815" s="10"/>
      <c r="Q815" s="30"/>
      <c r="R815" s="18"/>
      <c r="S815" s="19"/>
      <c r="T815" s="10"/>
      <c r="U815" s="10"/>
      <c r="V815" s="10"/>
      <c r="W815" s="10"/>
      <c r="X815" s="19"/>
      <c r="Y815" s="1"/>
      <c r="Z815" s="1"/>
      <c r="AA815" s="1"/>
    </row>
    <row r="816" customHeight="1" spans="1:27">
      <c r="A816" s="1" t="str">
        <f>IFERROR(__xludf.DUMMYFUNCTION("""COMPUTED_VALUE"""),"Wala 28")</f>
        <v>Wala 28</v>
      </c>
      <c r="B816" s="1" t="str">
        <f>IFERROR(__xludf.DUMMYFUNCTION("""COMPUTED_VALUE"""),"Wala 33")</f>
        <v>Wala 33</v>
      </c>
      <c r="C816" s="1" t="str">
        <f>IFERROR(__xludf.DUMMYFUNCTION("""COMPUTED_VALUE"""),"Wala 15")</f>
        <v>Wala 15</v>
      </c>
      <c r="D816" s="1" t="str">
        <f>IFERROR(__xludf.DUMMYFUNCTION("""COMPUTED_VALUE"""),"Sand Cave 42F")</f>
        <v>Sand Cave 42F</v>
      </c>
      <c r="E816" s="30" t="str">
        <f>IFERROR(__xludf.DUMMYFUNCTION("""COMPUTED_VALUE"""),"SCave 42F")</f>
        <v>SCave 42F</v>
      </c>
      <c r="F816" s="10">
        <f>IFERROR(__xludf.DUMMYFUNCTION("""COMPUTED_VALUE"""),62.803037704)</f>
        <v>62.803037704</v>
      </c>
      <c r="G816" s="10">
        <f>IFERROR(__xludf.DUMMYFUNCTION("""COMPUTED_VALUE"""),165.538969202)</f>
        <v>165.538969202</v>
      </c>
      <c r="H816" s="10">
        <f>IFERROR(__xludf.DUMMYFUNCTION("""COMPUTED_VALUE"""),-220.565922097)</f>
        <v>-220.565922097</v>
      </c>
      <c r="I816" s="13"/>
      <c r="J816" s="13"/>
      <c r="K816" s="13"/>
      <c r="L816" s="13"/>
      <c r="M816" s="1" t="b">
        <f>IFERROR(__xludf.DUMMYFUNCTION("""COMPUTED_VALUE"""),FALSE)</f>
        <v>0</v>
      </c>
      <c r="N816" s="10">
        <f>IFERROR(__xludf.DUMMYFUNCTION("""COMPUTED_VALUE"""),0)</f>
        <v>0</v>
      </c>
      <c r="O816" s="10">
        <f>IFERROR(__xludf.DUMMYFUNCTION("""COMPUTED_VALUE"""),0)</f>
        <v>0</v>
      </c>
      <c r="P816" s="10"/>
      <c r="Q816" s="30"/>
      <c r="R816" s="18"/>
      <c r="S816" s="19"/>
      <c r="T816" s="10"/>
      <c r="U816" s="10"/>
      <c r="V816" s="10"/>
      <c r="W816" s="10"/>
      <c r="X816" s="19"/>
      <c r="Y816" s="1"/>
      <c r="Z816" s="1"/>
      <c r="AA816" s="1"/>
    </row>
    <row r="817" customHeight="1" spans="1:27">
      <c r="A817" s="1" t="str">
        <f>IFERROR(__xludf.DUMMYFUNCTION("""COMPUTED_VALUE"""),"Wala 14")</f>
        <v>Wala 14</v>
      </c>
      <c r="B817" s="1" t="str">
        <f>IFERROR(__xludf.DUMMYFUNCTION("""COMPUTED_VALUE"""),"Wala 19")</f>
        <v>Wala 19</v>
      </c>
      <c r="C817" s="1" t="str">
        <f>IFERROR(__xludf.DUMMYFUNCTION("""COMPUTED_VALUE"""),"Wala 40")</f>
        <v>Wala 40</v>
      </c>
      <c r="D817" s="1" t="str">
        <f>IFERROR(__xludf.DUMMYFUNCTION("""COMPUTED_VALUE"""),"Sand Cave 01V")</f>
        <v>Sand Cave 01V</v>
      </c>
      <c r="E817" s="30" t="str">
        <f>IFERROR(__xludf.DUMMYFUNCTION("""COMPUTED_VALUE"""),"SCave 01V")</f>
        <v>SCave 01V</v>
      </c>
      <c r="F817" s="10">
        <f>IFERROR(__xludf.DUMMYFUNCTION("""COMPUTED_VALUE"""),-153.83925841)</f>
        <v>-153.83925841</v>
      </c>
      <c r="G817" s="10">
        <f>IFERROR(__xludf.DUMMYFUNCTION("""COMPUTED_VALUE"""),-15.177891545)</f>
        <v>-15.177891545</v>
      </c>
      <c r="H817" s="10">
        <f>IFERROR(__xludf.DUMMYFUNCTION("""COMPUTED_VALUE"""),236.556934925999)</f>
        <v>236.556934925999</v>
      </c>
      <c r="I817" s="13"/>
      <c r="J817" s="13"/>
      <c r="K817" s="13"/>
      <c r="L817" s="13"/>
      <c r="M817" s="1" t="b">
        <f>IFERROR(__xludf.DUMMYFUNCTION("""COMPUTED_VALUE"""),FALSE)</f>
        <v>0</v>
      </c>
      <c r="N817" s="10">
        <f>IFERROR(__xludf.DUMMYFUNCTION("""COMPUTED_VALUE"""),0)</f>
        <v>0</v>
      </c>
      <c r="O817" s="10">
        <f>IFERROR(__xludf.DUMMYFUNCTION("""COMPUTED_VALUE"""),0)</f>
        <v>0</v>
      </c>
      <c r="P817" s="10"/>
      <c r="Q817" s="30"/>
      <c r="R817" s="18"/>
      <c r="S817" s="19"/>
      <c r="T817" s="10"/>
      <c r="U817" s="10"/>
      <c r="V817" s="10"/>
      <c r="W817" s="10"/>
      <c r="X817" s="19"/>
      <c r="Y817" s="1"/>
      <c r="Z817" s="1"/>
      <c r="AA817" s="1"/>
    </row>
    <row r="818" customHeight="1" spans="1:27">
      <c r="A818" s="1" t="str">
        <f>IFERROR(__xludf.DUMMYFUNCTION("""COMPUTED_VALUE"""),"Wala 19")</f>
        <v>Wala 19</v>
      </c>
      <c r="B818" s="1" t="str">
        <f>IFERROR(__xludf.DUMMYFUNCTION("""COMPUTED_VALUE"""),"Wala 24")</f>
        <v>Wala 24</v>
      </c>
      <c r="C818" s="1" t="str">
        <f>IFERROR(__xludf.DUMMYFUNCTION("""COMPUTED_VALUE"""),"Wala 35")</f>
        <v>Wala 35</v>
      </c>
      <c r="D818" s="1" t="str">
        <f>IFERROR(__xludf.DUMMYFUNCTION("""COMPUTED_VALUE"""),"Sand Cave 11U")</f>
        <v>Sand Cave 11U</v>
      </c>
      <c r="E818" s="30" t="str">
        <f>IFERROR(__xludf.DUMMYFUNCTION("""COMPUTED_VALUE"""),"SCave 11U")</f>
        <v>SCave 11U</v>
      </c>
      <c r="F818" s="10">
        <f>IFERROR(__xludf.DUMMYFUNCTION("""COMPUTED_VALUE"""),-68.4199128449999)</f>
        <v>-68.4199128449999</v>
      </c>
      <c r="G818" s="10">
        <f>IFERROR(__xludf.DUMMYFUNCTION("""COMPUTED_VALUE"""),-145.704356189)</f>
        <v>-145.704356189</v>
      </c>
      <c r="H818" s="10">
        <f>IFERROR(__xludf.DUMMYFUNCTION("""COMPUTED_VALUE"""),233.01132195)</f>
        <v>233.01132195</v>
      </c>
      <c r="I818" s="13"/>
      <c r="J818" s="13"/>
      <c r="K818" s="13"/>
      <c r="L818" s="13"/>
      <c r="M818" s="1" t="b">
        <f>IFERROR(__xludf.DUMMYFUNCTION("""COMPUTED_VALUE"""),FALSE)</f>
        <v>0</v>
      </c>
      <c r="N818" s="10">
        <f>IFERROR(__xludf.DUMMYFUNCTION("""COMPUTED_VALUE"""),0)</f>
        <v>0</v>
      </c>
      <c r="O818" s="10">
        <f>IFERROR(__xludf.DUMMYFUNCTION("""COMPUTED_VALUE"""),0)</f>
        <v>0</v>
      </c>
      <c r="P818" s="10"/>
      <c r="Q818" s="30"/>
      <c r="R818" s="18"/>
      <c r="S818" s="19"/>
      <c r="T818" s="10"/>
      <c r="U818" s="10"/>
      <c r="V818" s="10"/>
      <c r="W818" s="10"/>
      <c r="X818" s="19"/>
      <c r="Y818" s="1"/>
      <c r="Z818" s="1"/>
      <c r="AA818" s="1"/>
    </row>
    <row r="819" customHeight="1" spans="1:27">
      <c r="A819" s="1" t="str">
        <f>IFERROR(__xludf.DUMMYFUNCTION("""COMPUTED_VALUE"""),"Wala")</f>
        <v>Wala</v>
      </c>
      <c r="B819" s="1" t="str">
        <f>IFERROR(__xludf.DUMMYFUNCTION("""COMPUTED_VALUE"""),"Wala 40")</f>
        <v>Wala 40</v>
      </c>
      <c r="C819" s="1"/>
      <c r="D819" s="1" t="str">
        <f>IFERROR(__xludf.DUMMYFUNCTION("""COMPUTED_VALUE"""),"Wrecks")</f>
        <v>Wrecks</v>
      </c>
      <c r="E819" s="30"/>
      <c r="F819" s="10"/>
      <c r="G819" s="10"/>
      <c r="H819" s="10"/>
      <c r="I819" s="13"/>
      <c r="J819" s="13"/>
      <c r="K819" s="13"/>
      <c r="L819" s="13"/>
      <c r="M819" s="1"/>
      <c r="N819" s="10"/>
      <c r="O819" s="10"/>
      <c r="P819" s="10"/>
      <c r="Q819" s="30"/>
      <c r="R819" s="18"/>
      <c r="S819" s="19"/>
      <c r="T819" s="10"/>
      <c r="U819" s="10"/>
      <c r="V819" s="10"/>
      <c r="W819" s="10"/>
      <c r="X819" s="19"/>
      <c r="Y819" s="1"/>
      <c r="Z819" s="1"/>
      <c r="AA819" s="1"/>
    </row>
    <row r="820" customHeight="1" spans="1:27">
      <c r="A820" s="1" t="str">
        <f>IFERROR(__xludf.DUMMYFUNCTION("""COMPUTED_VALUE"""),"Wala 36")</f>
        <v>Wala 36</v>
      </c>
      <c r="B820" s="1" t="str">
        <f>IFERROR(__xludf.DUMMYFUNCTION("""COMPUTED_VALUE"""),"Wala 43")</f>
        <v>Wala 43</v>
      </c>
      <c r="C820" s="1" t="str">
        <f>IFERROR(__xludf.DUMMYFUNCTION("""COMPUTED_VALUE"""),"Wala 01")</f>
        <v>Wala 01</v>
      </c>
      <c r="D820" s="1" t="str">
        <f>IFERROR(__xludf.DUMMYFUNCTION("""COMPUTED_VALUE"""),"Caterpillar Wreck 60M")</f>
        <v>Caterpillar Wreck 60M</v>
      </c>
      <c r="E820" s="30" t="str">
        <f>IFERROR(__xludf.DUMMYFUNCTION("""COMPUTED_VALUE"""),"Caterpillar 60M")</f>
        <v>Caterpillar 60M</v>
      </c>
      <c r="F820" s="10">
        <f>IFERROR(__xludf.DUMMYFUNCTION("""COMPUTED_VALUE"""),-281.801297742999)</f>
        <v>-281.801297742999</v>
      </c>
      <c r="G820" s="10">
        <f>IFERROR(__xludf.DUMMYFUNCTION("""COMPUTED_VALUE"""),10.5471646299999)</f>
        <v>10.5471646299999</v>
      </c>
      <c r="H820" s="10">
        <f>IFERROR(__xludf.DUMMYFUNCTION("""COMPUTED_VALUE"""),-22.471943313)</f>
        <v>-22.471943313</v>
      </c>
      <c r="I820" s="13"/>
      <c r="J820" s="13"/>
      <c r="K820" s="13"/>
      <c r="L820" s="13"/>
      <c r="M820" s="1" t="b">
        <f>IFERROR(__xludf.DUMMYFUNCTION("""COMPUTED_VALUE"""),FALSE)</f>
        <v>0</v>
      </c>
      <c r="N820" s="10">
        <f>IFERROR(__xludf.DUMMYFUNCTION("""COMPUTED_VALUE"""),0)</f>
        <v>0</v>
      </c>
      <c r="O820" s="10">
        <f>IFERROR(__xludf.DUMMYFUNCTION("""COMPUTED_VALUE"""),0)</f>
        <v>0</v>
      </c>
      <c r="P820" s="10"/>
      <c r="Q820" s="30"/>
      <c r="R820" s="18"/>
      <c r="S820" s="19"/>
      <c r="T820" s="10"/>
      <c r="U820" s="10"/>
      <c r="V820" s="10"/>
      <c r="W820" s="10"/>
      <c r="X820" s="19"/>
      <c r="Y820" s="1"/>
      <c r="Z820" s="1"/>
      <c r="AA820" s="1"/>
    </row>
    <row r="821" customHeight="1" spans="1:27">
      <c r="A821" s="1" t="str">
        <f>IFERROR(__xludf.DUMMYFUNCTION("""COMPUTED_VALUE"""),"Wala 34")</f>
        <v>Wala 34</v>
      </c>
      <c r="B821" s="1" t="str">
        <f>IFERROR(__xludf.DUMMYFUNCTION("""COMPUTED_VALUE"""),"Wala 41")</f>
        <v>Wala 41</v>
      </c>
      <c r="C821" s="1" t="str">
        <f>IFERROR(__xludf.DUMMYFUNCTION("""COMPUTED_VALUE"""),"Wala 22")</f>
        <v>Wala 22</v>
      </c>
      <c r="D821" s="1" t="str">
        <f>IFERROR(__xludf.DUMMYFUNCTION("""COMPUTED_VALUE"""),"Caterpillar Wreck 32H")</f>
        <v>Caterpillar Wreck 32H</v>
      </c>
      <c r="E821" s="30" t="str">
        <f>IFERROR(__xludf.DUMMYFUNCTION("""COMPUTED_VALUE"""),"Caterpillar 32H")</f>
        <v>Caterpillar 32H</v>
      </c>
      <c r="F821" s="10">
        <f>IFERROR(__xludf.DUMMYFUNCTION("""COMPUTED_VALUE"""),232.944419679278)</f>
        <v>232.944419679278</v>
      </c>
      <c r="G821" s="10">
        <f>IFERROR(__xludf.DUMMYFUNCTION("""COMPUTED_VALUE"""),30.5985524459546)</f>
        <v>30.5985524459546</v>
      </c>
      <c r="H821" s="10">
        <f>IFERROR(__xludf.DUMMYFUNCTION("""COMPUTED_VALUE"""),-156.72579539771)</f>
        <v>-156.72579539771</v>
      </c>
      <c r="I821" s="13"/>
      <c r="J821" s="13"/>
      <c r="K821" s="13"/>
      <c r="L821" s="13"/>
      <c r="M821" s="1" t="b">
        <f>IFERROR(__xludf.DUMMYFUNCTION("""COMPUTED_VALUE"""),FALSE)</f>
        <v>0</v>
      </c>
      <c r="N821" s="10">
        <f>IFERROR(__xludf.DUMMYFUNCTION("""COMPUTED_VALUE"""),0)</f>
        <v>0</v>
      </c>
      <c r="O821" s="10">
        <f>IFERROR(__xludf.DUMMYFUNCTION("""COMPUTED_VALUE"""),0)</f>
        <v>0</v>
      </c>
      <c r="P821" s="10"/>
      <c r="Q821" s="30"/>
      <c r="R821" s="18"/>
      <c r="S821" s="19"/>
      <c r="T821" s="10"/>
      <c r="U821" s="10"/>
      <c r="V821" s="10"/>
      <c r="W821" s="10"/>
      <c r="X821" s="19"/>
      <c r="Y821" s="1"/>
      <c r="Z821" s="1"/>
      <c r="AA821" s="1"/>
    </row>
    <row r="822" customHeight="1" spans="1:27">
      <c r="A822" s="1" t="str">
        <f>IFERROR(__xludf.DUMMYFUNCTION("""COMPUTED_VALUE"""),"Wala 35")</f>
        <v>Wala 35</v>
      </c>
      <c r="B822" s="1" t="str">
        <f>IFERROR(__xludf.DUMMYFUNCTION("""COMPUTED_VALUE"""),"Wala 42")</f>
        <v>Wala 42</v>
      </c>
      <c r="C822" s="1" t="str">
        <f>IFERROR(__xludf.DUMMYFUNCTION("""COMPUTED_VALUE"""),"Wala 05")</f>
        <v>Wala 05</v>
      </c>
      <c r="D822" s="1" t="str">
        <f>IFERROR(__xludf.DUMMYFUNCTION("""COMPUTED_VALUE"""),"Caterpillar Wreck 56F")</f>
        <v>Caterpillar Wreck 56F</v>
      </c>
      <c r="E822" s="30" t="str">
        <f>IFERROR(__xludf.DUMMYFUNCTION("""COMPUTED_VALUE"""),"Caterpillar 56F")</f>
        <v>Caterpillar 56F</v>
      </c>
      <c r="F822" s="10">
        <f>IFERROR(__xludf.DUMMYFUNCTION("""COMPUTED_VALUE"""),-164.031)</f>
        <v>-164.031</v>
      </c>
      <c r="G822" s="10">
        <f>IFERROR(__xludf.DUMMYFUNCTION("""COMPUTED_VALUE"""),85.551)</f>
        <v>85.551</v>
      </c>
      <c r="H822" s="10">
        <f>IFERROR(__xludf.DUMMYFUNCTION("""COMPUTED_VALUE"""),-213.83)</f>
        <v>-213.83</v>
      </c>
      <c r="I822" s="13"/>
      <c r="J822" s="13"/>
      <c r="K822" s="13"/>
      <c r="L822" s="13"/>
      <c r="M822" s="1" t="b">
        <f>IFERROR(__xludf.DUMMYFUNCTION("""COMPUTED_VALUE"""),FALSE)</f>
        <v>0</v>
      </c>
      <c r="N822" s="10">
        <f>IFERROR(__xludf.DUMMYFUNCTION("""COMPUTED_VALUE"""),0)</f>
        <v>0</v>
      </c>
      <c r="O822" s="10">
        <f>IFERROR(__xludf.DUMMYFUNCTION("""COMPUTED_VALUE"""),0)</f>
        <v>0</v>
      </c>
      <c r="P822" s="10"/>
      <c r="Q822" s="30"/>
      <c r="R822" s="18"/>
      <c r="S822" s="19"/>
      <c r="T822" s="10"/>
      <c r="U822" s="10"/>
      <c r="V822" s="10"/>
      <c r="W822" s="10"/>
      <c r="X822" s="19"/>
      <c r="Y822" s="1"/>
      <c r="Z822" s="1"/>
      <c r="AA822" s="1"/>
    </row>
    <row r="823" customHeight="1" spans="1:27">
      <c r="A823" s="1" t="str">
        <f>IFERROR(__xludf.DUMMYFUNCTION("""COMPUTED_VALUE"""),"Wala 37")</f>
        <v>Wala 37</v>
      </c>
      <c r="B823" s="1" t="str">
        <f>IFERROR(__xludf.DUMMYFUNCTION("""COMPUTED_VALUE"""),"Wala 44")</f>
        <v>Wala 44</v>
      </c>
      <c r="C823" s="1" t="str">
        <f>IFERROR(__xludf.DUMMYFUNCTION("""COMPUTED_VALUE"""),"Wala 29")</f>
        <v>Wala 29</v>
      </c>
      <c r="D823" s="1" t="str">
        <f>IFERROR(__xludf.DUMMYFUNCTION("""COMPUTED_VALUE"""),"Freelancer Wreck")</f>
        <v>Freelancer Wreck</v>
      </c>
      <c r="E823" s="30" t="str">
        <f>IFERROR(__xludf.DUMMYFUNCTION("""COMPUTED_VALUE"""),"Freelancer")</f>
        <v>Freelancer</v>
      </c>
      <c r="F823" s="10">
        <f>IFERROR(__xludf.DUMMYFUNCTION("""COMPUTED_VALUE"""),158.741238590913)</f>
        <v>158.741238590913</v>
      </c>
      <c r="G823" s="10">
        <f>IFERROR(__xludf.DUMMYFUNCTION("""COMPUTED_VALUE"""),-212.548643797474)</f>
        <v>-212.548643797474</v>
      </c>
      <c r="H823" s="10">
        <f>IFERROR(__xludf.DUMMYFUNCTION("""COMPUTED_VALUE"""),-99.0892809628783)</f>
        <v>-99.0892809628783</v>
      </c>
      <c r="I823" s="13"/>
      <c r="J823" s="13"/>
      <c r="K823" s="13"/>
      <c r="L823" s="13"/>
      <c r="M823" s="1" t="b">
        <f>IFERROR(__xludf.DUMMYFUNCTION("""COMPUTED_VALUE"""),FALSE)</f>
        <v>0</v>
      </c>
      <c r="N823" s="10">
        <f>IFERROR(__xludf.DUMMYFUNCTION("""COMPUTED_VALUE"""),0)</f>
        <v>0</v>
      </c>
      <c r="O823" s="10">
        <f>IFERROR(__xludf.DUMMYFUNCTION("""COMPUTED_VALUE"""),0)</f>
        <v>0</v>
      </c>
      <c r="P823" s="10"/>
      <c r="Q823" s="30"/>
      <c r="R823" s="18"/>
      <c r="S823" s="19"/>
      <c r="T823" s="10"/>
      <c r="U823" s="10"/>
      <c r="V823" s="10"/>
      <c r="W823" s="10"/>
      <c r="X823" s="19"/>
      <c r="Y823" s="1"/>
      <c r="Z823" s="1"/>
      <c r="AA823" s="1"/>
    </row>
    <row r="824" customHeight="1" spans="1:27">
      <c r="A824" s="1" t="str">
        <f>IFERROR(__xludf.DUMMYFUNCTION("""COMPUTED_VALUE"""),"Wala 38")</f>
        <v>Wala 38</v>
      </c>
      <c r="B824" s="1" t="str">
        <f>IFERROR(__xludf.DUMMYFUNCTION("""COMPUTED_VALUE"""),"Wala 45")</f>
        <v>Wala 45</v>
      </c>
      <c r="C824" s="1" t="str">
        <f>IFERROR(__xludf.DUMMYFUNCTION("""COMPUTED_VALUE"""),"Wala 34")</f>
        <v>Wala 34</v>
      </c>
      <c r="D824" s="1" t="str">
        <f>IFERROR(__xludf.DUMMYFUNCTION("""COMPUTED_VALUE"""),"Starfarer Wreck")</f>
        <v>Starfarer Wreck</v>
      </c>
      <c r="E824" s="30" t="str">
        <f>IFERROR(__xludf.DUMMYFUNCTION("""COMPUTED_VALUE"""),"Starfarer")</f>
        <v>Starfarer</v>
      </c>
      <c r="F824" s="10">
        <f>IFERROR(__xludf.DUMMYFUNCTION("""COMPUTED_VALUE"""),-100.249264566419)</f>
        <v>-100.249264566419</v>
      </c>
      <c r="G824" s="10">
        <f>IFERROR(__xludf.DUMMYFUNCTION("""COMPUTED_VALUE"""),-244.994854275979)</f>
        <v>-244.994854275979</v>
      </c>
      <c r="H824" s="10">
        <f>IFERROR(__xludf.DUMMYFUNCTION("""COMPUTED_VALUE"""),-100.35983566447)</f>
        <v>-100.35983566447</v>
      </c>
      <c r="I824" s="13"/>
      <c r="J824" s="13"/>
      <c r="K824" s="13"/>
      <c r="L824" s="13"/>
      <c r="M824" s="1" t="b">
        <f>IFERROR(__xludf.DUMMYFUNCTION("""COMPUTED_VALUE"""),FALSE)</f>
        <v>0</v>
      </c>
      <c r="N824" s="10">
        <f>IFERROR(__xludf.DUMMYFUNCTION("""COMPUTED_VALUE"""),0)</f>
        <v>0</v>
      </c>
      <c r="O824" s="10">
        <f>IFERROR(__xludf.DUMMYFUNCTION("""COMPUTED_VALUE"""),0)</f>
        <v>0</v>
      </c>
      <c r="P824" s="10"/>
      <c r="Q824" s="30"/>
      <c r="R824" s="18"/>
      <c r="S824" s="19"/>
      <c r="T824" s="10"/>
      <c r="U824" s="10"/>
      <c r="V824" s="10"/>
      <c r="W824" s="10"/>
      <c r="X824" s="19"/>
      <c r="Y824" s="1"/>
      <c r="Z824" s="1"/>
      <c r="AA824" s="1"/>
    </row>
    <row r="825" customHeight="1" spans="1:27">
      <c r="A825" s="1" t="str">
        <f>IFERROR(__xludf.DUMMYFUNCTION("""COMPUTED_VALUE"""),"Wala")</f>
        <v>Wala</v>
      </c>
      <c r="B825" s="1" t="str">
        <f>IFERROR(__xludf.DUMMYFUNCTION("""COMPUTED_VALUE"""),"Wala 47")</f>
        <v>Wala 47</v>
      </c>
      <c r="C825" s="1"/>
      <c r="D825" s="1" t="str">
        <f>IFERROR(__xludf.DUMMYFUNCTION("""COMPUTED_VALUE"""),"Comm Array")</f>
        <v>Comm Array</v>
      </c>
      <c r="E825" s="30"/>
      <c r="F825" s="10"/>
      <c r="G825" s="10"/>
      <c r="H825" s="10"/>
      <c r="I825" s="13"/>
      <c r="J825" s="13"/>
      <c r="K825" s="13"/>
      <c r="L825" s="13"/>
      <c r="M825" s="1"/>
      <c r="N825" s="10"/>
      <c r="O825" s="10"/>
      <c r="P825" s="10"/>
      <c r="Q825" s="30"/>
      <c r="R825" s="18"/>
      <c r="S825" s="19"/>
      <c r="T825" s="10"/>
      <c r="U825" s="10"/>
      <c r="V825" s="10"/>
      <c r="W825" s="10"/>
      <c r="X825" s="19"/>
      <c r="Y825" s="1"/>
      <c r="Z825" s="1"/>
      <c r="AA825" s="1"/>
    </row>
    <row r="826" customHeight="1" spans="1:27">
      <c r="A826" s="1" t="str">
        <f>IFERROR(__xludf.DUMMYFUNCTION("""COMPUTED_VALUE"""),"Wala 12")</f>
        <v>Wala 12</v>
      </c>
      <c r="B826" s="1" t="str">
        <f>IFERROR(__xludf.DUMMYFUNCTION("""COMPUTED_VALUE"""),"Wala 48")</f>
        <v>Wala 48</v>
      </c>
      <c r="C826" s="1" t="str">
        <f>IFERROR(__xludf.DUMMYFUNCTION("""COMPUTED_VALUE"""),"Wala 28")</f>
        <v>Wala 28</v>
      </c>
      <c r="D826" s="1" t="str">
        <f>IFERROR(__xludf.DUMMYFUNCTION("""COMPUTED_VALUE"""),"Comm Array ST3-35")</f>
        <v>Comm Array ST3-35</v>
      </c>
      <c r="E826" s="30" t="str">
        <f>IFERROR(__xludf.DUMMYFUNCTION("""COMPUTED_VALUE"""),"ST3-35")</f>
        <v>ST3-35</v>
      </c>
      <c r="F826" s="10">
        <f>IFERROR(__xludf.DUMMYFUNCTION("""COMPUTED_VALUE"""),365.821215698242)</f>
        <v>365.821215698242</v>
      </c>
      <c r="G826" s="10">
        <f>IFERROR(__xludf.DUMMYFUNCTION("""COMPUTED_VALUE"""),-257.408219600678)</f>
        <v>-257.408219600678</v>
      </c>
      <c r="H826" s="10">
        <f>IFERROR(__xludf.DUMMYFUNCTION("""COMPUTED_VALUE"""),24)</f>
        <v>24</v>
      </c>
      <c r="I826" s="13"/>
      <c r="J826" s="13"/>
      <c r="K826" s="13"/>
      <c r="L826" s="13"/>
      <c r="M826" s="1" t="b">
        <f>IFERROR(__xludf.DUMMYFUNCTION("""COMPUTED_VALUE"""),TRUE)</f>
        <v>1</v>
      </c>
      <c r="N826" s="10">
        <f>IFERROR(__xludf.DUMMYFUNCTION("""COMPUTED_VALUE"""),0)</f>
        <v>0</v>
      </c>
      <c r="O826" s="10">
        <f>IFERROR(__xludf.DUMMYFUNCTION("""COMPUTED_VALUE"""),0)</f>
        <v>0</v>
      </c>
      <c r="P826" s="10"/>
      <c r="Q826" s="30"/>
      <c r="R826" s="18"/>
      <c r="S826" s="19"/>
      <c r="T826" s="10"/>
      <c r="U826" s="10"/>
      <c r="V826" s="10"/>
      <c r="W826" s="10"/>
      <c r="X826" s="19"/>
      <c r="Y826" s="1"/>
      <c r="Z826" s="1"/>
      <c r="AA826" s="1"/>
    </row>
    <row r="827" customHeight="1" spans="1:27">
      <c r="A827" s="1"/>
      <c r="B827" s="1"/>
      <c r="C827" s="1"/>
      <c r="D827" s="1"/>
      <c r="E827" s="30"/>
      <c r="F827" s="10"/>
      <c r="G827" s="10"/>
      <c r="H827" s="10"/>
      <c r="I827" s="13"/>
      <c r="J827" s="13"/>
      <c r="K827" s="13"/>
      <c r="L827" s="13"/>
      <c r="M827" s="1"/>
      <c r="N827" s="10"/>
      <c r="O827" s="10"/>
      <c r="P827" s="10"/>
      <c r="Q827" s="30"/>
      <c r="R827" s="18"/>
      <c r="S827" s="19"/>
      <c r="T827" s="10"/>
      <c r="U827" s="10"/>
      <c r="V827" s="10"/>
      <c r="W827" s="10"/>
      <c r="X827" s="19"/>
      <c r="Y827" s="1"/>
      <c r="Z827" s="1"/>
      <c r="AA827" s="1"/>
    </row>
    <row r="828" customHeight="1" spans="1:27">
      <c r="A828" s="1" t="str">
        <f>IFERROR(__xludf.DUMMYFUNCTION("""COMPUTED_VALUE"""),"Yela R01")</f>
        <v>Yela R01</v>
      </c>
      <c r="B828" s="1" t="str">
        <f>IFERROR(__xludf.DUMMYFUNCTION("""COMPUTED_VALUE"""),"Yela 45")</f>
        <v>Yela 45</v>
      </c>
      <c r="C828" s="1"/>
      <c r="D828" s="1" t="str">
        <f>IFERROR(__xludf.DUMMYFUNCTION("""COMPUTED_VALUE"""),"OM-1")</f>
        <v>OM-1</v>
      </c>
      <c r="E828" s="30" t="str">
        <f>IFERROR(__xludf.DUMMYFUNCTION("""COMPUTED_VALUE"""),"OM1")</f>
        <v>OM1</v>
      </c>
      <c r="F828" s="10">
        <f>IFERROR(__xludf.DUMMYFUNCTION("""COMPUTED_VALUE"""),0)</f>
        <v>0</v>
      </c>
      <c r="G828" s="10">
        <f>IFERROR(__xludf.DUMMYFUNCTION("""COMPUTED_VALUE"""),0)</f>
        <v>0</v>
      </c>
      <c r="H828" s="10">
        <f>IFERROR(__xludf.DUMMYFUNCTION("""COMPUTED_VALUE"""),455.483)</f>
        <v>455.483</v>
      </c>
      <c r="I828" s="13"/>
      <c r="J828" s="13"/>
      <c r="K828" s="13"/>
      <c r="L828" s="13"/>
      <c r="M828" s="1" t="b">
        <f>IFERROR(__xludf.DUMMYFUNCTION("""COMPUTED_VALUE"""),TRUE)</f>
        <v>1</v>
      </c>
      <c r="N828" s="10">
        <f>IFERROR(__xludf.DUMMYFUNCTION("""COMPUTED_VALUE"""),0)</f>
        <v>0</v>
      </c>
      <c r="O828" s="10">
        <f>IFERROR(__xludf.DUMMYFUNCTION("""COMPUTED_VALUE"""),0)</f>
        <v>0</v>
      </c>
      <c r="P828" s="10"/>
      <c r="Q828" s="30"/>
      <c r="R828" s="18"/>
      <c r="S828" s="19"/>
      <c r="T828" s="10"/>
      <c r="U828" s="10"/>
      <c r="V828" s="10"/>
      <c r="W828" s="10"/>
      <c r="X828" s="19"/>
      <c r="Y828" s="1"/>
      <c r="Z828" s="1"/>
      <c r="AA828" s="1"/>
    </row>
    <row r="829" customHeight="1" spans="1:27">
      <c r="A829" s="1" t="str">
        <f>IFERROR(__xludf.DUMMYFUNCTION("""COMPUTED_VALUE"""),"Yela R02")</f>
        <v>Yela R02</v>
      </c>
      <c r="B829" s="1" t="str">
        <f>IFERROR(__xludf.DUMMYFUNCTION("""COMPUTED_VALUE"""),"Yela 46")</f>
        <v>Yela 46</v>
      </c>
      <c r="C829" s="1"/>
      <c r="D829" s="1" t="str">
        <f>IFERROR(__xludf.DUMMYFUNCTION("""COMPUTED_VALUE"""),"OM-2")</f>
        <v>OM-2</v>
      </c>
      <c r="E829" s="30" t="str">
        <f>IFERROR(__xludf.DUMMYFUNCTION("""COMPUTED_VALUE"""),"OM2")</f>
        <v>OM2</v>
      </c>
      <c r="F829" s="10">
        <f>IFERROR(__xludf.DUMMYFUNCTION("""COMPUTED_VALUE"""),0)</f>
        <v>0</v>
      </c>
      <c r="G829" s="10">
        <f>IFERROR(__xludf.DUMMYFUNCTION("""COMPUTED_VALUE"""),0)</f>
        <v>0</v>
      </c>
      <c r="H829" s="10">
        <f>IFERROR(__xludf.DUMMYFUNCTION("""COMPUTED_VALUE"""),-455.483)</f>
        <v>-455.483</v>
      </c>
      <c r="I829" s="13"/>
      <c r="J829" s="13"/>
      <c r="K829" s="13"/>
      <c r="L829" s="13"/>
      <c r="M829" s="1" t="b">
        <f>IFERROR(__xludf.DUMMYFUNCTION("""COMPUTED_VALUE"""),TRUE)</f>
        <v>1</v>
      </c>
      <c r="N829" s="10">
        <f>IFERROR(__xludf.DUMMYFUNCTION("""COMPUTED_VALUE"""),0)</f>
        <v>0</v>
      </c>
      <c r="O829" s="10">
        <f>IFERROR(__xludf.DUMMYFUNCTION("""COMPUTED_VALUE"""),0)</f>
        <v>0</v>
      </c>
      <c r="P829" s="10"/>
      <c r="Q829" s="30"/>
      <c r="R829" s="18"/>
      <c r="S829" s="19"/>
      <c r="T829" s="10"/>
      <c r="U829" s="10"/>
      <c r="V829" s="10"/>
      <c r="W829" s="10"/>
      <c r="X829" s="19"/>
      <c r="Y829" s="1"/>
      <c r="Z829" s="1"/>
      <c r="AA829" s="1"/>
    </row>
    <row r="830" customHeight="1" spans="1:27">
      <c r="A830" s="1" t="str">
        <f>IFERROR(__xludf.DUMMYFUNCTION("""COMPUTED_VALUE"""),"Yela R03")</f>
        <v>Yela R03</v>
      </c>
      <c r="B830" s="1" t="str">
        <f>IFERROR(__xludf.DUMMYFUNCTION("""COMPUTED_VALUE"""),"Yela 47")</f>
        <v>Yela 47</v>
      </c>
      <c r="C830" s="1" t="str">
        <f>IFERROR(__xludf.DUMMYFUNCTION("""COMPUTED_VALUE"""),"Yela 09")</f>
        <v>Yela 09</v>
      </c>
      <c r="D830" s="1" t="str">
        <f>IFERROR(__xludf.DUMMYFUNCTION("""COMPUTED_VALUE"""),"OM-3")</f>
        <v>OM-3</v>
      </c>
      <c r="E830" s="30" t="str">
        <f>IFERROR(__xludf.DUMMYFUNCTION("""COMPUTED_VALUE"""),"OM3")</f>
        <v>OM3</v>
      </c>
      <c r="F830" s="10">
        <f>IFERROR(__xludf.DUMMYFUNCTION("""COMPUTED_VALUE"""),0)</f>
        <v>0</v>
      </c>
      <c r="G830" s="10">
        <f>IFERROR(__xludf.DUMMYFUNCTION("""COMPUTED_VALUE"""),455.483)</f>
        <v>455.483</v>
      </c>
      <c r="H830" s="10">
        <f>IFERROR(__xludf.DUMMYFUNCTION("""COMPUTED_VALUE"""),0)</f>
        <v>0</v>
      </c>
      <c r="I830" s="13"/>
      <c r="J830" s="13"/>
      <c r="K830" s="13"/>
      <c r="L830" s="13"/>
      <c r="M830" s="1" t="b">
        <f>IFERROR(__xludf.DUMMYFUNCTION("""COMPUTED_VALUE"""),TRUE)</f>
        <v>1</v>
      </c>
      <c r="N830" s="10">
        <f>IFERROR(__xludf.DUMMYFUNCTION("""COMPUTED_VALUE"""),0)</f>
        <v>0</v>
      </c>
      <c r="O830" s="10">
        <f>IFERROR(__xludf.DUMMYFUNCTION("""COMPUTED_VALUE"""),0)</f>
        <v>0</v>
      </c>
      <c r="P830" s="10"/>
      <c r="Q830" s="30"/>
      <c r="R830" s="18"/>
      <c r="S830" s="19"/>
      <c r="T830" s="10"/>
      <c r="U830" s="10"/>
      <c r="V830" s="10"/>
      <c r="W830" s="10"/>
      <c r="X830" s="19"/>
      <c r="Y830" s="1"/>
      <c r="Z830" s="1"/>
      <c r="AA830" s="1"/>
    </row>
    <row r="831" customHeight="1" spans="1:27">
      <c r="A831" s="1" t="str">
        <f>IFERROR(__xludf.DUMMYFUNCTION("""COMPUTED_VALUE"""),"Yela R04")</f>
        <v>Yela R04</v>
      </c>
      <c r="B831" s="1" t="str">
        <f>IFERROR(__xludf.DUMMYFUNCTION("""COMPUTED_VALUE"""),"Yela 48")</f>
        <v>Yela 48</v>
      </c>
      <c r="C831" s="1" t="str">
        <f>IFERROR(__xludf.DUMMYFUNCTION("""COMPUTED_VALUE"""),"Yela 23")</f>
        <v>Yela 23</v>
      </c>
      <c r="D831" s="1" t="str">
        <f>IFERROR(__xludf.DUMMYFUNCTION("""COMPUTED_VALUE"""),"OM-4")</f>
        <v>OM-4</v>
      </c>
      <c r="E831" s="30" t="str">
        <f>IFERROR(__xludf.DUMMYFUNCTION("""COMPUTED_VALUE"""),"OM4")</f>
        <v>OM4</v>
      </c>
      <c r="F831" s="10">
        <f>IFERROR(__xludf.DUMMYFUNCTION("""COMPUTED_VALUE"""),0)</f>
        <v>0</v>
      </c>
      <c r="G831" s="10">
        <f>IFERROR(__xludf.DUMMYFUNCTION("""COMPUTED_VALUE"""),-455.483)</f>
        <v>-455.483</v>
      </c>
      <c r="H831" s="10">
        <f>IFERROR(__xludf.DUMMYFUNCTION("""COMPUTED_VALUE"""),0)</f>
        <v>0</v>
      </c>
      <c r="I831" s="13"/>
      <c r="J831" s="13"/>
      <c r="K831" s="13"/>
      <c r="L831" s="13"/>
      <c r="M831" s="1" t="b">
        <f>IFERROR(__xludf.DUMMYFUNCTION("""COMPUTED_VALUE"""),TRUE)</f>
        <v>1</v>
      </c>
      <c r="N831" s="10">
        <f>IFERROR(__xludf.DUMMYFUNCTION("""COMPUTED_VALUE"""),0)</f>
        <v>0</v>
      </c>
      <c r="O831" s="10">
        <f>IFERROR(__xludf.DUMMYFUNCTION("""COMPUTED_VALUE"""),0)</f>
        <v>0</v>
      </c>
      <c r="P831" s="10"/>
      <c r="Q831" s="30"/>
      <c r="R831" s="18"/>
      <c r="S831" s="19"/>
      <c r="T831" s="10"/>
      <c r="U831" s="10"/>
      <c r="V831" s="10"/>
      <c r="W831" s="10"/>
      <c r="X831" s="19"/>
      <c r="Y831" s="1"/>
      <c r="Z831" s="1"/>
      <c r="AA831" s="1"/>
    </row>
    <row r="832" customHeight="1" spans="1:27">
      <c r="A832" s="1" t="str">
        <f>IFERROR(__xludf.DUMMYFUNCTION("""COMPUTED_VALUE"""),"Yela R05")</f>
        <v>Yela R05</v>
      </c>
      <c r="B832" s="1" t="str">
        <f>IFERROR(__xludf.DUMMYFUNCTION("""COMPUTED_VALUE"""),"Yela 49")</f>
        <v>Yela 49</v>
      </c>
      <c r="C832" s="1" t="str">
        <f>IFERROR(__xludf.DUMMYFUNCTION("""COMPUTED_VALUE"""),"Yela 16")</f>
        <v>Yela 16</v>
      </c>
      <c r="D832" s="1" t="str">
        <f>IFERROR(__xludf.DUMMYFUNCTION("""COMPUTED_VALUE"""),"OM-5")</f>
        <v>OM-5</v>
      </c>
      <c r="E832" s="30" t="str">
        <f>IFERROR(__xludf.DUMMYFUNCTION("""COMPUTED_VALUE"""),"OM5")</f>
        <v>OM5</v>
      </c>
      <c r="F832" s="10">
        <f>IFERROR(__xludf.DUMMYFUNCTION("""COMPUTED_VALUE"""),455.483)</f>
        <v>455.483</v>
      </c>
      <c r="G832" s="10">
        <f>IFERROR(__xludf.DUMMYFUNCTION("""COMPUTED_VALUE"""),0)</f>
        <v>0</v>
      </c>
      <c r="H832" s="10">
        <f>IFERROR(__xludf.DUMMYFUNCTION("""COMPUTED_VALUE"""),0)</f>
        <v>0</v>
      </c>
      <c r="I832" s="13"/>
      <c r="J832" s="13"/>
      <c r="K832" s="13"/>
      <c r="L832" s="13"/>
      <c r="M832" s="1" t="b">
        <f>IFERROR(__xludf.DUMMYFUNCTION("""COMPUTED_VALUE"""),TRUE)</f>
        <v>1</v>
      </c>
      <c r="N832" s="10">
        <f>IFERROR(__xludf.DUMMYFUNCTION("""COMPUTED_VALUE"""),0)</f>
        <v>0</v>
      </c>
      <c r="O832" s="10">
        <f>IFERROR(__xludf.DUMMYFUNCTION("""COMPUTED_VALUE"""),0)</f>
        <v>0</v>
      </c>
      <c r="P832" s="10"/>
      <c r="Q832" s="30"/>
      <c r="R832" s="18"/>
      <c r="S832" s="19"/>
      <c r="T832" s="10"/>
      <c r="U832" s="10"/>
      <c r="V832" s="10"/>
      <c r="W832" s="10"/>
      <c r="X832" s="19"/>
      <c r="Y832" s="1"/>
      <c r="Z832" s="1"/>
      <c r="AA832" s="1"/>
    </row>
    <row r="833" customHeight="1" spans="1:27">
      <c r="A833" s="1" t="str">
        <f>IFERROR(__xludf.DUMMYFUNCTION("""COMPUTED_VALUE"""),"Yela R06")</f>
        <v>Yela R06</v>
      </c>
      <c r="B833" s="1" t="str">
        <f>IFERROR(__xludf.DUMMYFUNCTION("""COMPUTED_VALUE"""),"Yela 50")</f>
        <v>Yela 50</v>
      </c>
      <c r="C833" s="1" t="str">
        <f>IFERROR(__xludf.DUMMYFUNCTION("""COMPUTED_VALUE"""),"Yela 31")</f>
        <v>Yela 31</v>
      </c>
      <c r="D833" s="1" t="str">
        <f>IFERROR(__xludf.DUMMYFUNCTION("""COMPUTED_VALUE"""),"OM-6")</f>
        <v>OM-6</v>
      </c>
      <c r="E833" s="30" t="str">
        <f>IFERROR(__xludf.DUMMYFUNCTION("""COMPUTED_VALUE"""),"OM6")</f>
        <v>OM6</v>
      </c>
      <c r="F833" s="10">
        <f>IFERROR(__xludf.DUMMYFUNCTION("""COMPUTED_VALUE"""),-455.483)</f>
        <v>-455.483</v>
      </c>
      <c r="G833" s="10">
        <f>IFERROR(__xludf.DUMMYFUNCTION("""COMPUTED_VALUE"""),0)</f>
        <v>0</v>
      </c>
      <c r="H833" s="10">
        <f>IFERROR(__xludf.DUMMYFUNCTION("""COMPUTED_VALUE"""),0)</f>
        <v>0</v>
      </c>
      <c r="I833" s="13"/>
      <c r="J833" s="13"/>
      <c r="K833" s="13"/>
      <c r="L833" s="13"/>
      <c r="M833" s="1" t="b">
        <f>IFERROR(__xludf.DUMMYFUNCTION("""COMPUTED_VALUE"""),TRUE)</f>
        <v>1</v>
      </c>
      <c r="N833" s="10">
        <f>IFERROR(__xludf.DUMMYFUNCTION("""COMPUTED_VALUE"""),0)</f>
        <v>0</v>
      </c>
      <c r="O833" s="10">
        <f>IFERROR(__xludf.DUMMYFUNCTION("""COMPUTED_VALUE"""),0)</f>
        <v>0</v>
      </c>
      <c r="P833" s="10"/>
      <c r="Q833" s="30"/>
      <c r="R833" s="18"/>
      <c r="S833" s="19"/>
      <c r="T833" s="10"/>
      <c r="U833" s="10"/>
      <c r="V833" s="10"/>
      <c r="W833" s="10"/>
      <c r="X833" s="19"/>
      <c r="Y833" s="1"/>
      <c r="Z833" s="1"/>
      <c r="AA833" s="1"/>
    </row>
    <row r="834" customHeight="1" spans="1:27">
      <c r="A834" s="1" t="str">
        <f>IFERROR(__xludf.DUMMYFUNCTION("""COMPUTED_VALUE"""),"Yela")</f>
        <v>Yela</v>
      </c>
      <c r="B834" s="1" t="str">
        <f>IFERROR(__xludf.DUMMYFUNCTION("""COMPUTED_VALUE"""),"Yela 00")</f>
        <v>Yela 00</v>
      </c>
      <c r="C834" s="1"/>
      <c r="D834" s="1" t="str">
        <f>IFERROR(__xludf.DUMMYFUNCTION("""COMPUTED_VALUE"""),"Landing Zone")</f>
        <v>Landing Zone</v>
      </c>
      <c r="E834" s="30"/>
      <c r="F834" s="10"/>
      <c r="G834" s="10"/>
      <c r="H834" s="10"/>
      <c r="I834" s="13"/>
      <c r="J834" s="13"/>
      <c r="K834" s="13"/>
      <c r="L834" s="13"/>
      <c r="M834" s="1"/>
      <c r="N834" s="10"/>
      <c r="O834" s="10"/>
      <c r="P834" s="10"/>
      <c r="Q834" s="30"/>
      <c r="R834" s="18"/>
      <c r="S834" s="19"/>
      <c r="T834" s="10"/>
      <c r="U834" s="10"/>
      <c r="V834" s="10"/>
      <c r="W834" s="10"/>
      <c r="X834" s="19"/>
      <c r="Y834" s="1"/>
      <c r="Z834" s="1"/>
      <c r="AA834" s="1"/>
    </row>
    <row r="835" customHeight="1" spans="1:27">
      <c r="A835" s="1" t="str">
        <f>IFERROR(__xludf.DUMMYFUNCTION("""COMPUTED_VALUE"""),"Yela 01")</f>
        <v>Yela 01</v>
      </c>
      <c r="B835" s="1" t="str">
        <f>IFERROR(__xludf.DUMMYFUNCTION("""COMPUTED_VALUE"""),"Yela 01")</f>
        <v>Yela 01</v>
      </c>
      <c r="C835" s="1" t="str">
        <f>IFERROR(__xludf.DUMMYFUNCTION("""COMPUTED_VALUE"""),"Yela 04")</f>
        <v>Yela 04</v>
      </c>
      <c r="D835" s="1" t="str">
        <f>IFERROR(__xludf.DUMMYFUNCTION("""COMPUTED_VALUE"""),"Grim HEX")</f>
        <v>Grim HEX</v>
      </c>
      <c r="E835" s="30" t="str">
        <f>IFERROR(__xludf.DUMMYFUNCTION("""COMPUTED_VALUE"""),"GrimHEX")</f>
        <v>GrimHEX</v>
      </c>
      <c r="F835" s="10">
        <f>IFERROR(__xludf.DUMMYFUNCTION("""COMPUTED_VALUE"""),-568.6586875)</f>
        <v>-568.6586875</v>
      </c>
      <c r="G835" s="10">
        <f>IFERROR(__xludf.DUMMYFUNCTION("""COMPUTED_VALUE"""),383.56525)</f>
        <v>383.56525</v>
      </c>
      <c r="H835" s="10">
        <f>IFERROR(__xludf.DUMMYFUNCTION("""COMPUTED_VALUE"""),-2.042)</f>
        <v>-2.042</v>
      </c>
      <c r="I835" s="13"/>
      <c r="J835" s="13"/>
      <c r="K835" s="13"/>
      <c r="L835" s="13"/>
      <c r="M835" s="1" t="b">
        <f>IFERROR(__xludf.DUMMYFUNCTION("""COMPUTED_VALUE"""),TRUE)</f>
        <v>1</v>
      </c>
      <c r="N835" s="10">
        <f>IFERROR(__xludf.DUMMYFUNCTION("""COMPUTED_VALUE"""),0)</f>
        <v>0</v>
      </c>
      <c r="O835" s="10">
        <f>IFERROR(__xludf.DUMMYFUNCTION("""COMPUTED_VALUE"""),0)</f>
        <v>0</v>
      </c>
      <c r="P835" s="10"/>
      <c r="Q835" s="30"/>
      <c r="R835" s="18"/>
      <c r="S835" s="19"/>
      <c r="T835" s="10"/>
      <c r="U835" s="10"/>
      <c r="V835" s="10"/>
      <c r="W835" s="10"/>
      <c r="X835" s="19"/>
      <c r="Y835" s="1"/>
      <c r="Z835" s="1"/>
      <c r="AA835" s="1"/>
    </row>
    <row r="836" customHeight="1" spans="1:27">
      <c r="A836" s="1" t="str">
        <f>IFERROR(__xludf.DUMMYFUNCTION("""COMPUTED_VALUE"""),"Yela")</f>
        <v>Yela</v>
      </c>
      <c r="B836" s="1" t="str">
        <f>IFERROR(__xludf.DUMMYFUNCTION("""COMPUTED_VALUE"""),"Yela 03")</f>
        <v>Yela 03</v>
      </c>
      <c r="C836" s="1"/>
      <c r="D836" s="1" t="str">
        <f>IFERROR(__xludf.DUMMYFUNCTION("""COMPUTED_VALUE"""),"Trading Terminals")</f>
        <v>Trading Terminals</v>
      </c>
      <c r="E836" s="30"/>
      <c r="F836" s="10"/>
      <c r="G836" s="10"/>
      <c r="H836" s="10"/>
      <c r="I836" s="13"/>
      <c r="J836" s="13"/>
      <c r="K836" s="13"/>
      <c r="L836" s="13"/>
      <c r="M836" s="1"/>
      <c r="N836" s="10"/>
      <c r="O836" s="10"/>
      <c r="P836" s="10"/>
      <c r="Q836" s="30"/>
      <c r="R836" s="18"/>
      <c r="S836" s="19"/>
      <c r="T836" s="10"/>
      <c r="U836" s="10"/>
      <c r="V836" s="10"/>
      <c r="W836" s="10"/>
      <c r="X836" s="19"/>
      <c r="Y836" s="1"/>
      <c r="Z836" s="1"/>
      <c r="AA836" s="1"/>
    </row>
    <row r="837" customHeight="1" spans="1:27">
      <c r="A837" s="1" t="str">
        <f>IFERROR(__xludf.DUMMYFUNCTION("""COMPUTED_VALUE"""),"Yela 02")</f>
        <v>Yela 02</v>
      </c>
      <c r="B837" s="1" t="str">
        <f>IFERROR(__xludf.DUMMYFUNCTION("""COMPUTED_VALUE"""),"Yela 04")</f>
        <v>Yela 04</v>
      </c>
      <c r="C837" s="1" t="str">
        <f>IFERROR(__xludf.DUMMYFUNCTION("""COMPUTED_VALUE"""),"Yela 10")</f>
        <v>Yela 10</v>
      </c>
      <c r="D837" s="1" t="str">
        <f>IFERROR(__xludf.DUMMYFUNCTION("""COMPUTED_VALUE"""),"ArcCorp Mining Area 157 (PB)")</f>
        <v>ArcCorp Mining Area 157 (PB)</v>
      </c>
      <c r="E837" s="30" t="str">
        <f>IFERROR(__xludf.DUMMYFUNCTION("""COMPUTED_VALUE"""),"ArcCorp 157")</f>
        <v>ArcCorp 157</v>
      </c>
      <c r="F837" s="10">
        <f>IFERROR(__xludf.DUMMYFUNCTION("""COMPUTED_VALUE"""),6.02297747799999)</f>
        <v>6.02297747799999</v>
      </c>
      <c r="G837" s="10">
        <f>IFERROR(__xludf.DUMMYFUNCTION("""COMPUTED_VALUE"""),222.356216484)</f>
        <v>222.356216484</v>
      </c>
      <c r="H837" s="10">
        <f>IFERROR(__xludf.DUMMYFUNCTION("""COMPUTED_VALUE"""),220.312841504999)</f>
        <v>220.312841504999</v>
      </c>
      <c r="I837" s="13"/>
      <c r="J837" s="13"/>
      <c r="K837" s="13"/>
      <c r="L837" s="13"/>
      <c r="M837" s="1" t="b">
        <f>IFERROR(__xludf.DUMMYFUNCTION("""COMPUTED_VALUE"""),TRUE)</f>
        <v>1</v>
      </c>
      <c r="N837" s="10">
        <f>IFERROR(__xludf.DUMMYFUNCTION("""COMPUTED_VALUE"""),0)</f>
        <v>0</v>
      </c>
      <c r="O837" s="10">
        <f>IFERROR(__xludf.DUMMYFUNCTION("""COMPUTED_VALUE"""),0)</f>
        <v>0</v>
      </c>
      <c r="P837" s="10"/>
      <c r="Q837" s="30"/>
      <c r="R837" s="18"/>
      <c r="S837" s="19"/>
      <c r="T837" s="10"/>
      <c r="U837" s="10"/>
      <c r="V837" s="10"/>
      <c r="W837" s="10"/>
      <c r="X837" s="19"/>
      <c r="Y837" s="1"/>
      <c r="Z837" s="1"/>
      <c r="AA837" s="1"/>
    </row>
    <row r="838" customHeight="1" spans="1:27">
      <c r="A838" s="1" t="str">
        <f>IFERROR(__xludf.DUMMYFUNCTION("""COMPUTED_VALUE"""),"Yela 03")</f>
        <v>Yela 03</v>
      </c>
      <c r="B838" s="1" t="str">
        <f>IFERROR(__xludf.DUMMYFUNCTION("""COMPUTED_VALUE"""),"Yela 05")</f>
        <v>Yela 05</v>
      </c>
      <c r="C838" s="1" t="str">
        <f>IFERROR(__xludf.DUMMYFUNCTION("""COMPUTED_VALUE"""),"Yela 21")</f>
        <v>Yela 21</v>
      </c>
      <c r="D838" s="1" t="str">
        <f>IFERROR(__xludf.DUMMYFUNCTION("""COMPUTED_VALUE"""),"Benson Mining Outpost")</f>
        <v>Benson Mining Outpost</v>
      </c>
      <c r="E838" s="30" t="str">
        <f>IFERROR(__xludf.DUMMYFUNCTION("""COMPUTED_VALUE"""),"Benson")</f>
        <v>Benson</v>
      </c>
      <c r="F838" s="10">
        <f>IFERROR(__xludf.DUMMYFUNCTION("""COMPUTED_VALUE"""),48.9981152789999)</f>
        <v>48.9981152789999</v>
      </c>
      <c r="G838" s="10">
        <f>IFERROR(__xludf.DUMMYFUNCTION("""COMPUTED_VALUE"""),-275.606333017)</f>
        <v>-275.606333017</v>
      </c>
      <c r="H838" s="10">
        <f>IFERROR(__xludf.DUMMYFUNCTION("""COMPUTED_VALUE"""),-140.136025793)</f>
        <v>-140.136025793</v>
      </c>
      <c r="I838" s="13"/>
      <c r="J838" s="13"/>
      <c r="K838" s="13"/>
      <c r="L838" s="13"/>
      <c r="M838" s="1" t="b">
        <f>IFERROR(__xludf.DUMMYFUNCTION("""COMPUTED_VALUE"""),TRUE)</f>
        <v>1</v>
      </c>
      <c r="N838" s="10">
        <f>IFERROR(__xludf.DUMMYFUNCTION("""COMPUTED_VALUE"""),0)</f>
        <v>0</v>
      </c>
      <c r="O838" s="10">
        <f>IFERROR(__xludf.DUMMYFUNCTION("""COMPUTED_VALUE"""),0)</f>
        <v>0</v>
      </c>
      <c r="P838" s="10"/>
      <c r="Q838" s="30"/>
      <c r="R838" s="18"/>
      <c r="S838" s="19"/>
      <c r="T838" s="10"/>
      <c r="U838" s="10"/>
      <c r="V838" s="10"/>
      <c r="W838" s="10"/>
      <c r="X838" s="19"/>
      <c r="Y838" s="1"/>
      <c r="Z838" s="1"/>
      <c r="AA838" s="1"/>
    </row>
    <row r="839" customHeight="1" spans="1:27">
      <c r="A839" s="1" t="str">
        <f>IFERROR(__xludf.DUMMYFUNCTION("""COMPUTED_VALUE"""),"Yela 04")</f>
        <v>Yela 04</v>
      </c>
      <c r="B839" s="1" t="str">
        <f>IFERROR(__xludf.DUMMYFUNCTION("""COMPUTED_VALUE"""),"Yela 06")</f>
        <v>Yela 06</v>
      </c>
      <c r="C839" s="1" t="str">
        <f>IFERROR(__xludf.DUMMYFUNCTION("""COMPUTED_VALUE"""),"Yela 19")</f>
        <v>Yela 19</v>
      </c>
      <c r="D839" s="1" t="str">
        <f>IFERROR(__xludf.DUMMYFUNCTION("""COMPUTED_VALUE"""),"Deakins Research Outpost (PB)")</f>
        <v>Deakins Research Outpost (PB)</v>
      </c>
      <c r="E839" s="30" t="str">
        <f>IFERROR(__xludf.DUMMYFUNCTION("""COMPUTED_VALUE"""),"Deakins")</f>
        <v>Deakins</v>
      </c>
      <c r="F839" s="10">
        <f>IFERROR(__xludf.DUMMYFUNCTION("""COMPUTED_VALUE"""),231.58705872)</f>
        <v>231.58705872</v>
      </c>
      <c r="G839" s="10">
        <f>IFERROR(__xludf.DUMMYFUNCTION("""COMPUTED_VALUE"""),-210.279324693)</f>
        <v>-210.279324693</v>
      </c>
      <c r="H839" s="10">
        <f>IFERROR(__xludf.DUMMYFUNCTION("""COMPUTED_VALUE"""),13.277539822)</f>
        <v>13.277539822</v>
      </c>
      <c r="I839" s="13"/>
      <c r="J839" s="13"/>
      <c r="K839" s="13"/>
      <c r="L839" s="13"/>
      <c r="M839" s="1" t="b">
        <f>IFERROR(__xludf.DUMMYFUNCTION("""COMPUTED_VALUE"""),TRUE)</f>
        <v>1</v>
      </c>
      <c r="N839" s="10">
        <f>IFERROR(__xludf.DUMMYFUNCTION("""COMPUTED_VALUE"""),0)</f>
        <v>0</v>
      </c>
      <c r="O839" s="10">
        <f>IFERROR(__xludf.DUMMYFUNCTION("""COMPUTED_VALUE"""),0)</f>
        <v>0</v>
      </c>
      <c r="P839" s="10"/>
      <c r="Q839" s="30"/>
      <c r="R839" s="18"/>
      <c r="S839" s="19"/>
      <c r="T839" s="10"/>
      <c r="U839" s="10"/>
      <c r="V839" s="10"/>
      <c r="W839" s="10"/>
      <c r="X839" s="19"/>
      <c r="Y839" s="1"/>
      <c r="Z839" s="1"/>
      <c r="AA839" s="1"/>
    </row>
    <row r="840" customHeight="1" spans="1:27">
      <c r="A840" s="1" t="str">
        <f>IFERROR(__xludf.DUMMYFUNCTION("""COMPUTED_VALUE"""),"Yela 05")</f>
        <v>Yela 05</v>
      </c>
      <c r="B840" s="1" t="str">
        <f>IFERROR(__xludf.DUMMYFUNCTION("""COMPUTED_VALUE"""),"Yela 07")</f>
        <v>Yela 07</v>
      </c>
      <c r="C840" s="1" t="str">
        <f>IFERROR(__xludf.DUMMYFUNCTION("""COMPUTED_VALUE"""),"Yela 30")</f>
        <v>Yela 30</v>
      </c>
      <c r="D840" s="1" t="str">
        <f>IFERROR(__xludf.DUMMYFUNCTION("""COMPUTED_VALUE"""),"Yela Stash House (NT-999-XX)")</f>
        <v>Yela Stash House (NT-999-XX)</v>
      </c>
      <c r="E840" s="30" t="str">
        <f>IFERROR(__xludf.DUMMYFUNCTION("""COMPUTED_VALUE"""),"Stash House")</f>
        <v>Stash House</v>
      </c>
      <c r="F840" s="10">
        <f>IFERROR(__xludf.DUMMYFUNCTION("""COMPUTED_VALUE"""),-205.658644808999)</f>
        <v>-205.658644808999</v>
      </c>
      <c r="G840" s="10">
        <f>IFERROR(__xludf.DUMMYFUNCTION("""COMPUTED_VALUE"""),-73.9878218179999)</f>
        <v>-73.9878218179999</v>
      </c>
      <c r="H840" s="10">
        <f>IFERROR(__xludf.DUMMYFUNCTION("""COMPUTED_VALUE"""),224.324660814)</f>
        <v>224.324660814</v>
      </c>
      <c r="I840" s="13"/>
      <c r="J840" s="13"/>
      <c r="K840" s="13"/>
      <c r="L840" s="13"/>
      <c r="M840" s="1" t="b">
        <f>IFERROR(__xludf.DUMMYFUNCTION("""COMPUTED_VALUE"""),TRUE)</f>
        <v>1</v>
      </c>
      <c r="N840" s="10">
        <f>IFERROR(__xludf.DUMMYFUNCTION("""COMPUTED_VALUE"""),0)</f>
        <v>0</v>
      </c>
      <c r="O840" s="10">
        <f>IFERROR(__xludf.DUMMYFUNCTION("""COMPUTED_VALUE"""),0)</f>
        <v>0</v>
      </c>
      <c r="P840" s="10"/>
      <c r="Q840" s="30"/>
      <c r="R840" s="18"/>
      <c r="S840" s="19"/>
      <c r="T840" s="10"/>
      <c r="U840" s="10"/>
      <c r="V840" s="10"/>
      <c r="W840" s="10"/>
      <c r="X840" s="19"/>
      <c r="Y840" s="1"/>
      <c r="Z840" s="1"/>
      <c r="AA840" s="1"/>
    </row>
    <row r="841" customHeight="1" spans="1:27">
      <c r="A841" s="1" t="str">
        <f>IFERROR(__xludf.DUMMYFUNCTION("""COMPUTED_VALUE"""),"Yela")</f>
        <v>Yela</v>
      </c>
      <c r="B841" s="1" t="str">
        <f>IFERROR(__xludf.DUMMYFUNCTION("""COMPUTED_VALUE"""),"Yela 09")</f>
        <v>Yela 09</v>
      </c>
      <c r="C841" s="1" t="str">
        <f>IFERROR(__xludf.DUMMYFUNCTION("""COMPUTED_VALUE"""),"Yela")</f>
        <v>Yela</v>
      </c>
      <c r="D841" s="1" t="str">
        <f>IFERROR(__xludf.DUMMYFUNCTION("""COMPUTED_VALUE"""),"Underground Bunker Facilities")</f>
        <v>Underground Bunker Facilities</v>
      </c>
      <c r="E841" s="30"/>
      <c r="F841" s="10"/>
      <c r="G841" s="10"/>
      <c r="H841" s="10"/>
      <c r="I841" s="13"/>
      <c r="J841" s="13"/>
      <c r="K841" s="13"/>
      <c r="L841" s="13"/>
      <c r="M841" s="1"/>
      <c r="N841" s="10"/>
      <c r="O841" s="10"/>
      <c r="P841" s="10"/>
      <c r="Q841" s="30"/>
      <c r="R841" s="18"/>
      <c r="S841" s="19"/>
      <c r="T841" s="10"/>
      <c r="U841" s="10"/>
      <c r="V841" s="10"/>
      <c r="W841" s="10"/>
      <c r="X841" s="19"/>
      <c r="Y841" s="1"/>
      <c r="Z841" s="1"/>
      <c r="AA841" s="1"/>
    </row>
    <row r="842" customHeight="1" spans="1:27">
      <c r="A842" s="1" t="str">
        <f>IFERROR(__xludf.DUMMYFUNCTION("""COMPUTED_VALUE"""),"Yela 06")</f>
        <v>Yela 06</v>
      </c>
      <c r="B842" s="1" t="str">
        <f>IFERROR(__xludf.DUMMYFUNCTION("""COMPUTED_VALUE"""),"Yela 10")</f>
        <v>Yela 10</v>
      </c>
      <c r="C842" s="1" t="str">
        <f>IFERROR(__xludf.DUMMYFUNCTION("""COMPUTED_VALUE"""),"Yela 29")</f>
        <v>Yela 29</v>
      </c>
      <c r="D842" s="1" t="str">
        <f>IFERROR(__xludf.DUMMYFUNCTION("""COMPUTED_VALUE"""),"Afterlife")</f>
        <v>Afterlife</v>
      </c>
      <c r="E842" s="30" t="str">
        <f>IFERROR(__xludf.DUMMYFUNCTION("""COMPUTED_VALUE"""),"Afterlife")</f>
        <v>Afterlife</v>
      </c>
      <c r="F842" s="10">
        <f>IFERROR(__xludf.DUMMYFUNCTION("""COMPUTED_VALUE"""),-254.263453205)</f>
        <v>-254.263453205</v>
      </c>
      <c r="G842" s="10">
        <f>IFERROR(__xludf.DUMMYFUNCTION("""COMPUTED_VALUE"""),-153.389924824999)</f>
        <v>-153.389924824999</v>
      </c>
      <c r="H842" s="10">
        <f>IFERROR(__xludf.DUMMYFUNCTION("""COMPUTED_VALUE"""),99.057962111)</f>
        <v>99.057962111</v>
      </c>
      <c r="I842" s="13"/>
      <c r="J842" s="13"/>
      <c r="K842" s="13"/>
      <c r="L842" s="13"/>
      <c r="M842" s="1" t="b">
        <f>IFERROR(__xludf.DUMMYFUNCTION("""COMPUTED_VALUE"""),TRUE)</f>
        <v>1</v>
      </c>
      <c r="N842" s="10"/>
      <c r="O842" s="10"/>
      <c r="P842" s="10"/>
      <c r="Q842" s="30"/>
      <c r="R842" s="18"/>
      <c r="S842" s="19"/>
      <c r="T842" s="10"/>
      <c r="U842" s="10"/>
      <c r="V842" s="10"/>
      <c r="W842" s="10"/>
      <c r="X842" s="19"/>
      <c r="Y842" s="1"/>
      <c r="Z842" s="1"/>
      <c r="AA842" s="1"/>
    </row>
    <row r="843" customHeight="1" spans="1:27">
      <c r="A843" s="1" t="str">
        <f>IFERROR(__xludf.DUMMYFUNCTION("""COMPUTED_VALUE"""),"Yela 07")</f>
        <v>Yela 07</v>
      </c>
      <c r="B843" s="1" t="str">
        <f>IFERROR(__xludf.DUMMYFUNCTION("""COMPUTED_VALUE"""),"Yela 11")</f>
        <v>Yela 11</v>
      </c>
      <c r="C843" s="1" t="str">
        <f>IFERROR(__xludf.DUMMYFUNCTION("""COMPUTED_VALUE"""),"Yela 27")</f>
        <v>Yela 27</v>
      </c>
      <c r="D843" s="1" t="str">
        <f>IFERROR(__xludf.DUMMYFUNCTION("""COMPUTED_VALUE"""),"Connor's")</f>
        <v>Connor's</v>
      </c>
      <c r="E843" s="30" t="str">
        <f>IFERROR(__xludf.DUMMYFUNCTION("""COMPUTED_VALUE"""),"Connor's")</f>
        <v>Connor's</v>
      </c>
      <c r="F843" s="10">
        <f>IFERROR(__xludf.DUMMYFUNCTION("""COMPUTED_VALUE"""),-139.770339362)</f>
        <v>-139.770339362</v>
      </c>
      <c r="G843" s="10">
        <f>IFERROR(__xludf.DUMMYFUNCTION("""COMPUTED_VALUE"""),-254.309590184)</f>
        <v>-254.309590184</v>
      </c>
      <c r="H843" s="10">
        <f>IFERROR(__xludf.DUMMYFUNCTION("""COMPUTED_VALUE"""),118.129294513999)</f>
        <v>118.129294513999</v>
      </c>
      <c r="I843" s="13"/>
      <c r="J843" s="13"/>
      <c r="K843" s="13"/>
      <c r="L843" s="13"/>
      <c r="M843" s="1" t="b">
        <f>IFERROR(__xludf.DUMMYFUNCTION("""COMPUTED_VALUE"""),TRUE)</f>
        <v>1</v>
      </c>
      <c r="N843" s="10"/>
      <c r="O843" s="10"/>
      <c r="P843" s="10"/>
      <c r="Q843" s="30"/>
      <c r="R843" s="18"/>
      <c r="S843" s="19"/>
      <c r="T843" s="10"/>
      <c r="U843" s="10"/>
      <c r="V843" s="10"/>
      <c r="W843" s="10"/>
      <c r="X843" s="19"/>
      <c r="Y843" s="1"/>
      <c r="Z843" s="1"/>
      <c r="AA843" s="1"/>
    </row>
    <row r="844" customHeight="1" spans="1:27">
      <c r="A844" s="1" t="str">
        <f>IFERROR(__xludf.DUMMYFUNCTION("""COMPUTED_VALUE"""),"Yela 08")</f>
        <v>Yela 08</v>
      </c>
      <c r="B844" s="1" t="str">
        <f>IFERROR(__xludf.DUMMYFUNCTION("""COMPUTED_VALUE"""),"Yela 12")</f>
        <v>Yela 12</v>
      </c>
      <c r="C844" s="1" t="str">
        <f>IFERROR(__xludf.DUMMYFUNCTION("""COMPUTED_VALUE"""),"Yela 12")</f>
        <v>Yela 12</v>
      </c>
      <c r="D844" s="1" t="str">
        <f>IFERROR(__xludf.DUMMYFUNCTION("""COMPUTED_VALUE"""),"NT-999-XXII")</f>
        <v>NT-999-XXII</v>
      </c>
      <c r="E844" s="30" t="str">
        <f>IFERROR(__xludf.DUMMYFUNCTION("""COMPUTED_VALUE"""),"NT999XXII")</f>
        <v>NT999XXII</v>
      </c>
      <c r="F844" s="10">
        <f>IFERROR(__xludf.DUMMYFUNCTION("""COMPUTED_VALUE"""),54.5647694419999)</f>
        <v>54.5647694419999</v>
      </c>
      <c r="G844" s="10">
        <f>IFERROR(__xludf.DUMMYFUNCTION("""COMPUTED_VALUE"""),55.9388025229998)</f>
        <v>55.9388025229998</v>
      </c>
      <c r="H844" s="10">
        <f>IFERROR(__xludf.DUMMYFUNCTION("""COMPUTED_VALUE"""),-303.343885916)</f>
        <v>-303.343885916</v>
      </c>
      <c r="I844" s="13"/>
      <c r="J844" s="13"/>
      <c r="K844" s="13"/>
      <c r="L844" s="13"/>
      <c r="M844" s="1" t="b">
        <f>IFERROR(__xludf.DUMMYFUNCTION("""COMPUTED_VALUE"""),TRUE)</f>
        <v>1</v>
      </c>
      <c r="N844" s="10"/>
      <c r="O844" s="10"/>
      <c r="P844" s="10"/>
      <c r="Q844" s="30"/>
      <c r="R844" s="18"/>
      <c r="S844" s="19"/>
      <c r="T844" s="10"/>
      <c r="U844" s="10"/>
      <c r="V844" s="10"/>
      <c r="W844" s="10"/>
      <c r="X844" s="19"/>
      <c r="Y844" s="1"/>
      <c r="Z844" s="1"/>
      <c r="AA844" s="1"/>
    </row>
    <row r="845" customHeight="1" spans="1:27">
      <c r="A845" s="1" t="str">
        <f>IFERROR(__xludf.DUMMYFUNCTION("""COMPUTED_VALUE"""),"Yela 09")</f>
        <v>Yela 09</v>
      </c>
      <c r="B845" s="1" t="str">
        <f>IFERROR(__xludf.DUMMYFUNCTION("""COMPUTED_VALUE"""),"Yela 13")</f>
        <v>Yela 13</v>
      </c>
      <c r="C845" s="1" t="str">
        <f>IFERROR(__xludf.DUMMYFUNCTION("""COMPUTED_VALUE"""),"Yela 13")</f>
        <v>Yela 13</v>
      </c>
      <c r="D845" s="1" t="str">
        <f>IFERROR(__xludf.DUMMYFUNCTION("""COMPUTED_VALUE"""),"Security Post Opal")</f>
        <v>Security Post Opal</v>
      </c>
      <c r="E845" s="30" t="str">
        <f>IFERROR(__xludf.DUMMYFUNCTION("""COMPUTED_VALUE"""),"Opal")</f>
        <v>Opal</v>
      </c>
      <c r="F845" s="10">
        <f>IFERROR(__xludf.DUMMYFUNCTION("""COMPUTED_VALUE"""),241.072886134)</f>
        <v>241.072886134</v>
      </c>
      <c r="G845" s="10">
        <f>IFERROR(__xludf.DUMMYFUNCTION("""COMPUTED_VALUE"""),96.2912805249998)</f>
        <v>96.2912805249998</v>
      </c>
      <c r="H845" s="10">
        <f>IFERROR(__xludf.DUMMYFUNCTION("""COMPUTED_VALUE"""),-175.019176981)</f>
        <v>-175.019176981</v>
      </c>
      <c r="I845" s="13"/>
      <c r="J845" s="13"/>
      <c r="K845" s="13"/>
      <c r="L845" s="13"/>
      <c r="M845" s="1" t="b">
        <f>IFERROR(__xludf.DUMMYFUNCTION("""COMPUTED_VALUE"""),TRUE)</f>
        <v>1</v>
      </c>
      <c r="N845" s="10"/>
      <c r="O845" s="10"/>
      <c r="P845" s="10"/>
      <c r="Q845" s="30"/>
      <c r="R845" s="18"/>
      <c r="S845" s="19"/>
      <c r="T845" s="10"/>
      <c r="U845" s="10"/>
      <c r="V845" s="10"/>
      <c r="W845" s="10"/>
      <c r="X845" s="19"/>
      <c r="Y845" s="1"/>
      <c r="Z845" s="1"/>
      <c r="AA845" s="1"/>
    </row>
    <row r="846" customHeight="1" spans="1:27">
      <c r="A846" s="1" t="str">
        <f>IFERROR(__xludf.DUMMYFUNCTION("""COMPUTED_VALUE"""),"Yela 10")</f>
        <v>Yela 10</v>
      </c>
      <c r="B846" s="1" t="str">
        <f>IFERROR(__xludf.DUMMYFUNCTION("""COMPUTED_VALUE"""),"Yela 14")</f>
        <v>Yela 14</v>
      </c>
      <c r="C846" s="1" t="str">
        <f>IFERROR(__xludf.DUMMYFUNCTION("""COMPUTED_VALUE"""),"Yela 02")</f>
        <v>Yela 02</v>
      </c>
      <c r="D846" s="1" t="str">
        <f>IFERROR(__xludf.DUMMYFUNCTION("""COMPUTED_VALUE"""),"Security Post Wan")</f>
        <v>Security Post Wan</v>
      </c>
      <c r="E846" s="30" t="str">
        <f>IFERROR(__xludf.DUMMYFUNCTION("""COMPUTED_VALUE"""),"Wan")</f>
        <v>Wan</v>
      </c>
      <c r="F846" s="10">
        <f>IFERROR(__xludf.DUMMYFUNCTION("""COMPUTED_VALUE"""),-208.367486003)</f>
        <v>-208.367486003</v>
      </c>
      <c r="G846" s="10">
        <f>IFERROR(__xludf.DUMMYFUNCTION("""COMPUTED_VALUE"""),53.1655807639999)</f>
        <v>53.1655807639999</v>
      </c>
      <c r="H846" s="10">
        <f>IFERROR(__xludf.DUMMYFUNCTION("""COMPUTED_VALUE"""),-227.453544793)</f>
        <v>-227.453544793</v>
      </c>
      <c r="I846" s="13"/>
      <c r="J846" s="13"/>
      <c r="K846" s="13"/>
      <c r="L846" s="13"/>
      <c r="M846" s="1" t="b">
        <f>IFERROR(__xludf.DUMMYFUNCTION("""COMPUTED_VALUE"""),TRUE)</f>
        <v>1</v>
      </c>
      <c r="N846" s="10"/>
      <c r="O846" s="10"/>
      <c r="P846" s="10"/>
      <c r="Q846" s="30"/>
      <c r="R846" s="18"/>
      <c r="S846" s="19"/>
      <c r="T846" s="10"/>
      <c r="U846" s="10"/>
      <c r="V846" s="10"/>
      <c r="W846" s="10"/>
      <c r="X846" s="19"/>
      <c r="Y846" s="1"/>
      <c r="Z846" s="1"/>
      <c r="AA846" s="1"/>
    </row>
    <row r="847" customHeight="1" spans="1:27">
      <c r="A847" s="1" t="str">
        <f>IFERROR(__xludf.DUMMYFUNCTION("""COMPUTED_VALUE"""),"Yela 11")</f>
        <v>Yela 11</v>
      </c>
      <c r="B847" s="1" t="str">
        <f>IFERROR(__xludf.DUMMYFUNCTION("""COMPUTED_VALUE"""),"Yela 15")</f>
        <v>Yela 15</v>
      </c>
      <c r="C847" s="1" t="str">
        <f>IFERROR(__xludf.DUMMYFUNCTION("""COMPUTED_VALUE"""),"Yela 24")</f>
        <v>Yela 24</v>
      </c>
      <c r="D847" s="1" t="str">
        <f>IFERROR(__xludf.DUMMYFUNCTION("""COMPUTED_VALUE"""),"Utopia")</f>
        <v>Utopia</v>
      </c>
      <c r="E847" s="30" t="str">
        <f>IFERROR(__xludf.DUMMYFUNCTION("""COMPUTED_VALUE"""),"Utopia")</f>
        <v>Utopia</v>
      </c>
      <c r="F847" s="10">
        <f>IFERROR(__xludf.DUMMYFUNCTION("""COMPUTED_VALUE"""),-0.172582603)</f>
        <v>-0.172582603</v>
      </c>
      <c r="G847" s="10">
        <f>IFERROR(__xludf.DUMMYFUNCTION("""COMPUTED_VALUE"""),-1.85070725199998)</f>
        <v>-1.85070725199998</v>
      </c>
      <c r="H847" s="10">
        <f>IFERROR(__xludf.DUMMYFUNCTION("""COMPUTED_VALUE"""),-313.079826193)</f>
        <v>-313.079826193</v>
      </c>
      <c r="I847" s="13"/>
      <c r="J847" s="13"/>
      <c r="K847" s="13"/>
      <c r="L847" s="13"/>
      <c r="M847" s="1" t="b">
        <f>IFERROR(__xludf.DUMMYFUNCTION("""COMPUTED_VALUE"""),TRUE)</f>
        <v>1</v>
      </c>
      <c r="N847" s="10"/>
      <c r="O847" s="10"/>
      <c r="P847" s="10"/>
      <c r="Q847" s="30"/>
      <c r="R847" s="18"/>
      <c r="S847" s="19"/>
      <c r="T847" s="10"/>
      <c r="U847" s="10"/>
      <c r="V847" s="10"/>
      <c r="W847" s="10"/>
      <c r="X847" s="19"/>
      <c r="Y847" s="1"/>
      <c r="Z847" s="1"/>
      <c r="AA847" s="1"/>
    </row>
    <row r="848" customHeight="1" spans="1:27">
      <c r="A848" s="1" t="str">
        <f>IFERROR(__xludf.DUMMYFUNCTION("""COMPUTED_VALUE"""),"Yela")</f>
        <v>Yela</v>
      </c>
      <c r="B848" s="1" t="str">
        <f>IFERROR(__xludf.DUMMYFUNCTION("""COMPUTED_VALUE"""),"Yela 17")</f>
        <v>Yela 17</v>
      </c>
      <c r="C848" s="1"/>
      <c r="D848" s="1" t="str">
        <f>IFERROR(__xludf.DUMMYFUNCTION("""COMPUTED_VALUE"""),"Emergency Shelters")</f>
        <v>Emergency Shelters</v>
      </c>
      <c r="E848" s="30"/>
      <c r="F848" s="10"/>
      <c r="G848" s="10"/>
      <c r="H848" s="10"/>
      <c r="I848" s="13"/>
      <c r="J848" s="13"/>
      <c r="K848" s="13"/>
      <c r="L848" s="13"/>
      <c r="M848" s="1"/>
      <c r="N848" s="10"/>
      <c r="O848" s="10"/>
      <c r="P848" s="10"/>
      <c r="Q848" s="30"/>
      <c r="R848" s="18"/>
      <c r="S848" s="19"/>
      <c r="T848" s="10"/>
      <c r="U848" s="10"/>
      <c r="V848" s="10"/>
      <c r="W848" s="10"/>
      <c r="X848" s="19"/>
      <c r="Y848" s="1"/>
      <c r="Z848" s="1"/>
      <c r="AA848" s="1"/>
    </row>
    <row r="849" customHeight="1" spans="1:27">
      <c r="A849" s="1" t="str">
        <f>IFERROR(__xludf.DUMMYFUNCTION("""COMPUTED_VALUE"""),"Yela 12")</f>
        <v>Yela 12</v>
      </c>
      <c r="B849" s="1" t="str">
        <f>IFERROR(__xludf.DUMMYFUNCTION("""COMPUTED_VALUE"""),"Yela 18")</f>
        <v>Yela 18</v>
      </c>
      <c r="C849" s="1" t="str">
        <f>IFERROR(__xludf.DUMMYFUNCTION("""COMPUTED_VALUE"""),"Yela 15")</f>
        <v>Yela 15</v>
      </c>
      <c r="D849" s="1" t="str">
        <f>IFERROR(__xludf.DUMMYFUNCTION("""COMPUTED_VALUE"""),"Aston Ridge Aid Shelter")</f>
        <v>Aston Ridge Aid Shelter</v>
      </c>
      <c r="E849" s="30" t="str">
        <f>IFERROR(__xludf.DUMMYFUNCTION("""COMPUTED_VALUE"""),"Aston")</f>
        <v>Aston</v>
      </c>
      <c r="F849" s="10">
        <f>IFERROR(__xludf.DUMMYFUNCTION("""COMPUTED_VALUE"""),207.943886512)</f>
        <v>207.943886512</v>
      </c>
      <c r="G849" s="10">
        <f>IFERROR(__xludf.DUMMYFUNCTION("""COMPUTED_VALUE"""),24.050626477)</f>
        <v>24.050626477</v>
      </c>
      <c r="H849" s="10">
        <f>IFERROR(__xludf.DUMMYFUNCTION("""COMPUTED_VALUE"""),-232.78463602)</f>
        <v>-232.78463602</v>
      </c>
      <c r="I849" s="13"/>
      <c r="J849" s="13"/>
      <c r="K849" s="13"/>
      <c r="L849" s="13"/>
      <c r="M849" s="1" t="b">
        <f>IFERROR(__xludf.DUMMYFUNCTION("""COMPUTED_VALUE"""),TRUE)</f>
        <v>1</v>
      </c>
      <c r="N849" s="10">
        <f>IFERROR(__xludf.DUMMYFUNCTION("""COMPUTED_VALUE"""),0)</f>
        <v>0</v>
      </c>
      <c r="O849" s="10">
        <f>IFERROR(__xludf.DUMMYFUNCTION("""COMPUTED_VALUE"""),0)</f>
        <v>0</v>
      </c>
      <c r="P849" s="10"/>
      <c r="Q849" s="30"/>
      <c r="R849" s="18"/>
      <c r="S849" s="19"/>
      <c r="T849" s="10"/>
      <c r="U849" s="10"/>
      <c r="V849" s="10"/>
      <c r="W849" s="10"/>
      <c r="X849" s="19"/>
      <c r="Y849" s="1"/>
      <c r="Z849" s="1"/>
      <c r="AA849" s="1"/>
    </row>
    <row r="850" customHeight="1" spans="1:27">
      <c r="A850" s="1" t="str">
        <f>IFERROR(__xludf.DUMMYFUNCTION("""COMPUTED_VALUE"""),"Yela 13")</f>
        <v>Yela 13</v>
      </c>
      <c r="B850" s="1" t="str">
        <f>IFERROR(__xludf.DUMMYFUNCTION("""COMPUTED_VALUE"""),"Yela 19")</f>
        <v>Yela 19</v>
      </c>
      <c r="C850" s="1" t="str">
        <f>IFERROR(__xludf.DUMMYFUNCTION("""COMPUTED_VALUE"""),"Yela 26")</f>
        <v>Yela 26</v>
      </c>
      <c r="D850" s="1" t="str">
        <f>IFERROR(__xludf.DUMMYFUNCTION("""COMPUTED_VALUE"""),"Kosso Basin Aid Shelter")</f>
        <v>Kosso Basin Aid Shelter</v>
      </c>
      <c r="E850" s="30" t="str">
        <f>IFERROR(__xludf.DUMMYFUNCTION("""COMPUTED_VALUE"""),"Kosso")</f>
        <v>Kosso</v>
      </c>
      <c r="F850" s="10">
        <f>IFERROR(__xludf.DUMMYFUNCTION("""COMPUTED_VALUE"""),-31.289482693)</f>
        <v>-31.289482693</v>
      </c>
      <c r="G850" s="10">
        <f>IFERROR(__xludf.DUMMYFUNCTION("""COMPUTED_VALUE"""),-118.13024321)</f>
        <v>-118.13024321</v>
      </c>
      <c r="H850" s="10">
        <f>IFERROR(__xludf.DUMMYFUNCTION("""COMPUTED_VALUE"""),288.314002495)</f>
        <v>288.314002495</v>
      </c>
      <c r="I850" s="13"/>
      <c r="J850" s="13"/>
      <c r="K850" s="13"/>
      <c r="L850" s="13"/>
      <c r="M850" s="1" t="b">
        <f>IFERROR(__xludf.DUMMYFUNCTION("""COMPUTED_VALUE"""),TRUE)</f>
        <v>1</v>
      </c>
      <c r="N850" s="10">
        <f>IFERROR(__xludf.DUMMYFUNCTION("""COMPUTED_VALUE"""),0)</f>
        <v>0</v>
      </c>
      <c r="O850" s="10">
        <f>IFERROR(__xludf.DUMMYFUNCTION("""COMPUTED_VALUE"""),0)</f>
        <v>0</v>
      </c>
      <c r="P850" s="10"/>
      <c r="Q850" s="30"/>
      <c r="R850" s="18"/>
      <c r="S850" s="19"/>
      <c r="T850" s="10"/>
      <c r="U850" s="10"/>
      <c r="V850" s="10"/>
      <c r="W850" s="10"/>
      <c r="X850" s="19"/>
      <c r="Y850" s="1"/>
      <c r="Z850" s="1"/>
      <c r="AA850" s="1"/>
    </row>
    <row r="851" customHeight="1" spans="1:27">
      <c r="A851" s="1" t="str">
        <f>IFERROR(__xludf.DUMMYFUNCTION("""COMPUTED_VALUE"""),"Yela 14")</f>
        <v>Yela 14</v>
      </c>
      <c r="B851" s="1" t="str">
        <f>IFERROR(__xludf.DUMMYFUNCTION("""COMPUTED_VALUE"""),"Yela 20")</f>
        <v>Yela 20</v>
      </c>
      <c r="C851" s="1" t="str">
        <f>IFERROR(__xludf.DUMMYFUNCTION("""COMPUTED_VALUE"""),"Yela 03")</f>
        <v>Yela 03</v>
      </c>
      <c r="D851" s="1" t="str">
        <f>IFERROR(__xludf.DUMMYFUNCTION("""COMPUTED_VALUE"""),"Nakamura Valley Aid Shelter")</f>
        <v>Nakamura Valley Aid Shelter</v>
      </c>
      <c r="E851" s="30" t="str">
        <f>IFERROR(__xludf.DUMMYFUNCTION("""COMPUTED_VALUE"""),"Nakamura")</f>
        <v>Nakamura</v>
      </c>
      <c r="F851" s="10">
        <f>IFERROR(__xludf.DUMMYFUNCTION("""COMPUTED_VALUE"""),-275.722186324)</f>
        <v>-275.722186324</v>
      </c>
      <c r="G851" s="10">
        <f>IFERROR(__xludf.DUMMYFUNCTION("""COMPUTED_VALUE"""),124.073726034)</f>
        <v>124.073726034</v>
      </c>
      <c r="H851" s="10">
        <f>IFERROR(__xludf.DUMMYFUNCTION("""COMPUTED_VALUE"""),81.7172809019999)</f>
        <v>81.7172809019999</v>
      </c>
      <c r="I851" s="13"/>
      <c r="J851" s="13"/>
      <c r="K851" s="13"/>
      <c r="L851" s="13"/>
      <c r="M851" s="1" t="b">
        <f>IFERROR(__xludf.DUMMYFUNCTION("""COMPUTED_VALUE"""),TRUE)</f>
        <v>1</v>
      </c>
      <c r="N851" s="10">
        <f>IFERROR(__xludf.DUMMYFUNCTION("""COMPUTED_VALUE"""),0)</f>
        <v>0</v>
      </c>
      <c r="O851" s="10">
        <f>IFERROR(__xludf.DUMMYFUNCTION("""COMPUTED_VALUE"""),0)</f>
        <v>0</v>
      </c>
      <c r="P851" s="10"/>
      <c r="Q851" s="30"/>
      <c r="R851" s="18"/>
      <c r="S851" s="19"/>
      <c r="T851" s="10"/>
      <c r="U851" s="10"/>
      <c r="V851" s="10"/>
      <c r="W851" s="10"/>
      <c r="X851" s="19"/>
      <c r="Y851" s="1"/>
      <c r="Z851" s="1"/>
      <c r="AA851" s="1"/>
    </row>
    <row r="852" customHeight="1" spans="1:27">
      <c r="A852" s="1" t="str">
        <f>IFERROR(__xludf.DUMMYFUNCTION("""COMPUTED_VALUE"""),"Yela 15")</f>
        <v>Yela 15</v>
      </c>
      <c r="B852" s="1" t="str">
        <f>IFERROR(__xludf.DUMMYFUNCTION("""COMPUTED_VALUE"""),"Yela 21")</f>
        <v>Yela 21</v>
      </c>
      <c r="C852" s="1" t="str">
        <f>IFERROR(__xludf.DUMMYFUNCTION("""COMPUTED_VALUE"""),"Yela 08")</f>
        <v>Yela 08</v>
      </c>
      <c r="D852" s="1" t="str">
        <f>IFERROR(__xludf.DUMMYFUNCTION("""COMPUTED_VALUE"""),"Talarine Divide Aid Shelter")</f>
        <v>Talarine Divide Aid Shelter</v>
      </c>
      <c r="E852" s="30" t="str">
        <f>IFERROR(__xludf.DUMMYFUNCTION("""COMPUTED_VALUE"""),"Tallarine")</f>
        <v>Tallarine</v>
      </c>
      <c r="F852" s="10">
        <f>IFERROR(__xludf.DUMMYFUNCTION("""COMPUTED_VALUE"""),-21.2211129729999)</f>
        <v>-21.2211129729999</v>
      </c>
      <c r="G852" s="10">
        <f>IFERROR(__xludf.DUMMYFUNCTION("""COMPUTED_VALUE"""),310.789870483)</f>
        <v>310.789870483</v>
      </c>
      <c r="H852" s="10">
        <f>IFERROR(__xludf.DUMMYFUNCTION("""COMPUTED_VALUE"""),30.93234916)</f>
        <v>30.93234916</v>
      </c>
      <c r="I852" s="13"/>
      <c r="J852" s="13"/>
      <c r="K852" s="13"/>
      <c r="L852" s="13"/>
      <c r="M852" s="1" t="b">
        <f>IFERROR(__xludf.DUMMYFUNCTION("""COMPUTED_VALUE"""),TRUE)</f>
        <v>1</v>
      </c>
      <c r="N852" s="10">
        <f>IFERROR(__xludf.DUMMYFUNCTION("""COMPUTED_VALUE"""),0)</f>
        <v>0</v>
      </c>
      <c r="O852" s="10">
        <f>IFERROR(__xludf.DUMMYFUNCTION("""COMPUTED_VALUE"""),0)</f>
        <v>0</v>
      </c>
      <c r="P852" s="10"/>
      <c r="Q852" s="30"/>
      <c r="R852" s="18"/>
      <c r="S852" s="19"/>
      <c r="T852" s="10"/>
      <c r="U852" s="10"/>
      <c r="V852" s="10"/>
      <c r="W852" s="10"/>
      <c r="X852" s="19"/>
      <c r="Y852" s="1"/>
      <c r="Z852" s="1"/>
      <c r="AA852" s="1"/>
    </row>
    <row r="853" customHeight="1" spans="1:27">
      <c r="A853" s="1" t="str">
        <f>IFERROR(__xludf.DUMMYFUNCTION("""COMPUTED_VALUE"""),"Yela")</f>
        <v>Yela</v>
      </c>
      <c r="B853" s="1" t="str">
        <f>IFERROR(__xludf.DUMMYFUNCTION("""COMPUTED_VALUE"""),"Yela 23")</f>
        <v>Yela 23</v>
      </c>
      <c r="C853" s="1"/>
      <c r="D853" s="1" t="str">
        <f>IFERROR(__xludf.DUMMYFUNCTION("""COMPUTED_VALUE"""),"Racetracks")</f>
        <v>Racetracks</v>
      </c>
      <c r="E853" s="30"/>
      <c r="F853" s="10"/>
      <c r="G853" s="10"/>
      <c r="H853" s="10"/>
      <c r="I853" s="13"/>
      <c r="J853" s="13"/>
      <c r="K853" s="13"/>
      <c r="L853" s="13"/>
      <c r="M853" s="1"/>
      <c r="N853" s="10"/>
      <c r="O853" s="10"/>
      <c r="P853" s="10"/>
      <c r="Q853" s="30"/>
      <c r="R853" s="18"/>
      <c r="S853" s="19"/>
      <c r="T853" s="10"/>
      <c r="U853" s="10"/>
      <c r="V853" s="10"/>
      <c r="W853" s="10"/>
      <c r="X853" s="19"/>
      <c r="Y853" s="1"/>
      <c r="Z853" s="1"/>
      <c r="AA853" s="1"/>
    </row>
    <row r="854" customHeight="1" spans="1:27">
      <c r="A854" s="1" t="str">
        <f>IFERROR(__xludf.DUMMYFUNCTION("""COMPUTED_VALUE"""),"Yela 16")</f>
        <v>Yela 16</v>
      </c>
      <c r="B854" s="1" t="str">
        <f>IFERROR(__xludf.DUMMYFUNCTION("""COMPUTED_VALUE"""),"Yela 24")</f>
        <v>Yela 24</v>
      </c>
      <c r="C854" s="1" t="str">
        <f>IFERROR(__xludf.DUMMYFUNCTION("""COMPUTED_VALUE"""),"Yela 05")</f>
        <v>Yela 05</v>
      </c>
      <c r="D854" s="1" t="str">
        <f>IFERROR(__xludf.DUMMYFUNCTION("""COMPUTED_VALUE"""),"Miner's Lament")</f>
        <v>Miner's Lament</v>
      </c>
      <c r="E854" s="30" t="str">
        <f>IFERROR(__xludf.DUMMYFUNCTION("""COMPUTED_VALUE"""),"Lament")</f>
        <v>Lament</v>
      </c>
      <c r="F854" s="10">
        <f>IFERROR(__xludf.DUMMYFUNCTION("""COMPUTED_VALUE"""),-488.748)</f>
        <v>-488.748</v>
      </c>
      <c r="G854" s="10">
        <f>IFERROR(__xludf.DUMMYFUNCTION("""COMPUTED_VALUE"""),518.902)</f>
        <v>518.902</v>
      </c>
      <c r="H854" s="10">
        <f>IFERROR(__xludf.DUMMYFUNCTION("""COMPUTED_VALUE"""),4.333)</f>
        <v>4.333</v>
      </c>
      <c r="I854" s="13"/>
      <c r="J854" s="13"/>
      <c r="K854" s="13"/>
      <c r="L854" s="13"/>
      <c r="M854" s="1" t="b">
        <f>IFERROR(__xludf.DUMMYFUNCTION("""COMPUTED_VALUE"""),TRUE)</f>
        <v>1</v>
      </c>
      <c r="N854" s="10">
        <f>IFERROR(__xludf.DUMMYFUNCTION("""COMPUTED_VALUE"""),0)</f>
        <v>0</v>
      </c>
      <c r="O854" s="10">
        <f>IFERROR(__xludf.DUMMYFUNCTION("""COMPUTED_VALUE"""),0)</f>
        <v>0</v>
      </c>
      <c r="P854" s="10"/>
      <c r="Q854" s="30"/>
      <c r="R854" s="18"/>
      <c r="S854" s="19"/>
      <c r="T854" s="10"/>
      <c r="U854" s="10"/>
      <c r="V854" s="10"/>
      <c r="W854" s="10"/>
      <c r="X854" s="19"/>
      <c r="Y854" s="1"/>
      <c r="Z854" s="1"/>
      <c r="AA854" s="1"/>
    </row>
    <row r="855" customHeight="1" spans="1:27">
      <c r="A855" s="1" t="str">
        <f>IFERROR(__xludf.DUMMYFUNCTION("""COMPUTED_VALUE"""),"Yela")</f>
        <v>Yela</v>
      </c>
      <c r="B855" s="1" t="str">
        <f>IFERROR(__xludf.DUMMYFUNCTION("""COMPUTED_VALUE"""),"Yela 26")</f>
        <v>Yela 26</v>
      </c>
      <c r="C855" s="1"/>
      <c r="D855" s="1" t="str">
        <f>IFERROR(__xludf.DUMMYFUNCTION("""COMPUTED_VALUE"""),"Other Facilities")</f>
        <v>Other Facilities</v>
      </c>
      <c r="E855" s="30"/>
      <c r="F855" s="10"/>
      <c r="G855" s="10"/>
      <c r="H855" s="10"/>
      <c r="I855" s="13"/>
      <c r="J855" s="13"/>
      <c r="K855" s="13"/>
      <c r="L855" s="13"/>
      <c r="M855" s="1"/>
      <c r="N855" s="10"/>
      <c r="O855" s="10"/>
      <c r="P855" s="10"/>
      <c r="Q855" s="30"/>
      <c r="R855" s="18"/>
      <c r="S855" s="19"/>
      <c r="T855" s="10"/>
      <c r="U855" s="10"/>
      <c r="V855" s="10"/>
      <c r="W855" s="10"/>
      <c r="X855" s="19"/>
      <c r="Y855" s="1"/>
      <c r="Z855" s="1"/>
      <c r="AA855" s="1"/>
    </row>
    <row r="856" customHeight="1" spans="1:27">
      <c r="A856" s="1" t="str">
        <f>IFERROR(__xludf.DUMMYFUNCTION("""COMPUTED_VALUE"""),"Yela 18")</f>
        <v>Yela 18</v>
      </c>
      <c r="B856" s="1" t="str">
        <f>IFERROR(__xludf.DUMMYFUNCTION("""COMPUTED_VALUE"""),"Yela 27")</f>
        <v>Yela 27</v>
      </c>
      <c r="C856" s="1" t="str">
        <f>IFERROR(__xludf.DUMMYFUNCTION("""COMPUTED_VALUE"""),"Yela 06")</f>
        <v>Yela 06</v>
      </c>
      <c r="D856" s="1" t="str">
        <f>IFERROR(__xludf.DUMMYFUNCTION("""COMPUTED_VALUE"""),"Abandoned Outpost")</f>
        <v>Abandoned Outpost</v>
      </c>
      <c r="E856" s="30" t="str">
        <f>IFERROR(__xludf.DUMMYFUNCTION("""COMPUTED_VALUE"""),"Abandoned")</f>
        <v>Abandoned</v>
      </c>
      <c r="F856" s="10">
        <f>IFERROR(__xludf.DUMMYFUNCTION("""COMPUTED_VALUE"""),-45.3028578599999)</f>
        <v>-45.3028578599999</v>
      </c>
      <c r="G856" s="10">
        <f>IFERROR(__xludf.DUMMYFUNCTION("""COMPUTED_VALUE"""),308.849989670999)</f>
        <v>308.849989670999</v>
      </c>
      <c r="H856" s="10">
        <f>IFERROR(__xludf.DUMMYFUNCTION("""COMPUTED_VALUE"""),28.947575204)</f>
        <v>28.947575204</v>
      </c>
      <c r="I856" s="13"/>
      <c r="J856" s="13"/>
      <c r="K856" s="13"/>
      <c r="L856" s="13"/>
      <c r="M856" s="1" t="b">
        <f>IFERROR(__xludf.DUMMYFUNCTION("""COMPUTED_VALUE"""),FALSE)</f>
        <v>0</v>
      </c>
      <c r="N856" s="10">
        <f>IFERROR(__xludf.DUMMYFUNCTION("""COMPUTED_VALUE"""),0)</f>
        <v>0</v>
      </c>
      <c r="O856" s="10">
        <f>IFERROR(__xludf.DUMMYFUNCTION("""COMPUTED_VALUE"""),0)</f>
        <v>0</v>
      </c>
      <c r="P856" s="10"/>
      <c r="Q856" s="30"/>
      <c r="R856" s="18"/>
      <c r="S856" s="19"/>
      <c r="T856" s="10"/>
      <c r="U856" s="10"/>
      <c r="V856" s="10"/>
      <c r="W856" s="10"/>
      <c r="X856" s="19"/>
      <c r="Y856" s="1"/>
      <c r="Z856" s="1"/>
      <c r="AA856" s="1"/>
    </row>
    <row r="857" customHeight="1" spans="1:27">
      <c r="A857" s="1" t="str">
        <f>IFERROR(__xludf.DUMMYFUNCTION("""COMPUTED_VALUE"""),"Yela 19")</f>
        <v>Yela 19</v>
      </c>
      <c r="B857" s="1" t="str">
        <f>IFERROR(__xludf.DUMMYFUNCTION("""COMPUTED_VALUE"""),"Yela 28")</f>
        <v>Yela 28</v>
      </c>
      <c r="C857" s="1" t="str">
        <f>IFERROR(__xludf.DUMMYFUNCTION("""COMPUTED_VALUE"""),"Yela 01")</f>
        <v>Yela 01</v>
      </c>
      <c r="D857" s="1" t="str">
        <f>IFERROR(__xludf.DUMMYFUNCTION("""COMPUTED_VALUE"""),"BennyHenge")</f>
        <v>BennyHenge</v>
      </c>
      <c r="E857" s="30" t="str">
        <f>IFERROR(__xludf.DUMMYFUNCTION("""COMPUTED_VALUE"""),"BennyHenge")</f>
        <v>BennyHenge</v>
      </c>
      <c r="F857" s="10">
        <f>IFERROR(__xludf.DUMMYFUNCTION("""COMPUTED_VALUE"""),-626.6486875)</f>
        <v>-626.6486875</v>
      </c>
      <c r="G857" s="10">
        <f>IFERROR(__xludf.DUMMYFUNCTION("""COMPUTED_VALUE"""),135.682515625)</f>
        <v>135.682515625</v>
      </c>
      <c r="H857" s="10">
        <f>IFERROR(__xludf.DUMMYFUNCTION("""COMPUTED_VALUE"""),-1.81864343299999)</f>
        <v>-1.81864343299999</v>
      </c>
      <c r="I857" s="13"/>
      <c r="J857" s="13"/>
      <c r="K857" s="13"/>
      <c r="L857" s="13"/>
      <c r="M857" s="1" t="b">
        <f>IFERROR(__xludf.DUMMYFUNCTION("""COMPUTED_VALUE"""),FALSE)</f>
        <v>0</v>
      </c>
      <c r="N857" s="10">
        <f>IFERROR(__xludf.DUMMYFUNCTION("""COMPUTED_VALUE"""),0)</f>
        <v>0</v>
      </c>
      <c r="O857" s="10">
        <f>IFERROR(__xludf.DUMMYFUNCTION("""COMPUTED_VALUE"""),0)</f>
        <v>0</v>
      </c>
      <c r="P857" s="10"/>
      <c r="Q857" s="30"/>
      <c r="R857" s="18"/>
      <c r="S857" s="19"/>
      <c r="T857" s="10"/>
      <c r="U857" s="10"/>
      <c r="V857" s="10"/>
      <c r="W857" s="10"/>
      <c r="X857" s="19"/>
      <c r="Y857" s="1"/>
      <c r="Z857" s="1"/>
      <c r="AA857" s="1"/>
    </row>
    <row r="858" customHeight="1" spans="1:27">
      <c r="A858" s="1" t="str">
        <f>IFERROR(__xludf.DUMMYFUNCTION("""COMPUTED_VALUE"""),"Yela")</f>
        <v>Yela</v>
      </c>
      <c r="B858" s="1" t="str">
        <f>IFERROR(__xludf.DUMMYFUNCTION("""COMPUTED_VALUE"""),"Yela 30")</f>
        <v>Yela 30</v>
      </c>
      <c r="C858" s="1"/>
      <c r="D858" s="1" t="str">
        <f>IFERROR(__xludf.DUMMYFUNCTION("""COMPUTED_VALUE"""),"Settlements")</f>
        <v>Settlements</v>
      </c>
      <c r="E858" s="30"/>
      <c r="F858" s="10"/>
      <c r="G858" s="10"/>
      <c r="H858" s="10"/>
      <c r="I858" s="13"/>
      <c r="J858" s="13"/>
      <c r="K858" s="13"/>
      <c r="L858" s="13"/>
      <c r="M858" s="1"/>
      <c r="N858" s="10"/>
      <c r="O858" s="10"/>
      <c r="P858" s="10"/>
      <c r="Q858" s="30"/>
      <c r="R858" s="18"/>
      <c r="S858" s="19"/>
      <c r="T858" s="10"/>
      <c r="U858" s="10"/>
      <c r="V858" s="10"/>
      <c r="W858" s="10"/>
      <c r="X858" s="19"/>
      <c r="Y858" s="1"/>
      <c r="Z858" s="1"/>
      <c r="AA858" s="1"/>
    </row>
    <row r="859" customHeight="1" spans="1:27">
      <c r="A859" s="1" t="str">
        <f>IFERROR(__xludf.DUMMYFUNCTION("""COMPUTED_VALUE"""),"Yela 20")</f>
        <v>Yela 20</v>
      </c>
      <c r="B859" s="1" t="str">
        <f>IFERROR(__xludf.DUMMYFUNCTION("""COMPUTED_VALUE"""),"Yela 31")</f>
        <v>Yela 31</v>
      </c>
      <c r="C859" s="1" t="str">
        <f>IFERROR(__xludf.DUMMYFUNCTION("""COMPUTED_VALUE"""),"Yela 22")</f>
        <v>Yela 22</v>
      </c>
      <c r="D859" s="1" t="str">
        <f>IFERROR(__xludf.DUMMYFUNCTION("""COMPUTED_VALUE"""),"Settlement 17R")</f>
        <v>Settlement 17R</v>
      </c>
      <c r="E859" s="30" t="str">
        <f>IFERROR(__xludf.DUMMYFUNCTION("""COMPUTED_VALUE"""),"Settlement 17R")</f>
        <v>Settlement 17R</v>
      </c>
      <c r="F859" s="10">
        <f>IFERROR(__xludf.DUMMYFUNCTION("""COMPUTED_VALUE"""),29.651672929)</f>
        <v>29.651672929</v>
      </c>
      <c r="G859" s="10">
        <f>IFERROR(__xludf.DUMMYFUNCTION("""COMPUTED_VALUE"""),-273.746244744999)</f>
        <v>-273.746244744999</v>
      </c>
      <c r="H859" s="10">
        <f>IFERROR(__xludf.DUMMYFUNCTION("""COMPUTED_VALUE"""),149.998433154)</f>
        <v>149.998433154</v>
      </c>
      <c r="I859" s="13"/>
      <c r="J859" s="13"/>
      <c r="K859" s="13"/>
      <c r="L859" s="13"/>
      <c r="M859" s="1" t="b">
        <f>IFERROR(__xludf.DUMMYFUNCTION("""COMPUTED_VALUE"""),FALSE)</f>
        <v>0</v>
      </c>
      <c r="N859" s="10">
        <f>IFERROR(__xludf.DUMMYFUNCTION("""COMPUTED_VALUE"""),0)</f>
        <v>0</v>
      </c>
      <c r="O859" s="10">
        <f>IFERROR(__xludf.DUMMYFUNCTION("""COMPUTED_VALUE"""),0)</f>
        <v>0</v>
      </c>
      <c r="P859" s="10"/>
      <c r="Q859" s="30"/>
      <c r="R859" s="18"/>
      <c r="S859" s="19"/>
      <c r="T859" s="10"/>
      <c r="U859" s="10"/>
      <c r="V859" s="10"/>
      <c r="W859" s="10"/>
      <c r="X859" s="19"/>
      <c r="Y859" s="1"/>
      <c r="Z859" s="1"/>
      <c r="AA859" s="1"/>
    </row>
    <row r="860" customHeight="1" spans="1:27">
      <c r="A860" s="1" t="str">
        <f>IFERROR(__xludf.DUMMYFUNCTION("""COMPUTED_VALUE"""),"Yela 21")</f>
        <v>Yela 21</v>
      </c>
      <c r="B860" s="1" t="str">
        <f>IFERROR(__xludf.DUMMYFUNCTION("""COMPUTED_VALUE"""),"Yela 32")</f>
        <v>Yela 32</v>
      </c>
      <c r="C860" s="1" t="str">
        <f>IFERROR(__xludf.DUMMYFUNCTION("""COMPUTED_VALUE"""),"Yela 28")</f>
        <v>Yela 28</v>
      </c>
      <c r="D860" s="1" t="str">
        <f>IFERROR(__xludf.DUMMYFUNCTION("""COMPUTED_VALUE"""),"Settlement AZM")</f>
        <v>Settlement AZM</v>
      </c>
      <c r="E860" s="30" t="str">
        <f>IFERROR(__xludf.DUMMYFUNCTION("""COMPUTED_VALUE"""),"Settlement AZM")</f>
        <v>Settlement AZM</v>
      </c>
      <c r="F860" s="10">
        <f>IFERROR(__xludf.DUMMYFUNCTION("""COMPUTED_VALUE"""),-1.345370901)</f>
        <v>-1.345370901</v>
      </c>
      <c r="G860" s="10">
        <f>IFERROR(__xludf.DUMMYFUNCTION("""COMPUTED_VALUE"""),-1.619482711)</f>
        <v>-1.619482711</v>
      </c>
      <c r="H860" s="10">
        <f>IFERROR(__xludf.DUMMYFUNCTION("""COMPUTED_VALUE"""),-313.096591525)</f>
        <v>-313.096591525</v>
      </c>
      <c r="I860" s="13"/>
      <c r="J860" s="13"/>
      <c r="K860" s="13"/>
      <c r="L860" s="13"/>
      <c r="M860" s="1" t="b">
        <f>IFERROR(__xludf.DUMMYFUNCTION("""COMPUTED_VALUE"""),FALSE)</f>
        <v>0</v>
      </c>
      <c r="N860" s="10">
        <f>IFERROR(__xludf.DUMMYFUNCTION("""COMPUTED_VALUE"""),0)</f>
        <v>0</v>
      </c>
      <c r="O860" s="10">
        <f>IFERROR(__xludf.DUMMYFUNCTION("""COMPUTED_VALUE"""),0)</f>
        <v>0</v>
      </c>
      <c r="P860" s="10"/>
      <c r="Q860" s="30"/>
      <c r="R860" s="18"/>
      <c r="S860" s="19"/>
      <c r="T860" s="10"/>
      <c r="U860" s="10"/>
      <c r="V860" s="10"/>
      <c r="W860" s="10"/>
      <c r="X860" s="19"/>
      <c r="Y860" s="1"/>
      <c r="Z860" s="1"/>
      <c r="AA860" s="1"/>
    </row>
    <row r="861" customHeight="1" spans="1:27">
      <c r="A861" s="1" t="str">
        <f>IFERROR(__xludf.DUMMYFUNCTION("""COMPUTED_VALUE"""),"Yela")</f>
        <v>Yela</v>
      </c>
      <c r="B861" s="1" t="str">
        <f>IFERROR(__xludf.DUMMYFUNCTION("""COMPUTED_VALUE"""),"Yela 34")</f>
        <v>Yela 34</v>
      </c>
      <c r="C861" s="1"/>
      <c r="D861" s="1" t="str">
        <f>IFERROR(__xludf.DUMMYFUNCTION("""COMPUTED_VALUE"""),"Wrecks")</f>
        <v>Wrecks</v>
      </c>
      <c r="E861" s="30"/>
      <c r="F861" s="10"/>
      <c r="G861" s="10"/>
      <c r="H861" s="10"/>
      <c r="I861" s="13"/>
      <c r="J861" s="13"/>
      <c r="K861" s="13"/>
      <c r="L861" s="13"/>
      <c r="M861" s="1"/>
      <c r="N861" s="10"/>
      <c r="O861" s="10"/>
      <c r="P861" s="10"/>
      <c r="Q861" s="30"/>
      <c r="R861" s="18"/>
      <c r="S861" s="19"/>
      <c r="T861" s="10"/>
      <c r="U861" s="10"/>
      <c r="V861" s="10"/>
      <c r="W861" s="10"/>
      <c r="X861" s="19"/>
      <c r="Y861" s="1"/>
      <c r="Z861" s="1"/>
      <c r="AA861" s="1"/>
    </row>
    <row r="862" customHeight="1" spans="1:27">
      <c r="A862" s="1" t="str">
        <f>IFERROR(__xludf.DUMMYFUNCTION("""COMPUTED_VALUE"""),"Yela 23")</f>
        <v>Yela 23</v>
      </c>
      <c r="B862" s="1" t="str">
        <f>IFERROR(__xludf.DUMMYFUNCTION("""COMPUTED_VALUE"""),"Yela 36")</f>
        <v>Yela 36</v>
      </c>
      <c r="C862" s="1" t="str">
        <f>IFERROR(__xludf.DUMMYFUNCTION("""COMPUTED_VALUE"""),"Yela 07")</f>
        <v>Yela 07</v>
      </c>
      <c r="D862" s="1" t="str">
        <f>IFERROR(__xludf.DUMMYFUNCTION("""COMPUTED_VALUE"""),"Caterpillar Wreck 47T")</f>
        <v>Caterpillar Wreck 47T</v>
      </c>
      <c r="E862" s="30" t="str">
        <f>IFERROR(__xludf.DUMMYFUNCTION("""COMPUTED_VALUE"""),"Caterpillar 47T")</f>
        <v>Caterpillar 47T</v>
      </c>
      <c r="F862" s="10">
        <f>IFERROR(__xludf.DUMMYFUNCTION("""COMPUTED_VALUE"""),-29.543037311)</f>
        <v>-29.543037311</v>
      </c>
      <c r="G862" s="10">
        <f>IFERROR(__xludf.DUMMYFUNCTION("""COMPUTED_VALUE"""),236.610307829)</f>
        <v>236.610307829</v>
      </c>
      <c r="H862" s="10">
        <f>IFERROR(__xludf.DUMMYFUNCTION("""COMPUTED_VALUE"""),203.1991347)</f>
        <v>203.1991347</v>
      </c>
      <c r="I862" s="13"/>
      <c r="J862" s="13"/>
      <c r="K862" s="13"/>
      <c r="L862" s="13"/>
      <c r="M862" s="1" t="b">
        <f>IFERROR(__xludf.DUMMYFUNCTION("""COMPUTED_VALUE"""),FALSE)</f>
        <v>0</v>
      </c>
      <c r="N862" s="10">
        <f>IFERROR(__xludf.DUMMYFUNCTION("""COMPUTED_VALUE"""),0)</f>
        <v>0</v>
      </c>
      <c r="O862" s="10">
        <f>IFERROR(__xludf.DUMMYFUNCTION("""COMPUTED_VALUE"""),0)</f>
        <v>0</v>
      </c>
      <c r="P862" s="10"/>
      <c r="Q862" s="30"/>
      <c r="R862" s="18"/>
      <c r="S862" s="19"/>
      <c r="T862" s="10"/>
      <c r="U862" s="10"/>
      <c r="V862" s="10"/>
      <c r="W862" s="10"/>
      <c r="X862" s="19"/>
      <c r="Y862" s="1"/>
      <c r="Z862" s="1"/>
      <c r="AA862" s="1"/>
    </row>
    <row r="863" customHeight="1" spans="1:27">
      <c r="A863" s="1" t="str">
        <f>IFERROR(__xludf.DUMMYFUNCTION("""COMPUTED_VALUE"""),"Yela 22")</f>
        <v>Yela 22</v>
      </c>
      <c r="B863" s="1" t="str">
        <f>IFERROR(__xludf.DUMMYFUNCTION("""COMPUTED_VALUE"""),"Yela 35")</f>
        <v>Yela 35</v>
      </c>
      <c r="C863" s="1" t="str">
        <f>IFERROR(__xludf.DUMMYFUNCTION("""COMPUTED_VALUE"""),"Yela 14")</f>
        <v>Yela 14</v>
      </c>
      <c r="D863" s="1" t="str">
        <f>IFERROR(__xludf.DUMMYFUNCTION("""COMPUTED_VALUE"""),"Caterpillar Wreck 32H")</f>
        <v>Caterpillar Wreck 32H</v>
      </c>
      <c r="E863" s="30" t="str">
        <f>IFERROR(__xludf.DUMMYFUNCTION("""COMPUTED_VALUE"""),"Caterpillar 32H")</f>
        <v>Caterpillar 32H</v>
      </c>
      <c r="F863" s="10">
        <f>IFERROR(__xludf.DUMMYFUNCTION("""COMPUTED_VALUE"""),250.742386713)</f>
        <v>250.742386713</v>
      </c>
      <c r="G863" s="10">
        <f>IFERROR(__xludf.DUMMYFUNCTION("""COMPUTED_VALUE"""),43.616983694)</f>
        <v>43.616983694</v>
      </c>
      <c r="H863" s="10">
        <f>IFERROR(__xludf.DUMMYFUNCTION("""COMPUTED_VALUE"""),-182.451965903)</f>
        <v>-182.451965903</v>
      </c>
      <c r="I863" s="13"/>
      <c r="J863" s="13"/>
      <c r="K863" s="13"/>
      <c r="L863" s="13"/>
      <c r="M863" s="1" t="b">
        <f>IFERROR(__xludf.DUMMYFUNCTION("""COMPUTED_VALUE"""),FALSE)</f>
        <v>0</v>
      </c>
      <c r="N863" s="10">
        <f>IFERROR(__xludf.DUMMYFUNCTION("""COMPUTED_VALUE"""),0)</f>
        <v>0</v>
      </c>
      <c r="O863" s="10">
        <f>IFERROR(__xludf.DUMMYFUNCTION("""COMPUTED_VALUE"""),0)</f>
        <v>0</v>
      </c>
      <c r="P863" s="10"/>
      <c r="Q863" s="30"/>
      <c r="R863" s="18"/>
      <c r="S863" s="19"/>
      <c r="T863" s="10"/>
      <c r="U863" s="10"/>
      <c r="V863" s="10"/>
      <c r="W863" s="10"/>
      <c r="X863" s="19"/>
      <c r="Y863" s="1"/>
      <c r="Z863" s="1"/>
      <c r="AA863" s="1"/>
    </row>
    <row r="864" customHeight="1" spans="1:27">
      <c r="A864" s="1" t="str">
        <f>IFERROR(__xludf.DUMMYFUNCTION("""COMPUTED_VALUE"""),"Yela 24")</f>
        <v>Yela 24</v>
      </c>
      <c r="B864" s="1" t="str">
        <f>IFERROR(__xludf.DUMMYFUNCTION("""COMPUTED_VALUE"""),"Yela 37")</f>
        <v>Yela 37</v>
      </c>
      <c r="C864" s="1" t="str">
        <f>IFERROR(__xludf.DUMMYFUNCTION("""COMPUTED_VALUE"""),"Yela 17")</f>
        <v>Yela 17</v>
      </c>
      <c r="D864" s="1" t="str">
        <f>IFERROR(__xludf.DUMMYFUNCTION("""COMPUTED_VALUE"""),"Constellation Wreck")</f>
        <v>Constellation Wreck</v>
      </c>
      <c r="E864" s="30" t="str">
        <f>IFERROR(__xludf.DUMMYFUNCTION("""COMPUTED_VALUE"""),"Constellation")</f>
        <v>Constellation</v>
      </c>
      <c r="F864" s="10">
        <f>IFERROR(__xludf.DUMMYFUNCTION("""COMPUTED_VALUE"""),101.553911166)</f>
        <v>101.553911166</v>
      </c>
      <c r="G864" s="10">
        <f>IFERROR(__xludf.DUMMYFUNCTION("""COMPUTED_VALUE"""),-10.164983108)</f>
        <v>-10.164983108</v>
      </c>
      <c r="H864" s="10">
        <f>IFERROR(__xludf.DUMMYFUNCTION("""COMPUTED_VALUE"""),295.935804057999)</f>
        <v>295.935804057999</v>
      </c>
      <c r="I864" s="13"/>
      <c r="J864" s="13"/>
      <c r="K864" s="13"/>
      <c r="L864" s="13"/>
      <c r="M864" s="1" t="b">
        <f>IFERROR(__xludf.DUMMYFUNCTION("""COMPUTED_VALUE"""),FALSE)</f>
        <v>0</v>
      </c>
      <c r="N864" s="10">
        <f>IFERROR(__xludf.DUMMYFUNCTION("""COMPUTED_VALUE"""),0)</f>
        <v>0</v>
      </c>
      <c r="O864" s="10">
        <f>IFERROR(__xludf.DUMMYFUNCTION("""COMPUTED_VALUE"""),0)</f>
        <v>0</v>
      </c>
      <c r="P864" s="10"/>
      <c r="Q864" s="30"/>
      <c r="R864" s="18"/>
      <c r="S864" s="19"/>
      <c r="T864" s="10"/>
      <c r="U864" s="10"/>
      <c r="V864" s="10"/>
      <c r="W864" s="10"/>
      <c r="X864" s="19"/>
      <c r="Y864" s="1"/>
      <c r="Z864" s="1"/>
      <c r="AA864" s="1"/>
    </row>
    <row r="865" customHeight="1" spans="1:27">
      <c r="A865" s="1" t="str">
        <f>IFERROR(__xludf.DUMMYFUNCTION("""COMPUTED_VALUE"""),"Yela 25")</f>
        <v>Yela 25</v>
      </c>
      <c r="B865" s="1" t="str">
        <f>IFERROR(__xludf.DUMMYFUNCTION("""COMPUTED_VALUE"""),"Yela 38")</f>
        <v>Yela 38</v>
      </c>
      <c r="C865" s="1" t="str">
        <f>IFERROR(__xludf.DUMMYFUNCTION("""COMPUTED_VALUE"""),"Yela 18")</f>
        <v>Yela 18</v>
      </c>
      <c r="D865" s="1" t="str">
        <f>IFERROR(__xludf.DUMMYFUNCTION("""COMPUTED_VALUE"""),"Cutlass Wreck")</f>
        <v>Cutlass Wreck</v>
      </c>
      <c r="E865" s="30" t="str">
        <f>IFERROR(__xludf.DUMMYFUNCTION("""COMPUTED_VALUE"""),"Cutlass")</f>
        <v>Cutlass</v>
      </c>
      <c r="F865" s="10">
        <f>IFERROR(__xludf.DUMMYFUNCTION("""COMPUTED_VALUE"""),211.453124130999)</f>
        <v>211.453124130999</v>
      </c>
      <c r="G865" s="10">
        <f>IFERROR(__xludf.DUMMYFUNCTION("""COMPUTED_VALUE"""),-183.570639870999)</f>
        <v>-183.570639870999</v>
      </c>
      <c r="H865" s="10">
        <f>IFERROR(__xludf.DUMMYFUNCTION("""COMPUTED_VALUE"""),-141.022249420999)</f>
        <v>-141.022249420999</v>
      </c>
      <c r="I865" s="13"/>
      <c r="J865" s="13"/>
      <c r="K865" s="13"/>
      <c r="L865" s="13"/>
      <c r="M865" s="1" t="b">
        <f>IFERROR(__xludf.DUMMYFUNCTION("""COMPUTED_VALUE"""),FALSE)</f>
        <v>0</v>
      </c>
      <c r="N865" s="10">
        <f>IFERROR(__xludf.DUMMYFUNCTION("""COMPUTED_VALUE"""),0)</f>
        <v>0</v>
      </c>
      <c r="O865" s="10">
        <f>IFERROR(__xludf.DUMMYFUNCTION("""COMPUTED_VALUE"""),0)</f>
        <v>0</v>
      </c>
      <c r="P865" s="10"/>
      <c r="Q865" s="30"/>
      <c r="R865" s="18"/>
      <c r="S865" s="19"/>
      <c r="T865" s="10"/>
      <c r="U865" s="10"/>
      <c r="V865" s="10"/>
      <c r="W865" s="10"/>
      <c r="X865" s="19"/>
      <c r="Y865" s="1"/>
      <c r="Z865" s="1"/>
      <c r="AA865" s="1"/>
    </row>
    <row r="866" customHeight="1" spans="1:27">
      <c r="A866" s="1" t="str">
        <f>IFERROR(__xludf.DUMMYFUNCTION("""COMPUTED_VALUE"""),"Yela 26")</f>
        <v>Yela 26</v>
      </c>
      <c r="B866" s="1" t="str">
        <f>IFERROR(__xludf.DUMMYFUNCTION("""COMPUTED_VALUE"""),"Yela 39")</f>
        <v>Yela 39</v>
      </c>
      <c r="C866" s="1" t="str">
        <f>IFERROR(__xludf.DUMMYFUNCTION("""COMPUTED_VALUE"""),"Yela 25")</f>
        <v>Yela 25</v>
      </c>
      <c r="D866" s="1" t="str">
        <f>IFERROR(__xludf.DUMMYFUNCTION("""COMPUTED_VALUE"""),"Freelancer Wreck")</f>
        <v>Freelancer Wreck</v>
      </c>
      <c r="E866" s="30" t="str">
        <f>IFERROR(__xludf.DUMMYFUNCTION("""COMPUTED_VALUE"""),"Freelancer")</f>
        <v>Freelancer</v>
      </c>
      <c r="F866" s="10">
        <f>IFERROR(__xludf.DUMMYFUNCTION("""COMPUTED_VALUE"""),-31.1610625639999)</f>
        <v>-31.1610625639999</v>
      </c>
      <c r="G866" s="10">
        <f>IFERROR(__xludf.DUMMYFUNCTION("""COMPUTED_VALUE"""),-135.60503153)</f>
        <v>-135.60503153</v>
      </c>
      <c r="H866" s="10">
        <f>IFERROR(__xludf.DUMMYFUNCTION("""COMPUTED_VALUE"""),-280.447406828999)</f>
        <v>-280.447406828999</v>
      </c>
      <c r="I866" s="13"/>
      <c r="J866" s="13"/>
      <c r="K866" s="13"/>
      <c r="L866" s="13"/>
      <c r="M866" s="1" t="b">
        <f>IFERROR(__xludf.DUMMYFUNCTION("""COMPUTED_VALUE"""),FALSE)</f>
        <v>0</v>
      </c>
      <c r="N866" s="10">
        <f>IFERROR(__xludf.DUMMYFUNCTION("""COMPUTED_VALUE"""),0)</f>
        <v>0</v>
      </c>
      <c r="O866" s="10">
        <f>IFERROR(__xludf.DUMMYFUNCTION("""COMPUTED_VALUE"""),0)</f>
        <v>0</v>
      </c>
      <c r="P866" s="10"/>
      <c r="Q866" s="30"/>
      <c r="R866" s="18"/>
      <c r="S866" s="19"/>
      <c r="T866" s="10"/>
      <c r="U866" s="10"/>
      <c r="V866" s="10"/>
      <c r="W866" s="10"/>
      <c r="X866" s="19"/>
      <c r="Y866" s="1"/>
      <c r="Z866" s="1"/>
      <c r="AA866" s="1"/>
    </row>
    <row r="867" customHeight="1" spans="1:27">
      <c r="A867" s="1" t="str">
        <f>IFERROR(__xludf.DUMMYFUNCTION("""COMPUTED_VALUE"""),"Yela 27")</f>
        <v>Yela 27</v>
      </c>
      <c r="B867" s="1" t="str">
        <f>IFERROR(__xludf.DUMMYFUNCTION("""COMPUTED_VALUE"""),"Yela 40")</f>
        <v>Yela 40</v>
      </c>
      <c r="C867" s="1" t="str">
        <f>IFERROR(__xludf.DUMMYFUNCTION("""COMPUTED_VALUE"""),"Yela 11")</f>
        <v>Yela 11</v>
      </c>
      <c r="D867" s="1" t="str">
        <f>IFERROR(__xludf.DUMMYFUNCTION("""COMPUTED_VALUE"""),"Starfarer Wreck")</f>
        <v>Starfarer Wreck</v>
      </c>
      <c r="E867" s="30" t="str">
        <f>IFERROR(__xludf.DUMMYFUNCTION("""COMPUTED_VALUE"""),"Starfarer")</f>
        <v>Starfarer</v>
      </c>
      <c r="F867" s="10">
        <f>IFERROR(__xludf.DUMMYFUNCTION("""COMPUTED_VALUE"""),161.233504259999)</f>
        <v>161.233504259999</v>
      </c>
      <c r="G867" s="10">
        <f>IFERROR(__xludf.DUMMYFUNCTION("""COMPUTED_VALUE"""),185.763270533)</f>
        <v>185.763270533</v>
      </c>
      <c r="H867" s="10">
        <f>IFERROR(__xludf.DUMMYFUNCTION("""COMPUTED_VALUE"""),193.758395744)</f>
        <v>193.758395744</v>
      </c>
      <c r="I867" s="13"/>
      <c r="J867" s="13"/>
      <c r="K867" s="13"/>
      <c r="L867" s="13"/>
      <c r="M867" s="1" t="b">
        <f>IFERROR(__xludf.DUMMYFUNCTION("""COMPUTED_VALUE"""),FALSE)</f>
        <v>0</v>
      </c>
      <c r="N867" s="10">
        <f>IFERROR(__xludf.DUMMYFUNCTION("""COMPUTED_VALUE"""),0)</f>
        <v>0</v>
      </c>
      <c r="O867" s="10">
        <f>IFERROR(__xludf.DUMMYFUNCTION("""COMPUTED_VALUE"""),0)</f>
        <v>0</v>
      </c>
      <c r="P867" s="10"/>
      <c r="Q867" s="30"/>
      <c r="R867" s="18"/>
      <c r="S867" s="19"/>
      <c r="T867" s="10"/>
      <c r="U867" s="10"/>
      <c r="V867" s="10"/>
      <c r="W867" s="10"/>
      <c r="X867" s="19"/>
      <c r="Y867" s="1"/>
      <c r="Z867" s="1"/>
      <c r="AA867" s="1"/>
    </row>
    <row r="868" customHeight="1" spans="1:27">
      <c r="A868" s="1" t="str">
        <f>IFERROR(__xludf.DUMMYFUNCTION("""COMPUTED_VALUE"""),"Yela")</f>
        <v>Yela</v>
      </c>
      <c r="B868" s="1" t="str">
        <f>IFERROR(__xludf.DUMMYFUNCTION("""COMPUTED_VALUE"""),"Yela 42")</f>
        <v>Yela 42</v>
      </c>
      <c r="C868" s="1"/>
      <c r="D868" s="1" t="str">
        <f>IFERROR(__xludf.DUMMYFUNCTION("""COMPUTED_VALUE"""),"Comm Array")</f>
        <v>Comm Array</v>
      </c>
      <c r="E868" s="30"/>
      <c r="F868" s="10"/>
      <c r="G868" s="10"/>
      <c r="H868" s="10"/>
      <c r="I868" s="13"/>
      <c r="J868" s="13"/>
      <c r="K868" s="13"/>
      <c r="L868" s="13"/>
      <c r="M868" s="1"/>
      <c r="N868" s="10"/>
      <c r="O868" s="10"/>
      <c r="P868" s="10"/>
      <c r="Q868" s="30"/>
      <c r="R868" s="18"/>
      <c r="S868" s="19"/>
      <c r="T868" s="10"/>
      <c r="U868" s="10"/>
      <c r="V868" s="10"/>
      <c r="W868" s="10"/>
      <c r="X868" s="19"/>
      <c r="Y868" s="1"/>
      <c r="Z868" s="1"/>
      <c r="AA868" s="1"/>
    </row>
    <row r="869" customHeight="1" spans="1:27">
      <c r="A869" s="1" t="str">
        <f>IFERROR(__xludf.DUMMYFUNCTION("""COMPUTED_VALUE"""),"Yela 17")</f>
        <v>Yela 17</v>
      </c>
      <c r="B869" s="1" t="str">
        <f>IFERROR(__xludf.DUMMYFUNCTION("""COMPUTED_VALUE"""),"Yela 43")</f>
        <v>Yela 43</v>
      </c>
      <c r="C869" s="1" t="str">
        <f>IFERROR(__xludf.DUMMYFUNCTION("""COMPUTED_VALUE"""),"Yela 20")</f>
        <v>Yela 20</v>
      </c>
      <c r="D869" s="1" t="str">
        <f>IFERROR(__xludf.DUMMYFUNCTION("""COMPUTED_VALUE"""),"Comm Array ST2-76")</f>
        <v>Comm Array ST2-76</v>
      </c>
      <c r="E869" s="30" t="str">
        <f>IFERROR(__xludf.DUMMYFUNCTION("""COMPUTED_VALUE"""),"ST2-76")</f>
        <v>ST2-76</v>
      </c>
      <c r="F869" s="10">
        <f>IFERROR(__xludf.DUMMYFUNCTION("""COMPUTED_VALUE"""),150.335658599854)</f>
        <v>150.335658599854</v>
      </c>
      <c r="G869" s="10">
        <f>IFERROR(__xludf.DUMMYFUNCTION("""COMPUTED_VALUE"""),-454.428451650143)</f>
        <v>-454.428451650143</v>
      </c>
      <c r="H869" s="10">
        <f>IFERROR(__xludf.DUMMYFUNCTION("""COMPUTED_VALUE"""),24)</f>
        <v>24</v>
      </c>
      <c r="I869" s="13"/>
      <c r="J869" s="13"/>
      <c r="K869" s="13"/>
      <c r="L869" s="13"/>
      <c r="M869" s="1" t="b">
        <f>IFERROR(__xludf.DUMMYFUNCTION("""COMPUTED_VALUE"""),TRUE)</f>
        <v>1</v>
      </c>
      <c r="N869" s="10">
        <f>IFERROR(__xludf.DUMMYFUNCTION("""COMPUTED_VALUE"""),0)</f>
        <v>0</v>
      </c>
      <c r="O869" s="10">
        <f>IFERROR(__xludf.DUMMYFUNCTION("""COMPUTED_VALUE"""),0)</f>
        <v>0</v>
      </c>
      <c r="P869" s="10"/>
      <c r="Q869" s="30"/>
      <c r="R869" s="18"/>
      <c r="S869" s="19"/>
      <c r="T869" s="10"/>
      <c r="U869" s="10"/>
      <c r="V869" s="10"/>
      <c r="W869" s="10"/>
      <c r="X869" s="19"/>
      <c r="Y869" s="1"/>
      <c r="Z869" s="1"/>
      <c r="AA869" s="1"/>
    </row>
    <row r="870" customHeight="1" spans="1:27">
      <c r="A870" s="1"/>
      <c r="B870" s="1"/>
      <c r="C870" s="1"/>
      <c r="D870" s="1"/>
      <c r="E870" s="30"/>
      <c r="F870" s="10"/>
      <c r="G870" s="10"/>
      <c r="H870" s="10"/>
      <c r="I870" s="13"/>
      <c r="J870" s="13"/>
      <c r="K870" s="13"/>
      <c r="L870" s="13"/>
      <c r="M870" s="1"/>
      <c r="N870" s="10"/>
      <c r="O870" s="10"/>
      <c r="P870" s="10"/>
      <c r="Q870" s="30"/>
      <c r="R870" s="18"/>
      <c r="S870" s="19"/>
      <c r="T870" s="10"/>
      <c r="U870" s="10"/>
      <c r="V870" s="10"/>
      <c r="W870" s="10"/>
      <c r="X870" s="19"/>
      <c r="Y870" s="1"/>
      <c r="Z870" s="1"/>
      <c r="AA870" s="1"/>
    </row>
    <row r="871" customHeight="1" spans="5:24">
      <c r="E871" s="30"/>
      <c r="F871" s="10"/>
      <c r="G871" s="10"/>
      <c r="H871" s="10"/>
      <c r="I871" s="13"/>
      <c r="J871" s="13"/>
      <c r="K871" s="13"/>
      <c r="L871" s="13"/>
      <c r="N871" s="10"/>
      <c r="O871" s="10"/>
      <c r="P871" s="10"/>
      <c r="Q871" s="30"/>
      <c r="R871" s="18"/>
      <c r="S871" s="19"/>
      <c r="T871" s="10"/>
      <c r="U871" s="10"/>
      <c r="V871" s="10"/>
      <c r="W871" s="10"/>
      <c r="X871" s="19"/>
    </row>
    <row r="872" customHeight="1" spans="5:24">
      <c r="E872" s="30"/>
      <c r="F872" s="10"/>
      <c r="G872" s="10"/>
      <c r="H872" s="10"/>
      <c r="I872" s="13"/>
      <c r="J872" s="13"/>
      <c r="K872" s="13"/>
      <c r="L872" s="13"/>
      <c r="N872" s="10"/>
      <c r="O872" s="10"/>
      <c r="P872" s="10"/>
      <c r="Q872" s="30"/>
      <c r="R872" s="18"/>
      <c r="S872" s="19"/>
      <c r="T872" s="10"/>
      <c r="U872" s="10"/>
      <c r="V872" s="10"/>
      <c r="W872" s="10"/>
      <c r="X872" s="19"/>
    </row>
    <row r="873" customHeight="1" spans="5:24">
      <c r="E873" s="30"/>
      <c r="F873" s="10"/>
      <c r="G873" s="10"/>
      <c r="H873" s="10"/>
      <c r="I873" s="13"/>
      <c r="J873" s="13"/>
      <c r="K873" s="13"/>
      <c r="L873" s="13"/>
      <c r="N873" s="10"/>
      <c r="O873" s="10"/>
      <c r="P873" s="10"/>
      <c r="Q873" s="30"/>
      <c r="R873" s="18"/>
      <c r="S873" s="19"/>
      <c r="T873" s="10"/>
      <c r="U873" s="10"/>
      <c r="V873" s="10"/>
      <c r="W873" s="10"/>
      <c r="X873" s="19"/>
    </row>
    <row r="874" customHeight="1" spans="5:24">
      <c r="E874" s="30"/>
      <c r="F874" s="10"/>
      <c r="G874" s="10"/>
      <c r="H874" s="10"/>
      <c r="I874" s="13"/>
      <c r="J874" s="13"/>
      <c r="K874" s="13"/>
      <c r="L874" s="13"/>
      <c r="N874" s="10"/>
      <c r="O874" s="10"/>
      <c r="P874" s="10"/>
      <c r="Q874" s="30"/>
      <c r="R874" s="18"/>
      <c r="S874" s="19"/>
      <c r="T874" s="10"/>
      <c r="U874" s="10"/>
      <c r="V874" s="10"/>
      <c r="W874" s="10"/>
      <c r="X874" s="19"/>
    </row>
    <row r="875" customHeight="1" spans="5:24">
      <c r="E875" s="30"/>
      <c r="F875" s="10"/>
      <c r="G875" s="10"/>
      <c r="H875" s="10"/>
      <c r="I875" s="13"/>
      <c r="J875" s="13"/>
      <c r="K875" s="13"/>
      <c r="L875" s="13"/>
      <c r="N875" s="10"/>
      <c r="O875" s="10"/>
      <c r="P875" s="10"/>
      <c r="Q875" s="30"/>
      <c r="R875" s="18"/>
      <c r="S875" s="19"/>
      <c r="T875" s="10"/>
      <c r="U875" s="10"/>
      <c r="V875" s="10"/>
      <c r="W875" s="10"/>
      <c r="X875" s="19"/>
    </row>
    <row r="876" customHeight="1" spans="5:24">
      <c r="E876" s="30"/>
      <c r="F876" s="10"/>
      <c r="G876" s="10"/>
      <c r="H876" s="10"/>
      <c r="I876" s="13"/>
      <c r="J876" s="13"/>
      <c r="K876" s="13"/>
      <c r="L876" s="13"/>
      <c r="N876" s="10"/>
      <c r="O876" s="10"/>
      <c r="P876" s="10"/>
      <c r="Q876" s="30"/>
      <c r="R876" s="18"/>
      <c r="S876" s="19"/>
      <c r="T876" s="10"/>
      <c r="U876" s="10"/>
      <c r="V876" s="10"/>
      <c r="W876" s="10"/>
      <c r="X876" s="19"/>
    </row>
    <row r="877" customHeight="1" spans="5:24">
      <c r="E877" s="30"/>
      <c r="F877" s="10"/>
      <c r="G877" s="10"/>
      <c r="H877" s="10"/>
      <c r="I877" s="13"/>
      <c r="J877" s="13"/>
      <c r="K877" s="13"/>
      <c r="L877" s="13"/>
      <c r="N877" s="10"/>
      <c r="O877" s="10"/>
      <c r="P877" s="10"/>
      <c r="Q877" s="30"/>
      <c r="R877" s="18"/>
      <c r="S877" s="19"/>
      <c r="T877" s="10"/>
      <c r="U877" s="10"/>
      <c r="V877" s="10"/>
      <c r="W877" s="10"/>
      <c r="X877" s="19"/>
    </row>
    <row r="878" customHeight="1" spans="5:24">
      <c r="E878" s="30"/>
      <c r="F878" s="10"/>
      <c r="G878" s="10"/>
      <c r="H878" s="10"/>
      <c r="I878" s="13"/>
      <c r="J878" s="13"/>
      <c r="K878" s="13"/>
      <c r="L878" s="13"/>
      <c r="N878" s="10"/>
      <c r="O878" s="10"/>
      <c r="P878" s="10"/>
      <c r="Q878" s="30"/>
      <c r="R878" s="18"/>
      <c r="S878" s="19"/>
      <c r="T878" s="10"/>
      <c r="U878" s="10"/>
      <c r="V878" s="10"/>
      <c r="W878" s="10"/>
      <c r="X878" s="19"/>
    </row>
    <row r="879" customHeight="1" spans="5:24">
      <c r="E879" s="30"/>
      <c r="F879" s="10"/>
      <c r="G879" s="10"/>
      <c r="H879" s="10"/>
      <c r="I879" s="13"/>
      <c r="J879" s="13"/>
      <c r="K879" s="13"/>
      <c r="L879" s="13"/>
      <c r="N879" s="10"/>
      <c r="O879" s="10"/>
      <c r="P879" s="10"/>
      <c r="Q879" s="30"/>
      <c r="R879" s="18"/>
      <c r="S879" s="19"/>
      <c r="T879" s="10"/>
      <c r="U879" s="10"/>
      <c r="V879" s="10"/>
      <c r="W879" s="10"/>
      <c r="X879" s="19"/>
    </row>
    <row r="880" customHeight="1" spans="5:24">
      <c r="E880" s="30"/>
      <c r="F880" s="10"/>
      <c r="G880" s="10"/>
      <c r="H880" s="10"/>
      <c r="I880" s="13"/>
      <c r="J880" s="13"/>
      <c r="K880" s="13"/>
      <c r="L880" s="13"/>
      <c r="N880" s="10"/>
      <c r="O880" s="10"/>
      <c r="P880" s="10"/>
      <c r="Q880" s="30"/>
      <c r="R880" s="18"/>
      <c r="S880" s="19"/>
      <c r="T880" s="10"/>
      <c r="U880" s="10"/>
      <c r="V880" s="10"/>
      <c r="W880" s="10"/>
      <c r="X880" s="19"/>
    </row>
    <row r="881" customHeight="1" spans="5:24">
      <c r="E881" s="30"/>
      <c r="F881" s="10"/>
      <c r="G881" s="10"/>
      <c r="H881" s="10"/>
      <c r="I881" s="13"/>
      <c r="J881" s="13"/>
      <c r="K881" s="13"/>
      <c r="L881" s="13"/>
      <c r="N881" s="10"/>
      <c r="O881" s="10"/>
      <c r="P881" s="10"/>
      <c r="Q881" s="30"/>
      <c r="R881" s="18"/>
      <c r="S881" s="19"/>
      <c r="T881" s="10"/>
      <c r="U881" s="10"/>
      <c r="V881" s="10"/>
      <c r="W881" s="10"/>
      <c r="X881" s="19"/>
    </row>
    <row r="882" customHeight="1" spans="5:24">
      <c r="E882" s="30"/>
      <c r="F882" s="10"/>
      <c r="G882" s="10"/>
      <c r="H882" s="10"/>
      <c r="I882" s="13"/>
      <c r="J882" s="13"/>
      <c r="K882" s="13"/>
      <c r="L882" s="13"/>
      <c r="N882" s="10"/>
      <c r="O882" s="10"/>
      <c r="P882" s="10"/>
      <c r="Q882" s="30"/>
      <c r="R882" s="18"/>
      <c r="S882" s="19"/>
      <c r="T882" s="10"/>
      <c r="U882" s="10"/>
      <c r="V882" s="10"/>
      <c r="W882" s="10"/>
      <c r="X882" s="19"/>
    </row>
    <row r="883" customHeight="1" spans="5:24">
      <c r="E883" s="30"/>
      <c r="F883" s="10"/>
      <c r="G883" s="10"/>
      <c r="H883" s="10"/>
      <c r="I883" s="13"/>
      <c r="J883" s="13"/>
      <c r="K883" s="13"/>
      <c r="L883" s="13"/>
      <c r="N883" s="10"/>
      <c r="O883" s="10"/>
      <c r="P883" s="10"/>
      <c r="Q883" s="30"/>
      <c r="R883" s="18"/>
      <c r="S883" s="19"/>
      <c r="T883" s="10"/>
      <c r="U883" s="10"/>
      <c r="V883" s="10"/>
      <c r="W883" s="10"/>
      <c r="X883" s="19"/>
    </row>
    <row r="884" customHeight="1" spans="5:24">
      <c r="E884" s="30"/>
      <c r="F884" s="10"/>
      <c r="G884" s="10"/>
      <c r="H884" s="10"/>
      <c r="I884" s="13"/>
      <c r="J884" s="13"/>
      <c r="K884" s="13"/>
      <c r="L884" s="13"/>
      <c r="N884" s="10"/>
      <c r="O884" s="10"/>
      <c r="P884" s="10"/>
      <c r="Q884" s="30"/>
      <c r="R884" s="18"/>
      <c r="S884" s="19"/>
      <c r="T884" s="10"/>
      <c r="U884" s="10"/>
      <c r="V884" s="10"/>
      <c r="W884" s="10"/>
      <c r="X884" s="19"/>
    </row>
    <row r="885" customHeight="1" spans="5:24">
      <c r="E885" s="30"/>
      <c r="F885" s="10"/>
      <c r="G885" s="10"/>
      <c r="H885" s="10"/>
      <c r="I885" s="13"/>
      <c r="J885" s="13"/>
      <c r="K885" s="13"/>
      <c r="L885" s="13"/>
      <c r="N885" s="10"/>
      <c r="O885" s="10"/>
      <c r="P885" s="10"/>
      <c r="Q885" s="30"/>
      <c r="R885" s="18"/>
      <c r="S885" s="19"/>
      <c r="T885" s="10"/>
      <c r="U885" s="10"/>
      <c r="V885" s="10"/>
      <c r="W885" s="10"/>
      <c r="X885" s="19"/>
    </row>
    <row r="886" customHeight="1" spans="5:24">
      <c r="E886" s="30"/>
      <c r="F886" s="10"/>
      <c r="G886" s="10"/>
      <c r="H886" s="10"/>
      <c r="I886" s="13"/>
      <c r="J886" s="13"/>
      <c r="K886" s="13"/>
      <c r="L886" s="13"/>
      <c r="N886" s="10"/>
      <c r="O886" s="10"/>
      <c r="P886" s="10"/>
      <c r="Q886" s="30"/>
      <c r="R886" s="18"/>
      <c r="S886" s="19"/>
      <c r="T886" s="10"/>
      <c r="U886" s="10"/>
      <c r="V886" s="10"/>
      <c r="W886" s="10"/>
      <c r="X886" s="19"/>
    </row>
    <row r="887" customHeight="1" spans="5:24">
      <c r="E887" s="30"/>
      <c r="F887" s="10"/>
      <c r="G887" s="10"/>
      <c r="H887" s="10"/>
      <c r="I887" s="13"/>
      <c r="J887" s="13"/>
      <c r="K887" s="13"/>
      <c r="L887" s="13"/>
      <c r="N887" s="10"/>
      <c r="O887" s="10"/>
      <c r="P887" s="10"/>
      <c r="Q887" s="30"/>
      <c r="R887" s="18"/>
      <c r="S887" s="19"/>
      <c r="T887" s="10"/>
      <c r="U887" s="10"/>
      <c r="V887" s="10"/>
      <c r="W887" s="10"/>
      <c r="X887" s="19"/>
    </row>
    <row r="888" customHeight="1" spans="5:24">
      <c r="E888" s="30"/>
      <c r="F888" s="10"/>
      <c r="G888" s="10"/>
      <c r="H888" s="10"/>
      <c r="I888" s="13"/>
      <c r="J888" s="13"/>
      <c r="K888" s="13"/>
      <c r="L888" s="13"/>
      <c r="N888" s="10"/>
      <c r="O888" s="10"/>
      <c r="P888" s="10"/>
      <c r="Q888" s="30"/>
      <c r="R888" s="18"/>
      <c r="S888" s="19"/>
      <c r="T888" s="10"/>
      <c r="U888" s="10"/>
      <c r="V888" s="10"/>
      <c r="W888" s="10"/>
      <c r="X888" s="19"/>
    </row>
    <row r="889" customHeight="1" spans="5:24">
      <c r="E889" s="30"/>
      <c r="F889" s="10"/>
      <c r="G889" s="10"/>
      <c r="H889" s="10"/>
      <c r="I889" s="13"/>
      <c r="J889" s="13"/>
      <c r="K889" s="13"/>
      <c r="L889" s="13"/>
      <c r="N889" s="10"/>
      <c r="O889" s="10"/>
      <c r="P889" s="10"/>
      <c r="Q889" s="30"/>
      <c r="R889" s="18"/>
      <c r="S889" s="19"/>
      <c r="T889" s="10"/>
      <c r="U889" s="10"/>
      <c r="V889" s="10"/>
      <c r="W889" s="10"/>
      <c r="X889" s="19"/>
    </row>
    <row r="890" customHeight="1" spans="5:24">
      <c r="E890" s="30"/>
      <c r="F890" s="10"/>
      <c r="G890" s="10"/>
      <c r="H890" s="10"/>
      <c r="I890" s="13"/>
      <c r="J890" s="13"/>
      <c r="K890" s="13"/>
      <c r="L890" s="13"/>
      <c r="N890" s="10"/>
      <c r="O890" s="10"/>
      <c r="P890" s="10"/>
      <c r="Q890" s="30"/>
      <c r="R890" s="18"/>
      <c r="S890" s="19"/>
      <c r="T890" s="10"/>
      <c r="U890" s="10"/>
      <c r="V890" s="10"/>
      <c r="W890" s="10"/>
      <c r="X890" s="19"/>
    </row>
    <row r="891" customHeight="1" spans="5:24">
      <c r="E891" s="30"/>
      <c r="F891" s="10"/>
      <c r="G891" s="10"/>
      <c r="H891" s="10"/>
      <c r="I891" s="13"/>
      <c r="J891" s="13"/>
      <c r="K891" s="13"/>
      <c r="L891" s="13"/>
      <c r="N891" s="10"/>
      <c r="O891" s="10"/>
      <c r="P891" s="10"/>
      <c r="Q891" s="30"/>
      <c r="R891" s="18"/>
      <c r="S891" s="19"/>
      <c r="T891" s="10"/>
      <c r="U891" s="10"/>
      <c r="V891" s="10"/>
      <c r="W891" s="10"/>
      <c r="X891" s="19"/>
    </row>
    <row r="892" customHeight="1" spans="5:24">
      <c r="E892" s="30"/>
      <c r="F892" s="10"/>
      <c r="G892" s="10"/>
      <c r="H892" s="10"/>
      <c r="I892" s="13"/>
      <c r="J892" s="13"/>
      <c r="K892" s="13"/>
      <c r="L892" s="13"/>
      <c r="N892" s="10"/>
      <c r="O892" s="10"/>
      <c r="P892" s="10"/>
      <c r="Q892" s="30"/>
      <c r="R892" s="18"/>
      <c r="S892" s="19"/>
      <c r="T892" s="10"/>
      <c r="U892" s="10"/>
      <c r="V892" s="10"/>
      <c r="W892" s="10"/>
      <c r="X892" s="19"/>
    </row>
    <row r="893" customHeight="1" spans="5:24">
      <c r="E893" s="30"/>
      <c r="F893" s="10"/>
      <c r="G893" s="10"/>
      <c r="H893" s="10"/>
      <c r="I893" s="13"/>
      <c r="J893" s="13"/>
      <c r="K893" s="13"/>
      <c r="L893" s="13"/>
      <c r="N893" s="10"/>
      <c r="O893" s="10"/>
      <c r="P893" s="10"/>
      <c r="Q893" s="30"/>
      <c r="R893" s="18"/>
      <c r="S893" s="19"/>
      <c r="T893" s="10"/>
      <c r="U893" s="10"/>
      <c r="V893" s="10"/>
      <c r="W893" s="10"/>
      <c r="X893" s="19"/>
    </row>
    <row r="894" customHeight="1" spans="5:24">
      <c r="E894" s="30"/>
      <c r="F894" s="10"/>
      <c r="G894" s="10"/>
      <c r="H894" s="10"/>
      <c r="I894" s="13"/>
      <c r="J894" s="13"/>
      <c r="K894" s="13"/>
      <c r="L894" s="13"/>
      <c r="N894" s="10"/>
      <c r="O894" s="10"/>
      <c r="P894" s="10"/>
      <c r="Q894" s="30"/>
      <c r="R894" s="18"/>
      <c r="S894" s="19"/>
      <c r="T894" s="10"/>
      <c r="U894" s="10"/>
      <c r="V894" s="10"/>
      <c r="W894" s="10"/>
      <c r="X894" s="19"/>
    </row>
    <row r="895" customHeight="1" spans="5:24">
      <c r="E895" s="30"/>
      <c r="F895" s="10"/>
      <c r="G895" s="10"/>
      <c r="H895" s="10"/>
      <c r="I895" s="13"/>
      <c r="J895" s="13"/>
      <c r="K895" s="13"/>
      <c r="L895" s="13"/>
      <c r="N895" s="10"/>
      <c r="O895" s="10"/>
      <c r="P895" s="10"/>
      <c r="Q895" s="30"/>
      <c r="R895" s="18"/>
      <c r="S895" s="19"/>
      <c r="T895" s="10"/>
      <c r="U895" s="10"/>
      <c r="V895" s="10"/>
      <c r="W895" s="10"/>
      <c r="X895" s="19"/>
    </row>
    <row r="896" customHeight="1" spans="5:24">
      <c r="E896" s="30"/>
      <c r="F896" s="10"/>
      <c r="G896" s="10"/>
      <c r="H896" s="10"/>
      <c r="I896" s="13"/>
      <c r="J896" s="13"/>
      <c r="K896" s="13"/>
      <c r="L896" s="13"/>
      <c r="N896" s="10"/>
      <c r="O896" s="10"/>
      <c r="P896" s="10"/>
      <c r="Q896" s="30"/>
      <c r="R896" s="18"/>
      <c r="S896" s="19"/>
      <c r="T896" s="10"/>
      <c r="U896" s="10"/>
      <c r="V896" s="10"/>
      <c r="W896" s="10"/>
      <c r="X896" s="19"/>
    </row>
    <row r="897" customHeight="1" spans="5:24">
      <c r="E897" s="30"/>
      <c r="F897" s="10"/>
      <c r="G897" s="10"/>
      <c r="H897" s="10"/>
      <c r="I897" s="13"/>
      <c r="J897" s="13"/>
      <c r="K897" s="13"/>
      <c r="L897" s="13"/>
      <c r="N897" s="10"/>
      <c r="O897" s="10"/>
      <c r="P897" s="10"/>
      <c r="Q897" s="30"/>
      <c r="R897" s="18"/>
      <c r="S897" s="19"/>
      <c r="T897" s="10"/>
      <c r="U897" s="10"/>
      <c r="V897" s="10"/>
      <c r="W897" s="10"/>
      <c r="X897" s="19"/>
    </row>
    <row r="898" customHeight="1" spans="5:24">
      <c r="E898" s="30"/>
      <c r="F898" s="10"/>
      <c r="G898" s="10"/>
      <c r="H898" s="10"/>
      <c r="I898" s="13"/>
      <c r="J898" s="13"/>
      <c r="K898" s="13"/>
      <c r="L898" s="13"/>
      <c r="N898" s="10"/>
      <c r="O898" s="10"/>
      <c r="P898" s="10"/>
      <c r="Q898" s="30"/>
      <c r="R898" s="18"/>
      <c r="S898" s="19"/>
      <c r="T898" s="10"/>
      <c r="U898" s="10"/>
      <c r="V898" s="10"/>
      <c r="W898" s="10"/>
      <c r="X898" s="19"/>
    </row>
    <row r="899" customHeight="1" spans="5:24">
      <c r="E899" s="30"/>
      <c r="F899" s="10"/>
      <c r="G899" s="10"/>
      <c r="H899" s="10"/>
      <c r="I899" s="13"/>
      <c r="J899" s="13"/>
      <c r="K899" s="13"/>
      <c r="L899" s="13"/>
      <c r="N899" s="10"/>
      <c r="O899" s="10"/>
      <c r="P899" s="10"/>
      <c r="Q899" s="30"/>
      <c r="R899" s="18"/>
      <c r="S899" s="19"/>
      <c r="T899" s="10"/>
      <c r="U899" s="10"/>
      <c r="V899" s="10"/>
      <c r="W899" s="10"/>
      <c r="X899" s="19"/>
    </row>
    <row r="900" customHeight="1" spans="5:24">
      <c r="E900" s="30"/>
      <c r="F900" s="10"/>
      <c r="G900" s="10"/>
      <c r="H900" s="10"/>
      <c r="I900" s="13"/>
      <c r="J900" s="13"/>
      <c r="K900" s="13"/>
      <c r="L900" s="13"/>
      <c r="N900" s="10"/>
      <c r="O900" s="10"/>
      <c r="P900" s="10"/>
      <c r="Q900" s="30"/>
      <c r="R900" s="18"/>
      <c r="S900" s="19"/>
      <c r="T900" s="10"/>
      <c r="U900" s="10"/>
      <c r="V900" s="10"/>
      <c r="W900" s="10"/>
      <c r="X900" s="19"/>
    </row>
    <row r="901" customHeight="1" spans="5:24">
      <c r="E901" s="30"/>
      <c r="F901" s="10"/>
      <c r="G901" s="10"/>
      <c r="H901" s="10"/>
      <c r="I901" s="13"/>
      <c r="J901" s="13"/>
      <c r="K901" s="13"/>
      <c r="L901" s="13"/>
      <c r="N901" s="10"/>
      <c r="O901" s="10"/>
      <c r="P901" s="10"/>
      <c r="Q901" s="30"/>
      <c r="R901" s="18"/>
      <c r="S901" s="19"/>
      <c r="T901" s="10"/>
      <c r="U901" s="10"/>
      <c r="V901" s="10"/>
      <c r="W901" s="10"/>
      <c r="X901" s="19"/>
    </row>
    <row r="902" customHeight="1" spans="5:24">
      <c r="E902" s="30"/>
      <c r="F902" s="10"/>
      <c r="G902" s="10"/>
      <c r="H902" s="10"/>
      <c r="I902" s="13"/>
      <c r="J902" s="13"/>
      <c r="K902" s="13"/>
      <c r="L902" s="13"/>
      <c r="N902" s="10"/>
      <c r="O902" s="10"/>
      <c r="P902" s="10"/>
      <c r="Q902" s="30"/>
      <c r="R902" s="18"/>
      <c r="S902" s="19"/>
      <c r="T902" s="10"/>
      <c r="U902" s="10"/>
      <c r="V902" s="10"/>
      <c r="W902" s="10"/>
      <c r="X902" s="19"/>
    </row>
    <row r="903" customHeight="1" spans="5:24">
      <c r="E903" s="30"/>
      <c r="F903" s="10"/>
      <c r="G903" s="10"/>
      <c r="H903" s="10"/>
      <c r="I903" s="13"/>
      <c r="J903" s="13"/>
      <c r="K903" s="13"/>
      <c r="L903" s="13"/>
      <c r="N903" s="10"/>
      <c r="O903" s="10"/>
      <c r="P903" s="10"/>
      <c r="Q903" s="30"/>
      <c r="R903" s="18"/>
      <c r="S903" s="19"/>
      <c r="T903" s="10"/>
      <c r="U903" s="10"/>
      <c r="V903" s="10"/>
      <c r="W903" s="10"/>
      <c r="X903" s="19"/>
    </row>
    <row r="904" customHeight="1" spans="5:24">
      <c r="E904" s="30"/>
      <c r="F904" s="10"/>
      <c r="G904" s="10"/>
      <c r="H904" s="10"/>
      <c r="I904" s="13"/>
      <c r="J904" s="13"/>
      <c r="K904" s="13"/>
      <c r="L904" s="13"/>
      <c r="N904" s="10"/>
      <c r="O904" s="10"/>
      <c r="P904" s="10"/>
      <c r="Q904" s="30"/>
      <c r="R904" s="18"/>
      <c r="S904" s="19"/>
      <c r="T904" s="10"/>
      <c r="U904" s="10"/>
      <c r="V904" s="10"/>
      <c r="W904" s="10"/>
      <c r="X904" s="19"/>
    </row>
    <row r="905" customHeight="1" spans="5:24">
      <c r="E905" s="30"/>
      <c r="F905" s="10"/>
      <c r="G905" s="10"/>
      <c r="H905" s="10"/>
      <c r="I905" s="13"/>
      <c r="J905" s="13"/>
      <c r="K905" s="13"/>
      <c r="L905" s="13"/>
      <c r="N905" s="10"/>
      <c r="O905" s="10"/>
      <c r="P905" s="10"/>
      <c r="Q905" s="30"/>
      <c r="R905" s="18"/>
      <c r="S905" s="19"/>
      <c r="T905" s="10"/>
      <c r="U905" s="10"/>
      <c r="V905" s="10"/>
      <c r="W905" s="10"/>
      <c r="X905" s="19"/>
    </row>
    <row r="906" customHeight="1" spans="5:24">
      <c r="E906" s="30"/>
      <c r="F906" s="10"/>
      <c r="G906" s="10"/>
      <c r="H906" s="10"/>
      <c r="I906" s="13"/>
      <c r="J906" s="13"/>
      <c r="K906" s="13"/>
      <c r="L906" s="13"/>
      <c r="N906" s="10"/>
      <c r="O906" s="10"/>
      <c r="P906" s="10"/>
      <c r="Q906" s="30"/>
      <c r="R906" s="18"/>
      <c r="S906" s="19"/>
      <c r="T906" s="10"/>
      <c r="U906" s="10"/>
      <c r="V906" s="10"/>
      <c r="W906" s="10"/>
      <c r="X906" s="19"/>
    </row>
    <row r="907" customHeight="1" spans="5:24">
      <c r="E907" s="30"/>
      <c r="F907" s="10"/>
      <c r="G907" s="10"/>
      <c r="H907" s="10"/>
      <c r="I907" s="13"/>
      <c r="J907" s="13"/>
      <c r="K907" s="13"/>
      <c r="L907" s="13"/>
      <c r="N907" s="10"/>
      <c r="O907" s="10"/>
      <c r="P907" s="10"/>
      <c r="Q907" s="30"/>
      <c r="R907" s="18"/>
      <c r="S907" s="19"/>
      <c r="T907" s="10"/>
      <c r="U907" s="10"/>
      <c r="V907" s="10"/>
      <c r="W907" s="10"/>
      <c r="X907" s="19"/>
    </row>
    <row r="908" customHeight="1" spans="5:24">
      <c r="E908" s="30"/>
      <c r="F908" s="10"/>
      <c r="G908" s="10"/>
      <c r="H908" s="10"/>
      <c r="I908" s="13"/>
      <c r="J908" s="13"/>
      <c r="K908" s="13"/>
      <c r="L908" s="13"/>
      <c r="N908" s="10"/>
      <c r="O908" s="10"/>
      <c r="P908" s="10"/>
      <c r="Q908" s="30"/>
      <c r="R908" s="18"/>
      <c r="S908" s="19"/>
      <c r="T908" s="10"/>
      <c r="U908" s="10"/>
      <c r="V908" s="10"/>
      <c r="W908" s="10"/>
      <c r="X908" s="19"/>
    </row>
    <row r="909" customHeight="1" spans="5:24">
      <c r="E909" s="30"/>
      <c r="F909" s="10"/>
      <c r="G909" s="10"/>
      <c r="H909" s="10"/>
      <c r="I909" s="13"/>
      <c r="J909" s="13"/>
      <c r="K909" s="13"/>
      <c r="L909" s="13"/>
      <c r="N909" s="10"/>
      <c r="O909" s="10"/>
      <c r="P909" s="10"/>
      <c r="Q909" s="30"/>
      <c r="R909" s="18"/>
      <c r="S909" s="19"/>
      <c r="T909" s="10"/>
      <c r="U909" s="10"/>
      <c r="V909" s="10"/>
      <c r="W909" s="10"/>
      <c r="X909" s="19"/>
    </row>
    <row r="910" customHeight="1" spans="5:24">
      <c r="E910" s="30"/>
      <c r="F910" s="10"/>
      <c r="G910" s="10"/>
      <c r="H910" s="10"/>
      <c r="I910" s="13"/>
      <c r="J910" s="13"/>
      <c r="K910" s="13"/>
      <c r="L910" s="13"/>
      <c r="N910" s="10"/>
      <c r="O910" s="10"/>
      <c r="P910" s="10"/>
      <c r="Q910" s="30"/>
      <c r="R910" s="18"/>
      <c r="S910" s="19"/>
      <c r="T910" s="10"/>
      <c r="U910" s="10"/>
      <c r="V910" s="10"/>
      <c r="W910" s="10"/>
      <c r="X910" s="19"/>
    </row>
    <row r="911" customHeight="1" spans="5:24">
      <c r="E911" s="30"/>
      <c r="F911" s="10"/>
      <c r="G911" s="10"/>
      <c r="H911" s="10"/>
      <c r="I911" s="13"/>
      <c r="J911" s="13"/>
      <c r="K911" s="13"/>
      <c r="L911" s="13"/>
      <c r="N911" s="10"/>
      <c r="O911" s="10"/>
      <c r="P911" s="10"/>
      <c r="Q911" s="30"/>
      <c r="R911" s="18"/>
      <c r="S911" s="19"/>
      <c r="T911" s="10"/>
      <c r="U911" s="10"/>
      <c r="V911" s="10"/>
      <c r="W911" s="10"/>
      <c r="X911" s="19"/>
    </row>
    <row r="912" customHeight="1" spans="5:24">
      <c r="E912" s="30"/>
      <c r="F912" s="10"/>
      <c r="G912" s="10"/>
      <c r="H912" s="10"/>
      <c r="I912" s="13"/>
      <c r="J912" s="13"/>
      <c r="K912" s="13"/>
      <c r="L912" s="13"/>
      <c r="N912" s="10"/>
      <c r="O912" s="10"/>
      <c r="P912" s="10"/>
      <c r="Q912" s="30"/>
      <c r="R912" s="18"/>
      <c r="S912" s="19"/>
      <c r="T912" s="10"/>
      <c r="U912" s="10"/>
      <c r="V912" s="10"/>
      <c r="W912" s="10"/>
      <c r="X912" s="19"/>
    </row>
    <row r="913" customHeight="1" spans="5:24">
      <c r="E913" s="30"/>
      <c r="F913" s="10"/>
      <c r="G913" s="10"/>
      <c r="H913" s="10"/>
      <c r="I913" s="13"/>
      <c r="J913" s="13"/>
      <c r="K913" s="13"/>
      <c r="L913" s="13"/>
      <c r="N913" s="10"/>
      <c r="O913" s="10"/>
      <c r="P913" s="10"/>
      <c r="Q913" s="30"/>
      <c r="R913" s="18"/>
      <c r="S913" s="19"/>
      <c r="T913" s="10"/>
      <c r="U913" s="10"/>
      <c r="V913" s="10"/>
      <c r="W913" s="10"/>
      <c r="X913" s="19"/>
    </row>
    <row r="914" customHeight="1" spans="5:24">
      <c r="E914" s="30"/>
      <c r="F914" s="10"/>
      <c r="G914" s="10"/>
      <c r="H914" s="10"/>
      <c r="I914" s="13"/>
      <c r="J914" s="13"/>
      <c r="K914" s="13"/>
      <c r="L914" s="13"/>
      <c r="N914" s="10"/>
      <c r="O914" s="10"/>
      <c r="P914" s="10"/>
      <c r="Q914" s="30"/>
      <c r="R914" s="18"/>
      <c r="S914" s="19"/>
      <c r="T914" s="10"/>
      <c r="U914" s="10"/>
      <c r="V914" s="10"/>
      <c r="W914" s="10"/>
      <c r="X914" s="19"/>
    </row>
    <row r="915" customHeight="1" spans="5:24">
      <c r="E915" s="30"/>
      <c r="F915" s="10"/>
      <c r="G915" s="10"/>
      <c r="H915" s="10"/>
      <c r="I915" s="13"/>
      <c r="J915" s="13"/>
      <c r="K915" s="13"/>
      <c r="L915" s="13"/>
      <c r="N915" s="10"/>
      <c r="O915" s="10"/>
      <c r="P915" s="10"/>
      <c r="Q915" s="30"/>
      <c r="R915" s="18"/>
      <c r="S915" s="19"/>
      <c r="T915" s="10"/>
      <c r="U915" s="10"/>
      <c r="V915" s="10"/>
      <c r="W915" s="10"/>
      <c r="X915" s="19"/>
    </row>
    <row r="916" customHeight="1" spans="5:24">
      <c r="E916" s="30"/>
      <c r="F916" s="10"/>
      <c r="G916" s="10"/>
      <c r="H916" s="10"/>
      <c r="I916" s="13"/>
      <c r="J916" s="13"/>
      <c r="K916" s="13"/>
      <c r="L916" s="13"/>
      <c r="N916" s="10"/>
      <c r="O916" s="10"/>
      <c r="P916" s="10"/>
      <c r="Q916" s="30"/>
      <c r="R916" s="18"/>
      <c r="S916" s="19"/>
      <c r="T916" s="10"/>
      <c r="U916" s="10"/>
      <c r="V916" s="10"/>
      <c r="W916" s="10"/>
      <c r="X916" s="19"/>
    </row>
    <row r="917" customHeight="1" spans="5:24">
      <c r="E917" s="30"/>
      <c r="F917" s="10"/>
      <c r="G917" s="10"/>
      <c r="H917" s="10"/>
      <c r="I917" s="13"/>
      <c r="J917" s="13"/>
      <c r="K917" s="13"/>
      <c r="L917" s="13"/>
      <c r="N917" s="10"/>
      <c r="O917" s="10"/>
      <c r="P917" s="10"/>
      <c r="Q917" s="30"/>
      <c r="R917" s="18"/>
      <c r="S917" s="19"/>
      <c r="T917" s="10"/>
      <c r="U917" s="10"/>
      <c r="V917" s="10"/>
      <c r="W917" s="10"/>
      <c r="X917" s="19"/>
    </row>
    <row r="918" customHeight="1" spans="5:24">
      <c r="E918" s="30"/>
      <c r="F918" s="10"/>
      <c r="G918" s="10"/>
      <c r="H918" s="10"/>
      <c r="I918" s="13"/>
      <c r="J918" s="13"/>
      <c r="K918" s="13"/>
      <c r="L918" s="13"/>
      <c r="N918" s="10"/>
      <c r="O918" s="10"/>
      <c r="P918" s="10"/>
      <c r="Q918" s="30"/>
      <c r="R918" s="18"/>
      <c r="S918" s="19"/>
      <c r="T918" s="10"/>
      <c r="U918" s="10"/>
      <c r="V918" s="10"/>
      <c r="W918" s="10"/>
      <c r="X918" s="19"/>
    </row>
    <row r="919" customHeight="1" spans="5:24">
      <c r="E919" s="30"/>
      <c r="F919" s="10"/>
      <c r="G919" s="10"/>
      <c r="H919" s="10"/>
      <c r="I919" s="13"/>
      <c r="J919" s="13"/>
      <c r="K919" s="13"/>
      <c r="L919" s="13"/>
      <c r="N919" s="10"/>
      <c r="O919" s="10"/>
      <c r="P919" s="10"/>
      <c r="Q919" s="30"/>
      <c r="R919" s="18"/>
      <c r="S919" s="19"/>
      <c r="T919" s="10"/>
      <c r="U919" s="10"/>
      <c r="V919" s="10"/>
      <c r="W919" s="10"/>
      <c r="X919" s="19"/>
    </row>
    <row r="920" customHeight="1" spans="5:24">
      <c r="E920" s="30"/>
      <c r="F920" s="10"/>
      <c r="G920" s="10"/>
      <c r="H920" s="10"/>
      <c r="I920" s="13"/>
      <c r="J920" s="13"/>
      <c r="K920" s="13"/>
      <c r="L920" s="13"/>
      <c r="N920" s="10"/>
      <c r="O920" s="10"/>
      <c r="P920" s="10"/>
      <c r="Q920" s="30"/>
      <c r="R920" s="18"/>
      <c r="S920" s="19"/>
      <c r="T920" s="10"/>
      <c r="U920" s="10"/>
      <c r="V920" s="10"/>
      <c r="W920" s="10"/>
      <c r="X920" s="19"/>
    </row>
    <row r="921" customHeight="1" spans="5:24">
      <c r="E921" s="30"/>
      <c r="F921" s="10"/>
      <c r="G921" s="10"/>
      <c r="H921" s="10"/>
      <c r="I921" s="13"/>
      <c r="J921" s="13"/>
      <c r="K921" s="13"/>
      <c r="L921" s="13"/>
      <c r="N921" s="10"/>
      <c r="O921" s="10"/>
      <c r="P921" s="10"/>
      <c r="Q921" s="30"/>
      <c r="R921" s="18"/>
      <c r="S921" s="19"/>
      <c r="T921" s="10"/>
      <c r="U921" s="10"/>
      <c r="V921" s="10"/>
      <c r="W921" s="10"/>
      <c r="X921" s="19"/>
    </row>
    <row r="922" customHeight="1" spans="5:24">
      <c r="E922" s="30"/>
      <c r="F922" s="10"/>
      <c r="G922" s="10"/>
      <c r="H922" s="10"/>
      <c r="I922" s="13"/>
      <c r="J922" s="13"/>
      <c r="K922" s="13"/>
      <c r="L922" s="13"/>
      <c r="N922" s="10"/>
      <c r="O922" s="10"/>
      <c r="P922" s="10"/>
      <c r="Q922" s="30"/>
      <c r="R922" s="18"/>
      <c r="S922" s="19"/>
      <c r="T922" s="10"/>
      <c r="U922" s="10"/>
      <c r="V922" s="10"/>
      <c r="W922" s="10"/>
      <c r="X922" s="19"/>
    </row>
    <row r="923" customHeight="1" spans="5:24">
      <c r="E923" s="30"/>
      <c r="F923" s="10"/>
      <c r="G923" s="10"/>
      <c r="H923" s="10"/>
      <c r="I923" s="13"/>
      <c r="J923" s="13"/>
      <c r="K923" s="13"/>
      <c r="L923" s="13"/>
      <c r="N923" s="10"/>
      <c r="O923" s="10"/>
      <c r="P923" s="10"/>
      <c r="Q923" s="30"/>
      <c r="R923" s="18"/>
      <c r="S923" s="19"/>
      <c r="T923" s="10"/>
      <c r="U923" s="10"/>
      <c r="V923" s="10"/>
      <c r="W923" s="10"/>
      <c r="X923" s="19"/>
    </row>
    <row r="924" customHeight="1" spans="5:24">
      <c r="E924" s="30"/>
      <c r="F924" s="10"/>
      <c r="G924" s="10"/>
      <c r="H924" s="10"/>
      <c r="I924" s="13"/>
      <c r="J924" s="13"/>
      <c r="K924" s="13"/>
      <c r="L924" s="13"/>
      <c r="N924" s="10"/>
      <c r="O924" s="10"/>
      <c r="P924" s="10"/>
      <c r="Q924" s="30"/>
      <c r="R924" s="18"/>
      <c r="S924" s="19"/>
      <c r="T924" s="10"/>
      <c r="U924" s="10"/>
      <c r="V924" s="10"/>
      <c r="W924" s="10"/>
      <c r="X924" s="19"/>
    </row>
    <row r="925" customHeight="1" spans="5:24">
      <c r="E925" s="30"/>
      <c r="F925" s="10"/>
      <c r="G925" s="10"/>
      <c r="H925" s="10"/>
      <c r="I925" s="13"/>
      <c r="J925" s="13"/>
      <c r="K925" s="13"/>
      <c r="L925" s="13"/>
      <c r="N925" s="10"/>
      <c r="O925" s="10"/>
      <c r="P925" s="10"/>
      <c r="Q925" s="30"/>
      <c r="R925" s="18"/>
      <c r="S925" s="19"/>
      <c r="T925" s="10"/>
      <c r="U925" s="10"/>
      <c r="V925" s="10"/>
      <c r="W925" s="10"/>
      <c r="X925" s="19"/>
    </row>
    <row r="926" customHeight="1" spans="5:24">
      <c r="E926" s="30"/>
      <c r="F926" s="10"/>
      <c r="G926" s="10"/>
      <c r="H926" s="10"/>
      <c r="I926" s="13"/>
      <c r="J926" s="13"/>
      <c r="K926" s="13"/>
      <c r="L926" s="13"/>
      <c r="N926" s="10"/>
      <c r="O926" s="10"/>
      <c r="P926" s="10"/>
      <c r="Q926" s="30"/>
      <c r="R926" s="18"/>
      <c r="S926" s="19"/>
      <c r="T926" s="10"/>
      <c r="U926" s="10"/>
      <c r="V926" s="10"/>
      <c r="W926" s="10"/>
      <c r="X926" s="19"/>
    </row>
    <row r="927" customHeight="1" spans="5:24">
      <c r="E927" s="30"/>
      <c r="F927" s="10"/>
      <c r="G927" s="10"/>
      <c r="H927" s="10"/>
      <c r="I927" s="13"/>
      <c r="J927" s="13"/>
      <c r="K927" s="13"/>
      <c r="L927" s="13"/>
      <c r="N927" s="10"/>
      <c r="O927" s="10"/>
      <c r="P927" s="10"/>
      <c r="Q927" s="30"/>
      <c r="R927" s="18"/>
      <c r="S927" s="19"/>
      <c r="T927" s="10"/>
      <c r="U927" s="10"/>
      <c r="V927" s="10"/>
      <c r="W927" s="10"/>
      <c r="X927" s="19"/>
    </row>
    <row r="928" customHeight="1" spans="5:24">
      <c r="E928" s="30"/>
      <c r="F928" s="10"/>
      <c r="G928" s="10"/>
      <c r="H928" s="10"/>
      <c r="I928" s="13"/>
      <c r="J928" s="13"/>
      <c r="K928" s="13"/>
      <c r="L928" s="13"/>
      <c r="N928" s="10"/>
      <c r="O928" s="10"/>
      <c r="P928" s="10"/>
      <c r="Q928" s="30"/>
      <c r="R928" s="18"/>
      <c r="S928" s="19"/>
      <c r="T928" s="10"/>
      <c r="U928" s="10"/>
      <c r="V928" s="10"/>
      <c r="W928" s="10"/>
      <c r="X928" s="19"/>
    </row>
    <row r="929" customHeight="1" spans="5:24">
      <c r="E929" s="30"/>
      <c r="F929" s="10"/>
      <c r="G929" s="10"/>
      <c r="H929" s="10"/>
      <c r="I929" s="13"/>
      <c r="J929" s="13"/>
      <c r="K929" s="13"/>
      <c r="L929" s="13"/>
      <c r="N929" s="10"/>
      <c r="O929" s="10"/>
      <c r="P929" s="10"/>
      <c r="Q929" s="30"/>
      <c r="R929" s="18"/>
      <c r="S929" s="19"/>
      <c r="T929" s="10"/>
      <c r="U929" s="10"/>
      <c r="V929" s="10"/>
      <c r="W929" s="10"/>
      <c r="X929" s="19"/>
    </row>
    <row r="930" customHeight="1" spans="5:24">
      <c r="E930" s="30"/>
      <c r="F930" s="10"/>
      <c r="G930" s="10"/>
      <c r="H930" s="10"/>
      <c r="I930" s="13"/>
      <c r="J930" s="13"/>
      <c r="K930" s="13"/>
      <c r="L930" s="13"/>
      <c r="N930" s="10"/>
      <c r="O930" s="10"/>
      <c r="P930" s="10"/>
      <c r="Q930" s="30"/>
      <c r="R930" s="18"/>
      <c r="S930" s="19"/>
      <c r="T930" s="10"/>
      <c r="U930" s="10"/>
      <c r="V930" s="10"/>
      <c r="W930" s="10"/>
      <c r="X930" s="19"/>
    </row>
    <row r="931" customHeight="1" spans="5:24">
      <c r="E931" s="30"/>
      <c r="F931" s="10"/>
      <c r="G931" s="10"/>
      <c r="H931" s="10"/>
      <c r="I931" s="13"/>
      <c r="J931" s="13"/>
      <c r="K931" s="13"/>
      <c r="L931" s="13"/>
      <c r="N931" s="10"/>
      <c r="O931" s="10"/>
      <c r="P931" s="10"/>
      <c r="Q931" s="30"/>
      <c r="R931" s="18"/>
      <c r="S931" s="19"/>
      <c r="T931" s="10"/>
      <c r="U931" s="10"/>
      <c r="V931" s="10"/>
      <c r="W931" s="10"/>
      <c r="X931" s="19"/>
    </row>
    <row r="932" customHeight="1" spans="5:24">
      <c r="E932" s="30"/>
      <c r="F932" s="10"/>
      <c r="G932" s="10"/>
      <c r="H932" s="10"/>
      <c r="I932" s="13"/>
      <c r="J932" s="13"/>
      <c r="K932" s="13"/>
      <c r="L932" s="13"/>
      <c r="N932" s="10"/>
      <c r="O932" s="10"/>
      <c r="P932" s="10"/>
      <c r="Q932" s="30"/>
      <c r="R932" s="18"/>
      <c r="S932" s="19"/>
      <c r="T932" s="10"/>
      <c r="U932" s="10"/>
      <c r="V932" s="10"/>
      <c r="W932" s="10"/>
      <c r="X932" s="19"/>
    </row>
    <row r="933" customHeight="1" spans="5:24">
      <c r="E933" s="30"/>
      <c r="F933" s="10"/>
      <c r="G933" s="10"/>
      <c r="H933" s="10"/>
      <c r="I933" s="13"/>
      <c r="J933" s="13"/>
      <c r="K933" s="13"/>
      <c r="L933" s="13"/>
      <c r="N933" s="10"/>
      <c r="O933" s="10"/>
      <c r="P933" s="10"/>
      <c r="Q933" s="30"/>
      <c r="R933" s="18"/>
      <c r="S933" s="19"/>
      <c r="T933" s="10"/>
      <c r="U933" s="10"/>
      <c r="V933" s="10"/>
      <c r="W933" s="10"/>
      <c r="X933" s="19"/>
    </row>
    <row r="934" customHeight="1" spans="5:24">
      <c r="E934" s="30"/>
      <c r="F934" s="10"/>
      <c r="G934" s="10"/>
      <c r="H934" s="10"/>
      <c r="I934" s="13"/>
      <c r="J934" s="13"/>
      <c r="K934" s="13"/>
      <c r="L934" s="13"/>
      <c r="N934" s="10"/>
      <c r="O934" s="10"/>
      <c r="P934" s="10"/>
      <c r="Q934" s="30"/>
      <c r="R934" s="18"/>
      <c r="S934" s="19"/>
      <c r="T934" s="10"/>
      <c r="U934" s="10"/>
      <c r="V934" s="10"/>
      <c r="W934" s="10"/>
      <c r="X934" s="19"/>
    </row>
    <row r="935" customHeight="1" spans="5:24">
      <c r="E935" s="30"/>
      <c r="F935" s="10"/>
      <c r="G935" s="10"/>
      <c r="H935" s="10"/>
      <c r="I935" s="13"/>
      <c r="J935" s="13"/>
      <c r="K935" s="13"/>
      <c r="L935" s="13"/>
      <c r="N935" s="10"/>
      <c r="O935" s="10"/>
      <c r="P935" s="10"/>
      <c r="Q935" s="30"/>
      <c r="R935" s="18"/>
      <c r="S935" s="19"/>
      <c r="T935" s="10"/>
      <c r="U935" s="10"/>
      <c r="V935" s="10"/>
      <c r="W935" s="10"/>
      <c r="X935" s="19"/>
    </row>
    <row r="936" customHeight="1" spans="5:24">
      <c r="E936" s="30"/>
      <c r="F936" s="10"/>
      <c r="G936" s="10"/>
      <c r="H936" s="10"/>
      <c r="I936" s="13"/>
      <c r="J936" s="13"/>
      <c r="K936" s="13"/>
      <c r="L936" s="13"/>
      <c r="N936" s="10"/>
      <c r="O936" s="10"/>
      <c r="P936" s="10"/>
      <c r="Q936" s="30"/>
      <c r="R936" s="18"/>
      <c r="S936" s="19"/>
      <c r="T936" s="10"/>
      <c r="U936" s="10"/>
      <c r="V936" s="10"/>
      <c r="W936" s="10"/>
      <c r="X936" s="19"/>
    </row>
    <row r="937" customHeight="1" spans="5:24">
      <c r="E937" s="30"/>
      <c r="F937" s="10"/>
      <c r="G937" s="10"/>
      <c r="H937" s="10"/>
      <c r="I937" s="13"/>
      <c r="J937" s="13"/>
      <c r="K937" s="13"/>
      <c r="L937" s="13"/>
      <c r="N937" s="10"/>
      <c r="O937" s="10"/>
      <c r="P937" s="10"/>
      <c r="Q937" s="30"/>
      <c r="R937" s="18"/>
      <c r="S937" s="19"/>
      <c r="T937" s="10"/>
      <c r="U937" s="10"/>
      <c r="V937" s="10"/>
      <c r="W937" s="10"/>
      <c r="X937" s="19"/>
    </row>
    <row r="938" customHeight="1" spans="5:24">
      <c r="E938" s="30"/>
      <c r="F938" s="10"/>
      <c r="G938" s="10"/>
      <c r="H938" s="10"/>
      <c r="I938" s="13"/>
      <c r="J938" s="13"/>
      <c r="K938" s="13"/>
      <c r="L938" s="13"/>
      <c r="N938" s="10"/>
      <c r="O938" s="10"/>
      <c r="P938" s="10"/>
      <c r="Q938" s="30"/>
      <c r="R938" s="18"/>
      <c r="S938" s="19"/>
      <c r="T938" s="10"/>
      <c r="U938" s="10"/>
      <c r="V938" s="10"/>
      <c r="W938" s="10"/>
      <c r="X938" s="19"/>
    </row>
    <row r="939" customHeight="1" spans="5:24">
      <c r="E939" s="30"/>
      <c r="F939" s="10"/>
      <c r="G939" s="10"/>
      <c r="H939" s="10"/>
      <c r="I939" s="13"/>
      <c r="J939" s="13"/>
      <c r="K939" s="13"/>
      <c r="L939" s="13"/>
      <c r="N939" s="10"/>
      <c r="O939" s="10"/>
      <c r="P939" s="10"/>
      <c r="Q939" s="30"/>
      <c r="R939" s="18"/>
      <c r="S939" s="19"/>
      <c r="T939" s="10"/>
      <c r="U939" s="10"/>
      <c r="V939" s="10"/>
      <c r="W939" s="10"/>
      <c r="X939" s="19"/>
    </row>
    <row r="940" customHeight="1" spans="5:24">
      <c r="E940" s="30"/>
      <c r="F940" s="10"/>
      <c r="G940" s="10"/>
      <c r="H940" s="10"/>
      <c r="I940" s="13"/>
      <c r="J940" s="13"/>
      <c r="K940" s="13"/>
      <c r="L940" s="13"/>
      <c r="N940" s="10"/>
      <c r="O940" s="10"/>
      <c r="P940" s="10"/>
      <c r="Q940" s="30"/>
      <c r="R940" s="18"/>
      <c r="S940" s="19"/>
      <c r="T940" s="10"/>
      <c r="U940" s="10"/>
      <c r="V940" s="10"/>
      <c r="W940" s="10"/>
      <c r="X940" s="19"/>
    </row>
    <row r="941" customHeight="1" spans="5:24">
      <c r="E941" s="30"/>
      <c r="F941" s="10"/>
      <c r="G941" s="10"/>
      <c r="H941" s="10"/>
      <c r="I941" s="13"/>
      <c r="J941" s="13"/>
      <c r="K941" s="13"/>
      <c r="L941" s="13"/>
      <c r="N941" s="10"/>
      <c r="O941" s="10"/>
      <c r="P941" s="10"/>
      <c r="Q941" s="30"/>
      <c r="R941" s="18"/>
      <c r="S941" s="19"/>
      <c r="T941" s="10"/>
      <c r="U941" s="10"/>
      <c r="V941" s="10"/>
      <c r="W941" s="10"/>
      <c r="X941" s="19"/>
    </row>
    <row r="942" customHeight="1" spans="5:24">
      <c r="E942" s="30"/>
      <c r="F942" s="10"/>
      <c r="G942" s="10"/>
      <c r="H942" s="10"/>
      <c r="I942" s="13"/>
      <c r="J942" s="13"/>
      <c r="K942" s="13"/>
      <c r="L942" s="13"/>
      <c r="N942" s="10"/>
      <c r="O942" s="10"/>
      <c r="P942" s="10"/>
      <c r="Q942" s="30"/>
      <c r="R942" s="18"/>
      <c r="S942" s="19"/>
      <c r="T942" s="10"/>
      <c r="U942" s="10"/>
      <c r="V942" s="10"/>
      <c r="W942" s="10"/>
      <c r="X942" s="19"/>
    </row>
    <row r="943" customHeight="1" spans="5:24">
      <c r="E943" s="30"/>
      <c r="F943" s="10"/>
      <c r="G943" s="10"/>
      <c r="H943" s="10"/>
      <c r="I943" s="13"/>
      <c r="J943" s="13"/>
      <c r="K943" s="13"/>
      <c r="L943" s="13"/>
      <c r="N943" s="10"/>
      <c r="O943" s="10"/>
      <c r="P943" s="10"/>
      <c r="Q943" s="30"/>
      <c r="R943" s="18"/>
      <c r="S943" s="19"/>
      <c r="T943" s="10"/>
      <c r="U943" s="10"/>
      <c r="V943" s="10"/>
      <c r="W943" s="10"/>
      <c r="X943" s="19"/>
    </row>
    <row r="944" customHeight="1" spans="5:24">
      <c r="E944" s="30"/>
      <c r="F944" s="10"/>
      <c r="G944" s="10"/>
      <c r="H944" s="10"/>
      <c r="I944" s="13"/>
      <c r="J944" s="13"/>
      <c r="K944" s="13"/>
      <c r="L944" s="13"/>
      <c r="N944" s="10"/>
      <c r="O944" s="10"/>
      <c r="P944" s="10"/>
      <c r="Q944" s="30"/>
      <c r="R944" s="18"/>
      <c r="S944" s="19"/>
      <c r="T944" s="10"/>
      <c r="U944" s="10"/>
      <c r="V944" s="10"/>
      <c r="W944" s="10"/>
      <c r="X944" s="19"/>
    </row>
    <row r="945" customHeight="1" spans="5:24">
      <c r="E945" s="30"/>
      <c r="F945" s="10"/>
      <c r="G945" s="10"/>
      <c r="H945" s="10"/>
      <c r="I945" s="13"/>
      <c r="J945" s="13"/>
      <c r="K945" s="13"/>
      <c r="L945" s="13"/>
      <c r="N945" s="10"/>
      <c r="O945" s="10"/>
      <c r="P945" s="10"/>
      <c r="Q945" s="30"/>
      <c r="R945" s="18"/>
      <c r="S945" s="19"/>
      <c r="T945" s="10"/>
      <c r="U945" s="10"/>
      <c r="V945" s="10"/>
      <c r="W945" s="10"/>
      <c r="X945" s="19"/>
    </row>
    <row r="946" customHeight="1" spans="5:24">
      <c r="E946" s="30"/>
      <c r="F946" s="10"/>
      <c r="G946" s="10"/>
      <c r="H946" s="10"/>
      <c r="I946" s="13"/>
      <c r="J946" s="13"/>
      <c r="K946" s="13"/>
      <c r="L946" s="13"/>
      <c r="N946" s="10"/>
      <c r="O946" s="10"/>
      <c r="P946" s="10"/>
      <c r="Q946" s="30"/>
      <c r="R946" s="18"/>
      <c r="S946" s="19"/>
      <c r="T946" s="10"/>
      <c r="U946" s="10"/>
      <c r="V946" s="10"/>
      <c r="W946" s="10"/>
      <c r="X946" s="19"/>
    </row>
    <row r="947" customHeight="1" spans="5:24">
      <c r="E947" s="30"/>
      <c r="F947" s="10"/>
      <c r="G947" s="10"/>
      <c r="H947" s="10"/>
      <c r="I947" s="13"/>
      <c r="J947" s="13"/>
      <c r="K947" s="13"/>
      <c r="L947" s="13"/>
      <c r="N947" s="10"/>
      <c r="O947" s="10"/>
      <c r="P947" s="10"/>
      <c r="Q947" s="30"/>
      <c r="R947" s="18"/>
      <c r="S947" s="19"/>
      <c r="T947" s="10"/>
      <c r="U947" s="10"/>
      <c r="V947" s="10"/>
      <c r="W947" s="10"/>
      <c r="X947" s="19"/>
    </row>
    <row r="948" customHeight="1" spans="5:24">
      <c r="E948" s="30"/>
      <c r="F948" s="10"/>
      <c r="G948" s="10"/>
      <c r="H948" s="10"/>
      <c r="I948" s="13"/>
      <c r="J948" s="13"/>
      <c r="K948" s="13"/>
      <c r="L948" s="13"/>
      <c r="N948" s="10"/>
      <c r="O948" s="10"/>
      <c r="P948" s="10"/>
      <c r="Q948" s="30"/>
      <c r="R948" s="18"/>
      <c r="S948" s="19"/>
      <c r="T948" s="10"/>
      <c r="U948" s="10"/>
      <c r="V948" s="10"/>
      <c r="W948" s="10"/>
      <c r="X948" s="19"/>
    </row>
    <row r="949" customHeight="1" spans="5:24">
      <c r="E949" s="30"/>
      <c r="F949" s="10"/>
      <c r="G949" s="10"/>
      <c r="H949" s="10"/>
      <c r="I949" s="13"/>
      <c r="J949" s="13"/>
      <c r="K949" s="13"/>
      <c r="L949" s="13"/>
      <c r="N949" s="10"/>
      <c r="O949" s="10"/>
      <c r="P949" s="10"/>
      <c r="Q949" s="30"/>
      <c r="R949" s="18"/>
      <c r="S949" s="19"/>
      <c r="T949" s="10"/>
      <c r="U949" s="10"/>
      <c r="V949" s="10"/>
      <c r="W949" s="10"/>
      <c r="X949" s="19"/>
    </row>
    <row r="950" customHeight="1" spans="5:24">
      <c r="E950" s="30"/>
      <c r="F950" s="10"/>
      <c r="G950" s="10"/>
      <c r="H950" s="10"/>
      <c r="I950" s="13"/>
      <c r="J950" s="13"/>
      <c r="K950" s="13"/>
      <c r="L950" s="13"/>
      <c r="N950" s="10"/>
      <c r="O950" s="10"/>
      <c r="P950" s="10"/>
      <c r="Q950" s="30"/>
      <c r="R950" s="18"/>
      <c r="S950" s="19"/>
      <c r="T950" s="10"/>
      <c r="U950" s="10"/>
      <c r="V950" s="10"/>
      <c r="W950" s="10"/>
      <c r="X950" s="19"/>
    </row>
    <row r="951" customHeight="1" spans="5:24">
      <c r="E951" s="30"/>
      <c r="F951" s="10"/>
      <c r="G951" s="10"/>
      <c r="H951" s="10"/>
      <c r="I951" s="13"/>
      <c r="J951" s="13"/>
      <c r="K951" s="13"/>
      <c r="L951" s="13"/>
      <c r="N951" s="10"/>
      <c r="O951" s="10"/>
      <c r="P951" s="10"/>
      <c r="Q951" s="30"/>
      <c r="R951" s="18"/>
      <c r="S951" s="19"/>
      <c r="T951" s="10"/>
      <c r="U951" s="10"/>
      <c r="V951" s="10"/>
      <c r="W951" s="10"/>
      <c r="X951" s="19"/>
    </row>
    <row r="952" customHeight="1" spans="5:24">
      <c r="E952" s="30"/>
      <c r="F952" s="10"/>
      <c r="G952" s="10"/>
      <c r="H952" s="10"/>
      <c r="I952" s="13"/>
      <c r="J952" s="13"/>
      <c r="K952" s="13"/>
      <c r="L952" s="13"/>
      <c r="N952" s="10"/>
      <c r="O952" s="10"/>
      <c r="P952" s="10"/>
      <c r="Q952" s="30"/>
      <c r="R952" s="18"/>
      <c r="S952" s="19"/>
      <c r="T952" s="10"/>
      <c r="U952" s="10"/>
      <c r="V952" s="10"/>
      <c r="W952" s="10"/>
      <c r="X952" s="19"/>
    </row>
    <row r="953" customHeight="1" spans="5:24">
      <c r="E953" s="30"/>
      <c r="F953" s="10"/>
      <c r="G953" s="10"/>
      <c r="H953" s="10"/>
      <c r="I953" s="13"/>
      <c r="J953" s="13"/>
      <c r="K953" s="13"/>
      <c r="L953" s="13"/>
      <c r="N953" s="10"/>
      <c r="O953" s="10"/>
      <c r="P953" s="10"/>
      <c r="Q953" s="30"/>
      <c r="R953" s="18"/>
      <c r="S953" s="19"/>
      <c r="T953" s="10"/>
      <c r="U953" s="10"/>
      <c r="V953" s="10"/>
      <c r="W953" s="10"/>
      <c r="X953" s="19"/>
    </row>
    <row r="954" customHeight="1" spans="5:24">
      <c r="E954" s="30"/>
      <c r="F954" s="10"/>
      <c r="G954" s="10"/>
      <c r="H954" s="10"/>
      <c r="I954" s="13"/>
      <c r="J954" s="13"/>
      <c r="K954" s="13"/>
      <c r="L954" s="13"/>
      <c r="N954" s="10"/>
      <c r="O954" s="10"/>
      <c r="P954" s="10"/>
      <c r="Q954" s="30"/>
      <c r="R954" s="18"/>
      <c r="S954" s="19"/>
      <c r="T954" s="10"/>
      <c r="U954" s="10"/>
      <c r="V954" s="10"/>
      <c r="W954" s="10"/>
      <c r="X954" s="19"/>
    </row>
    <row r="955" customHeight="1" spans="5:24">
      <c r="E955" s="30"/>
      <c r="F955" s="10"/>
      <c r="G955" s="10"/>
      <c r="H955" s="10"/>
      <c r="I955" s="13"/>
      <c r="J955" s="13"/>
      <c r="K955" s="13"/>
      <c r="L955" s="13"/>
      <c r="N955" s="10"/>
      <c r="O955" s="10"/>
      <c r="P955" s="10"/>
      <c r="Q955" s="30"/>
      <c r="R955" s="18"/>
      <c r="S955" s="19"/>
      <c r="T955" s="10"/>
      <c r="U955" s="10"/>
      <c r="V955" s="10"/>
      <c r="W955" s="10"/>
      <c r="X955" s="19"/>
    </row>
    <row r="956" customHeight="1" spans="5:24">
      <c r="E956" s="30"/>
      <c r="F956" s="10"/>
      <c r="G956" s="10"/>
      <c r="H956" s="10"/>
      <c r="I956" s="13"/>
      <c r="J956" s="13"/>
      <c r="K956" s="13"/>
      <c r="L956" s="13"/>
      <c r="N956" s="10"/>
      <c r="O956" s="10"/>
      <c r="P956" s="10"/>
      <c r="Q956" s="30"/>
      <c r="R956" s="18"/>
      <c r="S956" s="19"/>
      <c r="T956" s="10"/>
      <c r="U956" s="10"/>
      <c r="V956" s="10"/>
      <c r="W956" s="10"/>
      <c r="X956" s="19"/>
    </row>
    <row r="957" customHeight="1" spans="5:24">
      <c r="E957" s="30"/>
      <c r="F957" s="10"/>
      <c r="G957" s="10"/>
      <c r="H957" s="10"/>
      <c r="I957" s="13"/>
      <c r="J957" s="13"/>
      <c r="K957" s="13"/>
      <c r="L957" s="13"/>
      <c r="N957" s="10"/>
      <c r="O957" s="10"/>
      <c r="P957" s="10"/>
      <c r="Q957" s="30"/>
      <c r="R957" s="18"/>
      <c r="S957" s="19"/>
      <c r="T957" s="10"/>
      <c r="U957" s="10"/>
      <c r="V957" s="10"/>
      <c r="W957" s="10"/>
      <c r="X957" s="19"/>
    </row>
    <row r="958" customHeight="1" spans="5:24">
      <c r="E958" s="30"/>
      <c r="F958" s="10"/>
      <c r="G958" s="10"/>
      <c r="H958" s="10"/>
      <c r="I958" s="13"/>
      <c r="J958" s="13"/>
      <c r="K958" s="13"/>
      <c r="L958" s="13"/>
      <c r="N958" s="10"/>
      <c r="O958" s="10"/>
      <c r="P958" s="10"/>
      <c r="Q958" s="30"/>
      <c r="R958" s="18"/>
      <c r="S958" s="19"/>
      <c r="T958" s="10"/>
      <c r="U958" s="10"/>
      <c r="V958" s="10"/>
      <c r="W958" s="10"/>
      <c r="X958" s="19"/>
    </row>
    <row r="959" customHeight="1" spans="5:24">
      <c r="E959" s="30"/>
      <c r="F959" s="10"/>
      <c r="G959" s="10"/>
      <c r="H959" s="10"/>
      <c r="I959" s="13"/>
      <c r="J959" s="13"/>
      <c r="K959" s="13"/>
      <c r="L959" s="13"/>
      <c r="N959" s="10"/>
      <c r="O959" s="10"/>
      <c r="P959" s="10"/>
      <c r="Q959" s="30"/>
      <c r="R959" s="18"/>
      <c r="S959" s="19"/>
      <c r="T959" s="10"/>
      <c r="U959" s="10"/>
      <c r="V959" s="10"/>
      <c r="W959" s="10"/>
      <c r="X959" s="19"/>
    </row>
    <row r="960" customHeight="1" spans="5:24">
      <c r="E960" s="30"/>
      <c r="F960" s="10"/>
      <c r="G960" s="10"/>
      <c r="H960" s="10"/>
      <c r="I960" s="13"/>
      <c r="J960" s="13"/>
      <c r="K960" s="13"/>
      <c r="L960" s="13"/>
      <c r="N960" s="10"/>
      <c r="O960" s="10"/>
      <c r="P960" s="10"/>
      <c r="Q960" s="30"/>
      <c r="R960" s="18"/>
      <c r="S960" s="19"/>
      <c r="T960" s="10"/>
      <c r="U960" s="10"/>
      <c r="V960" s="10"/>
      <c r="W960" s="10"/>
      <c r="X960" s="19"/>
    </row>
    <row r="961" customHeight="1" spans="5:24">
      <c r="E961" s="30"/>
      <c r="F961" s="10"/>
      <c r="G961" s="10"/>
      <c r="H961" s="10"/>
      <c r="I961" s="13"/>
      <c r="J961" s="13"/>
      <c r="K961" s="13"/>
      <c r="L961" s="13"/>
      <c r="N961" s="10"/>
      <c r="O961" s="10"/>
      <c r="P961" s="10"/>
      <c r="Q961" s="30"/>
      <c r="R961" s="18"/>
      <c r="S961" s="19"/>
      <c r="T961" s="10"/>
      <c r="U961" s="10"/>
      <c r="V961" s="10"/>
      <c r="W961" s="10"/>
      <c r="X961" s="19"/>
    </row>
    <row r="962" customHeight="1" spans="5:24">
      <c r="E962" s="30"/>
      <c r="F962" s="10"/>
      <c r="G962" s="10"/>
      <c r="H962" s="10"/>
      <c r="I962" s="13"/>
      <c r="J962" s="13"/>
      <c r="K962" s="13"/>
      <c r="L962" s="13"/>
      <c r="N962" s="10"/>
      <c r="O962" s="10"/>
      <c r="P962" s="10"/>
      <c r="Q962" s="30"/>
      <c r="R962" s="18"/>
      <c r="S962" s="19"/>
      <c r="T962" s="10"/>
      <c r="U962" s="10"/>
      <c r="V962" s="10"/>
      <c r="W962" s="10"/>
      <c r="X962" s="19"/>
    </row>
    <row r="963" customHeight="1" spans="5:24">
      <c r="E963" s="30"/>
      <c r="F963" s="10"/>
      <c r="G963" s="10"/>
      <c r="H963" s="10"/>
      <c r="I963" s="13"/>
      <c r="J963" s="13"/>
      <c r="K963" s="13"/>
      <c r="L963" s="13"/>
      <c r="N963" s="10"/>
      <c r="O963" s="10"/>
      <c r="P963" s="10"/>
      <c r="Q963" s="30"/>
      <c r="R963" s="18"/>
      <c r="S963" s="19"/>
      <c r="T963" s="10"/>
      <c r="U963" s="10"/>
      <c r="V963" s="10"/>
      <c r="W963" s="10"/>
      <c r="X963" s="19"/>
    </row>
    <row r="964" customHeight="1" spans="5:24">
      <c r="E964" s="30"/>
      <c r="F964" s="10"/>
      <c r="G964" s="10"/>
      <c r="H964" s="10"/>
      <c r="I964" s="13"/>
      <c r="J964" s="13"/>
      <c r="K964" s="13"/>
      <c r="L964" s="13"/>
      <c r="N964" s="10"/>
      <c r="O964" s="10"/>
      <c r="P964" s="10"/>
      <c r="Q964" s="30"/>
      <c r="R964" s="18"/>
      <c r="S964" s="19"/>
      <c r="T964" s="10"/>
      <c r="U964" s="10"/>
      <c r="V964" s="10"/>
      <c r="W964" s="10"/>
      <c r="X964" s="19"/>
    </row>
    <row r="965" customHeight="1" spans="5:24">
      <c r="E965" s="30"/>
      <c r="F965" s="10"/>
      <c r="G965" s="10"/>
      <c r="H965" s="10"/>
      <c r="I965" s="13"/>
      <c r="J965" s="13"/>
      <c r="K965" s="13"/>
      <c r="L965" s="13"/>
      <c r="N965" s="10"/>
      <c r="O965" s="10"/>
      <c r="P965" s="10"/>
      <c r="Q965" s="30"/>
      <c r="R965" s="18"/>
      <c r="S965" s="19"/>
      <c r="T965" s="10"/>
      <c r="U965" s="10"/>
      <c r="V965" s="10"/>
      <c r="W965" s="10"/>
      <c r="X965" s="19"/>
    </row>
    <row r="966" customHeight="1" spans="5:24">
      <c r="E966" s="30"/>
      <c r="F966" s="10"/>
      <c r="G966" s="10"/>
      <c r="H966" s="10"/>
      <c r="I966" s="13"/>
      <c r="J966" s="13"/>
      <c r="K966" s="13"/>
      <c r="L966" s="13"/>
      <c r="N966" s="10"/>
      <c r="O966" s="10"/>
      <c r="P966" s="10"/>
      <c r="Q966" s="30"/>
      <c r="R966" s="18"/>
      <c r="S966" s="19"/>
      <c r="T966" s="10"/>
      <c r="U966" s="10"/>
      <c r="V966" s="10"/>
      <c r="W966" s="10"/>
      <c r="X966" s="19"/>
    </row>
    <row r="967" customHeight="1" spans="5:24">
      <c r="E967" s="30"/>
      <c r="F967" s="10"/>
      <c r="G967" s="10"/>
      <c r="H967" s="10"/>
      <c r="I967" s="13"/>
      <c r="J967" s="13"/>
      <c r="K967" s="13"/>
      <c r="L967" s="13"/>
      <c r="N967" s="10"/>
      <c r="O967" s="10"/>
      <c r="P967" s="10"/>
      <c r="Q967" s="30"/>
      <c r="R967" s="18"/>
      <c r="S967" s="19"/>
      <c r="T967" s="10"/>
      <c r="U967" s="10"/>
      <c r="V967" s="10"/>
      <c r="W967" s="10"/>
      <c r="X967" s="19"/>
    </row>
    <row r="968" customHeight="1" spans="5:24">
      <c r="E968" s="30"/>
      <c r="F968" s="10"/>
      <c r="G968" s="10"/>
      <c r="H968" s="10"/>
      <c r="I968" s="13"/>
      <c r="J968" s="13"/>
      <c r="K968" s="13"/>
      <c r="L968" s="13"/>
      <c r="N968" s="10"/>
      <c r="O968" s="10"/>
      <c r="P968" s="10"/>
      <c r="Q968" s="30"/>
      <c r="R968" s="18"/>
      <c r="S968" s="19"/>
      <c r="T968" s="10"/>
      <c r="U968" s="10"/>
      <c r="V968" s="10"/>
      <c r="W968" s="10"/>
      <c r="X968" s="19"/>
    </row>
    <row r="969" customHeight="1" spans="5:24">
      <c r="E969" s="30"/>
      <c r="F969" s="10"/>
      <c r="G969" s="10"/>
      <c r="H969" s="10"/>
      <c r="I969" s="13"/>
      <c r="J969" s="13"/>
      <c r="K969" s="13"/>
      <c r="L969" s="13"/>
      <c r="N969" s="10"/>
      <c r="O969" s="10"/>
      <c r="P969" s="10"/>
      <c r="Q969" s="30"/>
      <c r="R969" s="18"/>
      <c r="S969" s="19"/>
      <c r="T969" s="10"/>
      <c r="U969" s="10"/>
      <c r="V969" s="10"/>
      <c r="W969" s="10"/>
      <c r="X969" s="19"/>
    </row>
    <row r="970" customHeight="1" spans="5:24">
      <c r="E970" s="30"/>
      <c r="F970" s="10"/>
      <c r="G970" s="10"/>
      <c r="H970" s="10"/>
      <c r="I970" s="13"/>
      <c r="J970" s="13"/>
      <c r="K970" s="13"/>
      <c r="L970" s="13"/>
      <c r="N970" s="10"/>
      <c r="O970" s="10"/>
      <c r="P970" s="10"/>
      <c r="Q970" s="30"/>
      <c r="R970" s="18"/>
      <c r="S970" s="19"/>
      <c r="T970" s="10"/>
      <c r="U970" s="10"/>
      <c r="V970" s="10"/>
      <c r="W970" s="10"/>
      <c r="X970" s="19"/>
    </row>
    <row r="971" customHeight="1" spans="5:24">
      <c r="E971" s="30"/>
      <c r="F971" s="10"/>
      <c r="G971" s="10"/>
      <c r="H971" s="10"/>
      <c r="I971" s="13"/>
      <c r="J971" s="13"/>
      <c r="K971" s="13"/>
      <c r="L971" s="13"/>
      <c r="N971" s="10"/>
      <c r="O971" s="10"/>
      <c r="P971" s="10"/>
      <c r="Q971" s="30"/>
      <c r="R971" s="18"/>
      <c r="S971" s="19"/>
      <c r="T971" s="10"/>
      <c r="U971" s="10"/>
      <c r="V971" s="10"/>
      <c r="W971" s="10"/>
      <c r="X971" s="19"/>
    </row>
    <row r="972" customHeight="1" spans="5:24">
      <c r="E972" s="30"/>
      <c r="F972" s="10"/>
      <c r="G972" s="10"/>
      <c r="H972" s="10"/>
      <c r="I972" s="13"/>
      <c r="J972" s="13"/>
      <c r="K972" s="13"/>
      <c r="L972" s="13"/>
      <c r="N972" s="10"/>
      <c r="O972" s="10"/>
      <c r="P972" s="10"/>
      <c r="Q972" s="30"/>
      <c r="R972" s="18"/>
      <c r="S972" s="19"/>
      <c r="T972" s="10"/>
      <c r="U972" s="10"/>
      <c r="V972" s="10"/>
      <c r="W972" s="10"/>
      <c r="X972" s="19"/>
    </row>
    <row r="973" customHeight="1" spans="5:24">
      <c r="E973" s="30"/>
      <c r="F973" s="10"/>
      <c r="G973" s="10"/>
      <c r="H973" s="10"/>
      <c r="I973" s="13"/>
      <c r="J973" s="13"/>
      <c r="K973" s="13"/>
      <c r="L973" s="13"/>
      <c r="N973" s="10"/>
      <c r="O973" s="10"/>
      <c r="P973" s="10"/>
      <c r="Q973" s="30"/>
      <c r="R973" s="18"/>
      <c r="S973" s="19"/>
      <c r="T973" s="10"/>
      <c r="U973" s="10"/>
      <c r="V973" s="10"/>
      <c r="W973" s="10"/>
      <c r="X973" s="19"/>
    </row>
    <row r="974" customHeight="1" spans="5:24">
      <c r="E974" s="30"/>
      <c r="F974" s="10"/>
      <c r="G974" s="10"/>
      <c r="H974" s="10"/>
      <c r="I974" s="13"/>
      <c r="J974" s="13"/>
      <c r="K974" s="13"/>
      <c r="L974" s="13"/>
      <c r="N974" s="10"/>
      <c r="O974" s="10"/>
      <c r="P974" s="10"/>
      <c r="Q974" s="30"/>
      <c r="R974" s="18"/>
      <c r="S974" s="19"/>
      <c r="T974" s="10"/>
      <c r="U974" s="10"/>
      <c r="V974" s="10"/>
      <c r="W974" s="10"/>
      <c r="X974" s="19"/>
    </row>
    <row r="975" customHeight="1" spans="5:24">
      <c r="E975" s="30"/>
      <c r="F975" s="10"/>
      <c r="G975" s="10"/>
      <c r="H975" s="10"/>
      <c r="I975" s="13"/>
      <c r="J975" s="13"/>
      <c r="K975" s="13"/>
      <c r="L975" s="13"/>
      <c r="N975" s="10"/>
      <c r="O975" s="10"/>
      <c r="P975" s="10"/>
      <c r="Q975" s="30"/>
      <c r="R975" s="18"/>
      <c r="S975" s="19"/>
      <c r="T975" s="10"/>
      <c r="U975" s="10"/>
      <c r="V975" s="10"/>
      <c r="W975" s="10"/>
      <c r="X975" s="19"/>
    </row>
    <row r="976" customHeight="1" spans="5:24">
      <c r="E976" s="30"/>
      <c r="F976" s="10"/>
      <c r="G976" s="10"/>
      <c r="H976" s="10"/>
      <c r="I976" s="13"/>
      <c r="J976" s="13"/>
      <c r="K976" s="13"/>
      <c r="L976" s="13"/>
      <c r="N976" s="10"/>
      <c r="O976" s="10"/>
      <c r="P976" s="10"/>
      <c r="Q976" s="30"/>
      <c r="R976" s="18"/>
      <c r="S976" s="19"/>
      <c r="T976" s="10"/>
      <c r="U976" s="10"/>
      <c r="V976" s="10"/>
      <c r="W976" s="10"/>
      <c r="X976" s="19"/>
    </row>
    <row r="977" customHeight="1" spans="5:24">
      <c r="E977" s="30"/>
      <c r="F977" s="10"/>
      <c r="G977" s="10"/>
      <c r="H977" s="10"/>
      <c r="I977" s="13"/>
      <c r="J977" s="13"/>
      <c r="K977" s="13"/>
      <c r="L977" s="13"/>
      <c r="N977" s="10"/>
      <c r="O977" s="10"/>
      <c r="P977" s="10"/>
      <c r="Q977" s="30"/>
      <c r="R977" s="18"/>
      <c r="S977" s="19"/>
      <c r="T977" s="10"/>
      <c r="U977" s="10"/>
      <c r="V977" s="10"/>
      <c r="W977" s="10"/>
      <c r="X977" s="19"/>
    </row>
    <row r="978" customHeight="1" spans="5:24">
      <c r="E978" s="30"/>
      <c r="F978" s="10"/>
      <c r="G978" s="10"/>
      <c r="H978" s="10"/>
      <c r="I978" s="13"/>
      <c r="J978" s="13"/>
      <c r="K978" s="13"/>
      <c r="L978" s="13"/>
      <c r="N978" s="10"/>
      <c r="O978" s="10"/>
      <c r="P978" s="10"/>
      <c r="Q978" s="30"/>
      <c r="R978" s="18"/>
      <c r="S978" s="19"/>
      <c r="T978" s="10"/>
      <c r="U978" s="10"/>
      <c r="V978" s="10"/>
      <c r="W978" s="10"/>
      <c r="X978" s="19"/>
    </row>
    <row r="979" customHeight="1" spans="5:24">
      <c r="E979" s="30"/>
      <c r="F979" s="10"/>
      <c r="G979" s="10"/>
      <c r="H979" s="10"/>
      <c r="I979" s="13"/>
      <c r="J979" s="13"/>
      <c r="K979" s="13"/>
      <c r="L979" s="13"/>
      <c r="N979" s="10"/>
      <c r="O979" s="10"/>
      <c r="P979" s="10"/>
      <c r="Q979" s="30"/>
      <c r="R979" s="18"/>
      <c r="S979" s="19"/>
      <c r="T979" s="10"/>
      <c r="U979" s="10"/>
      <c r="V979" s="10"/>
      <c r="W979" s="10"/>
      <c r="X979" s="19"/>
    </row>
    <row r="980" customHeight="1" spans="5:24">
      <c r="E980" s="30"/>
      <c r="F980" s="10"/>
      <c r="G980" s="10"/>
      <c r="H980" s="10"/>
      <c r="I980" s="13"/>
      <c r="J980" s="13"/>
      <c r="K980" s="13"/>
      <c r="L980" s="13"/>
      <c r="N980" s="10"/>
      <c r="O980" s="10"/>
      <c r="P980" s="10"/>
      <c r="Q980" s="30"/>
      <c r="R980" s="18"/>
      <c r="S980" s="19"/>
      <c r="T980" s="10"/>
      <c r="U980" s="10"/>
      <c r="V980" s="10"/>
      <c r="W980" s="10"/>
      <c r="X980" s="19"/>
    </row>
    <row r="981" customHeight="1" spans="5:24">
      <c r="E981" s="30"/>
      <c r="F981" s="10"/>
      <c r="G981" s="10"/>
      <c r="H981" s="10"/>
      <c r="I981" s="13"/>
      <c r="J981" s="13"/>
      <c r="K981" s="13"/>
      <c r="L981" s="13"/>
      <c r="N981" s="10"/>
      <c r="O981" s="10"/>
      <c r="P981" s="10"/>
      <c r="Q981" s="30"/>
      <c r="R981" s="18"/>
      <c r="S981" s="19"/>
      <c r="T981" s="10"/>
      <c r="U981" s="10"/>
      <c r="V981" s="10"/>
      <c r="W981" s="10"/>
      <c r="X981" s="19"/>
    </row>
    <row r="982" customHeight="1" spans="5:24">
      <c r="E982" s="30"/>
      <c r="F982" s="10"/>
      <c r="G982" s="10"/>
      <c r="H982" s="10"/>
      <c r="I982" s="13"/>
      <c r="J982" s="13"/>
      <c r="K982" s="13"/>
      <c r="L982" s="13"/>
      <c r="N982" s="10"/>
      <c r="O982" s="10"/>
      <c r="P982" s="10"/>
      <c r="Q982" s="30"/>
      <c r="R982" s="18"/>
      <c r="S982" s="19"/>
      <c r="T982" s="10"/>
      <c r="U982" s="10"/>
      <c r="V982" s="10"/>
      <c r="W982" s="10"/>
      <c r="X982" s="19"/>
    </row>
    <row r="983" customHeight="1" spans="5:24">
      <c r="E983" s="30"/>
      <c r="F983" s="10"/>
      <c r="G983" s="10"/>
      <c r="H983" s="10"/>
      <c r="I983" s="13"/>
      <c r="J983" s="13"/>
      <c r="K983" s="13"/>
      <c r="L983" s="13"/>
      <c r="N983" s="10"/>
      <c r="O983" s="10"/>
      <c r="P983" s="10"/>
      <c r="Q983" s="30"/>
      <c r="R983" s="18"/>
      <c r="S983" s="19"/>
      <c r="T983" s="10"/>
      <c r="U983" s="10"/>
      <c r="V983" s="10"/>
      <c r="W983" s="10"/>
      <c r="X983" s="19"/>
    </row>
    <row r="984" customHeight="1" spans="5:24">
      <c r="E984" s="30"/>
      <c r="F984" s="10"/>
      <c r="G984" s="10"/>
      <c r="H984" s="10"/>
      <c r="I984" s="13"/>
      <c r="J984" s="13"/>
      <c r="K984" s="13"/>
      <c r="L984" s="13"/>
      <c r="N984" s="10"/>
      <c r="O984" s="10"/>
      <c r="P984" s="10"/>
      <c r="Q984" s="30"/>
      <c r="R984" s="18"/>
      <c r="S984" s="19"/>
      <c r="T984" s="10"/>
      <c r="U984" s="10"/>
      <c r="V984" s="10"/>
      <c r="W984" s="10"/>
      <c r="X984" s="19"/>
    </row>
    <row r="985" customHeight="1" spans="5:24">
      <c r="E985" s="30"/>
      <c r="F985" s="10"/>
      <c r="G985" s="10"/>
      <c r="H985" s="10"/>
      <c r="I985" s="13"/>
      <c r="J985" s="13"/>
      <c r="K985" s="13"/>
      <c r="L985" s="13"/>
      <c r="N985" s="10"/>
      <c r="O985" s="10"/>
      <c r="P985" s="10"/>
      <c r="Q985" s="30"/>
      <c r="R985" s="18"/>
      <c r="S985" s="19"/>
      <c r="T985" s="10"/>
      <c r="U985" s="10"/>
      <c r="V985" s="10"/>
      <c r="W985" s="10"/>
      <c r="X985" s="19"/>
    </row>
    <row r="986" customHeight="1" spans="5:24">
      <c r="E986" s="30"/>
      <c r="F986" s="10"/>
      <c r="G986" s="10"/>
      <c r="H986" s="10"/>
      <c r="I986" s="13"/>
      <c r="J986" s="13"/>
      <c r="K986" s="13"/>
      <c r="L986" s="13"/>
      <c r="N986" s="10"/>
      <c r="O986" s="10"/>
      <c r="P986" s="10"/>
      <c r="Q986" s="30"/>
      <c r="R986" s="18"/>
      <c r="S986" s="19"/>
      <c r="T986" s="10"/>
      <c r="U986" s="10"/>
      <c r="V986" s="10"/>
      <c r="W986" s="10"/>
      <c r="X986" s="19"/>
    </row>
    <row r="987" customHeight="1" spans="5:24">
      <c r="E987" s="30"/>
      <c r="F987" s="10"/>
      <c r="G987" s="10"/>
      <c r="H987" s="10"/>
      <c r="I987" s="13"/>
      <c r="J987" s="13"/>
      <c r="K987" s="13"/>
      <c r="L987" s="13"/>
      <c r="N987" s="10"/>
      <c r="O987" s="10"/>
      <c r="P987" s="10"/>
      <c r="Q987" s="30"/>
      <c r="R987" s="18"/>
      <c r="S987" s="19"/>
      <c r="T987" s="10"/>
      <c r="U987" s="10"/>
      <c r="V987" s="10"/>
      <c r="W987" s="10"/>
      <c r="X987" s="19"/>
    </row>
    <row r="988" customHeight="1" spans="5:24">
      <c r="E988" s="30"/>
      <c r="F988" s="10"/>
      <c r="G988" s="10"/>
      <c r="H988" s="10"/>
      <c r="I988" s="13"/>
      <c r="J988" s="13"/>
      <c r="K988" s="13"/>
      <c r="L988" s="13"/>
      <c r="N988" s="10"/>
      <c r="O988" s="10"/>
      <c r="P988" s="10"/>
      <c r="Q988" s="30"/>
      <c r="R988" s="18"/>
      <c r="S988" s="19"/>
      <c r="T988" s="10"/>
      <c r="U988" s="10"/>
      <c r="V988" s="10"/>
      <c r="W988" s="10"/>
      <c r="X988" s="19"/>
    </row>
    <row r="989" customHeight="1" spans="5:24">
      <c r="E989" s="30"/>
      <c r="F989" s="10"/>
      <c r="G989" s="10"/>
      <c r="H989" s="10"/>
      <c r="I989" s="13"/>
      <c r="J989" s="13"/>
      <c r="K989" s="13"/>
      <c r="L989" s="13"/>
      <c r="N989" s="10"/>
      <c r="O989" s="10"/>
      <c r="P989" s="10"/>
      <c r="Q989" s="30"/>
      <c r="R989" s="18"/>
      <c r="S989" s="19"/>
      <c r="T989" s="10"/>
      <c r="U989" s="10"/>
      <c r="V989" s="10"/>
      <c r="W989" s="10"/>
      <c r="X989" s="19"/>
    </row>
    <row r="990" customHeight="1" spans="5:24">
      <c r="E990" s="30"/>
      <c r="F990" s="10"/>
      <c r="G990" s="10"/>
      <c r="H990" s="10"/>
      <c r="I990" s="13"/>
      <c r="J990" s="13"/>
      <c r="K990" s="13"/>
      <c r="L990" s="13"/>
      <c r="N990" s="10"/>
      <c r="O990" s="10"/>
      <c r="P990" s="10"/>
      <c r="Q990" s="30"/>
      <c r="R990" s="18"/>
      <c r="S990" s="19"/>
      <c r="T990" s="10"/>
      <c r="U990" s="10"/>
      <c r="V990" s="10"/>
      <c r="W990" s="10"/>
      <c r="X990" s="19"/>
    </row>
    <row r="991" customHeight="1" spans="5:24">
      <c r="E991" s="30"/>
      <c r="F991" s="10"/>
      <c r="G991" s="10"/>
      <c r="H991" s="10"/>
      <c r="I991" s="13"/>
      <c r="J991" s="13"/>
      <c r="K991" s="13"/>
      <c r="L991" s="13"/>
      <c r="N991" s="10"/>
      <c r="O991" s="10"/>
      <c r="P991" s="10"/>
      <c r="Q991" s="30"/>
      <c r="R991" s="18"/>
      <c r="S991" s="19"/>
      <c r="T991" s="10"/>
      <c r="U991" s="10"/>
      <c r="V991" s="10"/>
      <c r="W991" s="10"/>
      <c r="X991" s="19"/>
    </row>
    <row r="992" customHeight="1" spans="5:24">
      <c r="E992" s="30"/>
      <c r="F992" s="10"/>
      <c r="G992" s="10"/>
      <c r="H992" s="10"/>
      <c r="I992" s="13"/>
      <c r="J992" s="13"/>
      <c r="K992" s="13"/>
      <c r="L992" s="13"/>
      <c r="N992" s="10"/>
      <c r="O992" s="10"/>
      <c r="P992" s="10"/>
      <c r="Q992" s="30"/>
      <c r="R992" s="18"/>
      <c r="S992" s="19"/>
      <c r="T992" s="10"/>
      <c r="U992" s="10"/>
      <c r="V992" s="10"/>
      <c r="W992" s="10"/>
      <c r="X992" s="19"/>
    </row>
    <row r="993" customHeight="1" spans="5:24">
      <c r="E993" s="30"/>
      <c r="F993" s="10"/>
      <c r="G993" s="10"/>
      <c r="H993" s="10"/>
      <c r="I993" s="13"/>
      <c r="J993" s="13"/>
      <c r="K993" s="13"/>
      <c r="L993" s="13"/>
      <c r="N993" s="10"/>
      <c r="O993" s="10"/>
      <c r="P993" s="10"/>
      <c r="Q993" s="30"/>
      <c r="R993" s="18"/>
      <c r="S993" s="19"/>
      <c r="T993" s="10"/>
      <c r="U993" s="10"/>
      <c r="V993" s="10"/>
      <c r="W993" s="10"/>
      <c r="X993" s="19"/>
    </row>
    <row r="994" customHeight="1" spans="5:24">
      <c r="E994" s="30"/>
      <c r="F994" s="10"/>
      <c r="G994" s="10"/>
      <c r="H994" s="10"/>
      <c r="I994" s="13"/>
      <c r="J994" s="13"/>
      <c r="K994" s="13"/>
      <c r="L994" s="13"/>
      <c r="N994" s="10"/>
      <c r="O994" s="10"/>
      <c r="P994" s="10"/>
      <c r="Q994" s="30"/>
      <c r="R994" s="18"/>
      <c r="S994" s="19"/>
      <c r="T994" s="10"/>
      <c r="U994" s="10"/>
      <c r="V994" s="10"/>
      <c r="W994" s="10"/>
      <c r="X994" s="19"/>
    </row>
    <row r="995" customHeight="1" spans="5:24">
      <c r="E995" s="30"/>
      <c r="F995" s="10"/>
      <c r="G995" s="10"/>
      <c r="H995" s="10"/>
      <c r="I995" s="13"/>
      <c r="J995" s="13"/>
      <c r="K995" s="13"/>
      <c r="L995" s="13"/>
      <c r="N995" s="10"/>
      <c r="O995" s="10"/>
      <c r="P995" s="10"/>
      <c r="Q995" s="30"/>
      <c r="R995" s="18"/>
      <c r="S995" s="19"/>
      <c r="T995" s="10"/>
      <c r="U995" s="10"/>
      <c r="V995" s="10"/>
      <c r="W995" s="10"/>
      <c r="X995" s="19"/>
    </row>
    <row r="996" customHeight="1" spans="5:24">
      <c r="E996" s="30"/>
      <c r="F996" s="10"/>
      <c r="G996" s="10"/>
      <c r="H996" s="10"/>
      <c r="I996" s="13"/>
      <c r="J996" s="13"/>
      <c r="K996" s="13"/>
      <c r="L996" s="13"/>
      <c r="N996" s="10"/>
      <c r="O996" s="10"/>
      <c r="P996" s="10"/>
      <c r="Q996" s="30"/>
      <c r="R996" s="18"/>
      <c r="S996" s="19"/>
      <c r="T996" s="10"/>
      <c r="U996" s="10"/>
      <c r="V996" s="10"/>
      <c r="W996" s="10"/>
      <c r="X996" s="19"/>
    </row>
    <row r="997" customHeight="1" spans="5:24">
      <c r="E997" s="30"/>
      <c r="F997" s="10"/>
      <c r="G997" s="10"/>
      <c r="H997" s="10"/>
      <c r="I997" s="13"/>
      <c r="J997" s="13"/>
      <c r="K997" s="13"/>
      <c r="L997" s="13"/>
      <c r="N997" s="10"/>
      <c r="O997" s="10"/>
      <c r="P997" s="10"/>
      <c r="Q997" s="30"/>
      <c r="R997" s="18"/>
      <c r="S997" s="19"/>
      <c r="T997" s="10"/>
      <c r="U997" s="10"/>
      <c r="V997" s="10"/>
      <c r="W997" s="10"/>
      <c r="X997" s="19"/>
    </row>
    <row r="998" customHeight="1" spans="5:24">
      <c r="E998" s="30"/>
      <c r="F998" s="10"/>
      <c r="G998" s="10"/>
      <c r="H998" s="10"/>
      <c r="I998" s="13"/>
      <c r="J998" s="13"/>
      <c r="K998" s="13"/>
      <c r="L998" s="13"/>
      <c r="N998" s="10"/>
      <c r="O998" s="10"/>
      <c r="P998" s="10"/>
      <c r="Q998" s="30"/>
      <c r="R998" s="18"/>
      <c r="S998" s="19"/>
      <c r="T998" s="10"/>
      <c r="U998" s="10"/>
      <c r="V998" s="10"/>
      <c r="W998" s="10"/>
      <c r="X998" s="19"/>
    </row>
    <row r="999" customHeight="1" spans="5:24">
      <c r="E999" s="30"/>
      <c r="F999" s="10"/>
      <c r="G999" s="10"/>
      <c r="H999" s="10"/>
      <c r="I999" s="13"/>
      <c r="J999" s="13"/>
      <c r="K999" s="13"/>
      <c r="L999" s="13"/>
      <c r="N999" s="10"/>
      <c r="O999" s="10"/>
      <c r="P999" s="10"/>
      <c r="Q999" s="30"/>
      <c r="R999" s="18"/>
      <c r="S999" s="19"/>
      <c r="T999" s="10"/>
      <c r="U999" s="10"/>
      <c r="V999" s="10"/>
      <c r="W999" s="10"/>
      <c r="X999" s="19"/>
    </row>
    <row r="1000" customHeight="1" spans="5:24">
      <c r="E1000" s="30"/>
      <c r="F1000" s="10"/>
      <c r="G1000" s="10"/>
      <c r="H1000" s="10"/>
      <c r="I1000" s="13"/>
      <c r="J1000" s="13"/>
      <c r="K1000" s="13"/>
      <c r="L1000" s="13"/>
      <c r="N1000" s="10"/>
      <c r="O1000" s="10"/>
      <c r="P1000" s="10"/>
      <c r="Q1000" s="30"/>
      <c r="R1000" s="18"/>
      <c r="S1000" s="19"/>
      <c r="T1000" s="10"/>
      <c r="U1000" s="10"/>
      <c r="V1000" s="10"/>
      <c r="W1000" s="10"/>
      <c r="X1000" s="19"/>
    </row>
    <row r="1001" customHeight="1" spans="5:24">
      <c r="E1001" s="30"/>
      <c r="F1001" s="10"/>
      <c r="G1001" s="10"/>
      <c r="H1001" s="10"/>
      <c r="I1001" s="13"/>
      <c r="J1001" s="13"/>
      <c r="K1001" s="13"/>
      <c r="L1001" s="13"/>
      <c r="N1001" s="10"/>
      <c r="O1001" s="10"/>
      <c r="P1001" s="10"/>
      <c r="Q1001" s="30"/>
      <c r="R1001" s="18"/>
      <c r="S1001" s="19"/>
      <c r="T1001" s="10"/>
      <c r="U1001" s="10"/>
      <c r="V1001" s="10"/>
      <c r="W1001" s="10"/>
      <c r="X1001" s="19"/>
    </row>
    <row r="1002" customHeight="1" spans="5:24">
      <c r="E1002" s="30"/>
      <c r="F1002" s="10"/>
      <c r="G1002" s="10"/>
      <c r="H1002" s="10"/>
      <c r="I1002" s="13"/>
      <c r="J1002" s="13"/>
      <c r="K1002" s="13"/>
      <c r="L1002" s="13"/>
      <c r="N1002" s="10"/>
      <c r="O1002" s="10"/>
      <c r="P1002" s="10"/>
      <c r="Q1002" s="30"/>
      <c r="R1002" s="18"/>
      <c r="S1002" s="19"/>
      <c r="T1002" s="10"/>
      <c r="U1002" s="10"/>
      <c r="V1002" s="10"/>
      <c r="W1002" s="10"/>
      <c r="X1002" s="19"/>
    </row>
    <row r="1003" customHeight="1" spans="5:24">
      <c r="E1003" s="30"/>
      <c r="F1003" s="10"/>
      <c r="G1003" s="10"/>
      <c r="H1003" s="10"/>
      <c r="I1003" s="13"/>
      <c r="J1003" s="13"/>
      <c r="K1003" s="13"/>
      <c r="L1003" s="13"/>
      <c r="N1003" s="10"/>
      <c r="O1003" s="10"/>
      <c r="P1003" s="10"/>
      <c r="Q1003" s="30"/>
      <c r="R1003" s="18"/>
      <c r="S1003" s="19"/>
      <c r="T1003" s="10"/>
      <c r="U1003" s="10"/>
      <c r="V1003" s="10"/>
      <c r="W1003" s="10"/>
      <c r="X1003" s="19"/>
    </row>
    <row r="1004" customHeight="1" spans="5:24">
      <c r="E1004" s="30"/>
      <c r="F1004" s="10"/>
      <c r="G1004" s="10"/>
      <c r="H1004" s="10"/>
      <c r="I1004" s="13"/>
      <c r="J1004" s="13"/>
      <c r="K1004" s="13"/>
      <c r="L1004" s="13"/>
      <c r="N1004" s="10"/>
      <c r="O1004" s="10"/>
      <c r="P1004" s="10"/>
      <c r="Q1004" s="30"/>
      <c r="R1004" s="18"/>
      <c r="S1004" s="19"/>
      <c r="T1004" s="10"/>
      <c r="U1004" s="10"/>
      <c r="V1004" s="10"/>
      <c r="W1004" s="10"/>
      <c r="X1004" s="19"/>
    </row>
    <row r="1005" customHeight="1" spans="5:24">
      <c r="E1005" s="30"/>
      <c r="F1005" s="10"/>
      <c r="G1005" s="10"/>
      <c r="H1005" s="10"/>
      <c r="I1005" s="13"/>
      <c r="J1005" s="13"/>
      <c r="K1005" s="13"/>
      <c r="L1005" s="13"/>
      <c r="N1005" s="10"/>
      <c r="O1005" s="10"/>
      <c r="P1005" s="10"/>
      <c r="Q1005" s="30"/>
      <c r="R1005" s="18"/>
      <c r="S1005" s="19"/>
      <c r="T1005" s="10"/>
      <c r="U1005" s="10"/>
      <c r="V1005" s="10"/>
      <c r="W1005" s="10"/>
      <c r="X1005" s="19"/>
    </row>
    <row r="1006" customHeight="1" spans="5:24">
      <c r="E1006" s="30"/>
      <c r="F1006" s="10"/>
      <c r="G1006" s="10"/>
      <c r="H1006" s="10"/>
      <c r="I1006" s="13"/>
      <c r="J1006" s="13"/>
      <c r="K1006" s="13"/>
      <c r="L1006" s="13"/>
      <c r="N1006" s="10"/>
      <c r="O1006" s="10"/>
      <c r="P1006" s="10"/>
      <c r="Q1006" s="30"/>
      <c r="R1006" s="18"/>
      <c r="S1006" s="19"/>
      <c r="T1006" s="10"/>
      <c r="U1006" s="10"/>
      <c r="V1006" s="10"/>
      <c r="W1006" s="10"/>
      <c r="X1006" s="19"/>
    </row>
    <row r="1007" customHeight="1" spans="5:24">
      <c r="E1007" s="30"/>
      <c r="F1007" s="10"/>
      <c r="G1007" s="10"/>
      <c r="H1007" s="10"/>
      <c r="I1007" s="13"/>
      <c r="J1007" s="13"/>
      <c r="K1007" s="13"/>
      <c r="L1007" s="13"/>
      <c r="N1007" s="10"/>
      <c r="O1007" s="10"/>
      <c r="P1007" s="10"/>
      <c r="Q1007" s="30"/>
      <c r="R1007" s="18"/>
      <c r="S1007" s="19"/>
      <c r="T1007" s="10"/>
      <c r="U1007" s="10"/>
      <c r="V1007" s="10"/>
      <c r="W1007" s="10"/>
      <c r="X1007" s="19"/>
    </row>
    <row r="1008" customHeight="1" spans="5:24">
      <c r="E1008" s="30"/>
      <c r="F1008" s="10"/>
      <c r="G1008" s="10"/>
      <c r="H1008" s="10"/>
      <c r="I1008" s="13"/>
      <c r="J1008" s="13"/>
      <c r="K1008" s="13"/>
      <c r="L1008" s="13"/>
      <c r="N1008" s="10"/>
      <c r="O1008" s="10"/>
      <c r="P1008" s="10"/>
      <c r="Q1008" s="30"/>
      <c r="R1008" s="18"/>
      <c r="S1008" s="19"/>
      <c r="T1008" s="10"/>
      <c r="U1008" s="10"/>
      <c r="V1008" s="10"/>
      <c r="W1008" s="10"/>
      <c r="X1008" s="19"/>
    </row>
    <row r="1009" customHeight="1" spans="5:24">
      <c r="E1009" s="30"/>
      <c r="F1009" s="10"/>
      <c r="G1009" s="10"/>
      <c r="H1009" s="10"/>
      <c r="I1009" s="13"/>
      <c r="J1009" s="13"/>
      <c r="K1009" s="13"/>
      <c r="L1009" s="13"/>
      <c r="N1009" s="10"/>
      <c r="O1009" s="10"/>
      <c r="P1009" s="10"/>
      <c r="Q1009" s="30"/>
      <c r="R1009" s="18"/>
      <c r="S1009" s="19"/>
      <c r="T1009" s="10"/>
      <c r="U1009" s="10"/>
      <c r="V1009" s="10"/>
      <c r="W1009" s="10"/>
      <c r="X1009" s="19"/>
    </row>
    <row r="1010" customHeight="1" spans="5:24">
      <c r="E1010" s="30"/>
      <c r="F1010" s="10"/>
      <c r="G1010" s="10"/>
      <c r="H1010" s="10"/>
      <c r="I1010" s="13"/>
      <c r="J1010" s="13"/>
      <c r="K1010" s="13"/>
      <c r="L1010" s="13"/>
      <c r="N1010" s="10"/>
      <c r="O1010" s="10"/>
      <c r="P1010" s="10"/>
      <c r="Q1010" s="30"/>
      <c r="R1010" s="18"/>
      <c r="S1010" s="19"/>
      <c r="T1010" s="10"/>
      <c r="U1010" s="10"/>
      <c r="V1010" s="10"/>
      <c r="W1010" s="10"/>
      <c r="X1010" s="19"/>
    </row>
    <row r="1011" customHeight="1" spans="5:24">
      <c r="E1011" s="30"/>
      <c r="F1011" s="10"/>
      <c r="G1011" s="10"/>
      <c r="H1011" s="10"/>
      <c r="I1011" s="13"/>
      <c r="J1011" s="13"/>
      <c r="K1011" s="13"/>
      <c r="L1011" s="13"/>
      <c r="N1011" s="10"/>
      <c r="O1011" s="10"/>
      <c r="P1011" s="10"/>
      <c r="Q1011" s="30"/>
      <c r="R1011" s="18"/>
      <c r="S1011" s="19"/>
      <c r="T1011" s="10"/>
      <c r="U1011" s="10"/>
      <c r="V1011" s="10"/>
      <c r="W1011" s="10"/>
      <c r="X1011" s="19"/>
    </row>
    <row r="1012" customHeight="1" spans="5:24">
      <c r="E1012" s="30"/>
      <c r="F1012" s="10"/>
      <c r="G1012" s="10"/>
      <c r="H1012" s="10"/>
      <c r="I1012" s="13"/>
      <c r="J1012" s="13"/>
      <c r="K1012" s="13"/>
      <c r="L1012" s="13"/>
      <c r="N1012" s="10"/>
      <c r="O1012" s="10"/>
      <c r="P1012" s="10"/>
      <c r="Q1012" s="30"/>
      <c r="R1012" s="18"/>
      <c r="S1012" s="19"/>
      <c r="T1012" s="10"/>
      <c r="U1012" s="10"/>
      <c r="V1012" s="10"/>
      <c r="W1012" s="10"/>
      <c r="X1012" s="19"/>
    </row>
    <row r="1013" customHeight="1" spans="5:24">
      <c r="E1013" s="30"/>
      <c r="F1013" s="10"/>
      <c r="G1013" s="10"/>
      <c r="H1013" s="10"/>
      <c r="I1013" s="13"/>
      <c r="J1013" s="13"/>
      <c r="K1013" s="13"/>
      <c r="L1013" s="13"/>
      <c r="N1013" s="10"/>
      <c r="O1013" s="10"/>
      <c r="P1013" s="10"/>
      <c r="Q1013" s="30"/>
      <c r="R1013" s="18"/>
      <c r="S1013" s="19"/>
      <c r="T1013" s="10"/>
      <c r="U1013" s="10"/>
      <c r="V1013" s="10"/>
      <c r="W1013" s="10"/>
      <c r="X1013" s="19"/>
    </row>
    <row r="1014" customHeight="1" spans="5:24">
      <c r="E1014" s="30"/>
      <c r="F1014" s="10"/>
      <c r="G1014" s="10"/>
      <c r="H1014" s="10"/>
      <c r="I1014" s="13"/>
      <c r="J1014" s="13"/>
      <c r="K1014" s="13"/>
      <c r="L1014" s="13"/>
      <c r="N1014" s="10"/>
      <c r="O1014" s="10"/>
      <c r="P1014" s="10"/>
      <c r="Q1014" s="30"/>
      <c r="R1014" s="18"/>
      <c r="S1014" s="19"/>
      <c r="T1014" s="10"/>
      <c r="U1014" s="10"/>
      <c r="V1014" s="10"/>
      <c r="W1014" s="10"/>
      <c r="X1014" s="19"/>
    </row>
    <row r="1015" customHeight="1" spans="5:24">
      <c r="E1015" s="30"/>
      <c r="F1015" s="10"/>
      <c r="G1015" s="10"/>
      <c r="H1015" s="10"/>
      <c r="I1015" s="13"/>
      <c r="J1015" s="13"/>
      <c r="K1015" s="13"/>
      <c r="L1015" s="13"/>
      <c r="N1015" s="10"/>
      <c r="O1015" s="10"/>
      <c r="P1015" s="10"/>
      <c r="Q1015" s="30"/>
      <c r="R1015" s="18"/>
      <c r="S1015" s="19"/>
      <c r="T1015" s="10"/>
      <c r="U1015" s="10"/>
      <c r="V1015" s="10"/>
      <c r="W1015" s="10"/>
      <c r="X1015" s="19"/>
    </row>
    <row r="1016" customHeight="1" spans="5:24">
      <c r="E1016" s="30"/>
      <c r="F1016" s="10"/>
      <c r="G1016" s="10"/>
      <c r="H1016" s="10"/>
      <c r="I1016" s="13"/>
      <c r="J1016" s="13"/>
      <c r="K1016" s="13"/>
      <c r="L1016" s="13"/>
      <c r="N1016" s="10"/>
      <c r="O1016" s="10"/>
      <c r="P1016" s="10"/>
      <c r="Q1016" s="30"/>
      <c r="R1016" s="18"/>
      <c r="S1016" s="19"/>
      <c r="T1016" s="10"/>
      <c r="U1016" s="10"/>
      <c r="V1016" s="10"/>
      <c r="W1016" s="10"/>
      <c r="X1016" s="19"/>
    </row>
    <row r="1017" customHeight="1" spans="5:24">
      <c r="E1017" s="30"/>
      <c r="F1017" s="10"/>
      <c r="G1017" s="10"/>
      <c r="H1017" s="10"/>
      <c r="I1017" s="13"/>
      <c r="J1017" s="13"/>
      <c r="K1017" s="13"/>
      <c r="L1017" s="13"/>
      <c r="N1017" s="10"/>
      <c r="O1017" s="10"/>
      <c r="P1017" s="10"/>
      <c r="Q1017" s="30"/>
      <c r="R1017" s="18"/>
      <c r="S1017" s="19"/>
      <c r="T1017" s="10"/>
      <c r="U1017" s="10"/>
      <c r="V1017" s="10"/>
      <c r="W1017" s="10"/>
      <c r="X1017" s="19"/>
    </row>
    <row r="1018" customHeight="1" spans="5:24">
      <c r="E1018" s="30"/>
      <c r="F1018" s="10"/>
      <c r="G1018" s="10"/>
      <c r="H1018" s="10"/>
      <c r="I1018" s="13"/>
      <c r="J1018" s="13"/>
      <c r="K1018" s="13"/>
      <c r="L1018" s="13"/>
      <c r="N1018" s="10"/>
      <c r="O1018" s="10"/>
      <c r="P1018" s="10"/>
      <c r="Q1018" s="30"/>
      <c r="R1018" s="18"/>
      <c r="S1018" s="19"/>
      <c r="T1018" s="10"/>
      <c r="U1018" s="10"/>
      <c r="V1018" s="10"/>
      <c r="W1018" s="10"/>
      <c r="X1018" s="19"/>
    </row>
    <row r="1019" customHeight="1" spans="5:24">
      <c r="E1019" s="30"/>
      <c r="F1019" s="10"/>
      <c r="G1019" s="10"/>
      <c r="H1019" s="10"/>
      <c r="I1019" s="13"/>
      <c r="J1019" s="13"/>
      <c r="K1019" s="13"/>
      <c r="L1019" s="13"/>
      <c r="N1019" s="10"/>
      <c r="O1019" s="10"/>
      <c r="P1019" s="10"/>
      <c r="Q1019" s="30"/>
      <c r="R1019" s="18"/>
      <c r="S1019" s="19"/>
      <c r="T1019" s="10"/>
      <c r="U1019" s="10"/>
      <c r="V1019" s="10"/>
      <c r="W1019" s="10"/>
      <c r="X1019" s="19"/>
    </row>
    <row r="1020" customHeight="1" spans="5:24">
      <c r="E1020" s="30"/>
      <c r="F1020" s="10"/>
      <c r="G1020" s="10"/>
      <c r="H1020" s="10"/>
      <c r="I1020" s="13"/>
      <c r="J1020" s="13"/>
      <c r="K1020" s="13"/>
      <c r="L1020" s="13"/>
      <c r="N1020" s="10"/>
      <c r="O1020" s="10"/>
      <c r="P1020" s="10"/>
      <c r="Q1020" s="30"/>
      <c r="R1020" s="18"/>
      <c r="S1020" s="19"/>
      <c r="T1020" s="10"/>
      <c r="U1020" s="10"/>
      <c r="V1020" s="10"/>
      <c r="W1020" s="10"/>
      <c r="X1020" s="19"/>
    </row>
    <row r="1021" customHeight="1" spans="5:24">
      <c r="E1021" s="30"/>
      <c r="F1021" s="10"/>
      <c r="G1021" s="10"/>
      <c r="H1021" s="10"/>
      <c r="I1021" s="13"/>
      <c r="J1021" s="13"/>
      <c r="K1021" s="13"/>
      <c r="L1021" s="13"/>
      <c r="N1021" s="10"/>
      <c r="O1021" s="10"/>
      <c r="P1021" s="10"/>
      <c r="Q1021" s="30"/>
      <c r="R1021" s="18"/>
      <c r="S1021" s="19"/>
      <c r="T1021" s="10"/>
      <c r="U1021" s="10"/>
      <c r="V1021" s="10"/>
      <c r="W1021" s="10"/>
      <c r="X1021" s="19"/>
    </row>
    <row r="1022" customHeight="1" spans="5:24">
      <c r="E1022" s="30"/>
      <c r="F1022" s="10"/>
      <c r="G1022" s="10"/>
      <c r="H1022" s="10"/>
      <c r="I1022" s="13"/>
      <c r="J1022" s="13"/>
      <c r="K1022" s="13"/>
      <c r="L1022" s="13"/>
      <c r="N1022" s="10"/>
      <c r="O1022" s="10"/>
      <c r="P1022" s="10"/>
      <c r="Q1022" s="30"/>
      <c r="R1022" s="18"/>
      <c r="S1022" s="19"/>
      <c r="T1022" s="10"/>
      <c r="U1022" s="10"/>
      <c r="V1022" s="10"/>
      <c r="W1022" s="10"/>
      <c r="X1022" s="19"/>
    </row>
    <row r="1023" customHeight="1" spans="5:24">
      <c r="E1023" s="30"/>
      <c r="F1023" s="10"/>
      <c r="G1023" s="10"/>
      <c r="H1023" s="10"/>
      <c r="I1023" s="13"/>
      <c r="J1023" s="13"/>
      <c r="K1023" s="13"/>
      <c r="L1023" s="13"/>
      <c r="N1023" s="10"/>
      <c r="O1023" s="10"/>
      <c r="P1023" s="10"/>
      <c r="Q1023" s="30"/>
      <c r="R1023" s="18"/>
      <c r="S1023" s="19"/>
      <c r="T1023" s="10"/>
      <c r="U1023" s="10"/>
      <c r="V1023" s="10"/>
      <c r="W1023" s="10"/>
      <c r="X1023" s="19"/>
    </row>
    <row r="1024" customHeight="1" spans="5:24">
      <c r="E1024" s="30"/>
      <c r="F1024" s="10"/>
      <c r="G1024" s="10"/>
      <c r="H1024" s="10"/>
      <c r="I1024" s="13"/>
      <c r="J1024" s="13"/>
      <c r="K1024" s="13"/>
      <c r="L1024" s="13"/>
      <c r="N1024" s="10"/>
      <c r="O1024" s="10"/>
      <c r="P1024" s="10"/>
      <c r="Q1024" s="30"/>
      <c r="R1024" s="18"/>
      <c r="S1024" s="19"/>
      <c r="T1024" s="10"/>
      <c r="U1024" s="10"/>
      <c r="V1024" s="10"/>
      <c r="W1024" s="10"/>
      <c r="X1024" s="19"/>
    </row>
    <row r="1025" customHeight="1" spans="5:24">
      <c r="E1025" s="30"/>
      <c r="F1025" s="10"/>
      <c r="G1025" s="10"/>
      <c r="H1025" s="10"/>
      <c r="I1025" s="13"/>
      <c r="J1025" s="13"/>
      <c r="K1025" s="13"/>
      <c r="L1025" s="13"/>
      <c r="N1025" s="10"/>
      <c r="O1025" s="10"/>
      <c r="P1025" s="10"/>
      <c r="Q1025" s="30"/>
      <c r="R1025" s="18"/>
      <c r="S1025" s="19"/>
      <c r="T1025" s="10"/>
      <c r="U1025" s="10"/>
      <c r="V1025" s="10"/>
      <c r="W1025" s="10"/>
      <c r="X1025" s="19"/>
    </row>
    <row r="1026" customHeight="1" spans="5:24">
      <c r="E1026" s="30"/>
      <c r="F1026" s="10"/>
      <c r="G1026" s="10"/>
      <c r="H1026" s="10"/>
      <c r="I1026" s="13"/>
      <c r="J1026" s="13"/>
      <c r="K1026" s="13"/>
      <c r="L1026" s="13"/>
      <c r="N1026" s="10"/>
      <c r="O1026" s="10"/>
      <c r="P1026" s="10"/>
      <c r="Q1026" s="30"/>
      <c r="R1026" s="18"/>
      <c r="S1026" s="19"/>
      <c r="T1026" s="10"/>
      <c r="U1026" s="10"/>
      <c r="V1026" s="10"/>
      <c r="W1026" s="10"/>
      <c r="X1026" s="19"/>
    </row>
    <row r="1027" customHeight="1" spans="5:24">
      <c r="E1027" s="30"/>
      <c r="F1027" s="10"/>
      <c r="G1027" s="10"/>
      <c r="H1027" s="10"/>
      <c r="I1027" s="13"/>
      <c r="J1027" s="13"/>
      <c r="K1027" s="13"/>
      <c r="L1027" s="13"/>
      <c r="N1027" s="10"/>
      <c r="O1027" s="10"/>
      <c r="P1027" s="10"/>
      <c r="Q1027" s="30"/>
      <c r="R1027" s="18"/>
      <c r="S1027" s="19"/>
      <c r="T1027" s="10"/>
      <c r="U1027" s="10"/>
      <c r="V1027" s="10"/>
      <c r="W1027" s="10"/>
      <c r="X1027" s="19"/>
    </row>
    <row r="1028" customHeight="1" spans="5:24">
      <c r="E1028" s="30"/>
      <c r="F1028" s="10"/>
      <c r="G1028" s="10"/>
      <c r="H1028" s="10"/>
      <c r="I1028" s="13"/>
      <c r="J1028" s="13"/>
      <c r="K1028" s="13"/>
      <c r="L1028" s="13"/>
      <c r="N1028" s="10"/>
      <c r="O1028" s="10"/>
      <c r="P1028" s="10"/>
      <c r="Q1028" s="30"/>
      <c r="R1028" s="18"/>
      <c r="S1028" s="19"/>
      <c r="T1028" s="10"/>
      <c r="U1028" s="10"/>
      <c r="V1028" s="10"/>
      <c r="W1028" s="10"/>
      <c r="X1028" s="19"/>
    </row>
    <row r="1029" customHeight="1" spans="5:24">
      <c r="E1029" s="30"/>
      <c r="F1029" s="10"/>
      <c r="G1029" s="10"/>
      <c r="H1029" s="10"/>
      <c r="I1029" s="13"/>
      <c r="J1029" s="13"/>
      <c r="K1029" s="13"/>
      <c r="L1029" s="13"/>
      <c r="N1029" s="10"/>
      <c r="O1029" s="10"/>
      <c r="P1029" s="10"/>
      <c r="Q1029" s="30"/>
      <c r="R1029" s="18"/>
      <c r="S1029" s="19"/>
      <c r="T1029" s="10"/>
      <c r="U1029" s="10"/>
      <c r="V1029" s="10"/>
      <c r="W1029" s="10"/>
      <c r="X1029" s="19"/>
    </row>
    <row r="1030" customHeight="1" spans="5:24">
      <c r="E1030" s="30"/>
      <c r="F1030" s="10"/>
      <c r="G1030" s="10"/>
      <c r="H1030" s="10"/>
      <c r="I1030" s="13"/>
      <c r="J1030" s="13"/>
      <c r="K1030" s="13"/>
      <c r="L1030" s="13"/>
      <c r="N1030" s="10"/>
      <c r="O1030" s="10"/>
      <c r="P1030" s="10"/>
      <c r="Q1030" s="30"/>
      <c r="R1030" s="18"/>
      <c r="S1030" s="19"/>
      <c r="T1030" s="10"/>
      <c r="U1030" s="10"/>
      <c r="V1030" s="10"/>
      <c r="W1030" s="10"/>
      <c r="X1030" s="19"/>
    </row>
    <row r="1031" customHeight="1" spans="5:24">
      <c r="E1031" s="30"/>
      <c r="F1031" s="10"/>
      <c r="G1031" s="10"/>
      <c r="H1031" s="10"/>
      <c r="I1031" s="13"/>
      <c r="J1031" s="13"/>
      <c r="K1031" s="13"/>
      <c r="L1031" s="13"/>
      <c r="N1031" s="10"/>
      <c r="O1031" s="10"/>
      <c r="P1031" s="10"/>
      <c r="Q1031" s="30"/>
      <c r="R1031" s="18"/>
      <c r="S1031" s="19"/>
      <c r="T1031" s="10"/>
      <c r="U1031" s="10"/>
      <c r="V1031" s="10"/>
      <c r="W1031" s="10"/>
      <c r="X1031" s="19"/>
    </row>
    <row r="1032" customHeight="1" spans="5:24">
      <c r="E1032" s="30"/>
      <c r="F1032" s="10"/>
      <c r="G1032" s="10"/>
      <c r="H1032" s="10"/>
      <c r="I1032" s="13"/>
      <c r="J1032" s="13"/>
      <c r="K1032" s="13"/>
      <c r="L1032" s="13"/>
      <c r="N1032" s="10"/>
      <c r="O1032" s="10"/>
      <c r="P1032" s="10"/>
      <c r="Q1032" s="30"/>
      <c r="R1032" s="18"/>
      <c r="S1032" s="19"/>
      <c r="T1032" s="10"/>
      <c r="U1032" s="10"/>
      <c r="V1032" s="10"/>
      <c r="W1032" s="10"/>
      <c r="X1032" s="19"/>
    </row>
    <row r="1033" customHeight="1" spans="5:24">
      <c r="E1033" s="30"/>
      <c r="F1033" s="10"/>
      <c r="G1033" s="10"/>
      <c r="H1033" s="10"/>
      <c r="I1033" s="13"/>
      <c r="J1033" s="13"/>
      <c r="K1033" s="13"/>
      <c r="L1033" s="13"/>
      <c r="N1033" s="10"/>
      <c r="O1033" s="10"/>
      <c r="P1033" s="10"/>
      <c r="Q1033" s="30"/>
      <c r="R1033" s="18"/>
      <c r="S1033" s="19"/>
      <c r="T1033" s="10"/>
      <c r="U1033" s="10"/>
      <c r="V1033" s="10"/>
      <c r="W1033" s="10"/>
      <c r="X1033" s="19"/>
    </row>
    <row r="1034" customHeight="1" spans="5:24">
      <c r="E1034" s="30"/>
      <c r="F1034" s="10"/>
      <c r="G1034" s="10"/>
      <c r="H1034" s="10"/>
      <c r="I1034" s="13"/>
      <c r="J1034" s="13"/>
      <c r="K1034" s="13"/>
      <c r="L1034" s="13"/>
      <c r="N1034" s="10"/>
      <c r="O1034" s="10"/>
      <c r="P1034" s="10"/>
      <c r="Q1034" s="30"/>
      <c r="R1034" s="18"/>
      <c r="S1034" s="19"/>
      <c r="T1034" s="10"/>
      <c r="U1034" s="10"/>
      <c r="V1034" s="10"/>
      <c r="W1034" s="10"/>
      <c r="X1034" s="19"/>
    </row>
    <row r="1035" customHeight="1" spans="5:24">
      <c r="E1035" s="30"/>
      <c r="F1035" s="10"/>
      <c r="G1035" s="10"/>
      <c r="H1035" s="10"/>
      <c r="I1035" s="13"/>
      <c r="J1035" s="13"/>
      <c r="K1035" s="13"/>
      <c r="L1035" s="13"/>
      <c r="N1035" s="10"/>
      <c r="O1035" s="10"/>
      <c r="P1035" s="10"/>
      <c r="Q1035" s="30"/>
      <c r="R1035" s="18"/>
      <c r="S1035" s="19"/>
      <c r="T1035" s="10"/>
      <c r="U1035" s="10"/>
      <c r="V1035" s="10"/>
      <c r="W1035" s="10"/>
      <c r="X1035" s="19"/>
    </row>
    <row r="1036" customHeight="1" spans="5:24">
      <c r="E1036" s="30"/>
      <c r="F1036" s="10"/>
      <c r="G1036" s="10"/>
      <c r="H1036" s="10"/>
      <c r="I1036" s="13"/>
      <c r="J1036" s="13"/>
      <c r="K1036" s="13"/>
      <c r="L1036" s="13"/>
      <c r="N1036" s="10"/>
      <c r="O1036" s="10"/>
      <c r="P1036" s="10"/>
      <c r="Q1036" s="30"/>
      <c r="R1036" s="18"/>
      <c r="S1036" s="19"/>
      <c r="T1036" s="10"/>
      <c r="U1036" s="10"/>
      <c r="V1036" s="10"/>
      <c r="W1036" s="10"/>
      <c r="X1036" s="19"/>
    </row>
    <row r="1037" customHeight="1" spans="5:24">
      <c r="E1037" s="30"/>
      <c r="F1037" s="10"/>
      <c r="G1037" s="10"/>
      <c r="H1037" s="10"/>
      <c r="I1037" s="13"/>
      <c r="J1037" s="13"/>
      <c r="K1037" s="13"/>
      <c r="L1037" s="13"/>
      <c r="N1037" s="10"/>
      <c r="O1037" s="10"/>
      <c r="P1037" s="10"/>
      <c r="Q1037" s="30"/>
      <c r="R1037" s="18"/>
      <c r="S1037" s="19"/>
      <c r="T1037" s="10"/>
      <c r="U1037" s="10"/>
      <c r="V1037" s="10"/>
      <c r="W1037" s="10"/>
      <c r="X1037" s="19"/>
    </row>
    <row r="1038" customHeight="1" spans="5:24">
      <c r="E1038" s="30"/>
      <c r="F1038" s="10"/>
      <c r="G1038" s="10"/>
      <c r="H1038" s="10"/>
      <c r="I1038" s="13"/>
      <c r="J1038" s="13"/>
      <c r="K1038" s="13"/>
      <c r="L1038" s="13"/>
      <c r="N1038" s="10"/>
      <c r="O1038" s="10"/>
      <c r="P1038" s="10"/>
      <c r="Q1038" s="30"/>
      <c r="R1038" s="18"/>
      <c r="S1038" s="19"/>
      <c r="T1038" s="10"/>
      <c r="U1038" s="10"/>
      <c r="V1038" s="10"/>
      <c r="W1038" s="10"/>
      <c r="X1038" s="19"/>
    </row>
    <row r="1039" customHeight="1" spans="5:24">
      <c r="E1039" s="30"/>
      <c r="F1039" s="10"/>
      <c r="G1039" s="10"/>
      <c r="H1039" s="10"/>
      <c r="I1039" s="13"/>
      <c r="J1039" s="13"/>
      <c r="K1039" s="13"/>
      <c r="L1039" s="13"/>
      <c r="N1039" s="10"/>
      <c r="O1039" s="10"/>
      <c r="P1039" s="10"/>
      <c r="Q1039" s="30"/>
      <c r="R1039" s="18"/>
      <c r="S1039" s="19"/>
      <c r="T1039" s="10"/>
      <c r="U1039" s="10"/>
      <c r="V1039" s="10"/>
      <c r="W1039" s="10"/>
      <c r="X1039" s="19"/>
    </row>
    <row r="1040" customHeight="1" spans="5:24">
      <c r="E1040" s="30"/>
      <c r="F1040" s="10"/>
      <c r="G1040" s="10"/>
      <c r="H1040" s="10"/>
      <c r="I1040" s="13"/>
      <c r="J1040" s="13"/>
      <c r="K1040" s="13"/>
      <c r="L1040" s="13"/>
      <c r="N1040" s="10"/>
      <c r="O1040" s="10"/>
      <c r="P1040" s="10"/>
      <c r="Q1040" s="30"/>
      <c r="R1040" s="18"/>
      <c r="S1040" s="19"/>
      <c r="T1040" s="10"/>
      <c r="U1040" s="10"/>
      <c r="V1040" s="10"/>
      <c r="W1040" s="10"/>
      <c r="X1040" s="19"/>
    </row>
    <row r="1041" customHeight="1" spans="5:24">
      <c r="E1041" s="30"/>
      <c r="F1041" s="10"/>
      <c r="G1041" s="10"/>
      <c r="H1041" s="10"/>
      <c r="I1041" s="13"/>
      <c r="J1041" s="13"/>
      <c r="K1041" s="13"/>
      <c r="L1041" s="13"/>
      <c r="N1041" s="10"/>
      <c r="O1041" s="10"/>
      <c r="P1041" s="10"/>
      <c r="Q1041" s="30"/>
      <c r="R1041" s="18"/>
      <c r="S1041" s="19"/>
      <c r="T1041" s="10"/>
      <c r="U1041" s="10"/>
      <c r="V1041" s="10"/>
      <c r="W1041" s="10"/>
      <c r="X1041" s="19"/>
    </row>
    <row r="1042" customHeight="1" spans="5:24">
      <c r="E1042" s="30"/>
      <c r="F1042" s="10"/>
      <c r="G1042" s="10"/>
      <c r="H1042" s="10"/>
      <c r="I1042" s="13"/>
      <c r="J1042" s="13"/>
      <c r="K1042" s="13"/>
      <c r="L1042" s="13"/>
      <c r="N1042" s="10"/>
      <c r="O1042" s="10"/>
      <c r="P1042" s="10"/>
      <c r="Q1042" s="30"/>
      <c r="R1042" s="18"/>
      <c r="S1042" s="19"/>
      <c r="T1042" s="10"/>
      <c r="U1042" s="10"/>
      <c r="V1042" s="10"/>
      <c r="W1042" s="10"/>
      <c r="X1042" s="19"/>
    </row>
    <row r="1043" customHeight="1" spans="5:24">
      <c r="E1043" s="30"/>
      <c r="F1043" s="10"/>
      <c r="G1043" s="10"/>
      <c r="H1043" s="10"/>
      <c r="I1043" s="13"/>
      <c r="J1043" s="13"/>
      <c r="K1043" s="13"/>
      <c r="L1043" s="13"/>
      <c r="N1043" s="10"/>
      <c r="O1043" s="10"/>
      <c r="P1043" s="10"/>
      <c r="Q1043" s="30"/>
      <c r="R1043" s="18"/>
      <c r="S1043" s="19"/>
      <c r="T1043" s="10"/>
      <c r="U1043" s="10"/>
      <c r="V1043" s="10"/>
      <c r="W1043" s="10"/>
      <c r="X1043" s="19"/>
    </row>
    <row r="1044" customHeight="1" spans="5:24">
      <c r="E1044" s="30"/>
      <c r="F1044" s="10"/>
      <c r="G1044" s="10"/>
      <c r="H1044" s="10"/>
      <c r="I1044" s="13"/>
      <c r="J1044" s="13"/>
      <c r="K1044" s="13"/>
      <c r="L1044" s="13"/>
      <c r="N1044" s="10"/>
      <c r="O1044" s="10"/>
      <c r="P1044" s="10"/>
      <c r="Q1044" s="30"/>
      <c r="R1044" s="18"/>
      <c r="S1044" s="19"/>
      <c r="T1044" s="10"/>
      <c r="U1044" s="10"/>
      <c r="V1044" s="10"/>
      <c r="W1044" s="10"/>
      <c r="X1044" s="19"/>
    </row>
    <row r="1045" customHeight="1" spans="5:24">
      <c r="E1045" s="30"/>
      <c r="F1045" s="10"/>
      <c r="G1045" s="10"/>
      <c r="H1045" s="10"/>
      <c r="I1045" s="13"/>
      <c r="J1045" s="13"/>
      <c r="K1045" s="13"/>
      <c r="L1045" s="13"/>
      <c r="N1045" s="10"/>
      <c r="O1045" s="10"/>
      <c r="P1045" s="10"/>
      <c r="Q1045" s="30"/>
      <c r="R1045" s="18"/>
      <c r="S1045" s="19"/>
      <c r="T1045" s="10"/>
      <c r="U1045" s="10"/>
      <c r="V1045" s="10"/>
      <c r="W1045" s="10"/>
      <c r="X1045" s="19"/>
    </row>
    <row r="1046" customHeight="1" spans="5:24">
      <c r="E1046" s="30"/>
      <c r="F1046" s="10"/>
      <c r="G1046" s="10"/>
      <c r="H1046" s="10"/>
      <c r="I1046" s="13"/>
      <c r="J1046" s="13"/>
      <c r="K1046" s="13"/>
      <c r="L1046" s="13"/>
      <c r="N1046" s="10"/>
      <c r="O1046" s="10"/>
      <c r="P1046" s="10"/>
      <c r="Q1046" s="30"/>
      <c r="R1046" s="18"/>
      <c r="S1046" s="19"/>
      <c r="T1046" s="10"/>
      <c r="U1046" s="10"/>
      <c r="V1046" s="10"/>
      <c r="W1046" s="10"/>
      <c r="X1046" s="19"/>
    </row>
    <row r="1047" customHeight="1" spans="5:24">
      <c r="E1047" s="30"/>
      <c r="F1047" s="10"/>
      <c r="G1047" s="10"/>
      <c r="H1047" s="10"/>
      <c r="I1047" s="13"/>
      <c r="J1047" s="13"/>
      <c r="K1047" s="13"/>
      <c r="L1047" s="13"/>
      <c r="N1047" s="10"/>
      <c r="O1047" s="10"/>
      <c r="P1047" s="10"/>
      <c r="Q1047" s="30"/>
      <c r="R1047" s="18"/>
      <c r="S1047" s="19"/>
      <c r="T1047" s="10"/>
      <c r="U1047" s="10"/>
      <c r="V1047" s="10"/>
      <c r="W1047" s="10"/>
      <c r="X1047" s="19"/>
    </row>
    <row r="1048" customHeight="1" spans="5:24">
      <c r="E1048" s="30"/>
      <c r="F1048" s="10"/>
      <c r="G1048" s="10"/>
      <c r="H1048" s="10"/>
      <c r="I1048" s="13"/>
      <c r="J1048" s="13"/>
      <c r="K1048" s="13"/>
      <c r="L1048" s="13"/>
      <c r="N1048" s="10"/>
      <c r="O1048" s="10"/>
      <c r="P1048" s="10"/>
      <c r="Q1048" s="30"/>
      <c r="R1048" s="18"/>
      <c r="S1048" s="19"/>
      <c r="T1048" s="10"/>
      <c r="U1048" s="10"/>
      <c r="V1048" s="10"/>
      <c r="W1048" s="10"/>
      <c r="X1048" s="19"/>
    </row>
    <row r="1049" customHeight="1" spans="5:24">
      <c r="E1049" s="30"/>
      <c r="F1049" s="10"/>
      <c r="G1049" s="10"/>
      <c r="H1049" s="10"/>
      <c r="I1049" s="13"/>
      <c r="J1049" s="13"/>
      <c r="K1049" s="13"/>
      <c r="L1049" s="13"/>
      <c r="N1049" s="10"/>
      <c r="O1049" s="10"/>
      <c r="P1049" s="10"/>
      <c r="Q1049" s="30"/>
      <c r="R1049" s="18"/>
      <c r="S1049" s="19"/>
      <c r="T1049" s="10"/>
      <c r="U1049" s="10"/>
      <c r="V1049" s="10"/>
      <c r="W1049" s="10"/>
      <c r="X1049" s="19"/>
    </row>
    <row r="1050" customHeight="1" spans="5:24">
      <c r="E1050" s="30"/>
      <c r="F1050" s="10"/>
      <c r="G1050" s="10"/>
      <c r="H1050" s="10"/>
      <c r="I1050" s="13"/>
      <c r="J1050" s="13"/>
      <c r="K1050" s="13"/>
      <c r="L1050" s="13"/>
      <c r="N1050" s="10"/>
      <c r="O1050" s="10"/>
      <c r="P1050" s="10"/>
      <c r="Q1050" s="30"/>
      <c r="R1050" s="18"/>
      <c r="S1050" s="19"/>
      <c r="T1050" s="10"/>
      <c r="U1050" s="10"/>
      <c r="V1050" s="10"/>
      <c r="W1050" s="10"/>
      <c r="X1050" s="19"/>
    </row>
    <row r="1051" customHeight="1" spans="5:24">
      <c r="E1051" s="30"/>
      <c r="F1051" s="10"/>
      <c r="G1051" s="10"/>
      <c r="H1051" s="10"/>
      <c r="I1051" s="13"/>
      <c r="J1051" s="13"/>
      <c r="K1051" s="13"/>
      <c r="L1051" s="13"/>
      <c r="N1051" s="10"/>
      <c r="O1051" s="10"/>
      <c r="P1051" s="10"/>
      <c r="Q1051" s="30"/>
      <c r="R1051" s="18"/>
      <c r="S1051" s="19"/>
      <c r="T1051" s="10"/>
      <c r="U1051" s="10"/>
      <c r="V1051" s="10"/>
      <c r="W1051" s="10"/>
      <c r="X1051" s="19"/>
    </row>
    <row r="1052" customHeight="1" spans="5:24">
      <c r="E1052" s="30"/>
      <c r="F1052" s="10"/>
      <c r="G1052" s="10"/>
      <c r="H1052" s="10"/>
      <c r="I1052" s="13"/>
      <c r="J1052" s="13"/>
      <c r="K1052" s="13"/>
      <c r="L1052" s="13"/>
      <c r="N1052" s="10"/>
      <c r="O1052" s="10"/>
      <c r="P1052" s="10"/>
      <c r="Q1052" s="30"/>
      <c r="R1052" s="18"/>
      <c r="S1052" s="19"/>
      <c r="T1052" s="10"/>
      <c r="U1052" s="10"/>
      <c r="V1052" s="10"/>
      <c r="W1052" s="10"/>
      <c r="X1052" s="19"/>
    </row>
    <row r="1053" customHeight="1" spans="5:24">
      <c r="E1053" s="30"/>
      <c r="F1053" s="10"/>
      <c r="G1053" s="10"/>
      <c r="H1053" s="10"/>
      <c r="I1053" s="13"/>
      <c r="J1053" s="13"/>
      <c r="K1053" s="13"/>
      <c r="L1053" s="13"/>
      <c r="N1053" s="10"/>
      <c r="O1053" s="10"/>
      <c r="P1053" s="10"/>
      <c r="Q1053" s="30"/>
      <c r="R1053" s="18"/>
      <c r="S1053" s="19"/>
      <c r="T1053" s="10"/>
      <c r="U1053" s="10"/>
      <c r="V1053" s="10"/>
      <c r="W1053" s="10"/>
      <c r="X1053" s="19"/>
    </row>
    <row r="1054" customHeight="1" spans="5:24">
      <c r="E1054" s="30"/>
      <c r="F1054" s="10"/>
      <c r="G1054" s="10"/>
      <c r="H1054" s="10"/>
      <c r="I1054" s="13"/>
      <c r="J1054" s="13"/>
      <c r="K1054" s="13"/>
      <c r="L1054" s="13"/>
      <c r="N1054" s="10"/>
      <c r="O1054" s="10"/>
      <c r="P1054" s="10"/>
      <c r="Q1054" s="30"/>
      <c r="R1054" s="18"/>
      <c r="S1054" s="19"/>
      <c r="T1054" s="10"/>
      <c r="U1054" s="10"/>
      <c r="V1054" s="10"/>
      <c r="W1054" s="10"/>
      <c r="X1054" s="19"/>
    </row>
    <row r="1055" customHeight="1" spans="5:24">
      <c r="E1055" s="30"/>
      <c r="F1055" s="10"/>
      <c r="G1055" s="10"/>
      <c r="H1055" s="10"/>
      <c r="I1055" s="13"/>
      <c r="J1055" s="13"/>
      <c r="K1055" s="13"/>
      <c r="L1055" s="13"/>
      <c r="N1055" s="10"/>
      <c r="O1055" s="10"/>
      <c r="P1055" s="10"/>
      <c r="Q1055" s="30"/>
      <c r="R1055" s="18"/>
      <c r="S1055" s="19"/>
      <c r="T1055" s="10"/>
      <c r="U1055" s="10"/>
      <c r="V1055" s="10"/>
      <c r="W1055" s="10"/>
      <c r="X1055" s="19"/>
    </row>
    <row r="1056" customHeight="1" spans="5:24">
      <c r="E1056" s="30"/>
      <c r="F1056" s="10"/>
      <c r="G1056" s="10"/>
      <c r="H1056" s="10"/>
      <c r="I1056" s="13"/>
      <c r="J1056" s="13"/>
      <c r="K1056" s="13"/>
      <c r="L1056" s="13"/>
      <c r="N1056" s="10"/>
      <c r="O1056" s="10"/>
      <c r="P1056" s="10"/>
      <c r="Q1056" s="30"/>
      <c r="R1056" s="18"/>
      <c r="S1056" s="19"/>
      <c r="T1056" s="10"/>
      <c r="U1056" s="10"/>
      <c r="V1056" s="10"/>
      <c r="W1056" s="10"/>
      <c r="X1056" s="19"/>
    </row>
    <row r="1057" customHeight="1" spans="5:24">
      <c r="E1057" s="30"/>
      <c r="F1057" s="10"/>
      <c r="G1057" s="10"/>
      <c r="H1057" s="10"/>
      <c r="I1057" s="13"/>
      <c r="J1057" s="13"/>
      <c r="K1057" s="13"/>
      <c r="L1057" s="13"/>
      <c r="N1057" s="10"/>
      <c r="O1057" s="10"/>
      <c r="P1057" s="10"/>
      <c r="Q1057" s="30"/>
      <c r="R1057" s="18"/>
      <c r="S1057" s="19"/>
      <c r="T1057" s="10"/>
      <c r="U1057" s="10"/>
      <c r="V1057" s="10"/>
      <c r="W1057" s="10"/>
      <c r="X1057" s="19"/>
    </row>
    <row r="1058" customHeight="1" spans="5:24">
      <c r="E1058" s="30"/>
      <c r="F1058" s="10"/>
      <c r="G1058" s="10"/>
      <c r="H1058" s="10"/>
      <c r="I1058" s="13"/>
      <c r="J1058" s="13"/>
      <c r="K1058" s="13"/>
      <c r="L1058" s="13"/>
      <c r="N1058" s="10"/>
      <c r="O1058" s="10"/>
      <c r="P1058" s="10"/>
      <c r="Q1058" s="30"/>
      <c r="R1058" s="18"/>
      <c r="S1058" s="19"/>
      <c r="T1058" s="10"/>
      <c r="U1058" s="10"/>
      <c r="V1058" s="10"/>
      <c r="W1058" s="10"/>
      <c r="X1058" s="19"/>
    </row>
    <row r="1059" customHeight="1" spans="5:24">
      <c r="E1059" s="30"/>
      <c r="F1059" s="10"/>
      <c r="G1059" s="10"/>
      <c r="H1059" s="10"/>
      <c r="I1059" s="13"/>
      <c r="J1059" s="13"/>
      <c r="K1059" s="13"/>
      <c r="L1059" s="13"/>
      <c r="N1059" s="10"/>
      <c r="O1059" s="10"/>
      <c r="P1059" s="10"/>
      <c r="Q1059" s="30"/>
      <c r="R1059" s="18"/>
      <c r="S1059" s="19"/>
      <c r="T1059" s="10"/>
      <c r="U1059" s="10"/>
      <c r="V1059" s="10"/>
      <c r="W1059" s="10"/>
      <c r="X1059" s="19"/>
    </row>
    <row r="1060" customHeight="1" spans="5:24">
      <c r="E1060" s="30"/>
      <c r="F1060" s="10"/>
      <c r="G1060" s="10"/>
      <c r="H1060" s="10"/>
      <c r="I1060" s="13"/>
      <c r="J1060" s="13"/>
      <c r="K1060" s="13"/>
      <c r="L1060" s="13"/>
      <c r="N1060" s="10"/>
      <c r="O1060" s="10"/>
      <c r="P1060" s="10"/>
      <c r="Q1060" s="30"/>
      <c r="R1060" s="18"/>
      <c r="S1060" s="19"/>
      <c r="T1060" s="10"/>
      <c r="U1060" s="10"/>
      <c r="V1060" s="10"/>
      <c r="W1060" s="10"/>
      <c r="X1060" s="19"/>
    </row>
    <row r="1061" customHeight="1" spans="5:24">
      <c r="E1061" s="30"/>
      <c r="F1061" s="10"/>
      <c r="G1061" s="10"/>
      <c r="H1061" s="10"/>
      <c r="I1061" s="13"/>
      <c r="J1061" s="13"/>
      <c r="K1061" s="13"/>
      <c r="L1061" s="13"/>
      <c r="N1061" s="10"/>
      <c r="O1061" s="10"/>
      <c r="P1061" s="10"/>
      <c r="Q1061" s="30"/>
      <c r="R1061" s="18"/>
      <c r="S1061" s="19"/>
      <c r="T1061" s="10"/>
      <c r="U1061" s="10"/>
      <c r="V1061" s="10"/>
      <c r="W1061" s="10"/>
      <c r="X1061" s="19"/>
    </row>
    <row r="1062" customHeight="1" spans="5:24">
      <c r="E1062" s="30"/>
      <c r="F1062" s="10"/>
      <c r="G1062" s="10"/>
      <c r="H1062" s="10"/>
      <c r="I1062" s="13"/>
      <c r="J1062" s="13"/>
      <c r="K1062" s="13"/>
      <c r="L1062" s="13"/>
      <c r="N1062" s="10"/>
      <c r="O1062" s="10"/>
      <c r="P1062" s="10"/>
      <c r="Q1062" s="30"/>
      <c r="R1062" s="18"/>
      <c r="S1062" s="19"/>
      <c r="T1062" s="10"/>
      <c r="U1062" s="10"/>
      <c r="V1062" s="10"/>
      <c r="W1062" s="10"/>
      <c r="X1062" s="19"/>
    </row>
    <row r="1063" customHeight="1" spans="5:24">
      <c r="E1063" s="30"/>
      <c r="F1063" s="10"/>
      <c r="G1063" s="10"/>
      <c r="H1063" s="10"/>
      <c r="I1063" s="13"/>
      <c r="J1063" s="13"/>
      <c r="K1063" s="13"/>
      <c r="L1063" s="13"/>
      <c r="N1063" s="10"/>
      <c r="O1063" s="10"/>
      <c r="P1063" s="10"/>
      <c r="Q1063" s="30"/>
      <c r="R1063" s="18"/>
      <c r="S1063" s="19"/>
      <c r="T1063" s="10"/>
      <c r="U1063" s="10"/>
      <c r="V1063" s="10"/>
      <c r="W1063" s="10"/>
      <c r="X1063" s="19"/>
    </row>
    <row r="1064" customHeight="1" spans="5:24">
      <c r="E1064" s="30"/>
      <c r="F1064" s="10"/>
      <c r="G1064" s="10"/>
      <c r="H1064" s="10"/>
      <c r="I1064" s="13"/>
      <c r="J1064" s="13"/>
      <c r="K1064" s="13"/>
      <c r="L1064" s="13"/>
      <c r="N1064" s="10"/>
      <c r="O1064" s="10"/>
      <c r="P1064" s="10"/>
      <c r="Q1064" s="30"/>
      <c r="R1064" s="18"/>
      <c r="S1064" s="19"/>
      <c r="T1064" s="10"/>
      <c r="U1064" s="10"/>
      <c r="V1064" s="10"/>
      <c r="W1064" s="10"/>
      <c r="X1064" s="19"/>
    </row>
    <row r="1065" customHeight="1" spans="5:24">
      <c r="E1065" s="30"/>
      <c r="F1065" s="10"/>
      <c r="G1065" s="10"/>
      <c r="H1065" s="10"/>
      <c r="I1065" s="13"/>
      <c r="J1065" s="13"/>
      <c r="K1065" s="13"/>
      <c r="L1065" s="13"/>
      <c r="N1065" s="10"/>
      <c r="O1065" s="10"/>
      <c r="P1065" s="10"/>
      <c r="Q1065" s="30"/>
      <c r="R1065" s="18"/>
      <c r="S1065" s="19"/>
      <c r="T1065" s="10"/>
      <c r="U1065" s="10"/>
      <c r="V1065" s="10"/>
      <c r="W1065" s="10"/>
      <c r="X1065" s="19"/>
    </row>
    <row r="1066" customHeight="1" spans="5:24">
      <c r="E1066" s="30"/>
      <c r="F1066" s="10"/>
      <c r="G1066" s="10"/>
      <c r="H1066" s="10"/>
      <c r="I1066" s="13"/>
      <c r="J1066" s="13"/>
      <c r="K1066" s="13"/>
      <c r="L1066" s="13"/>
      <c r="N1066" s="10"/>
      <c r="O1066" s="10"/>
      <c r="P1066" s="10"/>
      <c r="Q1066" s="30"/>
      <c r="R1066" s="18"/>
      <c r="S1066" s="19"/>
      <c r="T1066" s="10"/>
      <c r="U1066" s="10"/>
      <c r="V1066" s="10"/>
      <c r="W1066" s="10"/>
      <c r="X1066" s="19"/>
    </row>
    <row r="1067" customHeight="1" spans="5:24">
      <c r="E1067" s="30"/>
      <c r="F1067" s="10"/>
      <c r="G1067" s="10"/>
      <c r="H1067" s="10"/>
      <c r="I1067" s="13"/>
      <c r="J1067" s="13"/>
      <c r="K1067" s="13"/>
      <c r="L1067" s="13"/>
      <c r="N1067" s="10"/>
      <c r="O1067" s="10"/>
      <c r="P1067" s="10"/>
      <c r="Q1067" s="30"/>
      <c r="R1067" s="18"/>
      <c r="S1067" s="19"/>
      <c r="T1067" s="10"/>
      <c r="U1067" s="10"/>
      <c r="V1067" s="10"/>
      <c r="W1067" s="10"/>
      <c r="X1067" s="19"/>
    </row>
    <row r="1068" customHeight="1" spans="5:24">
      <c r="E1068" s="30"/>
      <c r="F1068" s="10"/>
      <c r="G1068" s="10"/>
      <c r="H1068" s="10"/>
      <c r="I1068" s="13"/>
      <c r="J1068" s="13"/>
      <c r="K1068" s="13"/>
      <c r="L1068" s="13"/>
      <c r="N1068" s="10"/>
      <c r="O1068" s="10"/>
      <c r="P1068" s="10"/>
      <c r="Q1068" s="30"/>
      <c r="R1068" s="18"/>
      <c r="S1068" s="19"/>
      <c r="T1068" s="10"/>
      <c r="U1068" s="10"/>
      <c r="V1068" s="10"/>
      <c r="W1068" s="10"/>
      <c r="X1068" s="19"/>
    </row>
    <row r="1069" customHeight="1" spans="5:24">
      <c r="E1069" s="30"/>
      <c r="F1069" s="10"/>
      <c r="G1069" s="10"/>
      <c r="H1069" s="10"/>
      <c r="I1069" s="13"/>
      <c r="J1069" s="13"/>
      <c r="K1069" s="13"/>
      <c r="L1069" s="13"/>
      <c r="N1069" s="10"/>
      <c r="O1069" s="10"/>
      <c r="P1069" s="10"/>
      <c r="Q1069" s="30"/>
      <c r="R1069" s="18"/>
      <c r="S1069" s="19"/>
      <c r="T1069" s="10"/>
      <c r="U1069" s="10"/>
      <c r="V1069" s="10"/>
      <c r="W1069" s="10"/>
      <c r="X1069" s="19"/>
    </row>
    <row r="1070" customHeight="1" spans="5:24">
      <c r="E1070" s="30"/>
      <c r="F1070" s="10"/>
      <c r="G1070" s="10"/>
      <c r="H1070" s="10"/>
      <c r="I1070" s="13"/>
      <c r="J1070" s="13"/>
      <c r="K1070" s="13"/>
      <c r="L1070" s="13"/>
      <c r="N1070" s="10"/>
      <c r="O1070" s="10"/>
      <c r="P1070" s="10"/>
      <c r="Q1070" s="30"/>
      <c r="R1070" s="18"/>
      <c r="S1070" s="19"/>
      <c r="T1070" s="10"/>
      <c r="U1070" s="10"/>
      <c r="V1070" s="10"/>
      <c r="W1070" s="10"/>
      <c r="X1070" s="19"/>
    </row>
    <row r="1071" customHeight="1" spans="5:24">
      <c r="E1071" s="30"/>
      <c r="F1071" s="10"/>
      <c r="G1071" s="10"/>
      <c r="H1071" s="10"/>
      <c r="I1071" s="13"/>
      <c r="J1071" s="13"/>
      <c r="K1071" s="13"/>
      <c r="L1071" s="13"/>
      <c r="N1071" s="10"/>
      <c r="O1071" s="10"/>
      <c r="P1071" s="10"/>
      <c r="Q1071" s="30"/>
      <c r="R1071" s="18"/>
      <c r="S1071" s="19"/>
      <c r="T1071" s="10"/>
      <c r="U1071" s="10"/>
      <c r="V1071" s="10"/>
      <c r="W1071" s="10"/>
      <c r="X1071" s="19"/>
    </row>
    <row r="1072" customHeight="1" spans="5:24">
      <c r="E1072" s="30"/>
      <c r="F1072" s="10"/>
      <c r="G1072" s="10"/>
      <c r="H1072" s="10"/>
      <c r="I1072" s="13"/>
      <c r="J1072" s="13"/>
      <c r="K1072" s="13"/>
      <c r="L1072" s="13"/>
      <c r="N1072" s="10"/>
      <c r="O1072" s="10"/>
      <c r="P1072" s="10"/>
      <c r="Q1072" s="30"/>
      <c r="R1072" s="18"/>
      <c r="S1072" s="19"/>
      <c r="T1072" s="10"/>
      <c r="U1072" s="10"/>
      <c r="V1072" s="10"/>
      <c r="W1072" s="10"/>
      <c r="X1072" s="19"/>
    </row>
    <row r="1073" customHeight="1" spans="5:24">
      <c r="E1073" s="30"/>
      <c r="F1073" s="10"/>
      <c r="G1073" s="10"/>
      <c r="H1073" s="10"/>
      <c r="I1073" s="13"/>
      <c r="J1073" s="13"/>
      <c r="K1073" s="13"/>
      <c r="L1073" s="13"/>
      <c r="N1073" s="10"/>
      <c r="O1073" s="10"/>
      <c r="P1073" s="10"/>
      <c r="Q1073" s="30"/>
      <c r="R1073" s="18"/>
      <c r="S1073" s="19"/>
      <c r="T1073" s="10"/>
      <c r="U1073" s="10"/>
      <c r="V1073" s="10"/>
      <c r="W1073" s="10"/>
      <c r="X1073" s="19"/>
    </row>
    <row r="1074" customHeight="1" spans="5:24">
      <c r="E1074" s="30"/>
      <c r="F1074" s="10"/>
      <c r="G1074" s="10"/>
      <c r="H1074" s="10"/>
      <c r="I1074" s="13"/>
      <c r="J1074" s="13"/>
      <c r="K1074" s="13"/>
      <c r="L1074" s="13"/>
      <c r="N1074" s="10"/>
      <c r="O1074" s="10"/>
      <c r="P1074" s="10"/>
      <c r="Q1074" s="30"/>
      <c r="R1074" s="18"/>
      <c r="S1074" s="19"/>
      <c r="T1074" s="10"/>
      <c r="U1074" s="10"/>
      <c r="V1074" s="10"/>
      <c r="W1074" s="10"/>
      <c r="X1074" s="19"/>
    </row>
    <row r="1075" customHeight="1" spans="5:24">
      <c r="E1075" s="30"/>
      <c r="F1075" s="10"/>
      <c r="G1075" s="10"/>
      <c r="H1075" s="10"/>
      <c r="I1075" s="13"/>
      <c r="J1075" s="13"/>
      <c r="K1075" s="13"/>
      <c r="L1075" s="13"/>
      <c r="N1075" s="10"/>
      <c r="O1075" s="10"/>
      <c r="P1075" s="10"/>
      <c r="Q1075" s="30"/>
      <c r="R1075" s="18"/>
      <c r="S1075" s="19"/>
      <c r="T1075" s="10"/>
      <c r="U1075" s="10"/>
      <c r="V1075" s="10"/>
      <c r="W1075" s="10"/>
      <c r="X1075" s="19"/>
    </row>
    <row r="1076" customHeight="1" spans="5:24">
      <c r="E1076" s="30"/>
      <c r="F1076" s="10"/>
      <c r="G1076" s="10"/>
      <c r="H1076" s="10"/>
      <c r="I1076" s="13"/>
      <c r="J1076" s="13"/>
      <c r="K1076" s="13"/>
      <c r="L1076" s="13"/>
      <c r="N1076" s="10"/>
      <c r="O1076" s="10"/>
      <c r="P1076" s="10"/>
      <c r="Q1076" s="30"/>
      <c r="R1076" s="18"/>
      <c r="S1076" s="19"/>
      <c r="T1076" s="10"/>
      <c r="U1076" s="10"/>
      <c r="V1076" s="10"/>
      <c r="W1076" s="10"/>
      <c r="X1076" s="19"/>
    </row>
    <row r="1077" customHeight="1" spans="5:24">
      <c r="E1077" s="30"/>
      <c r="F1077" s="10"/>
      <c r="G1077" s="10"/>
      <c r="H1077" s="10"/>
      <c r="I1077" s="13"/>
      <c r="J1077" s="13"/>
      <c r="K1077" s="13"/>
      <c r="L1077" s="13"/>
      <c r="N1077" s="10"/>
      <c r="O1077" s="10"/>
      <c r="P1077" s="10"/>
      <c r="Q1077" s="30"/>
      <c r="R1077" s="18"/>
      <c r="S1077" s="19"/>
      <c r="T1077" s="10"/>
      <c r="U1077" s="10"/>
      <c r="V1077" s="10"/>
      <c r="W1077" s="10"/>
      <c r="X1077" s="19"/>
    </row>
    <row r="1078" customHeight="1" spans="5:24">
      <c r="E1078" s="30"/>
      <c r="F1078" s="10"/>
      <c r="G1078" s="10"/>
      <c r="H1078" s="10"/>
      <c r="I1078" s="13"/>
      <c r="J1078" s="13"/>
      <c r="K1078" s="13"/>
      <c r="L1078" s="13"/>
      <c r="N1078" s="10"/>
      <c r="O1078" s="10"/>
      <c r="P1078" s="10"/>
      <c r="Q1078" s="30"/>
      <c r="R1078" s="18"/>
      <c r="S1078" s="19"/>
      <c r="T1078" s="10"/>
      <c r="U1078" s="10"/>
      <c r="V1078" s="10"/>
      <c r="W1078" s="10"/>
      <c r="X1078" s="19"/>
    </row>
    <row r="1079" customHeight="1" spans="5:24">
      <c r="E1079" s="30"/>
      <c r="F1079" s="10"/>
      <c r="G1079" s="10"/>
      <c r="H1079" s="10"/>
      <c r="I1079" s="13"/>
      <c r="J1079" s="13"/>
      <c r="K1079" s="13"/>
      <c r="L1079" s="13"/>
      <c r="N1079" s="10"/>
      <c r="O1079" s="10"/>
      <c r="P1079" s="10"/>
      <c r="Q1079" s="30"/>
      <c r="R1079" s="18"/>
      <c r="S1079" s="19"/>
      <c r="T1079" s="10"/>
      <c r="U1079" s="10"/>
      <c r="V1079" s="10"/>
      <c r="W1079" s="10"/>
      <c r="X1079" s="19"/>
    </row>
    <row r="1080" customHeight="1" spans="5:24">
      <c r="E1080" s="30"/>
      <c r="F1080" s="10"/>
      <c r="G1080" s="10"/>
      <c r="H1080" s="10"/>
      <c r="I1080" s="13"/>
      <c r="J1080" s="13"/>
      <c r="K1080" s="13"/>
      <c r="L1080" s="13"/>
      <c r="N1080" s="10"/>
      <c r="O1080" s="10"/>
      <c r="P1080" s="10"/>
      <c r="Q1080" s="30"/>
      <c r="R1080" s="18"/>
      <c r="S1080" s="19"/>
      <c r="T1080" s="10"/>
      <c r="U1080" s="10"/>
      <c r="V1080" s="10"/>
      <c r="W1080" s="10"/>
      <c r="X1080" s="19"/>
    </row>
    <row r="1081" customHeight="1" spans="5:24">
      <c r="E1081" s="30"/>
      <c r="F1081" s="10"/>
      <c r="G1081" s="10"/>
      <c r="H1081" s="10"/>
      <c r="I1081" s="13"/>
      <c r="J1081" s="13"/>
      <c r="K1081" s="13"/>
      <c r="L1081" s="13"/>
      <c r="N1081" s="10"/>
      <c r="O1081" s="10"/>
      <c r="P1081" s="10"/>
      <c r="Q1081" s="30"/>
      <c r="R1081" s="18"/>
      <c r="S1081" s="19"/>
      <c r="T1081" s="10"/>
      <c r="U1081" s="10"/>
      <c r="V1081" s="10"/>
      <c r="W1081" s="10"/>
      <c r="X1081" s="19"/>
    </row>
    <row r="1082" customHeight="1" spans="5:24">
      <c r="E1082" s="30"/>
      <c r="F1082" s="10"/>
      <c r="G1082" s="10"/>
      <c r="H1082" s="10"/>
      <c r="I1082" s="13"/>
      <c r="J1082" s="13"/>
      <c r="K1082" s="13"/>
      <c r="L1082" s="13"/>
      <c r="N1082" s="10"/>
      <c r="O1082" s="10"/>
      <c r="P1082" s="10"/>
      <c r="Q1082" s="30"/>
      <c r="R1082" s="18"/>
      <c r="S1082" s="19"/>
      <c r="T1082" s="10"/>
      <c r="U1082" s="10"/>
      <c r="V1082" s="10"/>
      <c r="W1082" s="10"/>
      <c r="X1082" s="19"/>
    </row>
    <row r="1083" customHeight="1" spans="5:24">
      <c r="E1083" s="30"/>
      <c r="F1083" s="10"/>
      <c r="G1083" s="10"/>
      <c r="H1083" s="10"/>
      <c r="I1083" s="13"/>
      <c r="J1083" s="13"/>
      <c r="K1083" s="13"/>
      <c r="L1083" s="13"/>
      <c r="N1083" s="10"/>
      <c r="O1083" s="10"/>
      <c r="P1083" s="10"/>
      <c r="Q1083" s="30"/>
      <c r="R1083" s="18"/>
      <c r="S1083" s="19"/>
      <c r="T1083" s="10"/>
      <c r="U1083" s="10"/>
      <c r="V1083" s="10"/>
      <c r="W1083" s="10"/>
      <c r="X1083" s="19"/>
    </row>
    <row r="1084" customHeight="1" spans="5:24">
      <c r="E1084" s="30"/>
      <c r="F1084" s="10"/>
      <c r="G1084" s="10"/>
      <c r="H1084" s="10"/>
      <c r="I1084" s="13"/>
      <c r="J1084" s="13"/>
      <c r="K1084" s="13"/>
      <c r="L1084" s="13"/>
      <c r="N1084" s="10"/>
      <c r="O1084" s="10"/>
      <c r="P1084" s="10"/>
      <c r="Q1084" s="30"/>
      <c r="R1084" s="18"/>
      <c r="S1084" s="19"/>
      <c r="T1084" s="10"/>
      <c r="U1084" s="10"/>
      <c r="V1084" s="10"/>
      <c r="W1084" s="10"/>
      <c r="X1084" s="19"/>
    </row>
    <row r="1085" customHeight="1" spans="5:24">
      <c r="E1085" s="30"/>
      <c r="F1085" s="10"/>
      <c r="G1085" s="10"/>
      <c r="H1085" s="10"/>
      <c r="I1085" s="13"/>
      <c r="J1085" s="13"/>
      <c r="K1085" s="13"/>
      <c r="L1085" s="13"/>
      <c r="N1085" s="10"/>
      <c r="O1085" s="10"/>
      <c r="P1085" s="10"/>
      <c r="Q1085" s="30"/>
      <c r="R1085" s="18"/>
      <c r="S1085" s="19"/>
      <c r="T1085" s="10"/>
      <c r="U1085" s="10"/>
      <c r="V1085" s="10"/>
      <c r="W1085" s="10"/>
      <c r="X1085" s="19"/>
    </row>
    <row r="1086" customHeight="1" spans="5:24">
      <c r="E1086" s="30"/>
      <c r="F1086" s="10"/>
      <c r="G1086" s="10"/>
      <c r="H1086" s="10"/>
      <c r="I1086" s="13"/>
      <c r="J1086" s="13"/>
      <c r="K1086" s="13"/>
      <c r="L1086" s="13"/>
      <c r="N1086" s="10"/>
      <c r="O1086" s="10"/>
      <c r="P1086" s="10"/>
      <c r="Q1086" s="30"/>
      <c r="R1086" s="18"/>
      <c r="S1086" s="19"/>
      <c r="T1086" s="10"/>
      <c r="U1086" s="10"/>
      <c r="V1086" s="10"/>
      <c r="W1086" s="10"/>
      <c r="X1086" s="19"/>
    </row>
    <row r="1087" customHeight="1" spans="5:24">
      <c r="E1087" s="30"/>
      <c r="F1087" s="10"/>
      <c r="G1087" s="10"/>
      <c r="H1087" s="10"/>
      <c r="I1087" s="13"/>
      <c r="J1087" s="13"/>
      <c r="K1087" s="13"/>
      <c r="L1087" s="13"/>
      <c r="N1087" s="10"/>
      <c r="O1087" s="10"/>
      <c r="P1087" s="10"/>
      <c r="Q1087" s="30"/>
      <c r="R1087" s="18"/>
      <c r="S1087" s="19"/>
      <c r="T1087" s="10"/>
      <c r="U1087" s="10"/>
      <c r="V1087" s="10"/>
      <c r="W1087" s="10"/>
      <c r="X1087" s="19"/>
    </row>
    <row r="1088" customHeight="1" spans="5:24">
      <c r="E1088" s="30"/>
      <c r="F1088" s="10"/>
      <c r="G1088" s="10"/>
      <c r="H1088" s="10"/>
      <c r="I1088" s="13"/>
      <c r="J1088" s="13"/>
      <c r="K1088" s="13"/>
      <c r="L1088" s="13"/>
      <c r="N1088" s="10"/>
      <c r="O1088" s="10"/>
      <c r="P1088" s="10"/>
      <c r="Q1088" s="30"/>
      <c r="R1088" s="18"/>
      <c r="S1088" s="19"/>
      <c r="T1088" s="10"/>
      <c r="U1088" s="10"/>
      <c r="V1088" s="10"/>
      <c r="W1088" s="10"/>
      <c r="X1088" s="19"/>
    </row>
    <row r="1089" customHeight="1" spans="5:24">
      <c r="E1089" s="30"/>
      <c r="F1089" s="10"/>
      <c r="G1089" s="10"/>
      <c r="H1089" s="10"/>
      <c r="I1089" s="13"/>
      <c r="J1089" s="13"/>
      <c r="K1089" s="13"/>
      <c r="L1089" s="13"/>
      <c r="N1089" s="10"/>
      <c r="O1089" s="10"/>
      <c r="P1089" s="10"/>
      <c r="Q1089" s="30"/>
      <c r="R1089" s="18"/>
      <c r="S1089" s="19"/>
      <c r="T1089" s="10"/>
      <c r="U1089" s="10"/>
      <c r="V1089" s="10"/>
      <c r="W1089" s="10"/>
      <c r="X1089" s="19"/>
    </row>
    <row r="1090" customHeight="1" spans="5:24">
      <c r="E1090" s="30"/>
      <c r="F1090" s="10"/>
      <c r="G1090" s="10"/>
      <c r="H1090" s="10"/>
      <c r="I1090" s="13"/>
      <c r="J1090" s="13"/>
      <c r="K1090" s="13"/>
      <c r="L1090" s="13"/>
      <c r="N1090" s="10"/>
      <c r="O1090" s="10"/>
      <c r="P1090" s="10"/>
      <c r="Q1090" s="30"/>
      <c r="R1090" s="18"/>
      <c r="S1090" s="19"/>
      <c r="T1090" s="10"/>
      <c r="U1090" s="10"/>
      <c r="V1090" s="10"/>
      <c r="W1090" s="10"/>
      <c r="X1090" s="19"/>
    </row>
    <row r="1091" customHeight="1" spans="5:24">
      <c r="E1091" s="30"/>
      <c r="F1091" s="10"/>
      <c r="G1091" s="10"/>
      <c r="H1091" s="10"/>
      <c r="I1091" s="13"/>
      <c r="J1091" s="13"/>
      <c r="K1091" s="13"/>
      <c r="L1091" s="13"/>
      <c r="N1091" s="10"/>
      <c r="O1091" s="10"/>
      <c r="P1091" s="10"/>
      <c r="Q1091" s="30"/>
      <c r="R1091" s="18"/>
      <c r="S1091" s="19"/>
      <c r="T1091" s="10"/>
      <c r="U1091" s="10"/>
      <c r="V1091" s="10"/>
      <c r="W1091" s="10"/>
      <c r="X1091" s="19"/>
    </row>
    <row r="1092" customHeight="1" spans="5:24">
      <c r="E1092" s="30"/>
      <c r="F1092" s="10"/>
      <c r="G1092" s="10"/>
      <c r="H1092" s="10"/>
      <c r="I1092" s="13"/>
      <c r="J1092" s="13"/>
      <c r="K1092" s="13"/>
      <c r="L1092" s="13"/>
      <c r="N1092" s="10"/>
      <c r="O1092" s="10"/>
      <c r="P1092" s="10"/>
      <c r="Q1092" s="30"/>
      <c r="R1092" s="18"/>
      <c r="S1092" s="19"/>
      <c r="T1092" s="10"/>
      <c r="U1092" s="10"/>
      <c r="V1092" s="10"/>
      <c r="W1092" s="10"/>
      <c r="X1092" s="19"/>
    </row>
    <row r="1093" customHeight="1" spans="5:24">
      <c r="E1093" s="30"/>
      <c r="F1093" s="10"/>
      <c r="G1093" s="10"/>
      <c r="H1093" s="10"/>
      <c r="I1093" s="13"/>
      <c r="J1093" s="13"/>
      <c r="K1093" s="13"/>
      <c r="L1093" s="13"/>
      <c r="N1093" s="10"/>
      <c r="O1093" s="10"/>
      <c r="P1093" s="10"/>
      <c r="Q1093" s="30"/>
      <c r="R1093" s="18"/>
      <c r="S1093" s="19"/>
      <c r="T1093" s="10"/>
      <c r="U1093" s="10"/>
      <c r="V1093" s="10"/>
      <c r="W1093" s="10"/>
      <c r="X1093" s="19"/>
    </row>
    <row r="1094" customHeight="1" spans="5:24">
      <c r="E1094" s="30"/>
      <c r="F1094" s="10"/>
      <c r="G1094" s="10"/>
      <c r="H1094" s="10"/>
      <c r="I1094" s="13"/>
      <c r="J1094" s="13"/>
      <c r="K1094" s="13"/>
      <c r="L1094" s="13"/>
      <c r="N1094" s="10"/>
      <c r="O1094" s="10"/>
      <c r="P1094" s="10"/>
      <c r="Q1094" s="30"/>
      <c r="R1094" s="18"/>
      <c r="S1094" s="19"/>
      <c r="T1094" s="10"/>
      <c r="U1094" s="10"/>
      <c r="V1094" s="10"/>
      <c r="W1094" s="10"/>
      <c r="X1094" s="19"/>
    </row>
    <row r="1095" customHeight="1" spans="5:24">
      <c r="E1095" s="30"/>
      <c r="F1095" s="10"/>
      <c r="G1095" s="10"/>
      <c r="H1095" s="10"/>
      <c r="I1095" s="13"/>
      <c r="J1095" s="13"/>
      <c r="K1095" s="13"/>
      <c r="L1095" s="13"/>
      <c r="N1095" s="10"/>
      <c r="O1095" s="10"/>
      <c r="P1095" s="10"/>
      <c r="Q1095" s="30"/>
      <c r="R1095" s="18"/>
      <c r="S1095" s="19"/>
      <c r="T1095" s="10"/>
      <c r="U1095" s="10"/>
      <c r="V1095" s="10"/>
      <c r="W1095" s="10"/>
      <c r="X1095" s="19"/>
    </row>
    <row r="1096" customHeight="1" spans="5:24">
      <c r="E1096" s="30"/>
      <c r="F1096" s="10"/>
      <c r="G1096" s="10"/>
      <c r="H1096" s="10"/>
      <c r="I1096" s="13"/>
      <c r="J1096" s="13"/>
      <c r="K1096" s="13"/>
      <c r="L1096" s="13"/>
      <c r="N1096" s="10"/>
      <c r="O1096" s="10"/>
      <c r="P1096" s="10"/>
      <c r="Q1096" s="30"/>
      <c r="R1096" s="18"/>
      <c r="S1096" s="19"/>
      <c r="T1096" s="10"/>
      <c r="U1096" s="10"/>
      <c r="V1096" s="10"/>
      <c r="W1096" s="10"/>
      <c r="X1096" s="19"/>
    </row>
    <row r="1097" customHeight="1" spans="5:24">
      <c r="E1097" s="30"/>
      <c r="F1097" s="10"/>
      <c r="G1097" s="10"/>
      <c r="H1097" s="10"/>
      <c r="I1097" s="13"/>
      <c r="J1097" s="13"/>
      <c r="K1097" s="13"/>
      <c r="L1097" s="13"/>
      <c r="N1097" s="10"/>
      <c r="O1097" s="10"/>
      <c r="P1097" s="10"/>
      <c r="Q1097" s="30"/>
      <c r="R1097" s="18"/>
      <c r="S1097" s="19"/>
      <c r="T1097" s="10"/>
      <c r="U1097" s="10"/>
      <c r="V1097" s="10"/>
      <c r="W1097" s="10"/>
      <c r="X1097" s="19"/>
    </row>
    <row r="1098" customHeight="1" spans="5:24">
      <c r="E1098" s="30"/>
      <c r="F1098" s="10"/>
      <c r="G1098" s="10"/>
      <c r="H1098" s="10"/>
      <c r="I1098" s="13"/>
      <c r="J1098" s="13"/>
      <c r="K1098" s="13"/>
      <c r="L1098" s="13"/>
      <c r="N1098" s="10"/>
      <c r="O1098" s="10"/>
      <c r="P1098" s="10"/>
      <c r="Q1098" s="30"/>
      <c r="R1098" s="18"/>
      <c r="S1098" s="19"/>
      <c r="T1098" s="10"/>
      <c r="U1098" s="10"/>
      <c r="V1098" s="10"/>
      <c r="W1098" s="10"/>
      <c r="X1098" s="19"/>
    </row>
    <row r="1099" customHeight="1" spans="5:24">
      <c r="E1099" s="30"/>
      <c r="F1099" s="10"/>
      <c r="G1099" s="10"/>
      <c r="H1099" s="10"/>
      <c r="I1099" s="13"/>
      <c r="J1099" s="13"/>
      <c r="K1099" s="13"/>
      <c r="L1099" s="13"/>
      <c r="N1099" s="10"/>
      <c r="O1099" s="10"/>
      <c r="P1099" s="10"/>
      <c r="Q1099" s="30"/>
      <c r="R1099" s="18"/>
      <c r="S1099" s="19"/>
      <c r="T1099" s="10"/>
      <c r="U1099" s="10"/>
      <c r="V1099" s="10"/>
      <c r="W1099" s="10"/>
      <c r="X1099" s="19"/>
    </row>
    <row r="1100" customHeight="1" spans="5:24">
      <c r="E1100" s="30"/>
      <c r="F1100" s="10"/>
      <c r="G1100" s="10"/>
      <c r="H1100" s="10"/>
      <c r="I1100" s="13"/>
      <c r="J1100" s="13"/>
      <c r="K1100" s="13"/>
      <c r="L1100" s="13"/>
      <c r="N1100" s="10"/>
      <c r="O1100" s="10"/>
      <c r="P1100" s="10"/>
      <c r="Q1100" s="30"/>
      <c r="R1100" s="18"/>
      <c r="S1100" s="19"/>
      <c r="T1100" s="10"/>
      <c r="U1100" s="10"/>
      <c r="V1100" s="10"/>
      <c r="W1100" s="10"/>
      <c r="X1100" s="19"/>
    </row>
    <row r="1101" customHeight="1" spans="5:24">
      <c r="E1101" s="30"/>
      <c r="F1101" s="10"/>
      <c r="G1101" s="10"/>
      <c r="H1101" s="10"/>
      <c r="I1101" s="13"/>
      <c r="J1101" s="13"/>
      <c r="K1101" s="13"/>
      <c r="L1101" s="13"/>
      <c r="N1101" s="10"/>
      <c r="O1101" s="10"/>
      <c r="P1101" s="10"/>
      <c r="Q1101" s="30"/>
      <c r="R1101" s="18"/>
      <c r="S1101" s="19"/>
      <c r="T1101" s="10"/>
      <c r="U1101" s="10"/>
      <c r="V1101" s="10"/>
      <c r="W1101" s="10"/>
      <c r="X1101" s="19"/>
    </row>
    <row r="1102" customHeight="1" spans="5:24">
      <c r="E1102" s="30"/>
      <c r="F1102" s="10"/>
      <c r="G1102" s="10"/>
      <c r="H1102" s="10"/>
      <c r="I1102" s="13"/>
      <c r="J1102" s="13"/>
      <c r="K1102" s="13"/>
      <c r="L1102" s="13"/>
      <c r="N1102" s="10"/>
      <c r="O1102" s="10"/>
      <c r="P1102" s="10"/>
      <c r="Q1102" s="30"/>
      <c r="R1102" s="18"/>
      <c r="S1102" s="19"/>
      <c r="T1102" s="10"/>
      <c r="U1102" s="10"/>
      <c r="V1102" s="10"/>
      <c r="W1102" s="10"/>
      <c r="X1102" s="19"/>
    </row>
    <row r="1103" customHeight="1" spans="5:24">
      <c r="E1103" s="30"/>
      <c r="F1103" s="10"/>
      <c r="G1103" s="10"/>
      <c r="H1103" s="10"/>
      <c r="I1103" s="13"/>
      <c r="J1103" s="13"/>
      <c r="K1103" s="13"/>
      <c r="L1103" s="13"/>
      <c r="N1103" s="10"/>
      <c r="O1103" s="10"/>
      <c r="P1103" s="10"/>
      <c r="Q1103" s="30"/>
      <c r="R1103" s="18"/>
      <c r="S1103" s="19"/>
      <c r="T1103" s="10"/>
      <c r="U1103" s="10"/>
      <c r="V1103" s="10"/>
      <c r="W1103" s="10"/>
      <c r="X1103" s="19"/>
    </row>
    <row r="1104" customHeight="1" spans="5:24">
      <c r="E1104" s="30"/>
      <c r="F1104" s="10"/>
      <c r="G1104" s="10"/>
      <c r="H1104" s="10"/>
      <c r="I1104" s="13"/>
      <c r="J1104" s="13"/>
      <c r="K1104" s="13"/>
      <c r="L1104" s="13"/>
      <c r="N1104" s="10"/>
      <c r="O1104" s="10"/>
      <c r="P1104" s="10"/>
      <c r="Q1104" s="30"/>
      <c r="R1104" s="18"/>
      <c r="S1104" s="19"/>
      <c r="T1104" s="10"/>
      <c r="U1104" s="10"/>
      <c r="V1104" s="10"/>
      <c r="W1104" s="10"/>
      <c r="X1104" s="19"/>
    </row>
    <row r="1105" customHeight="1" spans="5:24">
      <c r="E1105" s="30"/>
      <c r="F1105" s="10"/>
      <c r="G1105" s="10"/>
      <c r="H1105" s="10"/>
      <c r="I1105" s="13"/>
      <c r="J1105" s="13"/>
      <c r="K1105" s="13"/>
      <c r="L1105" s="13"/>
      <c r="N1105" s="10"/>
      <c r="O1105" s="10"/>
      <c r="P1105" s="10"/>
      <c r="Q1105" s="30"/>
      <c r="R1105" s="18"/>
      <c r="S1105" s="19"/>
      <c r="T1105" s="10"/>
      <c r="U1105" s="10"/>
      <c r="V1105" s="10"/>
      <c r="W1105" s="10"/>
      <c r="X1105" s="19"/>
    </row>
    <row r="1106" customHeight="1" spans="5:24">
      <c r="E1106" s="30"/>
      <c r="F1106" s="10"/>
      <c r="G1106" s="10"/>
      <c r="H1106" s="10"/>
      <c r="I1106" s="13"/>
      <c r="J1106" s="13"/>
      <c r="K1106" s="13"/>
      <c r="L1106" s="13"/>
      <c r="N1106" s="10"/>
      <c r="O1106" s="10"/>
      <c r="P1106" s="10"/>
      <c r="Q1106" s="30"/>
      <c r="R1106" s="18"/>
      <c r="S1106" s="19"/>
      <c r="T1106" s="10"/>
      <c r="U1106" s="10"/>
      <c r="V1106" s="10"/>
      <c r="W1106" s="10"/>
      <c r="X1106" s="19"/>
    </row>
    <row r="1107" customHeight="1" spans="5:24">
      <c r="E1107" s="30"/>
      <c r="F1107" s="10"/>
      <c r="G1107" s="10"/>
      <c r="H1107" s="10"/>
      <c r="I1107" s="13"/>
      <c r="J1107" s="13"/>
      <c r="K1107" s="13"/>
      <c r="L1107" s="13"/>
      <c r="N1107" s="10"/>
      <c r="O1107" s="10"/>
      <c r="P1107" s="10"/>
      <c r="Q1107" s="30"/>
      <c r="R1107" s="18"/>
      <c r="S1107" s="19"/>
      <c r="T1107" s="10"/>
      <c r="U1107" s="10"/>
      <c r="V1107" s="10"/>
      <c r="W1107" s="10"/>
      <c r="X1107" s="19"/>
    </row>
    <row r="1108" customHeight="1" spans="5:24">
      <c r="E1108" s="30"/>
      <c r="F1108" s="10"/>
      <c r="G1108" s="10"/>
      <c r="H1108" s="10"/>
      <c r="I1108" s="13"/>
      <c r="J1108" s="13"/>
      <c r="K1108" s="13"/>
      <c r="L1108" s="13"/>
      <c r="N1108" s="10"/>
      <c r="O1108" s="10"/>
      <c r="P1108" s="10"/>
      <c r="Q1108" s="30"/>
      <c r="R1108" s="18"/>
      <c r="S1108" s="19"/>
      <c r="T1108" s="10"/>
      <c r="U1108" s="10"/>
      <c r="V1108" s="10"/>
      <c r="W1108" s="10"/>
      <c r="X1108" s="19"/>
    </row>
    <row r="1109" customHeight="1" spans="5:24">
      <c r="E1109" s="30"/>
      <c r="F1109" s="10"/>
      <c r="G1109" s="10"/>
      <c r="H1109" s="10"/>
      <c r="I1109" s="13"/>
      <c r="J1109" s="13"/>
      <c r="K1109" s="13"/>
      <c r="L1109" s="13"/>
      <c r="N1109" s="10"/>
      <c r="O1109" s="10"/>
      <c r="P1109" s="10"/>
      <c r="Q1109" s="30"/>
      <c r="R1109" s="18"/>
      <c r="S1109" s="19"/>
      <c r="T1109" s="10"/>
      <c r="U1109" s="10"/>
      <c r="V1109" s="10"/>
      <c r="W1109" s="10"/>
      <c r="X1109" s="19"/>
    </row>
    <row r="1110" customHeight="1" spans="5:24">
      <c r="E1110" s="30"/>
      <c r="F1110" s="10"/>
      <c r="G1110" s="10"/>
      <c r="H1110" s="10"/>
      <c r="I1110" s="13"/>
      <c r="J1110" s="13"/>
      <c r="K1110" s="13"/>
      <c r="L1110" s="13"/>
      <c r="N1110" s="10"/>
      <c r="O1110" s="10"/>
      <c r="P1110" s="10"/>
      <c r="Q1110" s="30"/>
      <c r="R1110" s="18"/>
      <c r="S1110" s="19"/>
      <c r="T1110" s="10"/>
      <c r="U1110" s="10"/>
      <c r="V1110" s="10"/>
      <c r="W1110" s="10"/>
      <c r="X1110" s="19"/>
    </row>
    <row r="1111" customHeight="1" spans="5:24">
      <c r="E1111" s="30"/>
      <c r="F1111" s="10"/>
      <c r="G1111" s="10"/>
      <c r="H1111" s="10"/>
      <c r="I1111" s="13"/>
      <c r="J1111" s="13"/>
      <c r="K1111" s="13"/>
      <c r="L1111" s="13"/>
      <c r="N1111" s="10"/>
      <c r="O1111" s="10"/>
      <c r="P1111" s="10"/>
      <c r="Q1111" s="30"/>
      <c r="R1111" s="18"/>
      <c r="S1111" s="19"/>
      <c r="T1111" s="10"/>
      <c r="U1111" s="10"/>
      <c r="V1111" s="10"/>
      <c r="W1111" s="10"/>
      <c r="X1111" s="19"/>
    </row>
    <row r="1112" customHeight="1" spans="5:24">
      <c r="E1112" s="30"/>
      <c r="F1112" s="10"/>
      <c r="G1112" s="10"/>
      <c r="H1112" s="10"/>
      <c r="I1112" s="13"/>
      <c r="J1112" s="13"/>
      <c r="K1112" s="13"/>
      <c r="L1112" s="13"/>
      <c r="N1112" s="10"/>
      <c r="O1112" s="10"/>
      <c r="P1112" s="10"/>
      <c r="Q1112" s="30"/>
      <c r="R1112" s="18"/>
      <c r="S1112" s="19"/>
      <c r="T1112" s="10"/>
      <c r="U1112" s="10"/>
      <c r="V1112" s="10"/>
      <c r="W1112" s="10"/>
      <c r="X1112" s="19"/>
    </row>
    <row r="1113" customHeight="1" spans="5:24">
      <c r="E1113" s="30"/>
      <c r="F1113" s="10"/>
      <c r="G1113" s="10"/>
      <c r="H1113" s="10"/>
      <c r="I1113" s="13"/>
      <c r="J1113" s="13"/>
      <c r="K1113" s="13"/>
      <c r="L1113" s="13"/>
      <c r="N1113" s="10"/>
      <c r="O1113" s="10"/>
      <c r="P1113" s="10"/>
      <c r="Q1113" s="30"/>
      <c r="R1113" s="18"/>
      <c r="S1113" s="19"/>
      <c r="T1113" s="10"/>
      <c r="U1113" s="10"/>
      <c r="V1113" s="10"/>
      <c r="W1113" s="10"/>
      <c r="X1113" s="19"/>
    </row>
    <row r="1114" customHeight="1" spans="5:24">
      <c r="E1114" s="30"/>
      <c r="F1114" s="10"/>
      <c r="G1114" s="10"/>
      <c r="H1114" s="10"/>
      <c r="I1114" s="13"/>
      <c r="J1114" s="13"/>
      <c r="K1114" s="13"/>
      <c r="L1114" s="13"/>
      <c r="N1114" s="10"/>
      <c r="O1114" s="10"/>
      <c r="P1114" s="10"/>
      <c r="Q1114" s="30"/>
      <c r="R1114" s="18"/>
      <c r="S1114" s="19"/>
      <c r="T1114" s="10"/>
      <c r="U1114" s="10"/>
      <c r="V1114" s="10"/>
      <c r="W1114" s="10"/>
      <c r="X1114" s="19"/>
    </row>
    <row r="1115" customHeight="1" spans="5:24">
      <c r="E1115" s="30"/>
      <c r="F1115" s="10"/>
      <c r="G1115" s="10"/>
      <c r="H1115" s="10"/>
      <c r="I1115" s="13"/>
      <c r="J1115" s="13"/>
      <c r="K1115" s="13"/>
      <c r="L1115" s="13"/>
      <c r="N1115" s="10"/>
      <c r="O1115" s="10"/>
      <c r="P1115" s="10"/>
      <c r="Q1115" s="30"/>
      <c r="R1115" s="18"/>
      <c r="S1115" s="19"/>
      <c r="T1115" s="10"/>
      <c r="U1115" s="10"/>
      <c r="V1115" s="10"/>
      <c r="W1115" s="10"/>
      <c r="X1115" s="19"/>
    </row>
    <row r="1116" customHeight="1" spans="5:24">
      <c r="E1116" s="30"/>
      <c r="F1116" s="10"/>
      <c r="G1116" s="10"/>
      <c r="H1116" s="10"/>
      <c r="I1116" s="13"/>
      <c r="J1116" s="13"/>
      <c r="K1116" s="13"/>
      <c r="L1116" s="13"/>
      <c r="N1116" s="10"/>
      <c r="O1116" s="10"/>
      <c r="P1116" s="10"/>
      <c r="Q1116" s="30"/>
      <c r="R1116" s="18"/>
      <c r="S1116" s="19"/>
      <c r="T1116" s="10"/>
      <c r="U1116" s="10"/>
      <c r="V1116" s="10"/>
      <c r="W1116" s="10"/>
      <c r="X1116" s="19"/>
    </row>
    <row r="1117" customHeight="1" spans="5:24">
      <c r="E1117" s="30"/>
      <c r="F1117" s="10"/>
      <c r="G1117" s="10"/>
      <c r="H1117" s="10"/>
      <c r="I1117" s="13"/>
      <c r="J1117" s="13"/>
      <c r="K1117" s="13"/>
      <c r="L1117" s="13"/>
      <c r="N1117" s="10"/>
      <c r="O1117" s="10"/>
      <c r="P1117" s="10"/>
      <c r="Q1117" s="30"/>
      <c r="R1117" s="18"/>
      <c r="S1117" s="19"/>
      <c r="T1117" s="10"/>
      <c r="U1117" s="10"/>
      <c r="V1117" s="10"/>
      <c r="W1117" s="10"/>
      <c r="X1117" s="19"/>
    </row>
    <row r="1118" customHeight="1" spans="5:24">
      <c r="E1118" s="30"/>
      <c r="F1118" s="10"/>
      <c r="G1118" s="10"/>
      <c r="H1118" s="10"/>
      <c r="I1118" s="13"/>
      <c r="J1118" s="13"/>
      <c r="K1118" s="13"/>
      <c r="L1118" s="13"/>
      <c r="N1118" s="10"/>
      <c r="O1118" s="10"/>
      <c r="P1118" s="10"/>
      <c r="Q1118" s="30"/>
      <c r="R1118" s="18"/>
      <c r="S1118" s="19"/>
      <c r="T1118" s="10"/>
      <c r="U1118" s="10"/>
      <c r="V1118" s="10"/>
      <c r="W1118" s="10"/>
      <c r="X1118" s="19"/>
    </row>
    <row r="1119" customHeight="1" spans="5:24">
      <c r="E1119" s="30"/>
      <c r="F1119" s="10"/>
      <c r="G1119" s="10"/>
      <c r="H1119" s="10"/>
      <c r="I1119" s="13"/>
      <c r="J1119" s="13"/>
      <c r="K1119" s="13"/>
      <c r="L1119" s="13"/>
      <c r="N1119" s="10"/>
      <c r="O1119" s="10"/>
      <c r="P1119" s="10"/>
      <c r="Q1119" s="30"/>
      <c r="R1119" s="18"/>
      <c r="S1119" s="19"/>
      <c r="T1119" s="10"/>
      <c r="U1119" s="10"/>
      <c r="V1119" s="10"/>
      <c r="W1119" s="10"/>
      <c r="X1119" s="19"/>
    </row>
    <row r="1120" customHeight="1" spans="5:24">
      <c r="E1120" s="30"/>
      <c r="F1120" s="10"/>
      <c r="G1120" s="10"/>
      <c r="H1120" s="10"/>
      <c r="I1120" s="13"/>
      <c r="J1120" s="13"/>
      <c r="K1120" s="13"/>
      <c r="L1120" s="13"/>
      <c r="N1120" s="10"/>
      <c r="O1120" s="10"/>
      <c r="P1120" s="10"/>
      <c r="Q1120" s="30"/>
      <c r="R1120" s="18"/>
      <c r="S1120" s="19"/>
      <c r="T1120" s="10"/>
      <c r="U1120" s="10"/>
      <c r="V1120" s="10"/>
      <c r="W1120" s="10"/>
      <c r="X1120" s="19"/>
    </row>
    <row r="1121" customHeight="1" spans="5:24">
      <c r="E1121" s="30"/>
      <c r="F1121" s="10"/>
      <c r="G1121" s="10"/>
      <c r="H1121" s="10"/>
      <c r="I1121" s="13"/>
      <c r="J1121" s="13"/>
      <c r="K1121" s="13"/>
      <c r="L1121" s="13"/>
      <c r="N1121" s="10"/>
      <c r="O1121" s="10"/>
      <c r="P1121" s="10"/>
      <c r="Q1121" s="30"/>
      <c r="R1121" s="18"/>
      <c r="S1121" s="19"/>
      <c r="T1121" s="10"/>
      <c r="U1121" s="10"/>
      <c r="V1121" s="10"/>
      <c r="W1121" s="10"/>
      <c r="X1121" s="19"/>
    </row>
    <row r="1122" customHeight="1" spans="5:24">
      <c r="E1122" s="30"/>
      <c r="F1122" s="10"/>
      <c r="G1122" s="10"/>
      <c r="H1122" s="10"/>
      <c r="I1122" s="13"/>
      <c r="J1122" s="13"/>
      <c r="K1122" s="13"/>
      <c r="L1122" s="13"/>
      <c r="N1122" s="10"/>
      <c r="O1122" s="10"/>
      <c r="P1122" s="10"/>
      <c r="Q1122" s="30"/>
      <c r="R1122" s="18"/>
      <c r="S1122" s="19"/>
      <c r="T1122" s="10"/>
      <c r="U1122" s="10"/>
      <c r="V1122" s="10"/>
      <c r="W1122" s="10"/>
      <c r="X1122" s="19"/>
    </row>
    <row r="1123" customHeight="1" spans="5:24">
      <c r="E1123" s="30"/>
      <c r="F1123" s="10"/>
      <c r="G1123" s="10"/>
      <c r="H1123" s="10"/>
      <c r="I1123" s="13"/>
      <c r="J1123" s="13"/>
      <c r="K1123" s="13"/>
      <c r="L1123" s="13"/>
      <c r="N1123" s="10"/>
      <c r="O1123" s="10"/>
      <c r="P1123" s="10"/>
      <c r="Q1123" s="30"/>
      <c r="R1123" s="18"/>
      <c r="S1123" s="19"/>
      <c r="T1123" s="10"/>
      <c r="U1123" s="10"/>
      <c r="V1123" s="10"/>
      <c r="W1123" s="10"/>
      <c r="X1123" s="19"/>
    </row>
    <row r="1124" customHeight="1" spans="5:24">
      <c r="E1124" s="30"/>
      <c r="F1124" s="10"/>
      <c r="G1124" s="10"/>
      <c r="H1124" s="10"/>
      <c r="I1124" s="13"/>
      <c r="J1124" s="13"/>
      <c r="K1124" s="13"/>
      <c r="L1124" s="13"/>
      <c r="N1124" s="10"/>
      <c r="O1124" s="10"/>
      <c r="P1124" s="10"/>
      <c r="Q1124" s="30"/>
      <c r="R1124" s="18"/>
      <c r="S1124" s="19"/>
      <c r="T1124" s="10"/>
      <c r="U1124" s="10"/>
      <c r="V1124" s="10"/>
      <c r="W1124" s="10"/>
      <c r="X1124" s="19"/>
    </row>
    <row r="1125" customHeight="1" spans="5:24">
      <c r="E1125" s="30"/>
      <c r="F1125" s="10"/>
      <c r="G1125" s="10"/>
      <c r="H1125" s="10"/>
      <c r="I1125" s="13"/>
      <c r="J1125" s="13"/>
      <c r="K1125" s="13"/>
      <c r="L1125" s="13"/>
      <c r="N1125" s="10"/>
      <c r="O1125" s="10"/>
      <c r="P1125" s="10"/>
      <c r="Q1125" s="30"/>
      <c r="R1125" s="18"/>
      <c r="S1125" s="19"/>
      <c r="T1125" s="10"/>
      <c r="U1125" s="10"/>
      <c r="V1125" s="10"/>
      <c r="W1125" s="10"/>
      <c r="X1125" s="19"/>
    </row>
    <row r="1126" customHeight="1" spans="5:24">
      <c r="E1126" s="30"/>
      <c r="F1126" s="10"/>
      <c r="G1126" s="10"/>
      <c r="H1126" s="10"/>
      <c r="I1126" s="13"/>
      <c r="J1126" s="13"/>
      <c r="K1126" s="13"/>
      <c r="L1126" s="13"/>
      <c r="N1126" s="10"/>
      <c r="O1126" s="10"/>
      <c r="P1126" s="10"/>
      <c r="Q1126" s="30"/>
      <c r="R1126" s="18"/>
      <c r="S1126" s="19"/>
      <c r="T1126" s="10"/>
      <c r="U1126" s="10"/>
      <c r="V1126" s="10"/>
      <c r="W1126" s="10"/>
      <c r="X1126" s="19"/>
    </row>
    <row r="1127" customHeight="1" spans="5:24">
      <c r="E1127" s="30"/>
      <c r="F1127" s="10"/>
      <c r="G1127" s="10"/>
      <c r="H1127" s="10"/>
      <c r="I1127" s="13"/>
      <c r="J1127" s="13"/>
      <c r="K1127" s="13"/>
      <c r="L1127" s="13"/>
      <c r="N1127" s="10"/>
      <c r="O1127" s="10"/>
      <c r="P1127" s="10"/>
      <c r="Q1127" s="30"/>
      <c r="R1127" s="18"/>
      <c r="S1127" s="19"/>
      <c r="T1127" s="10"/>
      <c r="U1127" s="10"/>
      <c r="V1127" s="10"/>
      <c r="W1127" s="10"/>
      <c r="X1127" s="19"/>
    </row>
    <row r="1128" customHeight="1" spans="5:24">
      <c r="E1128" s="30"/>
      <c r="F1128" s="10"/>
      <c r="G1128" s="10"/>
      <c r="H1128" s="10"/>
      <c r="I1128" s="13"/>
      <c r="J1128" s="13"/>
      <c r="K1128" s="13"/>
      <c r="L1128" s="13"/>
      <c r="N1128" s="10"/>
      <c r="O1128" s="10"/>
      <c r="P1128" s="10"/>
      <c r="Q1128" s="30"/>
      <c r="R1128" s="18"/>
      <c r="S1128" s="19"/>
      <c r="T1128" s="10"/>
      <c r="U1128" s="10"/>
      <c r="V1128" s="10"/>
      <c r="W1128" s="10"/>
      <c r="X1128" s="19"/>
    </row>
    <row r="1129" customHeight="1" spans="5:24">
      <c r="E1129" s="30"/>
      <c r="F1129" s="10"/>
      <c r="G1129" s="10"/>
      <c r="H1129" s="10"/>
      <c r="I1129" s="13"/>
      <c r="J1129" s="13"/>
      <c r="K1129" s="13"/>
      <c r="L1129" s="13"/>
      <c r="N1129" s="10"/>
      <c r="O1129" s="10"/>
      <c r="P1129" s="10"/>
      <c r="Q1129" s="30"/>
      <c r="R1129" s="18"/>
      <c r="S1129" s="19"/>
      <c r="T1129" s="10"/>
      <c r="U1129" s="10"/>
      <c r="V1129" s="10"/>
      <c r="W1129" s="10"/>
      <c r="X1129" s="19"/>
    </row>
    <row r="1130" customHeight="1" spans="5:24">
      <c r="E1130" s="30"/>
      <c r="F1130" s="10"/>
      <c r="G1130" s="10"/>
      <c r="H1130" s="10"/>
      <c r="I1130" s="13"/>
      <c r="J1130" s="13"/>
      <c r="K1130" s="13"/>
      <c r="L1130" s="13"/>
      <c r="N1130" s="10"/>
      <c r="O1130" s="10"/>
      <c r="P1130" s="10"/>
      <c r="Q1130" s="30"/>
      <c r="R1130" s="18"/>
      <c r="S1130" s="19"/>
      <c r="T1130" s="10"/>
      <c r="U1130" s="10"/>
      <c r="V1130" s="10"/>
      <c r="W1130" s="10"/>
      <c r="X1130" s="19"/>
    </row>
    <row r="1131" customHeight="1" spans="5:24">
      <c r="E1131" s="30"/>
      <c r="F1131" s="10"/>
      <c r="G1131" s="10"/>
      <c r="H1131" s="10"/>
      <c r="I1131" s="13"/>
      <c r="J1131" s="13"/>
      <c r="K1131" s="13"/>
      <c r="L1131" s="13"/>
      <c r="N1131" s="10"/>
      <c r="O1131" s="10"/>
      <c r="P1131" s="10"/>
      <c r="Q1131" s="30"/>
      <c r="R1131" s="18"/>
      <c r="S1131" s="19"/>
      <c r="T1131" s="10"/>
      <c r="U1131" s="10"/>
      <c r="V1131" s="10"/>
      <c r="W1131" s="10"/>
      <c r="X1131" s="19"/>
    </row>
    <row r="1132" customHeight="1" spans="5:24">
      <c r="E1132" s="30"/>
      <c r="F1132" s="10"/>
      <c r="G1132" s="10"/>
      <c r="H1132" s="10"/>
      <c r="I1132" s="13"/>
      <c r="J1132" s="13"/>
      <c r="K1132" s="13"/>
      <c r="L1132" s="13"/>
      <c r="N1132" s="10"/>
      <c r="O1132" s="10"/>
      <c r="P1132" s="10"/>
      <c r="Q1132" s="30"/>
      <c r="R1132" s="18"/>
      <c r="S1132" s="19"/>
      <c r="T1132" s="10"/>
      <c r="U1132" s="10"/>
      <c r="V1132" s="10"/>
      <c r="W1132" s="10"/>
      <c r="X1132" s="19"/>
    </row>
    <row r="1133" customHeight="1" spans="5:24">
      <c r="E1133" s="30"/>
      <c r="F1133" s="10"/>
      <c r="G1133" s="10"/>
      <c r="H1133" s="10"/>
      <c r="I1133" s="13"/>
      <c r="J1133" s="13"/>
      <c r="K1133" s="13"/>
      <c r="L1133" s="13"/>
      <c r="N1133" s="10"/>
      <c r="O1133" s="10"/>
      <c r="P1133" s="10"/>
      <c r="Q1133" s="30"/>
      <c r="R1133" s="18"/>
      <c r="S1133" s="19"/>
      <c r="T1133" s="10"/>
      <c r="U1133" s="10"/>
      <c r="V1133" s="10"/>
      <c r="W1133" s="10"/>
      <c r="X1133" s="19"/>
    </row>
    <row r="1134" customHeight="1" spans="5:24">
      <c r="E1134" s="30"/>
      <c r="F1134" s="10"/>
      <c r="G1134" s="10"/>
      <c r="H1134" s="10"/>
      <c r="I1134" s="13"/>
      <c r="J1134" s="13"/>
      <c r="K1134" s="13"/>
      <c r="L1134" s="13"/>
      <c r="N1134" s="10"/>
      <c r="O1134" s="10"/>
      <c r="P1134" s="10"/>
      <c r="Q1134" s="30"/>
      <c r="R1134" s="18"/>
      <c r="S1134" s="19"/>
      <c r="T1134" s="10"/>
      <c r="U1134" s="10"/>
      <c r="V1134" s="10"/>
      <c r="W1134" s="10"/>
      <c r="X1134" s="19"/>
    </row>
    <row r="1135" customHeight="1" spans="5:24">
      <c r="E1135" s="30"/>
      <c r="F1135" s="10"/>
      <c r="G1135" s="10"/>
      <c r="H1135" s="10"/>
      <c r="I1135" s="13"/>
      <c r="J1135" s="13"/>
      <c r="K1135" s="13"/>
      <c r="L1135" s="13"/>
      <c r="N1135" s="10"/>
      <c r="O1135" s="10"/>
      <c r="P1135" s="10"/>
      <c r="Q1135" s="30"/>
      <c r="R1135" s="18"/>
      <c r="S1135" s="19"/>
      <c r="T1135" s="10"/>
      <c r="U1135" s="10"/>
      <c r="V1135" s="10"/>
      <c r="W1135" s="10"/>
      <c r="X1135" s="19"/>
    </row>
    <row r="1136" customHeight="1" spans="5:24">
      <c r="E1136" s="30"/>
      <c r="F1136" s="10"/>
      <c r="G1136" s="10"/>
      <c r="H1136" s="10"/>
      <c r="I1136" s="13"/>
      <c r="J1136" s="13"/>
      <c r="K1136" s="13"/>
      <c r="L1136" s="13"/>
      <c r="N1136" s="10"/>
      <c r="O1136" s="10"/>
      <c r="P1136" s="10"/>
      <c r="Q1136" s="30"/>
      <c r="R1136" s="18"/>
      <c r="S1136" s="19"/>
      <c r="T1136" s="10"/>
      <c r="U1136" s="10"/>
      <c r="V1136" s="10"/>
      <c r="W1136" s="10"/>
      <c r="X1136" s="19"/>
    </row>
    <row r="1137" customHeight="1" spans="5:24">
      <c r="E1137" s="30"/>
      <c r="F1137" s="10"/>
      <c r="G1137" s="10"/>
      <c r="H1137" s="10"/>
      <c r="I1137" s="13"/>
      <c r="J1137" s="13"/>
      <c r="K1137" s="13"/>
      <c r="L1137" s="13"/>
      <c r="N1137" s="10"/>
      <c r="O1137" s="10"/>
      <c r="P1137" s="10"/>
      <c r="Q1137" s="30"/>
      <c r="R1137" s="18"/>
      <c r="S1137" s="19"/>
      <c r="T1137" s="10"/>
      <c r="U1137" s="10"/>
      <c r="V1137" s="10"/>
      <c r="W1137" s="10"/>
      <c r="X1137" s="19"/>
    </row>
    <row r="1138" customHeight="1" spans="5:24">
      <c r="E1138" s="30"/>
      <c r="F1138" s="10"/>
      <c r="G1138" s="10"/>
      <c r="H1138" s="10"/>
      <c r="I1138" s="13"/>
      <c r="J1138" s="13"/>
      <c r="K1138" s="13"/>
      <c r="L1138" s="13"/>
      <c r="N1138" s="10"/>
      <c r="O1138" s="10"/>
      <c r="P1138" s="10"/>
      <c r="Q1138" s="30"/>
      <c r="R1138" s="18"/>
      <c r="S1138" s="19"/>
      <c r="T1138" s="10"/>
      <c r="U1138" s="10"/>
      <c r="V1138" s="10"/>
      <c r="W1138" s="10"/>
      <c r="X1138" s="19"/>
    </row>
    <row r="1139" customHeight="1" spans="5:24">
      <c r="E1139" s="30"/>
      <c r="F1139" s="10"/>
      <c r="G1139" s="10"/>
      <c r="H1139" s="10"/>
      <c r="I1139" s="13"/>
      <c r="J1139" s="13"/>
      <c r="K1139" s="13"/>
      <c r="L1139" s="13"/>
      <c r="N1139" s="10"/>
      <c r="O1139" s="10"/>
      <c r="P1139" s="10"/>
      <c r="Q1139" s="30"/>
      <c r="R1139" s="18"/>
      <c r="S1139" s="19"/>
      <c r="T1139" s="10"/>
      <c r="U1139" s="10"/>
      <c r="V1139" s="10"/>
      <c r="W1139" s="10"/>
      <c r="X1139" s="19"/>
    </row>
    <row r="1140" customHeight="1" spans="5:24">
      <c r="E1140" s="30"/>
      <c r="F1140" s="10"/>
      <c r="G1140" s="10"/>
      <c r="H1140" s="10"/>
      <c r="I1140" s="13"/>
      <c r="J1140" s="13"/>
      <c r="K1140" s="13"/>
      <c r="L1140" s="13"/>
      <c r="N1140" s="10"/>
      <c r="O1140" s="10"/>
      <c r="P1140" s="10"/>
      <c r="Q1140" s="30"/>
      <c r="R1140" s="18"/>
      <c r="S1140" s="19"/>
      <c r="T1140" s="10"/>
      <c r="U1140" s="10"/>
      <c r="V1140" s="10"/>
      <c r="W1140" s="10"/>
      <c r="X1140" s="19"/>
    </row>
    <row r="1141" customHeight="1" spans="5:24">
      <c r="E1141" s="30"/>
      <c r="F1141" s="10"/>
      <c r="G1141" s="10"/>
      <c r="H1141" s="10"/>
      <c r="I1141" s="13"/>
      <c r="J1141" s="13"/>
      <c r="K1141" s="13"/>
      <c r="L1141" s="13"/>
      <c r="N1141" s="10"/>
      <c r="O1141" s="10"/>
      <c r="P1141" s="10"/>
      <c r="Q1141" s="30"/>
      <c r="R1141" s="18"/>
      <c r="S1141" s="19"/>
      <c r="T1141" s="10"/>
      <c r="U1141" s="10"/>
      <c r="V1141" s="10"/>
      <c r="W1141" s="10"/>
      <c r="X1141" s="19"/>
    </row>
    <row r="1142" customHeight="1" spans="5:24">
      <c r="E1142" s="30"/>
      <c r="F1142" s="10"/>
      <c r="G1142" s="10"/>
      <c r="H1142" s="10"/>
      <c r="I1142" s="13"/>
      <c r="J1142" s="13"/>
      <c r="K1142" s="13"/>
      <c r="L1142" s="13"/>
      <c r="N1142" s="10"/>
      <c r="O1142" s="10"/>
      <c r="P1142" s="10"/>
      <c r="Q1142" s="30"/>
      <c r="R1142" s="18"/>
      <c r="S1142" s="19"/>
      <c r="T1142" s="10"/>
      <c r="U1142" s="10"/>
      <c r="V1142" s="10"/>
      <c r="W1142" s="10"/>
      <c r="X1142" s="19"/>
    </row>
    <row r="1143" customHeight="1" spans="5:24">
      <c r="E1143" s="30"/>
      <c r="F1143" s="10"/>
      <c r="G1143" s="10"/>
      <c r="H1143" s="10"/>
      <c r="I1143" s="13"/>
      <c r="J1143" s="13"/>
      <c r="K1143" s="13"/>
      <c r="L1143" s="13"/>
      <c r="N1143" s="10"/>
      <c r="O1143" s="10"/>
      <c r="P1143" s="10"/>
      <c r="Q1143" s="30"/>
      <c r="R1143" s="18"/>
      <c r="S1143" s="19"/>
      <c r="T1143" s="10"/>
      <c r="U1143" s="10"/>
      <c r="V1143" s="10"/>
      <c r="W1143" s="10"/>
      <c r="X1143" s="19"/>
    </row>
    <row r="1144" customHeight="1" spans="5:24">
      <c r="E1144" s="30"/>
      <c r="F1144" s="10"/>
      <c r="G1144" s="10"/>
      <c r="H1144" s="10"/>
      <c r="I1144" s="13"/>
      <c r="J1144" s="13"/>
      <c r="K1144" s="13"/>
      <c r="L1144" s="13"/>
      <c r="N1144" s="10"/>
      <c r="O1144" s="10"/>
      <c r="P1144" s="10"/>
      <c r="Q1144" s="30"/>
      <c r="R1144" s="18"/>
      <c r="S1144" s="19"/>
      <c r="T1144" s="10"/>
      <c r="U1144" s="10"/>
      <c r="V1144" s="10"/>
      <c r="W1144" s="10"/>
      <c r="X1144" s="19"/>
    </row>
    <row r="1145" customHeight="1" spans="5:24">
      <c r="E1145" s="30"/>
      <c r="F1145" s="10"/>
      <c r="G1145" s="10"/>
      <c r="H1145" s="10"/>
      <c r="I1145" s="13"/>
      <c r="J1145" s="13"/>
      <c r="K1145" s="13"/>
      <c r="L1145" s="13"/>
      <c r="N1145" s="10"/>
      <c r="O1145" s="10"/>
      <c r="P1145" s="10"/>
      <c r="Q1145" s="30"/>
      <c r="R1145" s="18"/>
      <c r="S1145" s="19"/>
      <c r="T1145" s="10"/>
      <c r="U1145" s="10"/>
      <c r="V1145" s="10"/>
      <c r="W1145" s="10"/>
      <c r="X1145" s="19"/>
    </row>
    <row r="1146" customHeight="1" spans="5:24">
      <c r="E1146" s="30"/>
      <c r="F1146" s="10"/>
      <c r="G1146" s="10"/>
      <c r="H1146" s="10"/>
      <c r="I1146" s="13"/>
      <c r="J1146" s="13"/>
      <c r="K1146" s="13"/>
      <c r="L1146" s="13"/>
      <c r="N1146" s="10"/>
      <c r="O1146" s="10"/>
      <c r="P1146" s="10"/>
      <c r="Q1146" s="30"/>
      <c r="R1146" s="18"/>
      <c r="S1146" s="19"/>
      <c r="T1146" s="10"/>
      <c r="U1146" s="10"/>
      <c r="V1146" s="10"/>
      <c r="W1146" s="10"/>
      <c r="X1146" s="19"/>
    </row>
    <row r="1147" customHeight="1" spans="5:24">
      <c r="E1147" s="30"/>
      <c r="F1147" s="10"/>
      <c r="G1147" s="10"/>
      <c r="H1147" s="10"/>
      <c r="I1147" s="13"/>
      <c r="J1147" s="13"/>
      <c r="K1147" s="13"/>
      <c r="L1147" s="13"/>
      <c r="N1147" s="10"/>
      <c r="O1147" s="10"/>
      <c r="P1147" s="10"/>
      <c r="Q1147" s="30"/>
      <c r="R1147" s="18"/>
      <c r="S1147" s="19"/>
      <c r="T1147" s="10"/>
      <c r="U1147" s="10"/>
      <c r="V1147" s="10"/>
      <c r="W1147" s="10"/>
      <c r="X1147" s="19"/>
    </row>
    <row r="1148" customHeight="1" spans="5:24">
      <c r="E1148" s="30"/>
      <c r="F1148" s="10"/>
      <c r="G1148" s="10"/>
      <c r="H1148" s="10"/>
      <c r="I1148" s="13"/>
      <c r="J1148" s="13"/>
      <c r="K1148" s="13"/>
      <c r="L1148" s="13"/>
      <c r="N1148" s="10"/>
      <c r="O1148" s="10"/>
      <c r="P1148" s="10"/>
      <c r="Q1148" s="30"/>
      <c r="R1148" s="18"/>
      <c r="S1148" s="19"/>
      <c r="T1148" s="10"/>
      <c r="U1148" s="10"/>
      <c r="V1148" s="10"/>
      <c r="W1148" s="10"/>
      <c r="X1148" s="19"/>
    </row>
    <row r="1149" customHeight="1" spans="5:24">
      <c r="E1149" s="30"/>
      <c r="F1149" s="10"/>
      <c r="G1149" s="10"/>
      <c r="H1149" s="10"/>
      <c r="I1149" s="13"/>
      <c r="J1149" s="13"/>
      <c r="K1149" s="13"/>
      <c r="L1149" s="13"/>
      <c r="N1149" s="10"/>
      <c r="O1149" s="10"/>
      <c r="P1149" s="10"/>
      <c r="Q1149" s="30"/>
      <c r="R1149" s="18"/>
      <c r="S1149" s="19"/>
      <c r="T1149" s="10"/>
      <c r="U1149" s="10"/>
      <c r="V1149" s="10"/>
      <c r="W1149" s="10"/>
      <c r="X1149" s="19"/>
    </row>
    <row r="1150" customHeight="1" spans="5:24">
      <c r="E1150" s="30"/>
      <c r="F1150" s="10"/>
      <c r="G1150" s="10"/>
      <c r="H1150" s="10"/>
      <c r="I1150" s="13"/>
      <c r="J1150" s="13"/>
      <c r="K1150" s="13"/>
      <c r="L1150" s="13"/>
      <c r="N1150" s="10"/>
      <c r="O1150" s="10"/>
      <c r="P1150" s="10"/>
      <c r="Q1150" s="30"/>
      <c r="R1150" s="18"/>
      <c r="S1150" s="19"/>
      <c r="T1150" s="10"/>
      <c r="U1150" s="10"/>
      <c r="V1150" s="10"/>
      <c r="W1150" s="10"/>
      <c r="X1150" s="19"/>
    </row>
    <row r="1151" customHeight="1" spans="5:24">
      <c r="E1151" s="30"/>
      <c r="F1151" s="10"/>
      <c r="G1151" s="10"/>
      <c r="H1151" s="10"/>
      <c r="I1151" s="13"/>
      <c r="J1151" s="13"/>
      <c r="K1151" s="13"/>
      <c r="L1151" s="13"/>
      <c r="N1151" s="10"/>
      <c r="O1151" s="10"/>
      <c r="P1151" s="10"/>
      <c r="Q1151" s="30"/>
      <c r="R1151" s="18"/>
      <c r="S1151" s="19"/>
      <c r="T1151" s="10"/>
      <c r="U1151" s="10"/>
      <c r="V1151" s="10"/>
      <c r="W1151" s="10"/>
      <c r="X1151" s="19"/>
    </row>
    <row r="1152" customHeight="1" spans="5:24">
      <c r="E1152" s="30"/>
      <c r="F1152" s="10"/>
      <c r="G1152" s="10"/>
      <c r="H1152" s="10"/>
      <c r="I1152" s="13"/>
      <c r="J1152" s="13"/>
      <c r="K1152" s="13"/>
      <c r="L1152" s="13"/>
      <c r="N1152" s="10"/>
      <c r="O1152" s="10"/>
      <c r="P1152" s="10"/>
      <c r="Q1152" s="30"/>
      <c r="R1152" s="18"/>
      <c r="S1152" s="19"/>
      <c r="T1152" s="10"/>
      <c r="U1152" s="10"/>
      <c r="V1152" s="10"/>
      <c r="W1152" s="10"/>
      <c r="X1152" s="19"/>
    </row>
    <row r="1153" customHeight="1" spans="5:24">
      <c r="E1153" s="30"/>
      <c r="F1153" s="10"/>
      <c r="G1153" s="10"/>
      <c r="H1153" s="10"/>
      <c r="I1153" s="13"/>
      <c r="J1153" s="13"/>
      <c r="K1153" s="13"/>
      <c r="L1153" s="13"/>
      <c r="N1153" s="10"/>
      <c r="O1153" s="10"/>
      <c r="P1153" s="10"/>
      <c r="Q1153" s="30"/>
      <c r="R1153" s="18"/>
      <c r="S1153" s="19"/>
      <c r="T1153" s="10"/>
      <c r="U1153" s="10"/>
      <c r="V1153" s="10"/>
      <c r="W1153" s="10"/>
      <c r="X1153" s="19"/>
    </row>
    <row r="1154" customHeight="1" spans="5:24">
      <c r="E1154" s="30"/>
      <c r="F1154" s="10"/>
      <c r="G1154" s="10"/>
      <c r="H1154" s="10"/>
      <c r="I1154" s="13"/>
      <c r="J1154" s="13"/>
      <c r="K1154" s="13"/>
      <c r="L1154" s="13"/>
      <c r="N1154" s="10"/>
      <c r="O1154" s="10"/>
      <c r="P1154" s="10"/>
      <c r="Q1154" s="30"/>
      <c r="R1154" s="18"/>
      <c r="S1154" s="19"/>
      <c r="T1154" s="10"/>
      <c r="U1154" s="10"/>
      <c r="V1154" s="10"/>
      <c r="W1154" s="10"/>
      <c r="X1154" s="19"/>
    </row>
    <row r="1155" customHeight="1" spans="5:24">
      <c r="E1155" s="30"/>
      <c r="F1155" s="10"/>
      <c r="G1155" s="10"/>
      <c r="H1155" s="10"/>
      <c r="I1155" s="13"/>
      <c r="J1155" s="13"/>
      <c r="K1155" s="13"/>
      <c r="L1155" s="13"/>
      <c r="N1155" s="10"/>
      <c r="O1155" s="10"/>
      <c r="P1155" s="10"/>
      <c r="Q1155" s="30"/>
      <c r="R1155" s="18"/>
      <c r="S1155" s="19"/>
      <c r="T1155" s="10"/>
      <c r="U1155" s="10"/>
      <c r="V1155" s="10"/>
      <c r="W1155" s="10"/>
      <c r="X1155" s="19"/>
    </row>
    <row r="1156" customHeight="1" spans="5:24">
      <c r="E1156" s="30"/>
      <c r="F1156" s="10"/>
      <c r="G1156" s="10"/>
      <c r="H1156" s="10"/>
      <c r="I1156" s="13"/>
      <c r="J1156" s="13"/>
      <c r="K1156" s="13"/>
      <c r="L1156" s="13"/>
      <c r="N1156" s="10"/>
      <c r="O1156" s="10"/>
      <c r="P1156" s="10"/>
      <c r="Q1156" s="30"/>
      <c r="R1156" s="18"/>
      <c r="S1156" s="19"/>
      <c r="T1156" s="10"/>
      <c r="U1156" s="10"/>
      <c r="V1156" s="10"/>
      <c r="W1156" s="10"/>
      <c r="X1156" s="19"/>
    </row>
    <row r="1157" customHeight="1" spans="5:24">
      <c r="E1157" s="30"/>
      <c r="F1157" s="10"/>
      <c r="G1157" s="10"/>
      <c r="H1157" s="10"/>
      <c r="I1157" s="13"/>
      <c r="J1157" s="13"/>
      <c r="K1157" s="13"/>
      <c r="L1157" s="13"/>
      <c r="N1157" s="10"/>
      <c r="O1157" s="10"/>
      <c r="P1157" s="10"/>
      <c r="Q1157" s="30"/>
      <c r="R1157" s="18"/>
      <c r="S1157" s="19"/>
      <c r="T1157" s="10"/>
      <c r="U1157" s="10"/>
      <c r="V1157" s="10"/>
      <c r="W1157" s="10"/>
      <c r="X1157" s="19"/>
    </row>
    <row r="1158" customHeight="1" spans="5:24">
      <c r="E1158" s="30"/>
      <c r="F1158" s="10"/>
      <c r="G1158" s="10"/>
      <c r="H1158" s="10"/>
      <c r="I1158" s="13"/>
      <c r="J1158" s="13"/>
      <c r="K1158" s="13"/>
      <c r="L1158" s="13"/>
      <c r="N1158" s="10"/>
      <c r="O1158" s="10"/>
      <c r="P1158" s="10"/>
      <c r="Q1158" s="30"/>
      <c r="R1158" s="18"/>
      <c r="S1158" s="19"/>
      <c r="T1158" s="10"/>
      <c r="U1158" s="10"/>
      <c r="V1158" s="10"/>
      <c r="W1158" s="10"/>
      <c r="X1158" s="19"/>
    </row>
    <row r="1159" customHeight="1" spans="5:24">
      <c r="E1159" s="30"/>
      <c r="F1159" s="10"/>
      <c r="G1159" s="10"/>
      <c r="H1159" s="10"/>
      <c r="I1159" s="13"/>
      <c r="J1159" s="13"/>
      <c r="K1159" s="13"/>
      <c r="L1159" s="13"/>
      <c r="N1159" s="10"/>
      <c r="O1159" s="10"/>
      <c r="P1159" s="10"/>
      <c r="Q1159" s="30"/>
      <c r="R1159" s="18"/>
      <c r="S1159" s="19"/>
      <c r="T1159" s="10"/>
      <c r="U1159" s="10"/>
      <c r="V1159" s="10"/>
      <c r="W1159" s="10"/>
      <c r="X1159" s="19"/>
    </row>
    <row r="1160" customHeight="1" spans="5:24">
      <c r="E1160" s="30"/>
      <c r="F1160" s="10"/>
      <c r="G1160" s="10"/>
      <c r="H1160" s="10"/>
      <c r="I1160" s="13"/>
      <c r="J1160" s="13"/>
      <c r="K1160" s="13"/>
      <c r="L1160" s="13"/>
      <c r="N1160" s="10"/>
      <c r="O1160" s="10"/>
      <c r="P1160" s="10"/>
      <c r="Q1160" s="30"/>
      <c r="R1160" s="18"/>
      <c r="S1160" s="19"/>
      <c r="T1160" s="10"/>
      <c r="U1160" s="10"/>
      <c r="V1160" s="10"/>
      <c r="W1160" s="10"/>
      <c r="X1160" s="19"/>
    </row>
    <row r="1161" customHeight="1" spans="5:24">
      <c r="E1161" s="30"/>
      <c r="F1161" s="10"/>
      <c r="G1161" s="10"/>
      <c r="H1161" s="10"/>
      <c r="I1161" s="13"/>
      <c r="J1161" s="13"/>
      <c r="K1161" s="13"/>
      <c r="L1161" s="13"/>
      <c r="N1161" s="10"/>
      <c r="O1161" s="10"/>
      <c r="P1161" s="10"/>
      <c r="Q1161" s="30"/>
      <c r="R1161" s="18"/>
      <c r="S1161" s="19"/>
      <c r="T1161" s="10"/>
      <c r="U1161" s="10"/>
      <c r="V1161" s="10"/>
      <c r="W1161" s="10"/>
      <c r="X1161" s="19"/>
    </row>
    <row r="1162" customHeight="1" spans="5:24">
      <c r="E1162" s="30"/>
      <c r="F1162" s="10"/>
      <c r="G1162" s="10"/>
      <c r="H1162" s="10"/>
      <c r="I1162" s="13"/>
      <c r="J1162" s="13"/>
      <c r="K1162" s="13"/>
      <c r="L1162" s="13"/>
      <c r="N1162" s="10"/>
      <c r="O1162" s="10"/>
      <c r="P1162" s="10"/>
      <c r="Q1162" s="30"/>
      <c r="R1162" s="18"/>
      <c r="S1162" s="19"/>
      <c r="T1162" s="10"/>
      <c r="U1162" s="10"/>
      <c r="V1162" s="10"/>
      <c r="W1162" s="10"/>
      <c r="X1162" s="19"/>
    </row>
    <row r="1163" customHeight="1" spans="5:24">
      <c r="E1163" s="30"/>
      <c r="F1163" s="10"/>
      <c r="G1163" s="10"/>
      <c r="H1163" s="10"/>
      <c r="I1163" s="13"/>
      <c r="J1163" s="13"/>
      <c r="K1163" s="13"/>
      <c r="L1163" s="13"/>
      <c r="N1163" s="10"/>
      <c r="O1163" s="10"/>
      <c r="P1163" s="10"/>
      <c r="Q1163" s="30"/>
      <c r="R1163" s="18"/>
      <c r="S1163" s="19"/>
      <c r="T1163" s="10"/>
      <c r="U1163" s="10"/>
      <c r="V1163" s="10"/>
      <c r="W1163" s="10"/>
      <c r="X1163" s="19"/>
    </row>
    <row r="1164" customHeight="1" spans="5:24">
      <c r="E1164" s="30"/>
      <c r="F1164" s="10"/>
      <c r="G1164" s="10"/>
      <c r="H1164" s="10"/>
      <c r="I1164" s="13"/>
      <c r="J1164" s="13"/>
      <c r="K1164" s="13"/>
      <c r="L1164" s="13"/>
      <c r="N1164" s="10"/>
      <c r="O1164" s="10"/>
      <c r="P1164" s="10"/>
      <c r="Q1164" s="30"/>
      <c r="R1164" s="18"/>
      <c r="S1164" s="19"/>
      <c r="T1164" s="10"/>
      <c r="U1164" s="10"/>
      <c r="V1164" s="10"/>
      <c r="W1164" s="10"/>
      <c r="X1164" s="19"/>
    </row>
    <row r="1165" customHeight="1" spans="5:24">
      <c r="E1165" s="30"/>
      <c r="F1165" s="10"/>
      <c r="G1165" s="10"/>
      <c r="H1165" s="10"/>
      <c r="I1165" s="13"/>
      <c r="J1165" s="13"/>
      <c r="K1165" s="13"/>
      <c r="L1165" s="13"/>
      <c r="N1165" s="10"/>
      <c r="O1165" s="10"/>
      <c r="P1165" s="10"/>
      <c r="Q1165" s="30"/>
      <c r="R1165" s="18"/>
      <c r="S1165" s="19"/>
      <c r="T1165" s="10"/>
      <c r="U1165" s="10"/>
      <c r="V1165" s="10"/>
      <c r="W1165" s="10"/>
      <c r="X1165" s="19"/>
    </row>
    <row r="1166" customHeight="1" spans="5:24">
      <c r="E1166" s="30"/>
      <c r="F1166" s="10"/>
      <c r="G1166" s="10"/>
      <c r="H1166" s="10"/>
      <c r="I1166" s="13"/>
      <c r="J1166" s="13"/>
      <c r="K1166" s="13"/>
      <c r="L1166" s="13"/>
      <c r="N1166" s="10"/>
      <c r="O1166" s="10"/>
      <c r="P1166" s="10"/>
      <c r="Q1166" s="30"/>
      <c r="R1166" s="18"/>
      <c r="S1166" s="19"/>
      <c r="T1166" s="10"/>
      <c r="U1166" s="10"/>
      <c r="V1166" s="10"/>
      <c r="W1166" s="10"/>
      <c r="X1166" s="19"/>
    </row>
    <row r="1167" customHeight="1" spans="5:24">
      <c r="E1167" s="30"/>
      <c r="F1167" s="10"/>
      <c r="G1167" s="10"/>
      <c r="H1167" s="10"/>
      <c r="I1167" s="13"/>
      <c r="J1167" s="13"/>
      <c r="K1167" s="13"/>
      <c r="L1167" s="13"/>
      <c r="N1167" s="10"/>
      <c r="O1167" s="10"/>
      <c r="P1167" s="10"/>
      <c r="Q1167" s="30"/>
      <c r="R1167" s="18"/>
      <c r="S1167" s="19"/>
      <c r="T1167" s="10"/>
      <c r="U1167" s="10"/>
      <c r="V1167" s="10"/>
      <c r="W1167" s="10"/>
      <c r="X1167" s="19"/>
    </row>
    <row r="1168" customHeight="1" spans="5:24">
      <c r="E1168" s="30"/>
      <c r="F1168" s="10"/>
      <c r="G1168" s="10"/>
      <c r="H1168" s="10"/>
      <c r="I1168" s="13"/>
      <c r="J1168" s="13"/>
      <c r="K1168" s="13"/>
      <c r="L1168" s="13"/>
      <c r="N1168" s="10"/>
      <c r="O1168" s="10"/>
      <c r="P1168" s="10"/>
      <c r="Q1168" s="30"/>
      <c r="R1168" s="18"/>
      <c r="S1168" s="19"/>
      <c r="T1168" s="10"/>
      <c r="U1168" s="10"/>
      <c r="V1168" s="10"/>
      <c r="W1168" s="10"/>
      <c r="X1168" s="19"/>
    </row>
    <row r="1169" customHeight="1" spans="5:24">
      <c r="E1169" s="30"/>
      <c r="F1169" s="10"/>
      <c r="G1169" s="10"/>
      <c r="H1169" s="10"/>
      <c r="I1169" s="13"/>
      <c r="J1169" s="13"/>
      <c r="K1169" s="13"/>
      <c r="L1169" s="13"/>
      <c r="N1169" s="10"/>
      <c r="O1169" s="10"/>
      <c r="P1169" s="10"/>
      <c r="Q1169" s="30"/>
      <c r="R1169" s="18"/>
      <c r="S1169" s="19"/>
      <c r="T1169" s="10"/>
      <c r="U1169" s="10"/>
      <c r="V1169" s="10"/>
      <c r="W1169" s="10"/>
      <c r="X1169" s="19"/>
    </row>
    <row r="1170" customHeight="1" spans="5:24">
      <c r="E1170" s="30"/>
      <c r="F1170" s="10"/>
      <c r="G1170" s="10"/>
      <c r="H1170" s="10"/>
      <c r="I1170" s="13"/>
      <c r="J1170" s="13"/>
      <c r="K1170" s="13"/>
      <c r="L1170" s="13"/>
      <c r="N1170" s="10"/>
      <c r="O1170" s="10"/>
      <c r="P1170" s="10"/>
      <c r="Q1170" s="30"/>
      <c r="R1170" s="18"/>
      <c r="S1170" s="19"/>
      <c r="T1170" s="10"/>
      <c r="U1170" s="10"/>
      <c r="V1170" s="10"/>
      <c r="W1170" s="10"/>
      <c r="X1170" s="19"/>
    </row>
    <row r="1171" customHeight="1" spans="5:24">
      <c r="E1171" s="30"/>
      <c r="F1171" s="10"/>
      <c r="G1171" s="10"/>
      <c r="H1171" s="10"/>
      <c r="I1171" s="13"/>
      <c r="J1171" s="13"/>
      <c r="K1171" s="13"/>
      <c r="L1171" s="13"/>
      <c r="N1171" s="10"/>
      <c r="O1171" s="10"/>
      <c r="P1171" s="10"/>
      <c r="Q1171" s="30"/>
      <c r="R1171" s="18"/>
      <c r="S1171" s="19"/>
      <c r="T1171" s="10"/>
      <c r="U1171" s="10"/>
      <c r="V1171" s="10"/>
      <c r="W1171" s="10"/>
      <c r="X1171" s="19"/>
    </row>
    <row r="1172" customHeight="1" spans="5:24">
      <c r="E1172" s="30"/>
      <c r="F1172" s="10"/>
      <c r="G1172" s="10"/>
      <c r="H1172" s="10"/>
      <c r="I1172" s="13"/>
      <c r="J1172" s="13"/>
      <c r="K1172" s="13"/>
      <c r="L1172" s="13"/>
      <c r="N1172" s="10"/>
      <c r="O1172" s="10"/>
      <c r="P1172" s="10"/>
      <c r="Q1172" s="30"/>
      <c r="R1172" s="18"/>
      <c r="S1172" s="19"/>
      <c r="T1172" s="10"/>
      <c r="U1172" s="10"/>
      <c r="V1172" s="10"/>
      <c r="W1172" s="10"/>
      <c r="X1172" s="19"/>
    </row>
    <row r="1173" customHeight="1" spans="5:24">
      <c r="E1173" s="30"/>
      <c r="F1173" s="10"/>
      <c r="G1173" s="10"/>
      <c r="H1173" s="10"/>
      <c r="I1173" s="13"/>
      <c r="J1173" s="13"/>
      <c r="K1173" s="13"/>
      <c r="L1173" s="13"/>
      <c r="N1173" s="10"/>
      <c r="O1173" s="10"/>
      <c r="P1173" s="10"/>
      <c r="Q1173" s="30"/>
      <c r="R1173" s="18"/>
      <c r="S1173" s="19"/>
      <c r="T1173" s="10"/>
      <c r="U1173" s="10"/>
      <c r="V1173" s="10"/>
      <c r="W1173" s="10"/>
      <c r="X1173" s="19"/>
    </row>
    <row r="1174" customHeight="1" spans="5:24">
      <c r="E1174" s="30"/>
      <c r="F1174" s="10"/>
      <c r="G1174" s="10"/>
      <c r="H1174" s="10"/>
      <c r="I1174" s="13"/>
      <c r="J1174" s="13"/>
      <c r="K1174" s="13"/>
      <c r="L1174" s="13"/>
      <c r="N1174" s="10"/>
      <c r="O1174" s="10"/>
      <c r="P1174" s="10"/>
      <c r="Q1174" s="30"/>
      <c r="R1174" s="18"/>
      <c r="S1174" s="19"/>
      <c r="T1174" s="10"/>
      <c r="U1174" s="10"/>
      <c r="V1174" s="10"/>
      <c r="W1174" s="10"/>
      <c r="X1174" s="19"/>
    </row>
    <row r="1175" customHeight="1" spans="5:24">
      <c r="E1175" s="30"/>
      <c r="F1175" s="10"/>
      <c r="G1175" s="10"/>
      <c r="H1175" s="10"/>
      <c r="I1175" s="13"/>
      <c r="J1175" s="13"/>
      <c r="K1175" s="13"/>
      <c r="L1175" s="13"/>
      <c r="N1175" s="10"/>
      <c r="O1175" s="10"/>
      <c r="P1175" s="10"/>
      <c r="Q1175" s="30"/>
      <c r="R1175" s="18"/>
      <c r="S1175" s="19"/>
      <c r="T1175" s="10"/>
      <c r="U1175" s="10"/>
      <c r="V1175" s="10"/>
      <c r="W1175" s="10"/>
      <c r="X1175" s="19"/>
    </row>
    <row r="1176" customHeight="1" spans="5:24">
      <c r="E1176" s="30"/>
      <c r="F1176" s="10"/>
      <c r="G1176" s="10"/>
      <c r="H1176" s="10"/>
      <c r="I1176" s="13"/>
      <c r="J1176" s="13"/>
      <c r="K1176" s="13"/>
      <c r="L1176" s="13"/>
      <c r="N1176" s="10"/>
      <c r="O1176" s="10"/>
      <c r="P1176" s="10"/>
      <c r="Q1176" s="30"/>
      <c r="R1176" s="18"/>
      <c r="S1176" s="19"/>
      <c r="T1176" s="10"/>
      <c r="U1176" s="10"/>
      <c r="V1176" s="10"/>
      <c r="W1176" s="10"/>
      <c r="X1176" s="19"/>
    </row>
    <row r="1177" customHeight="1" spans="5:24">
      <c r="E1177" s="30"/>
      <c r="F1177" s="10"/>
      <c r="G1177" s="10"/>
      <c r="H1177" s="10"/>
      <c r="I1177" s="13"/>
      <c r="J1177" s="13"/>
      <c r="K1177" s="13"/>
      <c r="L1177" s="13"/>
      <c r="N1177" s="10"/>
      <c r="O1177" s="10"/>
      <c r="P1177" s="10"/>
      <c r="Q1177" s="30"/>
      <c r="R1177" s="18"/>
      <c r="S1177" s="19"/>
      <c r="T1177" s="10"/>
      <c r="U1177" s="10"/>
      <c r="V1177" s="10"/>
      <c r="W1177" s="10"/>
      <c r="X1177" s="19"/>
    </row>
    <row r="1178" customHeight="1" spans="5:24">
      <c r="E1178" s="30"/>
      <c r="F1178" s="10"/>
      <c r="G1178" s="10"/>
      <c r="H1178" s="10"/>
      <c r="I1178" s="13"/>
      <c r="J1178" s="13"/>
      <c r="K1178" s="13"/>
      <c r="L1178" s="13"/>
      <c r="N1178" s="10"/>
      <c r="O1178" s="10"/>
      <c r="P1178" s="10"/>
      <c r="Q1178" s="30"/>
      <c r="R1178" s="18"/>
      <c r="S1178" s="19"/>
      <c r="T1178" s="10"/>
      <c r="U1178" s="10"/>
      <c r="V1178" s="10"/>
      <c r="W1178" s="10"/>
      <c r="X1178" s="19"/>
    </row>
    <row r="1179" customHeight="1" spans="5:24">
      <c r="E1179" s="30"/>
      <c r="F1179" s="10"/>
      <c r="G1179" s="10"/>
      <c r="H1179" s="10"/>
      <c r="I1179" s="13"/>
      <c r="J1179" s="13"/>
      <c r="K1179" s="13"/>
      <c r="L1179" s="13"/>
      <c r="N1179" s="10"/>
      <c r="O1179" s="10"/>
      <c r="P1179" s="10"/>
      <c r="Q1179" s="30"/>
      <c r="R1179" s="18"/>
      <c r="S1179" s="19"/>
      <c r="T1179" s="10"/>
      <c r="U1179" s="10"/>
      <c r="V1179" s="10"/>
      <c r="W1179" s="10"/>
      <c r="X1179" s="19"/>
    </row>
    <row r="1180" customHeight="1" spans="5:24">
      <c r="E1180" s="30"/>
      <c r="F1180" s="10"/>
      <c r="G1180" s="10"/>
      <c r="H1180" s="10"/>
      <c r="I1180" s="13"/>
      <c r="J1180" s="13"/>
      <c r="K1180" s="13"/>
      <c r="L1180" s="13"/>
      <c r="N1180" s="10"/>
      <c r="O1180" s="10"/>
      <c r="P1180" s="10"/>
      <c r="Q1180" s="30"/>
      <c r="R1180" s="18"/>
      <c r="S1180" s="19"/>
      <c r="T1180" s="10"/>
      <c r="U1180" s="10"/>
      <c r="V1180" s="10"/>
      <c r="W1180" s="10"/>
      <c r="X1180" s="19"/>
    </row>
    <row r="1181" customHeight="1" spans="5:24">
      <c r="E1181" s="30"/>
      <c r="F1181" s="10"/>
      <c r="G1181" s="10"/>
      <c r="H1181" s="10"/>
      <c r="I1181" s="13"/>
      <c r="J1181" s="13"/>
      <c r="K1181" s="13"/>
      <c r="L1181" s="13"/>
      <c r="N1181" s="10"/>
      <c r="O1181" s="10"/>
      <c r="P1181" s="10"/>
      <c r="Q1181" s="30"/>
      <c r="R1181" s="18"/>
      <c r="S1181" s="19"/>
      <c r="T1181" s="10"/>
      <c r="U1181" s="10"/>
      <c r="V1181" s="10"/>
      <c r="W1181" s="10"/>
      <c r="X1181" s="19"/>
    </row>
    <row r="1182" customHeight="1" spans="5:24">
      <c r="E1182" s="30"/>
      <c r="F1182" s="10"/>
      <c r="G1182" s="10"/>
      <c r="H1182" s="10"/>
      <c r="I1182" s="13"/>
      <c r="J1182" s="13"/>
      <c r="K1182" s="13"/>
      <c r="L1182" s="13"/>
      <c r="N1182" s="10"/>
      <c r="O1182" s="10"/>
      <c r="P1182" s="10"/>
      <c r="Q1182" s="30"/>
      <c r="R1182" s="18"/>
      <c r="S1182" s="19"/>
      <c r="T1182" s="10"/>
      <c r="U1182" s="10"/>
      <c r="V1182" s="10"/>
      <c r="W1182" s="10"/>
      <c r="X1182" s="19"/>
    </row>
    <row r="1183" customHeight="1" spans="5:24">
      <c r="E1183" s="30"/>
      <c r="F1183" s="10"/>
      <c r="G1183" s="10"/>
      <c r="H1183" s="10"/>
      <c r="I1183" s="13"/>
      <c r="J1183" s="13"/>
      <c r="K1183" s="13"/>
      <c r="L1183" s="13"/>
      <c r="N1183" s="10"/>
      <c r="O1183" s="10"/>
      <c r="P1183" s="10"/>
      <c r="Q1183" s="30"/>
      <c r="R1183" s="18"/>
      <c r="S1183" s="19"/>
      <c r="T1183" s="10"/>
      <c r="U1183" s="10"/>
      <c r="V1183" s="10"/>
      <c r="W1183" s="10"/>
      <c r="X1183" s="19"/>
    </row>
    <row r="1184" customHeight="1" spans="5:24">
      <c r="E1184" s="30"/>
      <c r="F1184" s="10"/>
      <c r="G1184" s="10"/>
      <c r="H1184" s="10"/>
      <c r="I1184" s="13"/>
      <c r="J1184" s="13"/>
      <c r="K1184" s="13"/>
      <c r="L1184" s="13"/>
      <c r="N1184" s="10"/>
      <c r="O1184" s="10"/>
      <c r="P1184" s="10"/>
      <c r="Q1184" s="30"/>
      <c r="R1184" s="18"/>
      <c r="S1184" s="19"/>
      <c r="T1184" s="10"/>
      <c r="U1184" s="10"/>
      <c r="V1184" s="10"/>
      <c r="W1184" s="10"/>
      <c r="X1184" s="19"/>
    </row>
    <row r="1185" customHeight="1" spans="5:24">
      <c r="E1185" s="30"/>
      <c r="F1185" s="10"/>
      <c r="G1185" s="10"/>
      <c r="H1185" s="10"/>
      <c r="I1185" s="13"/>
      <c r="J1185" s="13"/>
      <c r="K1185" s="13"/>
      <c r="L1185" s="13"/>
      <c r="N1185" s="10"/>
      <c r="O1185" s="10"/>
      <c r="P1185" s="10"/>
      <c r="Q1185" s="30"/>
      <c r="R1185" s="18"/>
      <c r="S1185" s="19"/>
      <c r="T1185" s="10"/>
      <c r="U1185" s="10"/>
      <c r="V1185" s="10"/>
      <c r="W1185" s="10"/>
      <c r="X1185" s="19"/>
    </row>
    <row r="1186" customHeight="1" spans="5:24">
      <c r="E1186" s="30"/>
      <c r="F1186" s="10"/>
      <c r="G1186" s="10"/>
      <c r="H1186" s="10"/>
      <c r="I1186" s="13"/>
      <c r="J1186" s="13"/>
      <c r="K1186" s="13"/>
      <c r="L1186" s="13"/>
      <c r="N1186" s="10"/>
      <c r="O1186" s="10"/>
      <c r="P1186" s="10"/>
      <c r="Q1186" s="30"/>
      <c r="R1186" s="18"/>
      <c r="S1186" s="19"/>
      <c r="T1186" s="10"/>
      <c r="U1186" s="10"/>
      <c r="V1186" s="10"/>
      <c r="W1186" s="10"/>
      <c r="X1186" s="19"/>
    </row>
    <row r="1187" customHeight="1" spans="5:24">
      <c r="E1187" s="30"/>
      <c r="F1187" s="10"/>
      <c r="G1187" s="10"/>
      <c r="H1187" s="10"/>
      <c r="I1187" s="13"/>
      <c r="J1187" s="13"/>
      <c r="K1187" s="13"/>
      <c r="L1187" s="13"/>
      <c r="N1187" s="10"/>
      <c r="O1187" s="10"/>
      <c r="P1187" s="10"/>
      <c r="Q1187" s="30"/>
      <c r="R1187" s="18"/>
      <c r="S1187" s="19"/>
      <c r="T1187" s="10"/>
      <c r="U1187" s="10"/>
      <c r="V1187" s="10"/>
      <c r="W1187" s="10"/>
      <c r="X1187" s="19"/>
    </row>
    <row r="1188" customHeight="1" spans="5:24">
      <c r="E1188" s="30"/>
      <c r="F1188" s="10"/>
      <c r="G1188" s="10"/>
      <c r="H1188" s="10"/>
      <c r="I1188" s="13"/>
      <c r="J1188" s="13"/>
      <c r="K1188" s="13"/>
      <c r="L1188" s="13"/>
      <c r="N1188" s="10"/>
      <c r="O1188" s="10"/>
      <c r="P1188" s="10"/>
      <c r="Q1188" s="30"/>
      <c r="R1188" s="18"/>
      <c r="S1188" s="19"/>
      <c r="T1188" s="10"/>
      <c r="U1188" s="10"/>
      <c r="V1188" s="10"/>
      <c r="W1188" s="10"/>
      <c r="X1188" s="19"/>
    </row>
    <row r="1189" customHeight="1" spans="5:24">
      <c r="E1189" s="30"/>
      <c r="F1189" s="10"/>
      <c r="G1189" s="10"/>
      <c r="H1189" s="10"/>
      <c r="I1189" s="13"/>
      <c r="J1189" s="13"/>
      <c r="K1189" s="13"/>
      <c r="L1189" s="13"/>
      <c r="N1189" s="10"/>
      <c r="O1189" s="10"/>
      <c r="P1189" s="10"/>
      <c r="Q1189" s="30"/>
      <c r="R1189" s="18"/>
      <c r="S1189" s="19"/>
      <c r="T1189" s="10"/>
      <c r="U1189" s="10"/>
      <c r="V1189" s="10"/>
      <c r="W1189" s="10"/>
      <c r="X1189" s="19"/>
    </row>
    <row r="1190" customHeight="1" spans="5:24">
      <c r="E1190" s="30"/>
      <c r="F1190" s="10"/>
      <c r="G1190" s="10"/>
      <c r="H1190" s="10"/>
      <c r="I1190" s="13"/>
      <c r="J1190" s="13"/>
      <c r="K1190" s="13"/>
      <c r="L1190" s="13"/>
      <c r="N1190" s="10"/>
      <c r="O1190" s="10"/>
      <c r="P1190" s="10"/>
      <c r="Q1190" s="30"/>
      <c r="R1190" s="18"/>
      <c r="S1190" s="19"/>
      <c r="T1190" s="10"/>
      <c r="U1190" s="10"/>
      <c r="V1190" s="10"/>
      <c r="W1190" s="10"/>
      <c r="X1190" s="19"/>
    </row>
    <row r="1191" customHeight="1" spans="5:24">
      <c r="E1191" s="30"/>
      <c r="F1191" s="10"/>
      <c r="G1191" s="10"/>
      <c r="H1191" s="10"/>
      <c r="I1191" s="13"/>
      <c r="J1191" s="13"/>
      <c r="K1191" s="13"/>
      <c r="L1191" s="13"/>
      <c r="N1191" s="10"/>
      <c r="O1191" s="10"/>
      <c r="P1191" s="10"/>
      <c r="Q1191" s="30"/>
      <c r="R1191" s="18"/>
      <c r="S1191" s="19"/>
      <c r="T1191" s="10"/>
      <c r="U1191" s="10"/>
      <c r="V1191" s="10"/>
      <c r="W1191" s="10"/>
      <c r="X1191" s="19"/>
    </row>
    <row r="1192" customHeight="1" spans="5:24">
      <c r="E1192" s="30"/>
      <c r="F1192" s="10"/>
      <c r="G1192" s="10"/>
      <c r="H1192" s="10"/>
      <c r="I1192" s="13"/>
      <c r="J1192" s="13"/>
      <c r="K1192" s="13"/>
      <c r="L1192" s="13"/>
      <c r="N1192" s="10"/>
      <c r="O1192" s="10"/>
      <c r="P1192" s="10"/>
      <c r="Q1192" s="30"/>
      <c r="R1192" s="18"/>
      <c r="S1192" s="19"/>
      <c r="T1192" s="10"/>
      <c r="U1192" s="10"/>
      <c r="V1192" s="10"/>
      <c r="W1192" s="10"/>
      <c r="X1192" s="19"/>
    </row>
    <row r="1193" customHeight="1" spans="5:24">
      <c r="E1193" s="30"/>
      <c r="F1193" s="10"/>
      <c r="G1193" s="10"/>
      <c r="H1193" s="10"/>
      <c r="I1193" s="13"/>
      <c r="J1193" s="13"/>
      <c r="K1193" s="13"/>
      <c r="L1193" s="13"/>
      <c r="N1193" s="10"/>
      <c r="O1193" s="10"/>
      <c r="P1193" s="10"/>
      <c r="Q1193" s="30"/>
      <c r="R1193" s="18"/>
      <c r="S1193" s="19"/>
      <c r="T1193" s="10"/>
      <c r="U1193" s="10"/>
      <c r="V1193" s="10"/>
      <c r="W1193" s="10"/>
      <c r="X1193" s="19"/>
    </row>
    <row r="1194" customHeight="1" spans="5:24">
      <c r="E1194" s="30"/>
      <c r="F1194" s="10"/>
      <c r="G1194" s="10"/>
      <c r="H1194" s="10"/>
      <c r="I1194" s="13"/>
      <c r="J1194" s="13"/>
      <c r="K1194" s="13"/>
      <c r="L1194" s="13"/>
      <c r="N1194" s="10"/>
      <c r="O1194" s="10"/>
      <c r="P1194" s="10"/>
      <c r="Q1194" s="30"/>
      <c r="R1194" s="18"/>
      <c r="S1194" s="19"/>
      <c r="T1194" s="10"/>
      <c r="U1194" s="10"/>
      <c r="V1194" s="10"/>
      <c r="W1194" s="10"/>
      <c r="X1194" s="19"/>
    </row>
    <row r="1195" customHeight="1" spans="5:24">
      <c r="E1195" s="30"/>
      <c r="F1195" s="10"/>
      <c r="G1195" s="10"/>
      <c r="H1195" s="10"/>
      <c r="I1195" s="13"/>
      <c r="J1195" s="13"/>
      <c r="K1195" s="13"/>
      <c r="L1195" s="13"/>
      <c r="N1195" s="10"/>
      <c r="O1195" s="10"/>
      <c r="P1195" s="10"/>
      <c r="Q1195" s="30"/>
      <c r="R1195" s="18"/>
      <c r="S1195" s="19"/>
      <c r="T1195" s="10"/>
      <c r="U1195" s="10"/>
      <c r="V1195" s="10"/>
      <c r="W1195" s="10"/>
      <c r="X1195" s="19"/>
    </row>
    <row r="1196" customHeight="1" spans="5:24">
      <c r="E1196" s="30"/>
      <c r="F1196" s="10"/>
      <c r="G1196" s="10"/>
      <c r="H1196" s="10"/>
      <c r="I1196" s="13"/>
      <c r="J1196" s="13"/>
      <c r="K1196" s="13"/>
      <c r="L1196" s="13"/>
      <c r="N1196" s="10"/>
      <c r="O1196" s="10"/>
      <c r="P1196" s="10"/>
      <c r="Q1196" s="30"/>
      <c r="R1196" s="18"/>
      <c r="S1196" s="19"/>
      <c r="T1196" s="10"/>
      <c r="U1196" s="10"/>
      <c r="V1196" s="10"/>
      <c r="W1196" s="10"/>
      <c r="X1196" s="19"/>
    </row>
    <row r="1197" customHeight="1" spans="5:24">
      <c r="E1197" s="30"/>
      <c r="F1197" s="10"/>
      <c r="G1197" s="10"/>
      <c r="H1197" s="10"/>
      <c r="I1197" s="13"/>
      <c r="J1197" s="13"/>
      <c r="K1197" s="13"/>
      <c r="L1197" s="13"/>
      <c r="N1197" s="10"/>
      <c r="O1197" s="10"/>
      <c r="P1197" s="10"/>
      <c r="Q1197" s="30"/>
      <c r="R1197" s="18"/>
      <c r="S1197" s="19"/>
      <c r="T1197" s="10"/>
      <c r="U1197" s="10"/>
      <c r="V1197" s="10"/>
      <c r="W1197" s="10"/>
      <c r="X1197" s="19"/>
    </row>
    <row r="1198" customHeight="1" spans="5:24">
      <c r="E1198" s="30"/>
      <c r="F1198" s="10"/>
      <c r="G1198" s="10"/>
      <c r="H1198" s="10"/>
      <c r="I1198" s="13"/>
      <c r="J1198" s="13"/>
      <c r="K1198" s="13"/>
      <c r="L1198" s="13"/>
      <c r="N1198" s="10"/>
      <c r="O1198" s="10"/>
      <c r="P1198" s="10"/>
      <c r="Q1198" s="30"/>
      <c r="R1198" s="18"/>
      <c r="S1198" s="19"/>
      <c r="T1198" s="10"/>
      <c r="U1198" s="10"/>
      <c r="V1198" s="10"/>
      <c r="W1198" s="10"/>
      <c r="X1198" s="19"/>
    </row>
    <row r="1199" customHeight="1" spans="5:24">
      <c r="E1199" s="30"/>
      <c r="F1199" s="10"/>
      <c r="G1199" s="10"/>
      <c r="H1199" s="10"/>
      <c r="I1199" s="13"/>
      <c r="J1199" s="13"/>
      <c r="K1199" s="13"/>
      <c r="L1199" s="13"/>
      <c r="N1199" s="10"/>
      <c r="O1199" s="10"/>
      <c r="P1199" s="10"/>
      <c r="Q1199" s="30"/>
      <c r="R1199" s="18"/>
      <c r="S1199" s="19"/>
      <c r="T1199" s="10"/>
      <c r="U1199" s="10"/>
      <c r="V1199" s="10"/>
      <c r="W1199" s="10"/>
      <c r="X1199" s="19"/>
    </row>
    <row r="1200" customHeight="1" spans="5:24">
      <c r="E1200" s="30"/>
      <c r="F1200" s="10"/>
      <c r="G1200" s="10"/>
      <c r="H1200" s="10"/>
      <c r="I1200" s="13"/>
      <c r="J1200" s="13"/>
      <c r="K1200" s="13"/>
      <c r="L1200" s="13"/>
      <c r="N1200" s="10"/>
      <c r="O1200" s="10"/>
      <c r="P1200" s="10"/>
      <c r="Q1200" s="30"/>
      <c r="R1200" s="18"/>
      <c r="S1200" s="19"/>
      <c r="T1200" s="10"/>
      <c r="U1200" s="10"/>
      <c r="V1200" s="10"/>
      <c r="W1200" s="10"/>
      <c r="X1200" s="19"/>
    </row>
    <row r="1201" customHeight="1" spans="5:24">
      <c r="E1201" s="30"/>
      <c r="F1201" s="10"/>
      <c r="G1201" s="10"/>
      <c r="H1201" s="10"/>
      <c r="I1201" s="13"/>
      <c r="J1201" s="13"/>
      <c r="K1201" s="13"/>
      <c r="L1201" s="13"/>
      <c r="N1201" s="10"/>
      <c r="O1201" s="10"/>
      <c r="P1201" s="10"/>
      <c r="Q1201" s="30"/>
      <c r="R1201" s="18"/>
      <c r="S1201" s="19"/>
      <c r="T1201" s="10"/>
      <c r="U1201" s="10"/>
      <c r="V1201" s="10"/>
      <c r="W1201" s="10"/>
      <c r="X1201" s="19"/>
    </row>
    <row r="1202" customHeight="1" spans="5:24">
      <c r="E1202" s="30"/>
      <c r="F1202" s="10"/>
      <c r="G1202" s="10"/>
      <c r="H1202" s="10"/>
      <c r="I1202" s="13"/>
      <c r="J1202" s="13"/>
      <c r="K1202" s="13"/>
      <c r="L1202" s="13"/>
      <c r="N1202" s="10"/>
      <c r="O1202" s="10"/>
      <c r="P1202" s="10"/>
      <c r="Q1202" s="30"/>
      <c r="R1202" s="18"/>
      <c r="S1202" s="19"/>
      <c r="T1202" s="10"/>
      <c r="U1202" s="10"/>
      <c r="V1202" s="10"/>
      <c r="W1202" s="10"/>
      <c r="X1202" s="19"/>
    </row>
    <row r="1203" customHeight="1" spans="5:24">
      <c r="E1203" s="30"/>
      <c r="F1203" s="10"/>
      <c r="G1203" s="10"/>
      <c r="H1203" s="10"/>
      <c r="I1203" s="13"/>
      <c r="J1203" s="13"/>
      <c r="K1203" s="13"/>
      <c r="L1203" s="13"/>
      <c r="N1203" s="10"/>
      <c r="O1203" s="10"/>
      <c r="P1203" s="10"/>
      <c r="Q1203" s="30"/>
      <c r="R1203" s="18"/>
      <c r="S1203" s="19"/>
      <c r="T1203" s="10"/>
      <c r="U1203" s="10"/>
      <c r="V1203" s="10"/>
      <c r="W1203" s="10"/>
      <c r="X1203" s="19"/>
    </row>
    <row r="1204" customHeight="1" spans="5:24">
      <c r="E1204" s="30"/>
      <c r="F1204" s="10"/>
      <c r="G1204" s="10"/>
      <c r="H1204" s="10"/>
      <c r="I1204" s="13"/>
      <c r="J1204" s="13"/>
      <c r="K1204" s="13"/>
      <c r="L1204" s="13"/>
      <c r="N1204" s="10"/>
      <c r="O1204" s="10"/>
      <c r="P1204" s="10"/>
      <c r="Q1204" s="30"/>
      <c r="R1204" s="18"/>
      <c r="S1204" s="19"/>
      <c r="T1204" s="10"/>
      <c r="U1204" s="10"/>
      <c r="V1204" s="10"/>
      <c r="W1204" s="10"/>
      <c r="X1204" s="19"/>
    </row>
    <row r="1205" customHeight="1" spans="5:24">
      <c r="E1205" s="30"/>
      <c r="F1205" s="10"/>
      <c r="G1205" s="10"/>
      <c r="H1205" s="10"/>
      <c r="I1205" s="13"/>
      <c r="J1205" s="13"/>
      <c r="K1205" s="13"/>
      <c r="L1205" s="13"/>
      <c r="N1205" s="10"/>
      <c r="O1205" s="10"/>
      <c r="P1205" s="10"/>
      <c r="Q1205" s="30"/>
      <c r="R1205" s="18"/>
      <c r="S1205" s="19"/>
      <c r="T1205" s="10"/>
      <c r="U1205" s="10"/>
      <c r="V1205" s="10"/>
      <c r="W1205" s="10"/>
      <c r="X1205" s="19"/>
    </row>
    <row r="1206" customHeight="1" spans="5:24">
      <c r="E1206" s="30"/>
      <c r="F1206" s="10"/>
      <c r="G1206" s="10"/>
      <c r="H1206" s="10"/>
      <c r="I1206" s="13"/>
      <c r="J1206" s="13"/>
      <c r="K1206" s="13"/>
      <c r="L1206" s="13"/>
      <c r="N1206" s="10"/>
      <c r="O1206" s="10"/>
      <c r="P1206" s="10"/>
      <c r="Q1206" s="30"/>
      <c r="R1206" s="18"/>
      <c r="S1206" s="19"/>
      <c r="T1206" s="10"/>
      <c r="U1206" s="10"/>
      <c r="V1206" s="10"/>
      <c r="W1206" s="10"/>
      <c r="X1206" s="19"/>
    </row>
    <row r="1207" customHeight="1" spans="5:24">
      <c r="E1207" s="30"/>
      <c r="F1207" s="10"/>
      <c r="G1207" s="10"/>
      <c r="H1207" s="10"/>
      <c r="I1207" s="13"/>
      <c r="J1207" s="13"/>
      <c r="K1207" s="13"/>
      <c r="L1207" s="13"/>
      <c r="N1207" s="10"/>
      <c r="O1207" s="10"/>
      <c r="P1207" s="10"/>
      <c r="Q1207" s="30"/>
      <c r="R1207" s="18"/>
      <c r="S1207" s="19"/>
      <c r="T1207" s="10"/>
      <c r="U1207" s="10"/>
      <c r="V1207" s="10"/>
      <c r="W1207" s="10"/>
      <c r="X1207" s="19"/>
    </row>
    <row r="1208" customHeight="1" spans="5:24">
      <c r="E1208" s="30"/>
      <c r="F1208" s="10"/>
      <c r="G1208" s="10"/>
      <c r="H1208" s="10"/>
      <c r="I1208" s="13"/>
      <c r="J1208" s="13"/>
      <c r="K1208" s="13"/>
      <c r="L1208" s="13"/>
      <c r="N1208" s="10"/>
      <c r="O1208" s="10"/>
      <c r="P1208" s="10"/>
      <c r="Q1208" s="30"/>
      <c r="R1208" s="18"/>
      <c r="S1208" s="19"/>
      <c r="T1208" s="10"/>
      <c r="U1208" s="10"/>
      <c r="V1208" s="10"/>
      <c r="W1208" s="10"/>
      <c r="X1208" s="19"/>
    </row>
    <row r="1209" customHeight="1" spans="5:24">
      <c r="E1209" s="30"/>
      <c r="F1209" s="10"/>
      <c r="G1209" s="10"/>
      <c r="H1209" s="10"/>
      <c r="I1209" s="13"/>
      <c r="J1209" s="13"/>
      <c r="K1209" s="13"/>
      <c r="L1209" s="13"/>
      <c r="N1209" s="10"/>
      <c r="O1209" s="10"/>
      <c r="P1209" s="10"/>
      <c r="Q1209" s="30"/>
      <c r="R1209" s="18"/>
      <c r="S1209" s="19"/>
      <c r="T1209" s="10"/>
      <c r="U1209" s="10"/>
      <c r="V1209" s="10"/>
      <c r="W1209" s="10"/>
      <c r="X1209" s="19"/>
    </row>
    <row r="1210" customHeight="1" spans="5:24">
      <c r="E1210" s="30"/>
      <c r="F1210" s="10"/>
      <c r="G1210" s="10"/>
      <c r="H1210" s="10"/>
      <c r="I1210" s="13"/>
      <c r="J1210" s="13"/>
      <c r="K1210" s="13"/>
      <c r="L1210" s="13"/>
      <c r="N1210" s="10"/>
      <c r="O1210" s="10"/>
      <c r="P1210" s="10"/>
      <c r="Q1210" s="30"/>
      <c r="R1210" s="18"/>
      <c r="S1210" s="19"/>
      <c r="T1210" s="10"/>
      <c r="U1210" s="10"/>
      <c r="V1210" s="10"/>
      <c r="W1210" s="10"/>
      <c r="X1210" s="19"/>
    </row>
    <row r="1211" customHeight="1" spans="5:24">
      <c r="E1211" s="30"/>
      <c r="F1211" s="10"/>
      <c r="G1211" s="10"/>
      <c r="H1211" s="10"/>
      <c r="I1211" s="13"/>
      <c r="J1211" s="13"/>
      <c r="K1211" s="13"/>
      <c r="L1211" s="13"/>
      <c r="N1211" s="10"/>
      <c r="O1211" s="10"/>
      <c r="P1211" s="10"/>
      <c r="Q1211" s="30"/>
      <c r="R1211" s="18"/>
      <c r="S1211" s="19"/>
      <c r="T1211" s="10"/>
      <c r="U1211" s="10"/>
      <c r="V1211" s="10"/>
      <c r="W1211" s="10"/>
      <c r="X1211" s="19"/>
    </row>
    <row r="1212" customHeight="1" spans="5:24">
      <c r="E1212" s="30"/>
      <c r="F1212" s="10"/>
      <c r="G1212" s="10"/>
      <c r="H1212" s="10"/>
      <c r="I1212" s="13"/>
      <c r="J1212" s="13"/>
      <c r="K1212" s="13"/>
      <c r="L1212" s="13"/>
      <c r="N1212" s="10"/>
      <c r="O1212" s="10"/>
      <c r="P1212" s="10"/>
      <c r="Q1212" s="30"/>
      <c r="R1212" s="18"/>
      <c r="S1212" s="19"/>
      <c r="T1212" s="10"/>
      <c r="U1212" s="10"/>
      <c r="V1212" s="10"/>
      <c r="W1212" s="10"/>
      <c r="X1212" s="19"/>
    </row>
    <row r="1213" customHeight="1" spans="5:24">
      <c r="E1213" s="30"/>
      <c r="F1213" s="10"/>
      <c r="G1213" s="10"/>
      <c r="H1213" s="10"/>
      <c r="I1213" s="13"/>
      <c r="J1213" s="13"/>
      <c r="K1213" s="13"/>
      <c r="L1213" s="13"/>
      <c r="N1213" s="10"/>
      <c r="O1213" s="10"/>
      <c r="P1213" s="10"/>
      <c r="Q1213" s="30"/>
      <c r="R1213" s="18"/>
      <c r="S1213" s="19"/>
      <c r="T1213" s="10"/>
      <c r="U1213" s="10"/>
      <c r="V1213" s="10"/>
      <c r="W1213" s="10"/>
      <c r="X1213" s="19"/>
    </row>
    <row r="1214" customHeight="1" spans="5:24">
      <c r="E1214" s="30"/>
      <c r="F1214" s="10"/>
      <c r="G1214" s="10"/>
      <c r="H1214" s="10"/>
      <c r="I1214" s="13"/>
      <c r="J1214" s="13"/>
      <c r="K1214" s="13"/>
      <c r="L1214" s="13"/>
      <c r="N1214" s="10"/>
      <c r="O1214" s="10"/>
      <c r="P1214" s="10"/>
      <c r="Q1214" s="30"/>
      <c r="R1214" s="18"/>
      <c r="S1214" s="19"/>
      <c r="T1214" s="10"/>
      <c r="U1214" s="10"/>
      <c r="V1214" s="10"/>
      <c r="W1214" s="10"/>
      <c r="X1214" s="19"/>
    </row>
    <row r="1215" customHeight="1" spans="5:24">
      <c r="E1215" s="30"/>
      <c r="F1215" s="10"/>
      <c r="G1215" s="10"/>
      <c r="H1215" s="10"/>
      <c r="I1215" s="13"/>
      <c r="J1215" s="13"/>
      <c r="K1215" s="13"/>
      <c r="L1215" s="13"/>
      <c r="N1215" s="10"/>
      <c r="O1215" s="10"/>
      <c r="P1215" s="10"/>
      <c r="Q1215" s="30"/>
      <c r="R1215" s="18"/>
      <c r="S1215" s="19"/>
      <c r="T1215" s="10"/>
      <c r="U1215" s="10"/>
      <c r="V1215" s="10"/>
      <c r="W1215" s="10"/>
      <c r="X1215" s="19"/>
    </row>
    <row r="1216" customHeight="1" spans="5:24">
      <c r="E1216" s="30"/>
      <c r="F1216" s="10"/>
      <c r="G1216" s="10"/>
      <c r="H1216" s="10"/>
      <c r="I1216" s="13"/>
      <c r="J1216" s="13"/>
      <c r="K1216" s="13"/>
      <c r="L1216" s="13"/>
      <c r="N1216" s="10"/>
      <c r="O1216" s="10"/>
      <c r="P1216" s="10"/>
      <c r="Q1216" s="30"/>
      <c r="R1216" s="18"/>
      <c r="S1216" s="19"/>
      <c r="T1216" s="10"/>
      <c r="U1216" s="10"/>
      <c r="V1216" s="10"/>
      <c r="W1216" s="10"/>
      <c r="X1216" s="19"/>
    </row>
    <row r="1217" customHeight="1" spans="5:24">
      <c r="E1217" s="30"/>
      <c r="F1217" s="10"/>
      <c r="G1217" s="10"/>
      <c r="H1217" s="10"/>
      <c r="I1217" s="13"/>
      <c r="J1217" s="13"/>
      <c r="K1217" s="13"/>
      <c r="L1217" s="13"/>
      <c r="N1217" s="10"/>
      <c r="O1217" s="10"/>
      <c r="P1217" s="10"/>
      <c r="Q1217" s="30"/>
      <c r="R1217" s="18"/>
      <c r="S1217" s="19"/>
      <c r="T1217" s="10"/>
      <c r="U1217" s="10"/>
      <c r="V1217" s="10"/>
      <c r="W1217" s="10"/>
      <c r="X1217" s="19"/>
    </row>
    <row r="1218" customHeight="1" spans="5:24">
      <c r="E1218" s="30"/>
      <c r="F1218" s="10"/>
      <c r="G1218" s="10"/>
      <c r="H1218" s="10"/>
      <c r="I1218" s="13"/>
      <c r="J1218" s="13"/>
      <c r="K1218" s="13"/>
      <c r="L1218" s="13"/>
      <c r="N1218" s="10"/>
      <c r="O1218" s="10"/>
      <c r="P1218" s="10"/>
      <c r="Q1218" s="30"/>
      <c r="R1218" s="18"/>
      <c r="S1218" s="19"/>
      <c r="T1218" s="10"/>
      <c r="U1218" s="10"/>
      <c r="V1218" s="10"/>
      <c r="W1218" s="10"/>
      <c r="X1218" s="19"/>
    </row>
    <row r="1219" customHeight="1" spans="5:24">
      <c r="E1219" s="30"/>
      <c r="F1219" s="10"/>
      <c r="G1219" s="10"/>
      <c r="H1219" s="10"/>
      <c r="I1219" s="13"/>
      <c r="J1219" s="13"/>
      <c r="K1219" s="13"/>
      <c r="L1219" s="13"/>
      <c r="N1219" s="10"/>
      <c r="O1219" s="10"/>
      <c r="P1219" s="10"/>
      <c r="Q1219" s="30"/>
      <c r="R1219" s="18"/>
      <c r="S1219" s="19"/>
      <c r="T1219" s="10"/>
      <c r="U1219" s="10"/>
      <c r="V1219" s="10"/>
      <c r="W1219" s="10"/>
      <c r="X1219" s="19"/>
    </row>
    <row r="1220" customHeight="1" spans="5:24">
      <c r="E1220" s="30"/>
      <c r="F1220" s="10"/>
      <c r="G1220" s="10"/>
      <c r="H1220" s="10"/>
      <c r="I1220" s="13"/>
      <c r="J1220" s="13"/>
      <c r="K1220" s="13"/>
      <c r="L1220" s="13"/>
      <c r="N1220" s="10"/>
      <c r="O1220" s="10"/>
      <c r="P1220" s="10"/>
      <c r="Q1220" s="30"/>
      <c r="R1220" s="18"/>
      <c r="S1220" s="19"/>
      <c r="T1220" s="10"/>
      <c r="U1220" s="10"/>
      <c r="V1220" s="10"/>
      <c r="W1220" s="10"/>
      <c r="X1220" s="19"/>
    </row>
    <row r="1221" customHeight="1" spans="5:24">
      <c r="E1221" s="30"/>
      <c r="F1221" s="10"/>
      <c r="G1221" s="10"/>
      <c r="H1221" s="10"/>
      <c r="I1221" s="13"/>
      <c r="J1221" s="13"/>
      <c r="K1221" s="13"/>
      <c r="L1221" s="13"/>
      <c r="N1221" s="10"/>
      <c r="O1221" s="10"/>
      <c r="P1221" s="10"/>
      <c r="Q1221" s="30"/>
      <c r="R1221" s="18"/>
      <c r="S1221" s="19"/>
      <c r="T1221" s="10"/>
      <c r="U1221" s="10"/>
      <c r="V1221" s="10"/>
      <c r="W1221" s="10"/>
      <c r="X1221" s="19"/>
    </row>
    <row r="1222" customHeight="1" spans="5:24">
      <c r="E1222" s="30"/>
      <c r="F1222" s="10"/>
      <c r="G1222" s="10"/>
      <c r="H1222" s="10"/>
      <c r="I1222" s="13"/>
      <c r="J1222" s="13"/>
      <c r="K1222" s="13"/>
      <c r="L1222" s="13"/>
      <c r="N1222" s="10"/>
      <c r="O1222" s="10"/>
      <c r="P1222" s="10"/>
      <c r="Q1222" s="30"/>
      <c r="R1222" s="18"/>
      <c r="S1222" s="19"/>
      <c r="T1222" s="10"/>
      <c r="U1222" s="10"/>
      <c r="V1222" s="10"/>
      <c r="W1222" s="10"/>
      <c r="X1222" s="19"/>
    </row>
    <row r="1223" customHeight="1" spans="5:24">
      <c r="E1223" s="30"/>
      <c r="F1223" s="10"/>
      <c r="G1223" s="10"/>
      <c r="H1223" s="10"/>
      <c r="I1223" s="13"/>
      <c r="J1223" s="13"/>
      <c r="K1223" s="13"/>
      <c r="L1223" s="13"/>
      <c r="N1223" s="10"/>
      <c r="O1223" s="10"/>
      <c r="P1223" s="10"/>
      <c r="Q1223" s="30"/>
      <c r="R1223" s="18"/>
      <c r="S1223" s="19"/>
      <c r="T1223" s="10"/>
      <c r="U1223" s="10"/>
      <c r="V1223" s="10"/>
      <c r="W1223" s="10"/>
      <c r="X1223" s="19"/>
    </row>
    <row r="1224" customHeight="1" spans="5:24">
      <c r="E1224" s="30"/>
      <c r="F1224" s="10"/>
      <c r="G1224" s="10"/>
      <c r="H1224" s="10"/>
      <c r="I1224" s="13"/>
      <c r="J1224" s="13"/>
      <c r="K1224" s="13"/>
      <c r="L1224" s="13"/>
      <c r="N1224" s="10"/>
      <c r="O1224" s="10"/>
      <c r="P1224" s="10"/>
      <c r="Q1224" s="30"/>
      <c r="R1224" s="18"/>
      <c r="S1224" s="19"/>
      <c r="T1224" s="10"/>
      <c r="U1224" s="10"/>
      <c r="V1224" s="10"/>
      <c r="W1224" s="10"/>
      <c r="X1224" s="19"/>
    </row>
    <row r="1225" customHeight="1" spans="5:24">
      <c r="E1225" s="30"/>
      <c r="F1225" s="10"/>
      <c r="G1225" s="10"/>
      <c r="H1225" s="10"/>
      <c r="I1225" s="13"/>
      <c r="J1225" s="13"/>
      <c r="K1225" s="13"/>
      <c r="L1225" s="13"/>
      <c r="N1225" s="10"/>
      <c r="O1225" s="10"/>
      <c r="P1225" s="10"/>
      <c r="Q1225" s="30"/>
      <c r="R1225" s="18"/>
      <c r="S1225" s="19"/>
      <c r="T1225" s="10"/>
      <c r="U1225" s="10"/>
      <c r="V1225" s="10"/>
      <c r="W1225" s="10"/>
      <c r="X1225" s="19"/>
    </row>
    <row r="1226" customHeight="1" spans="5:24">
      <c r="E1226" s="30"/>
      <c r="F1226" s="10"/>
      <c r="G1226" s="10"/>
      <c r="H1226" s="10"/>
      <c r="I1226" s="13"/>
      <c r="J1226" s="13"/>
      <c r="K1226" s="13"/>
      <c r="L1226" s="13"/>
      <c r="N1226" s="10"/>
      <c r="O1226" s="10"/>
      <c r="P1226" s="10"/>
      <c r="Q1226" s="30"/>
      <c r="R1226" s="18"/>
      <c r="S1226" s="19"/>
      <c r="T1226" s="10"/>
      <c r="U1226" s="10"/>
      <c r="V1226" s="10"/>
      <c r="W1226" s="10"/>
      <c r="X1226" s="19"/>
    </row>
    <row r="1227" customHeight="1" spans="5:24">
      <c r="E1227" s="30"/>
      <c r="F1227" s="10"/>
      <c r="G1227" s="10"/>
      <c r="H1227" s="10"/>
      <c r="I1227" s="13"/>
      <c r="J1227" s="13"/>
      <c r="K1227" s="13"/>
      <c r="L1227" s="13"/>
      <c r="N1227" s="10"/>
      <c r="O1227" s="10"/>
      <c r="P1227" s="10"/>
      <c r="Q1227" s="30"/>
      <c r="R1227" s="18"/>
      <c r="S1227" s="19"/>
      <c r="T1227" s="10"/>
      <c r="U1227" s="10"/>
      <c r="V1227" s="10"/>
      <c r="W1227" s="10"/>
      <c r="X1227" s="19"/>
    </row>
    <row r="1228" customHeight="1" spans="5:24">
      <c r="E1228" s="30"/>
      <c r="F1228" s="10"/>
      <c r="G1228" s="10"/>
      <c r="H1228" s="10"/>
      <c r="I1228" s="13"/>
      <c r="J1228" s="13"/>
      <c r="K1228" s="13"/>
      <c r="L1228" s="13"/>
      <c r="N1228" s="10"/>
      <c r="O1228" s="10"/>
      <c r="P1228" s="10"/>
      <c r="Q1228" s="30"/>
      <c r="R1228" s="18"/>
      <c r="S1228" s="19"/>
      <c r="T1228" s="10"/>
      <c r="U1228" s="10"/>
      <c r="V1228" s="10"/>
      <c r="W1228" s="10"/>
      <c r="X1228" s="19"/>
    </row>
    <row r="1229" customHeight="1" spans="5:24">
      <c r="E1229" s="30"/>
      <c r="F1229" s="10"/>
      <c r="G1229" s="10"/>
      <c r="H1229" s="10"/>
      <c r="I1229" s="13"/>
      <c r="J1229" s="13"/>
      <c r="K1229" s="13"/>
      <c r="L1229" s="13"/>
      <c r="N1229" s="10"/>
      <c r="O1229" s="10"/>
      <c r="P1229" s="10"/>
      <c r="Q1229" s="30"/>
      <c r="R1229" s="18"/>
      <c r="S1229" s="19"/>
      <c r="T1229" s="10"/>
      <c r="U1229" s="10"/>
      <c r="V1229" s="10"/>
      <c r="W1229" s="10"/>
      <c r="X1229" s="19"/>
    </row>
    <row r="1230" customHeight="1" spans="5:24">
      <c r="E1230" s="30"/>
      <c r="F1230" s="10"/>
      <c r="G1230" s="10"/>
      <c r="H1230" s="10"/>
      <c r="I1230" s="13"/>
      <c r="J1230" s="13"/>
      <c r="K1230" s="13"/>
      <c r="L1230" s="13"/>
      <c r="N1230" s="10"/>
      <c r="O1230" s="10"/>
      <c r="P1230" s="10"/>
      <c r="Q1230" s="30"/>
      <c r="R1230" s="18"/>
      <c r="S1230" s="19"/>
      <c r="T1230" s="10"/>
      <c r="U1230" s="10"/>
      <c r="V1230" s="10"/>
      <c r="W1230" s="10"/>
      <c r="X1230" s="19"/>
    </row>
    <row r="1231" customHeight="1" spans="5:24">
      <c r="E1231" s="30"/>
      <c r="F1231" s="10"/>
      <c r="G1231" s="10"/>
      <c r="H1231" s="10"/>
      <c r="I1231" s="13"/>
      <c r="J1231" s="13"/>
      <c r="K1231" s="13"/>
      <c r="L1231" s="13"/>
      <c r="N1231" s="10"/>
      <c r="O1231" s="10"/>
      <c r="P1231" s="10"/>
      <c r="Q1231" s="30"/>
      <c r="R1231" s="18"/>
      <c r="S1231" s="19"/>
      <c r="T1231" s="10"/>
      <c r="U1231" s="10"/>
      <c r="V1231" s="10"/>
      <c r="W1231" s="10"/>
      <c r="X1231" s="19"/>
    </row>
    <row r="1232" customHeight="1" spans="5:24">
      <c r="E1232" s="30"/>
      <c r="F1232" s="10"/>
      <c r="G1232" s="10"/>
      <c r="H1232" s="10"/>
      <c r="I1232" s="13"/>
      <c r="J1232" s="13"/>
      <c r="K1232" s="13"/>
      <c r="L1232" s="13"/>
      <c r="N1232" s="10"/>
      <c r="O1232" s="10"/>
      <c r="P1232" s="10"/>
      <c r="Q1232" s="30"/>
      <c r="R1232" s="18"/>
      <c r="S1232" s="19"/>
      <c r="T1232" s="10"/>
      <c r="U1232" s="10"/>
      <c r="V1232" s="10"/>
      <c r="W1232" s="10"/>
      <c r="X1232" s="19"/>
    </row>
    <row r="1233" customHeight="1" spans="5:24">
      <c r="E1233" s="30"/>
      <c r="F1233" s="10"/>
      <c r="G1233" s="10"/>
      <c r="H1233" s="10"/>
      <c r="I1233" s="13"/>
      <c r="J1233" s="13"/>
      <c r="K1233" s="13"/>
      <c r="L1233" s="13"/>
      <c r="N1233" s="10"/>
      <c r="O1233" s="10"/>
      <c r="P1233" s="10"/>
      <c r="Q1233" s="30"/>
      <c r="R1233" s="18"/>
      <c r="S1233" s="19"/>
      <c r="T1233" s="10"/>
      <c r="U1233" s="10"/>
      <c r="V1233" s="10"/>
      <c r="W1233" s="10"/>
      <c r="X1233" s="19"/>
    </row>
    <row r="1234" customHeight="1" spans="5:24">
      <c r="E1234" s="30"/>
      <c r="F1234" s="10"/>
      <c r="G1234" s="10"/>
      <c r="H1234" s="10"/>
      <c r="I1234" s="13"/>
      <c r="J1234" s="13"/>
      <c r="K1234" s="13"/>
      <c r="L1234" s="13"/>
      <c r="N1234" s="10"/>
      <c r="O1234" s="10"/>
      <c r="P1234" s="10"/>
      <c r="Q1234" s="30"/>
      <c r="R1234" s="18"/>
      <c r="S1234" s="19"/>
      <c r="T1234" s="10"/>
      <c r="U1234" s="10"/>
      <c r="V1234" s="10"/>
      <c r="W1234" s="10"/>
      <c r="X1234" s="19"/>
    </row>
    <row r="1235" customHeight="1" spans="5:24">
      <c r="E1235" s="30"/>
      <c r="F1235" s="10"/>
      <c r="G1235" s="10"/>
      <c r="H1235" s="10"/>
      <c r="I1235" s="13"/>
      <c r="J1235" s="13"/>
      <c r="K1235" s="13"/>
      <c r="L1235" s="13"/>
      <c r="N1235" s="10"/>
      <c r="O1235" s="10"/>
      <c r="P1235" s="10"/>
      <c r="Q1235" s="30"/>
      <c r="R1235" s="18"/>
      <c r="S1235" s="19"/>
      <c r="T1235" s="10"/>
      <c r="U1235" s="10"/>
      <c r="V1235" s="10"/>
      <c r="W1235" s="10"/>
      <c r="X1235" s="19"/>
    </row>
    <row r="1236" customHeight="1" spans="5:24">
      <c r="E1236" s="30"/>
      <c r="F1236" s="10"/>
      <c r="G1236" s="10"/>
      <c r="H1236" s="10"/>
      <c r="I1236" s="13"/>
      <c r="J1236" s="13"/>
      <c r="K1236" s="13"/>
      <c r="L1236" s="13"/>
      <c r="N1236" s="10"/>
      <c r="O1236" s="10"/>
      <c r="P1236" s="10"/>
      <c r="Q1236" s="30"/>
      <c r="R1236" s="18"/>
      <c r="S1236" s="19"/>
      <c r="T1236" s="10"/>
      <c r="U1236" s="10"/>
      <c r="V1236" s="10"/>
      <c r="W1236" s="10"/>
      <c r="X1236" s="19"/>
    </row>
    <row r="1237" customHeight="1" spans="5:24">
      <c r="E1237" s="30"/>
      <c r="F1237" s="10"/>
      <c r="G1237" s="10"/>
      <c r="H1237" s="10"/>
      <c r="I1237" s="13"/>
      <c r="J1237" s="13"/>
      <c r="K1237" s="13"/>
      <c r="L1237" s="13"/>
      <c r="N1237" s="10"/>
      <c r="O1237" s="10"/>
      <c r="P1237" s="10"/>
      <c r="Q1237" s="30"/>
      <c r="R1237" s="18"/>
      <c r="S1237" s="19"/>
      <c r="T1237" s="10"/>
      <c r="U1237" s="10"/>
      <c r="V1237" s="10"/>
      <c r="W1237" s="10"/>
      <c r="X1237" s="19"/>
    </row>
    <row r="1238" customHeight="1" spans="5:24">
      <c r="E1238" s="30"/>
      <c r="F1238" s="10"/>
      <c r="G1238" s="10"/>
      <c r="H1238" s="10"/>
      <c r="I1238" s="13"/>
      <c r="J1238" s="13"/>
      <c r="K1238" s="13"/>
      <c r="L1238" s="13"/>
      <c r="N1238" s="10"/>
      <c r="O1238" s="10"/>
      <c r="P1238" s="10"/>
      <c r="Q1238" s="30"/>
      <c r="R1238" s="18"/>
      <c r="S1238" s="19"/>
      <c r="T1238" s="10"/>
      <c r="U1238" s="10"/>
      <c r="V1238" s="10"/>
      <c r="W1238" s="10"/>
      <c r="X1238" s="19"/>
    </row>
    <row r="1239" customHeight="1" spans="5:24">
      <c r="E1239" s="30"/>
      <c r="F1239" s="10"/>
      <c r="G1239" s="10"/>
      <c r="H1239" s="10"/>
      <c r="I1239" s="13"/>
      <c r="J1239" s="13"/>
      <c r="K1239" s="13"/>
      <c r="L1239" s="13"/>
      <c r="N1239" s="10"/>
      <c r="O1239" s="10"/>
      <c r="P1239" s="10"/>
      <c r="Q1239" s="30"/>
      <c r="R1239" s="18"/>
      <c r="S1239" s="19"/>
      <c r="T1239" s="10"/>
      <c r="U1239" s="10"/>
      <c r="V1239" s="10"/>
      <c r="W1239" s="10"/>
      <c r="X1239" s="19"/>
    </row>
    <row r="1240" customHeight="1" spans="5:24">
      <c r="E1240" s="30"/>
      <c r="F1240" s="10"/>
      <c r="G1240" s="10"/>
      <c r="H1240" s="10"/>
      <c r="I1240" s="13"/>
      <c r="J1240" s="13"/>
      <c r="K1240" s="13"/>
      <c r="L1240" s="13"/>
      <c r="N1240" s="10"/>
      <c r="O1240" s="10"/>
      <c r="P1240" s="10"/>
      <c r="Q1240" s="30"/>
      <c r="R1240" s="18"/>
      <c r="S1240" s="19"/>
      <c r="T1240" s="10"/>
      <c r="U1240" s="10"/>
      <c r="V1240" s="10"/>
      <c r="W1240" s="10"/>
      <c r="X1240" s="19"/>
    </row>
    <row r="1241" customHeight="1" spans="5:24">
      <c r="E1241" s="30"/>
      <c r="F1241" s="10"/>
      <c r="G1241" s="10"/>
      <c r="H1241" s="10"/>
      <c r="I1241" s="13"/>
      <c r="J1241" s="13"/>
      <c r="K1241" s="13"/>
      <c r="L1241" s="13"/>
      <c r="N1241" s="10"/>
      <c r="O1241" s="10"/>
      <c r="P1241" s="10"/>
      <c r="Q1241" s="30"/>
      <c r="R1241" s="18"/>
      <c r="S1241" s="19"/>
      <c r="T1241" s="10"/>
      <c r="U1241" s="10"/>
      <c r="V1241" s="10"/>
      <c r="W1241" s="10"/>
      <c r="X1241" s="19"/>
    </row>
    <row r="1242" customHeight="1" spans="5:24">
      <c r="E1242" s="30"/>
      <c r="F1242" s="10"/>
      <c r="G1242" s="10"/>
      <c r="H1242" s="10"/>
      <c r="I1242" s="13"/>
      <c r="J1242" s="13"/>
      <c r="K1242" s="13"/>
      <c r="L1242" s="13"/>
      <c r="N1242" s="10"/>
      <c r="O1242" s="10"/>
      <c r="P1242" s="10"/>
      <c r="Q1242" s="30"/>
      <c r="R1242" s="18"/>
      <c r="S1242" s="19"/>
      <c r="T1242" s="10"/>
      <c r="U1242" s="10"/>
      <c r="V1242" s="10"/>
      <c r="W1242" s="10"/>
      <c r="X1242" s="19"/>
    </row>
    <row r="1243" customHeight="1" spans="5:24">
      <c r="E1243" s="30"/>
      <c r="F1243" s="10"/>
      <c r="G1243" s="10"/>
      <c r="H1243" s="10"/>
      <c r="I1243" s="13"/>
      <c r="J1243" s="13"/>
      <c r="K1243" s="13"/>
      <c r="L1243" s="13"/>
      <c r="N1243" s="10"/>
      <c r="O1243" s="10"/>
      <c r="P1243" s="10"/>
      <c r="Q1243" s="30"/>
      <c r="R1243" s="18"/>
      <c r="S1243" s="19"/>
      <c r="T1243" s="10"/>
      <c r="U1243" s="10"/>
      <c r="V1243" s="10"/>
      <c r="W1243" s="10"/>
      <c r="X1243" s="19"/>
    </row>
    <row r="1244" customHeight="1" spans="5:24">
      <c r="E1244" s="30"/>
      <c r="F1244" s="10"/>
      <c r="G1244" s="10"/>
      <c r="H1244" s="10"/>
      <c r="I1244" s="13"/>
      <c r="J1244" s="13"/>
      <c r="K1244" s="13"/>
      <c r="L1244" s="13"/>
      <c r="N1244" s="10"/>
      <c r="O1244" s="10"/>
      <c r="P1244" s="10"/>
      <c r="Q1244" s="30"/>
      <c r="R1244" s="18"/>
      <c r="S1244" s="19"/>
      <c r="T1244" s="10"/>
      <c r="U1244" s="10"/>
      <c r="V1244" s="10"/>
      <c r="W1244" s="10"/>
      <c r="X1244" s="19"/>
    </row>
    <row r="1245" customHeight="1" spans="5:24">
      <c r="E1245" s="30"/>
      <c r="F1245" s="10"/>
      <c r="G1245" s="10"/>
      <c r="H1245" s="10"/>
      <c r="I1245" s="13"/>
      <c r="J1245" s="13"/>
      <c r="K1245" s="13"/>
      <c r="L1245" s="13"/>
      <c r="N1245" s="10"/>
      <c r="O1245" s="10"/>
      <c r="P1245" s="10"/>
      <c r="Q1245" s="30"/>
      <c r="R1245" s="18"/>
      <c r="S1245" s="19"/>
      <c r="T1245" s="10"/>
      <c r="U1245" s="10"/>
      <c r="V1245" s="10"/>
      <c r="W1245" s="10"/>
      <c r="X1245" s="19"/>
    </row>
    <row r="1246" customHeight="1" spans="5:24">
      <c r="E1246" s="30"/>
      <c r="F1246" s="10"/>
      <c r="G1246" s="10"/>
      <c r="H1246" s="10"/>
      <c r="I1246" s="13"/>
      <c r="J1246" s="13"/>
      <c r="K1246" s="13"/>
      <c r="L1246" s="13"/>
      <c r="N1246" s="10"/>
      <c r="O1246" s="10"/>
      <c r="P1246" s="10"/>
      <c r="Q1246" s="30"/>
      <c r="R1246" s="18"/>
      <c r="S1246" s="19"/>
      <c r="T1246" s="10"/>
      <c r="U1246" s="10"/>
      <c r="V1246" s="10"/>
      <c r="W1246" s="10"/>
      <c r="X1246" s="19"/>
    </row>
    <row r="1247" customHeight="1" spans="5:24">
      <c r="E1247" s="30"/>
      <c r="F1247" s="10"/>
      <c r="G1247" s="10"/>
      <c r="H1247" s="10"/>
      <c r="I1247" s="13"/>
      <c r="J1247" s="13"/>
      <c r="K1247" s="13"/>
      <c r="L1247" s="13"/>
      <c r="N1247" s="10"/>
      <c r="O1247" s="10"/>
      <c r="P1247" s="10"/>
      <c r="Q1247" s="30"/>
      <c r="R1247" s="18"/>
      <c r="S1247" s="19"/>
      <c r="T1247" s="10"/>
      <c r="U1247" s="10"/>
      <c r="V1247" s="10"/>
      <c r="W1247" s="10"/>
      <c r="X1247" s="19"/>
    </row>
    <row r="1248" customHeight="1" spans="5:24">
      <c r="E1248" s="30"/>
      <c r="F1248" s="10"/>
      <c r="G1248" s="10"/>
      <c r="H1248" s="10"/>
      <c r="I1248" s="13"/>
      <c r="J1248" s="13"/>
      <c r="K1248" s="13"/>
      <c r="L1248" s="13"/>
      <c r="N1248" s="10"/>
      <c r="O1248" s="10"/>
      <c r="P1248" s="10"/>
      <c r="Q1248" s="30"/>
      <c r="R1248" s="18"/>
      <c r="S1248" s="19"/>
      <c r="T1248" s="10"/>
      <c r="U1248" s="10"/>
      <c r="V1248" s="10"/>
      <c r="W1248" s="10"/>
      <c r="X1248" s="19"/>
    </row>
    <row r="1249" customHeight="1" spans="5:24">
      <c r="E1249" s="30"/>
      <c r="F1249" s="10"/>
      <c r="G1249" s="10"/>
      <c r="H1249" s="10"/>
      <c r="I1249" s="13"/>
      <c r="J1249" s="13"/>
      <c r="K1249" s="13"/>
      <c r="L1249" s="13"/>
      <c r="N1249" s="10"/>
      <c r="O1249" s="10"/>
      <c r="P1249" s="10"/>
      <c r="Q1249" s="30"/>
      <c r="R1249" s="18"/>
      <c r="S1249" s="19"/>
      <c r="T1249" s="10"/>
      <c r="U1249" s="10"/>
      <c r="V1249" s="10"/>
      <c r="W1249" s="10"/>
      <c r="X1249" s="19"/>
    </row>
    <row r="1250" customHeight="1" spans="5:24">
      <c r="E1250" s="30"/>
      <c r="F1250" s="10"/>
      <c r="G1250" s="10"/>
      <c r="H1250" s="10"/>
      <c r="I1250" s="13"/>
      <c r="J1250" s="13"/>
      <c r="K1250" s="13"/>
      <c r="L1250" s="13"/>
      <c r="N1250" s="10"/>
      <c r="O1250" s="10"/>
      <c r="P1250" s="10"/>
      <c r="Q1250" s="30"/>
      <c r="R1250" s="18"/>
      <c r="S1250" s="19"/>
      <c r="T1250" s="10"/>
      <c r="U1250" s="10"/>
      <c r="V1250" s="10"/>
      <c r="W1250" s="10"/>
      <c r="X1250" s="19"/>
    </row>
    <row r="1251" customHeight="1" spans="5:24">
      <c r="E1251" s="30"/>
      <c r="F1251" s="10"/>
      <c r="G1251" s="10"/>
      <c r="H1251" s="10"/>
      <c r="I1251" s="13"/>
      <c r="J1251" s="13"/>
      <c r="K1251" s="13"/>
      <c r="L1251" s="13"/>
      <c r="N1251" s="10"/>
      <c r="O1251" s="10"/>
      <c r="P1251" s="10"/>
      <c r="Q1251" s="30"/>
      <c r="R1251" s="18"/>
      <c r="S1251" s="19"/>
      <c r="T1251" s="10"/>
      <c r="U1251" s="10"/>
      <c r="V1251" s="10"/>
      <c r="W1251" s="10"/>
      <c r="X1251" s="19"/>
    </row>
    <row r="1252" customHeight="1" spans="5:24">
      <c r="E1252" s="30"/>
      <c r="F1252" s="10"/>
      <c r="G1252" s="10"/>
      <c r="H1252" s="10"/>
      <c r="I1252" s="13"/>
      <c r="J1252" s="13"/>
      <c r="K1252" s="13"/>
      <c r="L1252" s="13"/>
      <c r="N1252" s="10"/>
      <c r="O1252" s="10"/>
      <c r="P1252" s="10"/>
      <c r="Q1252" s="30"/>
      <c r="R1252" s="18"/>
      <c r="S1252" s="19"/>
      <c r="T1252" s="10"/>
      <c r="U1252" s="10"/>
      <c r="V1252" s="10"/>
      <c r="W1252" s="10"/>
      <c r="X1252" s="19"/>
    </row>
    <row r="1253" customHeight="1" spans="5:24">
      <c r="E1253" s="30"/>
      <c r="F1253" s="10"/>
      <c r="G1253" s="10"/>
      <c r="H1253" s="10"/>
      <c r="I1253" s="13"/>
      <c r="J1253" s="13"/>
      <c r="K1253" s="13"/>
      <c r="L1253" s="13"/>
      <c r="N1253" s="10"/>
      <c r="O1253" s="10"/>
      <c r="P1253" s="10"/>
      <c r="Q1253" s="30"/>
      <c r="R1253" s="18"/>
      <c r="S1253" s="19"/>
      <c r="T1253" s="10"/>
      <c r="U1253" s="10"/>
      <c r="V1253" s="10"/>
      <c r="W1253" s="10"/>
      <c r="X1253" s="19"/>
    </row>
    <row r="1254" customHeight="1" spans="5:24">
      <c r="E1254" s="30"/>
      <c r="F1254" s="10"/>
      <c r="G1254" s="10"/>
      <c r="H1254" s="10"/>
      <c r="I1254" s="13"/>
      <c r="J1254" s="13"/>
      <c r="K1254" s="13"/>
      <c r="L1254" s="13"/>
      <c r="N1254" s="10"/>
      <c r="O1254" s="10"/>
      <c r="P1254" s="10"/>
      <c r="Q1254" s="30"/>
      <c r="R1254" s="18"/>
      <c r="S1254" s="19"/>
      <c r="T1254" s="10"/>
      <c r="U1254" s="10"/>
      <c r="V1254" s="10"/>
      <c r="W1254" s="10"/>
      <c r="X1254" s="19"/>
    </row>
    <row r="1255" customHeight="1" spans="5:24">
      <c r="E1255" s="30"/>
      <c r="F1255" s="10"/>
      <c r="G1255" s="10"/>
      <c r="H1255" s="10"/>
      <c r="I1255" s="13"/>
      <c r="J1255" s="13"/>
      <c r="K1255" s="13"/>
      <c r="L1255" s="13"/>
      <c r="N1255" s="10"/>
      <c r="O1255" s="10"/>
      <c r="P1255" s="10"/>
      <c r="Q1255" s="30"/>
      <c r="R1255" s="18"/>
      <c r="S1255" s="19"/>
      <c r="T1255" s="10"/>
      <c r="U1255" s="10"/>
      <c r="V1255" s="10"/>
      <c r="W1255" s="10"/>
      <c r="X1255" s="19"/>
    </row>
    <row r="1256" customHeight="1" spans="5:24">
      <c r="E1256" s="30"/>
      <c r="F1256" s="10"/>
      <c r="G1256" s="10"/>
      <c r="H1256" s="10"/>
      <c r="I1256" s="13"/>
      <c r="J1256" s="13"/>
      <c r="K1256" s="13"/>
      <c r="L1256" s="13"/>
      <c r="N1256" s="10"/>
      <c r="O1256" s="10"/>
      <c r="P1256" s="10"/>
      <c r="Q1256" s="30"/>
      <c r="R1256" s="18"/>
      <c r="S1256" s="19"/>
      <c r="T1256" s="10"/>
      <c r="U1256" s="10"/>
      <c r="V1256" s="10"/>
      <c r="W1256" s="10"/>
      <c r="X1256" s="19"/>
    </row>
    <row r="1257" customHeight="1" spans="5:24">
      <c r="E1257" s="30"/>
      <c r="F1257" s="10"/>
      <c r="G1257" s="10"/>
      <c r="H1257" s="10"/>
      <c r="I1257" s="13"/>
      <c r="J1257" s="13"/>
      <c r="K1257" s="13"/>
      <c r="L1257" s="13"/>
      <c r="N1257" s="10"/>
      <c r="O1257" s="10"/>
      <c r="P1257" s="10"/>
      <c r="Q1257" s="30"/>
      <c r="R1257" s="18"/>
      <c r="S1257" s="19"/>
      <c r="T1257" s="10"/>
      <c r="U1257" s="10"/>
      <c r="V1257" s="10"/>
      <c r="W1257" s="10"/>
      <c r="X1257" s="19"/>
    </row>
    <row r="1258" customHeight="1" spans="5:24">
      <c r="E1258" s="30"/>
      <c r="F1258" s="10"/>
      <c r="G1258" s="10"/>
      <c r="H1258" s="10"/>
      <c r="I1258" s="13"/>
      <c r="J1258" s="13"/>
      <c r="K1258" s="13"/>
      <c r="L1258" s="13"/>
      <c r="N1258" s="10"/>
      <c r="O1258" s="10"/>
      <c r="P1258" s="10"/>
      <c r="Q1258" s="30"/>
      <c r="R1258" s="18"/>
      <c r="S1258" s="19"/>
      <c r="T1258" s="10"/>
      <c r="U1258" s="10"/>
      <c r="V1258" s="10"/>
      <c r="W1258" s="10"/>
      <c r="X1258" s="19"/>
    </row>
    <row r="1259" customHeight="1" spans="5:24">
      <c r="E1259" s="30"/>
      <c r="F1259" s="10"/>
      <c r="G1259" s="10"/>
      <c r="H1259" s="10"/>
      <c r="I1259" s="13"/>
      <c r="J1259" s="13"/>
      <c r="K1259" s="13"/>
      <c r="L1259" s="13"/>
      <c r="N1259" s="10"/>
      <c r="O1259" s="10"/>
      <c r="P1259" s="10"/>
      <c r="Q1259" s="30"/>
      <c r="R1259" s="18"/>
      <c r="S1259" s="19"/>
      <c r="T1259" s="10"/>
      <c r="U1259" s="10"/>
      <c r="V1259" s="10"/>
      <c r="W1259" s="10"/>
      <c r="X1259" s="19"/>
    </row>
    <row r="1260" customHeight="1" spans="5:24">
      <c r="E1260" s="30"/>
      <c r="F1260" s="10"/>
      <c r="G1260" s="10"/>
      <c r="H1260" s="10"/>
      <c r="I1260" s="13"/>
      <c r="J1260" s="13"/>
      <c r="K1260" s="13"/>
      <c r="L1260" s="13"/>
      <c r="N1260" s="10"/>
      <c r="O1260" s="10"/>
      <c r="P1260" s="10"/>
      <c r="Q1260" s="30"/>
      <c r="R1260" s="18"/>
      <c r="S1260" s="19"/>
      <c r="T1260" s="10"/>
      <c r="U1260" s="10"/>
      <c r="V1260" s="10"/>
      <c r="W1260" s="10"/>
      <c r="X1260" s="19"/>
    </row>
    <row r="1261" customHeight="1" spans="5:24">
      <c r="E1261" s="30"/>
      <c r="F1261" s="10"/>
      <c r="G1261" s="10"/>
      <c r="H1261" s="10"/>
      <c r="I1261" s="13"/>
      <c r="J1261" s="13"/>
      <c r="K1261" s="13"/>
      <c r="L1261" s="13"/>
      <c r="N1261" s="10"/>
      <c r="O1261" s="10"/>
      <c r="P1261" s="10"/>
      <c r="Q1261" s="30"/>
      <c r="R1261" s="18"/>
      <c r="S1261" s="19"/>
      <c r="T1261" s="10"/>
      <c r="U1261" s="10"/>
      <c r="V1261" s="10"/>
      <c r="W1261" s="10"/>
      <c r="X1261" s="19"/>
    </row>
    <row r="1262" customHeight="1" spans="5:24">
      <c r="E1262" s="30"/>
      <c r="F1262" s="10"/>
      <c r="G1262" s="10"/>
      <c r="H1262" s="10"/>
      <c r="I1262" s="13"/>
      <c r="J1262" s="13"/>
      <c r="K1262" s="13"/>
      <c r="L1262" s="13"/>
      <c r="N1262" s="10"/>
      <c r="O1262" s="10"/>
      <c r="P1262" s="10"/>
      <c r="Q1262" s="30"/>
      <c r="R1262" s="18"/>
      <c r="S1262" s="19"/>
      <c r="T1262" s="10"/>
      <c r="U1262" s="10"/>
      <c r="V1262" s="10"/>
      <c r="W1262" s="10"/>
      <c r="X1262" s="19"/>
    </row>
    <row r="1263" customHeight="1" spans="5:24">
      <c r="E1263" s="30"/>
      <c r="F1263" s="10"/>
      <c r="G1263" s="10"/>
      <c r="H1263" s="10"/>
      <c r="I1263" s="13"/>
      <c r="J1263" s="13"/>
      <c r="K1263" s="13"/>
      <c r="L1263" s="13"/>
      <c r="N1263" s="10"/>
      <c r="O1263" s="10"/>
      <c r="P1263" s="10"/>
      <c r="Q1263" s="30"/>
      <c r="R1263" s="18"/>
      <c r="S1263" s="19"/>
      <c r="T1263" s="10"/>
      <c r="U1263" s="10"/>
      <c r="V1263" s="10"/>
      <c r="W1263" s="10"/>
      <c r="X1263" s="19"/>
    </row>
    <row r="1264" customHeight="1" spans="5:24">
      <c r="E1264" s="30"/>
      <c r="F1264" s="10"/>
      <c r="G1264" s="10"/>
      <c r="H1264" s="10"/>
      <c r="I1264" s="13"/>
      <c r="J1264" s="13"/>
      <c r="K1264" s="13"/>
      <c r="L1264" s="13"/>
      <c r="N1264" s="10"/>
      <c r="O1264" s="10"/>
      <c r="P1264" s="10"/>
      <c r="Q1264" s="30"/>
      <c r="R1264" s="18"/>
      <c r="S1264" s="19"/>
      <c r="T1264" s="10"/>
      <c r="U1264" s="10"/>
      <c r="V1264" s="10"/>
      <c r="W1264" s="10"/>
      <c r="X1264" s="19"/>
    </row>
    <row r="1265" customHeight="1" spans="5:24">
      <c r="E1265" s="30"/>
      <c r="F1265" s="10"/>
      <c r="G1265" s="10"/>
      <c r="H1265" s="10"/>
      <c r="I1265" s="13"/>
      <c r="J1265" s="13"/>
      <c r="K1265" s="13"/>
      <c r="L1265" s="13"/>
      <c r="N1265" s="10"/>
      <c r="O1265" s="10"/>
      <c r="P1265" s="10"/>
      <c r="Q1265" s="30"/>
      <c r="R1265" s="18"/>
      <c r="S1265" s="19"/>
      <c r="T1265" s="10"/>
      <c r="U1265" s="10"/>
      <c r="V1265" s="10"/>
      <c r="W1265" s="10"/>
      <c r="X1265" s="19"/>
    </row>
    <row r="1266" customHeight="1" spans="5:24">
      <c r="E1266" s="30"/>
      <c r="F1266" s="10"/>
      <c r="G1266" s="10"/>
      <c r="H1266" s="10"/>
      <c r="I1266" s="13"/>
      <c r="J1266" s="13"/>
      <c r="K1266" s="13"/>
      <c r="L1266" s="13"/>
      <c r="N1266" s="10"/>
      <c r="O1266" s="10"/>
      <c r="P1266" s="10"/>
      <c r="Q1266" s="30"/>
      <c r="R1266" s="18"/>
      <c r="S1266" s="19"/>
      <c r="T1266" s="10"/>
      <c r="U1266" s="10"/>
      <c r="V1266" s="10"/>
      <c r="W1266" s="10"/>
      <c r="X1266" s="19"/>
    </row>
    <row r="1267" customHeight="1" spans="5:24">
      <c r="E1267" s="30"/>
      <c r="F1267" s="10"/>
      <c r="G1267" s="10"/>
      <c r="H1267" s="10"/>
      <c r="I1267" s="13"/>
      <c r="J1267" s="13"/>
      <c r="K1267" s="13"/>
      <c r="L1267" s="13"/>
      <c r="N1267" s="10"/>
      <c r="O1267" s="10"/>
      <c r="P1267" s="10"/>
      <c r="Q1267" s="30"/>
      <c r="R1267" s="18"/>
      <c r="S1267" s="19"/>
      <c r="T1267" s="10"/>
      <c r="U1267" s="10"/>
      <c r="V1267" s="10"/>
      <c r="W1267" s="10"/>
      <c r="X1267" s="19"/>
    </row>
    <row r="1268" customHeight="1" spans="5:24">
      <c r="E1268" s="30"/>
      <c r="F1268" s="10"/>
      <c r="G1268" s="10"/>
      <c r="H1268" s="10"/>
      <c r="I1268" s="13"/>
      <c r="J1268" s="13"/>
      <c r="K1268" s="13"/>
      <c r="L1268" s="13"/>
      <c r="N1268" s="10"/>
      <c r="O1268" s="10"/>
      <c r="P1268" s="10"/>
      <c r="Q1268" s="30"/>
      <c r="R1268" s="18"/>
      <c r="S1268" s="19"/>
      <c r="T1268" s="10"/>
      <c r="U1268" s="10"/>
      <c r="V1268" s="10"/>
      <c r="W1268" s="10"/>
      <c r="X1268" s="19"/>
    </row>
    <row r="1269" customHeight="1" spans="5:24">
      <c r="E1269" s="30"/>
      <c r="F1269" s="10"/>
      <c r="G1269" s="10"/>
      <c r="H1269" s="10"/>
      <c r="I1269" s="13"/>
      <c r="J1269" s="13"/>
      <c r="K1269" s="13"/>
      <c r="L1269" s="13"/>
      <c r="N1269" s="10"/>
      <c r="O1269" s="10"/>
      <c r="P1269" s="10"/>
      <c r="Q1269" s="30"/>
      <c r="R1269" s="18"/>
      <c r="S1269" s="19"/>
      <c r="T1269" s="10"/>
      <c r="U1269" s="10"/>
      <c r="V1269" s="10"/>
      <c r="W1269" s="10"/>
      <c r="X1269" s="19"/>
    </row>
    <row r="1270" customHeight="1" spans="5:24">
      <c r="E1270" s="30"/>
      <c r="F1270" s="10"/>
      <c r="G1270" s="10"/>
      <c r="H1270" s="10"/>
      <c r="I1270" s="13"/>
      <c r="J1270" s="13"/>
      <c r="K1270" s="13"/>
      <c r="L1270" s="13"/>
      <c r="N1270" s="10"/>
      <c r="O1270" s="10"/>
      <c r="P1270" s="10"/>
      <c r="Q1270" s="30"/>
      <c r="R1270" s="18"/>
      <c r="S1270" s="19"/>
      <c r="T1270" s="10"/>
      <c r="U1270" s="10"/>
      <c r="V1270" s="10"/>
      <c r="W1270" s="10"/>
      <c r="X1270" s="19"/>
    </row>
    <row r="1271" customHeight="1" spans="5:24">
      <c r="E1271" s="30"/>
      <c r="F1271" s="10"/>
      <c r="G1271" s="10"/>
      <c r="H1271" s="10"/>
      <c r="I1271" s="13"/>
      <c r="J1271" s="13"/>
      <c r="K1271" s="13"/>
      <c r="L1271" s="13"/>
      <c r="N1271" s="10"/>
      <c r="O1271" s="10"/>
      <c r="P1271" s="10"/>
      <c r="Q1271" s="30"/>
      <c r="R1271" s="18"/>
      <c r="S1271" s="19"/>
      <c r="T1271" s="10"/>
      <c r="U1271" s="10"/>
      <c r="V1271" s="10"/>
      <c r="W1271" s="10"/>
      <c r="X1271" s="19"/>
    </row>
    <row r="1272" customHeight="1" spans="5:24">
      <c r="E1272" s="30"/>
      <c r="F1272" s="10"/>
      <c r="G1272" s="10"/>
      <c r="H1272" s="10"/>
      <c r="I1272" s="13"/>
      <c r="J1272" s="13"/>
      <c r="K1272" s="13"/>
      <c r="L1272" s="13"/>
      <c r="N1272" s="10"/>
      <c r="O1272" s="10"/>
      <c r="P1272" s="10"/>
      <c r="Q1272" s="30"/>
      <c r="R1272" s="18"/>
      <c r="S1272" s="19"/>
      <c r="T1272" s="10"/>
      <c r="U1272" s="10"/>
      <c r="V1272" s="10"/>
      <c r="W1272" s="10"/>
      <c r="X1272" s="19"/>
    </row>
    <row r="1273" customHeight="1" spans="5:24">
      <c r="E1273" s="30"/>
      <c r="F1273" s="10"/>
      <c r="G1273" s="10"/>
      <c r="H1273" s="10"/>
      <c r="I1273" s="13"/>
      <c r="J1273" s="13"/>
      <c r="K1273" s="13"/>
      <c r="L1273" s="13"/>
      <c r="N1273" s="10"/>
      <c r="O1273" s="10"/>
      <c r="P1273" s="10"/>
      <c r="Q1273" s="30"/>
      <c r="R1273" s="18"/>
      <c r="S1273" s="19"/>
      <c r="T1273" s="10"/>
      <c r="U1273" s="10"/>
      <c r="V1273" s="10"/>
      <c r="W1273" s="10"/>
      <c r="X1273" s="19"/>
    </row>
    <row r="1274" customHeight="1" spans="5:24">
      <c r="E1274" s="30"/>
      <c r="F1274" s="10"/>
      <c r="G1274" s="10"/>
      <c r="H1274" s="10"/>
      <c r="I1274" s="13"/>
      <c r="J1274" s="13"/>
      <c r="K1274" s="13"/>
      <c r="L1274" s="13"/>
      <c r="N1274" s="10"/>
      <c r="O1274" s="10"/>
      <c r="P1274" s="10"/>
      <c r="Q1274" s="30"/>
      <c r="R1274" s="18"/>
      <c r="S1274" s="19"/>
      <c r="T1274" s="10"/>
      <c r="U1274" s="10"/>
      <c r="V1274" s="10"/>
      <c r="W1274" s="10"/>
      <c r="X1274" s="19"/>
    </row>
    <row r="1275" customHeight="1" spans="5:24">
      <c r="E1275" s="30"/>
      <c r="F1275" s="10"/>
      <c r="G1275" s="10"/>
      <c r="H1275" s="10"/>
      <c r="I1275" s="13"/>
      <c r="J1275" s="13"/>
      <c r="K1275" s="13"/>
      <c r="L1275" s="13"/>
      <c r="N1275" s="10"/>
      <c r="O1275" s="10"/>
      <c r="P1275" s="10"/>
      <c r="Q1275" s="30"/>
      <c r="R1275" s="18"/>
      <c r="S1275" s="19"/>
      <c r="T1275" s="10"/>
      <c r="U1275" s="10"/>
      <c r="V1275" s="10"/>
      <c r="W1275" s="10"/>
      <c r="X1275" s="19"/>
    </row>
    <row r="1276" customHeight="1" spans="5:24">
      <c r="E1276" s="30"/>
      <c r="F1276" s="10"/>
      <c r="G1276" s="10"/>
      <c r="H1276" s="10"/>
      <c r="I1276" s="13"/>
      <c r="J1276" s="13"/>
      <c r="K1276" s="13"/>
      <c r="L1276" s="13"/>
      <c r="N1276" s="10"/>
      <c r="O1276" s="10"/>
      <c r="P1276" s="10"/>
      <c r="Q1276" s="30"/>
      <c r="R1276" s="18"/>
      <c r="S1276" s="19"/>
      <c r="T1276" s="10"/>
      <c r="U1276" s="10"/>
      <c r="V1276" s="10"/>
      <c r="W1276" s="10"/>
      <c r="X1276" s="19"/>
    </row>
    <row r="1277" customHeight="1" spans="5:24">
      <c r="E1277" s="30"/>
      <c r="F1277" s="10"/>
      <c r="G1277" s="10"/>
      <c r="H1277" s="10"/>
      <c r="I1277" s="13"/>
      <c r="J1277" s="13"/>
      <c r="K1277" s="13"/>
      <c r="L1277" s="13"/>
      <c r="N1277" s="10"/>
      <c r="O1277" s="10"/>
      <c r="P1277" s="10"/>
      <c r="Q1277" s="30"/>
      <c r="R1277" s="18"/>
      <c r="S1277" s="19"/>
      <c r="T1277" s="10"/>
      <c r="U1277" s="10"/>
      <c r="V1277" s="10"/>
      <c r="W1277" s="10"/>
      <c r="X1277" s="19"/>
    </row>
    <row r="1278" customHeight="1" spans="5:24">
      <c r="E1278" s="30"/>
      <c r="F1278" s="10"/>
      <c r="G1278" s="10"/>
      <c r="H1278" s="10"/>
      <c r="I1278" s="13"/>
      <c r="J1278" s="13"/>
      <c r="K1278" s="13"/>
      <c r="L1278" s="13"/>
      <c r="N1278" s="10"/>
      <c r="O1278" s="10"/>
      <c r="P1278" s="10"/>
      <c r="Q1278" s="30"/>
      <c r="R1278" s="18"/>
      <c r="S1278" s="19"/>
      <c r="T1278" s="10"/>
      <c r="U1278" s="10"/>
      <c r="V1278" s="10"/>
      <c r="W1278" s="10"/>
      <c r="X1278" s="19"/>
    </row>
    <row r="1279" customHeight="1" spans="5:24">
      <c r="E1279" s="30"/>
      <c r="F1279" s="10"/>
      <c r="G1279" s="10"/>
      <c r="H1279" s="10"/>
      <c r="I1279" s="13"/>
      <c r="J1279" s="13"/>
      <c r="K1279" s="13"/>
      <c r="L1279" s="13"/>
      <c r="N1279" s="10"/>
      <c r="O1279" s="10"/>
      <c r="P1279" s="10"/>
      <c r="Q1279" s="30"/>
      <c r="R1279" s="18"/>
      <c r="S1279" s="19"/>
      <c r="T1279" s="10"/>
      <c r="U1279" s="10"/>
      <c r="V1279" s="10"/>
      <c r="W1279" s="10"/>
      <c r="X1279" s="19"/>
    </row>
    <row r="1280" customHeight="1" spans="5:24">
      <c r="E1280" s="30"/>
      <c r="F1280" s="10"/>
      <c r="G1280" s="10"/>
      <c r="H1280" s="10"/>
      <c r="I1280" s="13"/>
      <c r="J1280" s="13"/>
      <c r="K1280" s="13"/>
      <c r="L1280" s="13"/>
      <c r="N1280" s="10"/>
      <c r="O1280" s="10"/>
      <c r="P1280" s="10"/>
      <c r="Q1280" s="30"/>
      <c r="R1280" s="18"/>
      <c r="S1280" s="19"/>
      <c r="T1280" s="10"/>
      <c r="U1280" s="10"/>
      <c r="V1280" s="10"/>
      <c r="W1280" s="10"/>
      <c r="X1280" s="19"/>
    </row>
    <row r="1281" customHeight="1" spans="5:24">
      <c r="E1281" s="30"/>
      <c r="F1281" s="10"/>
      <c r="G1281" s="10"/>
      <c r="H1281" s="10"/>
      <c r="I1281" s="13"/>
      <c r="J1281" s="13"/>
      <c r="K1281" s="13"/>
      <c r="L1281" s="13"/>
      <c r="N1281" s="10"/>
      <c r="O1281" s="10"/>
      <c r="P1281" s="10"/>
      <c r="Q1281" s="30"/>
      <c r="R1281" s="18"/>
      <c r="S1281" s="19"/>
      <c r="T1281" s="10"/>
      <c r="U1281" s="10"/>
      <c r="V1281" s="10"/>
      <c r="W1281" s="10"/>
      <c r="X1281" s="19"/>
    </row>
    <row r="1282" customHeight="1" spans="5:24">
      <c r="E1282" s="30"/>
      <c r="F1282" s="10"/>
      <c r="G1282" s="10"/>
      <c r="H1282" s="10"/>
      <c r="I1282" s="13"/>
      <c r="J1282" s="13"/>
      <c r="K1282" s="13"/>
      <c r="L1282" s="13"/>
      <c r="N1282" s="10"/>
      <c r="O1282" s="10"/>
      <c r="P1282" s="10"/>
      <c r="Q1282" s="30"/>
      <c r="R1282" s="18"/>
      <c r="S1282" s="19"/>
      <c r="T1282" s="10"/>
      <c r="U1282" s="10"/>
      <c r="V1282" s="10"/>
      <c r="W1282" s="10"/>
      <c r="X1282" s="19"/>
    </row>
    <row r="1283" customHeight="1" spans="5:24">
      <c r="E1283" s="30"/>
      <c r="F1283" s="10"/>
      <c r="G1283" s="10"/>
      <c r="H1283" s="10"/>
      <c r="I1283" s="13"/>
      <c r="J1283" s="13"/>
      <c r="K1283" s="13"/>
      <c r="L1283" s="13"/>
      <c r="N1283" s="10"/>
      <c r="O1283" s="10"/>
      <c r="P1283" s="10"/>
      <c r="Q1283" s="30"/>
      <c r="R1283" s="18"/>
      <c r="S1283" s="19"/>
      <c r="T1283" s="10"/>
      <c r="U1283" s="10"/>
      <c r="V1283" s="10"/>
      <c r="W1283" s="10"/>
      <c r="X1283" s="19"/>
    </row>
    <row r="1284" customHeight="1" spans="5:24">
      <c r="E1284" s="30"/>
      <c r="F1284" s="10"/>
      <c r="G1284" s="10"/>
      <c r="H1284" s="10"/>
      <c r="I1284" s="13"/>
      <c r="J1284" s="13"/>
      <c r="K1284" s="13"/>
      <c r="L1284" s="13"/>
      <c r="N1284" s="10"/>
      <c r="O1284" s="10"/>
      <c r="P1284" s="10"/>
      <c r="Q1284" s="30"/>
      <c r="R1284" s="18"/>
      <c r="S1284" s="19"/>
      <c r="T1284" s="10"/>
      <c r="U1284" s="10"/>
      <c r="V1284" s="10"/>
      <c r="W1284" s="10"/>
      <c r="X1284" s="19"/>
    </row>
    <row r="1285" customHeight="1" spans="5:24">
      <c r="E1285" s="30"/>
      <c r="F1285" s="10"/>
      <c r="G1285" s="10"/>
      <c r="H1285" s="10"/>
      <c r="I1285" s="13"/>
      <c r="J1285" s="13"/>
      <c r="K1285" s="13"/>
      <c r="L1285" s="13"/>
      <c r="N1285" s="10"/>
      <c r="O1285" s="10"/>
      <c r="P1285" s="10"/>
      <c r="Q1285" s="30"/>
      <c r="R1285" s="18"/>
      <c r="S1285" s="19"/>
      <c r="T1285" s="10"/>
      <c r="U1285" s="10"/>
      <c r="V1285" s="10"/>
      <c r="W1285" s="10"/>
      <c r="X1285" s="19"/>
    </row>
    <row r="1286" customHeight="1" spans="5:24">
      <c r="E1286" s="30"/>
      <c r="F1286" s="10"/>
      <c r="G1286" s="10"/>
      <c r="H1286" s="10"/>
      <c r="I1286" s="13"/>
      <c r="J1286" s="13"/>
      <c r="K1286" s="13"/>
      <c r="L1286" s="13"/>
      <c r="N1286" s="10"/>
      <c r="O1286" s="10"/>
      <c r="P1286" s="10"/>
      <c r="Q1286" s="30"/>
      <c r="R1286" s="18"/>
      <c r="S1286" s="19"/>
      <c r="T1286" s="10"/>
      <c r="U1286" s="10"/>
      <c r="V1286" s="10"/>
      <c r="W1286" s="10"/>
      <c r="X1286" s="19"/>
    </row>
    <row r="1287" customHeight="1" spans="5:24">
      <c r="E1287" s="30"/>
      <c r="F1287" s="10"/>
      <c r="G1287" s="10"/>
      <c r="H1287" s="10"/>
      <c r="I1287" s="13"/>
      <c r="J1287" s="13"/>
      <c r="K1287" s="13"/>
      <c r="L1287" s="13"/>
      <c r="N1287" s="10"/>
      <c r="O1287" s="10"/>
      <c r="P1287" s="10"/>
      <c r="Q1287" s="30"/>
      <c r="R1287" s="18"/>
      <c r="S1287" s="19"/>
      <c r="T1287" s="10"/>
      <c r="U1287" s="10"/>
      <c r="V1287" s="10"/>
      <c r="W1287" s="10"/>
      <c r="X1287" s="19"/>
    </row>
    <row r="1288" customHeight="1" spans="5:24">
      <c r="E1288" s="30"/>
      <c r="F1288" s="10"/>
      <c r="G1288" s="10"/>
      <c r="H1288" s="10"/>
      <c r="I1288" s="13"/>
      <c r="J1288" s="13"/>
      <c r="K1288" s="13"/>
      <c r="L1288" s="13"/>
      <c r="N1288" s="10"/>
      <c r="O1288" s="10"/>
      <c r="P1288" s="10"/>
      <c r="Q1288" s="30"/>
      <c r="R1288" s="18"/>
      <c r="S1288" s="19"/>
      <c r="T1288" s="10"/>
      <c r="U1288" s="10"/>
      <c r="V1288" s="10"/>
      <c r="W1288" s="10"/>
      <c r="X1288" s="19"/>
    </row>
    <row r="1289" customHeight="1" spans="5:24">
      <c r="E1289" s="30"/>
      <c r="F1289" s="10"/>
      <c r="G1289" s="10"/>
      <c r="H1289" s="10"/>
      <c r="I1289" s="13"/>
      <c r="J1289" s="13"/>
      <c r="K1289" s="13"/>
      <c r="L1289" s="13"/>
      <c r="N1289" s="10"/>
      <c r="O1289" s="10"/>
      <c r="P1289" s="10"/>
      <c r="Q1289" s="30"/>
      <c r="R1289" s="18"/>
      <c r="S1289" s="19"/>
      <c r="T1289" s="10"/>
      <c r="U1289" s="10"/>
      <c r="V1289" s="10"/>
      <c r="W1289" s="10"/>
      <c r="X1289" s="19"/>
    </row>
    <row r="1290" customHeight="1" spans="5:24">
      <c r="E1290" s="30"/>
      <c r="F1290" s="10"/>
      <c r="G1290" s="10"/>
      <c r="H1290" s="10"/>
      <c r="I1290" s="13"/>
      <c r="J1290" s="13"/>
      <c r="K1290" s="13"/>
      <c r="L1290" s="13"/>
      <c r="N1290" s="10"/>
      <c r="O1290" s="10"/>
      <c r="P1290" s="10"/>
      <c r="Q1290" s="30"/>
      <c r="R1290" s="18"/>
      <c r="S1290" s="19"/>
      <c r="T1290" s="10"/>
      <c r="U1290" s="10"/>
      <c r="V1290" s="10"/>
      <c r="W1290" s="10"/>
      <c r="X1290" s="19"/>
    </row>
    <row r="1291" customHeight="1" spans="5:24">
      <c r="E1291" s="30"/>
      <c r="F1291" s="10"/>
      <c r="G1291" s="10"/>
      <c r="H1291" s="10"/>
      <c r="I1291" s="13"/>
      <c r="J1291" s="13"/>
      <c r="K1291" s="13"/>
      <c r="L1291" s="13"/>
      <c r="N1291" s="10"/>
      <c r="O1291" s="10"/>
      <c r="P1291" s="10"/>
      <c r="Q1291" s="30"/>
      <c r="R1291" s="18"/>
      <c r="S1291" s="19"/>
      <c r="T1291" s="10"/>
      <c r="U1291" s="10"/>
      <c r="V1291" s="10"/>
      <c r="W1291" s="10"/>
      <c r="X1291" s="19"/>
    </row>
    <row r="1292" customHeight="1" spans="5:24">
      <c r="E1292" s="30"/>
      <c r="F1292" s="10"/>
      <c r="G1292" s="10"/>
      <c r="H1292" s="10"/>
      <c r="I1292" s="13"/>
      <c r="J1292" s="13"/>
      <c r="K1292" s="13"/>
      <c r="L1292" s="13"/>
      <c r="N1292" s="10"/>
      <c r="O1292" s="10"/>
      <c r="P1292" s="10"/>
      <c r="Q1292" s="30"/>
      <c r="R1292" s="18"/>
      <c r="S1292" s="19"/>
      <c r="T1292" s="10"/>
      <c r="U1292" s="10"/>
      <c r="V1292" s="10"/>
      <c r="W1292" s="10"/>
      <c r="X1292" s="19"/>
    </row>
    <row r="1293" customHeight="1" spans="5:24">
      <c r="E1293" s="30"/>
      <c r="F1293" s="10"/>
      <c r="G1293" s="10"/>
      <c r="H1293" s="10"/>
      <c r="I1293" s="13"/>
      <c r="J1293" s="13"/>
      <c r="K1293" s="13"/>
      <c r="L1293" s="13"/>
      <c r="N1293" s="10"/>
      <c r="O1293" s="10"/>
      <c r="P1293" s="10"/>
      <c r="Q1293" s="30"/>
      <c r="R1293" s="18"/>
      <c r="S1293" s="19"/>
      <c r="T1293" s="10"/>
      <c r="U1293" s="10"/>
      <c r="V1293" s="10"/>
      <c r="W1293" s="10"/>
      <c r="X1293" s="19"/>
    </row>
    <row r="1294" customHeight="1" spans="5:24">
      <c r="E1294" s="30"/>
      <c r="F1294" s="10"/>
      <c r="G1294" s="10"/>
      <c r="H1294" s="10"/>
      <c r="I1294" s="13"/>
      <c r="J1294" s="13"/>
      <c r="K1294" s="13"/>
      <c r="L1294" s="13"/>
      <c r="N1294" s="10"/>
      <c r="O1294" s="10"/>
      <c r="P1294" s="10"/>
      <c r="Q1294" s="30"/>
      <c r="R1294" s="18"/>
      <c r="S1294" s="19"/>
      <c r="T1294" s="10"/>
      <c r="U1294" s="10"/>
      <c r="V1294" s="10"/>
      <c r="W1294" s="10"/>
      <c r="X1294" s="19"/>
    </row>
    <row r="1295" customHeight="1" spans="5:24">
      <c r="E1295" s="30"/>
      <c r="F1295" s="10"/>
      <c r="G1295" s="10"/>
      <c r="H1295" s="10"/>
      <c r="I1295" s="13"/>
      <c r="J1295" s="13"/>
      <c r="K1295" s="13"/>
      <c r="L1295" s="13"/>
      <c r="N1295" s="10"/>
      <c r="O1295" s="10"/>
      <c r="P1295" s="10"/>
      <c r="Q1295" s="30"/>
      <c r="R1295" s="18"/>
      <c r="S1295" s="19"/>
      <c r="T1295" s="10"/>
      <c r="U1295" s="10"/>
      <c r="V1295" s="10"/>
      <c r="W1295" s="10"/>
      <c r="X1295" s="19"/>
    </row>
    <row r="1296" customHeight="1" spans="5:24">
      <c r="E1296" s="30"/>
      <c r="F1296" s="10"/>
      <c r="G1296" s="10"/>
      <c r="H1296" s="10"/>
      <c r="I1296" s="13"/>
      <c r="J1296" s="13"/>
      <c r="K1296" s="13"/>
      <c r="L1296" s="13"/>
      <c r="N1296" s="10"/>
      <c r="O1296" s="10"/>
      <c r="P1296" s="10"/>
      <c r="Q1296" s="30"/>
      <c r="R1296" s="18"/>
      <c r="S1296" s="19"/>
      <c r="T1296" s="10"/>
      <c r="U1296" s="10"/>
      <c r="V1296" s="10"/>
      <c r="W1296" s="10"/>
      <c r="X1296" s="19"/>
    </row>
    <row r="1297" customHeight="1" spans="5:24">
      <c r="E1297" s="30"/>
      <c r="F1297" s="10"/>
      <c r="G1297" s="10"/>
      <c r="H1297" s="10"/>
      <c r="I1297" s="13"/>
      <c r="J1297" s="13"/>
      <c r="K1297" s="13"/>
      <c r="L1297" s="13"/>
      <c r="N1297" s="10"/>
      <c r="O1297" s="10"/>
      <c r="P1297" s="10"/>
      <c r="Q1297" s="30"/>
      <c r="R1297" s="18"/>
      <c r="S1297" s="19"/>
      <c r="T1297" s="10"/>
      <c r="U1297" s="10"/>
      <c r="V1297" s="10"/>
      <c r="W1297" s="10"/>
      <c r="X1297" s="19"/>
    </row>
    <row r="1298" customHeight="1" spans="5:24">
      <c r="E1298" s="30"/>
      <c r="F1298" s="10"/>
      <c r="G1298" s="10"/>
      <c r="H1298" s="10"/>
      <c r="I1298" s="13"/>
      <c r="J1298" s="13"/>
      <c r="K1298" s="13"/>
      <c r="L1298" s="13"/>
      <c r="N1298" s="10"/>
      <c r="O1298" s="10"/>
      <c r="P1298" s="10"/>
      <c r="Q1298" s="30"/>
      <c r="R1298" s="18"/>
      <c r="S1298" s="19"/>
      <c r="T1298" s="10"/>
      <c r="U1298" s="10"/>
      <c r="V1298" s="10"/>
      <c r="W1298" s="10"/>
      <c r="X1298" s="19"/>
    </row>
    <row r="1299" customHeight="1" spans="5:24">
      <c r="E1299" s="30"/>
      <c r="F1299" s="10"/>
      <c r="G1299" s="10"/>
      <c r="H1299" s="10"/>
      <c r="I1299" s="13"/>
      <c r="J1299" s="13"/>
      <c r="K1299" s="13"/>
      <c r="L1299" s="13"/>
      <c r="N1299" s="10"/>
      <c r="O1299" s="10"/>
      <c r="P1299" s="10"/>
      <c r="Q1299" s="30"/>
      <c r="R1299" s="18"/>
      <c r="S1299" s="19"/>
      <c r="T1299" s="10"/>
      <c r="U1299" s="10"/>
      <c r="V1299" s="10"/>
      <c r="W1299" s="10"/>
      <c r="X1299" s="19"/>
    </row>
    <row r="1300" customHeight="1" spans="5:24">
      <c r="E1300" s="30"/>
      <c r="F1300" s="10"/>
      <c r="G1300" s="10"/>
      <c r="H1300" s="10"/>
      <c r="I1300" s="13"/>
      <c r="J1300" s="13"/>
      <c r="K1300" s="13"/>
      <c r="L1300" s="13"/>
      <c r="N1300" s="10"/>
      <c r="O1300" s="10"/>
      <c r="P1300" s="10"/>
      <c r="Q1300" s="30"/>
      <c r="R1300" s="18"/>
      <c r="S1300" s="19"/>
      <c r="T1300" s="10"/>
      <c r="U1300" s="10"/>
      <c r="V1300" s="10"/>
      <c r="W1300" s="10"/>
      <c r="X1300" s="19"/>
    </row>
    <row r="1301" customHeight="1" spans="5:24">
      <c r="E1301" s="30"/>
      <c r="F1301" s="10"/>
      <c r="G1301" s="10"/>
      <c r="H1301" s="10"/>
      <c r="I1301" s="13"/>
      <c r="J1301" s="13"/>
      <c r="K1301" s="13"/>
      <c r="L1301" s="13"/>
      <c r="N1301" s="10"/>
      <c r="O1301" s="10"/>
      <c r="P1301" s="10"/>
      <c r="Q1301" s="30"/>
      <c r="R1301" s="18"/>
      <c r="S1301" s="19"/>
      <c r="T1301" s="10"/>
      <c r="U1301" s="10"/>
      <c r="V1301" s="10"/>
      <c r="W1301" s="10"/>
      <c r="X1301" s="19"/>
    </row>
    <row r="1302" customHeight="1" spans="5:24">
      <c r="E1302" s="30"/>
      <c r="F1302" s="10"/>
      <c r="G1302" s="10"/>
      <c r="H1302" s="10"/>
      <c r="I1302" s="13"/>
      <c r="J1302" s="13"/>
      <c r="K1302" s="13"/>
      <c r="L1302" s="13"/>
      <c r="N1302" s="10"/>
      <c r="O1302" s="10"/>
      <c r="P1302" s="10"/>
      <c r="Q1302" s="30"/>
      <c r="R1302" s="18"/>
      <c r="S1302" s="19"/>
      <c r="T1302" s="10"/>
      <c r="U1302" s="10"/>
      <c r="V1302" s="10"/>
      <c r="W1302" s="10"/>
      <c r="X1302" s="19"/>
    </row>
    <row r="1303" customHeight="1" spans="5:24">
      <c r="E1303" s="30"/>
      <c r="F1303" s="10"/>
      <c r="G1303" s="10"/>
      <c r="H1303" s="10"/>
      <c r="I1303" s="13"/>
      <c r="J1303" s="13"/>
      <c r="K1303" s="13"/>
      <c r="L1303" s="13"/>
      <c r="N1303" s="10"/>
      <c r="O1303" s="10"/>
      <c r="P1303" s="10"/>
      <c r="Q1303" s="30"/>
      <c r="R1303" s="18"/>
      <c r="S1303" s="19"/>
      <c r="T1303" s="10"/>
      <c r="U1303" s="10"/>
      <c r="V1303" s="10"/>
      <c r="W1303" s="10"/>
      <c r="X1303" s="19"/>
    </row>
    <row r="1304" customHeight="1" spans="5:24">
      <c r="E1304" s="30"/>
      <c r="F1304" s="10"/>
      <c r="G1304" s="10"/>
      <c r="H1304" s="10"/>
      <c r="I1304" s="13"/>
      <c r="J1304" s="13"/>
      <c r="K1304" s="13"/>
      <c r="L1304" s="13"/>
      <c r="N1304" s="10"/>
      <c r="O1304" s="10"/>
      <c r="P1304" s="10"/>
      <c r="Q1304" s="30"/>
      <c r="R1304" s="18"/>
      <c r="S1304" s="19"/>
      <c r="T1304" s="10"/>
      <c r="U1304" s="10"/>
      <c r="V1304" s="10"/>
      <c r="W1304" s="10"/>
      <c r="X1304" s="19"/>
    </row>
    <row r="1305" customHeight="1" spans="5:24">
      <c r="E1305" s="30"/>
      <c r="F1305" s="10"/>
      <c r="G1305" s="10"/>
      <c r="H1305" s="10"/>
      <c r="I1305" s="13"/>
      <c r="J1305" s="13"/>
      <c r="K1305" s="13"/>
      <c r="L1305" s="13"/>
      <c r="N1305" s="10"/>
      <c r="O1305" s="10"/>
      <c r="P1305" s="10"/>
      <c r="Q1305" s="30"/>
      <c r="R1305" s="18"/>
      <c r="S1305" s="19"/>
      <c r="T1305" s="10"/>
      <c r="U1305" s="10"/>
      <c r="V1305" s="10"/>
      <c r="W1305" s="10"/>
      <c r="X1305" s="19"/>
    </row>
    <row r="1306" customHeight="1" spans="5:24">
      <c r="E1306" s="30"/>
      <c r="F1306" s="10"/>
      <c r="G1306" s="10"/>
      <c r="H1306" s="10"/>
      <c r="I1306" s="13"/>
      <c r="J1306" s="13"/>
      <c r="K1306" s="13"/>
      <c r="L1306" s="13"/>
      <c r="N1306" s="10"/>
      <c r="O1306" s="10"/>
      <c r="P1306" s="10"/>
      <c r="Q1306" s="30"/>
      <c r="R1306" s="18"/>
      <c r="S1306" s="19"/>
      <c r="T1306" s="10"/>
      <c r="U1306" s="10"/>
      <c r="V1306" s="10"/>
      <c r="W1306" s="10"/>
      <c r="X1306" s="19"/>
    </row>
    <row r="1307" customHeight="1" spans="5:24">
      <c r="E1307" s="30"/>
      <c r="F1307" s="10"/>
      <c r="G1307" s="10"/>
      <c r="H1307" s="10"/>
      <c r="I1307" s="13"/>
      <c r="J1307" s="13"/>
      <c r="K1307" s="13"/>
      <c r="L1307" s="13"/>
      <c r="N1307" s="10"/>
      <c r="O1307" s="10"/>
      <c r="P1307" s="10"/>
      <c r="Q1307" s="30"/>
      <c r="R1307" s="18"/>
      <c r="S1307" s="19"/>
      <c r="T1307" s="10"/>
      <c r="U1307" s="10"/>
      <c r="V1307" s="10"/>
      <c r="W1307" s="10"/>
      <c r="X1307" s="19"/>
    </row>
    <row r="1308" customHeight="1" spans="5:24">
      <c r="E1308" s="30"/>
      <c r="F1308" s="10"/>
      <c r="G1308" s="10"/>
      <c r="H1308" s="10"/>
      <c r="I1308" s="13"/>
      <c r="J1308" s="13"/>
      <c r="K1308" s="13"/>
      <c r="L1308" s="13"/>
      <c r="N1308" s="10"/>
      <c r="O1308" s="10"/>
      <c r="P1308" s="10"/>
      <c r="Q1308" s="30"/>
      <c r="R1308" s="18"/>
      <c r="S1308" s="19"/>
      <c r="T1308" s="10"/>
      <c r="U1308" s="10"/>
      <c r="V1308" s="10"/>
      <c r="W1308" s="10"/>
      <c r="X1308" s="19"/>
    </row>
    <row r="1309" customHeight="1" spans="5:24">
      <c r="E1309" s="30"/>
      <c r="F1309" s="10"/>
      <c r="G1309" s="10"/>
      <c r="H1309" s="10"/>
      <c r="I1309" s="13"/>
      <c r="J1309" s="13"/>
      <c r="K1309" s="13"/>
      <c r="L1309" s="13"/>
      <c r="N1309" s="10"/>
      <c r="O1309" s="10"/>
      <c r="P1309" s="10"/>
      <c r="Q1309" s="30"/>
      <c r="R1309" s="18"/>
      <c r="S1309" s="19"/>
      <c r="T1309" s="10"/>
      <c r="U1309" s="10"/>
      <c r="V1309" s="10"/>
      <c r="W1309" s="10"/>
      <c r="X1309" s="19"/>
    </row>
    <row r="1310" customHeight="1" spans="5:24">
      <c r="E1310" s="30"/>
      <c r="F1310" s="10"/>
      <c r="G1310" s="10"/>
      <c r="H1310" s="10"/>
      <c r="I1310" s="13"/>
      <c r="J1310" s="13"/>
      <c r="K1310" s="13"/>
      <c r="L1310" s="13"/>
      <c r="N1310" s="10"/>
      <c r="O1310" s="10"/>
      <c r="P1310" s="10"/>
      <c r="Q1310" s="30"/>
      <c r="R1310" s="18"/>
      <c r="S1310" s="19"/>
      <c r="T1310" s="10"/>
      <c r="U1310" s="10"/>
      <c r="V1310" s="10"/>
      <c r="W1310" s="10"/>
      <c r="X1310" s="19"/>
    </row>
    <row r="1311" customHeight="1" spans="5:24">
      <c r="E1311" s="30"/>
      <c r="F1311" s="10"/>
      <c r="G1311" s="10"/>
      <c r="H1311" s="10"/>
      <c r="I1311" s="13"/>
      <c r="J1311" s="13"/>
      <c r="K1311" s="13"/>
      <c r="L1311" s="13"/>
      <c r="N1311" s="10"/>
      <c r="O1311" s="10"/>
      <c r="P1311" s="10"/>
      <c r="Q1311" s="30"/>
      <c r="R1311" s="18"/>
      <c r="S1311" s="19"/>
      <c r="T1311" s="10"/>
      <c r="U1311" s="10"/>
      <c r="V1311" s="10"/>
      <c r="W1311" s="10"/>
      <c r="X1311" s="19"/>
    </row>
    <row r="1312" customHeight="1" spans="5:24">
      <c r="E1312" s="30"/>
      <c r="F1312" s="10"/>
      <c r="G1312" s="10"/>
      <c r="H1312" s="10"/>
      <c r="I1312" s="13"/>
      <c r="J1312" s="13"/>
      <c r="K1312" s="13"/>
      <c r="L1312" s="13"/>
      <c r="N1312" s="10"/>
      <c r="O1312" s="10"/>
      <c r="P1312" s="10"/>
      <c r="Q1312" s="30"/>
      <c r="R1312" s="18"/>
      <c r="S1312" s="19"/>
      <c r="T1312" s="10"/>
      <c r="U1312" s="10"/>
      <c r="V1312" s="10"/>
      <c r="W1312" s="10"/>
      <c r="X1312" s="19"/>
    </row>
    <row r="1313" customHeight="1" spans="5:24">
      <c r="E1313" s="30"/>
      <c r="F1313" s="10"/>
      <c r="G1313" s="10"/>
      <c r="H1313" s="10"/>
      <c r="I1313" s="13"/>
      <c r="J1313" s="13"/>
      <c r="K1313" s="13"/>
      <c r="L1313" s="13"/>
      <c r="N1313" s="10"/>
      <c r="O1313" s="10"/>
      <c r="P1313" s="10"/>
      <c r="Q1313" s="30"/>
      <c r="R1313" s="18"/>
      <c r="S1313" s="19"/>
      <c r="T1313" s="10"/>
      <c r="U1313" s="10"/>
      <c r="V1313" s="10"/>
      <c r="W1313" s="10"/>
      <c r="X1313" s="19"/>
    </row>
    <row r="1314" customHeight="1" spans="5:24">
      <c r="E1314" s="30"/>
      <c r="F1314" s="10"/>
      <c r="G1314" s="10"/>
      <c r="H1314" s="10"/>
      <c r="I1314" s="13"/>
      <c r="J1314" s="13"/>
      <c r="K1314" s="13"/>
      <c r="L1314" s="13"/>
      <c r="N1314" s="10"/>
      <c r="O1314" s="10"/>
      <c r="P1314" s="10"/>
      <c r="Q1314" s="30"/>
      <c r="R1314" s="18"/>
      <c r="S1314" s="19"/>
      <c r="T1314" s="10"/>
      <c r="U1314" s="10"/>
      <c r="V1314" s="10"/>
      <c r="W1314" s="10"/>
      <c r="X1314" s="19"/>
    </row>
    <row r="1315" customHeight="1" spans="5:24">
      <c r="E1315" s="30"/>
      <c r="F1315" s="10"/>
      <c r="G1315" s="10"/>
      <c r="H1315" s="10"/>
      <c r="I1315" s="13"/>
      <c r="J1315" s="13"/>
      <c r="K1315" s="13"/>
      <c r="L1315" s="13"/>
      <c r="N1315" s="10"/>
      <c r="O1315" s="10"/>
      <c r="P1315" s="10"/>
      <c r="Q1315" s="30"/>
      <c r="R1315" s="18"/>
      <c r="S1315" s="19"/>
      <c r="T1315" s="10"/>
      <c r="U1315" s="10"/>
      <c r="V1315" s="10"/>
      <c r="W1315" s="10"/>
      <c r="X1315" s="19"/>
    </row>
    <row r="1316" customHeight="1" spans="5:24">
      <c r="E1316" s="30"/>
      <c r="F1316" s="10"/>
      <c r="G1316" s="10"/>
      <c r="H1316" s="10"/>
      <c r="I1316" s="13"/>
      <c r="J1316" s="13"/>
      <c r="K1316" s="13"/>
      <c r="L1316" s="13"/>
      <c r="N1316" s="10"/>
      <c r="O1316" s="10"/>
      <c r="P1316" s="10"/>
      <c r="Q1316" s="30"/>
      <c r="R1316" s="18"/>
      <c r="S1316" s="19"/>
      <c r="T1316" s="10"/>
      <c r="U1316" s="10"/>
      <c r="V1316" s="10"/>
      <c r="W1316" s="10"/>
      <c r="X1316" s="19"/>
    </row>
    <row r="1317" customHeight="1" spans="5:24">
      <c r="E1317" s="30"/>
      <c r="F1317" s="10"/>
      <c r="G1317" s="10"/>
      <c r="H1317" s="10"/>
      <c r="I1317" s="13"/>
      <c r="J1317" s="13"/>
      <c r="K1317" s="13"/>
      <c r="L1317" s="13"/>
      <c r="N1317" s="10"/>
      <c r="O1317" s="10"/>
      <c r="P1317" s="10"/>
      <c r="Q1317" s="30"/>
      <c r="R1317" s="18"/>
      <c r="S1317" s="19"/>
      <c r="T1317" s="10"/>
      <c r="U1317" s="10"/>
      <c r="V1317" s="10"/>
      <c r="W1317" s="10"/>
      <c r="X1317" s="19"/>
    </row>
    <row r="1318" customHeight="1" spans="5:24">
      <c r="E1318" s="30"/>
      <c r="F1318" s="10"/>
      <c r="G1318" s="10"/>
      <c r="H1318" s="10"/>
      <c r="I1318" s="13"/>
      <c r="J1318" s="13"/>
      <c r="K1318" s="13"/>
      <c r="L1318" s="13"/>
      <c r="N1318" s="10"/>
      <c r="O1318" s="10"/>
      <c r="P1318" s="10"/>
      <c r="Q1318" s="30"/>
      <c r="R1318" s="18"/>
      <c r="S1318" s="19"/>
      <c r="T1318" s="10"/>
      <c r="U1318" s="10"/>
      <c r="V1318" s="10"/>
      <c r="W1318" s="10"/>
      <c r="X1318" s="19"/>
    </row>
    <row r="1319" customHeight="1" spans="5:24">
      <c r="E1319" s="30"/>
      <c r="F1319" s="10"/>
      <c r="G1319" s="10"/>
      <c r="H1319" s="10"/>
      <c r="I1319" s="13"/>
      <c r="J1319" s="13"/>
      <c r="K1319" s="13"/>
      <c r="L1319" s="13"/>
      <c r="N1319" s="10"/>
      <c r="O1319" s="10"/>
      <c r="P1319" s="10"/>
      <c r="Q1319" s="30"/>
      <c r="R1319" s="18"/>
      <c r="S1319" s="19"/>
      <c r="T1319" s="10"/>
      <c r="U1319" s="10"/>
      <c r="V1319" s="10"/>
      <c r="W1319" s="10"/>
      <c r="X1319" s="19"/>
    </row>
    <row r="1320" customHeight="1" spans="5:24">
      <c r="E1320" s="30"/>
      <c r="F1320" s="10"/>
      <c r="G1320" s="10"/>
      <c r="H1320" s="10"/>
      <c r="I1320" s="13"/>
      <c r="J1320" s="13"/>
      <c r="K1320" s="13"/>
      <c r="L1320" s="13"/>
      <c r="N1320" s="10"/>
      <c r="O1320" s="10"/>
      <c r="P1320" s="10"/>
      <c r="Q1320" s="30"/>
      <c r="R1320" s="18"/>
      <c r="S1320" s="19"/>
      <c r="T1320" s="10"/>
      <c r="U1320" s="10"/>
      <c r="V1320" s="10"/>
      <c r="W1320" s="10"/>
      <c r="X1320" s="19"/>
    </row>
    <row r="1321" customHeight="1" spans="5:24">
      <c r="E1321" s="30"/>
      <c r="F1321" s="10"/>
      <c r="G1321" s="10"/>
      <c r="H1321" s="10"/>
      <c r="I1321" s="13"/>
      <c r="J1321" s="13"/>
      <c r="K1321" s="13"/>
      <c r="L1321" s="13"/>
      <c r="N1321" s="10"/>
      <c r="O1321" s="10"/>
      <c r="P1321" s="10"/>
      <c r="Q1321" s="30"/>
      <c r="R1321" s="18"/>
      <c r="S1321" s="19"/>
      <c r="T1321" s="10"/>
      <c r="U1321" s="10"/>
      <c r="V1321" s="10"/>
      <c r="W1321" s="10"/>
      <c r="X1321" s="19"/>
    </row>
    <row r="1322" customHeight="1" spans="5:24">
      <c r="E1322" s="30"/>
      <c r="F1322" s="10"/>
      <c r="G1322" s="10"/>
      <c r="H1322" s="10"/>
      <c r="I1322" s="13"/>
      <c r="J1322" s="13"/>
      <c r="K1322" s="13"/>
      <c r="L1322" s="13"/>
      <c r="N1322" s="10"/>
      <c r="O1322" s="10"/>
      <c r="P1322" s="10"/>
      <c r="Q1322" s="30"/>
      <c r="R1322" s="18"/>
      <c r="S1322" s="19"/>
      <c r="T1322" s="10"/>
      <c r="U1322" s="10"/>
      <c r="V1322" s="10"/>
      <c r="W1322" s="10"/>
      <c r="X1322" s="19"/>
    </row>
    <row r="1323" customHeight="1" spans="5:24">
      <c r="E1323" s="30"/>
      <c r="F1323" s="10"/>
      <c r="G1323" s="10"/>
      <c r="H1323" s="10"/>
      <c r="I1323" s="13"/>
      <c r="J1323" s="13"/>
      <c r="K1323" s="13"/>
      <c r="L1323" s="13"/>
      <c r="N1323" s="10"/>
      <c r="O1323" s="10"/>
      <c r="P1323" s="10"/>
      <c r="Q1323" s="30"/>
      <c r="R1323" s="18"/>
      <c r="S1323" s="19"/>
      <c r="T1323" s="10"/>
      <c r="U1323" s="10"/>
      <c r="V1323" s="10"/>
      <c r="W1323" s="10"/>
      <c r="X1323" s="19"/>
    </row>
    <row r="1324" customHeight="1" spans="5:24">
      <c r="E1324" s="30"/>
      <c r="F1324" s="10"/>
      <c r="G1324" s="10"/>
      <c r="H1324" s="10"/>
      <c r="I1324" s="13"/>
      <c r="J1324" s="13"/>
      <c r="K1324" s="13"/>
      <c r="L1324" s="13"/>
      <c r="N1324" s="10"/>
      <c r="O1324" s="10"/>
      <c r="P1324" s="10"/>
      <c r="Q1324" s="30"/>
      <c r="R1324" s="18"/>
      <c r="S1324" s="19"/>
      <c r="T1324" s="10"/>
      <c r="U1324" s="10"/>
      <c r="V1324" s="10"/>
      <c r="W1324" s="10"/>
      <c r="X1324" s="19"/>
    </row>
    <row r="1325" customHeight="1" spans="5:24">
      <c r="E1325" s="30"/>
      <c r="F1325" s="10"/>
      <c r="G1325" s="10"/>
      <c r="H1325" s="10"/>
      <c r="I1325" s="13"/>
      <c r="J1325" s="13"/>
      <c r="K1325" s="13"/>
      <c r="L1325" s="13"/>
      <c r="N1325" s="10"/>
      <c r="O1325" s="10"/>
      <c r="P1325" s="10"/>
      <c r="Q1325" s="30"/>
      <c r="R1325" s="18"/>
      <c r="S1325" s="19"/>
      <c r="T1325" s="10"/>
      <c r="U1325" s="10"/>
      <c r="V1325" s="10"/>
      <c r="W1325" s="10"/>
      <c r="X1325" s="19"/>
    </row>
    <row r="1326" customHeight="1" spans="5:24">
      <c r="E1326" s="30"/>
      <c r="F1326" s="10"/>
      <c r="G1326" s="10"/>
      <c r="H1326" s="10"/>
      <c r="I1326" s="13"/>
      <c r="J1326" s="13"/>
      <c r="K1326" s="13"/>
      <c r="L1326" s="13"/>
      <c r="N1326" s="10"/>
      <c r="O1326" s="10"/>
      <c r="P1326" s="10"/>
      <c r="Q1326" s="30"/>
      <c r="R1326" s="18"/>
      <c r="S1326" s="19"/>
      <c r="T1326" s="10"/>
      <c r="U1326" s="10"/>
      <c r="V1326" s="10"/>
      <c r="W1326" s="10"/>
      <c r="X1326" s="19"/>
    </row>
    <row r="1327" customHeight="1" spans="5:24">
      <c r="E1327" s="30"/>
      <c r="F1327" s="10"/>
      <c r="G1327" s="10"/>
      <c r="H1327" s="10"/>
      <c r="I1327" s="13"/>
      <c r="J1327" s="13"/>
      <c r="K1327" s="13"/>
      <c r="L1327" s="13"/>
      <c r="N1327" s="10"/>
      <c r="O1327" s="10"/>
      <c r="P1327" s="10"/>
      <c r="Q1327" s="30"/>
      <c r="R1327" s="18"/>
      <c r="S1327" s="19"/>
      <c r="T1327" s="10"/>
      <c r="U1327" s="10"/>
      <c r="V1327" s="10"/>
      <c r="W1327" s="10"/>
      <c r="X1327" s="19"/>
    </row>
    <row r="1328" customHeight="1" spans="5:24">
      <c r="E1328" s="30"/>
      <c r="F1328" s="10"/>
      <c r="G1328" s="10"/>
      <c r="H1328" s="10"/>
      <c r="I1328" s="13"/>
      <c r="J1328" s="13"/>
      <c r="K1328" s="13"/>
      <c r="L1328" s="13"/>
      <c r="N1328" s="10"/>
      <c r="O1328" s="10"/>
      <c r="P1328" s="10"/>
      <c r="Q1328" s="30"/>
      <c r="R1328" s="18"/>
      <c r="S1328" s="19"/>
      <c r="T1328" s="10"/>
      <c r="U1328" s="10"/>
      <c r="V1328" s="10"/>
      <c r="W1328" s="10"/>
      <c r="X1328" s="19"/>
    </row>
    <row r="1329" customHeight="1" spans="5:24">
      <c r="E1329" s="30"/>
      <c r="F1329" s="10"/>
      <c r="G1329" s="10"/>
      <c r="H1329" s="10"/>
      <c r="I1329" s="13"/>
      <c r="J1329" s="13"/>
      <c r="K1329" s="13"/>
      <c r="L1329" s="13"/>
      <c r="N1329" s="10"/>
      <c r="O1329" s="10"/>
      <c r="P1329" s="10"/>
      <c r="Q1329" s="30"/>
      <c r="R1329" s="18"/>
      <c r="S1329" s="19"/>
      <c r="T1329" s="10"/>
      <c r="U1329" s="10"/>
      <c r="V1329" s="10"/>
      <c r="W1329" s="10"/>
      <c r="X1329" s="19"/>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G1717"/>
  <sheetViews>
    <sheetView workbookViewId="0">
      <pane xSplit="4" topLeftCell="E1" activePane="topRight" state="frozen"/>
      <selection/>
      <selection pane="topRight" activeCell="F2" sqref="F2"/>
    </sheetView>
  </sheetViews>
  <sheetFormatPr defaultColWidth="12.6285714285714" defaultRowHeight="15.75" customHeight="1"/>
  <cols>
    <col min="1" max="3" width="12.6285714285714" customWidth="1"/>
    <col min="4" max="4" width="28.2666666666667" customWidth="1"/>
    <col min="5" max="5" width="8.90476190476191" customWidth="1"/>
    <col min="6" max="8" width="15.7238095238095" customWidth="1"/>
    <col min="9" max="12" width="13.9047619047619" customWidth="1"/>
    <col min="13" max="14" width="8.26666666666667" customWidth="1"/>
    <col min="15" max="15" width="10.7238095238095" customWidth="1"/>
    <col min="16" max="17" width="8.26666666666667" customWidth="1"/>
    <col min="18" max="28" width="12.6285714285714" customWidth="1"/>
    <col min="29" max="31" width="22" customWidth="1"/>
    <col min="32" max="59" width="12.6285714285714" customWidth="1"/>
  </cols>
  <sheetData>
    <row r="1" customHeight="1" spans="1:59">
      <c r="A1" s="5" t="str">
        <f>IFERROR(__xludf.DUMMYFUNCTION("IMPORTRANGE('Database Control'!J4,'Database Control'!K4)"),"3.22.1-LIVE 9097523")</f>
        <v>3.22.1-LIVE 9097523</v>
      </c>
      <c r="B1" s="6" t="str">
        <f>IFERROR(__xludf.DUMMYFUNCTION("""COMPUTED_VALUE"""),"Outpost Index")</f>
        <v>Outpost Index</v>
      </c>
      <c r="C1" s="6" t="str">
        <f>IFERROR(__xludf.DUMMYFUNCTION("""COMPUTED_VALUE"""),"Time Index")</f>
        <v>Time Index</v>
      </c>
      <c r="D1" s="6" t="str">
        <f>IFERROR(__xludf.DUMMYFUNCTION("""COMPUTED_VALUE"""),"Waypoint Name")</f>
        <v>Waypoint Name</v>
      </c>
      <c r="E1" s="7" t="str">
        <f>IFERROR(__xludf.DUMMYFUNCTION("""COMPUTED_VALUE"""),"Short Name")</f>
        <v>Short Name</v>
      </c>
      <c r="F1" s="8" t="str">
        <f>IFERROR(__xludf.DUMMYFUNCTION("""COMPUTED_VALUE"""),"Cartesian Coordinate (x y z) in km")</f>
        <v>Cartesian Coordinate (x y z) in km</v>
      </c>
      <c r="G1" s="8"/>
      <c r="H1" s="8"/>
      <c r="I1" s="13" t="str">
        <f>IFERROR(__xludf.DUMMYFUNCTION("""COMPUTED_VALUE"""),"Rotation Quaternion (w,x,y,z)")</f>
        <v>Rotation Quaternion (w,x,y,z)</v>
      </c>
      <c r="J1" s="13"/>
      <c r="K1" s="13"/>
      <c r="L1" s="13"/>
      <c r="M1" s="7" t="str">
        <f>IFERROR(__xludf.DUMMYFUNCTION("""COMPUTED_VALUE"""),"QTMarker")</f>
        <v>QTMarker</v>
      </c>
      <c r="N1" s="10" t="str">
        <f>IFERROR(__xludf.DUMMYFUNCTION("""COMPUTED_VALUE"""),"OM Radius")</f>
        <v>OM Radius</v>
      </c>
      <c r="O1" s="10" t="str">
        <f>IFERROR(__xludf.DUMMYFUNCTION("""COMPUTED_VALUE"""),"Body Radius")</f>
        <v>Body Radius</v>
      </c>
      <c r="P1" s="8" t="str">
        <f>IFERROR(__xludf.DUMMYFUNCTION("""COMPUTED_VALUE"""),"Arrival Radius")</f>
        <v>Arrival Radius</v>
      </c>
      <c r="Q1" s="7" t="str">
        <f>IFERROR(__xludf.DUMMYFUNCTION("""COMPUTED_VALUE"""),"Time Lines")</f>
        <v>Time Lines</v>
      </c>
      <c r="R1" s="16" t="str">
        <f>IFERROR(__xludf.DUMMYFUNCTION("""COMPUTED_VALUE"""),"Rotation Speed")</f>
        <v>Rotation Speed</v>
      </c>
      <c r="S1" s="17" t="str">
        <f>IFERROR(__xludf.DUMMYFUNCTION("""COMPUTED_VALUE"""),"Rotation Adjust")</f>
        <v>Rotation Adjust</v>
      </c>
      <c r="T1" s="2" t="str">
        <f>IFERROR(__xludf.DUMMYFUNCTION("""COMPUTED_VALUE"""),"Orbital Radius")</f>
        <v>Orbital Radius</v>
      </c>
      <c r="U1" s="8" t="str">
        <f>IFERROR(__xludf.DUMMYFUNCTION("""COMPUTED_VALUE"""),"Orbital Speed")</f>
        <v>Orbital Speed</v>
      </c>
      <c r="V1" s="10" t="str">
        <f>IFERROR(__xludf.DUMMYFUNCTION("""COMPUTED_VALUE"""),"Orbital Angle")</f>
        <v>Orbital Angle</v>
      </c>
      <c r="W1" s="7" t="str">
        <f>IFERROR(__xludf.DUMMYFUNCTION("""COMPUTED_VALUE"""),"Grid Radius")</f>
        <v>Grid Radius</v>
      </c>
      <c r="X1" s="7" t="str">
        <f>IFERROR(__xludf.DUMMYFUNCTION("""COMPUTED_VALUE"""),"Adjustment Date")</f>
        <v>Adjustment Date</v>
      </c>
      <c r="Y1" s="7" t="str">
        <f>IFERROR(__xludf.DUMMYFUNCTION("""COMPUTED_VALUE"""),"Chart Info")</f>
        <v>Chart Info</v>
      </c>
      <c r="Z1" s="7" t="str">
        <f>IFERROR(__xludf.DUMMYFUNCTION("""COMPUTED_VALUE"""),"Stanton")</f>
        <v>Stanton</v>
      </c>
      <c r="AA1" s="9" t="str">
        <f>IFERROR(__xludf.DUMMYFUNCTION("""COMPUTED_VALUE"""),"Body Selection")</f>
        <v>Body Selection</v>
      </c>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row>
    <row r="2" customHeight="1" spans="1:59">
      <c r="A2" s="9" t="str">
        <f>IFERROR(__xludf.DUMMYFUNCTION("""COMPUTED_VALUE"""),"Aberdeen R00")</f>
        <v>Aberdeen R00</v>
      </c>
      <c r="B2" s="5"/>
      <c r="C2" s="5"/>
      <c r="D2" s="5" t="str">
        <f>IFERROR(__xludf.DUMMYFUNCTION("""COMPUTED_VALUE"""),"Aberdeen")</f>
        <v>Aberdeen</v>
      </c>
      <c r="E2" s="6" t="str">
        <f>IFERROR(__xludf.DUMMYFUNCTION("""COMPUTED_VALUE"""),"Aberdeen")</f>
        <v>Aberdeen</v>
      </c>
      <c r="F2" s="10">
        <f>IFERROR(__xludf.DUMMYFUNCTION("""COMPUTED_VALUE"""),12905757.636431)</f>
        <v>12905757.636431</v>
      </c>
      <c r="G2" s="10">
        <f>IFERROR(__xludf.DUMMYFUNCTION("""COMPUTED_VALUE"""),40955.550560376)</f>
        <v>40955.550560376</v>
      </c>
      <c r="H2" s="10">
        <f>IFERROR(__xludf.DUMMYFUNCTION("""COMPUTED_VALUE"""),0)</f>
        <v>0</v>
      </c>
      <c r="I2" s="13">
        <f>IFERROR(__xludf.DUMMYFUNCTION("""COMPUTED_VALUE"""),1)</f>
        <v>1</v>
      </c>
      <c r="J2" s="13">
        <f>IFERROR(__xludf.DUMMYFUNCTION("""COMPUTED_VALUE"""),0)</f>
        <v>0</v>
      </c>
      <c r="K2" s="13">
        <f>IFERROR(__xludf.DUMMYFUNCTION("""COMPUTED_VALUE"""),0)</f>
        <v>0</v>
      </c>
      <c r="L2" s="13">
        <f>IFERROR(__xludf.DUMMYFUNCTION("""COMPUTED_VALUE"""),0)</f>
        <v>0</v>
      </c>
      <c r="M2" s="7" t="b">
        <f>IFERROR(__xludf.DUMMYFUNCTION("""COMPUTED_VALUE"""),TRUE)</f>
        <v>1</v>
      </c>
      <c r="N2" s="10">
        <f>IFERROR(__xludf.DUMMYFUNCTION("""COMPUTED_VALUE"""),402.708)</f>
        <v>402.708</v>
      </c>
      <c r="O2" s="10">
        <f>IFERROR(__xludf.DUMMYFUNCTION("""COMPUTED_VALUE"""),274)</f>
        <v>274</v>
      </c>
      <c r="P2" s="10">
        <f>IFERROR(__xludf.DUMMYFUNCTION("""COMPUTED_VALUE"""),437.7)</f>
        <v>437.7</v>
      </c>
      <c r="Q2" s="6">
        <f>IFERROR(__xludf.DUMMYFUNCTION("""COMPUTED_VALUE"""),21)</f>
        <v>21</v>
      </c>
      <c r="R2" s="18">
        <f>IFERROR(__xludf.DUMMYFUNCTION("""COMPUTED_VALUE"""),2.5999999)</f>
        <v>2.5999999</v>
      </c>
      <c r="S2" s="19">
        <f>IFERROR(__xludf.DUMMYFUNCTION("""COMPUTED_VALUE"""),234.39502)</f>
        <v>234.39502</v>
      </c>
      <c r="T2" s="10">
        <f>IFERROR(__xludf.DUMMYFUNCTION("""COMPUTED_VALUE"""),68815.024)</f>
        <v>68815.024</v>
      </c>
      <c r="U2" s="10">
        <f>IFERROR(__xludf.DUMMYFUNCTION("""COMPUTED_VALUE"""),0)</f>
        <v>0</v>
      </c>
      <c r="V2" s="10">
        <f>IFERROR(__xludf.DUMMYFUNCTION("""COMPUTED_VALUE"""),36.524)</f>
        <v>36.524</v>
      </c>
      <c r="W2" s="6">
        <f>IFERROR(__xludf.DUMMYFUNCTION("""COMPUTED_VALUE"""),548)</f>
        <v>548</v>
      </c>
      <c r="X2" s="6">
        <f>IFERROR(__xludf.DUMMYFUNCTION("""COMPUTED_VALUE"""),45193.1536)</f>
        <v>45193.1536</v>
      </c>
      <c r="Y2" s="6"/>
      <c r="Z2" s="6"/>
      <c r="AA2" s="6" t="str">
        <f>IFERROR(__xludf.DUMMYFUNCTION("""COMPUTED_VALUE"""),"Aberdeen")</f>
        <v>Aberdeen</v>
      </c>
      <c r="AB2" s="6"/>
      <c r="AC2" s="6"/>
      <c r="AD2" s="6"/>
      <c r="AE2" s="7"/>
      <c r="AF2" s="7"/>
      <c r="AG2" s="7"/>
      <c r="AH2" s="7"/>
      <c r="AI2" s="7"/>
      <c r="AJ2" s="7"/>
      <c r="AK2" s="7"/>
      <c r="AL2" s="7"/>
      <c r="AM2" s="7"/>
      <c r="AN2" s="7"/>
      <c r="AO2" s="6"/>
      <c r="AP2" s="7"/>
      <c r="AQ2" s="7"/>
      <c r="AR2" s="6"/>
      <c r="AS2" s="6"/>
      <c r="AT2" s="6"/>
      <c r="AU2" s="6"/>
      <c r="AV2" s="6"/>
      <c r="AW2" s="6"/>
      <c r="AX2" s="6"/>
      <c r="AY2" s="6"/>
      <c r="AZ2" s="6"/>
      <c r="BA2" s="6"/>
      <c r="BB2" s="6"/>
      <c r="BC2" s="6"/>
      <c r="BD2" s="6"/>
      <c r="BE2" s="6"/>
      <c r="BF2" s="6"/>
      <c r="BG2" s="6"/>
    </row>
    <row r="3" customHeight="1" spans="1:59">
      <c r="A3" s="9" t="str">
        <f>IFERROR(__xludf.DUMMYFUNCTION("""COMPUTED_VALUE"""),"ArcCorp R00")</f>
        <v>ArcCorp R00</v>
      </c>
      <c r="B3" s="5"/>
      <c r="C3" s="5"/>
      <c r="D3" s="5" t="str">
        <f>IFERROR(__xludf.DUMMYFUNCTION("""COMPUTED_VALUE"""),"ArcCorp")</f>
        <v>ArcCorp</v>
      </c>
      <c r="E3" s="7" t="str">
        <f>IFERROR(__xludf.DUMMYFUNCTION("""COMPUTED_VALUE"""),"ArcCorp")</f>
        <v>ArcCorp</v>
      </c>
      <c r="F3" s="8">
        <f>IFERROR(__xludf.DUMMYFUNCTION("""COMPUTED_VALUE"""),18587664.7398559)</f>
        <v>18587664.7398559</v>
      </c>
      <c r="G3" s="8">
        <f>IFERROR(__xludf.DUMMYFUNCTION("""COMPUTED_VALUE"""),-22151916.9203125)</f>
        <v>-22151916.9203125</v>
      </c>
      <c r="H3" s="8">
        <f>IFERROR(__xludf.DUMMYFUNCTION("""COMPUTED_VALUE"""),0)</f>
        <v>0</v>
      </c>
      <c r="I3" s="13">
        <f>IFERROR(__xludf.DUMMYFUNCTION("""COMPUTED_VALUE"""),1)</f>
        <v>1</v>
      </c>
      <c r="J3" s="13">
        <f>IFERROR(__xludf.DUMMYFUNCTION("""COMPUTED_VALUE"""),0)</f>
        <v>0</v>
      </c>
      <c r="K3" s="13">
        <f>IFERROR(__xludf.DUMMYFUNCTION("""COMPUTED_VALUE"""),0)</f>
        <v>0</v>
      </c>
      <c r="L3" s="13">
        <f>IFERROR(__xludf.DUMMYFUNCTION("""COMPUTED_VALUE"""),0)</f>
        <v>0</v>
      </c>
      <c r="M3" s="7" t="b">
        <f>IFERROR(__xludf.DUMMYFUNCTION("""COMPUTED_VALUE"""),TRUE)</f>
        <v>1</v>
      </c>
      <c r="N3" s="8">
        <f>IFERROR(__xludf.DUMMYFUNCTION("""COMPUTED_VALUE"""),1151.452)</f>
        <v>1151.452</v>
      </c>
      <c r="O3" s="8">
        <f>IFERROR(__xludf.DUMMYFUNCTION("""COMPUTED_VALUE"""),800)</f>
        <v>800</v>
      </c>
      <c r="P3" s="10">
        <f>IFERROR(__xludf.DUMMYFUNCTION("""COMPUTED_VALUE"""),990)</f>
        <v>990</v>
      </c>
      <c r="Q3" s="7">
        <f>IFERROR(__xludf.DUMMYFUNCTION("""COMPUTED_VALUE"""),14)</f>
        <v>14</v>
      </c>
      <c r="R3" s="16">
        <f>IFERROR(__xludf.DUMMYFUNCTION("""COMPUTED_VALUE"""),3.1099999)</f>
        <v>3.1099999</v>
      </c>
      <c r="S3" s="19">
        <f>IFERROR(__xludf.DUMMYFUNCTION("""COMPUTED_VALUE"""),88.25719)</f>
        <v>88.25719</v>
      </c>
      <c r="T3" s="10">
        <f>IFERROR(__xludf.DUMMYFUNCTION("""COMPUTED_VALUE"""),28917272.576)</f>
        <v>28917272.576</v>
      </c>
      <c r="U3" s="8">
        <f>IFERROR(__xludf.DUMMYFUNCTION("""COMPUTED_VALUE"""),0)</f>
        <v>0</v>
      </c>
      <c r="V3" s="10">
        <f>IFERROR(__xludf.DUMMYFUNCTION("""COMPUTED_VALUE"""),310)</f>
        <v>310</v>
      </c>
      <c r="W3" s="6">
        <f>IFERROR(__xludf.DUMMYFUNCTION("""COMPUTED_VALUE"""),1900)</f>
        <v>1900</v>
      </c>
      <c r="X3" s="6">
        <f>IFERROR(__xludf.DUMMYFUNCTION("""COMPUTED_VALUE"""),45192.98338)</f>
        <v>45192.98338</v>
      </c>
      <c r="Y3" s="6"/>
      <c r="Z3" s="6"/>
      <c r="AA3" s="6" t="str">
        <f>IFERROR(__xludf.DUMMYFUNCTION("""COMPUTED_VALUE"""),"ArcCorp")</f>
        <v>ArcCorp</v>
      </c>
      <c r="AB3" s="6"/>
      <c r="AC3" s="6"/>
      <c r="AD3" s="6"/>
      <c r="AE3" s="7"/>
      <c r="AF3" s="7"/>
      <c r="AG3" s="7"/>
      <c r="AH3" s="7"/>
      <c r="AI3" s="7"/>
      <c r="AJ3" s="7"/>
      <c r="AK3" s="7"/>
      <c r="AL3" s="7"/>
      <c r="AM3" s="7"/>
      <c r="AN3" s="7"/>
      <c r="AO3" s="6"/>
      <c r="AP3" s="7"/>
      <c r="AQ3" s="7"/>
      <c r="AR3" s="6"/>
      <c r="AS3" s="6"/>
      <c r="AT3" s="6"/>
      <c r="AU3" s="6"/>
      <c r="AV3" s="6"/>
      <c r="AW3" s="6"/>
      <c r="AX3" s="6"/>
      <c r="AY3" s="6"/>
      <c r="AZ3" s="6"/>
      <c r="BA3" s="6"/>
      <c r="BB3" s="6"/>
      <c r="BC3" s="6"/>
      <c r="BD3" s="6"/>
      <c r="BE3" s="6"/>
      <c r="BF3" s="6"/>
      <c r="BG3" s="6"/>
    </row>
    <row r="4" customHeight="1" spans="1:59">
      <c r="A4" s="9" t="str">
        <f>IFERROR(__xludf.DUMMYFUNCTION("""COMPUTED_VALUE"""),"Arial R00")</f>
        <v>Arial R00</v>
      </c>
      <c r="B4" s="5"/>
      <c r="C4" s="5"/>
      <c r="D4" s="5" t="str">
        <f>IFERROR(__xludf.DUMMYFUNCTION("""COMPUTED_VALUE"""),"Arial")</f>
        <v>Arial</v>
      </c>
      <c r="E4" s="6" t="str">
        <f>IFERROR(__xludf.DUMMYFUNCTION("""COMPUTED_VALUE"""),"Arial")</f>
        <v>Arial</v>
      </c>
      <c r="F4" s="10">
        <f>IFERROR(__xludf.DUMMYFUNCTION("""COMPUTED_VALUE"""),12892673.3088608)</f>
        <v>12892673.3088608</v>
      </c>
      <c r="G4" s="10">
        <f>IFERROR(__xludf.DUMMYFUNCTION("""COMPUTED_VALUE"""),-31476.128840109)</f>
        <v>-31476.128840109</v>
      </c>
      <c r="H4" s="10">
        <f>IFERROR(__xludf.DUMMYFUNCTION("""COMPUTED_VALUE"""),0)</f>
        <v>0</v>
      </c>
      <c r="I4" s="13">
        <f>IFERROR(__xludf.DUMMYFUNCTION("""COMPUTED_VALUE"""),1)</f>
        <v>1</v>
      </c>
      <c r="J4" s="13">
        <f>IFERROR(__xludf.DUMMYFUNCTION("""COMPUTED_VALUE"""),0)</f>
        <v>0</v>
      </c>
      <c r="K4" s="13">
        <f>IFERROR(__xludf.DUMMYFUNCTION("""COMPUTED_VALUE"""),0)</f>
        <v>0</v>
      </c>
      <c r="L4" s="13">
        <f>IFERROR(__xludf.DUMMYFUNCTION("""COMPUTED_VALUE"""),0)</f>
        <v>0</v>
      </c>
      <c r="M4" s="7" t="b">
        <f>IFERROR(__xludf.DUMMYFUNCTION("""COMPUTED_VALUE"""),TRUE)</f>
        <v>1</v>
      </c>
      <c r="N4" s="10">
        <f>IFERROR(__xludf.DUMMYFUNCTION("""COMPUTED_VALUE"""),501.542)</f>
        <v>501.542</v>
      </c>
      <c r="O4" s="10">
        <f>IFERROR(__xludf.DUMMYFUNCTION("""COMPUTED_VALUE"""),344.5)</f>
        <v>344.5</v>
      </c>
      <c r="P4" s="10">
        <f>IFERROR(__xludf.DUMMYFUNCTION("""COMPUTED_VALUE"""),511.725)</f>
        <v>511.725</v>
      </c>
      <c r="Q4" s="6">
        <f>IFERROR(__xludf.DUMMYFUNCTION("""COMPUTED_VALUE"""),12)</f>
        <v>12</v>
      </c>
      <c r="R4" s="18">
        <f>IFERROR(__xludf.DUMMYFUNCTION("""COMPUTED_VALUE"""),5.5100002)</f>
        <v>5.5100002</v>
      </c>
      <c r="S4" s="19">
        <f>IFERROR(__xludf.DUMMYFUNCTION("""COMPUTED_VALUE"""),311.37601)</f>
        <v>311.37601</v>
      </c>
      <c r="T4" s="10">
        <f>IFERROR(__xludf.DUMMYFUNCTION("""COMPUTED_VALUE"""),52658.856)</f>
        <v>52658.856</v>
      </c>
      <c r="U4" s="10">
        <f>IFERROR(__xludf.DUMMYFUNCTION("""COMPUTED_VALUE"""),0)</f>
        <v>0</v>
      </c>
      <c r="V4" s="10">
        <f>IFERROR(__xludf.DUMMYFUNCTION("""COMPUTED_VALUE"""),323.292)</f>
        <v>323.292</v>
      </c>
      <c r="W4" s="6">
        <f>IFERROR(__xludf.DUMMYFUNCTION("""COMPUTED_VALUE"""),689)</f>
        <v>689</v>
      </c>
      <c r="X4" s="6">
        <f>IFERROR(__xludf.DUMMYFUNCTION("""COMPUTED_VALUE"""),45193.14793)</f>
        <v>45193.14793</v>
      </c>
      <c r="Y4" s="6"/>
      <c r="Z4" s="6"/>
      <c r="AA4" s="6" t="str">
        <f>IFERROR(__xludf.DUMMYFUNCTION("""COMPUTED_VALUE"""),"Arial")</f>
        <v>Arial</v>
      </c>
      <c r="AB4" s="6"/>
      <c r="AC4" s="6"/>
      <c r="AD4" s="6"/>
      <c r="AE4" s="7"/>
      <c r="AF4" s="7"/>
      <c r="AG4" s="7"/>
      <c r="AH4" s="7"/>
      <c r="AI4" s="7"/>
      <c r="AJ4" s="7"/>
      <c r="AK4" s="7"/>
      <c r="AL4" s="7"/>
      <c r="AM4" s="7"/>
      <c r="AN4" s="7"/>
      <c r="AO4" s="6"/>
      <c r="AP4" s="7"/>
      <c r="AQ4" s="7"/>
      <c r="AR4" s="6"/>
      <c r="AS4" s="6"/>
      <c r="AT4" s="6"/>
      <c r="AU4" s="6"/>
      <c r="AV4" s="6"/>
      <c r="AW4" s="6"/>
      <c r="AX4" s="6"/>
      <c r="AY4" s="6"/>
      <c r="AZ4" s="6"/>
      <c r="BA4" s="6"/>
      <c r="BB4" s="6"/>
      <c r="BC4" s="6"/>
      <c r="BD4" s="6"/>
      <c r="BE4" s="6"/>
      <c r="BF4" s="6"/>
      <c r="BG4" s="6"/>
    </row>
    <row r="5" customHeight="1" spans="1:59">
      <c r="A5" s="9" t="str">
        <f>IFERROR(__xludf.DUMMYFUNCTION("""COMPUTED_VALUE"""),"Calliope R00")</f>
        <v>Calliope R00</v>
      </c>
      <c r="B5" s="5"/>
      <c r="C5" s="5"/>
      <c r="D5" s="5" t="str">
        <f>IFERROR(__xludf.DUMMYFUNCTION("""COMPUTED_VALUE"""),"Calliope")</f>
        <v>Calliope</v>
      </c>
      <c r="E5" s="7" t="str">
        <f>IFERROR(__xludf.DUMMYFUNCTION("""COMPUTED_VALUE"""),"Calliope")</f>
        <v>Calliope</v>
      </c>
      <c r="F5" s="8">
        <f>IFERROR(__xludf.DUMMYFUNCTION("""COMPUTED_VALUE"""),22398369.3082472)</f>
        <v>22398369.3082472</v>
      </c>
      <c r="G5" s="8">
        <f>IFERROR(__xludf.DUMMYFUNCTION("""COMPUTED_VALUE"""),37168840.6790112)</f>
        <v>37168840.6790112</v>
      </c>
      <c r="H5" s="8">
        <f>IFERROR(__xludf.DUMMYFUNCTION("""COMPUTED_VALUE"""),0)</f>
        <v>0</v>
      </c>
      <c r="I5" s="14">
        <f>IFERROR(__xludf.DUMMYFUNCTION("""COMPUTED_VALUE"""),1)</f>
        <v>1</v>
      </c>
      <c r="J5" s="13">
        <f>IFERROR(__xludf.DUMMYFUNCTION("""COMPUTED_VALUE"""),0)</f>
        <v>0</v>
      </c>
      <c r="K5" s="13">
        <f>IFERROR(__xludf.DUMMYFUNCTION("""COMPUTED_VALUE"""),0)</f>
        <v>0</v>
      </c>
      <c r="L5" s="14">
        <f>IFERROR(__xludf.DUMMYFUNCTION("""COMPUTED_VALUE"""),0)</f>
        <v>0</v>
      </c>
      <c r="M5" s="7" t="b">
        <f>IFERROR(__xludf.DUMMYFUNCTION("""COMPUTED_VALUE"""),TRUE)</f>
        <v>1</v>
      </c>
      <c r="N5" s="8">
        <f>IFERROR(__xludf.DUMMYFUNCTION("""COMPUTED_VALUE"""),352.214)</f>
        <v>352.214</v>
      </c>
      <c r="O5" s="8">
        <f>IFERROR(__xludf.DUMMYFUNCTION("""COMPUTED_VALUE"""),240)</f>
        <v>240</v>
      </c>
      <c r="P5" s="10">
        <f>IFERROR(__xludf.DUMMYFUNCTION("""COMPUTED_VALUE"""),402.35)</f>
        <v>402.35</v>
      </c>
      <c r="Q5" s="7">
        <f>IFERROR(__xludf.DUMMYFUNCTION("""COMPUTED_VALUE"""),22)</f>
        <v>22</v>
      </c>
      <c r="R5" s="16">
        <f>IFERROR(__xludf.DUMMYFUNCTION("""COMPUTED_VALUE"""),4.5900002)</f>
        <v>4.5900002</v>
      </c>
      <c r="S5" s="19">
        <f>IFERROR(__xludf.DUMMYFUNCTION("""COMPUTED_VALUE"""),114.107859999999)</f>
        <v>114.107859999999</v>
      </c>
      <c r="T5" s="10">
        <f>IFERROR(__xludf.DUMMYFUNCTION("""COMPUTED_VALUE"""),65823.064)</f>
        <v>65823.064</v>
      </c>
      <c r="U5" s="8">
        <f>IFERROR(__xludf.DUMMYFUNCTION("""COMPUTED_VALUE"""),0)</f>
        <v>0</v>
      </c>
      <c r="V5" s="10">
        <f>IFERROR(__xludf.DUMMYFUNCTION("""COMPUTED_VALUE"""),194.774)</f>
        <v>194.774</v>
      </c>
      <c r="W5" s="6">
        <f>IFERROR(__xludf.DUMMYFUNCTION("""COMPUTED_VALUE"""),480.666)</f>
        <v>480.666</v>
      </c>
      <c r="X5" s="6">
        <f>IFERROR(__xludf.DUMMYFUNCTION("""COMPUTED_VALUE"""),45193.56858)</f>
        <v>45193.56858</v>
      </c>
      <c r="Y5" s="6"/>
      <c r="Z5" s="6"/>
      <c r="AA5" s="6" t="str">
        <f>IFERROR(__xludf.DUMMYFUNCTION("""COMPUTED_VALUE"""),"Calliope")</f>
        <v>Calliope</v>
      </c>
      <c r="AB5" s="6"/>
      <c r="AC5" s="6"/>
      <c r="AD5" s="6"/>
      <c r="AE5" s="7"/>
      <c r="AF5" s="7"/>
      <c r="AG5" s="7"/>
      <c r="AH5" s="7"/>
      <c r="AI5" s="7"/>
      <c r="AJ5" s="7"/>
      <c r="AK5" s="7"/>
      <c r="AL5" s="7"/>
      <c r="AM5" s="7"/>
      <c r="AN5" s="7"/>
      <c r="AO5" s="6"/>
      <c r="AP5" s="7"/>
      <c r="AQ5" s="7"/>
      <c r="AR5" s="6"/>
      <c r="AS5" s="6"/>
      <c r="AT5" s="6"/>
      <c r="AU5" s="6"/>
      <c r="AV5" s="6"/>
      <c r="AW5" s="6"/>
      <c r="AX5" s="6"/>
      <c r="AY5" s="6"/>
      <c r="AZ5" s="6"/>
      <c r="BA5" s="6"/>
      <c r="BB5" s="6"/>
      <c r="BC5" s="6"/>
      <c r="BD5" s="6"/>
      <c r="BE5" s="6"/>
      <c r="BF5" s="6"/>
      <c r="BG5" s="6"/>
    </row>
    <row r="6" customHeight="1" spans="1:59">
      <c r="A6" s="9" t="str">
        <f>IFERROR(__xludf.DUMMYFUNCTION("""COMPUTED_VALUE"""),"Cellin R00")</f>
        <v>Cellin R00</v>
      </c>
      <c r="B6" s="5"/>
      <c r="C6" s="5"/>
      <c r="D6" s="5" t="str">
        <f>IFERROR(__xludf.DUMMYFUNCTION("""COMPUTED_VALUE"""),"Cellin")</f>
        <v>Cellin</v>
      </c>
      <c r="E6" s="7" t="str">
        <f>IFERROR(__xludf.DUMMYFUNCTION("""COMPUTED_VALUE"""),"Cellin")</f>
        <v>Cellin</v>
      </c>
      <c r="F6" s="8">
        <f>IFERROR(__xludf.DUMMYFUNCTION("""COMPUTED_VALUE"""),-18987611.1192333)</f>
        <v>-18987611.1192333</v>
      </c>
      <c r="G6" s="8">
        <f>IFERROR(__xludf.DUMMYFUNCTION("""COMPUTED_VALUE"""),-2709009.66070514)</f>
        <v>-2709009.66070514</v>
      </c>
      <c r="H6" s="8">
        <f>IFERROR(__xludf.DUMMYFUNCTION("""COMPUTED_VALUE"""),0)</f>
        <v>0</v>
      </c>
      <c r="I6" s="13">
        <f>IFERROR(__xludf.DUMMYFUNCTION("""COMPUTED_VALUE"""),1)</f>
        <v>1</v>
      </c>
      <c r="J6" s="13">
        <f>IFERROR(__xludf.DUMMYFUNCTION("""COMPUTED_VALUE"""),0)</f>
        <v>0</v>
      </c>
      <c r="K6" s="13">
        <f>IFERROR(__xludf.DUMMYFUNCTION("""COMPUTED_VALUE"""),0)</f>
        <v>0</v>
      </c>
      <c r="L6" s="13">
        <f>IFERROR(__xludf.DUMMYFUNCTION("""COMPUTED_VALUE"""),0)</f>
        <v>0</v>
      </c>
      <c r="M6" s="7" t="b">
        <f>IFERROR(__xludf.DUMMYFUNCTION("""COMPUTED_VALUE"""),TRUE)</f>
        <v>1</v>
      </c>
      <c r="N6" s="8">
        <f>IFERROR(__xludf.DUMMYFUNCTION("""COMPUTED_VALUE"""),380.53)</f>
        <v>380.53</v>
      </c>
      <c r="O6" s="8">
        <f>IFERROR(__xludf.DUMMYFUNCTION("""COMPUTED_VALUE"""),260)</f>
        <v>260</v>
      </c>
      <c r="P6" s="10">
        <f>IFERROR(__xludf.DUMMYFUNCTION("""COMPUTED_VALUE"""),423.35)</f>
        <v>423.35</v>
      </c>
      <c r="Q6" s="7">
        <f>IFERROR(__xludf.DUMMYFUNCTION("""COMPUTED_VALUE"""),26)</f>
        <v>26</v>
      </c>
      <c r="R6" s="16">
        <f>IFERROR(__xludf.DUMMYFUNCTION("""COMPUTED_VALUE"""),4.4499998)</f>
        <v>4.4499998</v>
      </c>
      <c r="S6" s="19">
        <f>IFERROR(__xludf.DUMMYFUNCTION("""COMPUTED_VALUE"""),300.18031)</f>
        <v>300.18031</v>
      </c>
      <c r="T6" s="10">
        <f>IFERROR(__xludf.DUMMYFUNCTION("""COMPUTED_VALUE"""),50863.26)</f>
        <v>50863.26</v>
      </c>
      <c r="U6" s="8">
        <f>IFERROR(__xludf.DUMMYFUNCTION("""COMPUTED_VALUE"""),0)</f>
        <v>0</v>
      </c>
      <c r="V6" s="10">
        <f>IFERROR(__xludf.DUMMYFUNCTION("""COMPUTED_VALUE"""),240)</f>
        <v>240</v>
      </c>
      <c r="W6" s="6">
        <f>IFERROR(__xludf.DUMMYFUNCTION("""COMPUTED_VALUE"""),520.666)</f>
        <v>520.666</v>
      </c>
      <c r="X6" s="6">
        <f>IFERROR(__xludf.DUMMYFUNCTION("""COMPUTED_VALUE"""),45193.64318)</f>
        <v>45193.64318</v>
      </c>
      <c r="Y6" s="6"/>
      <c r="Z6" s="6"/>
      <c r="AA6" s="6" t="str">
        <f>IFERROR(__xludf.DUMMYFUNCTION("""COMPUTED_VALUE"""),"Cellin")</f>
        <v>Cellin</v>
      </c>
      <c r="AB6" s="6"/>
      <c r="AC6" s="6"/>
      <c r="AD6" s="6"/>
      <c r="AE6" s="7"/>
      <c r="AF6" s="7"/>
      <c r="AG6" s="7"/>
      <c r="AH6" s="7"/>
      <c r="AI6" s="7"/>
      <c r="AJ6" s="7"/>
      <c r="AK6" s="7"/>
      <c r="AL6" s="7"/>
      <c r="AM6" s="7"/>
      <c r="AN6" s="7"/>
      <c r="AO6" s="6"/>
      <c r="AP6" s="7"/>
      <c r="AQ6" s="7"/>
      <c r="AR6" s="6"/>
      <c r="AS6" s="6"/>
      <c r="AT6" s="6"/>
      <c r="AU6" s="6"/>
      <c r="AV6" s="6"/>
      <c r="AW6" s="6"/>
      <c r="AX6" s="6"/>
      <c r="AY6" s="6"/>
      <c r="AZ6" s="6"/>
      <c r="BA6" s="6"/>
      <c r="BB6" s="6"/>
      <c r="BC6" s="6"/>
      <c r="BD6" s="6"/>
      <c r="BE6" s="6"/>
      <c r="BF6" s="6"/>
      <c r="BG6" s="6"/>
    </row>
    <row r="7" customHeight="1" spans="1:59">
      <c r="A7" s="9" t="str">
        <f>IFERROR(__xludf.DUMMYFUNCTION("""COMPUTED_VALUE"""),"Clio R00")</f>
        <v>Clio R00</v>
      </c>
      <c r="B7" s="5"/>
      <c r="C7" s="5"/>
      <c r="D7" s="5" t="str">
        <f>IFERROR(__xludf.DUMMYFUNCTION("""COMPUTED_VALUE"""),"Clio")</f>
        <v>Clio</v>
      </c>
      <c r="E7" s="7" t="str">
        <f>IFERROR(__xludf.DUMMYFUNCTION("""COMPUTED_VALUE"""),"Clio")</f>
        <v>Clio</v>
      </c>
      <c r="F7" s="8">
        <f>IFERROR(__xludf.DUMMYFUNCTION("""COMPUTED_VALUE"""),22476728.22051)</f>
        <v>22476728.22051</v>
      </c>
      <c r="G7" s="8">
        <f>IFERROR(__xludf.DUMMYFUNCTION("""COMPUTED_VALUE"""),37091020.0743755)</f>
        <v>37091020.0743755</v>
      </c>
      <c r="H7" s="8">
        <f>IFERROR(__xludf.DUMMYFUNCTION("""COMPUTED_VALUE"""),0)</f>
        <v>0</v>
      </c>
      <c r="I7" s="14">
        <f>IFERROR(__xludf.DUMMYFUNCTION("""COMPUTED_VALUE"""),1)</f>
        <v>1</v>
      </c>
      <c r="J7" s="13">
        <f>IFERROR(__xludf.DUMMYFUNCTION("""COMPUTED_VALUE"""),0)</f>
        <v>0</v>
      </c>
      <c r="K7" s="13">
        <f>IFERROR(__xludf.DUMMYFUNCTION("""COMPUTED_VALUE"""),0)</f>
        <v>0</v>
      </c>
      <c r="L7" s="14">
        <f>IFERROR(__xludf.DUMMYFUNCTION("""COMPUTED_VALUE"""),0)</f>
        <v>0</v>
      </c>
      <c r="M7" s="7" t="b">
        <f>IFERROR(__xludf.DUMMYFUNCTION("""COMPUTED_VALUE"""),TRUE)</f>
        <v>1</v>
      </c>
      <c r="N7" s="8">
        <f>IFERROR(__xludf.DUMMYFUNCTION("""COMPUTED_VALUE"""),489.867)</f>
        <v>489.867</v>
      </c>
      <c r="O7" s="8">
        <f>IFERROR(__xludf.DUMMYFUNCTION("""COMPUTED_VALUE"""),337.17)</f>
        <v>337.17</v>
      </c>
      <c r="P7" s="10">
        <f>IFERROR(__xludf.DUMMYFUNCTION("""COMPUTED_VALUE"""),504.025)</f>
        <v>504.025</v>
      </c>
      <c r="Q7" s="7">
        <f>IFERROR(__xludf.DUMMYFUNCTION("""COMPUTED_VALUE"""),20)</f>
        <v>20</v>
      </c>
      <c r="R7" s="16">
        <f>IFERROR(__xludf.DUMMYFUNCTION("""COMPUTED_VALUE"""),3.25)</f>
        <v>3.25</v>
      </c>
      <c r="S7" s="19">
        <f>IFERROR(__xludf.DUMMYFUNCTION("""COMPUTED_VALUE"""),320.66965)</f>
        <v>320.66965</v>
      </c>
      <c r="T7" s="10">
        <f>IFERROR(__xludf.DUMMYFUNCTION("""COMPUTED_VALUE"""),95742.64)</f>
        <v>95742.64</v>
      </c>
      <c r="U7" s="8">
        <f>IFERROR(__xludf.DUMMYFUNCTION("""COMPUTED_VALUE"""),0)</f>
        <v>0</v>
      </c>
      <c r="V7" s="10">
        <f>IFERROR(__xludf.DUMMYFUNCTION("""COMPUTED_VALUE"""),278.839)</f>
        <v>278.839</v>
      </c>
      <c r="W7" s="6">
        <f>IFERROR(__xludf.DUMMYFUNCTION("""COMPUTED_VALUE"""),674.334)</f>
        <v>674.334</v>
      </c>
      <c r="X7" s="6">
        <f>IFERROR(__xludf.DUMMYFUNCTION("""COMPUTED_VALUE"""),45193.57805)</f>
        <v>45193.57805</v>
      </c>
      <c r="Y7" s="6"/>
      <c r="Z7" s="6"/>
      <c r="AA7" s="6" t="str">
        <f>IFERROR(__xludf.DUMMYFUNCTION("""COMPUTED_VALUE"""),"Clio")</f>
        <v>Clio</v>
      </c>
      <c r="AB7" s="6"/>
      <c r="AC7" s="6"/>
      <c r="AD7" s="6"/>
      <c r="AE7" s="7"/>
      <c r="AF7" s="7"/>
      <c r="AG7" s="7"/>
      <c r="AH7" s="7"/>
      <c r="AI7" s="7"/>
      <c r="AJ7" s="7"/>
      <c r="AK7" s="7"/>
      <c r="AL7" s="7"/>
      <c r="AM7" s="7"/>
      <c r="AN7" s="7"/>
      <c r="AO7" s="6"/>
      <c r="AP7" s="7"/>
      <c r="AQ7" s="7"/>
      <c r="AR7" s="6"/>
      <c r="AS7" s="6"/>
      <c r="AT7" s="6"/>
      <c r="AU7" s="6"/>
      <c r="AV7" s="6"/>
      <c r="AW7" s="6"/>
      <c r="AX7" s="6"/>
      <c r="AY7" s="6"/>
      <c r="AZ7" s="6"/>
      <c r="BA7" s="6"/>
      <c r="BB7" s="6"/>
      <c r="BC7" s="6"/>
      <c r="BD7" s="6"/>
      <c r="BE7" s="6"/>
      <c r="BF7" s="6"/>
      <c r="BG7" s="6"/>
    </row>
    <row r="8" customHeight="1" spans="1:59">
      <c r="A8" s="9" t="str">
        <f>IFERROR(__xludf.DUMMYFUNCTION("""COMPUTED_VALUE"""),"Crusader R00")</f>
        <v>Crusader R00</v>
      </c>
      <c r="B8" s="5"/>
      <c r="C8" s="5"/>
      <c r="D8" s="5" t="str">
        <f>IFERROR(__xludf.DUMMYFUNCTION("""COMPUTED_VALUE"""),"Crusader")</f>
        <v>Crusader</v>
      </c>
      <c r="E8" s="7" t="str">
        <f>IFERROR(__xludf.DUMMYFUNCTION("""COMPUTED_VALUE"""),"Crusader")</f>
        <v>Crusader</v>
      </c>
      <c r="F8" s="8">
        <f>IFERROR(__xludf.DUMMYFUNCTION("""COMPUTED_VALUE"""),-18962176)</f>
        <v>-18962176</v>
      </c>
      <c r="G8" s="8">
        <f>IFERROR(__xludf.DUMMYFUNCTION("""COMPUTED_VALUE"""),-2664959.99999998)</f>
        <v>-2664959.99999998</v>
      </c>
      <c r="H8" s="8">
        <f>IFERROR(__xludf.DUMMYFUNCTION("""COMPUTED_VALUE"""),0)</f>
        <v>0</v>
      </c>
      <c r="I8" s="14">
        <f>IFERROR(__xludf.DUMMYFUNCTION("""COMPUTED_VALUE"""),1)</f>
        <v>1</v>
      </c>
      <c r="J8" s="14">
        <f>IFERROR(__xludf.DUMMYFUNCTION("""COMPUTED_VALUE"""),0)</f>
        <v>0</v>
      </c>
      <c r="K8" s="14">
        <f>IFERROR(__xludf.DUMMYFUNCTION("""COMPUTED_VALUE"""),0)</f>
        <v>0</v>
      </c>
      <c r="L8" s="14">
        <f>IFERROR(__xludf.DUMMYFUNCTION("""COMPUTED_VALUE"""),0)</f>
        <v>0</v>
      </c>
      <c r="M8" s="7" t="b">
        <f>IFERROR(__xludf.DUMMYFUNCTION("""COMPUTED_VALUE"""),TRUE)</f>
        <v>1</v>
      </c>
      <c r="N8" s="8">
        <f>IFERROR(__xludf.DUMMYFUNCTION("""COMPUTED_VALUE"""),10673.17)</f>
        <v>10673.17</v>
      </c>
      <c r="O8" s="8">
        <f>IFERROR(__xludf.DUMMYFUNCTION("""COMPUTED_VALUE"""),7450.01)</f>
        <v>7450.01</v>
      </c>
      <c r="P8" s="10">
        <f>IFERROR(__xludf.DUMMYFUNCTION("""COMPUTED_VALUE"""),7972.5)</f>
        <v>7972.5</v>
      </c>
      <c r="Q8" s="7">
        <f>IFERROR(__xludf.DUMMYFUNCTION("""COMPUTED_VALUE"""),12)</f>
        <v>12</v>
      </c>
      <c r="R8" s="16">
        <f>IFERROR(__xludf.DUMMYFUNCTION("""COMPUTED_VALUE"""),5.0999999)</f>
        <v>5.0999999</v>
      </c>
      <c r="S8" s="19">
        <f>IFERROR(__xludf.DUMMYFUNCTION("""COMPUTED_VALUE"""),169.934)</f>
        <v>169.934</v>
      </c>
      <c r="T8" s="10">
        <f>IFERROR(__xludf.DUMMYFUNCTION("""COMPUTED_VALUE"""),19148527.616)</f>
        <v>19148527.616</v>
      </c>
      <c r="U8" s="8">
        <f>IFERROR(__xludf.DUMMYFUNCTION("""COMPUTED_VALUE"""),0)</f>
        <v>0</v>
      </c>
      <c r="V8" s="10">
        <f>IFERROR(__xludf.DUMMYFUNCTION("""COMPUTED_VALUE"""),188)</f>
        <v>188</v>
      </c>
      <c r="W8" s="6">
        <f>IFERROR(__xludf.DUMMYFUNCTION("""COMPUTED_VALUE"""),14900)</f>
        <v>14900</v>
      </c>
      <c r="X8" s="6">
        <f>IFERROR(__xludf.DUMMYFUNCTION("""COMPUTED_VALUE"""),45193.62558)</f>
        <v>45193.62558</v>
      </c>
      <c r="Y8" s="6"/>
      <c r="Z8" s="6"/>
      <c r="AA8" s="6" t="str">
        <f>IFERROR(__xludf.DUMMYFUNCTION("""COMPUTED_VALUE"""),"Crusader")</f>
        <v>Crusader</v>
      </c>
      <c r="AB8" s="6"/>
      <c r="AC8" s="6"/>
      <c r="AD8" s="6"/>
      <c r="AE8" s="7"/>
      <c r="AF8" s="7"/>
      <c r="AG8" s="7"/>
      <c r="AH8" s="7"/>
      <c r="AI8" s="7"/>
      <c r="AJ8" s="7"/>
      <c r="AK8" s="7"/>
      <c r="AL8" s="7"/>
      <c r="AM8" s="7"/>
      <c r="AN8" s="7"/>
      <c r="AO8" s="6"/>
      <c r="AP8" s="7"/>
      <c r="AQ8" s="7"/>
      <c r="AR8" s="6"/>
      <c r="AS8" s="6"/>
      <c r="AT8" s="6"/>
      <c r="AU8" s="6"/>
      <c r="AV8" s="6"/>
      <c r="AW8" s="6"/>
      <c r="AX8" s="6"/>
      <c r="AY8" s="6"/>
      <c r="AZ8" s="6"/>
      <c r="BA8" s="6"/>
      <c r="BB8" s="6"/>
      <c r="BC8" s="6"/>
      <c r="BD8" s="6"/>
      <c r="BE8" s="6"/>
      <c r="BF8" s="6"/>
      <c r="BG8" s="6"/>
    </row>
    <row r="9" customHeight="1" spans="1:59">
      <c r="A9" s="9" t="str">
        <f>IFERROR(__xludf.DUMMYFUNCTION("""COMPUTED_VALUE"""),"Daymar R00")</f>
        <v>Daymar R00</v>
      </c>
      <c r="B9" s="5"/>
      <c r="C9" s="5"/>
      <c r="D9" s="5" t="str">
        <f>IFERROR(__xludf.DUMMYFUNCTION("""COMPUTED_VALUE"""),"Daymar")</f>
        <v>Daymar</v>
      </c>
      <c r="E9" s="7" t="str">
        <f>IFERROR(__xludf.DUMMYFUNCTION("""COMPUTED_VALUE"""),"Daymar")</f>
        <v>Daymar</v>
      </c>
      <c r="F9" s="8">
        <f>IFERROR(__xludf.DUMMYFUNCTION("""COMPUTED_VALUE"""),-18930539.5395348)</f>
        <v>-18930539.5395348</v>
      </c>
      <c r="G9" s="8">
        <f>IFERROR(__xludf.DUMMYFUNCTION("""COMPUTED_VALUE"""),-2610158.76549855)</f>
        <v>-2610158.76549855</v>
      </c>
      <c r="H9" s="8">
        <f>IFERROR(__xludf.DUMMYFUNCTION("""COMPUTED_VALUE"""),0)</f>
        <v>0</v>
      </c>
      <c r="I9" s="14">
        <f>IFERROR(__xludf.DUMMYFUNCTION("""COMPUTED_VALUE"""),1)</f>
        <v>1</v>
      </c>
      <c r="J9" s="14">
        <f>IFERROR(__xludf.DUMMYFUNCTION("""COMPUTED_VALUE"""),0)</f>
        <v>0</v>
      </c>
      <c r="K9" s="14">
        <f>IFERROR(__xludf.DUMMYFUNCTION("""COMPUTED_VALUE"""),0)</f>
        <v>0</v>
      </c>
      <c r="L9" s="14">
        <f>IFERROR(__xludf.DUMMYFUNCTION("""COMPUTED_VALUE"""),0)</f>
        <v>0</v>
      </c>
      <c r="M9" s="7" t="b">
        <f>IFERROR(__xludf.DUMMYFUNCTION("""COMPUTED_VALUE"""),TRUE)</f>
        <v>1</v>
      </c>
      <c r="N9" s="8">
        <f>IFERROR(__xludf.DUMMYFUNCTION("""COMPUTED_VALUE"""),430.028)</f>
        <v>430.028</v>
      </c>
      <c r="O9" s="8">
        <f>IFERROR(__xludf.DUMMYFUNCTION("""COMPUTED_VALUE"""),295)</f>
        <v>295</v>
      </c>
      <c r="P9" s="10">
        <f>IFERROR(__xludf.DUMMYFUNCTION("""COMPUTED_VALUE"""),459.75)</f>
        <v>459.75</v>
      </c>
      <c r="Q9" s="7">
        <f>IFERROR(__xludf.DUMMYFUNCTION("""COMPUTED_VALUE"""),74)</f>
        <v>74</v>
      </c>
      <c r="R9" s="16">
        <f>IFERROR(__xludf.DUMMYFUNCTION("""COMPUTED_VALUE"""),2.48)</f>
        <v>2.48</v>
      </c>
      <c r="S9" s="19">
        <f>IFERROR(__xludf.DUMMYFUNCTION("""COMPUTED_VALUE"""),97.79532)</f>
        <v>97.79532</v>
      </c>
      <c r="T9" s="10">
        <f>IFERROR(__xludf.DUMMYFUNCTION("""COMPUTED_VALUE"""),63279.908)</f>
        <v>63279.908</v>
      </c>
      <c r="U9" s="8">
        <f>IFERROR(__xludf.DUMMYFUNCTION("""COMPUTED_VALUE"""),0)</f>
        <v>0</v>
      </c>
      <c r="V9" s="10">
        <f>IFERROR(__xludf.DUMMYFUNCTION("""COMPUTED_VALUE"""),60)</f>
        <v>60</v>
      </c>
      <c r="W9" s="6">
        <f>IFERROR(__xludf.DUMMYFUNCTION("""COMPUTED_VALUE"""),590)</f>
        <v>590</v>
      </c>
      <c r="X9" s="6">
        <f>IFERROR(__xludf.DUMMYFUNCTION("""COMPUTED_VALUE"""),45193.63517)</f>
        <v>45193.63517</v>
      </c>
      <c r="Y9" s="6"/>
      <c r="Z9" s="6"/>
      <c r="AA9" s="6" t="str">
        <f>IFERROR(__xludf.DUMMYFUNCTION("""COMPUTED_VALUE"""),"Daymar")</f>
        <v>Daymar</v>
      </c>
      <c r="AB9" s="6"/>
      <c r="AC9" s="6"/>
      <c r="AD9" s="6"/>
      <c r="AE9" s="7"/>
      <c r="AF9" s="7"/>
      <c r="AG9" s="7"/>
      <c r="AH9" s="7"/>
      <c r="AI9" s="7"/>
      <c r="AJ9" s="7"/>
      <c r="AK9" s="7"/>
      <c r="AL9" s="7"/>
      <c r="AM9" s="7"/>
      <c r="AN9" s="7"/>
      <c r="AO9" s="6"/>
      <c r="AP9" s="7"/>
      <c r="AQ9" s="7"/>
      <c r="AR9" s="6"/>
      <c r="AS9" s="6"/>
      <c r="AT9" s="6"/>
      <c r="AU9" s="6"/>
      <c r="AV9" s="6"/>
      <c r="AW9" s="6"/>
      <c r="AX9" s="6"/>
      <c r="AY9" s="6"/>
      <c r="AZ9" s="6"/>
      <c r="BA9" s="6"/>
      <c r="BB9" s="6"/>
      <c r="BC9" s="6"/>
      <c r="BD9" s="6"/>
      <c r="BE9" s="6"/>
      <c r="BF9" s="6"/>
      <c r="BG9" s="6"/>
    </row>
    <row r="10" customHeight="1" spans="1:59">
      <c r="A10" s="9" t="str">
        <f>IFERROR(__xludf.DUMMYFUNCTION("""COMPUTED_VALUE"""),"Delamar R00")</f>
        <v>Delamar R00</v>
      </c>
      <c r="B10" s="5"/>
      <c r="C10" s="5"/>
      <c r="D10" s="5" t="str">
        <f>IFERROR(__xludf.DUMMYFUNCTION("""COMPUTED_VALUE"""),"Delamar")</f>
        <v>Delamar</v>
      </c>
      <c r="E10" s="7" t="str">
        <f>IFERROR(__xludf.DUMMYFUNCTION("""COMPUTED_VALUE"""),"Delamar")</f>
        <v>Delamar</v>
      </c>
      <c r="F10" s="8">
        <f>IFERROR(__xludf.DUMMYFUNCTION("""COMPUTED_VALUE"""),-10531703.4784293)</f>
        <v>-10531703.4784293</v>
      </c>
      <c r="G10" s="8">
        <f>IFERROR(__xludf.DUMMYFUNCTION("""COMPUTED_VALUE"""),18241438.6638409)</f>
        <v>18241438.6638409</v>
      </c>
      <c r="H10" s="8">
        <f>IFERROR(__xludf.DUMMYFUNCTION("""COMPUTED_VALUE"""),0)</f>
        <v>0</v>
      </c>
      <c r="I10" s="14">
        <f>IFERROR(__xludf.DUMMYFUNCTION("""COMPUTED_VALUE"""),-0.02566203)</f>
        <v>-0.02566203</v>
      </c>
      <c r="J10" s="14">
        <f>IFERROR(__xludf.DUMMYFUNCTION("""COMPUTED_VALUE"""),0.76970404)</f>
        <v>0.76970404</v>
      </c>
      <c r="K10" s="14">
        <f>IFERROR(__xludf.DUMMYFUNCTION("""COMPUTED_VALUE"""),-0.45771712)</f>
        <v>-0.45771712</v>
      </c>
      <c r="L10" s="14">
        <f>IFERROR(__xludf.DUMMYFUNCTION("""COMPUTED_VALUE"""),-0.44428843)</f>
        <v>-0.44428843</v>
      </c>
      <c r="M10" s="7" t="b">
        <f>IFERROR(__xludf.DUMMYFUNCTION("""COMPUTED_VALUE"""),TRUE)</f>
        <v>1</v>
      </c>
      <c r="N10" s="8">
        <f>IFERROR(__xludf.DUMMYFUNCTION("""COMPUTED_VALUE"""),118.89)</f>
        <v>118.89</v>
      </c>
      <c r="O10" s="8">
        <f>IFERROR(__xludf.DUMMYFUNCTION("""COMPUTED_VALUE"""),75)</f>
        <v>75</v>
      </c>
      <c r="P10" s="10">
        <f>IFERROR(__xludf.DUMMYFUNCTION("""COMPUTED_VALUE"""),228.75)</f>
        <v>228.75</v>
      </c>
      <c r="Q10" s="7">
        <f>IFERROR(__xludf.DUMMYFUNCTION("""COMPUTED_VALUE"""),10)</f>
        <v>10</v>
      </c>
      <c r="R10" s="16">
        <f>IFERROR(__xludf.DUMMYFUNCTION("""COMPUTED_VALUE"""),0)</f>
        <v>0</v>
      </c>
      <c r="S10" s="19">
        <f>IFERROR(__xludf.DUMMYFUNCTION("""COMPUTED_VALUE"""),0)</f>
        <v>0</v>
      </c>
      <c r="T10" s="10">
        <f>IFERROR(__xludf.DUMMYFUNCTION("""COMPUTED_VALUE"""),21063401.472)</f>
        <v>21063401.472</v>
      </c>
      <c r="U10" s="8">
        <f>IFERROR(__xludf.DUMMYFUNCTION("""COMPUTED_VALUE"""),0)</f>
        <v>0</v>
      </c>
      <c r="V10" s="10">
        <f>IFERROR(__xludf.DUMMYFUNCTION("""COMPUTED_VALUE"""),120)</f>
        <v>120</v>
      </c>
      <c r="W10" s="6">
        <f>IFERROR(__xludf.DUMMYFUNCTION("""COMPUTED_VALUE"""),700)</f>
        <v>700</v>
      </c>
      <c r="X10" s="6"/>
      <c r="Y10" s="6"/>
      <c r="Z10" s="6"/>
      <c r="AA10" s="6" t="str">
        <f>IFERROR(__xludf.DUMMYFUNCTION("""COMPUTED_VALUE"""),"Euterpe")</f>
        <v>Euterpe</v>
      </c>
      <c r="AB10" s="6"/>
      <c r="AC10" s="6"/>
      <c r="AD10" s="6"/>
      <c r="AE10" s="7"/>
      <c r="AF10" s="7"/>
      <c r="AG10" s="7"/>
      <c r="AH10" s="7"/>
      <c r="AI10" s="7"/>
      <c r="AJ10" s="7"/>
      <c r="AK10" s="7"/>
      <c r="AL10" s="7"/>
      <c r="AM10" s="7"/>
      <c r="AN10" s="7"/>
      <c r="AO10" s="6"/>
      <c r="AP10" s="7"/>
      <c r="AQ10" s="7"/>
      <c r="AR10" s="6"/>
      <c r="AS10" s="6"/>
      <c r="AT10" s="6"/>
      <c r="AU10" s="6"/>
      <c r="AV10" s="6"/>
      <c r="AW10" s="6"/>
      <c r="AX10" s="6"/>
      <c r="AY10" s="6"/>
      <c r="AZ10" s="6"/>
      <c r="BA10" s="6"/>
      <c r="BB10" s="6"/>
      <c r="BC10" s="6"/>
      <c r="BD10" s="6"/>
      <c r="BE10" s="6"/>
      <c r="BF10" s="6"/>
      <c r="BG10" s="6"/>
    </row>
    <row r="11" customHeight="1" spans="1:59">
      <c r="A11" s="9" t="str">
        <f>IFERROR(__xludf.DUMMYFUNCTION("""COMPUTED_VALUE"""),"Euterpe R00")</f>
        <v>Euterpe R00</v>
      </c>
      <c r="B11" s="5"/>
      <c r="C11" s="5"/>
      <c r="D11" s="5" t="str">
        <f>IFERROR(__xludf.DUMMYFUNCTION("""COMPUTED_VALUE"""),"Euterpe")</f>
        <v>Euterpe</v>
      </c>
      <c r="E11" s="7" t="str">
        <f>IFERROR(__xludf.DUMMYFUNCTION("""COMPUTED_VALUE"""),"Euterpe")</f>
        <v>Euterpe</v>
      </c>
      <c r="F11" s="8">
        <f>IFERROR(__xludf.DUMMYFUNCTION("""COMPUTED_VALUE"""),22488109.735701)</f>
        <v>22488109.735701</v>
      </c>
      <c r="G11" s="8">
        <f>IFERROR(__xludf.DUMMYFUNCTION("""COMPUTED_VALUE"""),37081123.5646791)</f>
        <v>37081123.5646791</v>
      </c>
      <c r="H11" s="8">
        <f>IFERROR(__xludf.DUMMYFUNCTION("""COMPUTED_VALUE"""),0)</f>
        <v>0</v>
      </c>
      <c r="I11" s="14">
        <f>IFERROR(__xludf.DUMMYFUNCTION("""COMPUTED_VALUE"""),1)</f>
        <v>1</v>
      </c>
      <c r="J11" s="14">
        <f>IFERROR(__xludf.DUMMYFUNCTION("""COMPUTED_VALUE"""),0)</f>
        <v>0</v>
      </c>
      <c r="K11" s="14">
        <f>IFERROR(__xludf.DUMMYFUNCTION("""COMPUTED_VALUE"""),0)</f>
        <v>0</v>
      </c>
      <c r="L11" s="14">
        <f>IFERROR(__xludf.DUMMYFUNCTION("""COMPUTED_VALUE"""),0)</f>
        <v>0</v>
      </c>
      <c r="M11" s="7" t="b">
        <f>IFERROR(__xludf.DUMMYFUNCTION("""COMPUTED_VALUE"""),TRUE)</f>
        <v>1</v>
      </c>
      <c r="N11" s="8">
        <f>IFERROR(__xludf.DUMMYFUNCTION("""COMPUTED_VALUE"""),314.031)</f>
        <v>314.031</v>
      </c>
      <c r="O11" s="8">
        <f>IFERROR(__xludf.DUMMYFUNCTION("""COMPUTED_VALUE"""),213)</f>
        <v>213</v>
      </c>
      <c r="P11" s="10">
        <f>IFERROR(__xludf.DUMMYFUNCTION("""COMPUTED_VALUE"""),373.475)</f>
        <v>373.475</v>
      </c>
      <c r="Q11" s="7">
        <f>IFERROR(__xludf.DUMMYFUNCTION("""COMPUTED_VALUE"""),27)</f>
        <v>27</v>
      </c>
      <c r="R11" s="16">
        <f>IFERROR(__xludf.DUMMYFUNCTION("""COMPUTED_VALUE"""),4.2800002)</f>
        <v>4.2800002</v>
      </c>
      <c r="S11" s="19">
        <f>IFERROR(__xludf.DUMMYFUNCTION("""COMPUTED_VALUE"""),98.98616)</f>
        <v>98.98616</v>
      </c>
      <c r="T11" s="10">
        <f>IFERROR(__xludf.DUMMYFUNCTION("""COMPUTED_VALUE"""),107710.472)</f>
        <v>107710.472</v>
      </c>
      <c r="U11" s="8">
        <f>IFERROR(__xludf.DUMMYFUNCTION("""COMPUTED_VALUE"""),0)</f>
        <v>0</v>
      </c>
      <c r="V11" s="10">
        <f>IFERROR(__xludf.DUMMYFUNCTION("""COMPUTED_VALUE"""),284.02)</f>
        <v>284.02</v>
      </c>
      <c r="W11" s="6">
        <f>IFERROR(__xludf.DUMMYFUNCTION("""COMPUTED_VALUE"""),425.666)</f>
        <v>425.666</v>
      </c>
      <c r="X11" s="20">
        <f>IFERROR(__xludf.DUMMYFUNCTION("""COMPUTED_VALUE"""),45193.57352)</f>
        <v>45193.57352</v>
      </c>
      <c r="Y11" s="1"/>
      <c r="Z11" s="1"/>
      <c r="AA11" s="6" t="str">
        <f>IFERROR(__xludf.DUMMYFUNCTION("""COMPUTED_VALUE"""),"Hurston")</f>
        <v>Hurston</v>
      </c>
      <c r="AB11" s="6"/>
      <c r="AC11" s="6"/>
      <c r="AD11" s="6"/>
      <c r="AE11" s="7"/>
      <c r="AF11" s="7"/>
      <c r="AG11" s="7"/>
      <c r="AH11" s="7"/>
      <c r="AI11" s="7"/>
      <c r="AJ11" s="7"/>
      <c r="AK11" s="7"/>
      <c r="AL11" s="7"/>
      <c r="AM11" s="7"/>
      <c r="AN11" s="7"/>
      <c r="AO11" s="6"/>
      <c r="AP11" s="7"/>
      <c r="AQ11" s="7"/>
      <c r="AR11" s="6"/>
      <c r="AS11" s="6"/>
      <c r="AT11" s="6"/>
      <c r="AU11" s="6"/>
      <c r="AV11" s="6"/>
      <c r="AW11" s="6"/>
      <c r="AX11" s="6"/>
      <c r="AY11" s="6"/>
      <c r="AZ11" s="6"/>
      <c r="BA11" s="6"/>
      <c r="BB11" s="6"/>
      <c r="BC11" s="6"/>
      <c r="BD11" s="6"/>
      <c r="BE11" s="6"/>
      <c r="BF11" s="6"/>
      <c r="BG11" s="6"/>
    </row>
    <row r="12" customHeight="1" spans="1:59">
      <c r="A12" s="9" t="str">
        <f>IFERROR(__xludf.DUMMYFUNCTION("""COMPUTED_VALUE"""),"Hurston R00")</f>
        <v>Hurston R00</v>
      </c>
      <c r="B12" s="5"/>
      <c r="C12" s="5"/>
      <c r="D12" s="5" t="str">
        <f>IFERROR(__xludf.DUMMYFUNCTION("""COMPUTED_VALUE"""),"Hurston")</f>
        <v>Hurston</v>
      </c>
      <c r="E12" s="7" t="str">
        <f>IFERROR(__xludf.DUMMYFUNCTION("""COMPUTED_VALUE"""),"Hurston")</f>
        <v>Hurston</v>
      </c>
      <c r="F12" s="8">
        <f>IFERROR(__xludf.DUMMYFUNCTION("""COMPUTED_VALUE"""),12850457.093)</f>
        <v>12850457.093</v>
      </c>
      <c r="G12" s="8">
        <f>IFERROR(__xludf.DUMMYFUNCTION("""COMPUTED_VALUE"""),0)</f>
        <v>0</v>
      </c>
      <c r="H12" s="8">
        <f>IFERROR(__xludf.DUMMYFUNCTION("""COMPUTED_VALUE"""),0)</f>
        <v>0</v>
      </c>
      <c r="I12" s="14">
        <f>IFERROR(__xludf.DUMMYFUNCTION("""COMPUTED_VALUE"""),1)</f>
        <v>1</v>
      </c>
      <c r="J12" s="13">
        <f>IFERROR(__xludf.DUMMYFUNCTION("""COMPUTED_VALUE"""),0)</f>
        <v>0</v>
      </c>
      <c r="K12" s="13">
        <f>IFERROR(__xludf.DUMMYFUNCTION("""COMPUTED_VALUE"""),0)</f>
        <v>0</v>
      </c>
      <c r="L12" s="14">
        <f>IFERROR(__xludf.DUMMYFUNCTION("""COMPUTED_VALUE"""),0)</f>
        <v>0</v>
      </c>
      <c r="M12" s="7" t="b">
        <f>IFERROR(__xludf.DUMMYFUNCTION("""COMPUTED_VALUE"""),TRUE)</f>
        <v>1</v>
      </c>
      <c r="N12" s="8">
        <f>IFERROR(__xludf.DUMMYFUNCTION("""COMPUTED_VALUE"""),1436.814)</f>
        <v>1436.814</v>
      </c>
      <c r="O12" s="8">
        <f>IFERROR(__xludf.DUMMYFUNCTION("""COMPUTED_VALUE"""),1000)</f>
        <v>1000</v>
      </c>
      <c r="P12" s="10">
        <f>IFERROR(__xludf.DUMMYFUNCTION("""COMPUTED_VALUE"""),1200)</f>
        <v>1200</v>
      </c>
      <c r="Q12" s="7">
        <f>IFERROR(__xludf.DUMMYFUNCTION("""COMPUTED_VALUE"""),139)</f>
        <v>139</v>
      </c>
      <c r="R12" s="16">
        <f>IFERROR(__xludf.DUMMYFUNCTION("""COMPUTED_VALUE"""),2.48)</f>
        <v>2.48</v>
      </c>
      <c r="S12" s="19">
        <f>IFERROR(__xludf.DUMMYFUNCTION("""COMPUTED_VALUE"""),62.96232)</f>
        <v>62.96232</v>
      </c>
      <c r="T12" s="10">
        <f>IFERROR(__xludf.DUMMYFUNCTION("""COMPUTED_VALUE"""),12850457.6)</f>
        <v>12850457.6</v>
      </c>
      <c r="U12" s="8">
        <f>IFERROR(__xludf.DUMMYFUNCTION("""COMPUTED_VALUE"""),0)</f>
        <v>0</v>
      </c>
      <c r="V12" s="10">
        <f>IFERROR(__xludf.DUMMYFUNCTION("""COMPUTED_VALUE"""),0)</f>
        <v>0</v>
      </c>
      <c r="W12" s="6">
        <f>IFERROR(__xludf.DUMMYFUNCTION("""COMPUTED_VALUE"""),2000)</f>
        <v>2000</v>
      </c>
      <c r="X12" s="6">
        <f>IFERROR(__xludf.DUMMYFUNCTION("""COMPUTED_VALUE"""),45193.12194)</f>
        <v>45193.12194</v>
      </c>
      <c r="Y12" s="6"/>
      <c r="Z12" s="6"/>
      <c r="AA12" s="6" t="str">
        <f>IFERROR(__xludf.DUMMYFUNCTION("""COMPUTED_VALUE"""),"Ita")</f>
        <v>Ita</v>
      </c>
      <c r="AB12" s="6"/>
      <c r="AC12" s="6"/>
      <c r="AD12" s="6"/>
      <c r="AE12" s="7"/>
      <c r="AF12" s="7"/>
      <c r="AG12" s="7"/>
      <c r="AH12" s="7"/>
      <c r="AI12" s="7"/>
      <c r="AJ12" s="7"/>
      <c r="AK12" s="7"/>
      <c r="AL12" s="7"/>
      <c r="AM12" s="7"/>
      <c r="AN12" s="7"/>
      <c r="AO12" s="6"/>
      <c r="AP12" s="7"/>
      <c r="AQ12" s="7"/>
      <c r="AR12" s="6"/>
      <c r="AS12" s="6"/>
      <c r="AT12" s="6"/>
      <c r="AU12" s="6"/>
      <c r="AV12" s="6"/>
      <c r="AW12" s="6"/>
      <c r="AX12" s="6"/>
      <c r="AY12" s="6"/>
      <c r="AZ12" s="6"/>
      <c r="BA12" s="6"/>
      <c r="BB12" s="6"/>
      <c r="BC12" s="6"/>
      <c r="BD12" s="6"/>
      <c r="BE12" s="6"/>
      <c r="BF12" s="6"/>
      <c r="BG12" s="6"/>
    </row>
    <row r="13" customHeight="1" spans="1:59">
      <c r="A13" s="9" t="str">
        <f>IFERROR(__xludf.DUMMYFUNCTION("""COMPUTED_VALUE"""),"Ita R00")</f>
        <v>Ita R00</v>
      </c>
      <c r="B13" s="5"/>
      <c r="C13" s="5"/>
      <c r="D13" s="5" t="str">
        <f>IFERROR(__xludf.DUMMYFUNCTION("""COMPUTED_VALUE"""),"Ita")</f>
        <v>Ita</v>
      </c>
      <c r="E13" s="6" t="str">
        <f>IFERROR(__xludf.DUMMYFUNCTION("""COMPUTED_VALUE"""),"Ita")</f>
        <v>Ita</v>
      </c>
      <c r="F13" s="10">
        <f>IFERROR(__xludf.DUMMYFUNCTION("""COMPUTED_VALUE"""),12830194.7158127)</f>
        <v>12830194.7158127</v>
      </c>
      <c r="G13" s="10">
        <f>IFERROR(__xludf.DUMMYFUNCTION("""COMPUTED_VALUE"""),114913.608600052)</f>
        <v>114913.608600052</v>
      </c>
      <c r="H13" s="10">
        <f>IFERROR(__xludf.DUMMYFUNCTION("""COMPUTED_VALUE"""),0)</f>
        <v>0</v>
      </c>
      <c r="I13" s="13">
        <f>IFERROR(__xludf.DUMMYFUNCTION("""COMPUTED_VALUE"""),1)</f>
        <v>1</v>
      </c>
      <c r="J13" s="13">
        <f>IFERROR(__xludf.DUMMYFUNCTION("""COMPUTED_VALUE"""),0)</f>
        <v>0</v>
      </c>
      <c r="K13" s="13">
        <f>IFERROR(__xludf.DUMMYFUNCTION("""COMPUTED_VALUE"""),0)</f>
        <v>0</v>
      </c>
      <c r="L13" s="13">
        <f>IFERROR(__xludf.DUMMYFUNCTION("""COMPUTED_VALUE"""),0)</f>
        <v>0</v>
      </c>
      <c r="M13" s="7" t="b">
        <f>IFERROR(__xludf.DUMMYFUNCTION("""COMPUTED_VALUE"""),TRUE)</f>
        <v>1</v>
      </c>
      <c r="N13" s="10">
        <f>IFERROR(__xludf.DUMMYFUNCTION("""COMPUTED_VALUE"""),472.453)</f>
        <v>472.453</v>
      </c>
      <c r="O13" s="10">
        <f>IFERROR(__xludf.DUMMYFUNCTION("""COMPUTED_VALUE"""),325)</f>
        <v>325</v>
      </c>
      <c r="P13" s="10">
        <f>IFERROR(__xludf.DUMMYFUNCTION("""COMPUTED_VALUE"""),491.25)</f>
        <v>491.25</v>
      </c>
      <c r="Q13" s="6">
        <f>IFERROR(__xludf.DUMMYFUNCTION("""COMPUTED_VALUE"""),44)</f>
        <v>44</v>
      </c>
      <c r="R13" s="18">
        <f>IFERROR(__xludf.DUMMYFUNCTION("""COMPUTED_VALUE"""),4.8499999)</f>
        <v>4.8499999</v>
      </c>
      <c r="S13" s="19">
        <f>IFERROR(__xludf.DUMMYFUNCTION("""COMPUTED_VALUE"""),143.51618)</f>
        <v>143.51618</v>
      </c>
      <c r="T13" s="10">
        <f>IFERROR(__xludf.DUMMYFUNCTION("""COMPUTED_VALUE"""),116686.336)</f>
        <v>116686.336</v>
      </c>
      <c r="U13" s="10">
        <f>IFERROR(__xludf.DUMMYFUNCTION("""COMPUTED_VALUE"""),0)</f>
        <v>0</v>
      </c>
      <c r="V13" s="10">
        <f>IFERROR(__xludf.DUMMYFUNCTION("""COMPUTED_VALUE"""),100)</f>
        <v>100</v>
      </c>
      <c r="W13" s="6">
        <f>IFERROR(__xludf.DUMMYFUNCTION("""COMPUTED_VALUE"""),650)</f>
        <v>650</v>
      </c>
      <c r="X13" s="6">
        <f>IFERROR(__xludf.DUMMYFUNCTION("""COMPUTED_VALUE"""),45193.13985)</f>
        <v>45193.13985</v>
      </c>
      <c r="Y13" s="6"/>
      <c r="Z13" s="6"/>
      <c r="AA13" s="6" t="str">
        <f>IFERROR(__xludf.DUMMYFUNCTION("""COMPUTED_VALUE"""),"Lyria")</f>
        <v>Lyria</v>
      </c>
      <c r="AB13" s="6"/>
      <c r="AC13" s="6"/>
      <c r="AD13" s="6"/>
      <c r="AE13" s="7"/>
      <c r="AF13" s="7"/>
      <c r="AG13" s="7"/>
      <c r="AH13" s="7"/>
      <c r="AI13" s="7"/>
      <c r="AJ13" s="7"/>
      <c r="AK13" s="7"/>
      <c r="AL13" s="7"/>
      <c r="AM13" s="7"/>
      <c r="AN13" s="7"/>
      <c r="AO13" s="6"/>
      <c r="AP13" s="7"/>
      <c r="AQ13" s="7"/>
      <c r="AR13" s="6"/>
      <c r="AS13" s="6"/>
      <c r="AT13" s="6"/>
      <c r="AU13" s="6"/>
      <c r="AV13" s="6"/>
      <c r="AW13" s="6"/>
      <c r="AX13" s="6"/>
      <c r="AY13" s="6"/>
      <c r="AZ13" s="6"/>
      <c r="BA13" s="6"/>
      <c r="BB13" s="6"/>
      <c r="BC13" s="6"/>
      <c r="BD13" s="6"/>
      <c r="BE13" s="6"/>
      <c r="BF13" s="6"/>
      <c r="BG13" s="6"/>
    </row>
    <row r="14" customHeight="1" spans="1:59">
      <c r="A14" s="9" t="str">
        <f>IFERROR(__xludf.DUMMYFUNCTION("""COMPUTED_VALUE"""),"Lyria R00")</f>
        <v>Lyria R00</v>
      </c>
      <c r="B14" s="5"/>
      <c r="C14" s="5"/>
      <c r="D14" s="5" t="str">
        <f>IFERROR(__xludf.DUMMYFUNCTION("""COMPUTED_VALUE"""),"Lyria")</f>
        <v>Lyria</v>
      </c>
      <c r="E14" s="6" t="str">
        <f>IFERROR(__xludf.DUMMYFUNCTION("""COMPUTED_VALUE"""),"Lyria")</f>
        <v>Lyria</v>
      </c>
      <c r="F14" s="10">
        <f>IFERROR(__xludf.DUMMYFUNCTION("""COMPUTED_VALUE"""),18703607.1715559)</f>
        <v>18703607.1715559</v>
      </c>
      <c r="G14" s="10">
        <f>IFERROR(__xludf.DUMMYFUNCTION("""COMPUTED_VALUE"""),-22121650.1338641)</f>
        <v>-22121650.1338641</v>
      </c>
      <c r="H14" s="10">
        <f>IFERROR(__xludf.DUMMYFUNCTION("""COMPUTED_VALUE"""),0)</f>
        <v>0</v>
      </c>
      <c r="I14" s="13">
        <f>IFERROR(__xludf.DUMMYFUNCTION("""COMPUTED_VALUE"""),1)</f>
        <v>1</v>
      </c>
      <c r="J14" s="13">
        <f>IFERROR(__xludf.DUMMYFUNCTION("""COMPUTED_VALUE"""),0)</f>
        <v>0</v>
      </c>
      <c r="K14" s="13">
        <f>IFERROR(__xludf.DUMMYFUNCTION("""COMPUTED_VALUE"""),0)</f>
        <v>0</v>
      </c>
      <c r="L14" s="13">
        <f>IFERROR(__xludf.DUMMYFUNCTION("""COMPUTED_VALUE"""),0)</f>
        <v>0</v>
      </c>
      <c r="M14" s="7" t="b">
        <f>IFERROR(__xludf.DUMMYFUNCTION("""COMPUTED_VALUE"""),TRUE)</f>
        <v>1</v>
      </c>
      <c r="N14" s="10">
        <f>IFERROR(__xludf.DUMMYFUNCTION("""COMPUTED_VALUE"""),328.204)</f>
        <v>328.204</v>
      </c>
      <c r="O14" s="10">
        <f>IFERROR(__xludf.DUMMYFUNCTION("""COMPUTED_VALUE"""),223)</f>
        <v>223</v>
      </c>
      <c r="P14" s="10">
        <f>IFERROR(__xludf.DUMMYFUNCTION("""COMPUTED_VALUE"""),384.15)</f>
        <v>384.15</v>
      </c>
      <c r="Q14" s="6">
        <f>IFERROR(__xludf.DUMMYFUNCTION("""COMPUTED_VALUE"""),29)</f>
        <v>29</v>
      </c>
      <c r="R14" s="18">
        <f>IFERROR(__xludf.DUMMYFUNCTION("""COMPUTED_VALUE"""),6.4299998)</f>
        <v>6.4299998</v>
      </c>
      <c r="S14" s="19">
        <f>IFERROR(__xludf.DUMMYFUNCTION("""COMPUTED_VALUE"""),102.95503)</f>
        <v>102.95503</v>
      </c>
      <c r="T14" s="10">
        <f>IFERROR(__xludf.DUMMYFUNCTION("""COMPUTED_VALUE"""),119827.896)</f>
        <v>119827.896</v>
      </c>
      <c r="U14" s="10">
        <f>IFERROR(__xludf.DUMMYFUNCTION("""COMPUTED_VALUE"""),0)</f>
        <v>0</v>
      </c>
      <c r="V14" s="10">
        <f>IFERROR(__xludf.DUMMYFUNCTION("""COMPUTED_VALUE"""),14.631)</f>
        <v>14.631</v>
      </c>
      <c r="W14" s="6">
        <f>IFERROR(__xludf.DUMMYFUNCTION("""COMPUTED_VALUE"""),446)</f>
        <v>446</v>
      </c>
      <c r="X14" s="6">
        <f>IFERROR(__xludf.DUMMYFUNCTION("""COMPUTED_VALUE"""),45193.00533)</f>
        <v>45193.00533</v>
      </c>
      <c r="Y14" s="6"/>
      <c r="Z14" s="6"/>
      <c r="AA14" s="6" t="str">
        <f>IFERROR(__xludf.DUMMYFUNCTION("""COMPUTED_VALUE"""),"Magda")</f>
        <v>Magda</v>
      </c>
      <c r="AB14" s="6"/>
      <c r="AC14" s="6"/>
      <c r="AD14" s="6"/>
      <c r="AE14" s="7"/>
      <c r="AF14" s="7"/>
      <c r="AG14" s="7"/>
      <c r="AH14" s="7"/>
      <c r="AI14" s="7"/>
      <c r="AJ14" s="7"/>
      <c r="AK14" s="7"/>
      <c r="AL14" s="7"/>
      <c r="AM14" s="7"/>
      <c r="AN14" s="7"/>
      <c r="AO14" s="6"/>
      <c r="AP14" s="7"/>
      <c r="AQ14" s="7"/>
      <c r="AR14" s="6"/>
      <c r="AS14" s="6"/>
      <c r="AT14" s="6"/>
      <c r="AU14" s="6"/>
      <c r="AV14" s="6"/>
      <c r="AW14" s="6"/>
      <c r="AX14" s="6"/>
      <c r="AY14" s="6"/>
      <c r="AZ14" s="6"/>
      <c r="BA14" s="6"/>
      <c r="BB14" s="6"/>
      <c r="BC14" s="6"/>
      <c r="BD14" s="6"/>
      <c r="BE14" s="6"/>
      <c r="BF14" s="6"/>
      <c r="BG14" s="6"/>
    </row>
    <row r="15" customHeight="1" spans="1:59">
      <c r="A15" s="9" t="str">
        <f>IFERROR(__xludf.DUMMYFUNCTION("""COMPUTED_VALUE"""),"Magda R00")</f>
        <v>Magda R00</v>
      </c>
      <c r="B15" s="5"/>
      <c r="C15" s="5"/>
      <c r="D15" s="5" t="str">
        <f>IFERROR(__xludf.DUMMYFUNCTION("""COMPUTED_VALUE"""),"Magda")</f>
        <v>Magda</v>
      </c>
      <c r="E15" s="7" t="str">
        <f>IFERROR(__xludf.DUMMYFUNCTION("""COMPUTED_VALUE"""),"Magda")</f>
        <v>Magda</v>
      </c>
      <c r="F15" s="8">
        <f>IFERROR(__xludf.DUMMYFUNCTION("""COMPUTED_VALUE"""),12792686.3594182)</f>
        <v>12792686.3594182</v>
      </c>
      <c r="G15" s="8">
        <f>IFERROR(__xludf.DUMMYFUNCTION("""COMPUTED_VALUE"""),-74464.580982047)</f>
        <v>-74464.580982047</v>
      </c>
      <c r="H15" s="8">
        <f>IFERROR(__xludf.DUMMYFUNCTION("""COMPUTED_VALUE"""),0)</f>
        <v>0</v>
      </c>
      <c r="I15" s="14">
        <f>IFERROR(__xludf.DUMMYFUNCTION("""COMPUTED_VALUE"""),1)</f>
        <v>1</v>
      </c>
      <c r="J15" s="14">
        <f>IFERROR(__xludf.DUMMYFUNCTION("""COMPUTED_VALUE"""),0)</f>
        <v>0</v>
      </c>
      <c r="K15" s="14">
        <f>IFERROR(__xludf.DUMMYFUNCTION("""COMPUTED_VALUE"""),0)</f>
        <v>0</v>
      </c>
      <c r="L15" s="14">
        <f>IFERROR(__xludf.DUMMYFUNCTION("""COMPUTED_VALUE"""),0)</f>
        <v>0</v>
      </c>
      <c r="M15" s="7" t="b">
        <f>IFERROR(__xludf.DUMMYFUNCTION("""COMPUTED_VALUE"""),TRUE)</f>
        <v>1</v>
      </c>
      <c r="N15" s="8">
        <f>IFERROR(__xludf.DUMMYFUNCTION("""COMPUTED_VALUE"""),494.84)</f>
        <v>494.84</v>
      </c>
      <c r="O15" s="8">
        <f>IFERROR(__xludf.DUMMYFUNCTION("""COMPUTED_VALUE"""),340.83)</f>
        <v>340.83</v>
      </c>
      <c r="P15" s="10">
        <f>IFERROR(__xludf.DUMMYFUNCTION("""COMPUTED_VALUE"""),507.875)</f>
        <v>507.875</v>
      </c>
      <c r="Q15" s="7">
        <f>IFERROR(__xludf.DUMMYFUNCTION("""COMPUTED_VALUE"""),55)</f>
        <v>55</v>
      </c>
      <c r="R15" s="16">
        <f>IFERROR(__xludf.DUMMYFUNCTION("""COMPUTED_VALUE"""),1.9400001)</f>
        <v>1.9400001</v>
      </c>
      <c r="S15" s="19">
        <f>IFERROR(__xludf.DUMMYFUNCTION("""COMPUTED_VALUE"""),116.65208)</f>
        <v>116.65208</v>
      </c>
      <c r="T15" s="10">
        <f>IFERROR(__xludf.DUMMYFUNCTION("""COMPUTED_VALUE"""),94246.656)</f>
        <v>94246.656</v>
      </c>
      <c r="U15" s="8">
        <f>IFERROR(__xludf.DUMMYFUNCTION("""COMPUTED_VALUE"""),0)</f>
        <v>0</v>
      </c>
      <c r="V15" s="10">
        <f>IFERROR(__xludf.DUMMYFUNCTION("""COMPUTED_VALUE"""),232.195)</f>
        <v>232.195</v>
      </c>
      <c r="W15" s="6">
        <f>IFERROR(__xludf.DUMMYFUNCTION("""COMPUTED_VALUE"""),681.666)</f>
        <v>681.666</v>
      </c>
      <c r="X15" s="6">
        <f>IFERROR(__xludf.DUMMYFUNCTION("""COMPUTED_VALUE"""),45193.13301)</f>
        <v>45193.13301</v>
      </c>
      <c r="Y15" s="6"/>
      <c r="Z15" s="6"/>
      <c r="AA15" s="6" t="str">
        <f>IFERROR(__xludf.DUMMYFUNCTION("""COMPUTED_VALUE"""),"microTech")</f>
        <v>microTech</v>
      </c>
      <c r="AB15" s="6"/>
      <c r="AC15" s="6"/>
      <c r="AD15" s="6"/>
      <c r="AE15" s="7"/>
      <c r="AF15" s="7"/>
      <c r="AG15" s="7"/>
      <c r="AH15" s="7"/>
      <c r="AI15" s="7"/>
      <c r="AJ15" s="7"/>
      <c r="AK15" s="7"/>
      <c r="AL15" s="7"/>
      <c r="AM15" s="7"/>
      <c r="AN15" s="7"/>
      <c r="AO15" s="6"/>
      <c r="AP15" s="7"/>
      <c r="AQ15" s="7"/>
      <c r="AR15" s="6"/>
      <c r="AS15" s="6"/>
      <c r="AT15" s="6"/>
      <c r="AU15" s="6"/>
      <c r="AV15" s="6"/>
      <c r="AW15" s="6"/>
      <c r="AX15" s="6"/>
      <c r="AY15" s="6"/>
      <c r="AZ15" s="6"/>
      <c r="BA15" s="6"/>
      <c r="BB15" s="6"/>
      <c r="BC15" s="6"/>
      <c r="BD15" s="6"/>
      <c r="BE15" s="6"/>
      <c r="BF15" s="6"/>
      <c r="BG15" s="6"/>
    </row>
    <row r="16" customHeight="1" spans="1:59">
      <c r="A16" s="9" t="str">
        <f>IFERROR(__xludf.DUMMYFUNCTION("""COMPUTED_VALUE"""),"microTech R00")</f>
        <v>microTech R00</v>
      </c>
      <c r="B16" s="5"/>
      <c r="C16" s="5"/>
      <c r="D16" s="5" t="str">
        <f>IFERROR(__xludf.DUMMYFUNCTION("""COMPUTED_VALUE"""),"microTech")</f>
        <v>microTech</v>
      </c>
      <c r="E16" s="6" t="str">
        <f>IFERROR(__xludf.DUMMYFUNCTION("""COMPUTED_VALUE"""),"microTech")</f>
        <v>microTech</v>
      </c>
      <c r="F16" s="10">
        <f>IFERROR(__xludf.DUMMYFUNCTION("""COMPUTED_VALUE"""),22462085.2524846)</f>
        <v>22462085.2524846</v>
      </c>
      <c r="G16" s="10">
        <f>IFERROR(__xludf.DUMMYFUNCTION("""COMPUTED_VALUE"""),37185744.9648301)</f>
        <v>37185744.9648301</v>
      </c>
      <c r="H16" s="10">
        <f>IFERROR(__xludf.DUMMYFUNCTION("""COMPUTED_VALUE"""),0)</f>
        <v>0</v>
      </c>
      <c r="I16" s="13">
        <f>IFERROR(__xludf.DUMMYFUNCTION("""COMPUTED_VALUE"""),1)</f>
        <v>1</v>
      </c>
      <c r="J16" s="13">
        <f>IFERROR(__xludf.DUMMYFUNCTION("""COMPUTED_VALUE"""),0)</f>
        <v>0</v>
      </c>
      <c r="K16" s="13">
        <f>IFERROR(__xludf.DUMMYFUNCTION("""COMPUTED_VALUE"""),0)</f>
        <v>0</v>
      </c>
      <c r="L16" s="13">
        <f>IFERROR(__xludf.DUMMYFUNCTION("""COMPUTED_VALUE"""),0)</f>
        <v>0</v>
      </c>
      <c r="M16" s="7" t="b">
        <f>IFERROR(__xludf.DUMMYFUNCTION("""COMPUTED_VALUE"""),TRUE)</f>
        <v>1</v>
      </c>
      <c r="N16" s="10">
        <f>IFERROR(__xludf.DUMMYFUNCTION("""COMPUTED_VALUE"""),1439.593)</f>
        <v>1439.593</v>
      </c>
      <c r="O16" s="10">
        <f>IFERROR(__xludf.DUMMYFUNCTION("""COMPUTED_VALUE"""),1000)</f>
        <v>1000</v>
      </c>
      <c r="P16" s="10">
        <f>IFERROR(__xludf.DUMMYFUNCTION("""COMPUTED_VALUE"""),1800)</f>
        <v>1800</v>
      </c>
      <c r="Q16" s="6">
        <f>IFERROR(__xludf.DUMMYFUNCTION("""COMPUTED_VALUE"""),94)</f>
        <v>94</v>
      </c>
      <c r="R16" s="18">
        <f>IFERROR(__xludf.DUMMYFUNCTION("""COMPUTED_VALUE"""),4.1199999)</f>
        <v>4.1199999</v>
      </c>
      <c r="S16" s="19">
        <f>IFERROR(__xludf.DUMMYFUNCTION("""COMPUTED_VALUE"""),157.89088)</f>
        <v>157.89088</v>
      </c>
      <c r="T16" s="10">
        <f>IFERROR(__xludf.DUMMYFUNCTION("""COMPUTED_VALUE"""),43443216.384)</f>
        <v>43443216.384</v>
      </c>
      <c r="U16" s="10">
        <f>IFERROR(__xludf.DUMMYFUNCTION("""COMPUTED_VALUE"""),0)</f>
        <v>0</v>
      </c>
      <c r="V16" s="10">
        <f>IFERROR(__xludf.DUMMYFUNCTION("""COMPUTED_VALUE"""),58.866)</f>
        <v>58.866</v>
      </c>
      <c r="W16" s="6">
        <f>IFERROR(__xludf.DUMMYFUNCTION("""COMPUTED_VALUE"""),2300)</f>
        <v>2300</v>
      </c>
      <c r="X16" s="6">
        <f>IFERROR(__xludf.DUMMYFUNCTION("""COMPUTED_VALUE"""),45193.56234)</f>
        <v>45193.56234</v>
      </c>
      <c r="Y16" s="6"/>
      <c r="Z16" s="6"/>
      <c r="AA16" s="6" t="str">
        <f>IFERROR(__xludf.DUMMYFUNCTION("""COMPUTED_VALUE"""),"Wala")</f>
        <v>Wala</v>
      </c>
      <c r="AB16" s="6"/>
      <c r="AC16" s="6"/>
      <c r="AD16" s="6"/>
      <c r="AE16" s="7"/>
      <c r="AF16" s="7"/>
      <c r="AG16" s="7"/>
      <c r="AH16" s="7"/>
      <c r="AI16" s="7"/>
      <c r="AJ16" s="7"/>
      <c r="AK16" s="7"/>
      <c r="AL16" s="7"/>
      <c r="AM16" s="7"/>
      <c r="AN16" s="7"/>
      <c r="AO16" s="6"/>
      <c r="AP16" s="7"/>
      <c r="AQ16" s="7"/>
      <c r="AR16" s="6"/>
      <c r="AS16" s="6"/>
      <c r="AT16" s="6"/>
      <c r="AU16" s="6"/>
      <c r="AV16" s="6"/>
      <c r="AW16" s="6"/>
      <c r="AX16" s="6"/>
      <c r="AY16" s="6"/>
      <c r="AZ16" s="6"/>
      <c r="BA16" s="6"/>
      <c r="BB16" s="6"/>
      <c r="BC16" s="6"/>
      <c r="BD16" s="6"/>
      <c r="BE16" s="6"/>
      <c r="BF16" s="6"/>
      <c r="BG16" s="6"/>
    </row>
    <row r="17" customHeight="1" spans="1:59">
      <c r="A17" s="9" t="str">
        <f>IFERROR(__xludf.DUMMYFUNCTION("""COMPUTED_VALUE"""),"Stanton R00")</f>
        <v>Stanton R00</v>
      </c>
      <c r="B17" s="5"/>
      <c r="C17" s="5"/>
      <c r="D17" s="5" t="str">
        <f>IFERROR(__xludf.DUMMYFUNCTION("""COMPUTED_VALUE"""),"Stanton")</f>
        <v>Stanton</v>
      </c>
      <c r="E17" s="7" t="str">
        <f>IFERROR(__xludf.DUMMYFUNCTION("""COMPUTED_VALUE"""),"Stanton")</f>
        <v>Stanton</v>
      </c>
      <c r="F17" s="8">
        <f>IFERROR(__xludf.DUMMYFUNCTION("""COMPUTED_VALUE"""),136049.869550902)</f>
        <v>136049.869550902</v>
      </c>
      <c r="G17" s="8">
        <f>IFERROR(__xludf.DUMMYFUNCTION("""COMPUTED_VALUE"""),1294427.3997762)</f>
        <v>1294427.3997762</v>
      </c>
      <c r="H17" s="8">
        <f>IFERROR(__xludf.DUMMYFUNCTION("""COMPUTED_VALUE"""),2923345.3678455)</f>
        <v>2923345.3678455</v>
      </c>
      <c r="I17" s="14">
        <f>IFERROR(__xludf.DUMMYFUNCTION("""COMPUTED_VALUE"""),1)</f>
        <v>1</v>
      </c>
      <c r="J17" s="13">
        <f>IFERROR(__xludf.DUMMYFUNCTION("""COMPUTED_VALUE"""),0)</f>
        <v>0</v>
      </c>
      <c r="K17" s="13">
        <f>IFERROR(__xludf.DUMMYFUNCTION("""COMPUTED_VALUE"""),0.00000001)</f>
        <v>1e-8</v>
      </c>
      <c r="L17" s="14">
        <f>IFERROR(__xludf.DUMMYFUNCTION("""COMPUTED_VALUE"""),0.00000002)</f>
        <v>2e-8</v>
      </c>
      <c r="M17" s="7" t="b">
        <f>IFERROR(__xludf.DUMMYFUNCTION("""COMPUTED_VALUE"""),TRUE)</f>
        <v>1</v>
      </c>
      <c r="N17" s="8"/>
      <c r="O17" s="8">
        <f>IFERROR(__xludf.DUMMYFUNCTION("""COMPUTED_VALUE"""),696000)</f>
        <v>696000</v>
      </c>
      <c r="P17" s="10"/>
      <c r="Q17" s="7"/>
      <c r="R17" s="16"/>
      <c r="S17" s="17"/>
      <c r="T17" s="10"/>
      <c r="U17" s="8"/>
      <c r="V17" s="10"/>
      <c r="W17" s="6"/>
      <c r="X17" s="6"/>
      <c r="Y17" s="6"/>
      <c r="Z17" s="6"/>
      <c r="AA17" s="6" t="str">
        <f>IFERROR(__xludf.DUMMYFUNCTION("""COMPUTED_VALUE"""),"Yela")</f>
        <v>Yela</v>
      </c>
      <c r="AB17" s="6"/>
      <c r="AC17" s="6"/>
      <c r="AD17" s="6"/>
      <c r="AE17" s="7"/>
      <c r="AF17" s="7"/>
      <c r="AG17" s="7"/>
      <c r="AH17" s="7"/>
      <c r="AI17" s="7"/>
      <c r="AJ17" s="7"/>
      <c r="AK17" s="7"/>
      <c r="AL17" s="7"/>
      <c r="AM17" s="7"/>
      <c r="AN17" s="7"/>
      <c r="AO17" s="6"/>
      <c r="AP17" s="7"/>
      <c r="AQ17" s="7"/>
      <c r="AR17" s="6"/>
      <c r="AS17" s="6"/>
      <c r="AT17" s="6"/>
      <c r="AU17" s="6"/>
      <c r="AV17" s="6"/>
      <c r="AW17" s="6"/>
      <c r="AX17" s="6"/>
      <c r="AY17" s="6"/>
      <c r="AZ17" s="6"/>
      <c r="BA17" s="6"/>
      <c r="BB17" s="6"/>
      <c r="BC17" s="6"/>
      <c r="BD17" s="6"/>
      <c r="BE17" s="6"/>
      <c r="BF17" s="6"/>
      <c r="BG17" s="6"/>
    </row>
    <row r="18" customHeight="1" spans="1:59">
      <c r="A18" s="9" t="str">
        <f>IFERROR(__xludf.DUMMYFUNCTION("""COMPUTED_VALUE"""),"Wala R00")</f>
        <v>Wala R00</v>
      </c>
      <c r="B18" s="5"/>
      <c r="C18" s="5"/>
      <c r="D18" s="5" t="str">
        <f>IFERROR(__xludf.DUMMYFUNCTION("""COMPUTED_VALUE"""),"Wala")</f>
        <v>Wala</v>
      </c>
      <c r="E18" s="7" t="str">
        <f>IFERROR(__xludf.DUMMYFUNCTION("""COMPUTED_VALUE"""),"Wala")</f>
        <v>Wala</v>
      </c>
      <c r="F18" s="8">
        <f>IFERROR(__xludf.DUMMYFUNCTION("""COMPUTED_VALUE"""),18379649.3098674)</f>
        <v>18379649.3098674</v>
      </c>
      <c r="G18" s="8">
        <f>IFERROR(__xludf.DUMMYFUNCTION("""COMPUTED_VALUE"""),-22000466.7680382)</f>
        <v>-22000466.7680382</v>
      </c>
      <c r="H18" s="8">
        <f>IFERROR(__xludf.DUMMYFUNCTION("""COMPUTED_VALUE"""),0)</f>
        <v>0</v>
      </c>
      <c r="I18" s="14">
        <f>IFERROR(__xludf.DUMMYFUNCTION("""COMPUTED_VALUE"""),1)</f>
        <v>1</v>
      </c>
      <c r="J18" s="14">
        <f>IFERROR(__xludf.DUMMYFUNCTION("""COMPUTED_VALUE"""),0)</f>
        <v>0</v>
      </c>
      <c r="K18" s="14">
        <f>IFERROR(__xludf.DUMMYFUNCTION("""COMPUTED_VALUE"""),0)</f>
        <v>0</v>
      </c>
      <c r="L18" s="14">
        <f>IFERROR(__xludf.DUMMYFUNCTION("""COMPUTED_VALUE"""),0)</f>
        <v>0</v>
      </c>
      <c r="M18" s="7" t="b">
        <f>IFERROR(__xludf.DUMMYFUNCTION("""COMPUTED_VALUE"""),TRUE)</f>
        <v>1</v>
      </c>
      <c r="N18" s="8">
        <f>IFERROR(__xludf.DUMMYFUNCTION("""COMPUTED_VALUE"""),413.056)</f>
        <v>413.056</v>
      </c>
      <c r="O18" s="8">
        <f>IFERROR(__xludf.DUMMYFUNCTION("""COMPUTED_VALUE"""),283)</f>
        <v>283</v>
      </c>
      <c r="P18" s="10">
        <f>IFERROR(__xludf.DUMMYFUNCTION("""COMPUTED_VALUE"""),447.308)</f>
        <v>447.308</v>
      </c>
      <c r="Q18" s="7">
        <f>IFERROR(__xludf.DUMMYFUNCTION("""COMPUTED_VALUE"""),42)</f>
        <v>42</v>
      </c>
      <c r="R18" s="18">
        <f>IFERROR(__xludf.DUMMYFUNCTION("""COMPUTED_VALUE"""),6.3200002)</f>
        <v>6.3200002</v>
      </c>
      <c r="S18" s="19">
        <f>IFERROR(__xludf.DUMMYFUNCTION("""COMPUTED_VALUE"""),294.59587)</f>
        <v>294.59587</v>
      </c>
      <c r="T18" s="10">
        <f>IFERROR(__xludf.DUMMYFUNCTION("""COMPUTED_VALUE"""),257308.32)</f>
        <v>257308.32</v>
      </c>
      <c r="U18" s="8">
        <f>IFERROR(__xludf.DUMMYFUNCTION("""COMPUTED_VALUE"""),0)</f>
        <v>0</v>
      </c>
      <c r="V18" s="10">
        <f>IFERROR(__xludf.DUMMYFUNCTION("""COMPUTED_VALUE"""),143.943)</f>
        <v>143.943</v>
      </c>
      <c r="W18" s="6">
        <f>IFERROR(__xludf.DUMMYFUNCTION("""COMPUTED_VALUE"""),566.3)</f>
        <v>566.3</v>
      </c>
      <c r="X18" s="7">
        <f>IFERROR(__xludf.DUMMYFUNCTION("""COMPUTED_VALUE"""),45192.99636)</f>
        <v>45192.99636</v>
      </c>
      <c r="Y18" s="7"/>
      <c r="Z18" s="7"/>
      <c r="AA18" s="6" t="str">
        <f>IFERROR(__xludf.DUMMYFUNCTION("""COMPUTED_VALUE"""),"HUR-L1")</f>
        <v>HUR-L1</v>
      </c>
      <c r="AB18" s="6"/>
      <c r="AC18" s="6"/>
      <c r="AD18" s="6"/>
      <c r="AE18" s="7"/>
      <c r="AF18" s="7"/>
      <c r="AG18" s="7"/>
      <c r="AH18" s="7"/>
      <c r="AI18" s="7"/>
      <c r="AJ18" s="7"/>
      <c r="AK18" s="7"/>
      <c r="AL18" s="7"/>
      <c r="AM18" s="7"/>
      <c r="AN18" s="7"/>
      <c r="AO18" s="6"/>
      <c r="AP18" s="7"/>
      <c r="AQ18" s="7"/>
      <c r="AR18" s="6"/>
      <c r="AS18" s="6"/>
      <c r="AT18" s="6"/>
      <c r="AU18" s="6"/>
      <c r="AV18" s="6"/>
      <c r="AW18" s="6"/>
      <c r="AX18" s="6"/>
      <c r="AY18" s="6"/>
      <c r="AZ18" s="6"/>
      <c r="BA18" s="6"/>
      <c r="BB18" s="6"/>
      <c r="BC18" s="6"/>
      <c r="BD18" s="6"/>
      <c r="BE18" s="6"/>
      <c r="BF18" s="6"/>
      <c r="BG18" s="6"/>
    </row>
    <row r="19" customHeight="1" spans="1:59">
      <c r="A19" s="9" t="str">
        <f>IFERROR(__xludf.DUMMYFUNCTION("""COMPUTED_VALUE"""),"Yela R00")</f>
        <v>Yela R00</v>
      </c>
      <c r="B19" s="5"/>
      <c r="C19" s="5"/>
      <c r="D19" s="5" t="str">
        <f>IFERROR(__xludf.DUMMYFUNCTION("""COMPUTED_VALUE"""),"Yela")</f>
        <v>Yela</v>
      </c>
      <c r="E19" s="7" t="str">
        <f>IFERROR(__xludf.DUMMYFUNCTION("""COMPUTED_VALUE"""),"Yela")</f>
        <v>Yela</v>
      </c>
      <c r="F19" s="8">
        <f>IFERROR(__xludf.DUMMYFUNCTION("""COMPUTED_VALUE"""),-19022916.7989273)</f>
        <v>-19022916.7989273</v>
      </c>
      <c r="G19" s="8">
        <f>IFERROR(__xludf.DUMMYFUNCTION("""COMPUTED_VALUE"""),-2613996.15199846)</f>
        <v>-2613996.15199846</v>
      </c>
      <c r="H19" s="8">
        <f>IFERROR(__xludf.DUMMYFUNCTION("""COMPUTED_VALUE"""),0)</f>
        <v>0</v>
      </c>
      <c r="I19" s="14">
        <f>IFERROR(__xludf.DUMMYFUNCTION("""COMPUTED_VALUE"""),1)</f>
        <v>1</v>
      </c>
      <c r="J19" s="14">
        <f>IFERROR(__xludf.DUMMYFUNCTION("""COMPUTED_VALUE"""),0)</f>
        <v>0</v>
      </c>
      <c r="K19" s="14">
        <f>IFERROR(__xludf.DUMMYFUNCTION("""COMPUTED_VALUE"""),0)</f>
        <v>0</v>
      </c>
      <c r="L19" s="14">
        <f>IFERROR(__xludf.DUMMYFUNCTION("""COMPUTED_VALUE"""),0)</f>
        <v>0</v>
      </c>
      <c r="M19" s="7" t="b">
        <f>IFERROR(__xludf.DUMMYFUNCTION("""COMPUTED_VALUE"""),TRUE)</f>
        <v>1</v>
      </c>
      <c r="N19" s="8">
        <f>IFERROR(__xludf.DUMMYFUNCTION("""COMPUTED_VALUE"""),455.483)</f>
        <v>455.483</v>
      </c>
      <c r="O19" s="8">
        <f>IFERROR(__xludf.DUMMYFUNCTION("""COMPUTED_VALUE"""),313)</f>
        <v>313</v>
      </c>
      <c r="P19" s="10">
        <f>IFERROR(__xludf.DUMMYFUNCTION("""COMPUTED_VALUE"""),478.65)</f>
        <v>478.65</v>
      </c>
      <c r="Q19" s="7">
        <f>IFERROR(__xludf.DUMMYFUNCTION("""COMPUTED_VALUE"""),31)</f>
        <v>31</v>
      </c>
      <c r="R19" s="21">
        <f>IFERROR(__xludf.DUMMYFUNCTION("""COMPUTED_VALUE"""),1.8200001)</f>
        <v>1.8200001</v>
      </c>
      <c r="S19" s="19">
        <f>IFERROR(__xludf.DUMMYFUNCTION("""COMPUTED_VALUE"""),268.61241)</f>
        <v>268.61241</v>
      </c>
      <c r="T19" s="10">
        <f>IFERROR(__xludf.DUMMYFUNCTION("""COMPUTED_VALUE"""),79286.88)</f>
        <v>79286.88</v>
      </c>
      <c r="U19" s="8">
        <f>IFERROR(__xludf.DUMMYFUNCTION("""COMPUTED_VALUE"""),0)</f>
        <v>0</v>
      </c>
      <c r="V19" s="10">
        <f>IFERROR(__xludf.DUMMYFUNCTION("""COMPUTED_VALUE"""),140)</f>
        <v>140</v>
      </c>
      <c r="W19" s="6">
        <f>IFERROR(__xludf.DUMMYFUNCTION("""COMPUTED_VALUE"""),1016.6)</f>
        <v>1016.6</v>
      </c>
      <c r="X19" s="6">
        <f>IFERROR(__xludf.DUMMYFUNCTION("""COMPUTED_VALUE"""),45193.63921)</f>
        <v>45193.63921</v>
      </c>
      <c r="Y19" s="6"/>
      <c r="Z19" s="6"/>
      <c r="AA19" s="6" t="str">
        <f>IFERROR(__xludf.DUMMYFUNCTION("""COMPUTED_VALUE"""),"HUR-L2")</f>
        <v>HUR-L2</v>
      </c>
      <c r="AB19" s="6"/>
      <c r="AC19" s="6"/>
      <c r="AD19" s="6"/>
      <c r="AE19" s="7"/>
      <c r="AF19" s="7"/>
      <c r="AG19" s="7"/>
      <c r="AH19" s="7"/>
      <c r="AI19" s="7"/>
      <c r="AJ19" s="7"/>
      <c r="AK19" s="7"/>
      <c r="AL19" s="7"/>
      <c r="AM19" s="7"/>
      <c r="AN19" s="7"/>
      <c r="AO19" s="6"/>
      <c r="AP19" s="7"/>
      <c r="AQ19" s="7"/>
      <c r="AR19" s="6"/>
      <c r="AS19" s="6"/>
      <c r="AT19" s="6"/>
      <c r="AU19" s="6"/>
      <c r="AV19" s="6"/>
      <c r="AW19" s="6"/>
      <c r="AX19" s="6"/>
      <c r="AY19" s="6"/>
      <c r="AZ19" s="6"/>
      <c r="BA19" s="6"/>
      <c r="BB19" s="6"/>
      <c r="BC19" s="6"/>
      <c r="BD19" s="6"/>
      <c r="BE19" s="6"/>
      <c r="BF19" s="6"/>
      <c r="BG19" s="6"/>
    </row>
    <row r="20" customHeight="1" spans="1:59">
      <c r="A20" s="9" t="str">
        <f>IFERROR(__xludf.DUMMYFUNCTION("""COMPUTED_VALUE"""),"ARC-L1 R00")</f>
        <v>ARC-L1 R00</v>
      </c>
      <c r="B20" s="5"/>
      <c r="C20" s="5"/>
      <c r="D20" s="5" t="str">
        <f>IFERROR(__xludf.DUMMYFUNCTION("""COMPUTED_VALUE"""),"ARC-L1")</f>
        <v>ARC-L1</v>
      </c>
      <c r="E20" s="7" t="str">
        <f>IFERROR(__xludf.DUMMYFUNCTION("""COMPUTED_VALUE"""),"ARC-L1")</f>
        <v>ARC-L1</v>
      </c>
      <c r="F20" s="8">
        <f>IFERROR(__xludf.DUMMYFUNCTION("""COMPUTED_VALUE"""),16729134.6373846)</f>
        <v>16729134.6373846</v>
      </c>
      <c r="G20" s="8">
        <f>IFERROR(__xludf.DUMMYFUNCTION("""COMPUTED_VALUE"""),-19937006.9248913)</f>
        <v>-19937006.9248913</v>
      </c>
      <c r="H20" s="8">
        <f>IFERROR(__xludf.DUMMYFUNCTION("""COMPUTED_VALUE"""),8.076625)</f>
        <v>8.076625</v>
      </c>
      <c r="I20" s="14">
        <f>IFERROR(__xludf.DUMMYFUNCTION("""COMPUTED_VALUE"""),1)</f>
        <v>1</v>
      </c>
      <c r="J20" s="14">
        <f>IFERROR(__xludf.DUMMYFUNCTION("""COMPUTED_VALUE"""),0)</f>
        <v>0</v>
      </c>
      <c r="K20" s="14">
        <f>IFERROR(__xludf.DUMMYFUNCTION("""COMPUTED_VALUE"""),0)</f>
        <v>0</v>
      </c>
      <c r="L20" s="14">
        <f>IFERROR(__xludf.DUMMYFUNCTION("""COMPUTED_VALUE"""),0)</f>
        <v>0</v>
      </c>
      <c r="M20" s="7" t="b">
        <f>IFERROR(__xludf.DUMMYFUNCTION("""COMPUTED_VALUE"""),TRUE)</f>
        <v>1</v>
      </c>
      <c r="N20" s="8">
        <f>IFERROR(__xludf.DUMMYFUNCTION("""COMPUTED_VALUE"""),0)</f>
        <v>0</v>
      </c>
      <c r="O20" s="8">
        <f>IFERROR(__xludf.DUMMYFUNCTION("""COMPUTED_VALUE"""),0)</f>
        <v>0</v>
      </c>
      <c r="P20" s="10"/>
      <c r="Q20" s="7"/>
      <c r="R20" s="16">
        <f>IFERROR(__xludf.DUMMYFUNCTION("""COMPUTED_VALUE"""),0)</f>
        <v>0</v>
      </c>
      <c r="S20" s="19">
        <f>IFERROR(__xludf.DUMMYFUNCTION("""COMPUTED_VALUE"""),0)</f>
        <v>0</v>
      </c>
      <c r="T20" s="10"/>
      <c r="U20" s="8"/>
      <c r="V20" s="10"/>
      <c r="W20" s="6"/>
      <c r="X20" s="6"/>
      <c r="Y20" s="6"/>
      <c r="Z20" s="6"/>
      <c r="AA20" s="6" t="str">
        <f>IFERROR(__xludf.DUMMYFUNCTION("""COMPUTED_VALUE"""),"HUR-L3")</f>
        <v>HUR-L3</v>
      </c>
      <c r="AB20" s="6"/>
      <c r="AC20" s="6"/>
      <c r="AD20" s="6"/>
      <c r="AE20" s="7"/>
      <c r="AF20" s="7"/>
      <c r="AG20" s="7"/>
      <c r="AH20" s="7"/>
      <c r="AI20" s="7"/>
      <c r="AJ20" s="7"/>
      <c r="AK20" s="7"/>
      <c r="AL20" s="7"/>
      <c r="AM20" s="7"/>
      <c r="AN20" s="7"/>
      <c r="AO20" s="6"/>
      <c r="AP20" s="7"/>
      <c r="AQ20" s="7"/>
      <c r="AR20" s="6"/>
      <c r="AS20" s="6"/>
      <c r="AT20" s="6"/>
      <c r="AU20" s="6"/>
      <c r="AV20" s="6"/>
      <c r="AW20" s="6"/>
      <c r="AX20" s="6"/>
      <c r="AY20" s="6"/>
      <c r="AZ20" s="6"/>
      <c r="BA20" s="6"/>
      <c r="BB20" s="6"/>
      <c r="BC20" s="6"/>
      <c r="BD20" s="6"/>
      <c r="BE20" s="6"/>
      <c r="BF20" s="6"/>
      <c r="BG20" s="6"/>
    </row>
    <row r="21" customHeight="1" spans="1:59">
      <c r="A21" s="9" t="str">
        <f>IFERROR(__xludf.DUMMYFUNCTION("""COMPUTED_VALUE"""),"ARC-L2 R00")</f>
        <v>ARC-L2 R00</v>
      </c>
      <c r="B21" s="5"/>
      <c r="C21" s="5"/>
      <c r="D21" s="5" t="str">
        <f>IFERROR(__xludf.DUMMYFUNCTION("""COMPUTED_VALUE"""),"ARC-L2")</f>
        <v>ARC-L2</v>
      </c>
      <c r="E21" s="7" t="str">
        <f>IFERROR(__xludf.DUMMYFUNCTION("""COMPUTED_VALUE"""),"ARC-L2")</f>
        <v>ARC-L2</v>
      </c>
      <c r="F21" s="8">
        <f>IFERROR(__xludf.DUMMYFUNCTION("""COMPUTED_VALUE"""),20446718.5033901)</f>
        <v>20446718.5033901</v>
      </c>
      <c r="G21" s="8">
        <f>IFERROR(__xludf.DUMMYFUNCTION("""COMPUTED_VALUE"""),-24367450.990706)</f>
        <v>-24367450.990706</v>
      </c>
      <c r="H21" s="8">
        <f>IFERROR(__xludf.DUMMYFUNCTION("""COMPUTED_VALUE"""),8.076625)</f>
        <v>8.076625</v>
      </c>
      <c r="I21" s="14">
        <f>IFERROR(__xludf.DUMMYFUNCTION("""COMPUTED_VALUE"""),1)</f>
        <v>1</v>
      </c>
      <c r="J21" s="14">
        <f>IFERROR(__xludf.DUMMYFUNCTION("""COMPUTED_VALUE"""),0)</f>
        <v>0</v>
      </c>
      <c r="K21" s="14">
        <f>IFERROR(__xludf.DUMMYFUNCTION("""COMPUTED_VALUE"""),0)</f>
        <v>0</v>
      </c>
      <c r="L21" s="14">
        <f>IFERROR(__xludf.DUMMYFUNCTION("""COMPUTED_VALUE"""),0)</f>
        <v>0</v>
      </c>
      <c r="M21" s="7" t="b">
        <f>IFERROR(__xludf.DUMMYFUNCTION("""COMPUTED_VALUE"""),TRUE)</f>
        <v>1</v>
      </c>
      <c r="N21" s="8">
        <f>IFERROR(__xludf.DUMMYFUNCTION("""COMPUTED_VALUE"""),0)</f>
        <v>0</v>
      </c>
      <c r="O21" s="8">
        <f>IFERROR(__xludf.DUMMYFUNCTION("""COMPUTED_VALUE"""),0)</f>
        <v>0</v>
      </c>
      <c r="P21" s="10"/>
      <c r="Q21" s="7"/>
      <c r="R21" s="16">
        <f>IFERROR(__xludf.DUMMYFUNCTION("""COMPUTED_VALUE"""),0)</f>
        <v>0</v>
      </c>
      <c r="S21" s="17">
        <f>IFERROR(__xludf.DUMMYFUNCTION("""COMPUTED_VALUE"""),0)</f>
        <v>0</v>
      </c>
      <c r="T21" s="10"/>
      <c r="U21" s="8"/>
      <c r="V21" s="8"/>
      <c r="W21" s="6"/>
      <c r="X21" s="7"/>
      <c r="Y21" s="7"/>
      <c r="Z21" s="7"/>
      <c r="AA21" s="7" t="str">
        <f>IFERROR(__xludf.DUMMYFUNCTION("""COMPUTED_VALUE"""),"HUR-L4")</f>
        <v>HUR-L4</v>
      </c>
      <c r="AB21" s="6"/>
      <c r="AC21" s="6"/>
      <c r="AD21" s="6"/>
      <c r="AE21" s="7"/>
      <c r="AF21" s="7"/>
      <c r="AG21" s="7"/>
      <c r="AH21" s="7"/>
      <c r="AI21" s="7"/>
      <c r="AJ21" s="7"/>
      <c r="AK21" s="7"/>
      <c r="AL21" s="7"/>
      <c r="AM21" s="7"/>
      <c r="AN21" s="7"/>
      <c r="AO21" s="6"/>
      <c r="AP21" s="7"/>
      <c r="AQ21" s="7"/>
      <c r="AR21" s="6"/>
      <c r="AS21" s="6"/>
      <c r="AT21" s="6"/>
      <c r="AU21" s="6"/>
      <c r="AV21" s="6"/>
      <c r="AW21" s="6"/>
      <c r="AX21" s="6"/>
      <c r="AY21" s="6"/>
      <c r="AZ21" s="6"/>
      <c r="BA21" s="6"/>
      <c r="BB21" s="6"/>
      <c r="BC21" s="6"/>
      <c r="BD21" s="6"/>
      <c r="BE21" s="6"/>
      <c r="BF21" s="6"/>
      <c r="BG21" s="6"/>
    </row>
    <row r="22" customHeight="1" spans="1:59">
      <c r="A22" s="9" t="str">
        <f>IFERROR(__xludf.DUMMYFUNCTION("""COMPUTED_VALUE"""),"ARC-L3 R00")</f>
        <v>ARC-L3 R00</v>
      </c>
      <c r="B22" s="5"/>
      <c r="C22" s="5"/>
      <c r="D22" s="5" t="str">
        <f>IFERROR(__xludf.DUMMYFUNCTION("""COMPUTED_VALUE"""),"ARC-L3")</f>
        <v>ARC-L3</v>
      </c>
      <c r="E22" s="7" t="str">
        <f>IFERROR(__xludf.DUMMYFUNCTION("""COMPUTED_VALUE"""),"ARC-L3")</f>
        <v>ARC-L3</v>
      </c>
      <c r="F22" s="8">
        <f>IFERROR(__xludf.DUMMYFUNCTION("""COMPUTED_VALUE"""),-25043446.8835029)</f>
        <v>-25043446.8835029</v>
      </c>
      <c r="G22" s="8">
        <f>IFERROR(__xludf.DUMMYFUNCTION("""COMPUTED_VALUE"""),14458841.787628)</f>
        <v>14458841.787628</v>
      </c>
      <c r="H22" s="8">
        <f>IFERROR(__xludf.DUMMYFUNCTION("""COMPUTED_VALUE"""),8.076625)</f>
        <v>8.076625</v>
      </c>
      <c r="I22" s="14">
        <f>IFERROR(__xludf.DUMMYFUNCTION("""COMPUTED_VALUE"""),1)</f>
        <v>1</v>
      </c>
      <c r="J22" s="14">
        <f>IFERROR(__xludf.DUMMYFUNCTION("""COMPUTED_VALUE"""),0)</f>
        <v>0</v>
      </c>
      <c r="K22" s="14">
        <f>IFERROR(__xludf.DUMMYFUNCTION("""COMPUTED_VALUE"""),0)</f>
        <v>0</v>
      </c>
      <c r="L22" s="14">
        <f>IFERROR(__xludf.DUMMYFUNCTION("""COMPUTED_VALUE"""),0)</f>
        <v>0</v>
      </c>
      <c r="M22" s="7" t="b">
        <f>IFERROR(__xludf.DUMMYFUNCTION("""COMPUTED_VALUE"""),TRUE)</f>
        <v>1</v>
      </c>
      <c r="N22" s="8">
        <f>IFERROR(__xludf.DUMMYFUNCTION("""COMPUTED_VALUE"""),0)</f>
        <v>0</v>
      </c>
      <c r="O22" s="8">
        <f>IFERROR(__xludf.DUMMYFUNCTION("""COMPUTED_VALUE"""),0)</f>
        <v>0</v>
      </c>
      <c r="P22" s="10"/>
      <c r="Q22" s="7"/>
      <c r="R22" s="16">
        <f>IFERROR(__xludf.DUMMYFUNCTION("""COMPUTED_VALUE"""),0)</f>
        <v>0</v>
      </c>
      <c r="S22" s="17">
        <f>IFERROR(__xludf.DUMMYFUNCTION("""COMPUTED_VALUE"""),0)</f>
        <v>0</v>
      </c>
      <c r="T22" s="10"/>
      <c r="U22" s="8"/>
      <c r="V22" s="8"/>
      <c r="W22" s="6"/>
      <c r="X22" s="7"/>
      <c r="Y22" s="7"/>
      <c r="Z22" s="7"/>
      <c r="AA22" s="7" t="str">
        <f>IFERROR(__xludf.DUMMYFUNCTION("""COMPUTED_VALUE"""),"HUR-L5")</f>
        <v>HUR-L5</v>
      </c>
      <c r="AB22" s="6"/>
      <c r="AC22" s="6"/>
      <c r="AD22" s="6"/>
      <c r="AE22" s="7"/>
      <c r="AF22" s="7"/>
      <c r="AG22" s="7"/>
      <c r="AH22" s="7"/>
      <c r="AI22" s="7"/>
      <c r="AJ22" s="7"/>
      <c r="AK22" s="7"/>
      <c r="AL22" s="7"/>
      <c r="AM22" s="7"/>
      <c r="AN22" s="7"/>
      <c r="AO22" s="6"/>
      <c r="AP22" s="7"/>
      <c r="AQ22" s="7"/>
      <c r="AR22" s="6"/>
      <c r="AS22" s="6"/>
      <c r="AT22" s="6"/>
      <c r="AU22" s="6"/>
      <c r="AV22" s="6"/>
      <c r="AW22" s="6"/>
      <c r="AX22" s="6"/>
      <c r="AY22" s="6"/>
      <c r="AZ22" s="6"/>
      <c r="BA22" s="6"/>
      <c r="BB22" s="6"/>
      <c r="BC22" s="6"/>
      <c r="BD22" s="6"/>
      <c r="BE22" s="6"/>
      <c r="BF22" s="6"/>
      <c r="BG22" s="6"/>
    </row>
    <row r="23" customHeight="1" spans="1:59">
      <c r="A23" s="9" t="str">
        <f>IFERROR(__xludf.DUMMYFUNCTION("""COMPUTED_VALUE"""),"ARC-L4 R00")</f>
        <v>ARC-L4 R00</v>
      </c>
      <c r="B23" s="5"/>
      <c r="C23" s="5"/>
      <c r="D23" s="5" t="str">
        <f>IFERROR(__xludf.DUMMYFUNCTION("""COMPUTED_VALUE"""),"ARC-L4")</f>
        <v>ARC-L4</v>
      </c>
      <c r="E23" s="7" t="str">
        <f>IFERROR(__xludf.DUMMYFUNCTION("""COMPUTED_VALUE"""),"ARC-L4")</f>
        <v>ARC-L4</v>
      </c>
      <c r="F23" s="8">
        <f>IFERROR(__xludf.DUMMYFUNCTION("""COMPUTED_VALUE"""),28478354.9156557)</f>
        <v>28478354.9156557</v>
      </c>
      <c r="G23" s="8">
        <f>IFERROR(__xludf.DUMMYFUNCTION("""COMPUTED_VALUE"""),5021502.48291174)</f>
        <v>5021502.48291174</v>
      </c>
      <c r="H23" s="8">
        <f>IFERROR(__xludf.DUMMYFUNCTION("""COMPUTED_VALUE"""),8.076625)</f>
        <v>8.076625</v>
      </c>
      <c r="I23" s="14">
        <f>IFERROR(__xludf.DUMMYFUNCTION("""COMPUTED_VALUE"""),1)</f>
        <v>1</v>
      </c>
      <c r="J23" s="14">
        <f>IFERROR(__xludf.DUMMYFUNCTION("""COMPUTED_VALUE"""),0)</f>
        <v>0</v>
      </c>
      <c r="K23" s="14">
        <f>IFERROR(__xludf.DUMMYFUNCTION("""COMPUTED_VALUE"""),0)</f>
        <v>0</v>
      </c>
      <c r="L23" s="14">
        <f>IFERROR(__xludf.DUMMYFUNCTION("""COMPUTED_VALUE"""),0)</f>
        <v>0</v>
      </c>
      <c r="M23" s="7" t="b">
        <f>IFERROR(__xludf.DUMMYFUNCTION("""COMPUTED_VALUE"""),TRUE)</f>
        <v>1</v>
      </c>
      <c r="N23" s="8">
        <f>IFERROR(__xludf.DUMMYFUNCTION("""COMPUTED_VALUE"""),0)</f>
        <v>0</v>
      </c>
      <c r="O23" s="8">
        <f>IFERROR(__xludf.DUMMYFUNCTION("""COMPUTED_VALUE"""),0)</f>
        <v>0</v>
      </c>
      <c r="P23" s="10"/>
      <c r="Q23" s="7"/>
      <c r="R23" s="16">
        <f>IFERROR(__xludf.DUMMYFUNCTION("""COMPUTED_VALUE"""),0)</f>
        <v>0</v>
      </c>
      <c r="S23" s="17">
        <f>IFERROR(__xludf.DUMMYFUNCTION("""COMPUTED_VALUE"""),0)</f>
        <v>0</v>
      </c>
      <c r="T23" s="10"/>
      <c r="U23" s="8"/>
      <c r="V23" s="8"/>
      <c r="W23" s="6"/>
      <c r="X23" s="7"/>
      <c r="Y23" s="7"/>
      <c r="Z23" s="7"/>
      <c r="AA23" s="7" t="str">
        <f>IFERROR(__xludf.DUMMYFUNCTION("""COMPUTED_VALUE"""),"CRU-L1")</f>
        <v>CRU-L1</v>
      </c>
      <c r="AB23" s="6"/>
      <c r="AC23" s="6"/>
      <c r="AD23" s="6"/>
      <c r="AE23" s="7"/>
      <c r="AF23" s="7"/>
      <c r="AG23" s="7"/>
      <c r="AH23" s="7"/>
      <c r="AI23" s="7"/>
      <c r="AJ23" s="7"/>
      <c r="AK23" s="7"/>
      <c r="AL23" s="7"/>
      <c r="AM23" s="7"/>
      <c r="AN23" s="7"/>
      <c r="AO23" s="6"/>
      <c r="AP23" s="7"/>
      <c r="AQ23" s="7"/>
      <c r="AR23" s="6"/>
      <c r="AS23" s="6"/>
      <c r="AT23" s="6"/>
      <c r="AU23" s="6"/>
      <c r="AV23" s="6"/>
      <c r="AW23" s="6"/>
      <c r="AX23" s="6"/>
      <c r="AY23" s="6"/>
      <c r="AZ23" s="6"/>
      <c r="BA23" s="6"/>
      <c r="BB23" s="6"/>
      <c r="BC23" s="6"/>
      <c r="BD23" s="6"/>
      <c r="BE23" s="6"/>
      <c r="BF23" s="6"/>
      <c r="BG23" s="6"/>
    </row>
    <row r="24" customHeight="1" spans="1:59">
      <c r="A24" s="9" t="str">
        <f>IFERROR(__xludf.DUMMYFUNCTION("""COMPUTED_VALUE"""),"ARC-L5 R00")</f>
        <v>ARC-L5 R00</v>
      </c>
      <c r="B24" s="5"/>
      <c r="C24" s="5"/>
      <c r="D24" s="5" t="str">
        <f>IFERROR(__xludf.DUMMYFUNCTION("""COMPUTED_VALUE"""),"ARC-L5")</f>
        <v>ARC-L5</v>
      </c>
      <c r="E24" s="7" t="str">
        <f>IFERROR(__xludf.DUMMYFUNCTION("""COMPUTED_VALUE"""),"ARC-L5")</f>
        <v>ARC-L5</v>
      </c>
      <c r="F24" s="8">
        <f>IFERROR(__xludf.DUMMYFUNCTION("""COMPUTED_VALUE"""),-9890422.51616967)</f>
        <v>-9890422.51616967</v>
      </c>
      <c r="G24" s="8">
        <f>IFERROR(__xludf.DUMMYFUNCTION("""COMPUTED_VALUE"""),-27173732.2251399)</f>
        <v>-27173732.2251399</v>
      </c>
      <c r="H24" s="8">
        <f>IFERROR(__xludf.DUMMYFUNCTION("""COMPUTED_VALUE"""),8.076625)</f>
        <v>8.076625</v>
      </c>
      <c r="I24" s="14">
        <f>IFERROR(__xludf.DUMMYFUNCTION("""COMPUTED_VALUE"""),1)</f>
        <v>1</v>
      </c>
      <c r="J24" s="14">
        <f>IFERROR(__xludf.DUMMYFUNCTION("""COMPUTED_VALUE"""),0)</f>
        <v>0</v>
      </c>
      <c r="K24" s="14">
        <f>IFERROR(__xludf.DUMMYFUNCTION("""COMPUTED_VALUE"""),0)</f>
        <v>0</v>
      </c>
      <c r="L24" s="14">
        <f>IFERROR(__xludf.DUMMYFUNCTION("""COMPUTED_VALUE"""),0)</f>
        <v>0</v>
      </c>
      <c r="M24" s="7" t="b">
        <f>IFERROR(__xludf.DUMMYFUNCTION("""COMPUTED_VALUE"""),TRUE)</f>
        <v>1</v>
      </c>
      <c r="N24" s="8">
        <f>IFERROR(__xludf.DUMMYFUNCTION("""COMPUTED_VALUE"""),0)</f>
        <v>0</v>
      </c>
      <c r="O24" s="8">
        <f>IFERROR(__xludf.DUMMYFUNCTION("""COMPUTED_VALUE"""),0)</f>
        <v>0</v>
      </c>
      <c r="P24" s="10"/>
      <c r="Q24" s="7"/>
      <c r="R24" s="16">
        <f>IFERROR(__xludf.DUMMYFUNCTION("""COMPUTED_VALUE"""),0)</f>
        <v>0</v>
      </c>
      <c r="S24" s="17">
        <f>IFERROR(__xludf.DUMMYFUNCTION("""COMPUTED_VALUE"""),0)</f>
        <v>0</v>
      </c>
      <c r="T24" s="10"/>
      <c r="U24" s="8"/>
      <c r="V24" s="8"/>
      <c r="W24" s="6"/>
      <c r="X24" s="7"/>
      <c r="Y24" s="7"/>
      <c r="Z24" s="7"/>
      <c r="AA24" s="7" t="str">
        <f>IFERROR(__xludf.DUMMYFUNCTION("""COMPUTED_VALUE"""),"CRU-L2")</f>
        <v>CRU-L2</v>
      </c>
      <c r="AB24" s="6"/>
      <c r="AC24" s="6"/>
      <c r="AD24" s="6"/>
      <c r="AE24" s="7"/>
      <c r="AF24" s="7"/>
      <c r="AG24" s="7"/>
      <c r="AH24" s="7"/>
      <c r="AI24" s="7"/>
      <c r="AJ24" s="7"/>
      <c r="AK24" s="7"/>
      <c r="AL24" s="7"/>
      <c r="AM24" s="7"/>
      <c r="AN24" s="7"/>
      <c r="AO24" s="6"/>
      <c r="AP24" s="7"/>
      <c r="AQ24" s="7"/>
      <c r="AR24" s="6"/>
      <c r="AS24" s="6"/>
      <c r="AT24" s="6"/>
      <c r="AU24" s="6"/>
      <c r="AV24" s="6"/>
      <c r="AW24" s="6"/>
      <c r="AX24" s="6"/>
      <c r="AY24" s="6"/>
      <c r="AZ24" s="6"/>
      <c r="BA24" s="6"/>
      <c r="BB24" s="6"/>
      <c r="BC24" s="6"/>
      <c r="BD24" s="6"/>
      <c r="BE24" s="6"/>
      <c r="BF24" s="6"/>
      <c r="BG24" s="6"/>
    </row>
    <row r="25" customHeight="1" spans="1:59">
      <c r="A25" s="9" t="str">
        <f>IFERROR(__xludf.DUMMYFUNCTION("""COMPUTED_VALUE"""),"CRU-L1 R00")</f>
        <v>CRU-L1 R00</v>
      </c>
      <c r="B25" s="5"/>
      <c r="C25" s="5"/>
      <c r="D25" s="5" t="str">
        <f>IFERROR(__xludf.DUMMYFUNCTION("""COMPUTED_VALUE"""),"CRU-L1")</f>
        <v>CRU-L1</v>
      </c>
      <c r="E25" s="7" t="str">
        <f>IFERROR(__xludf.DUMMYFUNCTION("""COMPUTED_VALUE"""),"CRU-L1")</f>
        <v>CRU-L1</v>
      </c>
      <c r="F25" s="8">
        <f>IFERROR(__xludf.DUMMYFUNCTION("""COMPUTED_VALUE"""),-17065957.3759999)</f>
        <v>-17065957.3759999</v>
      </c>
      <c r="G25" s="8">
        <f>IFERROR(__xludf.DUMMYFUNCTION("""COMPUTED_VALUE"""),-2398463.99999998)</f>
        <v>-2398463.99999998</v>
      </c>
      <c r="H25" s="8">
        <f>IFERROR(__xludf.DUMMYFUNCTION("""COMPUTED_VALUE"""),0)</f>
        <v>0</v>
      </c>
      <c r="I25" s="14">
        <f>IFERROR(__xludf.DUMMYFUNCTION("""COMPUTED_VALUE"""),0.96363044)</f>
        <v>0.96363044</v>
      </c>
      <c r="J25" s="14">
        <f>IFERROR(__xludf.DUMMYFUNCTION("""COMPUTED_VALUE"""),0)</f>
        <v>0</v>
      </c>
      <c r="K25" s="14">
        <f>IFERROR(__xludf.DUMMYFUNCTION("""COMPUTED_VALUE"""),0)</f>
        <v>0</v>
      </c>
      <c r="L25" s="14">
        <f>IFERROR(__xludf.DUMMYFUNCTION("""COMPUTED_VALUE"""),-0.26723838)</f>
        <v>-0.26723838</v>
      </c>
      <c r="M25" s="7" t="b">
        <f>IFERROR(__xludf.DUMMYFUNCTION("""COMPUTED_VALUE"""),TRUE)</f>
        <v>1</v>
      </c>
      <c r="N25" s="8">
        <f>IFERROR(__xludf.DUMMYFUNCTION("""COMPUTED_VALUE"""),0)</f>
        <v>0</v>
      </c>
      <c r="O25" s="8">
        <f>IFERROR(__xludf.DUMMYFUNCTION("""COMPUTED_VALUE"""),0)</f>
        <v>0</v>
      </c>
      <c r="P25" s="10"/>
      <c r="Q25" s="7"/>
      <c r="R25" s="16">
        <f>IFERROR(__xludf.DUMMYFUNCTION("""COMPUTED_VALUE"""),0)</f>
        <v>0</v>
      </c>
      <c r="S25" s="17">
        <f>IFERROR(__xludf.DUMMYFUNCTION("""COMPUTED_VALUE"""),0)</f>
        <v>0</v>
      </c>
      <c r="T25" s="10"/>
      <c r="U25" s="8"/>
      <c r="V25" s="8"/>
      <c r="W25" s="6"/>
      <c r="X25" s="7"/>
      <c r="Y25" s="7"/>
      <c r="Z25" s="7"/>
      <c r="AA25" s="7" t="str">
        <f>IFERROR(__xludf.DUMMYFUNCTION("""COMPUTED_VALUE"""),"CRU-L3")</f>
        <v>CRU-L3</v>
      </c>
      <c r="AB25" s="6"/>
      <c r="AC25" s="6"/>
      <c r="AD25" s="6"/>
      <c r="AE25" s="7"/>
      <c r="AF25" s="7"/>
      <c r="AG25" s="7"/>
      <c r="AH25" s="7"/>
      <c r="AI25" s="7"/>
      <c r="AJ25" s="7"/>
      <c r="AK25" s="7"/>
      <c r="AL25" s="7"/>
      <c r="AM25" s="7"/>
      <c r="AN25" s="7"/>
      <c r="AO25" s="6"/>
      <c r="AP25" s="7"/>
      <c r="AQ25" s="7"/>
      <c r="AR25" s="6"/>
      <c r="AS25" s="6"/>
      <c r="AT25" s="6"/>
      <c r="AU25" s="6"/>
      <c r="AV25" s="6"/>
      <c r="AW25" s="6"/>
      <c r="AX25" s="6"/>
      <c r="AY25" s="6"/>
      <c r="AZ25" s="6"/>
      <c r="BA25" s="6"/>
      <c r="BB25" s="6"/>
      <c r="BC25" s="6"/>
      <c r="BD25" s="6"/>
      <c r="BE25" s="6"/>
      <c r="BF25" s="6"/>
      <c r="BG25" s="6"/>
    </row>
    <row r="26" customHeight="1" spans="1:59">
      <c r="A26" s="9" t="str">
        <f>IFERROR(__xludf.DUMMYFUNCTION("""COMPUTED_VALUE"""),"CRU-L2 R00")</f>
        <v>CRU-L2 R00</v>
      </c>
      <c r="B26" s="5"/>
      <c r="C26" s="5"/>
      <c r="D26" s="5" t="str">
        <f>IFERROR(__xludf.DUMMYFUNCTION("""COMPUTED_VALUE"""),"CRU-L2")</f>
        <v>CRU-L2</v>
      </c>
      <c r="E26" s="7" t="str">
        <f>IFERROR(__xludf.DUMMYFUNCTION("""COMPUTED_VALUE"""),"CRU-L2")</f>
        <v>CRU-L2</v>
      </c>
      <c r="F26" s="8">
        <f>IFERROR(__xludf.DUMMYFUNCTION("""COMPUTED_VALUE"""),-20858376.4854332)</f>
        <v>-20858376.4854332</v>
      </c>
      <c r="G26" s="8">
        <f>IFERROR(__xludf.DUMMYFUNCTION("""COMPUTED_VALUE"""),-2931474.40205844)</f>
        <v>-2931474.40205844</v>
      </c>
      <c r="H26" s="8">
        <f>IFERROR(__xludf.DUMMYFUNCTION("""COMPUTED_VALUE"""),0)</f>
        <v>0</v>
      </c>
      <c r="I26" s="14">
        <f>IFERROR(__xludf.DUMMYFUNCTION("""COMPUTED_VALUE"""),0.96363044)</f>
        <v>0.96363044</v>
      </c>
      <c r="J26" s="14">
        <f>IFERROR(__xludf.DUMMYFUNCTION("""COMPUTED_VALUE"""),0)</f>
        <v>0</v>
      </c>
      <c r="K26" s="14">
        <f>IFERROR(__xludf.DUMMYFUNCTION("""COMPUTED_VALUE"""),0)</f>
        <v>0</v>
      </c>
      <c r="L26" s="14">
        <f>IFERROR(__xludf.DUMMYFUNCTION("""COMPUTED_VALUE"""),-0.26723838)</f>
        <v>-0.26723838</v>
      </c>
      <c r="M26" s="7" t="b">
        <f>IFERROR(__xludf.DUMMYFUNCTION("""COMPUTED_VALUE"""),TRUE)</f>
        <v>1</v>
      </c>
      <c r="N26" s="8">
        <f>IFERROR(__xludf.DUMMYFUNCTION("""COMPUTED_VALUE"""),0)</f>
        <v>0</v>
      </c>
      <c r="O26" s="8">
        <f>IFERROR(__xludf.DUMMYFUNCTION("""COMPUTED_VALUE"""),0)</f>
        <v>0</v>
      </c>
      <c r="P26" s="10"/>
      <c r="Q26" s="7"/>
      <c r="R26" s="16">
        <f>IFERROR(__xludf.DUMMYFUNCTION("""COMPUTED_VALUE"""),0)</f>
        <v>0</v>
      </c>
      <c r="S26" s="17">
        <f>IFERROR(__xludf.DUMMYFUNCTION("""COMPUTED_VALUE"""),0)</f>
        <v>0</v>
      </c>
      <c r="T26" s="10"/>
      <c r="U26" s="8"/>
      <c r="V26" s="8"/>
      <c r="W26" s="6"/>
      <c r="X26" s="7"/>
      <c r="Y26" s="7"/>
      <c r="Z26" s="7"/>
      <c r="AA26" s="7" t="str">
        <f>IFERROR(__xludf.DUMMYFUNCTION("""COMPUTED_VALUE"""),"CRU-L4")</f>
        <v>CRU-L4</v>
      </c>
      <c r="AB26" s="6"/>
      <c r="AC26" s="6"/>
      <c r="AD26" s="6"/>
      <c r="AE26" s="7"/>
      <c r="AF26" s="7"/>
      <c r="AG26" s="7"/>
      <c r="AH26" s="7"/>
      <c r="AI26" s="7"/>
      <c r="AJ26" s="7"/>
      <c r="AK26" s="7"/>
      <c r="AL26" s="7"/>
      <c r="AM26" s="7"/>
      <c r="AN26" s="7"/>
      <c r="AO26" s="6"/>
      <c r="AP26" s="7"/>
      <c r="AQ26" s="7"/>
      <c r="AR26" s="6"/>
      <c r="AS26" s="6"/>
      <c r="AT26" s="6"/>
      <c r="AU26" s="6"/>
      <c r="AV26" s="6"/>
      <c r="AW26" s="6"/>
      <c r="AX26" s="6"/>
      <c r="AY26" s="6"/>
      <c r="AZ26" s="6"/>
      <c r="BA26" s="6"/>
      <c r="BB26" s="6"/>
      <c r="BC26" s="6"/>
      <c r="BD26" s="6"/>
      <c r="BE26" s="6"/>
      <c r="BF26" s="6"/>
      <c r="BG26" s="6"/>
    </row>
    <row r="27" customHeight="1" spans="1:59">
      <c r="A27" s="9" t="str">
        <f>IFERROR(__xludf.DUMMYFUNCTION("""COMPUTED_VALUE"""),"CRU-L3 R00")</f>
        <v>CRU-L3 R00</v>
      </c>
      <c r="B27" s="5"/>
      <c r="C27" s="5"/>
      <c r="D27" s="5" t="str">
        <f>IFERROR(__xludf.DUMMYFUNCTION("""COMPUTED_VALUE"""),"CRU-L3")</f>
        <v>CRU-L3</v>
      </c>
      <c r="E27" s="7" t="str">
        <f>IFERROR(__xludf.DUMMYFUNCTION("""COMPUTED_VALUE"""),"CRU-L3")</f>
        <v>CRU-L3</v>
      </c>
      <c r="F27" s="8">
        <f>IFERROR(__xludf.DUMMYFUNCTION("""COMPUTED_VALUE"""),18962164.826094)</f>
        <v>18962164.826094</v>
      </c>
      <c r="G27" s="8">
        <f>IFERROR(__xludf.DUMMYFUNCTION("""COMPUTED_VALUE"""),2664965.04050172)</f>
        <v>2664965.04050172</v>
      </c>
      <c r="H27" s="8">
        <f>IFERROR(__xludf.DUMMYFUNCTION("""COMPUTED_VALUE"""),0)</f>
        <v>0</v>
      </c>
      <c r="I27" s="14">
        <f>IFERROR(__xludf.DUMMYFUNCTION("""COMPUTED_VALUE"""),0.96363044)</f>
        <v>0.96363044</v>
      </c>
      <c r="J27" s="14">
        <f>IFERROR(__xludf.DUMMYFUNCTION("""COMPUTED_VALUE"""),0)</f>
        <v>0</v>
      </c>
      <c r="K27" s="14">
        <f>IFERROR(__xludf.DUMMYFUNCTION("""COMPUTED_VALUE"""),0)</f>
        <v>0</v>
      </c>
      <c r="L27" s="14">
        <f>IFERROR(__xludf.DUMMYFUNCTION("""COMPUTED_VALUE"""),-0.26723838)</f>
        <v>-0.26723838</v>
      </c>
      <c r="M27" s="7" t="b">
        <f>IFERROR(__xludf.DUMMYFUNCTION("""COMPUTED_VALUE"""),TRUE)</f>
        <v>1</v>
      </c>
      <c r="N27" s="8">
        <f>IFERROR(__xludf.DUMMYFUNCTION("""COMPUTED_VALUE"""),0)</f>
        <v>0</v>
      </c>
      <c r="O27" s="8">
        <f>IFERROR(__xludf.DUMMYFUNCTION("""COMPUTED_VALUE"""),0)</f>
        <v>0</v>
      </c>
      <c r="P27" s="10"/>
      <c r="Q27" s="7"/>
      <c r="R27" s="16">
        <f>IFERROR(__xludf.DUMMYFUNCTION("""COMPUTED_VALUE"""),0)</f>
        <v>0</v>
      </c>
      <c r="S27" s="17">
        <f>IFERROR(__xludf.DUMMYFUNCTION("""COMPUTED_VALUE"""),0)</f>
        <v>0</v>
      </c>
      <c r="T27" s="10"/>
      <c r="U27" s="8"/>
      <c r="V27" s="8"/>
      <c r="W27" s="6"/>
      <c r="X27" s="7"/>
      <c r="Y27" s="7"/>
      <c r="Z27" s="7"/>
      <c r="AA27" s="7" t="str">
        <f>IFERROR(__xludf.DUMMYFUNCTION("""COMPUTED_VALUE"""),"CRU-L5")</f>
        <v>CRU-L5</v>
      </c>
      <c r="AB27" s="6"/>
      <c r="AC27" s="6"/>
      <c r="AD27" s="6"/>
      <c r="AE27" s="7"/>
      <c r="AF27" s="7"/>
      <c r="AG27" s="7"/>
      <c r="AH27" s="7"/>
      <c r="AI27" s="7"/>
      <c r="AJ27" s="7"/>
      <c r="AK27" s="7"/>
      <c r="AL27" s="7"/>
      <c r="AM27" s="7"/>
      <c r="AN27" s="7"/>
      <c r="AO27" s="6"/>
      <c r="AP27" s="7"/>
      <c r="AQ27" s="7"/>
      <c r="AR27" s="6"/>
      <c r="AS27" s="6"/>
      <c r="AT27" s="6"/>
      <c r="AU27" s="6"/>
      <c r="AV27" s="6"/>
      <c r="AW27" s="6"/>
      <c r="AX27" s="6"/>
      <c r="AY27" s="6"/>
      <c r="AZ27" s="6"/>
      <c r="BA27" s="6"/>
      <c r="BB27" s="6"/>
      <c r="BC27" s="6"/>
      <c r="BD27" s="6"/>
      <c r="BE27" s="6"/>
      <c r="BF27" s="6"/>
      <c r="BG27" s="6"/>
    </row>
    <row r="28" customHeight="1" spans="1:59">
      <c r="A28" s="9" t="str">
        <f>IFERROR(__xludf.DUMMYFUNCTION("""COMPUTED_VALUE"""),"CRU-L4 R00")</f>
        <v>CRU-L4 R00</v>
      </c>
      <c r="B28" s="5"/>
      <c r="C28" s="5"/>
      <c r="D28" s="5" t="str">
        <f>IFERROR(__xludf.DUMMYFUNCTION("""COMPUTED_VALUE"""),"CRU-L4")</f>
        <v>CRU-L4</v>
      </c>
      <c r="E28" s="7" t="str">
        <f>IFERROR(__xludf.DUMMYFUNCTION("""COMPUTED_VALUE"""),"CRU-L4")</f>
        <v>CRU-L4</v>
      </c>
      <c r="F28" s="8">
        <f>IFERROR(__xludf.DUMMYFUNCTION("""COMPUTED_VALUE"""),-7173168.63999999)</f>
        <v>-7173168.63999999</v>
      </c>
      <c r="G28" s="8">
        <f>IFERROR(__xludf.DUMMYFUNCTION("""COMPUTED_VALUE"""),-17754204.16)</f>
        <v>-17754204.16</v>
      </c>
      <c r="H28" s="8">
        <f>IFERROR(__xludf.DUMMYFUNCTION("""COMPUTED_VALUE"""),0)</f>
        <v>0</v>
      </c>
      <c r="I28" s="14">
        <f>IFERROR(__xludf.DUMMYFUNCTION("""COMPUTED_VALUE"""),0.96363044)</f>
        <v>0.96363044</v>
      </c>
      <c r="J28" s="14">
        <f>IFERROR(__xludf.DUMMYFUNCTION("""COMPUTED_VALUE"""),0)</f>
        <v>0</v>
      </c>
      <c r="K28" s="14">
        <f>IFERROR(__xludf.DUMMYFUNCTION("""COMPUTED_VALUE"""),0)</f>
        <v>0</v>
      </c>
      <c r="L28" s="14">
        <f>IFERROR(__xludf.DUMMYFUNCTION("""COMPUTED_VALUE"""),-0.26723838)</f>
        <v>-0.26723838</v>
      </c>
      <c r="M28" s="7" t="b">
        <f>IFERROR(__xludf.DUMMYFUNCTION("""COMPUTED_VALUE"""),TRUE)</f>
        <v>1</v>
      </c>
      <c r="N28" s="8">
        <f>IFERROR(__xludf.DUMMYFUNCTION("""COMPUTED_VALUE"""),0)</f>
        <v>0</v>
      </c>
      <c r="O28" s="8">
        <f>IFERROR(__xludf.DUMMYFUNCTION("""COMPUTED_VALUE"""),0)</f>
        <v>0</v>
      </c>
      <c r="P28" s="10"/>
      <c r="Q28" s="7"/>
      <c r="R28" s="16">
        <f>IFERROR(__xludf.DUMMYFUNCTION("""COMPUTED_VALUE"""),0)</f>
        <v>0</v>
      </c>
      <c r="S28" s="17">
        <f>IFERROR(__xludf.DUMMYFUNCTION("""COMPUTED_VALUE"""),0)</f>
        <v>0</v>
      </c>
      <c r="T28" s="10"/>
      <c r="U28" s="8"/>
      <c r="V28" s="8"/>
      <c r="W28" s="6"/>
      <c r="X28" s="7"/>
      <c r="Y28" s="7"/>
      <c r="Z28" s="7"/>
      <c r="AA28" s="7" t="str">
        <f>IFERROR(__xludf.DUMMYFUNCTION("""COMPUTED_VALUE"""),"ARC-L1")</f>
        <v>ARC-L1</v>
      </c>
      <c r="AB28" s="6"/>
      <c r="AC28" s="6"/>
      <c r="AD28" s="6"/>
      <c r="AE28" s="7"/>
      <c r="AF28" s="7"/>
      <c r="AG28" s="7"/>
      <c r="AH28" s="7"/>
      <c r="AI28" s="7"/>
      <c r="AJ28" s="7"/>
      <c r="AK28" s="7"/>
      <c r="AL28" s="7"/>
      <c r="AM28" s="7"/>
      <c r="AN28" s="7"/>
      <c r="AO28" s="6"/>
      <c r="AP28" s="7"/>
      <c r="AQ28" s="7"/>
      <c r="AR28" s="6"/>
      <c r="AS28" s="6"/>
      <c r="AT28" s="6"/>
      <c r="AU28" s="6"/>
      <c r="AV28" s="6"/>
      <c r="AW28" s="6"/>
      <c r="AX28" s="6"/>
      <c r="AY28" s="6"/>
      <c r="AZ28" s="6"/>
      <c r="BA28" s="6"/>
      <c r="BB28" s="6"/>
      <c r="BC28" s="6"/>
      <c r="BD28" s="6"/>
      <c r="BE28" s="6"/>
      <c r="BF28" s="6"/>
      <c r="BG28" s="6"/>
    </row>
    <row r="29" customHeight="1" spans="1:59">
      <c r="A29" s="9" t="str">
        <f>IFERROR(__xludf.DUMMYFUNCTION("""COMPUTED_VALUE"""),"CRU-L5 R00")</f>
        <v>CRU-L5 R00</v>
      </c>
      <c r="B29" s="5"/>
      <c r="C29" s="5"/>
      <c r="D29" s="5" t="str">
        <f>IFERROR(__xludf.DUMMYFUNCTION("""COMPUTED_VALUE"""),"CRU-L5")</f>
        <v>CRU-L5</v>
      </c>
      <c r="E29" s="7" t="str">
        <f>IFERROR(__xludf.DUMMYFUNCTION("""COMPUTED_VALUE"""),"CRU-L5")</f>
        <v>CRU-L5</v>
      </c>
      <c r="F29" s="8">
        <f>IFERROR(__xludf.DUMMYFUNCTION("""COMPUTED_VALUE"""),-11789008.9882602)</f>
        <v>-11789008.9882602</v>
      </c>
      <c r="G29" s="8">
        <f>IFERROR(__xludf.DUMMYFUNCTION("""COMPUTED_VALUE"""),15089246.1067637)</f>
        <v>15089246.1067637</v>
      </c>
      <c r="H29" s="8">
        <f>IFERROR(__xludf.DUMMYFUNCTION("""COMPUTED_VALUE"""),0)</f>
        <v>0</v>
      </c>
      <c r="I29" s="14">
        <f>IFERROR(__xludf.DUMMYFUNCTION("""COMPUTED_VALUE"""),0.96363044)</f>
        <v>0.96363044</v>
      </c>
      <c r="J29" s="14">
        <f>IFERROR(__xludf.DUMMYFUNCTION("""COMPUTED_VALUE"""),0)</f>
        <v>0</v>
      </c>
      <c r="K29" s="14">
        <f>IFERROR(__xludf.DUMMYFUNCTION("""COMPUTED_VALUE"""),0)</f>
        <v>0</v>
      </c>
      <c r="L29" s="14">
        <f>IFERROR(__xludf.DUMMYFUNCTION("""COMPUTED_VALUE"""),-0.26723838)</f>
        <v>-0.26723838</v>
      </c>
      <c r="M29" s="7" t="b">
        <f>IFERROR(__xludf.DUMMYFUNCTION("""COMPUTED_VALUE"""),TRUE)</f>
        <v>1</v>
      </c>
      <c r="N29" s="8">
        <f>IFERROR(__xludf.DUMMYFUNCTION("""COMPUTED_VALUE"""),0)</f>
        <v>0</v>
      </c>
      <c r="O29" s="8">
        <f>IFERROR(__xludf.DUMMYFUNCTION("""COMPUTED_VALUE"""),0)</f>
        <v>0</v>
      </c>
      <c r="P29" s="10"/>
      <c r="Q29" s="7"/>
      <c r="R29" s="16">
        <f>IFERROR(__xludf.DUMMYFUNCTION("""COMPUTED_VALUE"""),0)</f>
        <v>0</v>
      </c>
      <c r="S29" s="17">
        <f>IFERROR(__xludf.DUMMYFUNCTION("""COMPUTED_VALUE"""),0)</f>
        <v>0</v>
      </c>
      <c r="T29" s="10"/>
      <c r="U29" s="8"/>
      <c r="V29" s="8"/>
      <c r="W29" s="6"/>
      <c r="X29" s="7"/>
      <c r="Y29" s="7"/>
      <c r="Z29" s="7"/>
      <c r="AA29" s="7" t="str">
        <f>IFERROR(__xludf.DUMMYFUNCTION("""COMPUTED_VALUE"""),"ARC-L2")</f>
        <v>ARC-L2</v>
      </c>
      <c r="AB29" s="6"/>
      <c r="AC29" s="6"/>
      <c r="AD29" s="6"/>
      <c r="AE29" s="7"/>
      <c r="AF29" s="7"/>
      <c r="AG29" s="7"/>
      <c r="AH29" s="7"/>
      <c r="AI29" s="7"/>
      <c r="AJ29" s="7"/>
      <c r="AK29" s="7"/>
      <c r="AL29" s="7"/>
      <c r="AM29" s="7"/>
      <c r="AN29" s="7"/>
      <c r="AO29" s="6"/>
      <c r="AP29" s="7"/>
      <c r="AQ29" s="7"/>
      <c r="AR29" s="6"/>
      <c r="AS29" s="6"/>
      <c r="AT29" s="6"/>
      <c r="AU29" s="6"/>
      <c r="AV29" s="6"/>
      <c r="AW29" s="6"/>
      <c r="AX29" s="6"/>
      <c r="AY29" s="6"/>
      <c r="AZ29" s="6"/>
      <c r="BA29" s="6"/>
      <c r="BB29" s="6"/>
      <c r="BC29" s="6"/>
      <c r="BD29" s="6"/>
      <c r="BE29" s="6"/>
      <c r="BF29" s="6"/>
      <c r="BG29" s="6"/>
    </row>
    <row r="30" customHeight="1" spans="1:59">
      <c r="A30" s="9" t="str">
        <f>IFERROR(__xludf.DUMMYFUNCTION("""COMPUTED_VALUE"""),"HUR-L1 R00")</f>
        <v>HUR-L1 R00</v>
      </c>
      <c r="B30" s="5"/>
      <c r="C30" s="5"/>
      <c r="D30" s="5" t="str">
        <f>IFERROR(__xludf.DUMMYFUNCTION("""COMPUTED_VALUE"""),"HUR-L1")</f>
        <v>HUR-L1</v>
      </c>
      <c r="E30" s="7" t="str">
        <f>IFERROR(__xludf.DUMMYFUNCTION("""COMPUTED_VALUE"""),"HUR-L1")</f>
        <v>HUR-L1</v>
      </c>
      <c r="F30" s="8">
        <f>IFERROR(__xludf.DUMMYFUNCTION("""COMPUTED_VALUE"""),11565411.328)</f>
        <v>11565411.328</v>
      </c>
      <c r="G30" s="8">
        <f>IFERROR(__xludf.DUMMYFUNCTION("""COMPUTED_VALUE"""),0)</f>
        <v>0</v>
      </c>
      <c r="H30" s="8">
        <f>IFERROR(__xludf.DUMMYFUNCTION("""COMPUTED_VALUE"""),0)</f>
        <v>0</v>
      </c>
      <c r="I30" s="14">
        <f>IFERROR(__xludf.DUMMYFUNCTION("""COMPUTED_VALUE"""),1)</f>
        <v>1</v>
      </c>
      <c r="J30" s="14">
        <f>IFERROR(__xludf.DUMMYFUNCTION("""COMPUTED_VALUE"""),0)</f>
        <v>0</v>
      </c>
      <c r="K30" s="14">
        <f>IFERROR(__xludf.DUMMYFUNCTION("""COMPUTED_VALUE"""),0)</f>
        <v>0</v>
      </c>
      <c r="L30" s="14">
        <f>IFERROR(__xludf.DUMMYFUNCTION("""COMPUTED_VALUE"""),0)</f>
        <v>0</v>
      </c>
      <c r="M30" s="7" t="b">
        <f>IFERROR(__xludf.DUMMYFUNCTION("""COMPUTED_VALUE"""),TRUE)</f>
        <v>1</v>
      </c>
      <c r="N30" s="8">
        <f>IFERROR(__xludf.DUMMYFUNCTION("""COMPUTED_VALUE"""),0)</f>
        <v>0</v>
      </c>
      <c r="O30" s="8">
        <f>IFERROR(__xludf.DUMMYFUNCTION("""COMPUTED_VALUE"""),0)</f>
        <v>0</v>
      </c>
      <c r="P30" s="10"/>
      <c r="Q30" s="7"/>
      <c r="R30" s="16">
        <f>IFERROR(__xludf.DUMMYFUNCTION("""COMPUTED_VALUE"""),0)</f>
        <v>0</v>
      </c>
      <c r="S30" s="17">
        <f>IFERROR(__xludf.DUMMYFUNCTION("""COMPUTED_VALUE"""),0)</f>
        <v>0</v>
      </c>
      <c r="T30" s="10"/>
      <c r="U30" s="8"/>
      <c r="V30" s="8"/>
      <c r="W30" s="6"/>
      <c r="X30" s="7"/>
      <c r="Y30" s="7"/>
      <c r="Z30" s="7"/>
      <c r="AA30" s="7" t="str">
        <f>IFERROR(__xludf.DUMMYFUNCTION("""COMPUTED_VALUE"""),"ARC-L3")</f>
        <v>ARC-L3</v>
      </c>
      <c r="AB30" s="6"/>
      <c r="AC30" s="6"/>
      <c r="AD30" s="6"/>
      <c r="AE30" s="7"/>
      <c r="AF30" s="7"/>
      <c r="AG30" s="7"/>
      <c r="AH30" s="7"/>
      <c r="AI30" s="7"/>
      <c r="AJ30" s="7"/>
      <c r="AK30" s="7"/>
      <c r="AL30" s="7"/>
      <c r="AM30" s="7"/>
      <c r="AN30" s="7"/>
      <c r="AO30" s="6"/>
      <c r="AP30" s="7"/>
      <c r="AQ30" s="7"/>
      <c r="AR30" s="6"/>
      <c r="AS30" s="6"/>
      <c r="AT30" s="6"/>
      <c r="AU30" s="6"/>
      <c r="AV30" s="6"/>
      <c r="AW30" s="6"/>
      <c r="AX30" s="6"/>
      <c r="AY30" s="6"/>
      <c r="AZ30" s="6"/>
      <c r="BA30" s="6"/>
      <c r="BB30" s="6"/>
      <c r="BC30" s="6"/>
      <c r="BD30" s="6"/>
      <c r="BE30" s="6"/>
      <c r="BF30" s="6"/>
      <c r="BG30" s="6"/>
    </row>
    <row r="31" customHeight="1" spans="1:59">
      <c r="A31" s="9" t="str">
        <f>IFERROR(__xludf.DUMMYFUNCTION("""COMPUTED_VALUE"""),"HUR-L2 R00")</f>
        <v>HUR-L2 R00</v>
      </c>
      <c r="B31" s="5"/>
      <c r="C31" s="5"/>
      <c r="D31" s="5" t="str">
        <f>IFERROR(__xludf.DUMMYFUNCTION("""COMPUTED_VALUE"""),"HUR-L2")</f>
        <v>HUR-L2</v>
      </c>
      <c r="E31" s="7" t="str">
        <f>IFERROR(__xludf.DUMMYFUNCTION("""COMPUTED_VALUE"""),"HUR-L2")</f>
        <v>HUR-L2</v>
      </c>
      <c r="F31" s="8">
        <f>IFERROR(__xludf.DUMMYFUNCTION("""COMPUTED_VALUE"""),14135502.848)</f>
        <v>14135502.848</v>
      </c>
      <c r="G31" s="8">
        <f>IFERROR(__xludf.DUMMYFUNCTION("""COMPUTED_VALUE"""),0)</f>
        <v>0</v>
      </c>
      <c r="H31" s="8">
        <f>IFERROR(__xludf.DUMMYFUNCTION("""COMPUTED_VALUE"""),0)</f>
        <v>0</v>
      </c>
      <c r="I31" s="14">
        <f>IFERROR(__xludf.DUMMYFUNCTION("""COMPUTED_VALUE"""),1)</f>
        <v>1</v>
      </c>
      <c r="J31" s="14">
        <f>IFERROR(__xludf.DUMMYFUNCTION("""COMPUTED_VALUE"""),0)</f>
        <v>0</v>
      </c>
      <c r="K31" s="14">
        <f>IFERROR(__xludf.DUMMYFUNCTION("""COMPUTED_VALUE"""),0)</f>
        <v>0</v>
      </c>
      <c r="L31" s="14">
        <f>IFERROR(__xludf.DUMMYFUNCTION("""COMPUTED_VALUE"""),0)</f>
        <v>0</v>
      </c>
      <c r="M31" s="7" t="b">
        <f>IFERROR(__xludf.DUMMYFUNCTION("""COMPUTED_VALUE"""),TRUE)</f>
        <v>1</v>
      </c>
      <c r="N31" s="8">
        <f>IFERROR(__xludf.DUMMYFUNCTION("""COMPUTED_VALUE"""),0)</f>
        <v>0</v>
      </c>
      <c r="O31" s="8">
        <f>IFERROR(__xludf.DUMMYFUNCTION("""COMPUTED_VALUE"""),0)</f>
        <v>0</v>
      </c>
      <c r="P31" s="10"/>
      <c r="Q31" s="7"/>
      <c r="R31" s="16">
        <f>IFERROR(__xludf.DUMMYFUNCTION("""COMPUTED_VALUE"""),0)</f>
        <v>0</v>
      </c>
      <c r="S31" s="17">
        <f>IFERROR(__xludf.DUMMYFUNCTION("""COMPUTED_VALUE"""),0)</f>
        <v>0</v>
      </c>
      <c r="T31" s="10"/>
      <c r="U31" s="8"/>
      <c r="V31" s="8"/>
      <c r="W31" s="6"/>
      <c r="X31" s="7"/>
      <c r="Y31" s="7"/>
      <c r="Z31" s="7"/>
      <c r="AA31" s="7" t="str">
        <f>IFERROR(__xludf.DUMMYFUNCTION("""COMPUTED_VALUE"""),"ARC-L4")</f>
        <v>ARC-L4</v>
      </c>
      <c r="AB31" s="6"/>
      <c r="AC31" s="6"/>
      <c r="AD31" s="6"/>
      <c r="AE31" s="7"/>
      <c r="AF31" s="7"/>
      <c r="AG31" s="7"/>
      <c r="AH31" s="7"/>
      <c r="AI31" s="7"/>
      <c r="AJ31" s="7"/>
      <c r="AK31" s="7"/>
      <c r="AL31" s="7"/>
      <c r="AM31" s="7"/>
      <c r="AN31" s="7"/>
      <c r="AO31" s="6"/>
      <c r="AP31" s="7"/>
      <c r="AQ31" s="7"/>
      <c r="AR31" s="6"/>
      <c r="AS31" s="6"/>
      <c r="AT31" s="6"/>
      <c r="AU31" s="6"/>
      <c r="AV31" s="6"/>
      <c r="AW31" s="6"/>
      <c r="AX31" s="6"/>
      <c r="AY31" s="6"/>
      <c r="AZ31" s="6"/>
      <c r="BA31" s="6"/>
      <c r="BB31" s="6"/>
      <c r="BC31" s="6"/>
      <c r="BD31" s="6"/>
      <c r="BE31" s="6"/>
      <c r="BF31" s="6"/>
      <c r="BG31" s="6"/>
    </row>
    <row r="32" customHeight="1" spans="1:59">
      <c r="A32" s="9" t="str">
        <f>IFERROR(__xludf.DUMMYFUNCTION("""COMPUTED_VALUE"""),"HUR-L3 R00")</f>
        <v>HUR-L3 R00</v>
      </c>
      <c r="B32" s="5"/>
      <c r="C32" s="5"/>
      <c r="D32" s="5" t="str">
        <f>IFERROR(__xludf.DUMMYFUNCTION("""COMPUTED_VALUE"""),"HUR-L3")</f>
        <v>HUR-L3</v>
      </c>
      <c r="E32" s="7" t="str">
        <f>IFERROR(__xludf.DUMMYFUNCTION("""COMPUTED_VALUE"""),"HUR-L3")</f>
        <v>HUR-L3</v>
      </c>
      <c r="F32" s="8">
        <f>IFERROR(__xludf.DUMMYFUNCTION("""COMPUTED_VALUE"""),-12850457.6)</f>
        <v>-12850457.6</v>
      </c>
      <c r="G32" s="8">
        <f>IFERROR(__xludf.DUMMYFUNCTION("""COMPUTED_VALUE"""),-1.12342272899999)</f>
        <v>-1.12342272899999</v>
      </c>
      <c r="H32" s="8">
        <f>IFERROR(__xludf.DUMMYFUNCTION("""COMPUTED_VALUE"""),0)</f>
        <v>0</v>
      </c>
      <c r="I32" s="14">
        <f>IFERROR(__xludf.DUMMYFUNCTION("""COMPUTED_VALUE"""),1)</f>
        <v>1</v>
      </c>
      <c r="J32" s="14">
        <f>IFERROR(__xludf.DUMMYFUNCTION("""COMPUTED_VALUE"""),0)</f>
        <v>0</v>
      </c>
      <c r="K32" s="14">
        <f>IFERROR(__xludf.DUMMYFUNCTION("""COMPUTED_VALUE"""),0)</f>
        <v>0</v>
      </c>
      <c r="L32" s="14">
        <f>IFERROR(__xludf.DUMMYFUNCTION("""COMPUTED_VALUE"""),0)</f>
        <v>0</v>
      </c>
      <c r="M32" s="7" t="b">
        <f>IFERROR(__xludf.DUMMYFUNCTION("""COMPUTED_VALUE"""),TRUE)</f>
        <v>1</v>
      </c>
      <c r="N32" s="8">
        <f>IFERROR(__xludf.DUMMYFUNCTION("""COMPUTED_VALUE"""),0)</f>
        <v>0</v>
      </c>
      <c r="O32" s="8">
        <f>IFERROR(__xludf.DUMMYFUNCTION("""COMPUTED_VALUE"""),0)</f>
        <v>0</v>
      </c>
      <c r="P32" s="10"/>
      <c r="Q32" s="7"/>
      <c r="R32" s="16">
        <f>IFERROR(__xludf.DUMMYFUNCTION("""COMPUTED_VALUE"""),0)</f>
        <v>0</v>
      </c>
      <c r="S32" s="17">
        <f>IFERROR(__xludf.DUMMYFUNCTION("""COMPUTED_VALUE"""),0)</f>
        <v>0</v>
      </c>
      <c r="T32" s="10"/>
      <c r="U32" s="8"/>
      <c r="V32" s="8"/>
      <c r="W32" s="6"/>
      <c r="X32" s="7"/>
      <c r="Y32" s="7"/>
      <c r="Z32" s="7"/>
      <c r="AA32" s="7" t="str">
        <f>IFERROR(__xludf.DUMMYFUNCTION("""COMPUTED_VALUE"""),"ARC-L5")</f>
        <v>ARC-L5</v>
      </c>
      <c r="AB32" s="6"/>
      <c r="AC32" s="6"/>
      <c r="AD32" s="6"/>
      <c r="AE32" s="7"/>
      <c r="AF32" s="7"/>
      <c r="AG32" s="7"/>
      <c r="AH32" s="7"/>
      <c r="AI32" s="7"/>
      <c r="AJ32" s="7"/>
      <c r="AK32" s="7"/>
      <c r="AL32" s="7"/>
      <c r="AM32" s="7"/>
      <c r="AN32" s="7"/>
      <c r="AO32" s="6"/>
      <c r="AP32" s="7"/>
      <c r="AQ32" s="7"/>
      <c r="AR32" s="6"/>
      <c r="AS32" s="6"/>
      <c r="AT32" s="6"/>
      <c r="AU32" s="6"/>
      <c r="AV32" s="6"/>
      <c r="AW32" s="6"/>
      <c r="AX32" s="6"/>
      <c r="AY32" s="6"/>
      <c r="AZ32" s="6"/>
      <c r="BA32" s="6"/>
      <c r="BB32" s="6"/>
      <c r="BC32" s="6"/>
      <c r="BD32" s="6"/>
      <c r="BE32" s="6"/>
      <c r="BF32" s="6"/>
      <c r="BG32" s="6"/>
    </row>
    <row r="33" customHeight="1" spans="1:59">
      <c r="A33" s="9" t="str">
        <f>IFERROR(__xludf.DUMMYFUNCTION("""COMPUTED_VALUE"""),"HUR-L4 R00")</f>
        <v>HUR-L4 R00</v>
      </c>
      <c r="B33" s="5"/>
      <c r="C33" s="5"/>
      <c r="D33" s="5" t="str">
        <f>IFERROR(__xludf.DUMMYFUNCTION("""COMPUTED_VALUE"""),"HUR-L4")</f>
        <v>HUR-L4</v>
      </c>
      <c r="E33" s="7" t="str">
        <f>IFERROR(__xludf.DUMMYFUNCTION("""COMPUTED_VALUE"""),"HUR-L4")</f>
        <v>HUR-L4</v>
      </c>
      <c r="F33" s="8">
        <f>IFERROR(__xludf.DUMMYFUNCTION("""COMPUTED_VALUE"""),6425228.288)</f>
        <v>6425228.288</v>
      </c>
      <c r="G33" s="8">
        <f>IFERROR(__xludf.DUMMYFUNCTION("""COMPUTED_VALUE"""),11128823.808)</f>
        <v>11128823.808</v>
      </c>
      <c r="H33" s="8">
        <f>IFERROR(__xludf.DUMMYFUNCTION("""COMPUTED_VALUE"""),0)</f>
        <v>0</v>
      </c>
      <c r="I33" s="14">
        <f>IFERROR(__xludf.DUMMYFUNCTION("""COMPUTED_VALUE"""),1)</f>
        <v>1</v>
      </c>
      <c r="J33" s="14">
        <f>IFERROR(__xludf.DUMMYFUNCTION("""COMPUTED_VALUE"""),0)</f>
        <v>0</v>
      </c>
      <c r="K33" s="14">
        <f>IFERROR(__xludf.DUMMYFUNCTION("""COMPUTED_VALUE"""),0)</f>
        <v>0</v>
      </c>
      <c r="L33" s="14">
        <f>IFERROR(__xludf.DUMMYFUNCTION("""COMPUTED_VALUE"""),0)</f>
        <v>0</v>
      </c>
      <c r="M33" s="7" t="b">
        <f>IFERROR(__xludf.DUMMYFUNCTION("""COMPUTED_VALUE"""),TRUE)</f>
        <v>1</v>
      </c>
      <c r="N33" s="8">
        <f>IFERROR(__xludf.DUMMYFUNCTION("""COMPUTED_VALUE"""),0)</f>
        <v>0</v>
      </c>
      <c r="O33" s="8">
        <f>IFERROR(__xludf.DUMMYFUNCTION("""COMPUTED_VALUE"""),0)</f>
        <v>0</v>
      </c>
      <c r="P33" s="10"/>
      <c r="Q33" s="7"/>
      <c r="R33" s="16">
        <f>IFERROR(__xludf.DUMMYFUNCTION("""COMPUTED_VALUE"""),0)</f>
        <v>0</v>
      </c>
      <c r="S33" s="17">
        <f>IFERROR(__xludf.DUMMYFUNCTION("""COMPUTED_VALUE"""),0)</f>
        <v>0</v>
      </c>
      <c r="T33" s="10"/>
      <c r="U33" s="8"/>
      <c r="V33" s="8"/>
      <c r="W33" s="6"/>
      <c r="X33" s="7"/>
      <c r="Y33" s="7"/>
      <c r="Z33" s="7"/>
      <c r="AA33" s="7" t="str">
        <f>IFERROR(__xludf.DUMMYFUNCTION("""COMPUTED_VALUE"""),"MIC-L1")</f>
        <v>MIC-L1</v>
      </c>
      <c r="AB33" s="6"/>
      <c r="AC33" s="6"/>
      <c r="AD33" s="6"/>
      <c r="AE33" s="7"/>
      <c r="AF33" s="7"/>
      <c r="AG33" s="7"/>
      <c r="AH33" s="7"/>
      <c r="AI33" s="7"/>
      <c r="AJ33" s="7"/>
      <c r="AK33" s="7"/>
      <c r="AL33" s="7"/>
      <c r="AM33" s="7"/>
      <c r="AN33" s="7"/>
      <c r="AO33" s="6"/>
      <c r="AP33" s="7"/>
      <c r="AQ33" s="7"/>
      <c r="AR33" s="6"/>
      <c r="AS33" s="6"/>
      <c r="AT33" s="6"/>
      <c r="AU33" s="6"/>
      <c r="AV33" s="6"/>
      <c r="AW33" s="6"/>
      <c r="AX33" s="6"/>
      <c r="AY33" s="6"/>
      <c r="AZ33" s="6"/>
      <c r="BA33" s="6"/>
      <c r="BB33" s="6"/>
      <c r="BC33" s="6"/>
      <c r="BD33" s="6"/>
      <c r="BE33" s="6"/>
      <c r="BF33" s="6"/>
      <c r="BG33" s="6"/>
    </row>
    <row r="34" customHeight="1" spans="1:59">
      <c r="A34" s="9" t="str">
        <f>IFERROR(__xludf.DUMMYFUNCTION("""COMPUTED_VALUE"""),"HUR-L5 R00")</f>
        <v>HUR-L5 R00</v>
      </c>
      <c r="B34" s="5"/>
      <c r="C34" s="5"/>
      <c r="D34" s="5" t="str">
        <f>IFERROR(__xludf.DUMMYFUNCTION("""COMPUTED_VALUE"""),"HUR-L5")</f>
        <v>HUR-L5</v>
      </c>
      <c r="E34" s="7" t="str">
        <f>IFERROR(__xludf.DUMMYFUNCTION("""COMPUTED_VALUE"""),"HUR-L5")</f>
        <v>HUR-L5</v>
      </c>
      <c r="F34" s="8">
        <f>IFERROR(__xludf.DUMMYFUNCTION("""COMPUTED_VALUE"""),6425227.776)</f>
        <v>6425227.776</v>
      </c>
      <c r="G34" s="8">
        <f>IFERROR(__xludf.DUMMYFUNCTION("""COMPUTED_VALUE"""),-11128823.808)</f>
        <v>-11128823.808</v>
      </c>
      <c r="H34" s="8">
        <f>IFERROR(__xludf.DUMMYFUNCTION("""COMPUTED_VALUE"""),0)</f>
        <v>0</v>
      </c>
      <c r="I34" s="14">
        <f>IFERROR(__xludf.DUMMYFUNCTION("""COMPUTED_VALUE"""),1)</f>
        <v>1</v>
      </c>
      <c r="J34" s="14">
        <f>IFERROR(__xludf.DUMMYFUNCTION("""COMPUTED_VALUE"""),0)</f>
        <v>0</v>
      </c>
      <c r="K34" s="14">
        <f>IFERROR(__xludf.DUMMYFUNCTION("""COMPUTED_VALUE"""),0)</f>
        <v>0</v>
      </c>
      <c r="L34" s="14">
        <f>IFERROR(__xludf.DUMMYFUNCTION("""COMPUTED_VALUE"""),0)</f>
        <v>0</v>
      </c>
      <c r="M34" s="7" t="b">
        <f>IFERROR(__xludf.DUMMYFUNCTION("""COMPUTED_VALUE"""),TRUE)</f>
        <v>1</v>
      </c>
      <c r="N34" s="8">
        <f>IFERROR(__xludf.DUMMYFUNCTION("""COMPUTED_VALUE"""),0)</f>
        <v>0</v>
      </c>
      <c r="O34" s="8">
        <f>IFERROR(__xludf.DUMMYFUNCTION("""COMPUTED_VALUE"""),0)</f>
        <v>0</v>
      </c>
      <c r="P34" s="10"/>
      <c r="Q34" s="7"/>
      <c r="R34" s="16">
        <f>IFERROR(__xludf.DUMMYFUNCTION("""COMPUTED_VALUE"""),0)</f>
        <v>0</v>
      </c>
      <c r="S34" s="17">
        <f>IFERROR(__xludf.DUMMYFUNCTION("""COMPUTED_VALUE"""),0)</f>
        <v>0</v>
      </c>
      <c r="T34" s="10"/>
      <c r="U34" s="8"/>
      <c r="V34" s="8"/>
      <c r="W34" s="6"/>
      <c r="X34" s="7"/>
      <c r="Y34" s="7"/>
      <c r="Z34" s="7"/>
      <c r="AA34" s="7" t="str">
        <f>IFERROR(__xludf.DUMMYFUNCTION("""COMPUTED_VALUE"""),"MIC-L2")</f>
        <v>MIC-L2</v>
      </c>
      <c r="AB34" s="6"/>
      <c r="AC34" s="6"/>
      <c r="AD34" s="6"/>
      <c r="AE34" s="7"/>
      <c r="AF34" s="7"/>
      <c r="AG34" s="7"/>
      <c r="AH34" s="7"/>
      <c r="AI34" s="7"/>
      <c r="AJ34" s="7"/>
      <c r="AK34" s="7"/>
      <c r="AL34" s="7"/>
      <c r="AM34" s="7"/>
      <c r="AN34" s="7"/>
      <c r="AO34" s="6"/>
      <c r="AP34" s="7"/>
      <c r="AQ34" s="7"/>
      <c r="AR34" s="6"/>
      <c r="AS34" s="6"/>
      <c r="AT34" s="6"/>
      <c r="AU34" s="6"/>
      <c r="AV34" s="6"/>
      <c r="AW34" s="6"/>
      <c r="AX34" s="6"/>
      <c r="AY34" s="6"/>
      <c r="AZ34" s="6"/>
      <c r="BA34" s="6"/>
      <c r="BB34" s="6"/>
      <c r="BC34" s="6"/>
      <c r="BD34" s="6"/>
      <c r="BE34" s="6"/>
      <c r="BF34" s="6"/>
      <c r="BG34" s="6"/>
    </row>
    <row r="35" customHeight="1" spans="1:59">
      <c r="A35" s="9" t="str">
        <f>IFERROR(__xludf.DUMMYFUNCTION("""COMPUTED_VALUE"""),"MIC-L1 R00")</f>
        <v>MIC-L1 R00</v>
      </c>
      <c r="B35" s="5"/>
      <c r="C35" s="5"/>
      <c r="D35" s="5" t="str">
        <f>IFERROR(__xludf.DUMMYFUNCTION("""COMPUTED_VALUE"""),"MIC-L1")</f>
        <v>MIC-L1</v>
      </c>
      <c r="E35" s="6" t="str">
        <f>IFERROR(__xludf.DUMMYFUNCTION("""COMPUTED_VALUE"""),"MIC-L1")</f>
        <v>MIC-L1</v>
      </c>
      <c r="F35" s="10">
        <f>IFERROR(__xludf.DUMMYFUNCTION("""COMPUTED_VALUE"""),20215824.238186)</f>
        <v>20215824.238186</v>
      </c>
      <c r="G35" s="10">
        <f>IFERROR(__xludf.DUMMYFUNCTION("""COMPUTED_VALUE"""),33467065.0076147)</f>
        <v>33467065.0076147</v>
      </c>
      <c r="H35" s="10">
        <f>IFERROR(__xludf.DUMMYFUNCTION("""COMPUTED_VALUE"""),0)</f>
        <v>0</v>
      </c>
      <c r="I35" s="13">
        <f>IFERROR(__xludf.DUMMYFUNCTION("""COMPUTED_VALUE"""),1)</f>
        <v>1</v>
      </c>
      <c r="J35" s="13">
        <f>IFERROR(__xludf.DUMMYFUNCTION("""COMPUTED_VALUE"""),0)</f>
        <v>0</v>
      </c>
      <c r="K35" s="13">
        <f>IFERROR(__xludf.DUMMYFUNCTION("""COMPUTED_VALUE"""),0)</f>
        <v>0</v>
      </c>
      <c r="L35" s="13">
        <f>IFERROR(__xludf.DUMMYFUNCTION("""COMPUTED_VALUE"""),0)</f>
        <v>0</v>
      </c>
      <c r="M35" s="7" t="b">
        <f>IFERROR(__xludf.DUMMYFUNCTION("""COMPUTED_VALUE"""),TRUE)</f>
        <v>1</v>
      </c>
      <c r="N35" s="10">
        <f>IFERROR(__xludf.DUMMYFUNCTION("""COMPUTED_VALUE"""),0)</f>
        <v>0</v>
      </c>
      <c r="O35" s="10">
        <f>IFERROR(__xludf.DUMMYFUNCTION("""COMPUTED_VALUE"""),0)</f>
        <v>0</v>
      </c>
      <c r="P35" s="10"/>
      <c r="Q35" s="6"/>
      <c r="R35" s="16">
        <f>IFERROR(__xludf.DUMMYFUNCTION("""COMPUTED_VALUE"""),0)</f>
        <v>0</v>
      </c>
      <c r="S35" s="17">
        <f>IFERROR(__xludf.DUMMYFUNCTION("""COMPUTED_VALUE"""),0)</f>
        <v>0</v>
      </c>
      <c r="T35" s="10"/>
      <c r="U35" s="10"/>
      <c r="V35" s="22"/>
      <c r="W35" s="12"/>
      <c r="X35" s="12"/>
      <c r="Y35" s="12"/>
      <c r="Z35" s="12"/>
      <c r="AA35" s="6" t="str">
        <f>IFERROR(__xludf.DUMMYFUNCTION("""COMPUTED_VALUE"""),"MIC-L3")</f>
        <v>MIC-L3</v>
      </c>
      <c r="AB35" s="12"/>
      <c r="AC35" s="12"/>
      <c r="AD35" s="12"/>
      <c r="AE35" s="12"/>
      <c r="AF35" s="12"/>
      <c r="AG35" s="12"/>
      <c r="AH35" s="6"/>
      <c r="AI35" s="7"/>
      <c r="AJ35" s="9"/>
      <c r="AK35" s="7"/>
      <c r="AL35" s="7"/>
      <c r="AM35" s="7"/>
      <c r="AN35" s="7"/>
      <c r="AO35" s="6"/>
      <c r="AP35" s="6"/>
      <c r="AQ35" s="6"/>
      <c r="AR35" s="6"/>
      <c r="AS35" s="6"/>
      <c r="AT35" s="6"/>
      <c r="AU35" s="6"/>
      <c r="AV35" s="6"/>
      <c r="AW35" s="6"/>
      <c r="AX35" s="6"/>
      <c r="AY35" s="6"/>
      <c r="AZ35" s="6"/>
      <c r="BA35" s="6"/>
      <c r="BB35" s="6"/>
      <c r="BC35" s="6"/>
      <c r="BD35" s="6"/>
      <c r="BE35" s="6"/>
      <c r="BF35" s="6"/>
      <c r="BG35" s="6"/>
    </row>
    <row r="36" customHeight="1" spans="1:59">
      <c r="A36" s="9" t="str">
        <f>IFERROR(__xludf.DUMMYFUNCTION("""COMPUTED_VALUE"""),"MIC-L2 R00")</f>
        <v>MIC-L2 R00</v>
      </c>
      <c r="B36" s="5"/>
      <c r="C36" s="5"/>
      <c r="D36" s="5" t="str">
        <f>IFERROR(__xludf.DUMMYFUNCTION("""COMPUTED_VALUE"""),"MIC-L2")</f>
        <v>MIC-L2</v>
      </c>
      <c r="E36" s="6" t="str">
        <f>IFERROR(__xludf.DUMMYFUNCTION("""COMPUTED_VALUE"""),"MIC-L2")</f>
        <v>MIC-L2</v>
      </c>
      <c r="F36" s="10">
        <f>IFERROR(__xludf.DUMMYFUNCTION("""COMPUTED_VALUE"""),24708827.1534754)</f>
        <v>24708827.1534754</v>
      </c>
      <c r="G36" s="10">
        <f>IFERROR(__xludf.DUMMYFUNCTION("""COMPUTED_VALUE"""),40905202.4592227)</f>
        <v>40905202.4592227</v>
      </c>
      <c r="H36" s="10">
        <f>IFERROR(__xludf.DUMMYFUNCTION("""COMPUTED_VALUE"""),-0.000050088)</f>
        <v>-5.0088e-5</v>
      </c>
      <c r="I36" s="13">
        <f>IFERROR(__xludf.DUMMYFUNCTION("""COMPUTED_VALUE"""),1)</f>
        <v>1</v>
      </c>
      <c r="J36" s="13">
        <f>IFERROR(__xludf.DUMMYFUNCTION("""COMPUTED_VALUE"""),0)</f>
        <v>0</v>
      </c>
      <c r="K36" s="13">
        <f>IFERROR(__xludf.DUMMYFUNCTION("""COMPUTED_VALUE"""),0)</f>
        <v>0</v>
      </c>
      <c r="L36" s="13">
        <f>IFERROR(__xludf.DUMMYFUNCTION("""COMPUTED_VALUE"""),0)</f>
        <v>0</v>
      </c>
      <c r="M36" s="7" t="b">
        <f>IFERROR(__xludf.DUMMYFUNCTION("""COMPUTED_VALUE"""),TRUE)</f>
        <v>1</v>
      </c>
      <c r="N36" s="10">
        <f>IFERROR(__xludf.DUMMYFUNCTION("""COMPUTED_VALUE"""),0)</f>
        <v>0</v>
      </c>
      <c r="O36" s="10">
        <f>IFERROR(__xludf.DUMMYFUNCTION("""COMPUTED_VALUE"""),0)</f>
        <v>0</v>
      </c>
      <c r="P36" s="10"/>
      <c r="Q36" s="6"/>
      <c r="R36" s="16">
        <f>IFERROR(__xludf.DUMMYFUNCTION("""COMPUTED_VALUE"""),0)</f>
        <v>0</v>
      </c>
      <c r="S36" s="17">
        <f>IFERROR(__xludf.DUMMYFUNCTION("""COMPUTED_VALUE"""),0)</f>
        <v>0</v>
      </c>
      <c r="T36" s="10"/>
      <c r="U36" s="10"/>
      <c r="V36" s="22"/>
      <c r="W36" s="12"/>
      <c r="X36" s="12"/>
      <c r="Y36" s="12"/>
      <c r="Z36" s="12"/>
      <c r="AA36" s="6" t="str">
        <f>IFERROR(__xludf.DUMMYFUNCTION("""COMPUTED_VALUE"""),"MIC-L4")</f>
        <v>MIC-L4</v>
      </c>
      <c r="AB36" s="12"/>
      <c r="AC36" s="12"/>
      <c r="AD36" s="12"/>
      <c r="AE36" s="12"/>
      <c r="AF36" s="12"/>
      <c r="AG36" s="12"/>
      <c r="AH36" s="6"/>
      <c r="AI36" s="7"/>
      <c r="AJ36" s="9"/>
      <c r="AK36" s="7"/>
      <c r="AL36" s="7"/>
      <c r="AM36" s="7"/>
      <c r="AN36" s="7"/>
      <c r="AO36" s="6"/>
      <c r="AP36" s="6"/>
      <c r="AQ36" s="6"/>
      <c r="AR36" s="6"/>
      <c r="AS36" s="6"/>
      <c r="AT36" s="6"/>
      <c r="AU36" s="6"/>
      <c r="AV36" s="6"/>
      <c r="AW36" s="6"/>
      <c r="AX36" s="6"/>
      <c r="AY36" s="6"/>
      <c r="AZ36" s="6"/>
      <c r="BA36" s="6"/>
      <c r="BB36" s="6"/>
      <c r="BC36" s="6"/>
      <c r="BD36" s="6"/>
      <c r="BE36" s="6"/>
      <c r="BF36" s="6"/>
      <c r="BG36" s="6"/>
    </row>
    <row r="37" customHeight="1" spans="1:59">
      <c r="A37" s="9" t="str">
        <f>IFERROR(__xludf.DUMMYFUNCTION("""COMPUTED_VALUE"""),"MIC-L3 R00")</f>
        <v>MIC-L3 R00</v>
      </c>
      <c r="B37" s="5"/>
      <c r="C37" s="5"/>
      <c r="D37" s="5" t="str">
        <f>IFERROR(__xludf.DUMMYFUNCTION("""COMPUTED_VALUE"""),"MIC-L3")</f>
        <v>MIC-L3</v>
      </c>
      <c r="E37" s="6" t="str">
        <f>IFERROR(__xludf.DUMMYFUNCTION("""COMPUTED_VALUE"""),"MIC-L3")</f>
        <v>MIC-L3</v>
      </c>
      <c r="F37" s="10">
        <f>IFERROR(__xludf.DUMMYFUNCTION("""COMPUTED_VALUE"""),-22457170.2657861)</f>
        <v>-22457170.2657861</v>
      </c>
      <c r="G37" s="10">
        <f>IFERROR(__xludf.DUMMYFUNCTION("""COMPUTED_VALUE"""),-37187612.39564)</f>
        <v>-37187612.39564</v>
      </c>
      <c r="H37" s="10">
        <f>IFERROR(__xludf.DUMMYFUNCTION("""COMPUTED_VALUE"""),0)</f>
        <v>0</v>
      </c>
      <c r="I37" s="13">
        <f>IFERROR(__xludf.DUMMYFUNCTION("""COMPUTED_VALUE"""),1)</f>
        <v>1</v>
      </c>
      <c r="J37" s="13">
        <f>IFERROR(__xludf.DUMMYFUNCTION("""COMPUTED_VALUE"""),0)</f>
        <v>0</v>
      </c>
      <c r="K37" s="13">
        <f>IFERROR(__xludf.DUMMYFUNCTION("""COMPUTED_VALUE"""),0)</f>
        <v>0</v>
      </c>
      <c r="L37" s="13">
        <f>IFERROR(__xludf.DUMMYFUNCTION("""COMPUTED_VALUE"""),0)</f>
        <v>0</v>
      </c>
      <c r="M37" s="7" t="b">
        <f>IFERROR(__xludf.DUMMYFUNCTION("""COMPUTED_VALUE"""),TRUE)</f>
        <v>1</v>
      </c>
      <c r="N37" s="10">
        <f>IFERROR(__xludf.DUMMYFUNCTION("""COMPUTED_VALUE"""),0)</f>
        <v>0</v>
      </c>
      <c r="O37" s="10">
        <f>IFERROR(__xludf.DUMMYFUNCTION("""COMPUTED_VALUE"""),0)</f>
        <v>0</v>
      </c>
      <c r="P37" s="10"/>
      <c r="Q37" s="6"/>
      <c r="R37" s="16">
        <f>IFERROR(__xludf.DUMMYFUNCTION("""COMPUTED_VALUE"""),0)</f>
        <v>0</v>
      </c>
      <c r="S37" s="17">
        <f>IFERROR(__xludf.DUMMYFUNCTION("""COMPUTED_VALUE"""),0)</f>
        <v>0</v>
      </c>
      <c r="T37" s="10"/>
      <c r="U37" s="10"/>
      <c r="V37" s="22"/>
      <c r="W37" s="12"/>
      <c r="X37" s="12"/>
      <c r="Y37" s="12"/>
      <c r="Z37" s="12"/>
      <c r="AA37" s="6" t="str">
        <f>IFERROR(__xludf.DUMMYFUNCTION("""COMPUTED_VALUE"""),"MIC-L5")</f>
        <v>MIC-L5</v>
      </c>
      <c r="AB37" s="12"/>
      <c r="AC37" s="12"/>
      <c r="AD37" s="12"/>
      <c r="AE37" s="12"/>
      <c r="AF37" s="12"/>
      <c r="AG37" s="12"/>
      <c r="AH37" s="6"/>
      <c r="AI37" s="7"/>
      <c r="AJ37" s="9"/>
      <c r="AK37" s="7"/>
      <c r="AL37" s="7"/>
      <c r="AM37" s="7"/>
      <c r="AN37" s="7"/>
      <c r="AO37" s="6"/>
      <c r="AP37" s="6"/>
      <c r="AQ37" s="6"/>
      <c r="AR37" s="6"/>
      <c r="AS37" s="6"/>
      <c r="AT37" s="6"/>
      <c r="AU37" s="6"/>
      <c r="AV37" s="6"/>
      <c r="AW37" s="6"/>
      <c r="AX37" s="6"/>
      <c r="AY37" s="6"/>
      <c r="AZ37" s="6"/>
      <c r="BA37" s="6"/>
      <c r="BB37" s="6"/>
      <c r="BC37" s="6"/>
      <c r="BD37" s="6"/>
      <c r="BE37" s="6"/>
      <c r="BF37" s="6"/>
      <c r="BG37" s="6"/>
    </row>
    <row r="38" customHeight="1" spans="1:59">
      <c r="A38" s="9" t="str">
        <f>IFERROR(__xludf.DUMMYFUNCTION("""COMPUTED_VALUE"""),"MIC-L4 R00")</f>
        <v>MIC-L4 R00</v>
      </c>
      <c r="B38" s="5"/>
      <c r="C38" s="5"/>
      <c r="D38" s="5" t="str">
        <f>IFERROR(__xludf.DUMMYFUNCTION("""COMPUTED_VALUE"""),"MIC-L4")</f>
        <v>MIC-L4</v>
      </c>
      <c r="E38" s="6" t="str">
        <f>IFERROR(__xludf.DUMMYFUNCTION("""COMPUTED_VALUE"""),"MIC-L4")</f>
        <v>MIC-L4</v>
      </c>
      <c r="F38" s="10">
        <f>IFERROR(__xludf.DUMMYFUNCTION("""COMPUTED_VALUE"""),-20971933.2301658)</f>
        <v>-20971933.2301658</v>
      </c>
      <c r="G38" s="10">
        <f>IFERROR(__xludf.DUMMYFUNCTION("""COMPUTED_VALUE"""),38045504.0320193)</f>
        <v>38045504.0320193</v>
      </c>
      <c r="H38" s="10">
        <f>IFERROR(__xludf.DUMMYFUNCTION("""COMPUTED_VALUE"""),0)</f>
        <v>0</v>
      </c>
      <c r="I38" s="13">
        <f>IFERROR(__xludf.DUMMYFUNCTION("""COMPUTED_VALUE"""),1)</f>
        <v>1</v>
      </c>
      <c r="J38" s="13">
        <f>IFERROR(__xludf.DUMMYFUNCTION("""COMPUTED_VALUE"""),0)</f>
        <v>0</v>
      </c>
      <c r="K38" s="13">
        <f>IFERROR(__xludf.DUMMYFUNCTION("""COMPUTED_VALUE"""),0)</f>
        <v>0</v>
      </c>
      <c r="L38" s="13">
        <f>IFERROR(__xludf.DUMMYFUNCTION("""COMPUTED_VALUE"""),0)</f>
        <v>0</v>
      </c>
      <c r="M38" s="7" t="b">
        <f>IFERROR(__xludf.DUMMYFUNCTION("""COMPUTED_VALUE"""),TRUE)</f>
        <v>1</v>
      </c>
      <c r="N38" s="10">
        <f>IFERROR(__xludf.DUMMYFUNCTION("""COMPUTED_VALUE"""),0)</f>
        <v>0</v>
      </c>
      <c r="O38" s="10">
        <f>IFERROR(__xludf.DUMMYFUNCTION("""COMPUTED_VALUE"""),0)</f>
        <v>0</v>
      </c>
      <c r="P38" s="10"/>
      <c r="Q38" s="6"/>
      <c r="R38" s="16">
        <f>IFERROR(__xludf.DUMMYFUNCTION("""COMPUTED_VALUE"""),0)</f>
        <v>0</v>
      </c>
      <c r="S38" s="17">
        <f>IFERROR(__xludf.DUMMYFUNCTION("""COMPUTED_VALUE"""),0)</f>
        <v>0</v>
      </c>
      <c r="T38" s="10"/>
      <c r="U38" s="10"/>
      <c r="V38" s="22"/>
      <c r="W38" s="12"/>
      <c r="X38" s="12"/>
      <c r="Y38" s="12"/>
      <c r="Z38" s="12"/>
      <c r="AA38" s="6" t="str">
        <f>IFERROR(__xludf.DUMMYFUNCTION("""COMPUTED_VALUE"""),"Magnus Jump Point")</f>
        <v>Magnus Jump Point</v>
      </c>
      <c r="AB38" s="12"/>
      <c r="AC38" s="12"/>
      <c r="AD38" s="12"/>
      <c r="AE38" s="12"/>
      <c r="AF38" s="12"/>
      <c r="AG38" s="12"/>
      <c r="AH38" s="6"/>
      <c r="AI38" s="7"/>
      <c r="AJ38" s="9"/>
      <c r="AK38" s="7"/>
      <c r="AL38" s="7"/>
      <c r="AM38" s="7"/>
      <c r="AN38" s="7"/>
      <c r="AO38" s="6"/>
      <c r="AP38" s="6"/>
      <c r="AQ38" s="6"/>
      <c r="AR38" s="6"/>
      <c r="AS38" s="6"/>
      <c r="AT38" s="6"/>
      <c r="AU38" s="6"/>
      <c r="AV38" s="6"/>
      <c r="AW38" s="6"/>
      <c r="AX38" s="6"/>
      <c r="AY38" s="6"/>
      <c r="AZ38" s="6"/>
      <c r="BA38" s="6"/>
      <c r="BB38" s="6"/>
      <c r="BC38" s="6"/>
      <c r="BD38" s="6"/>
      <c r="BE38" s="6"/>
      <c r="BF38" s="6"/>
      <c r="BG38" s="6"/>
    </row>
    <row r="39" customHeight="1" spans="1:59">
      <c r="A39" s="9" t="str">
        <f>IFERROR(__xludf.DUMMYFUNCTION("""COMPUTED_VALUE"""),"MIC-L5 R00")</f>
        <v>MIC-L5 R00</v>
      </c>
      <c r="B39" s="5"/>
      <c r="C39" s="5"/>
      <c r="D39" s="5" t="str">
        <f>IFERROR(__xludf.DUMMYFUNCTION("""COMPUTED_VALUE"""),"MIC-L5")</f>
        <v>MIC-L5</v>
      </c>
      <c r="E39" s="6" t="str">
        <f>IFERROR(__xludf.DUMMYFUNCTION("""COMPUTED_VALUE"""),"MIC-L5")</f>
        <v>MIC-L5</v>
      </c>
      <c r="F39" s="10">
        <f>IFERROR(__xludf.DUMMYFUNCTION("""COMPUTED_VALUE"""),43435204.2882185)</f>
        <v>43435204.2882185</v>
      </c>
      <c r="G39" s="10">
        <f>IFERROR(__xludf.DUMMYFUNCTION("""COMPUTED_VALUE"""),-851406.955908429)</f>
        <v>-851406.955908429</v>
      </c>
      <c r="H39" s="10">
        <f>IFERROR(__xludf.DUMMYFUNCTION("""COMPUTED_VALUE"""),0)</f>
        <v>0</v>
      </c>
      <c r="I39" s="13">
        <f>IFERROR(__xludf.DUMMYFUNCTION("""COMPUTED_VALUE"""),1)</f>
        <v>1</v>
      </c>
      <c r="J39" s="13">
        <f>IFERROR(__xludf.DUMMYFUNCTION("""COMPUTED_VALUE"""),0)</f>
        <v>0</v>
      </c>
      <c r="K39" s="13">
        <f>IFERROR(__xludf.DUMMYFUNCTION("""COMPUTED_VALUE"""),0)</f>
        <v>0</v>
      </c>
      <c r="L39" s="13">
        <f>IFERROR(__xludf.DUMMYFUNCTION("""COMPUTED_VALUE"""),0)</f>
        <v>0</v>
      </c>
      <c r="M39" s="7" t="b">
        <f>IFERROR(__xludf.DUMMYFUNCTION("""COMPUTED_VALUE"""),TRUE)</f>
        <v>1</v>
      </c>
      <c r="N39" s="10">
        <f>IFERROR(__xludf.DUMMYFUNCTION("""COMPUTED_VALUE"""),0)</f>
        <v>0</v>
      </c>
      <c r="O39" s="10">
        <f>IFERROR(__xludf.DUMMYFUNCTION("""COMPUTED_VALUE"""),0)</f>
        <v>0</v>
      </c>
      <c r="P39" s="10"/>
      <c r="Q39" s="6"/>
      <c r="R39" s="16">
        <f>IFERROR(__xludf.DUMMYFUNCTION("""COMPUTED_VALUE"""),0)</f>
        <v>0</v>
      </c>
      <c r="S39" s="17">
        <f>IFERROR(__xludf.DUMMYFUNCTION("""COMPUTED_VALUE"""),0)</f>
        <v>0</v>
      </c>
      <c r="T39" s="10"/>
      <c r="U39" s="10"/>
      <c r="V39" s="22"/>
      <c r="W39" s="12"/>
      <c r="X39" s="12"/>
      <c r="Y39" s="12"/>
      <c r="Z39" s="12"/>
      <c r="AA39" s="6" t="str">
        <f>IFERROR(__xludf.DUMMYFUNCTION("""COMPUTED_VALUE"""),"Pyro Jump Point")</f>
        <v>Pyro Jump Point</v>
      </c>
      <c r="AB39" s="12"/>
      <c r="AC39" s="12"/>
      <c r="AD39" s="12"/>
      <c r="AE39" s="12"/>
      <c r="AF39" s="12"/>
      <c r="AG39" s="12"/>
      <c r="AH39" s="6"/>
      <c r="AI39" s="7"/>
      <c r="AJ39" s="9"/>
      <c r="AK39" s="7"/>
      <c r="AL39" s="7"/>
      <c r="AM39" s="7"/>
      <c r="AN39" s="7"/>
      <c r="AO39" s="6"/>
      <c r="AP39" s="6"/>
      <c r="AQ39" s="6"/>
      <c r="AR39" s="6"/>
      <c r="AS39" s="6"/>
      <c r="AT39" s="6"/>
      <c r="AU39" s="6"/>
      <c r="AV39" s="6"/>
      <c r="AW39" s="6"/>
      <c r="AX39" s="6"/>
      <c r="AY39" s="6"/>
      <c r="AZ39" s="6"/>
      <c r="BA39" s="6"/>
      <c r="BB39" s="6"/>
      <c r="BC39" s="6"/>
      <c r="BD39" s="6"/>
      <c r="BE39" s="6"/>
      <c r="BF39" s="6"/>
      <c r="BG39" s="6"/>
    </row>
    <row r="40" customHeight="1" spans="1:59">
      <c r="A40" s="9" t="str">
        <f>IFERROR(__xludf.DUMMYFUNCTION("""COMPUTED_VALUE"""),"MagnusJP R00")</f>
        <v>MagnusJP R00</v>
      </c>
      <c r="B40" s="5"/>
      <c r="C40" s="5"/>
      <c r="D40" s="5" t="str">
        <f>IFERROR(__xludf.DUMMYFUNCTION("""COMPUTED_VALUE"""),"Stanton-Magnus Jump Point")</f>
        <v>Stanton-Magnus Jump Point</v>
      </c>
      <c r="E40" s="6" t="str">
        <f>IFERROR(__xludf.DUMMYFUNCTION("""COMPUTED_VALUE"""),"Magnus JP")</f>
        <v>Magnus JP</v>
      </c>
      <c r="F40" s="10">
        <f>IFERROR(__xludf.DUMMYFUNCTION("""COMPUTED_VALUE"""),-62284273.8607205)</f>
        <v>-62284273.8607205</v>
      </c>
      <c r="G40" s="10">
        <f>IFERROR(__xludf.DUMMYFUNCTION("""COMPUTED_VALUE"""),23467618.0513957)</f>
        <v>23467618.0513957</v>
      </c>
      <c r="H40" s="10">
        <f>IFERROR(__xludf.DUMMYFUNCTION("""COMPUTED_VALUE"""),20198396.608)</f>
        <v>20198396.608</v>
      </c>
      <c r="I40" s="13">
        <f>IFERROR(__xludf.DUMMYFUNCTION("""COMPUTED_VALUE"""),0.30793616)</f>
        <v>0.30793616</v>
      </c>
      <c r="J40" s="13">
        <f>IFERROR(__xludf.DUMMYFUNCTION("""COMPUTED_VALUE"""),-0.14839508)</f>
        <v>-0.14839508</v>
      </c>
      <c r="K40" s="13">
        <f>IFERROR(__xludf.DUMMYFUNCTION("""COMPUTED_VALUE"""),-0.027259013)</f>
        <v>-0.027259013</v>
      </c>
      <c r="L40" s="13">
        <f>IFERROR(__xludf.DUMMYFUNCTION("""COMPUTED_VALUE"""),0.93936741)</f>
        <v>0.93936741</v>
      </c>
      <c r="M40" s="7" t="b">
        <f>IFERROR(__xludf.DUMMYFUNCTION("""COMPUTED_VALUE"""),TRUE)</f>
        <v>1</v>
      </c>
      <c r="N40" s="10"/>
      <c r="O40" s="10"/>
      <c r="P40" s="10"/>
      <c r="Q40" s="6"/>
      <c r="R40" s="16"/>
      <c r="S40" s="17"/>
      <c r="T40" s="10"/>
      <c r="U40" s="10"/>
      <c r="V40" s="22"/>
      <c r="W40" s="12"/>
      <c r="X40" s="12"/>
      <c r="Y40" s="12"/>
      <c r="Z40" s="12"/>
      <c r="AA40" s="6" t="str">
        <f>IFERROR(__xludf.DUMMYFUNCTION("""COMPUTED_VALUE"""),"Terra Jump Point")</f>
        <v>Terra Jump Point</v>
      </c>
      <c r="AB40" s="12"/>
      <c r="AC40" s="12"/>
      <c r="AD40" s="12"/>
      <c r="AE40" s="12"/>
      <c r="AF40" s="12"/>
      <c r="AG40" s="12"/>
      <c r="AH40" s="6"/>
      <c r="AI40" s="7"/>
      <c r="AJ40" s="9"/>
      <c r="AK40" s="7"/>
      <c r="AL40" s="7"/>
      <c r="AM40" s="7"/>
      <c r="AN40" s="7"/>
      <c r="AO40" s="6"/>
      <c r="AP40" s="6"/>
      <c r="AQ40" s="6"/>
      <c r="AR40" s="6"/>
      <c r="AS40" s="6"/>
      <c r="AT40" s="6"/>
      <c r="AU40" s="6"/>
      <c r="AV40" s="6"/>
      <c r="AW40" s="6"/>
      <c r="AX40" s="6"/>
      <c r="AY40" s="6"/>
      <c r="AZ40" s="6"/>
      <c r="BA40" s="6"/>
      <c r="BB40" s="6"/>
      <c r="BC40" s="6"/>
      <c r="BD40" s="6"/>
      <c r="BE40" s="6"/>
      <c r="BF40" s="6"/>
      <c r="BG40" s="6"/>
    </row>
    <row r="41" customHeight="1" spans="1:59">
      <c r="A41" s="9" t="str">
        <f>IFERROR(__xludf.DUMMYFUNCTION("""COMPUTED_VALUE"""),"PyroJP R00")</f>
        <v>PyroJP R00</v>
      </c>
      <c r="B41" s="5"/>
      <c r="C41" s="5"/>
      <c r="D41" s="5" t="str">
        <f>IFERROR(__xludf.DUMMYFUNCTION("""COMPUTED_VALUE"""),"Stanton-Pyro Jump Point")</f>
        <v>Stanton-Pyro Jump Point</v>
      </c>
      <c r="E41" s="6" t="str">
        <f>IFERROR(__xludf.DUMMYFUNCTION("""COMPUTED_VALUE"""),"Pyro JP")</f>
        <v>Pyro JP</v>
      </c>
      <c r="F41" s="10">
        <f>IFERROR(__xludf.DUMMYFUNCTION("""COMPUTED_VALUE"""),3310491.63980217)</f>
        <v>3310491.63980217</v>
      </c>
      <c r="G41" s="10">
        <f>IFERROR(__xludf.DUMMYFUNCTION("""COMPUTED_VALUE"""),-27979408.2214568)</f>
        <v>-27979408.2214568</v>
      </c>
      <c r="H41" s="10">
        <f>IFERROR(__xludf.DUMMYFUNCTION("""COMPUTED_VALUE"""),-2676285.679)</f>
        <v>-2676285.679</v>
      </c>
      <c r="I41" s="13">
        <f>IFERROR(__xludf.DUMMYFUNCTION("""COMPUTED_VALUE"""),-0.10573804)</f>
        <v>-0.10573804</v>
      </c>
      <c r="J41" s="13">
        <f>IFERROR(__xludf.DUMMYFUNCTION("""COMPUTED_VALUE"""),0.13918006)</f>
        <v>0.13918006</v>
      </c>
      <c r="K41" s="13">
        <f>IFERROR(__xludf.DUMMYFUNCTION("""COMPUTED_VALUE"""),-0.22767709)</f>
        <v>-0.22767709</v>
      </c>
      <c r="L41" s="13">
        <f>IFERROR(__xludf.DUMMYFUNCTION("""COMPUTED_VALUE"""),0.95792043)</f>
        <v>0.95792043</v>
      </c>
      <c r="M41" s="7" t="b">
        <f>IFERROR(__xludf.DUMMYFUNCTION("""COMPUTED_VALUE"""),TRUE)</f>
        <v>1</v>
      </c>
      <c r="N41" s="10"/>
      <c r="O41" s="10"/>
      <c r="P41" s="10"/>
      <c r="Q41" s="6"/>
      <c r="R41" s="16"/>
      <c r="S41" s="17"/>
      <c r="T41" s="10"/>
      <c r="U41" s="10"/>
      <c r="V41" s="22"/>
      <c r="W41" s="12"/>
      <c r="X41" s="12"/>
      <c r="Y41" s="12"/>
      <c r="Z41" s="12"/>
      <c r="AA41" s="6"/>
      <c r="AB41" s="12"/>
      <c r="AC41" s="6"/>
      <c r="AD41" s="6"/>
      <c r="AE41" s="7"/>
      <c r="AF41" s="7"/>
      <c r="AG41" s="7"/>
      <c r="AH41" s="7"/>
      <c r="AI41" s="7"/>
      <c r="AJ41" s="7"/>
      <c r="AK41" s="7"/>
      <c r="AL41" s="7"/>
      <c r="AM41" s="7"/>
      <c r="AN41" s="7"/>
      <c r="AO41" s="6"/>
      <c r="AP41" s="7"/>
      <c r="AQ41" s="7"/>
      <c r="AR41" s="6"/>
      <c r="AS41" s="6"/>
      <c r="AT41" s="6"/>
      <c r="AU41" s="6"/>
      <c r="AV41" s="6"/>
      <c r="AW41" s="6"/>
      <c r="AX41" s="6"/>
      <c r="AY41" s="6"/>
      <c r="AZ41" s="6"/>
      <c r="BA41" s="6"/>
      <c r="BB41" s="6"/>
      <c r="BC41" s="6"/>
      <c r="BD41" s="6"/>
      <c r="BE41" s="6"/>
      <c r="BF41" s="6"/>
      <c r="BG41" s="6"/>
    </row>
    <row r="42" customHeight="1" spans="1:59">
      <c r="A42" s="9" t="str">
        <f>IFERROR(__xludf.DUMMYFUNCTION("""COMPUTED_VALUE"""),"TerraJP R00")</f>
        <v>TerraJP R00</v>
      </c>
      <c r="B42" s="5"/>
      <c r="C42" s="5"/>
      <c r="D42" s="5" t="str">
        <f>IFERROR(__xludf.DUMMYFUNCTION("""COMPUTED_VALUE"""),"Stanton-Terra Jump Point")</f>
        <v>Stanton-Terra Jump Point</v>
      </c>
      <c r="E42" s="6" t="str">
        <f>IFERROR(__xludf.DUMMYFUNCTION("""COMPUTED_VALUE"""),"Terra JP")</f>
        <v>Terra JP</v>
      </c>
      <c r="F42" s="10">
        <f>IFERROR(__xludf.DUMMYFUNCTION("""COMPUTED_VALUE"""),51118221.6169033)</f>
        <v>51118221.6169033</v>
      </c>
      <c r="G42" s="10">
        <f>IFERROR(__xludf.DUMMYFUNCTION("""COMPUTED_VALUE"""),-5269981.30311381)</f>
        <v>-5269981.30311381</v>
      </c>
      <c r="H42" s="10">
        <f>IFERROR(__xludf.DUMMYFUNCTION("""COMPUTED_VALUE"""),-4339551.619)</f>
        <v>-4339551.619</v>
      </c>
      <c r="I42" s="13">
        <f>IFERROR(__xludf.DUMMYFUNCTION("""COMPUTED_VALUE"""),0.84275234)</f>
        <v>0.84275234</v>
      </c>
      <c r="J42" s="13">
        <f>IFERROR(__xludf.DUMMYFUNCTION("""COMPUTED_VALUE"""),-0.15849306)</f>
        <v>-0.15849306</v>
      </c>
      <c r="K42" s="13">
        <f>IFERROR(__xludf.DUMMYFUNCTION("""COMPUTED_VALUE"""),-0.091506034)</f>
        <v>-0.091506034</v>
      </c>
      <c r="L42" s="13">
        <f>IFERROR(__xludf.DUMMYFUNCTION("""COMPUTED_VALUE"""),-0.5062362)</f>
        <v>-0.5062362</v>
      </c>
      <c r="M42" s="7" t="b">
        <f>IFERROR(__xludf.DUMMYFUNCTION("""COMPUTED_VALUE"""),TRUE)</f>
        <v>1</v>
      </c>
      <c r="N42" s="10"/>
      <c r="O42" s="10"/>
      <c r="P42" s="10"/>
      <c r="Q42" s="6"/>
      <c r="R42" s="16"/>
      <c r="S42" s="17"/>
      <c r="T42" s="10"/>
      <c r="U42" s="10"/>
      <c r="V42" s="22"/>
      <c r="W42" s="12"/>
      <c r="X42" s="12"/>
      <c r="Y42" s="12"/>
      <c r="Z42" s="12"/>
      <c r="AA42" s="6"/>
      <c r="AB42" s="12"/>
      <c r="AC42" s="6"/>
      <c r="AD42" s="6"/>
      <c r="AE42" s="7"/>
      <c r="AF42" s="7"/>
      <c r="AG42" s="7"/>
      <c r="AH42" s="7"/>
      <c r="AI42" s="7"/>
      <c r="AJ42" s="7"/>
      <c r="AK42" s="7"/>
      <c r="AL42" s="7"/>
      <c r="AM42" s="7"/>
      <c r="AN42" s="7"/>
      <c r="AO42" s="6"/>
      <c r="AP42" s="7"/>
      <c r="AQ42" s="7"/>
      <c r="AR42" s="6"/>
      <c r="AS42" s="6"/>
      <c r="AT42" s="6"/>
      <c r="AU42" s="6"/>
      <c r="AV42" s="6"/>
      <c r="AW42" s="6"/>
      <c r="AX42" s="6"/>
      <c r="AY42" s="6"/>
      <c r="AZ42" s="6"/>
      <c r="BA42" s="6"/>
      <c r="BB42" s="6"/>
      <c r="BC42" s="6"/>
      <c r="BD42" s="6"/>
      <c r="BE42" s="6"/>
      <c r="BF42" s="6"/>
      <c r="BG42" s="6"/>
    </row>
    <row r="43" customHeight="1" spans="1:59">
      <c r="A43" s="9"/>
      <c r="B43" s="5"/>
      <c r="C43" s="5"/>
      <c r="D43" s="5"/>
      <c r="E43" s="6"/>
      <c r="F43" s="10"/>
      <c r="G43" s="10"/>
      <c r="H43" s="10"/>
      <c r="I43" s="13"/>
      <c r="J43" s="13"/>
      <c r="K43" s="13"/>
      <c r="L43" s="13"/>
      <c r="M43" s="7"/>
      <c r="N43" s="10" t="str">
        <f>IFERROR(__xludf.DUMMYFUNCTION("""COMPUTED_VALUE"""),"Rise Corr")</f>
        <v>Rise Corr</v>
      </c>
      <c r="O43" s="10" t="str">
        <f>IFERROR(__xludf.DUMMYFUNCTION("""COMPUTED_VALUE"""),"Set Corr")</f>
        <v>Set Corr</v>
      </c>
      <c r="P43" s="10"/>
      <c r="Q43" s="6"/>
      <c r="R43" s="16"/>
      <c r="S43" s="17"/>
      <c r="T43" s="10"/>
      <c r="U43" s="10"/>
      <c r="V43" s="22"/>
      <c r="W43" s="12"/>
      <c r="X43" s="12"/>
      <c r="Y43" s="12"/>
      <c r="Z43" s="12"/>
      <c r="AA43" s="6"/>
      <c r="AB43" s="12"/>
      <c r="AC43" s="6"/>
      <c r="AD43" s="6"/>
      <c r="AE43" s="7"/>
      <c r="AF43" s="7"/>
      <c r="AG43" s="7"/>
      <c r="AH43" s="7"/>
      <c r="AI43" s="7"/>
      <c r="AJ43" s="7"/>
      <c r="AK43" s="7"/>
      <c r="AL43" s="7"/>
      <c r="AM43" s="7"/>
      <c r="AN43" s="7"/>
      <c r="AO43" s="6"/>
      <c r="AP43" s="7"/>
      <c r="AQ43" s="7"/>
      <c r="AR43" s="6"/>
      <c r="AS43" s="6"/>
      <c r="AT43" s="6"/>
      <c r="AU43" s="6"/>
      <c r="AV43" s="6"/>
      <c r="AW43" s="6"/>
      <c r="AX43" s="6"/>
      <c r="AY43" s="6"/>
      <c r="AZ43" s="6"/>
      <c r="BA43" s="6"/>
      <c r="BB43" s="6"/>
      <c r="BC43" s="6"/>
      <c r="BD43" s="6"/>
      <c r="BE43" s="6"/>
      <c r="BF43" s="6"/>
      <c r="BG43" s="6"/>
    </row>
    <row r="44" customHeight="1" spans="1:59">
      <c r="A44" s="9" t="str">
        <f>IFERROR(__xludf.DUMMYFUNCTION("""COMPUTED_VALUE"""),"Aberdeen R01")</f>
        <v>Aberdeen R01</v>
      </c>
      <c r="B44" s="5" t="str">
        <f>IFERROR(__xludf.DUMMYFUNCTION("""COMPUTED_VALUE"""),"Aberdeen 29")</f>
        <v>Aberdeen 29</v>
      </c>
      <c r="C44" s="5"/>
      <c r="D44" s="5" t="str">
        <f>IFERROR(__xludf.DUMMYFUNCTION("""COMPUTED_VALUE"""),"OM-1")</f>
        <v>OM-1</v>
      </c>
      <c r="E44" s="6" t="str">
        <f>IFERROR(__xludf.DUMMYFUNCTION("""COMPUTED_VALUE"""),"OM1")</f>
        <v>OM1</v>
      </c>
      <c r="F44" s="10">
        <f>IFERROR(__xludf.DUMMYFUNCTION("""COMPUTED_VALUE"""),0)</f>
        <v>0</v>
      </c>
      <c r="G44" s="10">
        <f>IFERROR(__xludf.DUMMYFUNCTION("""COMPUTED_VALUE"""),0)</f>
        <v>0</v>
      </c>
      <c r="H44" s="10">
        <f>IFERROR(__xludf.DUMMYFUNCTION("""COMPUTED_VALUE"""),402.708)</f>
        <v>402.708</v>
      </c>
      <c r="I44" s="13"/>
      <c r="J44" s="13"/>
      <c r="K44" s="13"/>
      <c r="L44" s="13"/>
      <c r="M44" s="7" t="b">
        <f>IFERROR(__xludf.DUMMYFUNCTION("""COMPUTED_VALUE"""),TRUE)</f>
        <v>1</v>
      </c>
      <c r="N44" s="10">
        <f>IFERROR(__xludf.DUMMYFUNCTION("""COMPUTED_VALUE"""),0)</f>
        <v>0</v>
      </c>
      <c r="O44" s="10">
        <f>IFERROR(__xludf.DUMMYFUNCTION("""COMPUTED_VALUE"""),0)</f>
        <v>0</v>
      </c>
      <c r="P44" s="10"/>
      <c r="Q44" s="6"/>
      <c r="R44" s="16"/>
      <c r="S44" s="17"/>
      <c r="T44" s="10"/>
      <c r="U44" s="10"/>
      <c r="V44" s="22"/>
      <c r="W44" s="12"/>
      <c r="X44" s="12"/>
      <c r="Y44" s="12"/>
      <c r="Z44" s="12"/>
      <c r="AA44" s="6"/>
      <c r="AB44" s="12"/>
      <c r="AC44" s="6"/>
      <c r="AD44" s="6"/>
      <c r="AE44" s="7"/>
      <c r="AF44" s="7"/>
      <c r="AG44" s="7"/>
      <c r="AH44" s="7"/>
      <c r="AI44" s="7"/>
      <c r="AJ44" s="7"/>
      <c r="AK44" s="7"/>
      <c r="AL44" s="7"/>
      <c r="AM44" s="7"/>
      <c r="AN44" s="7"/>
      <c r="AO44" s="6"/>
      <c r="AP44" s="7"/>
      <c r="AQ44" s="7"/>
      <c r="AR44" s="6"/>
      <c r="AS44" s="6"/>
      <c r="AT44" s="6"/>
      <c r="AU44" s="6"/>
      <c r="AV44" s="6"/>
      <c r="AW44" s="6"/>
      <c r="AX44" s="6"/>
      <c r="AY44" s="6"/>
      <c r="AZ44" s="6"/>
      <c r="BA44" s="6"/>
      <c r="BB44" s="6"/>
      <c r="BC44" s="6"/>
      <c r="BD44" s="6"/>
      <c r="BE44" s="6"/>
      <c r="BF44" s="6"/>
      <c r="BG44" s="6"/>
    </row>
    <row r="45" customHeight="1" spans="1:59">
      <c r="A45" s="9" t="str">
        <f>IFERROR(__xludf.DUMMYFUNCTION("""COMPUTED_VALUE"""),"Aberdeen R02")</f>
        <v>Aberdeen R02</v>
      </c>
      <c r="B45" s="5" t="str">
        <f>IFERROR(__xludf.DUMMYFUNCTION("""COMPUTED_VALUE"""),"Aberdeen 30")</f>
        <v>Aberdeen 30</v>
      </c>
      <c r="C45" s="5"/>
      <c r="D45" s="5" t="str">
        <f>IFERROR(__xludf.DUMMYFUNCTION("""COMPUTED_VALUE"""),"OM-2")</f>
        <v>OM-2</v>
      </c>
      <c r="E45" s="7" t="str">
        <f>IFERROR(__xludf.DUMMYFUNCTION("""COMPUTED_VALUE"""),"OM2")</f>
        <v>OM2</v>
      </c>
      <c r="F45" s="10">
        <f>IFERROR(__xludf.DUMMYFUNCTION("""COMPUTED_VALUE"""),0)</f>
        <v>0</v>
      </c>
      <c r="G45" s="10">
        <f>IFERROR(__xludf.DUMMYFUNCTION("""COMPUTED_VALUE"""),0)</f>
        <v>0</v>
      </c>
      <c r="H45" s="10">
        <f>IFERROR(__xludf.DUMMYFUNCTION("""COMPUTED_VALUE"""),-402.708)</f>
        <v>-402.708</v>
      </c>
      <c r="I45" s="13"/>
      <c r="J45" s="13"/>
      <c r="K45" s="13"/>
      <c r="L45" s="13"/>
      <c r="M45" s="7" t="b">
        <f>IFERROR(__xludf.DUMMYFUNCTION("""COMPUTED_VALUE"""),TRUE)</f>
        <v>1</v>
      </c>
      <c r="N45" s="10">
        <f>IFERROR(__xludf.DUMMYFUNCTION("""COMPUTED_VALUE"""),0)</f>
        <v>0</v>
      </c>
      <c r="O45" s="10">
        <f>IFERROR(__xludf.DUMMYFUNCTION("""COMPUTED_VALUE"""),0)</f>
        <v>0</v>
      </c>
      <c r="P45" s="10"/>
      <c r="Q45" s="6"/>
      <c r="R45" s="16"/>
      <c r="S45" s="17"/>
      <c r="T45" s="10"/>
      <c r="U45" s="10"/>
      <c r="V45" s="22"/>
      <c r="W45" s="12"/>
      <c r="X45" s="12"/>
      <c r="Y45" s="12"/>
      <c r="Z45" s="12"/>
      <c r="AA45" s="6"/>
      <c r="AB45" s="12"/>
      <c r="AC45" s="6"/>
      <c r="AD45" s="6"/>
      <c r="AE45" s="7"/>
      <c r="AF45" s="7"/>
      <c r="AG45" s="7"/>
      <c r="AH45" s="7"/>
      <c r="AI45" s="7"/>
      <c r="AJ45" s="7"/>
      <c r="AK45" s="7"/>
      <c r="AL45" s="7"/>
      <c r="AM45" s="7"/>
      <c r="AN45" s="7"/>
      <c r="AO45" s="6"/>
      <c r="AP45" s="7"/>
      <c r="AQ45" s="7"/>
      <c r="AR45" s="6"/>
      <c r="AS45" s="6"/>
      <c r="AT45" s="6"/>
      <c r="AU45" s="6"/>
      <c r="AV45" s="6"/>
      <c r="AW45" s="6"/>
      <c r="AX45" s="6"/>
      <c r="AY45" s="6"/>
      <c r="AZ45" s="6"/>
      <c r="BA45" s="6"/>
      <c r="BB45" s="6"/>
      <c r="BC45" s="6"/>
      <c r="BD45" s="6"/>
      <c r="BE45" s="6"/>
      <c r="BF45" s="6"/>
      <c r="BG45" s="6"/>
    </row>
    <row r="46" customHeight="1" spans="1:59">
      <c r="A46" s="9" t="str">
        <f>IFERROR(__xludf.DUMMYFUNCTION("""COMPUTED_VALUE"""),"Aberdeen R03")</f>
        <v>Aberdeen R03</v>
      </c>
      <c r="B46" s="5" t="str">
        <f>IFERROR(__xludf.DUMMYFUNCTION("""COMPUTED_VALUE"""),"Aberdeen 31")</f>
        <v>Aberdeen 31</v>
      </c>
      <c r="C46" s="5" t="str">
        <f>IFERROR(__xludf.DUMMYFUNCTION("""COMPUTED_VALUE"""),"Aberdeen 07")</f>
        <v>Aberdeen 07</v>
      </c>
      <c r="D46" s="5" t="str">
        <f>IFERROR(__xludf.DUMMYFUNCTION("""COMPUTED_VALUE"""),"OM-3")</f>
        <v>OM-3</v>
      </c>
      <c r="E46" s="7" t="str">
        <f>IFERROR(__xludf.DUMMYFUNCTION("""COMPUTED_VALUE"""),"OM3")</f>
        <v>OM3</v>
      </c>
      <c r="F46" s="10">
        <f>IFERROR(__xludf.DUMMYFUNCTION("""COMPUTED_VALUE"""),0)</f>
        <v>0</v>
      </c>
      <c r="G46" s="10">
        <f>IFERROR(__xludf.DUMMYFUNCTION("""COMPUTED_VALUE"""),402.708)</f>
        <v>402.708</v>
      </c>
      <c r="H46" s="10">
        <f>IFERROR(__xludf.DUMMYFUNCTION("""COMPUTED_VALUE"""),0)</f>
        <v>0</v>
      </c>
      <c r="I46" s="13"/>
      <c r="J46" s="13"/>
      <c r="K46" s="13"/>
      <c r="L46" s="13"/>
      <c r="M46" s="7" t="b">
        <f>IFERROR(__xludf.DUMMYFUNCTION("""COMPUTED_VALUE"""),TRUE)</f>
        <v>1</v>
      </c>
      <c r="N46" s="10">
        <f>IFERROR(__xludf.DUMMYFUNCTION("""COMPUTED_VALUE"""),0)</f>
        <v>0</v>
      </c>
      <c r="O46" s="10">
        <f>IFERROR(__xludf.DUMMYFUNCTION("""COMPUTED_VALUE"""),0)</f>
        <v>0</v>
      </c>
      <c r="P46" s="10"/>
      <c r="Q46" s="6"/>
      <c r="R46" s="16"/>
      <c r="S46" s="17"/>
      <c r="T46" s="10"/>
      <c r="U46" s="10"/>
      <c r="V46" s="22"/>
      <c r="W46" s="12"/>
      <c r="X46" s="12"/>
      <c r="Y46" s="12"/>
      <c r="Z46" s="12"/>
      <c r="AA46" s="6"/>
      <c r="AB46" s="12"/>
      <c r="AC46" s="6"/>
      <c r="AD46" s="6"/>
      <c r="AE46" s="7"/>
      <c r="AF46" s="7"/>
      <c r="AG46" s="7"/>
      <c r="AH46" s="7"/>
      <c r="AI46" s="7"/>
      <c r="AJ46" s="7"/>
      <c r="AK46" s="7"/>
      <c r="AL46" s="7"/>
      <c r="AM46" s="7"/>
      <c r="AN46" s="7"/>
      <c r="AO46" s="6"/>
      <c r="AP46" s="7"/>
      <c r="AQ46" s="7"/>
      <c r="AR46" s="6"/>
      <c r="AS46" s="6"/>
      <c r="AT46" s="6"/>
      <c r="AU46" s="6"/>
      <c r="AV46" s="6"/>
      <c r="AW46" s="6"/>
      <c r="AX46" s="6"/>
      <c r="AY46" s="6"/>
      <c r="AZ46" s="6"/>
      <c r="BA46" s="6"/>
      <c r="BB46" s="6"/>
      <c r="BC46" s="6"/>
      <c r="BD46" s="6"/>
      <c r="BE46" s="6"/>
      <c r="BF46" s="6"/>
      <c r="BG46" s="6"/>
    </row>
    <row r="47" customHeight="1" spans="1:59">
      <c r="A47" s="9" t="str">
        <f>IFERROR(__xludf.DUMMYFUNCTION("""COMPUTED_VALUE"""),"Aberdeen R04")</f>
        <v>Aberdeen R04</v>
      </c>
      <c r="B47" s="5" t="str">
        <f>IFERROR(__xludf.DUMMYFUNCTION("""COMPUTED_VALUE"""),"Aberdeen 32")</f>
        <v>Aberdeen 32</v>
      </c>
      <c r="C47" s="5" t="str">
        <f>IFERROR(__xludf.DUMMYFUNCTION("""COMPUTED_VALUE"""),"Aberdeen 19")</f>
        <v>Aberdeen 19</v>
      </c>
      <c r="D47" s="5" t="str">
        <f>IFERROR(__xludf.DUMMYFUNCTION("""COMPUTED_VALUE"""),"OM-4")</f>
        <v>OM-4</v>
      </c>
      <c r="E47" s="7" t="str">
        <f>IFERROR(__xludf.DUMMYFUNCTION("""COMPUTED_VALUE"""),"OM4")</f>
        <v>OM4</v>
      </c>
      <c r="F47" s="11">
        <f>IFERROR(__xludf.DUMMYFUNCTION("""COMPUTED_VALUE"""),0)</f>
        <v>0</v>
      </c>
      <c r="G47" s="11">
        <f>IFERROR(__xludf.DUMMYFUNCTION("""COMPUTED_VALUE"""),-402.708)</f>
        <v>-402.708</v>
      </c>
      <c r="H47" s="11">
        <f>IFERROR(__xludf.DUMMYFUNCTION("""COMPUTED_VALUE"""),0)</f>
        <v>0</v>
      </c>
      <c r="I47" s="15"/>
      <c r="J47" s="15"/>
      <c r="K47" s="15"/>
      <c r="L47" s="15"/>
      <c r="M47" s="7" t="b">
        <f>IFERROR(__xludf.DUMMYFUNCTION("""COMPUTED_VALUE"""),TRUE)</f>
        <v>1</v>
      </c>
      <c r="N47" s="10">
        <f>IFERROR(__xludf.DUMMYFUNCTION("""COMPUTED_VALUE"""),0)</f>
        <v>0</v>
      </c>
      <c r="O47" s="10">
        <f>IFERROR(__xludf.DUMMYFUNCTION("""COMPUTED_VALUE"""),0)</f>
        <v>0</v>
      </c>
      <c r="P47" s="8"/>
      <c r="Q47" s="7"/>
      <c r="R47" s="16"/>
      <c r="S47" s="17"/>
      <c r="T47" s="8"/>
      <c r="U47" s="8"/>
      <c r="V47" s="22"/>
      <c r="W47" s="12"/>
      <c r="X47" s="12"/>
      <c r="Y47" s="12"/>
      <c r="Z47" s="12"/>
      <c r="AA47" s="7"/>
      <c r="AB47" s="12"/>
      <c r="AC47" s="6"/>
      <c r="AD47" s="6"/>
      <c r="AE47" s="7"/>
      <c r="AF47" s="7"/>
      <c r="AG47" s="7"/>
      <c r="AH47" s="7"/>
      <c r="AI47" s="7"/>
      <c r="AJ47" s="7"/>
      <c r="AK47" s="7"/>
      <c r="AL47" s="7"/>
      <c r="AM47" s="7"/>
      <c r="AN47" s="7"/>
      <c r="AO47" s="6"/>
      <c r="AP47" s="7"/>
      <c r="AQ47" s="7"/>
      <c r="AR47" s="6"/>
      <c r="AS47" s="7"/>
      <c r="AT47" s="7"/>
      <c r="AU47" s="7"/>
      <c r="AV47" s="7"/>
      <c r="AW47" s="7"/>
      <c r="AX47" s="7"/>
      <c r="AY47" s="7"/>
      <c r="AZ47" s="7"/>
      <c r="BA47" s="7"/>
      <c r="BB47" s="7"/>
      <c r="BC47" s="7"/>
      <c r="BD47" s="7"/>
      <c r="BE47" s="7"/>
      <c r="BF47" s="7"/>
      <c r="BG47" s="7"/>
    </row>
    <row r="48" customHeight="1" spans="1:59">
      <c r="A48" s="9" t="str">
        <f>IFERROR(__xludf.DUMMYFUNCTION("""COMPUTED_VALUE"""),"Aberdeen R05")</f>
        <v>Aberdeen R05</v>
      </c>
      <c r="B48" s="5" t="str">
        <f>IFERROR(__xludf.DUMMYFUNCTION("""COMPUTED_VALUE"""),"Aberdeen 33")</f>
        <v>Aberdeen 33</v>
      </c>
      <c r="C48" s="5" t="str">
        <f>IFERROR(__xludf.DUMMYFUNCTION("""COMPUTED_VALUE"""),"Aberdeen 15")</f>
        <v>Aberdeen 15</v>
      </c>
      <c r="D48" s="12" t="str">
        <f>IFERROR(__xludf.DUMMYFUNCTION("""COMPUTED_VALUE"""),"OM-5")</f>
        <v>OM-5</v>
      </c>
      <c r="E48" s="7" t="str">
        <f>IFERROR(__xludf.DUMMYFUNCTION("""COMPUTED_VALUE"""),"OM5")</f>
        <v>OM5</v>
      </c>
      <c r="F48" s="11">
        <f>IFERROR(__xludf.DUMMYFUNCTION("""COMPUTED_VALUE"""),402.708)</f>
        <v>402.708</v>
      </c>
      <c r="G48" s="11">
        <f>IFERROR(__xludf.DUMMYFUNCTION("""COMPUTED_VALUE"""),0)</f>
        <v>0</v>
      </c>
      <c r="H48" s="11">
        <f>IFERROR(__xludf.DUMMYFUNCTION("""COMPUTED_VALUE"""),0)</f>
        <v>0</v>
      </c>
      <c r="I48" s="15"/>
      <c r="J48" s="15"/>
      <c r="K48" s="15"/>
      <c r="L48" s="15"/>
      <c r="M48" s="7" t="b">
        <f>IFERROR(__xludf.DUMMYFUNCTION("""COMPUTED_VALUE"""),TRUE)</f>
        <v>1</v>
      </c>
      <c r="N48" s="10">
        <f>IFERROR(__xludf.DUMMYFUNCTION("""COMPUTED_VALUE"""),0)</f>
        <v>0</v>
      </c>
      <c r="O48" s="10">
        <f>IFERROR(__xludf.DUMMYFUNCTION("""COMPUTED_VALUE"""),0)</f>
        <v>0</v>
      </c>
      <c r="P48" s="8"/>
      <c r="Q48" s="7"/>
      <c r="R48" s="16"/>
      <c r="S48" s="17"/>
      <c r="T48" s="8"/>
      <c r="U48" s="8"/>
      <c r="V48" s="22"/>
      <c r="W48" s="12"/>
      <c r="X48" s="12"/>
      <c r="Y48" s="12"/>
      <c r="Z48" s="12"/>
      <c r="AA48" s="7"/>
      <c r="AB48" s="12"/>
      <c r="AC48" s="6"/>
      <c r="AD48" s="6"/>
      <c r="AE48" s="7"/>
      <c r="AF48" s="7"/>
      <c r="AG48" s="7"/>
      <c r="AH48" s="7"/>
      <c r="AI48" s="7"/>
      <c r="AJ48" s="7"/>
      <c r="AK48" s="7"/>
      <c r="AL48" s="7"/>
      <c r="AM48" s="7"/>
      <c r="AN48" s="7"/>
      <c r="AO48" s="6"/>
      <c r="AP48" s="7"/>
      <c r="AQ48" s="7"/>
      <c r="AR48" s="6"/>
      <c r="AS48" s="7"/>
      <c r="AT48" s="7"/>
      <c r="AU48" s="7"/>
      <c r="AV48" s="7"/>
      <c r="AW48" s="7"/>
      <c r="AX48" s="7"/>
      <c r="AY48" s="7"/>
      <c r="AZ48" s="7"/>
      <c r="BA48" s="7"/>
      <c r="BB48" s="7"/>
      <c r="BC48" s="7"/>
      <c r="BD48" s="7"/>
      <c r="BE48" s="7"/>
      <c r="BF48" s="7"/>
      <c r="BG48" s="7"/>
    </row>
    <row r="49" customHeight="1" spans="1:59">
      <c r="A49" s="9" t="str">
        <f>IFERROR(__xludf.DUMMYFUNCTION("""COMPUTED_VALUE"""),"Aberdeen R06")</f>
        <v>Aberdeen R06</v>
      </c>
      <c r="B49" s="5" t="str">
        <f>IFERROR(__xludf.DUMMYFUNCTION("""COMPUTED_VALUE"""),"Aberdeen 34")</f>
        <v>Aberdeen 34</v>
      </c>
      <c r="C49" s="5" t="str">
        <f>IFERROR(__xludf.DUMMYFUNCTION("""COMPUTED_VALUE"""),"Aberdeen 21")</f>
        <v>Aberdeen 21</v>
      </c>
      <c r="D49" s="12" t="str">
        <f>IFERROR(__xludf.DUMMYFUNCTION("""COMPUTED_VALUE"""),"OM-6")</f>
        <v>OM-6</v>
      </c>
      <c r="E49" s="7" t="str">
        <f>IFERROR(__xludf.DUMMYFUNCTION("""COMPUTED_VALUE"""),"OM6")</f>
        <v>OM6</v>
      </c>
      <c r="F49" s="11">
        <f>IFERROR(__xludf.DUMMYFUNCTION("""COMPUTED_VALUE"""),-402.708)</f>
        <v>-402.708</v>
      </c>
      <c r="G49" s="11">
        <f>IFERROR(__xludf.DUMMYFUNCTION("""COMPUTED_VALUE"""),0)</f>
        <v>0</v>
      </c>
      <c r="H49" s="11">
        <f>IFERROR(__xludf.DUMMYFUNCTION("""COMPUTED_VALUE"""),0)</f>
        <v>0</v>
      </c>
      <c r="I49" s="15"/>
      <c r="J49" s="15"/>
      <c r="K49" s="15"/>
      <c r="L49" s="15"/>
      <c r="M49" s="7" t="b">
        <f>IFERROR(__xludf.DUMMYFUNCTION("""COMPUTED_VALUE"""),TRUE)</f>
        <v>1</v>
      </c>
      <c r="N49" s="10">
        <f>IFERROR(__xludf.DUMMYFUNCTION("""COMPUTED_VALUE"""),0)</f>
        <v>0</v>
      </c>
      <c r="O49" s="10">
        <f>IFERROR(__xludf.DUMMYFUNCTION("""COMPUTED_VALUE"""),0)</f>
        <v>0</v>
      </c>
      <c r="P49" s="8"/>
      <c r="Q49" s="7"/>
      <c r="R49" s="16"/>
      <c r="S49" s="17"/>
      <c r="T49" s="8"/>
      <c r="U49" s="8"/>
      <c r="V49" s="22"/>
      <c r="W49" s="12"/>
      <c r="X49" s="12"/>
      <c r="Y49" s="12"/>
      <c r="Z49" s="12"/>
      <c r="AA49" s="7"/>
      <c r="AB49" s="12"/>
      <c r="AC49" s="6"/>
      <c r="AD49" s="6"/>
      <c r="AE49" s="7"/>
      <c r="AF49" s="7"/>
      <c r="AG49" s="7"/>
      <c r="AH49" s="7"/>
      <c r="AI49" s="7"/>
      <c r="AJ49" s="7"/>
      <c r="AK49" s="7"/>
      <c r="AL49" s="7"/>
      <c r="AM49" s="7"/>
      <c r="AN49" s="7"/>
      <c r="AO49" s="6"/>
      <c r="AP49" s="7"/>
      <c r="AQ49" s="7"/>
      <c r="AR49" s="6"/>
      <c r="AS49" s="7"/>
      <c r="AT49" s="7"/>
      <c r="AU49" s="7"/>
      <c r="AV49" s="7"/>
      <c r="AW49" s="7"/>
      <c r="AX49" s="7"/>
      <c r="AY49" s="7"/>
      <c r="AZ49" s="7"/>
      <c r="BA49" s="7"/>
      <c r="BB49" s="7"/>
      <c r="BC49" s="7"/>
      <c r="BD49" s="7"/>
      <c r="BE49" s="7"/>
      <c r="BF49" s="7"/>
      <c r="BG49" s="7"/>
    </row>
    <row r="50" customHeight="1" spans="1:59">
      <c r="A50" s="9" t="str">
        <f>IFERROR(__xludf.DUMMYFUNCTION("""COMPUTED_VALUE"""),"Aberdeen")</f>
        <v>Aberdeen</v>
      </c>
      <c r="B50" s="5" t="str">
        <f>IFERROR(__xludf.DUMMYFUNCTION("""COMPUTED_VALUE"""),"Aberdeen 00")</f>
        <v>Aberdeen 00</v>
      </c>
      <c r="C50" s="5"/>
      <c r="D50" s="5" t="str">
        <f>IFERROR(__xludf.DUMMYFUNCTION("""COMPUTED_VALUE"""),"Trading Terminals")</f>
        <v>Trading Terminals</v>
      </c>
      <c r="E50" s="7"/>
      <c r="F50" s="11"/>
      <c r="G50" s="11"/>
      <c r="H50" s="11"/>
      <c r="I50" s="15"/>
      <c r="J50" s="15"/>
      <c r="K50" s="15"/>
      <c r="L50" s="15"/>
      <c r="M50" s="7"/>
      <c r="N50" s="10"/>
      <c r="O50" s="10"/>
      <c r="P50" s="8"/>
      <c r="Q50" s="7"/>
      <c r="R50" s="16"/>
      <c r="S50" s="17"/>
      <c r="T50" s="8"/>
      <c r="U50" s="8"/>
      <c r="V50" s="22"/>
      <c r="W50" s="12"/>
      <c r="X50" s="12"/>
      <c r="Y50" s="12"/>
      <c r="Z50" s="12"/>
      <c r="AA50" s="7"/>
      <c r="AB50" s="12"/>
      <c r="AC50" s="6"/>
      <c r="AD50" s="6"/>
      <c r="AE50" s="7"/>
      <c r="AF50" s="7"/>
      <c r="AG50" s="7"/>
      <c r="AH50" s="7"/>
      <c r="AI50" s="7"/>
      <c r="AJ50" s="7"/>
      <c r="AK50" s="7"/>
      <c r="AL50" s="7"/>
      <c r="AM50" s="7"/>
      <c r="AN50" s="7"/>
      <c r="AO50" s="6"/>
      <c r="AP50" s="7"/>
      <c r="AQ50" s="7"/>
      <c r="AR50" s="6"/>
      <c r="AS50" s="7"/>
      <c r="AT50" s="7"/>
      <c r="AU50" s="7"/>
      <c r="AV50" s="7"/>
      <c r="AW50" s="7"/>
      <c r="AX50" s="7"/>
      <c r="AY50" s="7"/>
      <c r="AZ50" s="7"/>
      <c r="BA50" s="7"/>
      <c r="BB50" s="7"/>
      <c r="BC50" s="7"/>
      <c r="BD50" s="7"/>
      <c r="BE50" s="7"/>
      <c r="BF50" s="7"/>
      <c r="BG50" s="7"/>
    </row>
    <row r="51" customHeight="1" spans="1:59">
      <c r="A51" s="9" t="str">
        <f>IFERROR(__xludf.DUMMYFUNCTION("""COMPUTED_VALUE"""),"Aberdeen 01")</f>
        <v>Aberdeen 01</v>
      </c>
      <c r="B51" s="5" t="str">
        <f>IFERROR(__xludf.DUMMYFUNCTION("""COMPUTED_VALUE"""),"Aberdeen 01")</f>
        <v>Aberdeen 01</v>
      </c>
      <c r="C51" s="5" t="str">
        <f>IFERROR(__xludf.DUMMYFUNCTION("""COMPUTED_VALUE"""),"Aberdeen 06")</f>
        <v>Aberdeen 06</v>
      </c>
      <c r="D51" s="5" t="str">
        <f>IFERROR(__xludf.DUMMYFUNCTION("""COMPUTED_VALUE"""),"HDMS Anderson (PB)")</f>
        <v>HDMS Anderson (PB)</v>
      </c>
      <c r="E51" s="7" t="str">
        <f>IFERROR(__xludf.DUMMYFUNCTION("""COMPUTED_VALUE"""),"Anderson")</f>
        <v>Anderson</v>
      </c>
      <c r="F51" s="11">
        <f>IFERROR(__xludf.DUMMYFUNCTION("""COMPUTED_VALUE"""),-26.950086108)</f>
        <v>-26.950086108</v>
      </c>
      <c r="G51" s="11">
        <f>IFERROR(__xludf.DUMMYFUNCTION("""COMPUTED_VALUE"""),180.220820853999)</f>
        <v>180.220820853999</v>
      </c>
      <c r="H51" s="11">
        <f>IFERROR(__xludf.DUMMYFUNCTION("""COMPUTED_VALUE"""),206.879088917999)</f>
        <v>206.879088917999</v>
      </c>
      <c r="I51" s="15"/>
      <c r="J51" s="15"/>
      <c r="K51" s="15"/>
      <c r="L51" s="15"/>
      <c r="M51" s="7" t="b">
        <f>IFERROR(__xludf.DUMMYFUNCTION("""COMPUTED_VALUE"""),TRUE)</f>
        <v>1</v>
      </c>
      <c r="N51" s="10">
        <f>IFERROR(__xludf.DUMMYFUNCTION("""COMPUTED_VALUE"""),0)</f>
        <v>0</v>
      </c>
      <c r="O51" s="10">
        <f>IFERROR(__xludf.DUMMYFUNCTION("""COMPUTED_VALUE"""),0)</f>
        <v>0</v>
      </c>
      <c r="P51" s="8"/>
      <c r="Q51" s="7"/>
      <c r="R51" s="16"/>
      <c r="S51" s="17"/>
      <c r="T51" s="8"/>
      <c r="U51" s="8"/>
      <c r="V51" s="22"/>
      <c r="W51" s="12"/>
      <c r="X51" s="12"/>
      <c r="Y51" s="12"/>
      <c r="Z51" s="12"/>
      <c r="AA51" s="7"/>
      <c r="AB51" s="12"/>
      <c r="AC51" s="6"/>
      <c r="AD51" s="6"/>
      <c r="AE51" s="7"/>
      <c r="AF51" s="7"/>
      <c r="AG51" s="7"/>
      <c r="AH51" s="7"/>
      <c r="AI51" s="7"/>
      <c r="AJ51" s="7"/>
      <c r="AK51" s="7"/>
      <c r="AL51" s="7"/>
      <c r="AM51" s="7"/>
      <c r="AN51" s="7"/>
      <c r="AO51" s="6"/>
      <c r="AP51" s="7"/>
      <c r="AQ51" s="7"/>
      <c r="AR51" s="6"/>
      <c r="AS51" s="7"/>
      <c r="AT51" s="7"/>
      <c r="AU51" s="7"/>
      <c r="AV51" s="7"/>
      <c r="AW51" s="7"/>
      <c r="AX51" s="7"/>
      <c r="AY51" s="7"/>
      <c r="AZ51" s="7"/>
      <c r="BA51" s="7"/>
      <c r="BB51" s="7"/>
      <c r="BC51" s="7"/>
      <c r="BD51" s="7"/>
      <c r="BE51" s="7"/>
      <c r="BF51" s="7"/>
      <c r="BG51" s="7"/>
    </row>
    <row r="52" customHeight="1" spans="1:59">
      <c r="A52" s="9" t="str">
        <f>IFERROR(__xludf.DUMMYFUNCTION("""COMPUTED_VALUE"""),"Aberdeen 02")</f>
        <v>Aberdeen 02</v>
      </c>
      <c r="B52" s="5" t="str">
        <f>IFERROR(__xludf.DUMMYFUNCTION("""COMPUTED_VALUE"""),"Aberdeen 02")</f>
        <v>Aberdeen 02</v>
      </c>
      <c r="C52" s="5" t="str">
        <f>IFERROR(__xludf.DUMMYFUNCTION("""COMPUTED_VALUE"""),"Aberdeen 04")</f>
        <v>Aberdeen 04</v>
      </c>
      <c r="D52" s="5" t="str">
        <f>IFERROR(__xludf.DUMMYFUNCTION("""COMPUTED_VALUE"""),"HDMS Norgaard (PB)")</f>
        <v>HDMS Norgaard (PB)</v>
      </c>
      <c r="E52" s="7" t="str">
        <f>IFERROR(__xludf.DUMMYFUNCTION("""COMPUTED_VALUE"""),"Norgaard")</f>
        <v>Norgaard</v>
      </c>
      <c r="F52" s="11">
        <f>IFERROR(__xludf.DUMMYFUNCTION("""COMPUTED_VALUE"""),-141.571902032)</f>
        <v>-141.571902032</v>
      </c>
      <c r="G52" s="11">
        <f>IFERROR(__xludf.DUMMYFUNCTION("""COMPUTED_VALUE"""),195.318175168999)</f>
        <v>195.318175168999</v>
      </c>
      <c r="H52" s="11">
        <f>IFERROR(__xludf.DUMMYFUNCTION("""COMPUTED_VALUE"""),132.097599225)</f>
        <v>132.097599225</v>
      </c>
      <c r="I52" s="15"/>
      <c r="J52" s="15"/>
      <c r="K52" s="15"/>
      <c r="L52" s="15"/>
      <c r="M52" s="7" t="b">
        <f>IFERROR(__xludf.DUMMYFUNCTION("""COMPUTED_VALUE"""),TRUE)</f>
        <v>1</v>
      </c>
      <c r="N52" s="10">
        <f>IFERROR(__xludf.DUMMYFUNCTION("""COMPUTED_VALUE"""),4)</f>
        <v>4</v>
      </c>
      <c r="O52" s="10">
        <f>IFERROR(__xludf.DUMMYFUNCTION("""COMPUTED_VALUE"""),0)</f>
        <v>0</v>
      </c>
      <c r="P52" s="8"/>
      <c r="Q52" s="7"/>
      <c r="R52" s="16"/>
      <c r="S52" s="17"/>
      <c r="T52" s="8"/>
      <c r="U52" s="8"/>
      <c r="V52" s="22"/>
      <c r="W52" s="12"/>
      <c r="X52" s="12"/>
      <c r="Y52" s="12"/>
      <c r="Z52" s="12"/>
      <c r="AA52" s="7"/>
      <c r="AB52" s="12"/>
      <c r="AC52" s="6"/>
      <c r="AD52" s="6"/>
      <c r="AE52" s="7"/>
      <c r="AF52" s="7"/>
      <c r="AG52" s="7"/>
      <c r="AH52" s="7"/>
      <c r="AI52" s="7"/>
      <c r="AJ52" s="7"/>
      <c r="AK52" s="7"/>
      <c r="AL52" s="7"/>
      <c r="AM52" s="7"/>
      <c r="AN52" s="7"/>
      <c r="AO52" s="6"/>
      <c r="AP52" s="7"/>
      <c r="AQ52" s="7"/>
      <c r="AR52" s="6"/>
      <c r="AS52" s="7"/>
      <c r="AT52" s="7"/>
      <c r="AU52" s="7"/>
      <c r="AV52" s="7"/>
      <c r="AW52" s="7"/>
      <c r="AX52" s="7"/>
      <c r="AY52" s="7"/>
      <c r="AZ52" s="7"/>
      <c r="BA52" s="7"/>
      <c r="BB52" s="7"/>
      <c r="BC52" s="7"/>
      <c r="BD52" s="7"/>
      <c r="BE52" s="7"/>
      <c r="BF52" s="7"/>
      <c r="BG52" s="7"/>
    </row>
    <row r="53" customHeight="1" spans="1:59">
      <c r="A53" s="9" t="str">
        <f>IFERROR(__xludf.DUMMYFUNCTION("""COMPUTED_VALUE"""),"Aberdeen")</f>
        <v>Aberdeen</v>
      </c>
      <c r="B53" s="5" t="str">
        <f>IFERROR(__xludf.DUMMYFUNCTION("""COMPUTED_VALUE"""),"Aberdeen 04")</f>
        <v>Aberdeen 04</v>
      </c>
      <c r="C53" s="5"/>
      <c r="D53" s="5" t="str">
        <f>IFERROR(__xludf.DUMMYFUNCTION("""COMPUTED_VALUE"""),"Correctional Facility")</f>
        <v>Correctional Facility</v>
      </c>
      <c r="E53" s="7"/>
      <c r="F53" s="11"/>
      <c r="G53" s="11"/>
      <c r="H53" s="11"/>
      <c r="I53" s="15"/>
      <c r="J53" s="15"/>
      <c r="K53" s="15"/>
      <c r="L53" s="15"/>
      <c r="M53" s="7"/>
      <c r="N53" s="10"/>
      <c r="O53" s="10"/>
      <c r="P53" s="8"/>
      <c r="Q53" s="7"/>
      <c r="R53" s="16"/>
      <c r="S53" s="17"/>
      <c r="T53" s="8"/>
      <c r="U53" s="8"/>
      <c r="V53" s="22"/>
      <c r="W53" s="12"/>
      <c r="X53" s="12"/>
      <c r="Y53" s="12"/>
      <c r="Z53" s="12"/>
      <c r="AA53" s="9"/>
      <c r="AB53" s="12"/>
      <c r="AC53" s="6"/>
      <c r="AD53" s="6"/>
      <c r="AE53" s="7"/>
      <c r="AF53" s="7"/>
      <c r="AG53" s="7"/>
      <c r="AH53" s="7"/>
      <c r="AI53" s="7"/>
      <c r="AJ53" s="7"/>
      <c r="AK53" s="7"/>
      <c r="AL53" s="7"/>
      <c r="AM53" s="7"/>
      <c r="AN53" s="7"/>
      <c r="AO53" s="6"/>
      <c r="AP53" s="7"/>
      <c r="AQ53" s="7"/>
      <c r="AR53" s="6"/>
      <c r="AS53" s="7"/>
      <c r="AT53" s="7"/>
      <c r="AU53" s="7"/>
      <c r="AV53" s="7"/>
      <c r="AW53" s="7"/>
      <c r="AX53" s="7"/>
      <c r="AY53" s="7"/>
      <c r="AZ53" s="7"/>
      <c r="BA53" s="7"/>
      <c r="BB53" s="7"/>
      <c r="BC53" s="7"/>
      <c r="BD53" s="7"/>
      <c r="BE53" s="7"/>
      <c r="BF53" s="7"/>
      <c r="BG53" s="7"/>
    </row>
    <row r="54" customHeight="1" spans="1:59">
      <c r="A54" s="9" t="str">
        <f>IFERROR(__xludf.DUMMYFUNCTION("""COMPUTED_VALUE"""),"Aberdeen 03")</f>
        <v>Aberdeen 03</v>
      </c>
      <c r="B54" s="5" t="str">
        <f>IFERROR(__xludf.DUMMYFUNCTION("""COMPUTED_VALUE"""),"Aberdeen 05")</f>
        <v>Aberdeen 05</v>
      </c>
      <c r="C54" s="5" t="str">
        <f>IFERROR(__xludf.DUMMYFUNCTION("""COMPUTED_VALUE"""),"Aberdeen 08")</f>
        <v>Aberdeen 08</v>
      </c>
      <c r="D54" s="5" t="str">
        <f>IFERROR(__xludf.DUMMYFUNCTION("""COMPUTED_VALUE"""),"Klescher Rehabilitation Facility")</f>
        <v>Klescher Rehabilitation Facility</v>
      </c>
      <c r="E54" s="7" t="str">
        <f>IFERROR(__xludf.DUMMYFUNCTION("""COMPUTED_VALUE"""),"Klescher")</f>
        <v>Klescher</v>
      </c>
      <c r="F54" s="11">
        <f>IFERROR(__xludf.DUMMYFUNCTION("""COMPUTED_VALUE"""),44.975809179)</f>
        <v>44.975809179</v>
      </c>
      <c r="G54" s="11">
        <f>IFERROR(__xludf.DUMMYFUNCTION("""COMPUTED_VALUE"""),221.563853468999)</f>
        <v>221.563853468999</v>
      </c>
      <c r="H54" s="11">
        <f>IFERROR(__xludf.DUMMYFUNCTION("""COMPUTED_VALUE"""),-156.583812527)</f>
        <v>-156.583812527</v>
      </c>
      <c r="I54" s="15"/>
      <c r="J54" s="15"/>
      <c r="K54" s="15"/>
      <c r="L54" s="15"/>
      <c r="M54" s="7" t="b">
        <f>IFERROR(__xludf.DUMMYFUNCTION("""COMPUTED_VALUE"""),TRUE)</f>
        <v>1</v>
      </c>
      <c r="N54" s="10">
        <f>IFERROR(__xludf.DUMMYFUNCTION("""COMPUTED_VALUE"""),0)</f>
        <v>0</v>
      </c>
      <c r="O54" s="10">
        <f>IFERROR(__xludf.DUMMYFUNCTION("""COMPUTED_VALUE"""),0)</f>
        <v>0</v>
      </c>
      <c r="P54" s="8"/>
      <c r="Q54" s="7"/>
      <c r="R54" s="16"/>
      <c r="S54" s="17"/>
      <c r="T54" s="8"/>
      <c r="U54" s="8"/>
      <c r="V54" s="22"/>
      <c r="W54" s="12"/>
      <c r="X54" s="12"/>
      <c r="Y54" s="12"/>
      <c r="Z54" s="12"/>
      <c r="AA54" s="9"/>
      <c r="AB54" s="12"/>
      <c r="AC54" s="6"/>
      <c r="AD54" s="6"/>
      <c r="AE54" s="7"/>
      <c r="AF54" s="7"/>
      <c r="AG54" s="7"/>
      <c r="AH54" s="7"/>
      <c r="AI54" s="7"/>
      <c r="AJ54" s="7"/>
      <c r="AK54" s="7"/>
      <c r="AL54" s="7"/>
      <c r="AM54" s="7"/>
      <c r="AN54" s="7"/>
      <c r="AO54" s="6"/>
      <c r="AP54" s="7"/>
      <c r="AQ54" s="7"/>
      <c r="AR54" s="6"/>
      <c r="AS54" s="7"/>
      <c r="AT54" s="7"/>
      <c r="AU54" s="7"/>
      <c r="AV54" s="7"/>
      <c r="AW54" s="7"/>
      <c r="AX54" s="7"/>
      <c r="AY54" s="7"/>
      <c r="AZ54" s="7"/>
      <c r="BA54" s="7"/>
      <c r="BB54" s="7"/>
      <c r="BC54" s="7"/>
      <c r="BD54" s="7"/>
      <c r="BE54" s="7"/>
      <c r="BF54" s="7"/>
      <c r="BG54" s="7"/>
    </row>
    <row r="55" customHeight="1" spans="1:59">
      <c r="A55" s="9" t="str">
        <f>IFERROR(__xludf.DUMMYFUNCTION("""COMPUTED_VALUE"""),"Aberdeen")</f>
        <v>Aberdeen</v>
      </c>
      <c r="B55" s="5" t="str">
        <f>IFERROR(__xludf.DUMMYFUNCTION("""COMPUTED_VALUE"""),"Aberdeen 07")</f>
        <v>Aberdeen 07</v>
      </c>
      <c r="C55" s="5"/>
      <c r="D55" s="5" t="str">
        <f>IFERROR(__xludf.DUMMYFUNCTION("""COMPUTED_VALUE"""),"Emergency Shelters")</f>
        <v>Emergency Shelters</v>
      </c>
      <c r="E55" s="7"/>
      <c r="F55" s="11"/>
      <c r="G55" s="11"/>
      <c r="H55" s="11"/>
      <c r="I55" s="15"/>
      <c r="J55" s="15"/>
      <c r="K55" s="15"/>
      <c r="L55" s="15"/>
      <c r="M55" s="7"/>
      <c r="N55" s="10"/>
      <c r="O55" s="10"/>
      <c r="P55" s="8"/>
      <c r="Q55" s="7"/>
      <c r="R55" s="16"/>
      <c r="S55" s="17"/>
      <c r="T55" s="8"/>
      <c r="U55" s="8"/>
      <c r="V55" s="22"/>
      <c r="W55" s="12"/>
      <c r="X55" s="12"/>
      <c r="Y55" s="12"/>
      <c r="Z55" s="12"/>
      <c r="AA55" s="9"/>
      <c r="AB55" s="12"/>
      <c r="AC55" s="6"/>
      <c r="AD55" s="6"/>
      <c r="AE55" s="7"/>
      <c r="AF55" s="7"/>
      <c r="AG55" s="7"/>
      <c r="AH55" s="7"/>
      <c r="AI55" s="7"/>
      <c r="AJ55" s="7"/>
      <c r="AK55" s="7"/>
      <c r="AL55" s="7"/>
      <c r="AM55" s="7"/>
      <c r="AN55" s="7"/>
      <c r="AO55" s="6"/>
      <c r="AP55" s="7"/>
      <c r="AQ55" s="7"/>
      <c r="AR55" s="6"/>
      <c r="AS55" s="7"/>
      <c r="AT55" s="7"/>
      <c r="AU55" s="7"/>
      <c r="AV55" s="7"/>
      <c r="AW55" s="7"/>
      <c r="AX55" s="7"/>
      <c r="AY55" s="7"/>
      <c r="AZ55" s="7"/>
      <c r="BA55" s="7"/>
      <c r="BB55" s="7"/>
      <c r="BC55" s="7"/>
      <c r="BD55" s="7"/>
      <c r="BE55" s="7"/>
      <c r="BF55" s="7"/>
      <c r="BG55" s="7"/>
    </row>
    <row r="56" customHeight="1" spans="1:59">
      <c r="A56" s="9" t="str">
        <f>IFERROR(__xludf.DUMMYFUNCTION("""COMPUTED_VALUE"""),"Aberdeen 04")</f>
        <v>Aberdeen 04</v>
      </c>
      <c r="B56" s="5" t="str">
        <f>IFERROR(__xludf.DUMMYFUNCTION("""COMPUTED_VALUE"""),"Aberdeen 08")</f>
        <v>Aberdeen 08</v>
      </c>
      <c r="C56" s="5" t="str">
        <f>IFERROR(__xludf.DUMMYFUNCTION("""COMPUTED_VALUE"""),"Aberdeen 10")</f>
        <v>Aberdeen 10</v>
      </c>
      <c r="D56" s="5" t="str">
        <f>IFERROR(__xludf.DUMMYFUNCTION("""COMPUTED_VALUE"""),"Barton Flats Aid Shelter (PB)")</f>
        <v>Barton Flats Aid Shelter (PB)</v>
      </c>
      <c r="E56" s="7" t="str">
        <f>IFERROR(__xludf.DUMMYFUNCTION("""COMPUTED_VALUE"""),"Barton")</f>
        <v>Barton</v>
      </c>
      <c r="F56" s="11">
        <f>IFERROR(__xludf.DUMMYFUNCTION("""COMPUTED_VALUE"""),54.340769739)</f>
        <v>54.340769739</v>
      </c>
      <c r="G56" s="11">
        <f>IFERROR(__xludf.DUMMYFUNCTION("""COMPUTED_VALUE"""),217.120485204)</f>
        <v>217.120485204</v>
      </c>
      <c r="H56" s="11">
        <f>IFERROR(__xludf.DUMMYFUNCTION("""COMPUTED_VALUE"""),-159.881078736)</f>
        <v>-159.881078736</v>
      </c>
      <c r="I56" s="15"/>
      <c r="J56" s="15"/>
      <c r="K56" s="15"/>
      <c r="L56" s="15"/>
      <c r="M56" s="7" t="b">
        <f>IFERROR(__xludf.DUMMYFUNCTION("""COMPUTED_VALUE"""),TRUE)</f>
        <v>1</v>
      </c>
      <c r="N56" s="10">
        <f>IFERROR(__xludf.DUMMYFUNCTION("""COMPUTED_VALUE"""),0)</f>
        <v>0</v>
      </c>
      <c r="O56" s="10">
        <f>IFERROR(__xludf.DUMMYFUNCTION("""COMPUTED_VALUE"""),0)</f>
        <v>0</v>
      </c>
      <c r="P56" s="8"/>
      <c r="Q56" s="7"/>
      <c r="R56" s="16"/>
      <c r="S56" s="17"/>
      <c r="T56" s="8"/>
      <c r="U56" s="8"/>
      <c r="V56" s="22"/>
      <c r="W56" s="12"/>
      <c r="X56" s="12"/>
      <c r="Y56" s="12"/>
      <c r="Z56" s="12"/>
      <c r="AA56" s="9"/>
      <c r="AB56" s="12"/>
      <c r="AC56" s="6"/>
      <c r="AD56" s="6"/>
      <c r="AE56" s="7"/>
      <c r="AF56" s="7"/>
      <c r="AG56" s="7"/>
      <c r="AH56" s="7"/>
      <c r="AI56" s="7"/>
      <c r="AJ56" s="7"/>
      <c r="AK56" s="7"/>
      <c r="AL56" s="7"/>
      <c r="AM56" s="7"/>
      <c r="AN56" s="7"/>
      <c r="AO56" s="6"/>
      <c r="AP56" s="7"/>
      <c r="AQ56" s="7"/>
      <c r="AR56" s="6"/>
      <c r="AS56" s="7"/>
      <c r="AT56" s="7"/>
      <c r="AU56" s="7"/>
      <c r="AV56" s="7"/>
      <c r="AW56" s="7"/>
      <c r="AX56" s="7"/>
      <c r="AY56" s="7"/>
      <c r="AZ56" s="7"/>
      <c r="BA56" s="7"/>
      <c r="BB56" s="7"/>
      <c r="BC56" s="7"/>
      <c r="BD56" s="7"/>
      <c r="BE56" s="7"/>
      <c r="BF56" s="7"/>
      <c r="BG56" s="7"/>
    </row>
    <row r="57" customHeight="1" spans="1:59">
      <c r="A57" s="9" t="str">
        <f>IFERROR(__xludf.DUMMYFUNCTION("""COMPUTED_VALUE"""),"Aberdeen")</f>
        <v>Aberdeen</v>
      </c>
      <c r="B57" s="5" t="str">
        <f>IFERROR(__xludf.DUMMYFUNCTION("""COMPUTED_VALUE"""),"Aberdeen 10")</f>
        <v>Aberdeen 10</v>
      </c>
      <c r="C57" s="5"/>
      <c r="D57" s="5" t="str">
        <f>IFERROR(__xludf.DUMMYFUNCTION("""COMPUTED_VALUE"""),"Caves")</f>
        <v>Caves</v>
      </c>
      <c r="E57" s="7"/>
      <c r="F57" s="11"/>
      <c r="G57" s="11"/>
      <c r="H57" s="11"/>
      <c r="I57" s="15"/>
      <c r="J57" s="15"/>
      <c r="K57" s="15"/>
      <c r="L57" s="15"/>
      <c r="M57" s="7"/>
      <c r="N57" s="10"/>
      <c r="O57" s="10"/>
      <c r="P57" s="8"/>
      <c r="Q57" s="7"/>
      <c r="R57" s="16"/>
      <c r="S57" s="17"/>
      <c r="T57" s="8"/>
      <c r="U57" s="8"/>
      <c r="V57" s="22"/>
      <c r="W57" s="12"/>
      <c r="X57" s="12"/>
      <c r="Y57" s="12"/>
      <c r="Z57" s="12"/>
      <c r="AA57" s="9"/>
      <c r="AB57" s="12"/>
      <c r="AC57" s="6"/>
      <c r="AD57" s="6"/>
      <c r="AE57" s="7"/>
      <c r="AF57" s="7"/>
      <c r="AG57" s="7"/>
      <c r="AH57" s="7"/>
      <c r="AI57" s="7"/>
      <c r="AJ57" s="7"/>
      <c r="AK57" s="7"/>
      <c r="AL57" s="7"/>
      <c r="AM57" s="7"/>
      <c r="AN57" s="7"/>
      <c r="AO57" s="6"/>
      <c r="AP57" s="7"/>
      <c r="AQ57" s="7"/>
      <c r="AR57" s="6"/>
      <c r="AS57" s="7"/>
      <c r="AT57" s="7"/>
      <c r="AU57" s="7"/>
      <c r="AV57" s="7"/>
      <c r="AW57" s="7"/>
      <c r="AX57" s="7"/>
      <c r="AY57" s="7"/>
      <c r="AZ57" s="7"/>
      <c r="BA57" s="7"/>
      <c r="BB57" s="7"/>
      <c r="BC57" s="7"/>
      <c r="BD57" s="7"/>
      <c r="BE57" s="7"/>
      <c r="BF57" s="7"/>
      <c r="BG57" s="7"/>
    </row>
    <row r="58" customHeight="1" spans="1:59">
      <c r="A58" s="9" t="str">
        <f>IFERROR(__xludf.DUMMYFUNCTION("""COMPUTED_VALUE"""),"Aberdeen 05")</f>
        <v>Aberdeen 05</v>
      </c>
      <c r="B58" s="5" t="str">
        <f>IFERROR(__xludf.DUMMYFUNCTION("""COMPUTED_VALUE"""),"Aberdeen 11")</f>
        <v>Aberdeen 11</v>
      </c>
      <c r="C58" s="5" t="str">
        <f>IFERROR(__xludf.DUMMYFUNCTION("""COMPUTED_VALUE"""),"Aberdeen 14")</f>
        <v>Aberdeen 14</v>
      </c>
      <c r="D58" s="5" t="str">
        <f>IFERROR(__xludf.DUMMYFUNCTION("""COMPUTED_VALUE"""),"HDES Dobbs (NA)")</f>
        <v>HDES Dobbs (NA)</v>
      </c>
      <c r="E58" s="7" t="str">
        <f>IFERROR(__xludf.DUMMYFUNCTION("""COMPUTED_VALUE"""),"Dobbs")</f>
        <v>Dobbs</v>
      </c>
      <c r="F58" s="11">
        <f>IFERROR(__xludf.DUMMYFUNCTION("""COMPUTED_VALUE"""),270.579075483)</f>
        <v>270.579075483</v>
      </c>
      <c r="G58" s="11">
        <f>IFERROR(__xludf.DUMMYFUNCTION("""COMPUTED_VALUE"""),47.399275712)</f>
        <v>47.399275712</v>
      </c>
      <c r="H58" s="11">
        <f>IFERROR(__xludf.DUMMYFUNCTION("""COMPUTED_VALUE"""),-11.403672422)</f>
        <v>-11.403672422</v>
      </c>
      <c r="I58" s="15"/>
      <c r="J58" s="15"/>
      <c r="K58" s="15"/>
      <c r="L58" s="15"/>
      <c r="M58" s="7" t="b">
        <f>IFERROR(__xludf.DUMMYFUNCTION("""COMPUTED_VALUE"""),TRUE)</f>
        <v>1</v>
      </c>
      <c r="N58" s="10">
        <f>IFERROR(__xludf.DUMMYFUNCTION("""COMPUTED_VALUE"""),0)</f>
        <v>0</v>
      </c>
      <c r="O58" s="10">
        <f>IFERROR(__xludf.DUMMYFUNCTION("""COMPUTED_VALUE"""),0)</f>
        <v>0</v>
      </c>
      <c r="P58" s="8"/>
      <c r="Q58" s="7"/>
      <c r="R58" s="16"/>
      <c r="S58" s="17"/>
      <c r="T58" s="8"/>
      <c r="U58" s="8"/>
      <c r="V58" s="22"/>
      <c r="W58" s="12"/>
      <c r="X58" s="12"/>
      <c r="Y58" s="12"/>
      <c r="Z58" s="12"/>
      <c r="AA58" s="9"/>
      <c r="AB58" s="12"/>
      <c r="AC58" s="6"/>
      <c r="AD58" s="6"/>
      <c r="AE58" s="7"/>
      <c r="AF58" s="7"/>
      <c r="AG58" s="7"/>
      <c r="AH58" s="7"/>
      <c r="AI58" s="7"/>
      <c r="AJ58" s="7"/>
      <c r="AK58" s="7"/>
      <c r="AL58" s="7"/>
      <c r="AM58" s="7"/>
      <c r="AN58" s="7"/>
      <c r="AO58" s="6"/>
      <c r="AP58" s="7"/>
      <c r="AQ58" s="7"/>
      <c r="AR58" s="6"/>
      <c r="AS58" s="7"/>
      <c r="AT58" s="7"/>
      <c r="AU58" s="7"/>
      <c r="AV58" s="7"/>
      <c r="AW58" s="7"/>
      <c r="AX58" s="7"/>
      <c r="AY58" s="7"/>
      <c r="AZ58" s="7"/>
      <c r="BA58" s="7"/>
      <c r="BB58" s="7"/>
      <c r="BC58" s="7"/>
      <c r="BD58" s="7"/>
      <c r="BE58" s="7"/>
      <c r="BF58" s="7"/>
      <c r="BG58" s="7"/>
    </row>
    <row r="59" customHeight="1" spans="1:59">
      <c r="A59" s="9" t="str">
        <f>IFERROR(__xludf.DUMMYFUNCTION("""COMPUTED_VALUE"""),"Aberdeen 07")</f>
        <v>Aberdeen 07</v>
      </c>
      <c r="B59" s="5" t="str">
        <f>IFERROR(__xludf.DUMMYFUNCTION("""COMPUTED_VALUE"""),"Aberdeen 12")</f>
        <v>Aberdeen 12</v>
      </c>
      <c r="C59" s="5" t="str">
        <f>IFERROR(__xludf.DUMMYFUNCTION("""COMPUTED_VALUE"""),"Aberdeen 18")</f>
        <v>Aberdeen 18</v>
      </c>
      <c r="D59" s="5" t="str">
        <f>IFERROR(__xludf.DUMMYFUNCTION("""COMPUTED_VALUE"""),"Rock Cave 20V")</f>
        <v>Rock Cave 20V</v>
      </c>
      <c r="E59" s="7" t="str">
        <f>IFERROR(__xludf.DUMMYFUNCTION("""COMPUTED_VALUE"""),"RCave 20V")</f>
        <v>RCave 20V</v>
      </c>
      <c r="F59" s="11">
        <f>IFERROR(__xludf.DUMMYFUNCTION("""COMPUTED_VALUE"""),56.811249685)</f>
        <v>56.811249685</v>
      </c>
      <c r="G59" s="11">
        <f>IFERROR(__xludf.DUMMYFUNCTION("""COMPUTED_VALUE"""),-124.614960246)</f>
        <v>-124.614960246</v>
      </c>
      <c r="H59" s="11">
        <f>IFERROR(__xludf.DUMMYFUNCTION("""COMPUTED_VALUE"""),238.531967426999)</f>
        <v>238.531967426999</v>
      </c>
      <c r="I59" s="15"/>
      <c r="J59" s="15"/>
      <c r="K59" s="15"/>
      <c r="L59" s="15"/>
      <c r="M59" s="7" t="b">
        <f>IFERROR(__xludf.DUMMYFUNCTION("""COMPUTED_VALUE"""),FALSE)</f>
        <v>0</v>
      </c>
      <c r="N59" s="10">
        <f>IFERROR(__xludf.DUMMYFUNCTION("""COMPUTED_VALUE"""),0)</f>
        <v>0</v>
      </c>
      <c r="O59" s="10">
        <f>IFERROR(__xludf.DUMMYFUNCTION("""COMPUTED_VALUE"""),0)</f>
        <v>0</v>
      </c>
      <c r="P59" s="8"/>
      <c r="Q59" s="7"/>
      <c r="R59" s="16"/>
      <c r="S59" s="17"/>
      <c r="T59" s="8"/>
      <c r="U59" s="8"/>
      <c r="V59" s="22"/>
      <c r="W59" s="12"/>
      <c r="X59" s="12"/>
      <c r="Y59" s="12"/>
      <c r="Z59" s="12"/>
      <c r="AA59" s="9"/>
      <c r="AB59" s="12"/>
      <c r="AC59" s="6"/>
      <c r="AD59" s="6"/>
      <c r="AE59" s="7"/>
      <c r="AF59" s="7"/>
      <c r="AG59" s="7"/>
      <c r="AH59" s="7"/>
      <c r="AI59" s="7"/>
      <c r="AJ59" s="7"/>
      <c r="AK59" s="7"/>
      <c r="AL59" s="7"/>
      <c r="AM59" s="7"/>
      <c r="AN59" s="7"/>
      <c r="AO59" s="6"/>
      <c r="AP59" s="7"/>
      <c r="AQ59" s="7"/>
      <c r="AR59" s="6"/>
      <c r="AS59" s="7"/>
      <c r="AT59" s="7"/>
      <c r="AU59" s="7"/>
      <c r="AV59" s="7"/>
      <c r="AW59" s="7"/>
      <c r="AX59" s="7"/>
      <c r="AY59" s="7"/>
      <c r="AZ59" s="7"/>
      <c r="BA59" s="7"/>
      <c r="BB59" s="7"/>
      <c r="BC59" s="7"/>
      <c r="BD59" s="7"/>
      <c r="BE59" s="7"/>
      <c r="BF59" s="7"/>
      <c r="BG59" s="7"/>
    </row>
    <row r="60" customHeight="1" spans="1:59">
      <c r="A60" s="9" t="str">
        <f>IFERROR(__xludf.DUMMYFUNCTION("""COMPUTED_VALUE"""),"Aberdeen 10")</f>
        <v>Aberdeen 10</v>
      </c>
      <c r="B60" s="5" t="str">
        <f>IFERROR(__xludf.DUMMYFUNCTION("""COMPUTED_VALUE"""),"Aberdeen 15")</f>
        <v>Aberdeen 15</v>
      </c>
      <c r="C60" s="5" t="str">
        <f>IFERROR(__xludf.DUMMYFUNCTION("""COMPUTED_VALUE"""),"Aberdeen 13")</f>
        <v>Aberdeen 13</v>
      </c>
      <c r="D60" s="5" t="str">
        <f>IFERROR(__xludf.DUMMYFUNCTION("""COMPUTED_VALUE"""),"Rock Cave 33X")</f>
        <v>Rock Cave 33X</v>
      </c>
      <c r="E60" s="7" t="str">
        <f>IFERROR(__xludf.DUMMYFUNCTION("""COMPUTED_VALUE"""),"RCave 33X")</f>
        <v>RCave 33X</v>
      </c>
      <c r="F60" s="11">
        <f>IFERROR(__xludf.DUMMYFUNCTION("""COMPUTED_VALUE"""),77.253226039)</f>
        <v>77.253226039</v>
      </c>
      <c r="G60" s="11">
        <f>IFERROR(__xludf.DUMMYFUNCTION("""COMPUTED_VALUE"""),19.426333853)</f>
        <v>19.426333853</v>
      </c>
      <c r="H60" s="11">
        <f>IFERROR(__xludf.DUMMYFUNCTION("""COMPUTED_VALUE"""),263.113060717999)</f>
        <v>263.113060717999</v>
      </c>
      <c r="I60" s="15"/>
      <c r="J60" s="15"/>
      <c r="K60" s="15"/>
      <c r="L60" s="15"/>
      <c r="M60" s="7" t="b">
        <f>IFERROR(__xludf.DUMMYFUNCTION("""COMPUTED_VALUE"""),FALSE)</f>
        <v>0</v>
      </c>
      <c r="N60" s="10">
        <f>IFERROR(__xludf.DUMMYFUNCTION("""COMPUTED_VALUE"""),0)</f>
        <v>0</v>
      </c>
      <c r="O60" s="10">
        <f>IFERROR(__xludf.DUMMYFUNCTION("""COMPUTED_VALUE"""),0)</f>
        <v>0</v>
      </c>
      <c r="P60" s="8"/>
      <c r="Q60" s="7"/>
      <c r="R60" s="16"/>
      <c r="S60" s="17"/>
      <c r="T60" s="8"/>
      <c r="U60" s="8"/>
      <c r="V60" s="22"/>
      <c r="W60" s="12"/>
      <c r="X60" s="12"/>
      <c r="Y60" s="12"/>
      <c r="Z60" s="12"/>
      <c r="AA60" s="9"/>
      <c r="AB60" s="12"/>
      <c r="AC60" s="6"/>
      <c r="AD60" s="6"/>
      <c r="AE60" s="7"/>
      <c r="AF60" s="7"/>
      <c r="AG60" s="7"/>
      <c r="AH60" s="7"/>
      <c r="AI60" s="7"/>
      <c r="AJ60" s="7"/>
      <c r="AK60" s="7"/>
      <c r="AL60" s="7"/>
      <c r="AM60" s="7"/>
      <c r="AN60" s="7"/>
      <c r="AO60" s="6"/>
      <c r="AP60" s="7"/>
      <c r="AQ60" s="7"/>
      <c r="AR60" s="6"/>
      <c r="AS60" s="7"/>
      <c r="AT60" s="7"/>
      <c r="AU60" s="7"/>
      <c r="AV60" s="7"/>
      <c r="AW60" s="7"/>
      <c r="AX60" s="7"/>
      <c r="AY60" s="7"/>
      <c r="AZ60" s="7"/>
      <c r="BA60" s="7"/>
      <c r="BB60" s="7"/>
      <c r="BC60" s="7"/>
      <c r="BD60" s="7"/>
      <c r="BE60" s="7"/>
      <c r="BF60" s="7"/>
      <c r="BG60" s="7"/>
    </row>
    <row r="61" customHeight="1" spans="1:59">
      <c r="A61" s="9" t="str">
        <f>IFERROR(__xludf.DUMMYFUNCTION("""COMPUTED_VALUE"""),"Aberdeen 11")</f>
        <v>Aberdeen 11</v>
      </c>
      <c r="B61" s="5" t="str">
        <f>IFERROR(__xludf.DUMMYFUNCTION("""COMPUTED_VALUE"""),"Aberdeen 16")</f>
        <v>Aberdeen 16</v>
      </c>
      <c r="C61" s="5" t="str">
        <f>IFERROR(__xludf.DUMMYFUNCTION("""COMPUTED_VALUE"""),"Aberdeen 02")</f>
        <v>Aberdeen 02</v>
      </c>
      <c r="D61" s="5" t="str">
        <f>IFERROR(__xludf.DUMMYFUNCTION("""COMPUTED_VALUE"""),"Rock Cave 52L")</f>
        <v>Rock Cave 52L</v>
      </c>
      <c r="E61" s="7" t="str">
        <f>IFERROR(__xludf.DUMMYFUNCTION("""COMPUTED_VALUE"""),"RCave 52L")</f>
        <v>RCave 52L</v>
      </c>
      <c r="F61" s="11">
        <f>IFERROR(__xludf.DUMMYFUNCTION("""COMPUTED_VALUE"""),-177.481967337999)</f>
        <v>-177.481967337999</v>
      </c>
      <c r="G61" s="11">
        <f>IFERROR(__xludf.DUMMYFUNCTION("""COMPUTED_VALUE"""),203.52396713)</f>
        <v>203.52396713</v>
      </c>
      <c r="H61" s="11">
        <f>IFERROR(__xludf.DUMMYFUNCTION("""COMPUTED_VALUE"""),-53.400698794)</f>
        <v>-53.400698794</v>
      </c>
      <c r="I61" s="15"/>
      <c r="J61" s="15"/>
      <c r="K61" s="15"/>
      <c r="L61" s="15"/>
      <c r="M61" s="7" t="b">
        <f>IFERROR(__xludf.DUMMYFUNCTION("""COMPUTED_VALUE"""),FALSE)</f>
        <v>0</v>
      </c>
      <c r="N61" s="10">
        <f>IFERROR(__xludf.DUMMYFUNCTION("""COMPUTED_VALUE"""),0)</f>
        <v>0</v>
      </c>
      <c r="O61" s="10">
        <f>IFERROR(__xludf.DUMMYFUNCTION("""COMPUTED_VALUE"""),0)</f>
        <v>0</v>
      </c>
      <c r="P61" s="8"/>
      <c r="Q61" s="7"/>
      <c r="R61" s="16"/>
      <c r="S61" s="17"/>
      <c r="T61" s="8"/>
      <c r="U61" s="8"/>
      <c r="V61" s="22"/>
      <c r="W61" s="12"/>
      <c r="X61" s="12"/>
      <c r="Y61" s="12"/>
      <c r="Z61" s="12"/>
      <c r="AA61" s="9"/>
      <c r="AB61" s="12"/>
      <c r="AC61" s="6"/>
      <c r="AD61" s="6"/>
      <c r="AE61" s="7"/>
      <c r="AF61" s="7"/>
      <c r="AG61" s="7"/>
      <c r="AH61" s="7"/>
      <c r="AI61" s="7"/>
      <c r="AJ61" s="7"/>
      <c r="AK61" s="7"/>
      <c r="AL61" s="7"/>
      <c r="AM61" s="7"/>
      <c r="AN61" s="7"/>
      <c r="AO61" s="6"/>
      <c r="AP61" s="7"/>
      <c r="AQ61" s="7"/>
      <c r="AR61" s="6"/>
      <c r="AS61" s="7"/>
      <c r="AT61" s="7"/>
      <c r="AU61" s="7"/>
      <c r="AV61" s="7"/>
      <c r="AW61" s="7"/>
      <c r="AX61" s="7"/>
      <c r="AY61" s="7"/>
      <c r="AZ61" s="7"/>
      <c r="BA61" s="7"/>
      <c r="BB61" s="7"/>
      <c r="BC61" s="7"/>
      <c r="BD61" s="7"/>
      <c r="BE61" s="7"/>
      <c r="BF61" s="7"/>
      <c r="BG61" s="7"/>
    </row>
    <row r="62" customHeight="1" spans="1:59">
      <c r="A62" s="9" t="str">
        <f>IFERROR(__xludf.DUMMYFUNCTION("""COMPUTED_VALUE"""),"Aberdeen 09")</f>
        <v>Aberdeen 09</v>
      </c>
      <c r="B62" s="5" t="str">
        <f>IFERROR(__xludf.DUMMYFUNCTION("""COMPUTED_VALUE"""),"Aberdeen 14")</f>
        <v>Aberdeen 14</v>
      </c>
      <c r="C62" s="5" t="str">
        <f>IFERROR(__xludf.DUMMYFUNCTION("""COMPUTED_VALUE"""),"Aberdeen 16")</f>
        <v>Aberdeen 16</v>
      </c>
      <c r="D62" s="5" t="str">
        <f>IFERROR(__xludf.DUMMYFUNCTION("""COMPUTED_VALUE"""),"Rock Cave 26K")</f>
        <v>Rock Cave 26K</v>
      </c>
      <c r="E62" s="7" t="str">
        <f>IFERROR(__xludf.DUMMYFUNCTION("""COMPUTED_VALUE"""),"RCave 26K")</f>
        <v>RCave 26K</v>
      </c>
      <c r="F62" s="11">
        <f>IFERROR(__xludf.DUMMYFUNCTION("""COMPUTED_VALUE"""),230.505937647999)</f>
        <v>230.505937647999</v>
      </c>
      <c r="G62" s="11">
        <f>IFERROR(__xludf.DUMMYFUNCTION("""COMPUTED_VALUE"""),-109.037625069999)</f>
        <v>-109.037625069999</v>
      </c>
      <c r="H62" s="11">
        <f>IFERROR(__xludf.DUMMYFUNCTION("""COMPUTED_VALUE"""),-103.945554754)</f>
        <v>-103.945554754</v>
      </c>
      <c r="I62" s="15"/>
      <c r="J62" s="15"/>
      <c r="K62" s="15"/>
      <c r="L62" s="15"/>
      <c r="M62" s="7" t="b">
        <f>IFERROR(__xludf.DUMMYFUNCTION("""COMPUTED_VALUE"""),FALSE)</f>
        <v>0</v>
      </c>
      <c r="N62" s="10">
        <f>IFERROR(__xludf.DUMMYFUNCTION("""COMPUTED_VALUE"""),0)</f>
        <v>0</v>
      </c>
      <c r="O62" s="10">
        <f>IFERROR(__xludf.DUMMYFUNCTION("""COMPUTED_VALUE"""),0)</f>
        <v>0</v>
      </c>
      <c r="P62" s="8"/>
      <c r="Q62" s="7"/>
      <c r="R62" s="16"/>
      <c r="S62" s="17"/>
      <c r="T62" s="8"/>
      <c r="U62" s="8"/>
      <c r="V62" s="22"/>
      <c r="W62" s="12"/>
      <c r="X62" s="12"/>
      <c r="Y62" s="12"/>
      <c r="Z62" s="12"/>
      <c r="AA62" s="9"/>
      <c r="AB62" s="12"/>
      <c r="AC62" s="6"/>
      <c r="AD62" s="6"/>
      <c r="AE62" s="7"/>
      <c r="AF62" s="7"/>
      <c r="AG62" s="7"/>
      <c r="AH62" s="7"/>
      <c r="AI62" s="7"/>
      <c r="AJ62" s="7"/>
      <c r="AK62" s="7"/>
      <c r="AL62" s="7"/>
      <c r="AM62" s="7"/>
      <c r="AN62" s="7"/>
      <c r="AO62" s="6"/>
      <c r="AP62" s="7"/>
      <c r="AQ62" s="7"/>
      <c r="AR62" s="6"/>
      <c r="AS62" s="7"/>
      <c r="AT62" s="7"/>
      <c r="AU62" s="7"/>
      <c r="AV62" s="7"/>
      <c r="AW62" s="7"/>
      <c r="AX62" s="7"/>
      <c r="AY62" s="7"/>
      <c r="AZ62" s="7"/>
      <c r="BA62" s="7"/>
      <c r="BB62" s="7"/>
      <c r="BC62" s="7"/>
      <c r="BD62" s="7"/>
      <c r="BE62" s="7"/>
      <c r="BF62" s="7"/>
      <c r="BG62" s="7"/>
    </row>
    <row r="63" customHeight="1" spans="1:59">
      <c r="A63" s="9" t="str">
        <f>IFERROR(__xludf.DUMMYFUNCTION("""COMPUTED_VALUE"""),"Aberdeen 08")</f>
        <v>Aberdeen 08</v>
      </c>
      <c r="B63" s="5" t="str">
        <f>IFERROR(__xludf.DUMMYFUNCTION("""COMPUTED_VALUE"""),"Aberdeen 13")</f>
        <v>Aberdeen 13</v>
      </c>
      <c r="C63" s="5" t="str">
        <f>IFERROR(__xludf.DUMMYFUNCTION("""COMPUTED_VALUE"""),"Aberdeen 17")</f>
        <v>Aberdeen 17</v>
      </c>
      <c r="D63" s="5" t="str">
        <f>IFERROR(__xludf.DUMMYFUNCTION("""COMPUTED_VALUE"""),"Rock Cave 24H")</f>
        <v>Rock Cave 24H</v>
      </c>
      <c r="E63" s="7" t="str">
        <f>IFERROR(__xludf.DUMMYFUNCTION("""COMPUTED_VALUE"""),"RCave 24H")</f>
        <v>RCave 24H</v>
      </c>
      <c r="F63" s="11">
        <f>IFERROR(__xludf.DUMMYFUNCTION("""COMPUTED_VALUE"""),175.925709069)</f>
        <v>175.925709069</v>
      </c>
      <c r="G63" s="11">
        <f>IFERROR(__xludf.DUMMYFUNCTION("""COMPUTED_VALUE"""),-151.288136015)</f>
        <v>-151.288136015</v>
      </c>
      <c r="H63" s="11">
        <f>IFERROR(__xludf.DUMMYFUNCTION("""COMPUTED_VALUE"""),-146.452409775999)</f>
        <v>-146.452409775999</v>
      </c>
      <c r="I63" s="15"/>
      <c r="J63" s="15"/>
      <c r="K63" s="15"/>
      <c r="L63" s="15"/>
      <c r="M63" s="7" t="b">
        <f>IFERROR(__xludf.DUMMYFUNCTION("""COMPUTED_VALUE"""),FALSE)</f>
        <v>0</v>
      </c>
      <c r="N63" s="10">
        <f>IFERROR(__xludf.DUMMYFUNCTION("""COMPUTED_VALUE"""),0)</f>
        <v>0</v>
      </c>
      <c r="O63" s="10">
        <f>IFERROR(__xludf.DUMMYFUNCTION("""COMPUTED_VALUE"""),0)</f>
        <v>0</v>
      </c>
      <c r="P63" s="8"/>
      <c r="Q63" s="7"/>
      <c r="R63" s="16"/>
      <c r="S63" s="17"/>
      <c r="T63" s="8"/>
      <c r="U63" s="8"/>
      <c r="V63" s="22"/>
      <c r="W63" s="12"/>
      <c r="X63" s="12"/>
      <c r="Y63" s="12"/>
      <c r="Z63" s="12"/>
      <c r="AA63" s="9"/>
      <c r="AB63" s="12"/>
      <c r="AC63" s="6"/>
      <c r="AD63" s="6"/>
      <c r="AE63" s="7"/>
      <c r="AF63" s="7"/>
      <c r="AG63" s="7"/>
      <c r="AH63" s="7"/>
      <c r="AI63" s="7"/>
      <c r="AJ63" s="7"/>
      <c r="AK63" s="7"/>
      <c r="AL63" s="7"/>
      <c r="AM63" s="7"/>
      <c r="AN63" s="7"/>
      <c r="AO63" s="6"/>
      <c r="AP63" s="7"/>
      <c r="AQ63" s="7"/>
      <c r="AR63" s="6"/>
      <c r="AS63" s="7"/>
      <c r="AT63" s="7"/>
      <c r="AU63" s="7"/>
      <c r="AV63" s="7"/>
      <c r="AW63" s="7"/>
      <c r="AX63" s="7"/>
      <c r="AY63" s="7"/>
      <c r="AZ63" s="7"/>
      <c r="BA63" s="7"/>
      <c r="BB63" s="7"/>
      <c r="BC63" s="7"/>
      <c r="BD63" s="7"/>
      <c r="BE63" s="7"/>
      <c r="BF63" s="7"/>
      <c r="BG63" s="7"/>
    </row>
    <row r="64" customHeight="1" spans="1:59">
      <c r="A64" s="9" t="str">
        <f>IFERROR(__xludf.DUMMYFUNCTION("""COMPUTED_VALUE"""),"Aberdeen")</f>
        <v>Aberdeen</v>
      </c>
      <c r="B64" s="5" t="str">
        <f>IFERROR(__xludf.DUMMYFUNCTION("""COMPUTED_VALUE"""),"Aberdeen 18")</f>
        <v>Aberdeen 18</v>
      </c>
      <c r="C64" s="5"/>
      <c r="D64" s="5" t="str">
        <f>IFERROR(__xludf.DUMMYFUNCTION("""COMPUTED_VALUE"""),"Wrecks")</f>
        <v>Wrecks</v>
      </c>
      <c r="E64" s="7"/>
      <c r="F64" s="11"/>
      <c r="G64" s="11"/>
      <c r="H64" s="11"/>
      <c r="I64" s="15"/>
      <c r="J64" s="15"/>
      <c r="K64" s="15"/>
      <c r="L64" s="15"/>
      <c r="M64" s="7"/>
      <c r="N64" s="10"/>
      <c r="O64" s="10"/>
      <c r="P64" s="8"/>
      <c r="Q64" s="7"/>
      <c r="R64" s="16"/>
      <c r="S64" s="17"/>
      <c r="T64" s="8"/>
      <c r="U64" s="8"/>
      <c r="V64" s="22"/>
      <c r="W64" s="12"/>
      <c r="X64" s="12"/>
      <c r="Y64" s="12"/>
      <c r="Z64" s="12"/>
      <c r="AA64" s="9"/>
      <c r="AB64" s="12"/>
      <c r="AC64" s="6"/>
      <c r="AD64" s="6"/>
      <c r="AE64" s="7"/>
      <c r="AF64" s="7"/>
      <c r="AG64" s="7"/>
      <c r="AH64" s="7"/>
      <c r="AI64" s="7"/>
      <c r="AJ64" s="7"/>
      <c r="AK64" s="7"/>
      <c r="AL64" s="7"/>
      <c r="AM64" s="7"/>
      <c r="AN64" s="7"/>
      <c r="AO64" s="6"/>
      <c r="AP64" s="7"/>
      <c r="AQ64" s="7"/>
      <c r="AR64" s="6"/>
      <c r="AS64" s="7"/>
      <c r="AT64" s="7"/>
      <c r="AU64" s="7"/>
      <c r="AV64" s="7"/>
      <c r="AW64" s="7"/>
      <c r="AX64" s="7"/>
      <c r="AY64" s="7"/>
      <c r="AZ64" s="7"/>
      <c r="BA64" s="7"/>
      <c r="BB64" s="7"/>
      <c r="BC64" s="7"/>
      <c r="BD64" s="7"/>
      <c r="BE64" s="7"/>
      <c r="BF64" s="7"/>
      <c r="BG64" s="7"/>
    </row>
    <row r="65" customHeight="1" spans="1:59">
      <c r="A65" s="9" t="str">
        <f>IFERROR(__xludf.DUMMYFUNCTION("""COMPUTED_VALUE"""),"Aberdeen 13")</f>
        <v>Aberdeen 13</v>
      </c>
      <c r="B65" s="5" t="str">
        <f>IFERROR(__xludf.DUMMYFUNCTION("""COMPUTED_VALUE"""),"Aberdeen 20")</f>
        <v>Aberdeen 20</v>
      </c>
      <c r="C65" s="5" t="str">
        <f>IFERROR(__xludf.DUMMYFUNCTION("""COMPUTED_VALUE"""),"Aberdeen 03")</f>
        <v>Aberdeen 03</v>
      </c>
      <c r="D65" s="5" t="str">
        <f>IFERROR(__xludf.DUMMYFUNCTION("""COMPUTED_VALUE"""),"Caterpillar Wreck 52R")</f>
        <v>Caterpillar Wreck 52R</v>
      </c>
      <c r="E65" s="7" t="str">
        <f>IFERROR(__xludf.DUMMYFUNCTION("""COMPUTED_VALUE"""),"Caterpillar 52R")</f>
        <v>Caterpillar 52R</v>
      </c>
      <c r="F65" s="11">
        <f>IFERROR(__xludf.DUMMYFUNCTION("""COMPUTED_VALUE"""),-160.519985745999)</f>
        <v>-160.519985745999</v>
      </c>
      <c r="G65" s="11">
        <f>IFERROR(__xludf.DUMMYFUNCTION("""COMPUTED_VALUE"""),187.064562421)</f>
        <v>187.064562421</v>
      </c>
      <c r="H65" s="11">
        <f>IFERROR(__xludf.DUMMYFUNCTION("""COMPUTED_VALUE"""),122.157253146999)</f>
        <v>122.157253146999</v>
      </c>
      <c r="I65" s="15"/>
      <c r="J65" s="15"/>
      <c r="K65" s="15"/>
      <c r="L65" s="15"/>
      <c r="M65" s="7" t="b">
        <f>IFERROR(__xludf.DUMMYFUNCTION("""COMPUTED_VALUE"""),FALSE)</f>
        <v>0</v>
      </c>
      <c r="N65" s="10">
        <f>IFERROR(__xludf.DUMMYFUNCTION("""COMPUTED_VALUE"""),0)</f>
        <v>0</v>
      </c>
      <c r="O65" s="10">
        <f>IFERROR(__xludf.DUMMYFUNCTION("""COMPUTED_VALUE"""),0)</f>
        <v>0</v>
      </c>
      <c r="P65" s="8"/>
      <c r="Q65" s="7"/>
      <c r="R65" s="16"/>
      <c r="S65" s="17"/>
      <c r="T65" s="8"/>
      <c r="U65" s="8"/>
      <c r="V65" s="22"/>
      <c r="W65" s="12"/>
      <c r="X65" s="12"/>
      <c r="Y65" s="12"/>
      <c r="Z65" s="12"/>
      <c r="AA65" s="9"/>
      <c r="AB65" s="12"/>
      <c r="AC65" s="6"/>
      <c r="AD65" s="6"/>
      <c r="AE65" s="7"/>
      <c r="AF65" s="7"/>
      <c r="AG65" s="7"/>
      <c r="AH65" s="7"/>
      <c r="AI65" s="7"/>
      <c r="AJ65" s="7"/>
      <c r="AK65" s="7"/>
      <c r="AL65" s="7"/>
      <c r="AM65" s="7"/>
      <c r="AN65" s="7"/>
      <c r="AO65" s="6"/>
      <c r="AP65" s="7"/>
      <c r="AQ65" s="7"/>
      <c r="AR65" s="6"/>
      <c r="AS65" s="7"/>
      <c r="AT65" s="7"/>
      <c r="AU65" s="7"/>
      <c r="AV65" s="7"/>
      <c r="AW65" s="7"/>
      <c r="AX65" s="7"/>
      <c r="AY65" s="7"/>
      <c r="AZ65" s="7"/>
      <c r="BA65" s="7"/>
      <c r="BB65" s="7"/>
      <c r="BC65" s="7"/>
      <c r="BD65" s="7"/>
      <c r="BE65" s="7"/>
      <c r="BF65" s="7"/>
      <c r="BG65" s="7"/>
    </row>
    <row r="66" customHeight="1" spans="1:59">
      <c r="A66" s="9" t="str">
        <f>IFERROR(__xludf.DUMMYFUNCTION("""COMPUTED_VALUE"""),"Aberdeen 12")</f>
        <v>Aberdeen 12</v>
      </c>
      <c r="B66" s="5" t="str">
        <f>IFERROR(__xludf.DUMMYFUNCTION("""COMPUTED_VALUE"""),"Aberdeen 19")</f>
        <v>Aberdeen 19</v>
      </c>
      <c r="C66" s="5" t="str">
        <f>IFERROR(__xludf.DUMMYFUNCTION("""COMPUTED_VALUE"""),"Aberdeen 05")</f>
        <v>Aberdeen 05</v>
      </c>
      <c r="D66" s="5" t="str">
        <f>IFERROR(__xludf.DUMMYFUNCTION("""COMPUTED_VALUE"""),"Caterpillar Wreck 51W")</f>
        <v>Caterpillar Wreck 51W</v>
      </c>
      <c r="E66" s="7" t="str">
        <f>IFERROR(__xludf.DUMMYFUNCTION("""COMPUTED_VALUE"""),"Caterpillar 51W")</f>
        <v>Caterpillar 51W</v>
      </c>
      <c r="F66" s="11">
        <f>IFERROR(__xludf.DUMMYFUNCTION("""COMPUTED_VALUE"""),-61.992268491)</f>
        <v>-61.992268491</v>
      </c>
      <c r="G66" s="11">
        <f>IFERROR(__xludf.DUMMYFUNCTION("""COMPUTED_VALUE"""),94.0448265459999)</f>
        <v>94.0448265459999</v>
      </c>
      <c r="H66" s="11">
        <f>IFERROR(__xludf.DUMMYFUNCTION("""COMPUTED_VALUE"""),251.030948911)</f>
        <v>251.030948911</v>
      </c>
      <c r="I66" s="15"/>
      <c r="J66" s="15"/>
      <c r="K66" s="15"/>
      <c r="L66" s="15"/>
      <c r="M66" s="7" t="b">
        <f>IFERROR(__xludf.DUMMYFUNCTION("""COMPUTED_VALUE"""),FALSE)</f>
        <v>0</v>
      </c>
      <c r="N66" s="10">
        <f>IFERROR(__xludf.DUMMYFUNCTION("""COMPUTED_VALUE"""),0)</f>
        <v>0</v>
      </c>
      <c r="O66" s="10">
        <f>IFERROR(__xludf.DUMMYFUNCTION("""COMPUTED_VALUE"""),0)</f>
        <v>0</v>
      </c>
      <c r="P66" s="8"/>
      <c r="Q66" s="7"/>
      <c r="R66" s="16"/>
      <c r="S66" s="17"/>
      <c r="T66" s="8"/>
      <c r="U66" s="8"/>
      <c r="V66" s="22"/>
      <c r="W66" s="12"/>
      <c r="X66" s="12"/>
      <c r="Y66" s="12"/>
      <c r="Z66" s="12"/>
      <c r="AA66" s="9"/>
      <c r="AB66" s="12"/>
      <c r="AC66" s="6"/>
      <c r="AD66" s="6"/>
      <c r="AE66" s="7"/>
      <c r="AF66" s="7"/>
      <c r="AG66" s="7"/>
      <c r="AH66" s="7"/>
      <c r="AI66" s="7"/>
      <c r="AJ66" s="7"/>
      <c r="AK66" s="7"/>
      <c r="AL66" s="7"/>
      <c r="AM66" s="7"/>
      <c r="AN66" s="7"/>
      <c r="AO66" s="6"/>
      <c r="AP66" s="7"/>
      <c r="AQ66" s="7"/>
      <c r="AR66" s="6"/>
      <c r="AS66" s="7"/>
      <c r="AT66" s="7"/>
      <c r="AU66" s="7"/>
      <c r="AV66" s="7"/>
      <c r="AW66" s="7"/>
      <c r="AX66" s="7"/>
      <c r="AY66" s="7"/>
      <c r="AZ66" s="7"/>
      <c r="BA66" s="7"/>
      <c r="BB66" s="7"/>
      <c r="BC66" s="7"/>
      <c r="BD66" s="7"/>
      <c r="BE66" s="7"/>
      <c r="BF66" s="7"/>
      <c r="BG66" s="7"/>
    </row>
    <row r="67" customHeight="1" spans="1:59">
      <c r="A67" s="9" t="str">
        <f>IFERROR(__xludf.DUMMYFUNCTION("""COMPUTED_VALUE"""),"Aberdeen 14")</f>
        <v>Aberdeen 14</v>
      </c>
      <c r="B67" s="5" t="str">
        <f>IFERROR(__xludf.DUMMYFUNCTION("""COMPUTED_VALUE"""),"Aberdeen 21")</f>
        <v>Aberdeen 21</v>
      </c>
      <c r="C67" s="5" t="str">
        <f>IFERROR(__xludf.DUMMYFUNCTION("""COMPUTED_VALUE"""),"Aberdeen 01")</f>
        <v>Aberdeen 01</v>
      </c>
      <c r="D67" s="5" t="str">
        <f>IFERROR(__xludf.DUMMYFUNCTION("""COMPUTED_VALUE"""),"Constellation Wreck")</f>
        <v>Constellation Wreck</v>
      </c>
      <c r="E67" s="7" t="str">
        <f>IFERROR(__xludf.DUMMYFUNCTION("""COMPUTED_VALUE"""),"Constellation")</f>
        <v>Constellation</v>
      </c>
      <c r="F67" s="11">
        <f>IFERROR(__xludf.DUMMYFUNCTION("""COMPUTED_VALUE"""),-207.122457713)</f>
        <v>-207.122457713</v>
      </c>
      <c r="G67" s="11">
        <f>IFERROR(__xludf.DUMMYFUNCTION("""COMPUTED_VALUE"""),163.655097375)</f>
        <v>163.655097375</v>
      </c>
      <c r="H67" s="11">
        <f>IFERROR(__xludf.DUMMYFUNCTION("""COMPUTED_VALUE"""),75.8243688669998)</f>
        <v>75.8243688669998</v>
      </c>
      <c r="I67" s="15"/>
      <c r="J67" s="15"/>
      <c r="K67" s="15"/>
      <c r="L67" s="15"/>
      <c r="M67" s="7" t="b">
        <f>IFERROR(__xludf.DUMMYFUNCTION("""COMPUTED_VALUE"""),FALSE)</f>
        <v>0</v>
      </c>
      <c r="N67" s="10">
        <f>IFERROR(__xludf.DUMMYFUNCTION("""COMPUTED_VALUE"""),0)</f>
        <v>0</v>
      </c>
      <c r="O67" s="10">
        <f>IFERROR(__xludf.DUMMYFUNCTION("""COMPUTED_VALUE"""),0)</f>
        <v>0</v>
      </c>
      <c r="P67" s="8"/>
      <c r="Q67" s="7"/>
      <c r="R67" s="16"/>
      <c r="S67" s="17"/>
      <c r="T67" s="8"/>
      <c r="U67" s="8"/>
      <c r="V67" s="22"/>
      <c r="W67" s="12"/>
      <c r="X67" s="12"/>
      <c r="Y67" s="12"/>
      <c r="Z67" s="12"/>
      <c r="AA67" s="9"/>
      <c r="AB67" s="12"/>
      <c r="AC67" s="6"/>
      <c r="AD67" s="6"/>
      <c r="AE67" s="7"/>
      <c r="AF67" s="7"/>
      <c r="AG67" s="7"/>
      <c r="AH67" s="7"/>
      <c r="AI67" s="7"/>
      <c r="AJ67" s="7"/>
      <c r="AK67" s="7"/>
      <c r="AL67" s="7"/>
      <c r="AM67" s="7"/>
      <c r="AN67" s="7"/>
      <c r="AO67" s="6"/>
      <c r="AP67" s="7"/>
      <c r="AQ67" s="7"/>
      <c r="AR67" s="6"/>
      <c r="AS67" s="7"/>
      <c r="AT67" s="7"/>
      <c r="AU67" s="7"/>
      <c r="AV67" s="7"/>
      <c r="AW67" s="7"/>
      <c r="AX67" s="7"/>
      <c r="AY67" s="7"/>
      <c r="AZ67" s="7"/>
      <c r="BA67" s="7"/>
      <c r="BB67" s="7"/>
      <c r="BC67" s="7"/>
      <c r="BD67" s="7"/>
      <c r="BE67" s="7"/>
      <c r="BF67" s="7"/>
      <c r="BG67" s="7"/>
    </row>
    <row r="68" customHeight="1" spans="1:59">
      <c r="A68" s="9" t="str">
        <f>IFERROR(__xludf.DUMMYFUNCTION("""COMPUTED_VALUE"""),"Aberdeen 16")</f>
        <v>Aberdeen 16</v>
      </c>
      <c r="B68" s="5" t="str">
        <f>IFERROR(__xludf.DUMMYFUNCTION("""COMPUTED_VALUE"""),"Aberdeen 23")</f>
        <v>Aberdeen 23</v>
      </c>
      <c r="C68" s="5" t="str">
        <f>IFERROR(__xludf.DUMMYFUNCTION("""COMPUTED_VALUE"""),"Aberdeen 11")</f>
        <v>Aberdeen 11</v>
      </c>
      <c r="D68" s="5" t="str">
        <f>IFERROR(__xludf.DUMMYFUNCTION("""COMPUTED_VALUE"""),"Freelancer Wreck")</f>
        <v>Freelancer Wreck</v>
      </c>
      <c r="E68" s="7" t="str">
        <f>IFERROR(__xludf.DUMMYFUNCTION("""COMPUTED_VALUE"""),"Freelancer")</f>
        <v>Freelancer</v>
      </c>
      <c r="F68" s="11">
        <f>IFERROR(__xludf.DUMMYFUNCTION("""COMPUTED_VALUE"""),239.132150683999)</f>
        <v>239.132150683999</v>
      </c>
      <c r="G68" s="11">
        <f>IFERROR(__xludf.DUMMYFUNCTION("""COMPUTED_VALUE"""),116.814567593999)</f>
        <v>116.814567593999</v>
      </c>
      <c r="H68" s="11">
        <f>IFERROR(__xludf.DUMMYFUNCTION("""COMPUTED_VALUE"""),68.700639026)</f>
        <v>68.700639026</v>
      </c>
      <c r="I68" s="15"/>
      <c r="J68" s="15"/>
      <c r="K68" s="15"/>
      <c r="L68" s="15"/>
      <c r="M68" s="7" t="b">
        <f>IFERROR(__xludf.DUMMYFUNCTION("""COMPUTED_VALUE"""),FALSE)</f>
        <v>0</v>
      </c>
      <c r="N68" s="10">
        <f>IFERROR(__xludf.DUMMYFUNCTION("""COMPUTED_VALUE"""),0)</f>
        <v>0</v>
      </c>
      <c r="O68" s="10">
        <f>IFERROR(__xludf.DUMMYFUNCTION("""COMPUTED_VALUE"""),0)</f>
        <v>0</v>
      </c>
      <c r="P68" s="8"/>
      <c r="Q68" s="7"/>
      <c r="R68" s="16"/>
      <c r="S68" s="17"/>
      <c r="T68" s="8"/>
      <c r="U68" s="8"/>
      <c r="V68" s="22"/>
      <c r="W68" s="12"/>
      <c r="X68" s="12"/>
      <c r="Y68" s="12"/>
      <c r="Z68" s="12"/>
      <c r="AA68" s="9"/>
      <c r="AB68" s="12"/>
      <c r="AC68" s="6"/>
      <c r="AD68" s="6"/>
      <c r="AE68" s="7"/>
      <c r="AF68" s="7"/>
      <c r="AG68" s="7"/>
      <c r="AH68" s="7"/>
      <c r="AI68" s="7"/>
      <c r="AJ68" s="7"/>
      <c r="AK68" s="7"/>
      <c r="AL68" s="7"/>
      <c r="AM68" s="7"/>
      <c r="AN68" s="7"/>
      <c r="AO68" s="6"/>
      <c r="AP68" s="7"/>
      <c r="AQ68" s="7"/>
      <c r="AR68" s="6"/>
      <c r="AS68" s="7"/>
      <c r="AT68" s="7"/>
      <c r="AU68" s="7"/>
      <c r="AV68" s="7"/>
      <c r="AW68" s="7"/>
      <c r="AX68" s="7"/>
      <c r="AY68" s="7"/>
      <c r="AZ68" s="7"/>
      <c r="BA68" s="7"/>
      <c r="BB68" s="7"/>
      <c r="BC68" s="7"/>
      <c r="BD68" s="7"/>
      <c r="BE68" s="7"/>
      <c r="BF68" s="7"/>
      <c r="BG68" s="7"/>
    </row>
    <row r="69" customHeight="1" spans="1:59">
      <c r="A69" s="9" t="str">
        <f>IFERROR(__xludf.DUMMYFUNCTION("""COMPUTED_VALUE"""),"Aberdeen 17")</f>
        <v>Aberdeen 17</v>
      </c>
      <c r="B69" s="5" t="str">
        <f>IFERROR(__xludf.DUMMYFUNCTION("""COMPUTED_VALUE"""),"Aberdeen 24")</f>
        <v>Aberdeen 24</v>
      </c>
      <c r="C69" s="5" t="str">
        <f>IFERROR(__xludf.DUMMYFUNCTION("""COMPUTED_VALUE"""),"Aberdeen 12")</f>
        <v>Aberdeen 12</v>
      </c>
      <c r="D69" s="5" t="str">
        <f>IFERROR(__xludf.DUMMYFUNCTION("""COMPUTED_VALUE"""),"Starfarer Wreck")</f>
        <v>Starfarer Wreck</v>
      </c>
      <c r="E69" s="7" t="str">
        <f>IFERROR(__xludf.DUMMYFUNCTION("""COMPUTED_VALUE"""),"Starfarer")</f>
        <v>Starfarer</v>
      </c>
      <c r="F69" s="11">
        <f>IFERROR(__xludf.DUMMYFUNCTION("""COMPUTED_VALUE"""),153.456221401999)</f>
        <v>153.456221401999</v>
      </c>
      <c r="G69" s="11">
        <f>IFERROR(__xludf.DUMMYFUNCTION("""COMPUTED_VALUE"""),48.4436297439999)</f>
        <v>48.4436297439999</v>
      </c>
      <c r="H69" s="11">
        <f>IFERROR(__xludf.DUMMYFUNCTION("""COMPUTED_VALUE"""),223.124503857)</f>
        <v>223.124503857</v>
      </c>
      <c r="I69" s="15"/>
      <c r="J69" s="15"/>
      <c r="K69" s="15"/>
      <c r="L69" s="15"/>
      <c r="M69" s="7" t="b">
        <f>IFERROR(__xludf.DUMMYFUNCTION("""COMPUTED_VALUE"""),FALSE)</f>
        <v>0</v>
      </c>
      <c r="N69" s="10">
        <f>IFERROR(__xludf.DUMMYFUNCTION("""COMPUTED_VALUE"""),0)</f>
        <v>0</v>
      </c>
      <c r="O69" s="10">
        <f>IFERROR(__xludf.DUMMYFUNCTION("""COMPUTED_VALUE"""),0)</f>
        <v>0</v>
      </c>
      <c r="P69" s="8"/>
      <c r="Q69" s="7"/>
      <c r="R69" s="16"/>
      <c r="S69" s="17"/>
      <c r="T69" s="8"/>
      <c r="U69" s="8"/>
      <c r="V69" s="22"/>
      <c r="W69" s="12"/>
      <c r="X69" s="12"/>
      <c r="Y69" s="12"/>
      <c r="Z69" s="12"/>
      <c r="AA69" s="9"/>
      <c r="AB69" s="12"/>
      <c r="AC69" s="6"/>
      <c r="AD69" s="6"/>
      <c r="AE69" s="7"/>
      <c r="AF69" s="7"/>
      <c r="AG69" s="7"/>
      <c r="AH69" s="7"/>
      <c r="AI69" s="7"/>
      <c r="AJ69" s="7"/>
      <c r="AK69" s="7"/>
      <c r="AL69" s="7"/>
      <c r="AM69" s="7"/>
      <c r="AN69" s="7"/>
      <c r="AO69" s="6"/>
      <c r="AP69" s="7"/>
      <c r="AQ69" s="7"/>
      <c r="AR69" s="6"/>
      <c r="AS69" s="7"/>
      <c r="AT69" s="7"/>
      <c r="AU69" s="7"/>
      <c r="AV69" s="7"/>
      <c r="AW69" s="7"/>
      <c r="AX69" s="7"/>
      <c r="AY69" s="7"/>
      <c r="AZ69" s="7"/>
      <c r="BA69" s="7"/>
      <c r="BB69" s="7"/>
      <c r="BC69" s="7"/>
      <c r="BD69" s="7"/>
      <c r="BE69" s="7"/>
      <c r="BF69" s="7"/>
      <c r="BG69" s="7"/>
    </row>
    <row r="70" customHeight="1" spans="1:59">
      <c r="A70" s="9" t="str">
        <f>IFERROR(__xludf.DUMMYFUNCTION("""COMPUTED_VALUE"""),"Aberdeen 15")</f>
        <v>Aberdeen 15</v>
      </c>
      <c r="B70" s="5" t="str">
        <f>IFERROR(__xludf.DUMMYFUNCTION("""COMPUTED_VALUE"""),"Aberdeen 22")</f>
        <v>Aberdeen 22</v>
      </c>
      <c r="C70" s="5" t="str">
        <f>IFERROR(__xludf.DUMMYFUNCTION("""COMPUTED_VALUE"""),"Aberdeen 09")</f>
        <v>Aberdeen 09</v>
      </c>
      <c r="D70" s="5" t="str">
        <f>IFERROR(__xludf.DUMMYFUNCTION("""COMPUTED_VALUE"""),"Cutlass Wreck")</f>
        <v>Cutlass Wreck</v>
      </c>
      <c r="E70" s="7" t="str">
        <f>IFERROR(__xludf.DUMMYFUNCTION("""COMPUTED_VALUE"""),"Cutlass")</f>
        <v>Cutlass</v>
      </c>
      <c r="F70" s="11">
        <f>IFERROR(__xludf.DUMMYFUNCTION("""COMPUTED_VALUE"""),48.390643083)</f>
        <v>48.390643083</v>
      </c>
      <c r="G70" s="11">
        <f>IFERROR(__xludf.DUMMYFUNCTION("""COMPUTED_VALUE"""),219.891078516999)</f>
        <v>219.891078516999</v>
      </c>
      <c r="H70" s="11">
        <f>IFERROR(__xludf.DUMMYFUNCTION("""COMPUTED_VALUE"""),-157.839092374)</f>
        <v>-157.839092374</v>
      </c>
      <c r="I70" s="15"/>
      <c r="J70" s="15"/>
      <c r="K70" s="15"/>
      <c r="L70" s="15"/>
      <c r="M70" s="7" t="b">
        <f>IFERROR(__xludf.DUMMYFUNCTION("""COMPUTED_VALUE"""),FALSE)</f>
        <v>0</v>
      </c>
      <c r="N70" s="10">
        <f>IFERROR(__xludf.DUMMYFUNCTION("""COMPUTED_VALUE"""),0)</f>
        <v>0</v>
      </c>
      <c r="O70" s="10">
        <f>IFERROR(__xludf.DUMMYFUNCTION("""COMPUTED_VALUE"""),0)</f>
        <v>0</v>
      </c>
      <c r="P70" s="8"/>
      <c r="Q70" s="7"/>
      <c r="R70" s="16"/>
      <c r="S70" s="17"/>
      <c r="T70" s="8"/>
      <c r="U70" s="8"/>
      <c r="V70" s="22"/>
      <c r="W70" s="12"/>
      <c r="X70" s="12"/>
      <c r="Y70" s="12"/>
      <c r="Z70" s="12"/>
      <c r="AA70" s="9"/>
      <c r="AB70" s="12"/>
      <c r="AC70" s="6"/>
      <c r="AD70" s="6"/>
      <c r="AE70" s="7"/>
      <c r="AF70" s="7"/>
      <c r="AG70" s="7"/>
      <c r="AH70" s="7"/>
      <c r="AI70" s="7"/>
      <c r="AJ70" s="7"/>
      <c r="AK70" s="7"/>
      <c r="AL70" s="7"/>
      <c r="AM70" s="7"/>
      <c r="AN70" s="7"/>
      <c r="AO70" s="6"/>
      <c r="AP70" s="7"/>
      <c r="AQ70" s="7"/>
      <c r="AR70" s="6"/>
      <c r="AS70" s="7"/>
      <c r="AT70" s="7"/>
      <c r="AU70" s="7"/>
      <c r="AV70" s="7"/>
      <c r="AW70" s="7"/>
      <c r="AX70" s="7"/>
      <c r="AY70" s="7"/>
      <c r="AZ70" s="7"/>
      <c r="BA70" s="7"/>
      <c r="BB70" s="7"/>
      <c r="BC70" s="7"/>
      <c r="BD70" s="7"/>
      <c r="BE70" s="7"/>
      <c r="BF70" s="7"/>
      <c r="BG70" s="7"/>
    </row>
    <row r="71" customHeight="1" spans="1:59">
      <c r="A71" s="9" t="str">
        <f>IFERROR(__xludf.DUMMYFUNCTION("""COMPUTED_VALUE"""),"Aberdeen")</f>
        <v>Aberdeen</v>
      </c>
      <c r="B71" s="5" t="str">
        <f>IFERROR(__xludf.DUMMYFUNCTION("""COMPUTED_VALUE"""),"Aberdeen 26")</f>
        <v>Aberdeen 26</v>
      </c>
      <c r="C71" s="5"/>
      <c r="D71" s="5" t="str">
        <f>IFERROR(__xludf.DUMMYFUNCTION("""COMPUTED_VALUE"""),"Comm Array")</f>
        <v>Comm Array</v>
      </c>
      <c r="E71" s="7"/>
      <c r="F71" s="11"/>
      <c r="G71" s="11"/>
      <c r="H71" s="11"/>
      <c r="I71" s="15"/>
      <c r="J71" s="15"/>
      <c r="K71" s="15"/>
      <c r="L71" s="15"/>
      <c r="M71" s="7"/>
      <c r="N71" s="10"/>
      <c r="O71" s="10"/>
      <c r="P71" s="8"/>
      <c r="Q71" s="7"/>
      <c r="R71" s="16"/>
      <c r="S71" s="17"/>
      <c r="T71" s="8"/>
      <c r="U71" s="8"/>
      <c r="V71" s="22"/>
      <c r="W71" s="12"/>
      <c r="X71" s="12"/>
      <c r="Y71" s="12"/>
      <c r="Z71" s="12"/>
      <c r="AA71" s="9"/>
      <c r="AB71" s="12"/>
      <c r="AC71" s="6"/>
      <c r="AD71" s="6"/>
      <c r="AE71" s="7"/>
      <c r="AF71" s="7"/>
      <c r="AG71" s="7"/>
      <c r="AH71" s="7"/>
      <c r="AI71" s="7"/>
      <c r="AJ71" s="7"/>
      <c r="AK71" s="7"/>
      <c r="AL71" s="7"/>
      <c r="AM71" s="7"/>
      <c r="AN71" s="7"/>
      <c r="AO71" s="6"/>
      <c r="AP71" s="7"/>
      <c r="AQ71" s="7"/>
      <c r="AR71" s="6"/>
      <c r="AS71" s="7"/>
      <c r="AT71" s="7"/>
      <c r="AU71" s="7"/>
      <c r="AV71" s="7"/>
      <c r="AW71" s="7"/>
      <c r="AX71" s="7"/>
      <c r="AY71" s="7"/>
      <c r="AZ71" s="7"/>
      <c r="BA71" s="7"/>
      <c r="BB71" s="7"/>
      <c r="BC71" s="7"/>
      <c r="BD71" s="7"/>
      <c r="BE71" s="7"/>
      <c r="BF71" s="7"/>
      <c r="BG71" s="7"/>
    </row>
    <row r="72" customHeight="1" spans="1:59">
      <c r="A72" s="9" t="str">
        <f>IFERROR(__xludf.DUMMYFUNCTION("""COMPUTED_VALUE"""),"Aberdeen 06")</f>
        <v>Aberdeen 06</v>
      </c>
      <c r="B72" s="5" t="str">
        <f>IFERROR(__xludf.DUMMYFUNCTION("""COMPUTED_VALUE"""),"Aberdeen 27")</f>
        <v>Aberdeen 27</v>
      </c>
      <c r="C72" s="5" t="str">
        <f>IFERROR(__xludf.DUMMYFUNCTION("""COMPUTED_VALUE"""),"Aberdeen 20")</f>
        <v>Aberdeen 20</v>
      </c>
      <c r="D72" s="5" t="str">
        <f>IFERROR(__xludf.DUMMYFUNCTION("""COMPUTED_VALUE"""),"Comm Array ST1-92")</f>
        <v>Comm Array ST1-92</v>
      </c>
      <c r="E72" s="7" t="str">
        <f>IFERROR(__xludf.DUMMYFUNCTION("""COMPUTED_VALUE"""),"ST1-92")</f>
        <v>ST1-92</v>
      </c>
      <c r="F72" s="11">
        <f>IFERROR(__xludf.DUMMYFUNCTION("""COMPUTED_VALUE"""),-435.358516500473)</f>
        <v>-435.358516500473</v>
      </c>
      <c r="G72" s="11">
        <f>IFERROR(__xludf.DUMMYFUNCTION("""COMPUTED_VALUE"""),-45.213629606001)</f>
        <v>-45.213629606001</v>
      </c>
      <c r="H72" s="11">
        <f>IFERROR(__xludf.DUMMYFUNCTION("""COMPUTED_VALUE"""),24)</f>
        <v>24</v>
      </c>
      <c r="I72" s="15"/>
      <c r="J72" s="15"/>
      <c r="K72" s="15"/>
      <c r="L72" s="15"/>
      <c r="M72" s="7" t="b">
        <f>IFERROR(__xludf.DUMMYFUNCTION("""COMPUTED_VALUE"""),TRUE)</f>
        <v>1</v>
      </c>
      <c r="N72" s="10">
        <f>IFERROR(__xludf.DUMMYFUNCTION("""COMPUTED_VALUE"""),0)</f>
        <v>0</v>
      </c>
      <c r="O72" s="10">
        <f>IFERROR(__xludf.DUMMYFUNCTION("""COMPUTED_VALUE"""),0)</f>
        <v>0</v>
      </c>
      <c r="P72" s="8"/>
      <c r="Q72" s="7"/>
      <c r="R72" s="16"/>
      <c r="S72" s="17"/>
      <c r="T72" s="8"/>
      <c r="U72" s="8"/>
      <c r="V72" s="22"/>
      <c r="W72" s="12"/>
      <c r="X72" s="12"/>
      <c r="Y72" s="12"/>
      <c r="Z72" s="12"/>
      <c r="AA72" s="9"/>
      <c r="AB72" s="12"/>
      <c r="AC72" s="6"/>
      <c r="AD72" s="6"/>
      <c r="AE72" s="7"/>
      <c r="AF72" s="7"/>
      <c r="AG72" s="7"/>
      <c r="AH72" s="7"/>
      <c r="AI72" s="7"/>
      <c r="AJ72" s="7"/>
      <c r="AK72" s="7"/>
      <c r="AL72" s="7"/>
      <c r="AM72" s="7"/>
      <c r="AN72" s="7"/>
      <c r="AO72" s="6"/>
      <c r="AP72" s="7"/>
      <c r="AQ72" s="7"/>
      <c r="AR72" s="6"/>
      <c r="AS72" s="7"/>
      <c r="AT72" s="7"/>
      <c r="AU72" s="7"/>
      <c r="AV72" s="7"/>
      <c r="AW72" s="7"/>
      <c r="AX72" s="7"/>
      <c r="AY72" s="7"/>
      <c r="AZ72" s="7"/>
      <c r="BA72" s="7"/>
      <c r="BB72" s="7"/>
      <c r="BC72" s="7"/>
      <c r="BD72" s="7"/>
      <c r="BE72" s="7"/>
      <c r="BF72" s="7"/>
      <c r="BG72" s="7"/>
    </row>
    <row r="73" customHeight="1" spans="1:59">
      <c r="A73" s="9"/>
      <c r="B73" s="5"/>
      <c r="C73" s="5"/>
      <c r="D73" s="5"/>
      <c r="E73" s="7"/>
      <c r="F73" s="11"/>
      <c r="G73" s="11"/>
      <c r="H73" s="11"/>
      <c r="I73" s="15"/>
      <c r="J73" s="15"/>
      <c r="K73" s="15"/>
      <c r="L73" s="15"/>
      <c r="M73" s="7"/>
      <c r="N73" s="10"/>
      <c r="O73" s="10"/>
      <c r="P73" s="8"/>
      <c r="Q73" s="7"/>
      <c r="R73" s="16"/>
      <c r="S73" s="17"/>
      <c r="T73" s="8"/>
      <c r="U73" s="8"/>
      <c r="V73" s="22"/>
      <c r="W73" s="12"/>
      <c r="X73" s="12"/>
      <c r="Y73" s="12"/>
      <c r="Z73" s="12"/>
      <c r="AA73" s="9"/>
      <c r="AB73" s="12"/>
      <c r="AC73" s="6"/>
      <c r="AD73" s="6"/>
      <c r="AE73" s="7"/>
      <c r="AF73" s="7"/>
      <c r="AG73" s="7"/>
      <c r="AH73" s="7"/>
      <c r="AI73" s="7"/>
      <c r="AJ73" s="7"/>
      <c r="AK73" s="7"/>
      <c r="AL73" s="7"/>
      <c r="AM73" s="7"/>
      <c r="AN73" s="7"/>
      <c r="AO73" s="6"/>
      <c r="AP73" s="7"/>
      <c r="AQ73" s="7"/>
      <c r="AR73" s="6"/>
      <c r="AS73" s="7"/>
      <c r="AT73" s="7"/>
      <c r="AU73" s="7"/>
      <c r="AV73" s="7"/>
      <c r="AW73" s="7"/>
      <c r="AX73" s="7"/>
      <c r="AY73" s="7"/>
      <c r="AZ73" s="7"/>
      <c r="BA73" s="7"/>
      <c r="BB73" s="7"/>
      <c r="BC73" s="7"/>
      <c r="BD73" s="7"/>
      <c r="BE73" s="7"/>
      <c r="BF73" s="7"/>
      <c r="BG73" s="7"/>
    </row>
    <row r="74" customHeight="1" spans="1:59">
      <c r="A74" s="9" t="str">
        <f>IFERROR(__xludf.DUMMYFUNCTION("""COMPUTED_VALUE"""),"ArcCorp R01")</f>
        <v>ArcCorp R01</v>
      </c>
      <c r="B74" s="5" t="str">
        <f>IFERROR(__xludf.DUMMYFUNCTION("""COMPUTED_VALUE"""),"ArcCorp 18")</f>
        <v>ArcCorp 18</v>
      </c>
      <c r="C74" s="5"/>
      <c r="D74" s="5" t="str">
        <f>IFERROR(__xludf.DUMMYFUNCTION("""COMPUTED_VALUE"""),"OM-1")</f>
        <v>OM-1</v>
      </c>
      <c r="E74" s="7" t="str">
        <f>IFERROR(__xludf.DUMMYFUNCTION("""COMPUTED_VALUE"""),"OM1")</f>
        <v>OM1</v>
      </c>
      <c r="F74" s="11">
        <f>IFERROR(__xludf.DUMMYFUNCTION("""COMPUTED_VALUE"""),0)</f>
        <v>0</v>
      </c>
      <c r="G74" s="11">
        <f>IFERROR(__xludf.DUMMYFUNCTION("""COMPUTED_VALUE"""),0)</f>
        <v>0</v>
      </c>
      <c r="H74" s="11">
        <f>IFERROR(__xludf.DUMMYFUNCTION("""COMPUTED_VALUE"""),1151.452)</f>
        <v>1151.452</v>
      </c>
      <c r="I74" s="15"/>
      <c r="J74" s="15"/>
      <c r="K74" s="15"/>
      <c r="L74" s="15"/>
      <c r="M74" s="7" t="b">
        <f>IFERROR(__xludf.DUMMYFUNCTION("""COMPUTED_VALUE"""),TRUE)</f>
        <v>1</v>
      </c>
      <c r="N74" s="10">
        <f>IFERROR(__xludf.DUMMYFUNCTION("""COMPUTED_VALUE"""),0)</f>
        <v>0</v>
      </c>
      <c r="O74" s="10">
        <f>IFERROR(__xludf.DUMMYFUNCTION("""COMPUTED_VALUE"""),0)</f>
        <v>0</v>
      </c>
      <c r="P74" s="8"/>
      <c r="Q74" s="7"/>
      <c r="R74" s="16"/>
      <c r="S74" s="17"/>
      <c r="T74" s="8"/>
      <c r="U74" s="8"/>
      <c r="V74" s="22"/>
      <c r="W74" s="12"/>
      <c r="X74" s="12"/>
      <c r="Y74" s="12"/>
      <c r="Z74" s="12"/>
      <c r="AA74" s="9"/>
      <c r="AB74" s="12"/>
      <c r="AC74" s="6"/>
      <c r="AD74" s="6"/>
      <c r="AE74" s="7"/>
      <c r="AF74" s="7"/>
      <c r="AG74" s="7"/>
      <c r="AH74" s="7"/>
      <c r="AI74" s="7"/>
      <c r="AJ74" s="7"/>
      <c r="AK74" s="7"/>
      <c r="AL74" s="7"/>
      <c r="AM74" s="7"/>
      <c r="AN74" s="7"/>
      <c r="AO74" s="6"/>
      <c r="AP74" s="7"/>
      <c r="AQ74" s="7"/>
      <c r="AR74" s="6"/>
      <c r="AS74" s="7"/>
      <c r="AT74" s="7"/>
      <c r="AU74" s="7"/>
      <c r="AV74" s="7"/>
      <c r="AW74" s="7"/>
      <c r="AX74" s="7"/>
      <c r="AY74" s="7"/>
      <c r="AZ74" s="7"/>
      <c r="BA74" s="7"/>
      <c r="BB74" s="7"/>
      <c r="BC74" s="7"/>
      <c r="BD74" s="7"/>
      <c r="BE74" s="7"/>
      <c r="BF74" s="7"/>
      <c r="BG74" s="7"/>
    </row>
    <row r="75" customHeight="1" spans="1:59">
      <c r="A75" s="9" t="str">
        <f>IFERROR(__xludf.DUMMYFUNCTION("""COMPUTED_VALUE"""),"ArcCorp R02")</f>
        <v>ArcCorp R02</v>
      </c>
      <c r="B75" s="5" t="str">
        <f>IFERROR(__xludf.DUMMYFUNCTION("""COMPUTED_VALUE"""),"ArcCorp 19")</f>
        <v>ArcCorp 19</v>
      </c>
      <c r="C75" s="5"/>
      <c r="D75" s="5" t="str">
        <f>IFERROR(__xludf.DUMMYFUNCTION("""COMPUTED_VALUE"""),"OM-2")</f>
        <v>OM-2</v>
      </c>
      <c r="E75" s="7" t="str">
        <f>IFERROR(__xludf.DUMMYFUNCTION("""COMPUTED_VALUE"""),"OM2")</f>
        <v>OM2</v>
      </c>
      <c r="F75" s="11">
        <f>IFERROR(__xludf.DUMMYFUNCTION("""COMPUTED_VALUE"""),0)</f>
        <v>0</v>
      </c>
      <c r="G75" s="11">
        <f>IFERROR(__xludf.DUMMYFUNCTION("""COMPUTED_VALUE"""),0)</f>
        <v>0</v>
      </c>
      <c r="H75" s="11">
        <f>IFERROR(__xludf.DUMMYFUNCTION("""COMPUTED_VALUE"""),-1151.452)</f>
        <v>-1151.452</v>
      </c>
      <c r="I75" s="15"/>
      <c r="J75" s="15"/>
      <c r="K75" s="15"/>
      <c r="L75" s="15"/>
      <c r="M75" s="7" t="b">
        <f>IFERROR(__xludf.DUMMYFUNCTION("""COMPUTED_VALUE"""),TRUE)</f>
        <v>1</v>
      </c>
      <c r="N75" s="10">
        <f>IFERROR(__xludf.DUMMYFUNCTION("""COMPUTED_VALUE"""),0)</f>
        <v>0</v>
      </c>
      <c r="O75" s="10">
        <f>IFERROR(__xludf.DUMMYFUNCTION("""COMPUTED_VALUE"""),0)</f>
        <v>0</v>
      </c>
      <c r="P75" s="8"/>
      <c r="Q75" s="7"/>
      <c r="R75" s="16"/>
      <c r="S75" s="17"/>
      <c r="T75" s="8"/>
      <c r="U75" s="8"/>
      <c r="V75" s="22"/>
      <c r="W75" s="12"/>
      <c r="X75" s="12"/>
      <c r="Y75" s="12"/>
      <c r="Z75" s="12"/>
      <c r="AA75" s="9"/>
      <c r="AB75" s="12"/>
      <c r="AC75" s="6"/>
      <c r="AD75" s="6"/>
      <c r="AE75" s="7"/>
      <c r="AF75" s="7"/>
      <c r="AG75" s="7"/>
      <c r="AH75" s="7"/>
      <c r="AI75" s="7"/>
      <c r="AJ75" s="7"/>
      <c r="AK75" s="7"/>
      <c r="AL75" s="7"/>
      <c r="AM75" s="7"/>
      <c r="AN75" s="7"/>
      <c r="AO75" s="6"/>
      <c r="AP75" s="7"/>
      <c r="AQ75" s="7"/>
      <c r="AR75" s="6"/>
      <c r="AS75" s="7"/>
      <c r="AT75" s="7"/>
      <c r="AU75" s="7"/>
      <c r="AV75" s="7"/>
      <c r="AW75" s="7"/>
      <c r="AX75" s="7"/>
      <c r="AY75" s="7"/>
      <c r="AZ75" s="7"/>
      <c r="BA75" s="7"/>
      <c r="BB75" s="7"/>
      <c r="BC75" s="7"/>
      <c r="BD75" s="7"/>
      <c r="BE75" s="7"/>
      <c r="BF75" s="7"/>
      <c r="BG75" s="7"/>
    </row>
    <row r="76" customHeight="1" spans="1:59">
      <c r="A76" s="9" t="str">
        <f>IFERROR(__xludf.DUMMYFUNCTION("""COMPUTED_VALUE"""),"ArcCorp R03")</f>
        <v>ArcCorp R03</v>
      </c>
      <c r="B76" s="5" t="str">
        <f>IFERROR(__xludf.DUMMYFUNCTION("""COMPUTED_VALUE"""),"ArcCorp 20")</f>
        <v>ArcCorp 20</v>
      </c>
      <c r="C76" s="5" t="str">
        <f>IFERROR(__xludf.DUMMYFUNCTION("""COMPUTED_VALUE"""),"ArcCorp 01")</f>
        <v>ArcCorp 01</v>
      </c>
      <c r="D76" s="5" t="str">
        <f>IFERROR(__xludf.DUMMYFUNCTION("""COMPUTED_VALUE"""),"OM-3")</f>
        <v>OM-3</v>
      </c>
      <c r="E76" s="7" t="str">
        <f>IFERROR(__xludf.DUMMYFUNCTION("""COMPUTED_VALUE"""),"OM3")</f>
        <v>OM3</v>
      </c>
      <c r="F76" s="11">
        <f>IFERROR(__xludf.DUMMYFUNCTION("""COMPUTED_VALUE"""),0)</f>
        <v>0</v>
      </c>
      <c r="G76" s="11">
        <f>IFERROR(__xludf.DUMMYFUNCTION("""COMPUTED_VALUE"""),1151.452)</f>
        <v>1151.452</v>
      </c>
      <c r="H76" s="11">
        <f>IFERROR(__xludf.DUMMYFUNCTION("""COMPUTED_VALUE"""),0)</f>
        <v>0</v>
      </c>
      <c r="I76" s="15"/>
      <c r="J76" s="15"/>
      <c r="K76" s="15"/>
      <c r="L76" s="15"/>
      <c r="M76" s="7" t="b">
        <f>IFERROR(__xludf.DUMMYFUNCTION("""COMPUTED_VALUE"""),TRUE)</f>
        <v>1</v>
      </c>
      <c r="N76" s="10">
        <f>IFERROR(__xludf.DUMMYFUNCTION("""COMPUTED_VALUE"""),0)</f>
        <v>0</v>
      </c>
      <c r="O76" s="10">
        <f>IFERROR(__xludf.DUMMYFUNCTION("""COMPUTED_VALUE"""),0)</f>
        <v>0</v>
      </c>
      <c r="P76" s="8"/>
      <c r="Q76" s="7"/>
      <c r="R76" s="16"/>
      <c r="S76" s="17"/>
      <c r="T76" s="8"/>
      <c r="U76" s="8"/>
      <c r="V76" s="22"/>
      <c r="W76" s="12"/>
      <c r="X76" s="12"/>
      <c r="Y76" s="12"/>
      <c r="Z76" s="12"/>
      <c r="AA76" s="9"/>
      <c r="AB76" s="12"/>
      <c r="AC76" s="6"/>
      <c r="AD76" s="6"/>
      <c r="AE76" s="7"/>
      <c r="AF76" s="7"/>
      <c r="AG76" s="7"/>
      <c r="AH76" s="7"/>
      <c r="AI76" s="7"/>
      <c r="AJ76" s="7"/>
      <c r="AK76" s="7"/>
      <c r="AL76" s="7"/>
      <c r="AM76" s="7"/>
      <c r="AN76" s="7"/>
      <c r="AO76" s="6"/>
      <c r="AP76" s="7"/>
      <c r="AQ76" s="7"/>
      <c r="AR76" s="6"/>
      <c r="AS76" s="7"/>
      <c r="AT76" s="7"/>
      <c r="AU76" s="7"/>
      <c r="AV76" s="7"/>
      <c r="AW76" s="7"/>
      <c r="AX76" s="7"/>
      <c r="AY76" s="7"/>
      <c r="AZ76" s="7"/>
      <c r="BA76" s="7"/>
      <c r="BB76" s="7"/>
      <c r="BC76" s="7"/>
      <c r="BD76" s="7"/>
      <c r="BE76" s="7"/>
      <c r="BF76" s="7"/>
      <c r="BG76" s="7"/>
    </row>
    <row r="77" customHeight="1" spans="1:59">
      <c r="A77" s="9" t="str">
        <f>IFERROR(__xludf.DUMMYFUNCTION("""COMPUTED_VALUE"""),"ArcCorp R04")</f>
        <v>ArcCorp R04</v>
      </c>
      <c r="B77" s="5" t="str">
        <f>IFERROR(__xludf.DUMMYFUNCTION("""COMPUTED_VALUE"""),"ArcCorp 21")</f>
        <v>ArcCorp 21</v>
      </c>
      <c r="C77" s="5" t="str">
        <f>IFERROR(__xludf.DUMMYFUNCTION("""COMPUTED_VALUE"""),"ArcCorp 06")</f>
        <v>ArcCorp 06</v>
      </c>
      <c r="D77" s="5" t="str">
        <f>IFERROR(__xludf.DUMMYFUNCTION("""COMPUTED_VALUE"""),"OM-4")</f>
        <v>OM-4</v>
      </c>
      <c r="E77" s="7" t="str">
        <f>IFERROR(__xludf.DUMMYFUNCTION("""COMPUTED_VALUE"""),"OM4")</f>
        <v>OM4</v>
      </c>
      <c r="F77" s="11">
        <f>IFERROR(__xludf.DUMMYFUNCTION("""COMPUTED_VALUE"""),0)</f>
        <v>0</v>
      </c>
      <c r="G77" s="11">
        <f>IFERROR(__xludf.DUMMYFUNCTION("""COMPUTED_VALUE"""),-1151.452)</f>
        <v>-1151.452</v>
      </c>
      <c r="H77" s="11">
        <f>IFERROR(__xludf.DUMMYFUNCTION("""COMPUTED_VALUE"""),0)</f>
        <v>0</v>
      </c>
      <c r="I77" s="15"/>
      <c r="J77" s="15"/>
      <c r="K77" s="15"/>
      <c r="L77" s="15"/>
      <c r="M77" s="7" t="b">
        <f>IFERROR(__xludf.DUMMYFUNCTION("""COMPUTED_VALUE"""),TRUE)</f>
        <v>1</v>
      </c>
      <c r="N77" s="10">
        <f>IFERROR(__xludf.DUMMYFUNCTION("""COMPUTED_VALUE"""),0)</f>
        <v>0</v>
      </c>
      <c r="O77" s="10">
        <f>IFERROR(__xludf.DUMMYFUNCTION("""COMPUTED_VALUE"""),0)</f>
        <v>0</v>
      </c>
      <c r="P77" s="8"/>
      <c r="Q77" s="7"/>
      <c r="R77" s="16"/>
      <c r="S77" s="17"/>
      <c r="T77" s="8"/>
      <c r="U77" s="8"/>
      <c r="V77" s="22"/>
      <c r="W77" s="12"/>
      <c r="X77" s="12"/>
      <c r="Y77" s="12"/>
      <c r="Z77" s="12"/>
      <c r="AA77" s="9"/>
      <c r="AB77" s="12"/>
      <c r="AC77" s="6"/>
      <c r="AD77" s="6"/>
      <c r="AE77" s="7"/>
      <c r="AF77" s="7"/>
      <c r="AG77" s="7"/>
      <c r="AH77" s="7"/>
      <c r="AI77" s="7"/>
      <c r="AJ77" s="7"/>
      <c r="AK77" s="7"/>
      <c r="AL77" s="7"/>
      <c r="AM77" s="7"/>
      <c r="AN77" s="7"/>
      <c r="AO77" s="6"/>
      <c r="AP77" s="7"/>
      <c r="AQ77" s="7"/>
      <c r="AR77" s="6"/>
      <c r="AS77" s="7"/>
      <c r="AT77" s="7"/>
      <c r="AU77" s="7"/>
      <c r="AV77" s="7"/>
      <c r="AW77" s="7"/>
      <c r="AX77" s="7"/>
      <c r="AY77" s="7"/>
      <c r="AZ77" s="7"/>
      <c r="BA77" s="7"/>
      <c r="BB77" s="7"/>
      <c r="BC77" s="7"/>
      <c r="BD77" s="7"/>
      <c r="BE77" s="7"/>
      <c r="BF77" s="7"/>
      <c r="BG77" s="7"/>
    </row>
    <row r="78" customHeight="1" spans="1:59">
      <c r="A78" s="9" t="str">
        <f>IFERROR(__xludf.DUMMYFUNCTION("""COMPUTED_VALUE"""),"ArcCorp R05")</f>
        <v>ArcCorp R05</v>
      </c>
      <c r="B78" s="5" t="str">
        <f>IFERROR(__xludf.DUMMYFUNCTION("""COMPUTED_VALUE"""),"ArcCorp 22")</f>
        <v>ArcCorp 22</v>
      </c>
      <c r="C78" s="5" t="str">
        <f>IFERROR(__xludf.DUMMYFUNCTION("""COMPUTED_VALUE"""),"ArcCorp 04")</f>
        <v>ArcCorp 04</v>
      </c>
      <c r="D78" s="5" t="str">
        <f>IFERROR(__xludf.DUMMYFUNCTION("""COMPUTED_VALUE"""),"OM-5")</f>
        <v>OM-5</v>
      </c>
      <c r="E78" s="7" t="str">
        <f>IFERROR(__xludf.DUMMYFUNCTION("""COMPUTED_VALUE"""),"OM5")</f>
        <v>OM5</v>
      </c>
      <c r="F78" s="11">
        <f>IFERROR(__xludf.DUMMYFUNCTION("""COMPUTED_VALUE"""),1151.452)</f>
        <v>1151.452</v>
      </c>
      <c r="G78" s="11">
        <f>IFERROR(__xludf.DUMMYFUNCTION("""COMPUTED_VALUE"""),0)</f>
        <v>0</v>
      </c>
      <c r="H78" s="11">
        <f>IFERROR(__xludf.DUMMYFUNCTION("""COMPUTED_VALUE"""),0)</f>
        <v>0</v>
      </c>
      <c r="I78" s="15"/>
      <c r="J78" s="15"/>
      <c r="K78" s="15"/>
      <c r="L78" s="15"/>
      <c r="M78" s="7" t="b">
        <f>IFERROR(__xludf.DUMMYFUNCTION("""COMPUTED_VALUE"""),TRUE)</f>
        <v>1</v>
      </c>
      <c r="N78" s="10">
        <f>IFERROR(__xludf.DUMMYFUNCTION("""COMPUTED_VALUE"""),0)</f>
        <v>0</v>
      </c>
      <c r="O78" s="10">
        <f>IFERROR(__xludf.DUMMYFUNCTION("""COMPUTED_VALUE"""),0)</f>
        <v>0</v>
      </c>
      <c r="P78" s="8"/>
      <c r="Q78" s="7"/>
      <c r="R78" s="16"/>
      <c r="S78" s="17"/>
      <c r="T78" s="8"/>
      <c r="U78" s="8"/>
      <c r="V78" s="22"/>
      <c r="W78" s="12"/>
      <c r="X78" s="12"/>
      <c r="Y78" s="12"/>
      <c r="Z78" s="12"/>
      <c r="AA78" s="9"/>
      <c r="AB78" s="12"/>
      <c r="AC78" s="6"/>
      <c r="AD78" s="6"/>
      <c r="AE78" s="7"/>
      <c r="AF78" s="7"/>
      <c r="AG78" s="7"/>
      <c r="AH78" s="7"/>
      <c r="AI78" s="7"/>
      <c r="AJ78" s="7"/>
      <c r="AK78" s="7"/>
      <c r="AL78" s="7"/>
      <c r="AM78" s="7"/>
      <c r="AN78" s="7"/>
      <c r="AO78" s="6"/>
      <c r="AP78" s="7"/>
      <c r="AQ78" s="7"/>
      <c r="AR78" s="6"/>
      <c r="AS78" s="7"/>
      <c r="AT78" s="7"/>
      <c r="AU78" s="7"/>
      <c r="AV78" s="7"/>
      <c r="AW78" s="7"/>
      <c r="AX78" s="7"/>
      <c r="AY78" s="7"/>
      <c r="AZ78" s="7"/>
      <c r="BA78" s="7"/>
      <c r="BB78" s="7"/>
      <c r="BC78" s="7"/>
      <c r="BD78" s="7"/>
      <c r="BE78" s="7"/>
      <c r="BF78" s="7"/>
      <c r="BG78" s="7"/>
    </row>
    <row r="79" customHeight="1" spans="1:59">
      <c r="A79" s="9" t="str">
        <f>IFERROR(__xludf.DUMMYFUNCTION("""COMPUTED_VALUE"""),"ArcCorp R06")</f>
        <v>ArcCorp R06</v>
      </c>
      <c r="B79" s="5" t="str">
        <f>IFERROR(__xludf.DUMMYFUNCTION("""COMPUTED_VALUE"""),"ArcCorp 23")</f>
        <v>ArcCorp 23</v>
      </c>
      <c r="C79" s="5" t="str">
        <f>IFERROR(__xludf.DUMMYFUNCTION("""COMPUTED_VALUE"""),"ArcCorp 14")</f>
        <v>ArcCorp 14</v>
      </c>
      <c r="D79" s="5" t="str">
        <f>IFERROR(__xludf.DUMMYFUNCTION("""COMPUTED_VALUE"""),"OM-6")</f>
        <v>OM-6</v>
      </c>
      <c r="E79" s="7" t="str">
        <f>IFERROR(__xludf.DUMMYFUNCTION("""COMPUTED_VALUE"""),"OM6")</f>
        <v>OM6</v>
      </c>
      <c r="F79" s="11">
        <f>IFERROR(__xludf.DUMMYFUNCTION("""COMPUTED_VALUE"""),-1151.452)</f>
        <v>-1151.452</v>
      </c>
      <c r="G79" s="11">
        <f>IFERROR(__xludf.DUMMYFUNCTION("""COMPUTED_VALUE"""),0)</f>
        <v>0</v>
      </c>
      <c r="H79" s="11">
        <f>IFERROR(__xludf.DUMMYFUNCTION("""COMPUTED_VALUE"""),0)</f>
        <v>0</v>
      </c>
      <c r="I79" s="15"/>
      <c r="J79" s="15"/>
      <c r="K79" s="15"/>
      <c r="L79" s="15"/>
      <c r="M79" s="7" t="b">
        <f>IFERROR(__xludf.DUMMYFUNCTION("""COMPUTED_VALUE"""),TRUE)</f>
        <v>1</v>
      </c>
      <c r="N79" s="10">
        <f>IFERROR(__xludf.DUMMYFUNCTION("""COMPUTED_VALUE"""),0)</f>
        <v>0</v>
      </c>
      <c r="O79" s="10">
        <f>IFERROR(__xludf.DUMMYFUNCTION("""COMPUTED_VALUE"""),0)</f>
        <v>0</v>
      </c>
      <c r="P79" s="8"/>
      <c r="Q79" s="7"/>
      <c r="R79" s="16"/>
      <c r="S79" s="17"/>
      <c r="T79" s="8"/>
      <c r="U79" s="8"/>
      <c r="V79" s="22"/>
      <c r="W79" s="12"/>
      <c r="X79" s="12"/>
      <c r="Y79" s="12"/>
      <c r="Z79" s="12"/>
      <c r="AA79" s="9"/>
      <c r="AB79" s="12"/>
      <c r="AC79" s="6"/>
      <c r="AD79" s="6"/>
      <c r="AE79" s="7"/>
      <c r="AF79" s="7"/>
      <c r="AG79" s="7"/>
      <c r="AH79" s="7"/>
      <c r="AI79" s="7"/>
      <c r="AJ79" s="7"/>
      <c r="AK79" s="7"/>
      <c r="AL79" s="7"/>
      <c r="AM79" s="7"/>
      <c r="AN79" s="7"/>
      <c r="AO79" s="6"/>
      <c r="AP79" s="7"/>
      <c r="AQ79" s="7"/>
      <c r="AR79" s="6"/>
      <c r="AS79" s="7"/>
      <c r="AT79" s="7"/>
      <c r="AU79" s="7"/>
      <c r="AV79" s="7"/>
      <c r="AW79" s="7"/>
      <c r="AX79" s="7"/>
      <c r="AY79" s="7"/>
      <c r="AZ79" s="7"/>
      <c r="BA79" s="7"/>
      <c r="BB79" s="7"/>
      <c r="BC79" s="7"/>
      <c r="BD79" s="7"/>
      <c r="BE79" s="7"/>
      <c r="BF79" s="7"/>
      <c r="BG79" s="7"/>
    </row>
    <row r="80" customHeight="1" spans="1:59">
      <c r="A80" s="9" t="str">
        <f>IFERROR(__xludf.DUMMYFUNCTION("""COMPUTED_VALUE"""),"ArcCorp")</f>
        <v>ArcCorp</v>
      </c>
      <c r="B80" s="5" t="str">
        <f>IFERROR(__xludf.DUMMYFUNCTION("""COMPUTED_VALUE"""),"ArcCorp 00")</f>
        <v>ArcCorp 00</v>
      </c>
      <c r="C80" s="5"/>
      <c r="D80" s="5" t="str">
        <f>IFERROR(__xludf.DUMMYFUNCTION("""COMPUTED_VALUE"""),"Landing Zone")</f>
        <v>Landing Zone</v>
      </c>
      <c r="E80" s="7"/>
      <c r="F80" s="11"/>
      <c r="G80" s="11"/>
      <c r="H80" s="11"/>
      <c r="I80" s="15"/>
      <c r="J80" s="15"/>
      <c r="K80" s="15"/>
      <c r="L80" s="15"/>
      <c r="M80" s="7"/>
      <c r="N80" s="10"/>
      <c r="O80" s="10"/>
      <c r="P80" s="8"/>
      <c r="Q80" s="7"/>
      <c r="R80" s="16"/>
      <c r="S80" s="17"/>
      <c r="T80" s="8"/>
      <c r="U80" s="8"/>
      <c r="V80" s="22"/>
      <c r="W80" s="12"/>
      <c r="X80" s="12"/>
      <c r="Y80" s="12"/>
      <c r="Z80" s="12"/>
      <c r="AA80" s="9"/>
      <c r="AB80" s="12"/>
      <c r="AC80" s="6"/>
      <c r="AD80" s="6"/>
      <c r="AE80" s="7"/>
      <c r="AF80" s="7"/>
      <c r="AG80" s="7"/>
      <c r="AH80" s="7"/>
      <c r="AI80" s="7"/>
      <c r="AJ80" s="7"/>
      <c r="AK80" s="7"/>
      <c r="AL80" s="7"/>
      <c r="AM80" s="7"/>
      <c r="AN80" s="7"/>
      <c r="AO80" s="6"/>
      <c r="AP80" s="7"/>
      <c r="AQ80" s="7"/>
      <c r="AR80" s="6"/>
      <c r="AS80" s="7"/>
      <c r="AT80" s="7"/>
      <c r="AU80" s="7"/>
      <c r="AV80" s="7"/>
      <c r="AW80" s="7"/>
      <c r="AX80" s="7"/>
      <c r="AY80" s="7"/>
      <c r="AZ80" s="7"/>
      <c r="BA80" s="7"/>
      <c r="BB80" s="7"/>
      <c r="BC80" s="7"/>
      <c r="BD80" s="7"/>
      <c r="BE80" s="7"/>
      <c r="BF80" s="7"/>
      <c r="BG80" s="7"/>
    </row>
    <row r="81" customHeight="1" spans="1:59">
      <c r="A81" s="9" t="str">
        <f>IFERROR(__xludf.DUMMYFUNCTION("""COMPUTED_VALUE"""),"ArcCorp 01")</f>
        <v>ArcCorp 01</v>
      </c>
      <c r="B81" s="5" t="str">
        <f>IFERROR(__xludf.DUMMYFUNCTION("""COMPUTED_VALUE"""),"ArcCorp 01")</f>
        <v>ArcCorp 01</v>
      </c>
      <c r="C81" s="5" t="str">
        <f>IFERROR(__xludf.DUMMYFUNCTION("""COMPUTED_VALUE"""),"ArcCorp 11")</f>
        <v>ArcCorp 11</v>
      </c>
      <c r="D81" s="5" t="str">
        <f>IFERROR(__xludf.DUMMYFUNCTION("""COMPUTED_VALUE"""),"Area 18")</f>
        <v>Area 18</v>
      </c>
      <c r="E81" s="7" t="str">
        <f>IFERROR(__xludf.DUMMYFUNCTION("""COMPUTED_VALUE"""),"Area 18")</f>
        <v>Area 18</v>
      </c>
      <c r="F81" s="11">
        <f>IFERROR(__xludf.DUMMYFUNCTION("""COMPUTED_VALUE"""),-747.409136838)</f>
        <v>-747.409136838</v>
      </c>
      <c r="G81" s="11">
        <f>IFERROR(__xludf.DUMMYFUNCTION("""COMPUTED_VALUE"""),-116.733519176)</f>
        <v>-116.733519176</v>
      </c>
      <c r="H81" s="11">
        <f>IFERROR(__xludf.DUMMYFUNCTION("""COMPUTED_VALUE"""),-262.094438105999)</f>
        <v>-262.094438105999</v>
      </c>
      <c r="I81" s="15"/>
      <c r="J81" s="15"/>
      <c r="K81" s="15"/>
      <c r="L81" s="15"/>
      <c r="M81" s="7" t="b">
        <f>IFERROR(__xludf.DUMMYFUNCTION("""COMPUTED_VALUE"""),TRUE)</f>
        <v>1</v>
      </c>
      <c r="N81" s="10">
        <f>IFERROR(__xludf.DUMMYFUNCTION("""COMPUTED_VALUE"""),0)</f>
        <v>0</v>
      </c>
      <c r="O81" s="10">
        <f>IFERROR(__xludf.DUMMYFUNCTION("""COMPUTED_VALUE"""),0)</f>
        <v>0</v>
      </c>
      <c r="P81" s="8"/>
      <c r="Q81" s="7"/>
      <c r="R81" s="16"/>
      <c r="S81" s="17"/>
      <c r="T81" s="8"/>
      <c r="U81" s="8"/>
      <c r="V81" s="22"/>
      <c r="W81" s="12"/>
      <c r="X81" s="12"/>
      <c r="Y81" s="12"/>
      <c r="Z81" s="12"/>
      <c r="AA81" s="9"/>
      <c r="AB81" s="12"/>
      <c r="AC81" s="6"/>
      <c r="AD81" s="6"/>
      <c r="AE81" s="7"/>
      <c r="AF81" s="7"/>
      <c r="AG81" s="7"/>
      <c r="AH81" s="7"/>
      <c r="AI81" s="7"/>
      <c r="AJ81" s="7"/>
      <c r="AK81" s="7"/>
      <c r="AL81" s="7"/>
      <c r="AM81" s="7"/>
      <c r="AN81" s="7"/>
      <c r="AO81" s="6"/>
      <c r="AP81" s="7"/>
      <c r="AQ81" s="7"/>
      <c r="AR81" s="6"/>
      <c r="AS81" s="7"/>
      <c r="AT81" s="7"/>
      <c r="AU81" s="7"/>
      <c r="AV81" s="7"/>
      <c r="AW81" s="7"/>
      <c r="AX81" s="7"/>
      <c r="AY81" s="7"/>
      <c r="AZ81" s="7"/>
      <c r="BA81" s="7"/>
      <c r="BB81" s="7"/>
      <c r="BC81" s="7"/>
      <c r="BD81" s="7"/>
      <c r="BE81" s="7"/>
      <c r="BF81" s="7"/>
      <c r="BG81" s="7"/>
    </row>
    <row r="82" customHeight="1" spans="1:59">
      <c r="A82" s="9" t="str">
        <f>IFERROR(__xludf.DUMMYFUNCTION("""COMPUTED_VALUE"""),"ArcCorp 10")</f>
        <v>ArcCorp 10</v>
      </c>
      <c r="B82" s="5" t="str">
        <f>IFERROR(__xludf.DUMMYFUNCTION("""COMPUTED_VALUE"""),"ArcCorp 02")</f>
        <v>ArcCorp 02</v>
      </c>
      <c r="C82" s="5" t="str">
        <f>IFERROR(__xludf.DUMMYFUNCTION("""COMPUTED_VALUE"""),"ArcCorp 13")</f>
        <v>ArcCorp 13</v>
      </c>
      <c r="D82" s="5" t="str">
        <f>IFERROR(__xludf.DUMMYFUNCTION("""COMPUTED_VALUE"""),"Riker Memorial Spaceport")</f>
        <v>Riker Memorial Spaceport</v>
      </c>
      <c r="E82" s="7" t="str">
        <f>IFERROR(__xludf.DUMMYFUNCTION("""COMPUTED_VALUE"""),"Riker")</f>
        <v>Riker</v>
      </c>
      <c r="F82" s="8">
        <f>IFERROR(__xludf.DUMMYFUNCTION("""COMPUTED_VALUE"""),-748.361331199837)</f>
        <v>-748.361331199837</v>
      </c>
      <c r="G82" s="8">
        <f>IFERROR(__xludf.DUMMYFUNCTION("""COMPUTED_VALUE"""),-103.662810667519)</f>
        <v>-103.662810667519</v>
      </c>
      <c r="H82" s="8">
        <f>IFERROR(__xludf.DUMMYFUNCTION("""COMPUTED_VALUE"""),-263.811313496571)</f>
        <v>-263.811313496571</v>
      </c>
      <c r="I82" s="14"/>
      <c r="J82" s="14"/>
      <c r="K82" s="14"/>
      <c r="L82" s="14"/>
      <c r="M82" s="7" t="b">
        <f>IFERROR(__xludf.DUMMYFUNCTION("""COMPUTED_VALUE"""),FALSE)</f>
        <v>0</v>
      </c>
      <c r="N82" s="10">
        <f>IFERROR(__xludf.DUMMYFUNCTION("""COMPUTED_VALUE"""),0)</f>
        <v>0</v>
      </c>
      <c r="O82" s="10">
        <f>IFERROR(__xludf.DUMMYFUNCTION("""COMPUTED_VALUE"""),0)</f>
        <v>0</v>
      </c>
      <c r="P82" s="8"/>
      <c r="Q82" s="7"/>
      <c r="R82" s="16"/>
      <c r="S82" s="17"/>
      <c r="T82" s="8"/>
      <c r="U82" s="8"/>
      <c r="V82" s="22"/>
      <c r="W82" s="12"/>
      <c r="X82" s="12"/>
      <c r="Y82" s="12"/>
      <c r="Z82" s="12"/>
      <c r="AA82" s="9"/>
      <c r="AB82" s="12"/>
      <c r="AC82" s="6"/>
      <c r="AD82" s="6"/>
      <c r="AE82" s="7"/>
      <c r="AF82" s="7"/>
      <c r="AG82" s="7"/>
      <c r="AH82" s="7"/>
      <c r="AI82" s="7"/>
      <c r="AJ82" s="7"/>
      <c r="AK82" s="7"/>
      <c r="AL82" s="7"/>
      <c r="AM82" s="7"/>
      <c r="AN82" s="7"/>
      <c r="AO82" s="6"/>
      <c r="AP82" s="7"/>
      <c r="AQ82" s="7"/>
      <c r="AR82" s="6"/>
      <c r="AS82" s="7"/>
      <c r="AT82" s="7"/>
      <c r="AU82" s="7"/>
      <c r="AV82" s="7"/>
      <c r="AW82" s="7"/>
      <c r="AX82" s="7"/>
      <c r="AY82" s="7"/>
      <c r="AZ82" s="7"/>
      <c r="BA82" s="7"/>
      <c r="BB82" s="7"/>
      <c r="BC82" s="7"/>
      <c r="BD82" s="7"/>
      <c r="BE82" s="7"/>
      <c r="BF82" s="7"/>
      <c r="BG82" s="7"/>
    </row>
    <row r="83" customHeight="1" spans="1:59">
      <c r="A83" s="9" t="str">
        <f>IFERROR(__xludf.DUMMYFUNCTION("""COMPUTED_VALUE"""),"ArcCorp 02")</f>
        <v>ArcCorp 02</v>
      </c>
      <c r="B83" s="5" t="str">
        <f>IFERROR(__xludf.DUMMYFUNCTION("""COMPUTED_VALUE"""),"ArcCorp 03")</f>
        <v>ArcCorp 03</v>
      </c>
      <c r="C83" s="5" t="str">
        <f>IFERROR(__xludf.DUMMYFUNCTION("""COMPUTED_VALUE"""),"ArcCorp 09")</f>
        <v>ArcCorp 09</v>
      </c>
      <c r="D83" s="5" t="str">
        <f>IFERROR(__xludf.DUMMYFUNCTION("""COMPUTED_VALUE"""),"Baijini Point")</f>
        <v>Baijini Point</v>
      </c>
      <c r="E83" s="7" t="str">
        <f>IFERROR(__xludf.DUMMYFUNCTION("""COMPUTED_VALUE"""),"Baijini")</f>
        <v>Baijini</v>
      </c>
      <c r="F83" s="8">
        <f>IFERROR(__xludf.DUMMYFUNCTION("""COMPUTED_VALUE"""),-771.9605625)</f>
        <v>-771.9605625</v>
      </c>
      <c r="G83" s="8">
        <f>IFERROR(__xludf.DUMMYFUNCTION("""COMPUTED_VALUE"""),-321.34721875)</f>
        <v>-321.34721875</v>
      </c>
      <c r="H83" s="8">
        <f>IFERROR(__xludf.DUMMYFUNCTION("""COMPUTED_VALUE"""),-359.50934375)</f>
        <v>-359.50934375</v>
      </c>
      <c r="I83" s="14"/>
      <c r="J83" s="14"/>
      <c r="K83" s="14"/>
      <c r="L83" s="14"/>
      <c r="M83" s="7" t="b">
        <f>IFERROR(__xludf.DUMMYFUNCTION("""COMPUTED_VALUE"""),TRUE)</f>
        <v>1</v>
      </c>
      <c r="N83" s="10">
        <f>IFERROR(__xludf.DUMMYFUNCTION("""COMPUTED_VALUE"""),0)</f>
        <v>0</v>
      </c>
      <c r="O83" s="10">
        <f>IFERROR(__xludf.DUMMYFUNCTION("""COMPUTED_VALUE"""),0)</f>
        <v>0</v>
      </c>
      <c r="P83" s="8"/>
      <c r="Q83" s="7"/>
      <c r="R83" s="16"/>
      <c r="S83" s="17"/>
      <c r="T83" s="8"/>
      <c r="U83" s="8"/>
      <c r="V83" s="22"/>
      <c r="W83" s="12"/>
      <c r="X83" s="12"/>
      <c r="Y83" s="12"/>
      <c r="Z83" s="12"/>
      <c r="AA83" s="9"/>
      <c r="AB83" s="12"/>
      <c r="AC83" s="6"/>
      <c r="AD83" s="6"/>
      <c r="AE83" s="7"/>
      <c r="AF83" s="7"/>
      <c r="AG83" s="7"/>
      <c r="AH83" s="7"/>
      <c r="AI83" s="7"/>
      <c r="AJ83" s="7"/>
      <c r="AK83" s="7"/>
      <c r="AL83" s="7"/>
      <c r="AM83" s="7"/>
      <c r="AN83" s="7"/>
      <c r="AO83" s="6"/>
      <c r="AP83" s="7"/>
      <c r="AQ83" s="7"/>
      <c r="AR83" s="6"/>
      <c r="AS83" s="7"/>
      <c r="AT83" s="7"/>
      <c r="AU83" s="7"/>
      <c r="AV83" s="7"/>
      <c r="AW83" s="7"/>
      <c r="AX83" s="7"/>
      <c r="AY83" s="7"/>
      <c r="AZ83" s="7"/>
      <c r="BA83" s="7"/>
      <c r="BB83" s="7"/>
      <c r="BC83" s="7"/>
      <c r="BD83" s="7"/>
      <c r="BE83" s="7"/>
      <c r="BF83" s="7"/>
      <c r="BG83" s="7"/>
    </row>
    <row r="84" customHeight="1" spans="1:59">
      <c r="A84" s="9" t="str">
        <f>IFERROR(__xludf.DUMMYFUNCTION("""COMPUTED_VALUE"""),"ArcCorp")</f>
        <v>ArcCorp</v>
      </c>
      <c r="B84" s="5" t="str">
        <f>IFERROR(__xludf.DUMMYFUNCTION("""COMPUTED_VALUE"""),"ArcCorp 05")</f>
        <v>ArcCorp 05</v>
      </c>
      <c r="C84" s="5"/>
      <c r="D84" s="5" t="str">
        <f>IFERROR(__xludf.DUMMYFUNCTION("""COMPUTED_VALUE"""),"Other Areas")</f>
        <v>Other Areas</v>
      </c>
      <c r="E84" s="7"/>
      <c r="F84" s="8"/>
      <c r="G84" s="8"/>
      <c r="H84" s="8"/>
      <c r="I84" s="14"/>
      <c r="J84" s="14"/>
      <c r="K84" s="14"/>
      <c r="L84" s="14"/>
      <c r="M84" s="7"/>
      <c r="N84" s="10"/>
      <c r="O84" s="10"/>
      <c r="P84" s="8"/>
      <c r="Q84" s="7"/>
      <c r="R84" s="16"/>
      <c r="S84" s="17"/>
      <c r="T84" s="8"/>
      <c r="U84" s="8"/>
      <c r="V84" s="22"/>
      <c r="W84" s="12"/>
      <c r="X84" s="12"/>
      <c r="Y84" s="12"/>
      <c r="Z84" s="12"/>
      <c r="AA84" s="9"/>
      <c r="AB84" s="12"/>
      <c r="AC84" s="6"/>
      <c r="AD84" s="6"/>
      <c r="AE84" s="7"/>
      <c r="AF84" s="7"/>
      <c r="AG84" s="7"/>
      <c r="AH84" s="7"/>
      <c r="AI84" s="7"/>
      <c r="AJ84" s="7"/>
      <c r="AK84" s="7"/>
      <c r="AL84" s="7"/>
      <c r="AM84" s="7"/>
      <c r="AN84" s="7"/>
      <c r="AO84" s="6"/>
      <c r="AP84" s="7"/>
      <c r="AQ84" s="7"/>
      <c r="AR84" s="6"/>
      <c r="AS84" s="7"/>
      <c r="AT84" s="7"/>
      <c r="AU84" s="7"/>
      <c r="AV84" s="7"/>
      <c r="AW84" s="7"/>
      <c r="AX84" s="7"/>
      <c r="AY84" s="7"/>
      <c r="AZ84" s="7"/>
      <c r="BA84" s="7"/>
      <c r="BB84" s="7"/>
      <c r="BC84" s="7"/>
      <c r="BD84" s="7"/>
      <c r="BE84" s="7"/>
      <c r="BF84" s="7"/>
      <c r="BG84" s="7"/>
    </row>
    <row r="85" customHeight="1" spans="1:59">
      <c r="A85" s="9" t="str">
        <f>IFERROR(__xludf.DUMMYFUNCTION("""COMPUTED_VALUE"""),"ArcCorp 04")</f>
        <v>ArcCorp 04</v>
      </c>
      <c r="B85" s="5" t="str">
        <f>IFERROR(__xludf.DUMMYFUNCTION("""COMPUTED_VALUE"""),"ArcCorp 06")</f>
        <v>ArcCorp 06</v>
      </c>
      <c r="C85" s="5" t="str">
        <f>IFERROR(__xludf.DUMMYFUNCTION("""COMPUTED_VALUE"""),"ArcCorp 08")</f>
        <v>ArcCorp 08</v>
      </c>
      <c r="D85" s="5" t="str">
        <f>IFERROR(__xludf.DUMMYFUNCTION("""COMPUTED_VALUE"""),"Area 04")</f>
        <v>Area 04</v>
      </c>
      <c r="E85" s="7" t="str">
        <f>IFERROR(__xludf.DUMMYFUNCTION("""COMPUTED_VALUE"""),"Area 04")</f>
        <v>Area 04</v>
      </c>
      <c r="F85" s="8">
        <f>IFERROR(__xludf.DUMMYFUNCTION("""COMPUTED_VALUE"""),-314.30627262595)</f>
        <v>-314.30627262595</v>
      </c>
      <c r="G85" s="8">
        <f>IFERROR(__xludf.DUMMYFUNCTION("""COMPUTED_VALUE"""),-601.435300324063)</f>
        <v>-601.435300324063</v>
      </c>
      <c r="H85" s="8">
        <f>IFERROR(__xludf.DUMMYFUNCTION("""COMPUTED_VALUE"""),423.658971631491)</f>
        <v>423.658971631491</v>
      </c>
      <c r="I85" s="14"/>
      <c r="J85" s="14"/>
      <c r="K85" s="14"/>
      <c r="L85" s="14"/>
      <c r="M85" s="7" t="b">
        <f>IFERROR(__xludf.DUMMYFUNCTION("""COMPUTED_VALUE"""),TRUE)</f>
        <v>1</v>
      </c>
      <c r="N85" s="10">
        <f>IFERROR(__xludf.DUMMYFUNCTION("""COMPUTED_VALUE"""),0)</f>
        <v>0</v>
      </c>
      <c r="O85" s="10">
        <f>IFERROR(__xludf.DUMMYFUNCTION("""COMPUTED_VALUE"""),0)</f>
        <v>0</v>
      </c>
      <c r="P85" s="8"/>
      <c r="Q85" s="7"/>
      <c r="R85" s="16"/>
      <c r="S85" s="17"/>
      <c r="T85" s="8"/>
      <c r="U85" s="8"/>
      <c r="V85" s="22"/>
      <c r="W85" s="12"/>
      <c r="X85" s="12"/>
      <c r="Y85" s="12"/>
      <c r="Z85" s="12"/>
      <c r="AA85" s="9"/>
      <c r="AB85" s="12"/>
      <c r="AC85" s="6"/>
      <c r="AD85" s="6"/>
      <c r="AE85" s="7"/>
      <c r="AF85" s="7"/>
      <c r="AG85" s="7"/>
      <c r="AH85" s="7"/>
      <c r="AI85" s="7"/>
      <c r="AJ85" s="7"/>
      <c r="AK85" s="7"/>
      <c r="AL85" s="7"/>
      <c r="AM85" s="7"/>
      <c r="AN85" s="7"/>
      <c r="AO85" s="6"/>
      <c r="AP85" s="7"/>
      <c r="AQ85" s="7"/>
      <c r="AR85" s="6"/>
      <c r="AS85" s="7"/>
      <c r="AT85" s="7"/>
      <c r="AU85" s="7"/>
      <c r="AV85" s="7"/>
      <c r="AW85" s="7"/>
      <c r="AX85" s="7"/>
      <c r="AY85" s="7"/>
      <c r="AZ85" s="7"/>
      <c r="BA85" s="7"/>
      <c r="BB85" s="7"/>
      <c r="BC85" s="7"/>
      <c r="BD85" s="7"/>
      <c r="BE85" s="7"/>
      <c r="BF85" s="7"/>
      <c r="BG85" s="7"/>
    </row>
    <row r="86" customHeight="1" spans="1:59">
      <c r="A86" s="9" t="str">
        <f>IFERROR(__xludf.DUMMYFUNCTION("""COMPUTED_VALUE"""),"ArcCorp 05")</f>
        <v>ArcCorp 05</v>
      </c>
      <c r="B86" s="5" t="str">
        <f>IFERROR(__xludf.DUMMYFUNCTION("""COMPUTED_VALUE"""),"ArcCorp 07")</f>
        <v>ArcCorp 07</v>
      </c>
      <c r="C86" s="5" t="str">
        <f>IFERROR(__xludf.DUMMYFUNCTION("""COMPUTED_VALUE"""),"ArcCorp 12")</f>
        <v>ArcCorp 12</v>
      </c>
      <c r="D86" s="5" t="str">
        <f>IFERROR(__xludf.DUMMYFUNCTION("""COMPUTED_VALUE"""),"Area 06")</f>
        <v>Area 06</v>
      </c>
      <c r="E86" s="7" t="str">
        <f>IFERROR(__xludf.DUMMYFUNCTION("""COMPUTED_VALUE"""),"Area 06")</f>
        <v>Area 06</v>
      </c>
      <c r="F86" s="8">
        <f>IFERROR(__xludf.DUMMYFUNCTION("""COMPUTED_VALUE"""),-745.806098015556)</f>
        <v>-745.806098015556</v>
      </c>
      <c r="G86" s="8">
        <f>IFERROR(__xludf.DUMMYFUNCTION("""COMPUTED_VALUE"""),-111.306101015363)</f>
        <v>-111.306101015363</v>
      </c>
      <c r="H86" s="8">
        <f>IFERROR(__xludf.DUMMYFUNCTION("""COMPUTED_VALUE"""),267.379807230525)</f>
        <v>267.379807230525</v>
      </c>
      <c r="I86" s="14"/>
      <c r="J86" s="14"/>
      <c r="K86" s="14"/>
      <c r="L86" s="14"/>
      <c r="M86" s="7" t="b">
        <f>IFERROR(__xludf.DUMMYFUNCTION("""COMPUTED_VALUE"""),TRUE)</f>
        <v>1</v>
      </c>
      <c r="N86" s="10">
        <f>IFERROR(__xludf.DUMMYFUNCTION("""COMPUTED_VALUE"""),0)</f>
        <v>0</v>
      </c>
      <c r="O86" s="10">
        <f>IFERROR(__xludf.DUMMYFUNCTION("""COMPUTED_VALUE"""),0)</f>
        <v>0</v>
      </c>
      <c r="P86" s="8"/>
      <c r="Q86" s="7"/>
      <c r="R86" s="16"/>
      <c r="S86" s="17"/>
      <c r="T86" s="8"/>
      <c r="U86" s="8"/>
      <c r="V86" s="22"/>
      <c r="W86" s="12"/>
      <c r="X86" s="12"/>
      <c r="Y86" s="12"/>
      <c r="Z86" s="12"/>
      <c r="AA86" s="9"/>
      <c r="AB86" s="12"/>
      <c r="AC86" s="6"/>
      <c r="AD86" s="6"/>
      <c r="AE86" s="7"/>
      <c r="AF86" s="7"/>
      <c r="AG86" s="7"/>
      <c r="AH86" s="7"/>
      <c r="AI86" s="7"/>
      <c r="AJ86" s="7"/>
      <c r="AK86" s="7"/>
      <c r="AL86" s="7"/>
      <c r="AM86" s="7"/>
      <c r="AN86" s="7"/>
      <c r="AO86" s="6"/>
      <c r="AP86" s="7"/>
      <c r="AQ86" s="7"/>
      <c r="AR86" s="6"/>
      <c r="AS86" s="7"/>
      <c r="AT86" s="7"/>
      <c r="AU86" s="7"/>
      <c r="AV86" s="7"/>
      <c r="AW86" s="7"/>
      <c r="AX86" s="7"/>
      <c r="AY86" s="7"/>
      <c r="AZ86" s="7"/>
      <c r="BA86" s="7"/>
      <c r="BB86" s="7"/>
      <c r="BC86" s="7"/>
      <c r="BD86" s="7"/>
      <c r="BE86" s="7"/>
      <c r="BF86" s="7"/>
      <c r="BG86" s="7"/>
    </row>
    <row r="87" customHeight="1" spans="1:59">
      <c r="A87" s="9" t="str">
        <f>IFERROR(__xludf.DUMMYFUNCTION("""COMPUTED_VALUE"""),"ArcCorp 06")</f>
        <v>ArcCorp 06</v>
      </c>
      <c r="B87" s="5" t="str">
        <f>IFERROR(__xludf.DUMMYFUNCTION("""COMPUTED_VALUE"""),"ArcCorp 08")</f>
        <v>ArcCorp 08</v>
      </c>
      <c r="C87" s="5" t="str">
        <f>IFERROR(__xludf.DUMMYFUNCTION("""COMPUTED_VALUE"""),"ArcCorp 03")</f>
        <v>ArcCorp 03</v>
      </c>
      <c r="D87" s="5" t="str">
        <f>IFERROR(__xludf.DUMMYFUNCTION("""COMPUTED_VALUE"""),"Area 11")</f>
        <v>Area 11</v>
      </c>
      <c r="E87" s="7" t="str">
        <f>IFERROR(__xludf.DUMMYFUNCTION("""COMPUTED_VALUE"""),"Area 11")</f>
        <v>Area 11</v>
      </c>
      <c r="F87" s="8">
        <f>IFERROR(__xludf.DUMMYFUNCTION("""COMPUTED_VALUE"""),508.203690113667)</f>
        <v>508.203690113667</v>
      </c>
      <c r="G87" s="8">
        <f>IFERROR(__xludf.DUMMYFUNCTION("""COMPUTED_VALUE"""),397.589314300851)</f>
        <v>397.589314300851</v>
      </c>
      <c r="H87" s="8">
        <f>IFERROR(__xludf.DUMMYFUNCTION("""COMPUTED_VALUE"""),472.921663609141)</f>
        <v>472.921663609141</v>
      </c>
      <c r="I87" s="14"/>
      <c r="J87" s="14"/>
      <c r="K87" s="14"/>
      <c r="L87" s="14"/>
      <c r="M87" s="7" t="b">
        <f>IFERROR(__xludf.DUMMYFUNCTION("""COMPUTED_VALUE"""),TRUE)</f>
        <v>1</v>
      </c>
      <c r="N87" s="10">
        <f>IFERROR(__xludf.DUMMYFUNCTION("""COMPUTED_VALUE"""),0)</f>
        <v>0</v>
      </c>
      <c r="O87" s="10">
        <f>IFERROR(__xludf.DUMMYFUNCTION("""COMPUTED_VALUE"""),0)</f>
        <v>0</v>
      </c>
      <c r="P87" s="8"/>
      <c r="Q87" s="7"/>
      <c r="R87" s="16"/>
      <c r="S87" s="17"/>
      <c r="T87" s="8"/>
      <c r="U87" s="8"/>
      <c r="V87" s="22"/>
      <c r="W87" s="12"/>
      <c r="X87" s="12"/>
      <c r="Y87" s="12"/>
      <c r="Z87" s="12"/>
      <c r="AA87" s="9"/>
      <c r="AB87" s="12"/>
      <c r="AC87" s="6"/>
      <c r="AD87" s="6"/>
      <c r="AE87" s="7"/>
      <c r="AF87" s="7"/>
      <c r="AG87" s="7"/>
      <c r="AH87" s="7"/>
      <c r="AI87" s="7"/>
      <c r="AJ87" s="7"/>
      <c r="AK87" s="7"/>
      <c r="AL87" s="7"/>
      <c r="AM87" s="7"/>
      <c r="AN87" s="7"/>
      <c r="AO87" s="6"/>
      <c r="AP87" s="7"/>
      <c r="AQ87" s="7"/>
      <c r="AR87" s="6"/>
      <c r="AS87" s="7"/>
      <c r="AT87" s="7"/>
      <c r="AU87" s="7"/>
      <c r="AV87" s="7"/>
      <c r="AW87" s="7"/>
      <c r="AX87" s="7"/>
      <c r="AY87" s="7"/>
      <c r="AZ87" s="7"/>
      <c r="BA87" s="7"/>
      <c r="BB87" s="7"/>
      <c r="BC87" s="7"/>
      <c r="BD87" s="7"/>
      <c r="BE87" s="7"/>
      <c r="BF87" s="7"/>
      <c r="BG87" s="7"/>
    </row>
    <row r="88" customHeight="1" spans="1:59">
      <c r="A88" s="9" t="str">
        <f>IFERROR(__xludf.DUMMYFUNCTION("""COMPUTED_VALUE"""),"ArcCorp 07")</f>
        <v>ArcCorp 07</v>
      </c>
      <c r="B88" s="5" t="str">
        <f>IFERROR(__xludf.DUMMYFUNCTION("""COMPUTED_VALUE"""),"ArcCorp 09")</f>
        <v>ArcCorp 09</v>
      </c>
      <c r="C88" s="5" t="str">
        <f>IFERROR(__xludf.DUMMYFUNCTION("""COMPUTED_VALUE"""),"ArcCorp 07")</f>
        <v>ArcCorp 07</v>
      </c>
      <c r="D88" s="5" t="str">
        <f>IFERROR(__xludf.DUMMYFUNCTION("""COMPUTED_VALUE"""),"Area 17")</f>
        <v>Area 17</v>
      </c>
      <c r="E88" s="7" t="str">
        <f>IFERROR(__xludf.DUMMYFUNCTION("""COMPUTED_VALUE"""),"Area 17")</f>
        <v>Area 17</v>
      </c>
      <c r="F88" s="8">
        <f>IFERROR(__xludf.DUMMYFUNCTION("""COMPUTED_VALUE"""),-310.289620619919)</f>
        <v>-310.289620619919</v>
      </c>
      <c r="G88" s="8">
        <f>IFERROR(__xludf.DUMMYFUNCTION("""COMPUTED_VALUE"""),-601.810944957003)</f>
        <v>-601.810944957003</v>
      </c>
      <c r="H88" s="8">
        <f>IFERROR(__xludf.DUMMYFUNCTION("""COMPUTED_VALUE"""),-425.980479792219)</f>
        <v>-425.980479792219</v>
      </c>
      <c r="I88" s="14"/>
      <c r="J88" s="14"/>
      <c r="K88" s="14"/>
      <c r="L88" s="14"/>
      <c r="M88" s="7" t="b">
        <f>IFERROR(__xludf.DUMMYFUNCTION("""COMPUTED_VALUE"""),TRUE)</f>
        <v>1</v>
      </c>
      <c r="N88" s="10">
        <f>IFERROR(__xludf.DUMMYFUNCTION("""COMPUTED_VALUE"""),0)</f>
        <v>0</v>
      </c>
      <c r="O88" s="10">
        <f>IFERROR(__xludf.DUMMYFUNCTION("""COMPUTED_VALUE"""),0)</f>
        <v>0</v>
      </c>
      <c r="P88" s="8"/>
      <c r="Q88" s="7"/>
      <c r="R88" s="16"/>
      <c r="S88" s="17"/>
      <c r="T88" s="8"/>
      <c r="U88" s="8"/>
      <c r="V88" s="22"/>
      <c r="W88" s="12"/>
      <c r="X88" s="12"/>
      <c r="Y88" s="12"/>
      <c r="Z88" s="12"/>
      <c r="AA88" s="9"/>
      <c r="AB88" s="12"/>
      <c r="AC88" s="6"/>
      <c r="AD88" s="6"/>
      <c r="AE88" s="7"/>
      <c r="AF88" s="7"/>
      <c r="AG88" s="7"/>
      <c r="AH88" s="7"/>
      <c r="AI88" s="7"/>
      <c r="AJ88" s="7"/>
      <c r="AK88" s="7"/>
      <c r="AL88" s="7"/>
      <c r="AM88" s="7"/>
      <c r="AN88" s="7"/>
      <c r="AO88" s="6"/>
      <c r="AP88" s="7"/>
      <c r="AQ88" s="7"/>
      <c r="AR88" s="6"/>
      <c r="AS88" s="7"/>
      <c r="AT88" s="7"/>
      <c r="AU88" s="7"/>
      <c r="AV88" s="7"/>
      <c r="AW88" s="7"/>
      <c r="AX88" s="7"/>
      <c r="AY88" s="7"/>
      <c r="AZ88" s="7"/>
      <c r="BA88" s="7"/>
      <c r="BB88" s="7"/>
      <c r="BC88" s="7"/>
      <c r="BD88" s="7"/>
      <c r="BE88" s="7"/>
      <c r="BF88" s="7"/>
      <c r="BG88" s="7"/>
    </row>
    <row r="89" customHeight="1" spans="1:59">
      <c r="A89" s="9" t="str">
        <f>IFERROR(__xludf.DUMMYFUNCTION("""COMPUTED_VALUE"""),"ArcCorp 08")</f>
        <v>ArcCorp 08</v>
      </c>
      <c r="B89" s="5" t="str">
        <f>IFERROR(__xludf.DUMMYFUNCTION("""COMPUTED_VALUE"""),"ArcCorp 10")</f>
        <v>ArcCorp 10</v>
      </c>
      <c r="C89" s="5" t="str">
        <f>IFERROR(__xludf.DUMMYFUNCTION("""COMPUTED_VALUE"""),"ArcCorp 02")</f>
        <v>ArcCorp 02</v>
      </c>
      <c r="D89" s="5" t="str">
        <f>IFERROR(__xludf.DUMMYFUNCTION("""COMPUTED_VALUE"""),"Area 20")</f>
        <v>Area 20</v>
      </c>
      <c r="E89" s="7" t="str">
        <f>IFERROR(__xludf.DUMMYFUNCTION("""COMPUTED_VALUE"""),"Area 20")</f>
        <v>Area 20</v>
      </c>
      <c r="F89" s="8">
        <f>IFERROR(__xludf.DUMMYFUNCTION("""COMPUTED_VALUE"""),506.936537780362)</f>
        <v>506.936537780362</v>
      </c>
      <c r="G89" s="8">
        <f>IFERROR(__xludf.DUMMYFUNCTION("""COMPUTED_VALUE"""),401.103654273606)</f>
        <v>401.103654273606</v>
      </c>
      <c r="H89" s="8">
        <f>IFERROR(__xludf.DUMMYFUNCTION("""COMPUTED_VALUE"""),-471.307950960836)</f>
        <v>-471.307950960836</v>
      </c>
      <c r="I89" s="14"/>
      <c r="J89" s="14"/>
      <c r="K89" s="14"/>
      <c r="L89" s="14"/>
      <c r="M89" s="7" t="b">
        <f>IFERROR(__xludf.DUMMYFUNCTION("""COMPUTED_VALUE"""),TRUE)</f>
        <v>1</v>
      </c>
      <c r="N89" s="10">
        <f>IFERROR(__xludf.DUMMYFUNCTION("""COMPUTED_VALUE"""),0)</f>
        <v>0</v>
      </c>
      <c r="O89" s="10">
        <f>IFERROR(__xludf.DUMMYFUNCTION("""COMPUTED_VALUE"""),0)</f>
        <v>0</v>
      </c>
      <c r="P89" s="8"/>
      <c r="Q89" s="7"/>
      <c r="R89" s="16"/>
      <c r="S89" s="17"/>
      <c r="T89" s="8"/>
      <c r="U89" s="8"/>
      <c r="V89" s="22"/>
      <c r="W89" s="12"/>
      <c r="X89" s="12"/>
      <c r="Y89" s="12"/>
      <c r="Z89" s="12"/>
      <c r="AA89" s="9"/>
      <c r="AB89" s="12"/>
      <c r="AC89" s="6"/>
      <c r="AD89" s="6"/>
      <c r="AE89" s="7"/>
      <c r="AF89" s="7"/>
      <c r="AG89" s="7"/>
      <c r="AH89" s="7"/>
      <c r="AI89" s="7"/>
      <c r="AJ89" s="7"/>
      <c r="AK89" s="7"/>
      <c r="AL89" s="7"/>
      <c r="AM89" s="7"/>
      <c r="AN89" s="7"/>
      <c r="AO89" s="6"/>
      <c r="AP89" s="7"/>
      <c r="AQ89" s="7"/>
      <c r="AR89" s="6"/>
      <c r="AS89" s="7"/>
      <c r="AT89" s="7"/>
      <c r="AU89" s="7"/>
      <c r="AV89" s="7"/>
      <c r="AW89" s="7"/>
      <c r="AX89" s="7"/>
      <c r="AY89" s="7"/>
      <c r="AZ89" s="7"/>
      <c r="BA89" s="7"/>
      <c r="BB89" s="7"/>
      <c r="BC89" s="7"/>
      <c r="BD89" s="7"/>
      <c r="BE89" s="7"/>
      <c r="BF89" s="7"/>
      <c r="BG89" s="7"/>
    </row>
    <row r="90" customHeight="1" spans="1:59">
      <c r="A90" s="9" t="str">
        <f>IFERROR(__xludf.DUMMYFUNCTION("""COMPUTED_VALUE"""),"ArcCorp")</f>
        <v>ArcCorp</v>
      </c>
      <c r="B90" s="5" t="str">
        <f>IFERROR(__xludf.DUMMYFUNCTION("""COMPUTED_VALUE"""),"ArcCorp 12")</f>
        <v>ArcCorp 12</v>
      </c>
      <c r="C90" s="5"/>
      <c r="D90" s="5" t="str">
        <f>IFERROR(__xludf.DUMMYFUNCTION("""COMPUTED_VALUE"""),"Racetracks")</f>
        <v>Racetracks</v>
      </c>
      <c r="E90" s="7"/>
      <c r="F90" s="8"/>
      <c r="G90" s="8"/>
      <c r="H90" s="8"/>
      <c r="I90" s="14"/>
      <c r="J90" s="14"/>
      <c r="K90" s="14"/>
      <c r="L90" s="14"/>
      <c r="M90" s="7"/>
      <c r="N90" s="10"/>
      <c r="O90" s="10"/>
      <c r="P90" s="8"/>
      <c r="Q90" s="7"/>
      <c r="R90" s="16"/>
      <c r="S90" s="17"/>
      <c r="T90" s="8"/>
      <c r="U90" s="8"/>
      <c r="V90" s="22"/>
      <c r="W90" s="12"/>
      <c r="X90" s="12"/>
      <c r="Y90" s="12"/>
      <c r="Z90" s="12"/>
      <c r="AA90" s="9"/>
      <c r="AB90" s="12"/>
      <c r="AC90" s="6"/>
      <c r="AD90" s="6"/>
      <c r="AE90" s="7"/>
      <c r="AF90" s="7"/>
      <c r="AG90" s="7"/>
      <c r="AH90" s="7"/>
      <c r="AI90" s="7"/>
      <c r="AJ90" s="7"/>
      <c r="AK90" s="7"/>
      <c r="AL90" s="7"/>
      <c r="AM90" s="7"/>
      <c r="AN90" s="7"/>
      <c r="AO90" s="6"/>
      <c r="AP90" s="7"/>
      <c r="AQ90" s="7"/>
      <c r="AR90" s="6"/>
      <c r="AS90" s="7"/>
      <c r="AT90" s="7"/>
      <c r="AU90" s="7"/>
      <c r="AV90" s="7"/>
      <c r="AW90" s="7"/>
      <c r="AX90" s="7"/>
      <c r="AY90" s="7"/>
      <c r="AZ90" s="7"/>
      <c r="BA90" s="7"/>
      <c r="BB90" s="7"/>
      <c r="BC90" s="7"/>
      <c r="BD90" s="7"/>
      <c r="BE90" s="7"/>
      <c r="BF90" s="7"/>
      <c r="BG90" s="7"/>
    </row>
    <row r="91" customHeight="1" spans="1:59">
      <c r="A91" s="9" t="str">
        <f>IFERROR(__xludf.DUMMYFUNCTION("""COMPUTED_VALUE"""),"ArcCorp 03")</f>
        <v>ArcCorp 03</v>
      </c>
      <c r="B91" s="5" t="str">
        <f>IFERROR(__xludf.DUMMYFUNCTION("""COMPUTED_VALUE"""),"ArcCorp 13")</f>
        <v>ArcCorp 13</v>
      </c>
      <c r="C91" s="5" t="str">
        <f>IFERROR(__xludf.DUMMYFUNCTION("""COMPUTED_VALUE"""),"ArcCorp 10")</f>
        <v>ArcCorp 10</v>
      </c>
      <c r="D91" s="5" t="str">
        <f>IFERROR(__xludf.DUMMYFUNCTION("""COMPUTED_VALUE"""),"The Sky Scraper")</f>
        <v>The Sky Scraper</v>
      </c>
      <c r="E91" s="7" t="str">
        <f>IFERROR(__xludf.DUMMYFUNCTION("""COMPUTED_VALUE"""),"SkyScraper")</f>
        <v>SkyScraper</v>
      </c>
      <c r="F91" s="8">
        <f>IFERROR(__xludf.DUMMYFUNCTION("""COMPUTED_VALUE"""),-746.272)</f>
        <v>-746.272</v>
      </c>
      <c r="G91" s="8">
        <f>IFERROR(__xludf.DUMMYFUNCTION("""COMPUTED_VALUE"""),-155.436)</f>
        <v>-155.436</v>
      </c>
      <c r="H91" s="8">
        <f>IFERROR(__xludf.DUMMYFUNCTION("""COMPUTED_VALUE"""),-245.264)</f>
        <v>-245.264</v>
      </c>
      <c r="I91" s="14"/>
      <c r="J91" s="14"/>
      <c r="K91" s="14"/>
      <c r="L91" s="14"/>
      <c r="M91" s="7" t="b">
        <f>IFERROR(__xludf.DUMMYFUNCTION("""COMPUTED_VALUE"""),TRUE)</f>
        <v>1</v>
      </c>
      <c r="N91" s="10">
        <f>IFERROR(__xludf.DUMMYFUNCTION("""COMPUTED_VALUE"""),0)</f>
        <v>0</v>
      </c>
      <c r="O91" s="10">
        <f>IFERROR(__xludf.DUMMYFUNCTION("""COMPUTED_VALUE"""),0)</f>
        <v>0</v>
      </c>
      <c r="P91" s="8"/>
      <c r="Q91" s="7"/>
      <c r="R91" s="16"/>
      <c r="S91" s="17"/>
      <c r="T91" s="8"/>
      <c r="U91" s="8"/>
      <c r="V91" s="22"/>
      <c r="W91" s="12"/>
      <c r="X91" s="12"/>
      <c r="Y91" s="12"/>
      <c r="Z91" s="12"/>
      <c r="AA91" s="9"/>
      <c r="AB91" s="12"/>
      <c r="AC91" s="6"/>
      <c r="AD91" s="6"/>
      <c r="AE91" s="7"/>
      <c r="AF91" s="7"/>
      <c r="AG91" s="7"/>
      <c r="AH91" s="7"/>
      <c r="AI91" s="7"/>
      <c r="AJ91" s="7"/>
      <c r="AK91" s="7"/>
      <c r="AL91" s="7"/>
      <c r="AM91" s="7"/>
      <c r="AN91" s="7"/>
      <c r="AO91" s="6"/>
      <c r="AP91" s="7"/>
      <c r="AQ91" s="7"/>
      <c r="AR91" s="6"/>
      <c r="AS91" s="7"/>
      <c r="AT91" s="7"/>
      <c r="AU91" s="7"/>
      <c r="AV91" s="7"/>
      <c r="AW91" s="7"/>
      <c r="AX91" s="7"/>
      <c r="AY91" s="7"/>
      <c r="AZ91" s="7"/>
      <c r="BA91" s="7"/>
      <c r="BB91" s="7"/>
      <c r="BC91" s="7"/>
      <c r="BD91" s="7"/>
      <c r="BE91" s="7"/>
      <c r="BF91" s="7"/>
      <c r="BG91" s="7"/>
    </row>
    <row r="92" customHeight="1" spans="1:59">
      <c r="A92" s="9" t="str">
        <f>IFERROR(__xludf.DUMMYFUNCTION("""COMPUTED_VALUE"""),"ArcCorp")</f>
        <v>ArcCorp</v>
      </c>
      <c r="B92" s="5" t="str">
        <f>IFERROR(__xludf.DUMMYFUNCTION("""COMPUTED_VALUE"""),"ArcCorp 15")</f>
        <v>ArcCorp 15</v>
      </c>
      <c r="C92" s="5"/>
      <c r="D92" s="5" t="str">
        <f>IFERROR(__xludf.DUMMYFUNCTION("""COMPUTED_VALUE"""),"Comm Array")</f>
        <v>Comm Array</v>
      </c>
      <c r="E92" s="7"/>
      <c r="F92" s="8"/>
      <c r="G92" s="8"/>
      <c r="H92" s="8"/>
      <c r="I92" s="14"/>
      <c r="J92" s="14"/>
      <c r="K92" s="14"/>
      <c r="L92" s="14"/>
      <c r="M92" s="7"/>
      <c r="N92" s="10"/>
      <c r="O92" s="10"/>
      <c r="P92" s="8"/>
      <c r="Q92" s="7"/>
      <c r="R92" s="16"/>
      <c r="S92" s="17"/>
      <c r="T92" s="8"/>
      <c r="U92" s="8"/>
      <c r="V92" s="22"/>
      <c r="W92" s="12"/>
      <c r="X92" s="12"/>
      <c r="Y92" s="12"/>
      <c r="Z92" s="12"/>
      <c r="AA92" s="9"/>
      <c r="AB92" s="12"/>
      <c r="AC92" s="6"/>
      <c r="AD92" s="6"/>
      <c r="AE92" s="7"/>
      <c r="AF92" s="7"/>
      <c r="AG92" s="7"/>
      <c r="AH92" s="7"/>
      <c r="AI92" s="7"/>
      <c r="AJ92" s="7"/>
      <c r="AK92" s="7"/>
      <c r="AL92" s="7"/>
      <c r="AM92" s="7"/>
      <c r="AN92" s="7"/>
      <c r="AO92" s="6"/>
      <c r="AP92" s="7"/>
      <c r="AQ92" s="7"/>
      <c r="AR92" s="6"/>
      <c r="AS92" s="7"/>
      <c r="AT92" s="7"/>
      <c r="AU92" s="7"/>
      <c r="AV92" s="7"/>
      <c r="AW92" s="7"/>
      <c r="AX92" s="7"/>
      <c r="AY92" s="7"/>
      <c r="AZ92" s="7"/>
      <c r="BA92" s="7"/>
      <c r="BB92" s="7"/>
      <c r="BC92" s="7"/>
      <c r="BD92" s="7"/>
      <c r="BE92" s="7"/>
      <c r="BF92" s="7"/>
      <c r="BG92" s="7"/>
    </row>
    <row r="93" customHeight="1" spans="1:59">
      <c r="A93" s="9" t="str">
        <f>IFERROR(__xludf.DUMMYFUNCTION("""COMPUTED_VALUE"""),"ArcCorp 09")</f>
        <v>ArcCorp 09</v>
      </c>
      <c r="B93" s="5" t="str">
        <f>IFERROR(__xludf.DUMMYFUNCTION("""COMPUTED_VALUE"""),"ArcCorp 16")</f>
        <v>ArcCorp 16</v>
      </c>
      <c r="C93" s="5" t="str">
        <f>IFERROR(__xludf.DUMMYFUNCTION("""COMPUTED_VALUE"""),"ArcCorp 05")</f>
        <v>ArcCorp 05</v>
      </c>
      <c r="D93" s="5" t="str">
        <f>IFERROR(__xludf.DUMMYFUNCTION("""COMPUTED_VALUE"""),"Comm Array ST3-90")</f>
        <v>Comm Array ST3-90</v>
      </c>
      <c r="E93" s="7" t="str">
        <f>IFERROR(__xludf.DUMMYFUNCTION("""COMPUTED_VALUE"""),"ST3-90")</f>
        <v>ST3-90</v>
      </c>
      <c r="F93" s="8">
        <f>IFERROR(__xludf.DUMMYFUNCTION("""COMPUTED_VALUE"""),758.384130001068)</f>
        <v>758.384130001068</v>
      </c>
      <c r="G93" s="8">
        <f>IFERROR(__xludf.DUMMYFUNCTION("""COMPUTED_VALUE"""),-636.359991600037)</f>
        <v>-636.359991600037</v>
      </c>
      <c r="H93" s="8">
        <f>IFERROR(__xludf.DUMMYFUNCTION("""COMPUTED_VALUE"""),24)</f>
        <v>24</v>
      </c>
      <c r="I93" s="14"/>
      <c r="J93" s="14"/>
      <c r="K93" s="14"/>
      <c r="L93" s="14"/>
      <c r="M93" s="7" t="b">
        <f>IFERROR(__xludf.DUMMYFUNCTION("""COMPUTED_VALUE"""),TRUE)</f>
        <v>1</v>
      </c>
      <c r="N93" s="10">
        <f>IFERROR(__xludf.DUMMYFUNCTION("""COMPUTED_VALUE"""),0)</f>
        <v>0</v>
      </c>
      <c r="O93" s="10">
        <f>IFERROR(__xludf.DUMMYFUNCTION("""COMPUTED_VALUE"""),0)</f>
        <v>0</v>
      </c>
      <c r="P93" s="8"/>
      <c r="Q93" s="7"/>
      <c r="R93" s="16"/>
      <c r="S93" s="17"/>
      <c r="T93" s="8"/>
      <c r="U93" s="8"/>
      <c r="V93" s="22"/>
      <c r="W93" s="12"/>
      <c r="X93" s="12"/>
      <c r="Y93" s="12"/>
      <c r="Z93" s="12"/>
      <c r="AA93" s="9"/>
      <c r="AB93" s="12"/>
      <c r="AC93" s="6"/>
      <c r="AD93" s="6"/>
      <c r="AE93" s="7"/>
      <c r="AF93" s="7"/>
      <c r="AG93" s="7"/>
      <c r="AH93" s="7"/>
      <c r="AI93" s="7"/>
      <c r="AJ93" s="7"/>
      <c r="AK93" s="7"/>
      <c r="AL93" s="7"/>
      <c r="AM93" s="7"/>
      <c r="AN93" s="7"/>
      <c r="AO93" s="6"/>
      <c r="AP93" s="7"/>
      <c r="AQ93" s="7"/>
      <c r="AR93" s="6"/>
      <c r="AS93" s="7"/>
      <c r="AT93" s="7"/>
      <c r="AU93" s="7"/>
      <c r="AV93" s="7"/>
      <c r="AW93" s="7"/>
      <c r="AX93" s="7"/>
      <c r="AY93" s="7"/>
      <c r="AZ93" s="7"/>
      <c r="BA93" s="7"/>
      <c r="BB93" s="7"/>
      <c r="BC93" s="7"/>
      <c r="BD93" s="7"/>
      <c r="BE93" s="7"/>
      <c r="BF93" s="7"/>
      <c r="BG93" s="7"/>
    </row>
    <row r="94" customHeight="1" spans="1:59">
      <c r="A94" s="9"/>
      <c r="B94" s="5"/>
      <c r="C94" s="5"/>
      <c r="D94" s="5"/>
      <c r="E94" s="7"/>
      <c r="F94" s="8"/>
      <c r="G94" s="8"/>
      <c r="H94" s="8"/>
      <c r="I94" s="14"/>
      <c r="J94" s="14"/>
      <c r="K94" s="14"/>
      <c r="L94" s="14"/>
      <c r="M94" s="7"/>
      <c r="N94" s="10"/>
      <c r="O94" s="10"/>
      <c r="P94" s="8"/>
      <c r="Q94" s="7"/>
      <c r="R94" s="16"/>
      <c r="S94" s="17"/>
      <c r="T94" s="8"/>
      <c r="U94" s="8"/>
      <c r="V94" s="22"/>
      <c r="W94" s="12"/>
      <c r="X94" s="12"/>
      <c r="Y94" s="12"/>
      <c r="Z94" s="12"/>
      <c r="AA94" s="9"/>
      <c r="AB94" s="12"/>
      <c r="AC94" s="6"/>
      <c r="AD94" s="6"/>
      <c r="AE94" s="7"/>
      <c r="AF94" s="7"/>
      <c r="AG94" s="7"/>
      <c r="AH94" s="7"/>
      <c r="AI94" s="7"/>
      <c r="AJ94" s="7"/>
      <c r="AK94" s="7"/>
      <c r="AL94" s="7"/>
      <c r="AM94" s="7"/>
      <c r="AN94" s="7"/>
      <c r="AO94" s="6"/>
      <c r="AP94" s="7"/>
      <c r="AQ94" s="7"/>
      <c r="AR94" s="6"/>
      <c r="AS94" s="7"/>
      <c r="AT94" s="7"/>
      <c r="AU94" s="7"/>
      <c r="AV94" s="7"/>
      <c r="AW94" s="7"/>
      <c r="AX94" s="7"/>
      <c r="AY94" s="7"/>
      <c r="AZ94" s="7"/>
      <c r="BA94" s="7"/>
      <c r="BB94" s="7"/>
      <c r="BC94" s="7"/>
      <c r="BD94" s="7"/>
      <c r="BE94" s="7"/>
      <c r="BF94" s="7"/>
      <c r="BG94" s="7"/>
    </row>
    <row r="95" customHeight="1" spans="1:59">
      <c r="A95" s="9" t="str">
        <f>IFERROR(__xludf.DUMMYFUNCTION("""COMPUTED_VALUE"""),"Arial R01")</f>
        <v>Arial R01</v>
      </c>
      <c r="B95" s="5" t="str">
        <f>IFERROR(__xludf.DUMMYFUNCTION("""COMPUTED_VALUE"""),"Arial 14")</f>
        <v>Arial 14</v>
      </c>
      <c r="C95" s="5"/>
      <c r="D95" s="5" t="str">
        <f>IFERROR(__xludf.DUMMYFUNCTION("""COMPUTED_VALUE"""),"OM-1")</f>
        <v>OM-1</v>
      </c>
      <c r="E95" s="7" t="str">
        <f>IFERROR(__xludf.DUMMYFUNCTION("""COMPUTED_VALUE"""),"OM1")</f>
        <v>OM1</v>
      </c>
      <c r="F95" s="8">
        <f>IFERROR(__xludf.DUMMYFUNCTION("""COMPUTED_VALUE"""),0)</f>
        <v>0</v>
      </c>
      <c r="G95" s="8">
        <f>IFERROR(__xludf.DUMMYFUNCTION("""COMPUTED_VALUE"""),0)</f>
        <v>0</v>
      </c>
      <c r="H95" s="8">
        <f>IFERROR(__xludf.DUMMYFUNCTION("""COMPUTED_VALUE"""),501.542)</f>
        <v>501.542</v>
      </c>
      <c r="I95" s="14"/>
      <c r="J95" s="14"/>
      <c r="K95" s="14"/>
      <c r="L95" s="14"/>
      <c r="M95" s="7" t="b">
        <f>IFERROR(__xludf.DUMMYFUNCTION("""COMPUTED_VALUE"""),TRUE)</f>
        <v>1</v>
      </c>
      <c r="N95" s="10">
        <f>IFERROR(__xludf.DUMMYFUNCTION("""COMPUTED_VALUE"""),0)</f>
        <v>0</v>
      </c>
      <c r="O95" s="10">
        <f>IFERROR(__xludf.DUMMYFUNCTION("""COMPUTED_VALUE"""),0)</f>
        <v>0</v>
      </c>
      <c r="P95" s="8"/>
      <c r="Q95" s="7"/>
      <c r="R95" s="16"/>
      <c r="S95" s="17"/>
      <c r="T95" s="8"/>
      <c r="U95" s="8"/>
      <c r="V95" s="22"/>
      <c r="W95" s="12"/>
      <c r="X95" s="12"/>
      <c r="Y95" s="12"/>
      <c r="Z95" s="12"/>
      <c r="AA95" s="9"/>
      <c r="AB95" s="12"/>
      <c r="AC95" s="6"/>
      <c r="AD95" s="6"/>
      <c r="AE95" s="7"/>
      <c r="AF95" s="7"/>
      <c r="AG95" s="7"/>
      <c r="AH95" s="7"/>
      <c r="AI95" s="7"/>
      <c r="AJ95" s="7"/>
      <c r="AK95" s="7"/>
      <c r="AL95" s="7"/>
      <c r="AM95" s="7"/>
      <c r="AN95" s="7"/>
      <c r="AO95" s="6"/>
      <c r="AP95" s="7"/>
      <c r="AQ95" s="7"/>
      <c r="AR95" s="6"/>
      <c r="AS95" s="7"/>
      <c r="AT95" s="7"/>
      <c r="AU95" s="7"/>
      <c r="AV95" s="7"/>
      <c r="AW95" s="7"/>
      <c r="AX95" s="7"/>
      <c r="AY95" s="7"/>
      <c r="AZ95" s="7"/>
      <c r="BA95" s="7"/>
      <c r="BB95" s="7"/>
      <c r="BC95" s="7"/>
      <c r="BD95" s="7"/>
      <c r="BE95" s="7"/>
      <c r="BF95" s="7"/>
      <c r="BG95" s="7"/>
    </row>
    <row r="96" customHeight="1" spans="1:59">
      <c r="A96" s="9" t="str">
        <f>IFERROR(__xludf.DUMMYFUNCTION("""COMPUTED_VALUE"""),"Arial R02")</f>
        <v>Arial R02</v>
      </c>
      <c r="B96" s="5" t="str">
        <f>IFERROR(__xludf.DUMMYFUNCTION("""COMPUTED_VALUE"""),"Arial 15")</f>
        <v>Arial 15</v>
      </c>
      <c r="C96" s="5"/>
      <c r="D96" s="5" t="str">
        <f>IFERROR(__xludf.DUMMYFUNCTION("""COMPUTED_VALUE"""),"OM-2")</f>
        <v>OM-2</v>
      </c>
      <c r="E96" s="7" t="str">
        <f>IFERROR(__xludf.DUMMYFUNCTION("""COMPUTED_VALUE"""),"OM2")</f>
        <v>OM2</v>
      </c>
      <c r="F96" s="8">
        <f>IFERROR(__xludf.DUMMYFUNCTION("""COMPUTED_VALUE"""),0)</f>
        <v>0</v>
      </c>
      <c r="G96" s="8">
        <f>IFERROR(__xludf.DUMMYFUNCTION("""COMPUTED_VALUE"""),0)</f>
        <v>0</v>
      </c>
      <c r="H96" s="8">
        <f>IFERROR(__xludf.DUMMYFUNCTION("""COMPUTED_VALUE"""),-501.542)</f>
        <v>-501.542</v>
      </c>
      <c r="I96" s="14"/>
      <c r="J96" s="14"/>
      <c r="K96" s="14"/>
      <c r="L96" s="14"/>
      <c r="M96" s="7" t="b">
        <f>IFERROR(__xludf.DUMMYFUNCTION("""COMPUTED_VALUE"""),TRUE)</f>
        <v>1</v>
      </c>
      <c r="N96" s="10">
        <f>IFERROR(__xludf.DUMMYFUNCTION("""COMPUTED_VALUE"""),0)</f>
        <v>0</v>
      </c>
      <c r="O96" s="10">
        <f>IFERROR(__xludf.DUMMYFUNCTION("""COMPUTED_VALUE"""),0)</f>
        <v>0</v>
      </c>
      <c r="P96" s="8"/>
      <c r="Q96" s="7"/>
      <c r="R96" s="16"/>
      <c r="S96" s="17"/>
      <c r="T96" s="8"/>
      <c r="U96" s="8"/>
      <c r="V96" s="22"/>
      <c r="W96" s="12"/>
      <c r="X96" s="12"/>
      <c r="Y96" s="12"/>
      <c r="Z96" s="12"/>
      <c r="AA96" s="9"/>
      <c r="AB96" s="12"/>
      <c r="AC96" s="6"/>
      <c r="AD96" s="6"/>
      <c r="AE96" s="7"/>
      <c r="AF96" s="7"/>
      <c r="AG96" s="7"/>
      <c r="AH96" s="7"/>
      <c r="AI96" s="7"/>
      <c r="AJ96" s="7"/>
      <c r="AK96" s="7"/>
      <c r="AL96" s="7"/>
      <c r="AM96" s="7"/>
      <c r="AN96" s="7"/>
      <c r="AO96" s="6"/>
      <c r="AP96" s="7"/>
      <c r="AQ96" s="7"/>
      <c r="AR96" s="6"/>
      <c r="AS96" s="7"/>
      <c r="AT96" s="7"/>
      <c r="AU96" s="7"/>
      <c r="AV96" s="7"/>
      <c r="AW96" s="7"/>
      <c r="AX96" s="7"/>
      <c r="AY96" s="7"/>
      <c r="AZ96" s="7"/>
      <c r="BA96" s="7"/>
      <c r="BB96" s="7"/>
      <c r="BC96" s="7"/>
      <c r="BD96" s="7"/>
      <c r="BE96" s="7"/>
      <c r="BF96" s="7"/>
      <c r="BG96" s="7"/>
    </row>
    <row r="97" customHeight="1" spans="1:59">
      <c r="A97" s="9" t="str">
        <f>IFERROR(__xludf.DUMMYFUNCTION("""COMPUTED_VALUE"""),"Arial R03")</f>
        <v>Arial R03</v>
      </c>
      <c r="B97" s="5" t="str">
        <f>IFERROR(__xludf.DUMMYFUNCTION("""COMPUTED_VALUE"""),"Arial 16")</f>
        <v>Arial 16</v>
      </c>
      <c r="C97" s="5" t="str">
        <f>IFERROR(__xludf.DUMMYFUNCTION("""COMPUTED_VALUE"""),"Arial 03")</f>
        <v>Arial 03</v>
      </c>
      <c r="D97" s="5" t="str">
        <f>IFERROR(__xludf.DUMMYFUNCTION("""COMPUTED_VALUE"""),"OM-3")</f>
        <v>OM-3</v>
      </c>
      <c r="E97" s="7" t="str">
        <f>IFERROR(__xludf.DUMMYFUNCTION("""COMPUTED_VALUE"""),"OM3")</f>
        <v>OM3</v>
      </c>
      <c r="F97" s="8">
        <f>IFERROR(__xludf.DUMMYFUNCTION("""COMPUTED_VALUE"""),0)</f>
        <v>0</v>
      </c>
      <c r="G97" s="8">
        <f>IFERROR(__xludf.DUMMYFUNCTION("""COMPUTED_VALUE"""),501.542)</f>
        <v>501.542</v>
      </c>
      <c r="H97" s="8">
        <f>IFERROR(__xludf.DUMMYFUNCTION("""COMPUTED_VALUE"""),0)</f>
        <v>0</v>
      </c>
      <c r="I97" s="14"/>
      <c r="J97" s="14"/>
      <c r="K97" s="14"/>
      <c r="L97" s="14"/>
      <c r="M97" s="7" t="b">
        <f>IFERROR(__xludf.DUMMYFUNCTION("""COMPUTED_VALUE"""),TRUE)</f>
        <v>1</v>
      </c>
      <c r="N97" s="10">
        <f>IFERROR(__xludf.DUMMYFUNCTION("""COMPUTED_VALUE"""),0)</f>
        <v>0</v>
      </c>
      <c r="O97" s="10">
        <f>IFERROR(__xludf.DUMMYFUNCTION("""COMPUTED_VALUE"""),0)</f>
        <v>0</v>
      </c>
      <c r="P97" s="8"/>
      <c r="Q97" s="7"/>
      <c r="R97" s="16"/>
      <c r="S97" s="17"/>
      <c r="T97" s="8"/>
      <c r="U97" s="8"/>
      <c r="V97" s="22"/>
      <c r="W97" s="12"/>
      <c r="X97" s="12"/>
      <c r="Y97" s="12"/>
      <c r="Z97" s="12"/>
      <c r="AA97" s="7"/>
      <c r="AB97" s="12"/>
      <c r="AC97" s="6"/>
      <c r="AD97" s="6"/>
      <c r="AE97" s="7"/>
      <c r="AF97" s="7"/>
      <c r="AG97" s="7"/>
      <c r="AH97" s="7"/>
      <c r="AI97" s="7"/>
      <c r="AJ97" s="7"/>
      <c r="AK97" s="7"/>
      <c r="AL97" s="7"/>
      <c r="AM97" s="7"/>
      <c r="AN97" s="7"/>
      <c r="AO97" s="6"/>
      <c r="AP97" s="7"/>
      <c r="AQ97" s="7"/>
      <c r="AR97" s="6"/>
      <c r="AS97" s="7"/>
      <c r="AT97" s="7"/>
      <c r="AU97" s="7"/>
      <c r="AV97" s="7"/>
      <c r="AW97" s="7"/>
      <c r="AX97" s="7"/>
      <c r="AY97" s="7"/>
      <c r="AZ97" s="7"/>
      <c r="BA97" s="7"/>
      <c r="BB97" s="7"/>
      <c r="BC97" s="7"/>
      <c r="BD97" s="7"/>
      <c r="BE97" s="7"/>
      <c r="BF97" s="7"/>
      <c r="BG97" s="7"/>
    </row>
    <row r="98" customHeight="1" spans="1:59">
      <c r="A98" s="9" t="str">
        <f>IFERROR(__xludf.DUMMYFUNCTION("""COMPUTED_VALUE"""),"Arial R04")</f>
        <v>Arial R04</v>
      </c>
      <c r="B98" s="5" t="str">
        <f>IFERROR(__xludf.DUMMYFUNCTION("""COMPUTED_VALUE"""),"Arial 17")</f>
        <v>Arial 17</v>
      </c>
      <c r="C98" s="5" t="str">
        <f>IFERROR(__xludf.DUMMYFUNCTION("""COMPUTED_VALUE"""),"Arial 10")</f>
        <v>Arial 10</v>
      </c>
      <c r="D98" s="5" t="str">
        <f>IFERROR(__xludf.DUMMYFUNCTION("""COMPUTED_VALUE"""),"OM-4")</f>
        <v>OM-4</v>
      </c>
      <c r="E98" s="7" t="str">
        <f>IFERROR(__xludf.DUMMYFUNCTION("""COMPUTED_VALUE"""),"OM4")</f>
        <v>OM4</v>
      </c>
      <c r="F98" s="8">
        <f>IFERROR(__xludf.DUMMYFUNCTION("""COMPUTED_VALUE"""),0)</f>
        <v>0</v>
      </c>
      <c r="G98" s="8">
        <f>IFERROR(__xludf.DUMMYFUNCTION("""COMPUTED_VALUE"""),-501.542)</f>
        <v>-501.542</v>
      </c>
      <c r="H98" s="8">
        <f>IFERROR(__xludf.DUMMYFUNCTION("""COMPUTED_VALUE"""),0)</f>
        <v>0</v>
      </c>
      <c r="I98" s="14"/>
      <c r="J98" s="14"/>
      <c r="K98" s="14"/>
      <c r="L98" s="14"/>
      <c r="M98" s="7" t="b">
        <f>IFERROR(__xludf.DUMMYFUNCTION("""COMPUTED_VALUE"""),TRUE)</f>
        <v>1</v>
      </c>
      <c r="N98" s="10">
        <f>IFERROR(__xludf.DUMMYFUNCTION("""COMPUTED_VALUE"""),0)</f>
        <v>0</v>
      </c>
      <c r="O98" s="10">
        <f>IFERROR(__xludf.DUMMYFUNCTION("""COMPUTED_VALUE"""),0)</f>
        <v>0</v>
      </c>
      <c r="P98" s="8"/>
      <c r="Q98" s="7"/>
      <c r="R98" s="16"/>
      <c r="S98" s="17"/>
      <c r="T98" s="8"/>
      <c r="U98" s="8"/>
      <c r="V98" s="22"/>
      <c r="W98" s="12"/>
      <c r="X98" s="12"/>
      <c r="Y98" s="12"/>
      <c r="Z98" s="12"/>
      <c r="AA98" s="7"/>
      <c r="AB98" s="12"/>
      <c r="AC98" s="6"/>
      <c r="AD98" s="6"/>
      <c r="AE98" s="7"/>
      <c r="AF98" s="7"/>
      <c r="AG98" s="7"/>
      <c r="AH98" s="7"/>
      <c r="AI98" s="7"/>
      <c r="AJ98" s="7"/>
      <c r="AK98" s="7"/>
      <c r="AL98" s="7"/>
      <c r="AM98" s="7"/>
      <c r="AN98" s="7"/>
      <c r="AO98" s="6"/>
      <c r="AP98" s="7"/>
      <c r="AQ98" s="7"/>
      <c r="AR98" s="6"/>
      <c r="AS98" s="7"/>
      <c r="AT98" s="7"/>
      <c r="AU98" s="7"/>
      <c r="AV98" s="7"/>
      <c r="AW98" s="7"/>
      <c r="AX98" s="7"/>
      <c r="AY98" s="7"/>
      <c r="AZ98" s="7"/>
      <c r="BA98" s="7"/>
      <c r="BB98" s="7"/>
      <c r="BC98" s="7"/>
      <c r="BD98" s="7"/>
      <c r="BE98" s="7"/>
      <c r="BF98" s="7"/>
      <c r="BG98" s="7"/>
    </row>
    <row r="99" customHeight="1" spans="1:59">
      <c r="A99" s="9" t="str">
        <f>IFERROR(__xludf.DUMMYFUNCTION("""COMPUTED_VALUE"""),"Arial R05")</f>
        <v>Arial R05</v>
      </c>
      <c r="B99" s="5" t="str">
        <f>IFERROR(__xludf.DUMMYFUNCTION("""COMPUTED_VALUE"""),"Arial 18")</f>
        <v>Arial 18</v>
      </c>
      <c r="C99" s="5" t="str">
        <f>IFERROR(__xludf.DUMMYFUNCTION("""COMPUTED_VALUE"""),"Arial 05")</f>
        <v>Arial 05</v>
      </c>
      <c r="D99" s="5" t="str">
        <f>IFERROR(__xludf.DUMMYFUNCTION("""COMPUTED_VALUE"""),"OM-5")</f>
        <v>OM-5</v>
      </c>
      <c r="E99" s="7" t="str">
        <f>IFERROR(__xludf.DUMMYFUNCTION("""COMPUTED_VALUE"""),"OM5")</f>
        <v>OM5</v>
      </c>
      <c r="F99" s="8">
        <f>IFERROR(__xludf.DUMMYFUNCTION("""COMPUTED_VALUE"""),501.542)</f>
        <v>501.542</v>
      </c>
      <c r="G99" s="8">
        <f>IFERROR(__xludf.DUMMYFUNCTION("""COMPUTED_VALUE"""),0)</f>
        <v>0</v>
      </c>
      <c r="H99" s="8">
        <f>IFERROR(__xludf.DUMMYFUNCTION("""COMPUTED_VALUE"""),0)</f>
        <v>0</v>
      </c>
      <c r="I99" s="14"/>
      <c r="J99" s="14"/>
      <c r="K99" s="14"/>
      <c r="L99" s="14"/>
      <c r="M99" s="7" t="b">
        <f>IFERROR(__xludf.DUMMYFUNCTION("""COMPUTED_VALUE"""),TRUE)</f>
        <v>1</v>
      </c>
      <c r="N99" s="10">
        <f>IFERROR(__xludf.DUMMYFUNCTION("""COMPUTED_VALUE"""),0)</f>
        <v>0</v>
      </c>
      <c r="O99" s="10">
        <f>IFERROR(__xludf.DUMMYFUNCTION("""COMPUTED_VALUE"""),0)</f>
        <v>0</v>
      </c>
      <c r="P99" s="8"/>
      <c r="Q99" s="7"/>
      <c r="R99" s="16"/>
      <c r="S99" s="17"/>
      <c r="T99" s="8"/>
      <c r="U99" s="8"/>
      <c r="V99" s="22"/>
      <c r="W99" s="12"/>
      <c r="X99" s="12"/>
      <c r="Y99" s="12"/>
      <c r="Z99" s="12"/>
      <c r="AA99" s="7"/>
      <c r="AB99" s="12"/>
      <c r="AC99" s="6"/>
      <c r="AD99" s="6"/>
      <c r="AE99" s="7"/>
      <c r="AF99" s="7"/>
      <c r="AG99" s="7"/>
      <c r="AH99" s="7"/>
      <c r="AI99" s="7"/>
      <c r="AJ99" s="7"/>
      <c r="AK99" s="7"/>
      <c r="AL99" s="7"/>
      <c r="AM99" s="7"/>
      <c r="AN99" s="7"/>
      <c r="AO99" s="6"/>
      <c r="AP99" s="7"/>
      <c r="AQ99" s="7"/>
      <c r="AR99" s="6"/>
      <c r="AS99" s="7"/>
      <c r="AT99" s="7"/>
      <c r="AU99" s="7"/>
      <c r="AV99" s="7"/>
      <c r="AW99" s="7"/>
      <c r="AX99" s="7"/>
      <c r="AY99" s="7"/>
      <c r="AZ99" s="7"/>
      <c r="BA99" s="7"/>
      <c r="BB99" s="7"/>
      <c r="BC99" s="7"/>
      <c r="BD99" s="7"/>
      <c r="BE99" s="7"/>
      <c r="BF99" s="7"/>
      <c r="BG99" s="7"/>
    </row>
    <row r="100" customHeight="1" spans="1:59">
      <c r="A100" s="9" t="str">
        <f>IFERROR(__xludf.DUMMYFUNCTION("""COMPUTED_VALUE"""),"Arial R06")</f>
        <v>Arial R06</v>
      </c>
      <c r="B100" s="5" t="str">
        <f>IFERROR(__xludf.DUMMYFUNCTION("""COMPUTED_VALUE"""),"Arial 19")</f>
        <v>Arial 19</v>
      </c>
      <c r="C100" s="5" t="str">
        <f>IFERROR(__xludf.DUMMYFUNCTION("""COMPUTED_VALUE"""),"Arial 12")</f>
        <v>Arial 12</v>
      </c>
      <c r="D100" s="5" t="str">
        <f>IFERROR(__xludf.DUMMYFUNCTION("""COMPUTED_VALUE"""),"OM-6")</f>
        <v>OM-6</v>
      </c>
      <c r="E100" s="7" t="str">
        <f>IFERROR(__xludf.DUMMYFUNCTION("""COMPUTED_VALUE"""),"OM6")</f>
        <v>OM6</v>
      </c>
      <c r="F100" s="11">
        <f>IFERROR(__xludf.DUMMYFUNCTION("""COMPUTED_VALUE"""),-501.542)</f>
        <v>-501.542</v>
      </c>
      <c r="G100" s="11">
        <f>IFERROR(__xludf.DUMMYFUNCTION("""COMPUTED_VALUE"""),0)</f>
        <v>0</v>
      </c>
      <c r="H100" s="11">
        <f>IFERROR(__xludf.DUMMYFUNCTION("""COMPUTED_VALUE"""),0)</f>
        <v>0</v>
      </c>
      <c r="I100" s="15"/>
      <c r="J100" s="15"/>
      <c r="K100" s="15"/>
      <c r="L100" s="15"/>
      <c r="M100" s="7" t="b">
        <f>IFERROR(__xludf.DUMMYFUNCTION("""COMPUTED_VALUE"""),TRUE)</f>
        <v>1</v>
      </c>
      <c r="N100" s="10">
        <f>IFERROR(__xludf.DUMMYFUNCTION("""COMPUTED_VALUE"""),0)</f>
        <v>0</v>
      </c>
      <c r="O100" s="10">
        <f>IFERROR(__xludf.DUMMYFUNCTION("""COMPUTED_VALUE"""),0)</f>
        <v>0</v>
      </c>
      <c r="P100" s="8"/>
      <c r="Q100" s="7"/>
      <c r="R100" s="16"/>
      <c r="S100" s="17"/>
      <c r="T100" s="8"/>
      <c r="U100" s="8"/>
      <c r="V100" s="22"/>
      <c r="W100" s="12"/>
      <c r="X100" s="12"/>
      <c r="Y100" s="12"/>
      <c r="Z100" s="12"/>
      <c r="AA100" s="9"/>
      <c r="AB100" s="12"/>
      <c r="AC100" s="6"/>
      <c r="AD100" s="6"/>
      <c r="AE100" s="7"/>
      <c r="AF100" s="7"/>
      <c r="AG100" s="7"/>
      <c r="AH100" s="7"/>
      <c r="AI100" s="7"/>
      <c r="AJ100" s="7"/>
      <c r="AK100" s="7"/>
      <c r="AL100" s="7"/>
      <c r="AM100" s="7"/>
      <c r="AN100" s="7"/>
      <c r="AO100" s="6"/>
      <c r="AP100" s="7"/>
      <c r="AQ100" s="7"/>
      <c r="AR100" s="6"/>
      <c r="AS100" s="7"/>
      <c r="AT100" s="7"/>
      <c r="AU100" s="7"/>
      <c r="AV100" s="7"/>
      <c r="AW100" s="7"/>
      <c r="AX100" s="7"/>
      <c r="AY100" s="7"/>
      <c r="AZ100" s="7"/>
      <c r="BA100" s="7"/>
      <c r="BB100" s="7"/>
      <c r="BC100" s="7"/>
      <c r="BD100" s="7"/>
      <c r="BE100" s="7"/>
      <c r="BF100" s="7"/>
      <c r="BG100" s="7"/>
    </row>
    <row r="101" customHeight="1" spans="1:59">
      <c r="A101" s="9" t="str">
        <f>IFERROR(__xludf.DUMMYFUNCTION("""COMPUTED_VALUE"""),"Arial")</f>
        <v>Arial</v>
      </c>
      <c r="B101" s="5" t="str">
        <f>IFERROR(__xludf.DUMMYFUNCTION("""COMPUTED_VALUE"""),"Arial 00")</f>
        <v>Arial 00</v>
      </c>
      <c r="C101" s="5"/>
      <c r="D101" s="5" t="str">
        <f>IFERROR(__xludf.DUMMYFUNCTION("""COMPUTED_VALUE"""),"Trading Terminals")</f>
        <v>Trading Terminals</v>
      </c>
      <c r="E101" s="7"/>
      <c r="F101" s="8"/>
      <c r="G101" s="8"/>
      <c r="H101" s="8"/>
      <c r="I101" s="14"/>
      <c r="J101" s="14"/>
      <c r="K101" s="14"/>
      <c r="L101" s="14"/>
      <c r="M101" s="7"/>
      <c r="N101" s="10"/>
      <c r="O101" s="10"/>
      <c r="P101" s="8"/>
      <c r="Q101" s="7"/>
      <c r="R101" s="16"/>
      <c r="S101" s="17"/>
      <c r="T101" s="8"/>
      <c r="U101" s="8"/>
      <c r="V101" s="22"/>
      <c r="W101" s="12"/>
      <c r="X101" s="12"/>
      <c r="Y101" s="12"/>
      <c r="Z101" s="12"/>
      <c r="AA101" s="9"/>
      <c r="AB101" s="12"/>
      <c r="AC101" s="6"/>
      <c r="AD101" s="6"/>
      <c r="AE101" s="7"/>
      <c r="AF101" s="7"/>
      <c r="AG101" s="7"/>
      <c r="AH101" s="7"/>
      <c r="AI101" s="7"/>
      <c r="AJ101" s="7"/>
      <c r="AK101" s="7"/>
      <c r="AL101" s="7"/>
      <c r="AM101" s="7"/>
      <c r="AN101" s="7"/>
      <c r="AO101" s="6"/>
      <c r="AP101" s="7"/>
      <c r="AQ101" s="7"/>
      <c r="AR101" s="6"/>
      <c r="AS101" s="7"/>
      <c r="AT101" s="7"/>
      <c r="AU101" s="7"/>
      <c r="AV101" s="7"/>
      <c r="AW101" s="7"/>
      <c r="AX101" s="7"/>
      <c r="AY101" s="7"/>
      <c r="AZ101" s="7"/>
      <c r="BA101" s="7"/>
      <c r="BB101" s="7"/>
      <c r="BC101" s="7"/>
      <c r="BD101" s="7"/>
      <c r="BE101" s="7"/>
      <c r="BF101" s="7"/>
      <c r="BG101" s="7"/>
    </row>
    <row r="102" customHeight="1" spans="1:59">
      <c r="A102" s="9" t="str">
        <f>IFERROR(__xludf.DUMMYFUNCTION("""COMPUTED_VALUE"""),"Arial 01")</f>
        <v>Arial 01</v>
      </c>
      <c r="B102" s="5" t="str">
        <f>IFERROR(__xludf.DUMMYFUNCTION("""COMPUTED_VALUE"""),"Arial 01")</f>
        <v>Arial 01</v>
      </c>
      <c r="C102" s="5" t="str">
        <f>IFERROR(__xludf.DUMMYFUNCTION("""COMPUTED_VALUE"""),"Arial 08")</f>
        <v>Arial 08</v>
      </c>
      <c r="D102" s="5" t="str">
        <f>IFERROR(__xludf.DUMMYFUNCTION("""COMPUTED_VALUE"""),"HDMS Bezdek (PB)")</f>
        <v>HDMS Bezdek (PB)</v>
      </c>
      <c r="E102" s="7" t="str">
        <f>IFERROR(__xludf.DUMMYFUNCTION("""COMPUTED_VALUE"""),"Bezdek")</f>
        <v>Bezdek</v>
      </c>
      <c r="F102" s="8">
        <f>IFERROR(__xludf.DUMMYFUNCTION("""COMPUTED_VALUE"""),26.735388974)</f>
        <v>26.735388974</v>
      </c>
      <c r="G102" s="8">
        <f>IFERROR(__xludf.DUMMYFUNCTION("""COMPUTED_VALUE"""),-234.697649360999)</f>
        <v>-234.697649360999</v>
      </c>
      <c r="H102" s="8">
        <f>IFERROR(__xludf.DUMMYFUNCTION("""COMPUTED_VALUE"""),251.505154463)</f>
        <v>251.505154463</v>
      </c>
      <c r="I102" s="14"/>
      <c r="J102" s="14"/>
      <c r="K102" s="14"/>
      <c r="L102" s="14"/>
      <c r="M102" s="7" t="b">
        <f>IFERROR(__xludf.DUMMYFUNCTION("""COMPUTED_VALUE"""),TRUE)</f>
        <v>1</v>
      </c>
      <c r="N102" s="10">
        <f>IFERROR(__xludf.DUMMYFUNCTION("""COMPUTED_VALUE"""),0)</f>
        <v>0</v>
      </c>
      <c r="O102" s="10">
        <f>IFERROR(__xludf.DUMMYFUNCTION("""COMPUTED_VALUE"""),0)</f>
        <v>0</v>
      </c>
      <c r="P102" s="8"/>
      <c r="Q102" s="7"/>
      <c r="R102" s="16"/>
      <c r="S102" s="17"/>
      <c r="T102" s="8"/>
      <c r="U102" s="8"/>
      <c r="V102" s="22"/>
      <c r="W102" s="12"/>
      <c r="X102" s="12"/>
      <c r="Y102" s="12"/>
      <c r="Z102" s="12"/>
      <c r="AA102" s="9"/>
      <c r="AB102" s="12"/>
      <c r="AC102" s="6"/>
      <c r="AD102" s="6"/>
      <c r="AE102" s="7"/>
      <c r="AF102" s="7"/>
      <c r="AG102" s="7"/>
      <c r="AH102" s="7"/>
      <c r="AI102" s="7"/>
      <c r="AJ102" s="7"/>
      <c r="AK102" s="7"/>
      <c r="AL102" s="7"/>
      <c r="AM102" s="7"/>
      <c r="AN102" s="7"/>
      <c r="AO102" s="6"/>
      <c r="AP102" s="7"/>
      <c r="AQ102" s="7"/>
      <c r="AR102" s="6"/>
      <c r="AS102" s="7"/>
      <c r="AT102" s="7"/>
      <c r="AU102" s="7"/>
      <c r="AV102" s="7"/>
      <c r="AW102" s="7"/>
      <c r="AX102" s="7"/>
      <c r="AY102" s="7"/>
      <c r="AZ102" s="7"/>
      <c r="BA102" s="7"/>
      <c r="BB102" s="7"/>
      <c r="BC102" s="7"/>
      <c r="BD102" s="7"/>
      <c r="BE102" s="7"/>
      <c r="BF102" s="7"/>
      <c r="BG102" s="7"/>
    </row>
    <row r="103" customHeight="1" spans="1:59">
      <c r="A103" s="9" t="str">
        <f>IFERROR(__xludf.DUMMYFUNCTION("""COMPUTED_VALUE"""),"Arial 02")</f>
        <v>Arial 02</v>
      </c>
      <c r="B103" s="5" t="str">
        <f>IFERROR(__xludf.DUMMYFUNCTION("""COMPUTED_VALUE"""),"Arial 02")</f>
        <v>Arial 02</v>
      </c>
      <c r="C103" s="5" t="str">
        <f>IFERROR(__xludf.DUMMYFUNCTION("""COMPUTED_VALUE"""),"Arial 04")</f>
        <v>Arial 04</v>
      </c>
      <c r="D103" s="5" t="str">
        <f>IFERROR(__xludf.DUMMYFUNCTION("""COMPUTED_VALUE"""),"HDMS Lathan (PB)")</f>
        <v>HDMS Lathan (PB)</v>
      </c>
      <c r="E103" s="7" t="str">
        <f>IFERROR(__xludf.DUMMYFUNCTION("""COMPUTED_VALUE"""),"Lathan")</f>
        <v>Lathan</v>
      </c>
      <c r="F103" s="8">
        <f>IFERROR(__xludf.DUMMYFUNCTION("""COMPUTED_VALUE"""),339.192706534)</f>
        <v>339.192706534</v>
      </c>
      <c r="G103" s="8">
        <f>IFERROR(__xludf.DUMMYFUNCTION("""COMPUTED_VALUE"""),33.6857956619999)</f>
        <v>33.6857956619999</v>
      </c>
      <c r="H103" s="8">
        <f>IFERROR(__xludf.DUMMYFUNCTION("""COMPUTED_VALUE"""),55.843185489)</f>
        <v>55.843185489</v>
      </c>
      <c r="I103" s="14"/>
      <c r="J103" s="14"/>
      <c r="K103" s="14"/>
      <c r="L103" s="14"/>
      <c r="M103" s="7" t="b">
        <f>IFERROR(__xludf.DUMMYFUNCTION("""COMPUTED_VALUE"""),TRUE)</f>
        <v>1</v>
      </c>
      <c r="N103" s="10">
        <f>IFERROR(__xludf.DUMMYFUNCTION("""COMPUTED_VALUE"""),0)</f>
        <v>0</v>
      </c>
      <c r="O103" s="10">
        <f>IFERROR(__xludf.DUMMYFUNCTION("""COMPUTED_VALUE"""),0)</f>
        <v>0</v>
      </c>
      <c r="P103" s="8"/>
      <c r="Q103" s="7"/>
      <c r="R103" s="16"/>
      <c r="S103" s="17"/>
      <c r="T103" s="8"/>
      <c r="U103" s="8"/>
      <c r="V103" s="22"/>
      <c r="W103" s="12"/>
      <c r="X103" s="12"/>
      <c r="Y103" s="12"/>
      <c r="Z103" s="12"/>
      <c r="AA103" s="9"/>
      <c r="AB103" s="12"/>
      <c r="AC103" s="6"/>
      <c r="AD103" s="6"/>
      <c r="AE103" s="7"/>
      <c r="AF103" s="7"/>
      <c r="AG103" s="7"/>
      <c r="AH103" s="7"/>
      <c r="AI103" s="7"/>
      <c r="AJ103" s="7"/>
      <c r="AK103" s="7"/>
      <c r="AL103" s="7"/>
      <c r="AM103" s="7"/>
      <c r="AN103" s="7"/>
      <c r="AO103" s="6"/>
      <c r="AP103" s="7"/>
      <c r="AQ103" s="7"/>
      <c r="AR103" s="6"/>
      <c r="AS103" s="7"/>
      <c r="AT103" s="7"/>
      <c r="AU103" s="7"/>
      <c r="AV103" s="7"/>
      <c r="AW103" s="7"/>
      <c r="AX103" s="7"/>
      <c r="AY103" s="7"/>
      <c r="AZ103" s="7"/>
      <c r="BA103" s="7"/>
      <c r="BB103" s="7"/>
      <c r="BC103" s="7"/>
      <c r="BD103" s="7"/>
      <c r="BE103" s="7"/>
      <c r="BF103" s="7"/>
      <c r="BG103" s="7"/>
    </row>
    <row r="104" customHeight="1" spans="1:59">
      <c r="A104" s="9" t="str">
        <f>IFERROR(__xludf.DUMMYFUNCTION("""COMPUTED_VALUE"""),"Arial")</f>
        <v>Arial</v>
      </c>
      <c r="B104" s="5" t="str">
        <f>IFERROR(__xludf.DUMMYFUNCTION("""COMPUTED_VALUE"""),"Arial 04")</f>
        <v>Arial 04</v>
      </c>
      <c r="C104" s="5"/>
      <c r="D104" s="5" t="str">
        <f>IFERROR(__xludf.DUMMYFUNCTION("""COMPUTED_VALUE"""),"Wrecks")</f>
        <v>Wrecks</v>
      </c>
      <c r="E104" s="7"/>
      <c r="F104" s="8"/>
      <c r="G104" s="8"/>
      <c r="H104" s="8"/>
      <c r="I104" s="14"/>
      <c r="J104" s="14"/>
      <c r="K104" s="14"/>
      <c r="L104" s="14"/>
      <c r="M104" s="7"/>
      <c r="N104" s="10"/>
      <c r="O104" s="10"/>
      <c r="P104" s="8"/>
      <c r="Q104" s="7"/>
      <c r="R104" s="16"/>
      <c r="S104" s="17"/>
      <c r="T104" s="8"/>
      <c r="U104" s="8"/>
      <c r="V104" s="22"/>
      <c r="W104" s="12"/>
      <c r="X104" s="12"/>
      <c r="Y104" s="12"/>
      <c r="Z104" s="12"/>
      <c r="AA104" s="9"/>
      <c r="AB104" s="12"/>
      <c r="AC104" s="6"/>
      <c r="AD104" s="6"/>
      <c r="AE104" s="7"/>
      <c r="AF104" s="7"/>
      <c r="AG104" s="7"/>
      <c r="AH104" s="7"/>
      <c r="AI104" s="7"/>
      <c r="AJ104" s="7"/>
      <c r="AK104" s="7"/>
      <c r="AL104" s="7"/>
      <c r="AM104" s="7"/>
      <c r="AN104" s="7"/>
      <c r="AO104" s="6"/>
      <c r="AP104" s="7"/>
      <c r="AQ104" s="7"/>
      <c r="AR104" s="6"/>
      <c r="AS104" s="7"/>
      <c r="AT104" s="7"/>
      <c r="AU104" s="7"/>
      <c r="AV104" s="7"/>
      <c r="AW104" s="7"/>
      <c r="AX104" s="7"/>
      <c r="AY104" s="7"/>
      <c r="AZ104" s="7"/>
      <c r="BA104" s="7"/>
      <c r="BB104" s="7"/>
      <c r="BC104" s="7"/>
      <c r="BD104" s="7"/>
      <c r="BE104" s="7"/>
      <c r="BF104" s="7"/>
      <c r="BG104" s="7"/>
    </row>
    <row r="105" customHeight="1" spans="1:59">
      <c r="A105" s="9" t="str">
        <f>IFERROR(__xludf.DUMMYFUNCTION("""COMPUTED_VALUE"""),"Arial 05")</f>
        <v>Arial 05</v>
      </c>
      <c r="B105" s="5" t="str">
        <f>IFERROR(__xludf.DUMMYFUNCTION("""COMPUTED_VALUE"""),"Arial 06")</f>
        <v>Arial 06</v>
      </c>
      <c r="C105" s="5" t="str">
        <f>IFERROR(__xludf.DUMMYFUNCTION("""COMPUTED_VALUE"""),"Arial 09")</f>
        <v>Arial 09</v>
      </c>
      <c r="D105" s="5" t="str">
        <f>IFERROR(__xludf.DUMMYFUNCTION("""COMPUTED_VALUE"""),"Caterpillar Wreck 16T")</f>
        <v>Caterpillar Wreck 16T</v>
      </c>
      <c r="E105" s="7" t="str">
        <f>IFERROR(__xludf.DUMMYFUNCTION("""COMPUTED_VALUE"""),"Caterpillar 16T")</f>
        <v>Caterpillar 16T</v>
      </c>
      <c r="F105" s="8">
        <f>IFERROR(__xludf.DUMMYFUNCTION("""COMPUTED_VALUE"""),21.29)</f>
        <v>21.29</v>
      </c>
      <c r="G105" s="8">
        <f>IFERROR(__xludf.DUMMYFUNCTION("""COMPUTED_VALUE"""),-234.274)</f>
        <v>-234.274</v>
      </c>
      <c r="H105" s="8">
        <f>IFERROR(__xludf.DUMMYFUNCTION("""COMPUTED_VALUE"""),252.404)</f>
        <v>252.404</v>
      </c>
      <c r="I105" s="14"/>
      <c r="J105" s="14"/>
      <c r="K105" s="14"/>
      <c r="L105" s="14"/>
      <c r="M105" s="7" t="b">
        <f>IFERROR(__xludf.DUMMYFUNCTION("""COMPUTED_VALUE"""),FALSE)</f>
        <v>0</v>
      </c>
      <c r="N105" s="10">
        <f>IFERROR(__xludf.DUMMYFUNCTION("""COMPUTED_VALUE"""),0)</f>
        <v>0</v>
      </c>
      <c r="O105" s="10">
        <f>IFERROR(__xludf.DUMMYFUNCTION("""COMPUTED_VALUE"""),0)</f>
        <v>0</v>
      </c>
      <c r="P105" s="8"/>
      <c r="Q105" s="7"/>
      <c r="R105" s="16"/>
      <c r="S105" s="17"/>
      <c r="T105" s="8"/>
      <c r="U105" s="8"/>
      <c r="V105" s="22"/>
      <c r="W105" s="12"/>
      <c r="X105" s="12"/>
      <c r="Y105" s="12"/>
      <c r="Z105" s="12"/>
      <c r="AA105" s="9"/>
      <c r="AB105" s="12"/>
      <c r="AC105" s="6"/>
      <c r="AD105" s="6"/>
      <c r="AE105" s="7"/>
      <c r="AF105" s="7"/>
      <c r="AG105" s="7"/>
      <c r="AH105" s="7"/>
      <c r="AI105" s="7"/>
      <c r="AJ105" s="7"/>
      <c r="AK105" s="7"/>
      <c r="AL105" s="7"/>
      <c r="AM105" s="7"/>
      <c r="AN105" s="7"/>
      <c r="AO105" s="6"/>
      <c r="AP105" s="7"/>
      <c r="AQ105" s="7"/>
      <c r="AR105" s="6"/>
      <c r="AS105" s="7"/>
      <c r="AT105" s="7"/>
      <c r="AU105" s="7"/>
      <c r="AV105" s="7"/>
      <c r="AW105" s="7"/>
      <c r="AX105" s="7"/>
      <c r="AY105" s="7"/>
      <c r="AZ105" s="7"/>
      <c r="BA105" s="7"/>
      <c r="BB105" s="7"/>
      <c r="BC105" s="7"/>
      <c r="BD105" s="7"/>
      <c r="BE105" s="7"/>
      <c r="BF105" s="7"/>
      <c r="BG105" s="7"/>
    </row>
    <row r="106" customHeight="1" spans="1:59">
      <c r="A106" s="9" t="str">
        <f>IFERROR(__xludf.DUMMYFUNCTION("""COMPUTED_VALUE"""),"Arial 04")</f>
        <v>Arial 04</v>
      </c>
      <c r="B106" s="5" t="str">
        <f>IFERROR(__xludf.DUMMYFUNCTION("""COMPUTED_VALUE"""),"Arial 05")</f>
        <v>Arial 05</v>
      </c>
      <c r="C106" s="5" t="str">
        <f>IFERROR(__xludf.DUMMYFUNCTION("""COMPUTED_VALUE"""),"Arial 11")</f>
        <v>Arial 11</v>
      </c>
      <c r="D106" s="5" t="str">
        <f>IFERROR(__xludf.DUMMYFUNCTION("""COMPUTED_VALUE"""),"Caterpillar Wreck 05V")</f>
        <v>Caterpillar Wreck 05V</v>
      </c>
      <c r="E106" s="7" t="str">
        <f>IFERROR(__xludf.DUMMYFUNCTION("""COMPUTED_VALUE"""),"Caterpillar 05V")</f>
        <v>Caterpillar 05V</v>
      </c>
      <c r="F106" s="8">
        <f>IFERROR(__xludf.DUMMYFUNCTION("""COMPUTED_VALUE"""),-140.054254599998)</f>
        <v>-140.054254599998</v>
      </c>
      <c r="G106" s="8">
        <f>IFERROR(__xludf.DUMMYFUNCTION("""COMPUTED_VALUE"""),-74.603768075)</f>
        <v>-74.603768075</v>
      </c>
      <c r="H106" s="8">
        <f>IFERROR(__xludf.DUMMYFUNCTION("""COMPUTED_VALUE"""),306.556197569)</f>
        <v>306.556197569</v>
      </c>
      <c r="I106" s="14"/>
      <c r="J106" s="14"/>
      <c r="K106" s="14"/>
      <c r="L106" s="14"/>
      <c r="M106" s="7" t="b">
        <f>IFERROR(__xludf.DUMMYFUNCTION("""COMPUTED_VALUE"""),FALSE)</f>
        <v>0</v>
      </c>
      <c r="N106" s="10">
        <f>IFERROR(__xludf.DUMMYFUNCTION("""COMPUTED_VALUE"""),0)</f>
        <v>0</v>
      </c>
      <c r="O106" s="10">
        <f>IFERROR(__xludf.DUMMYFUNCTION("""COMPUTED_VALUE"""),0)</f>
        <v>0</v>
      </c>
      <c r="P106" s="8"/>
      <c r="Q106" s="7"/>
      <c r="R106" s="16"/>
      <c r="S106" s="17"/>
      <c r="T106" s="8"/>
      <c r="U106" s="8"/>
      <c r="V106" s="22"/>
      <c r="W106" s="12"/>
      <c r="X106" s="12"/>
      <c r="Y106" s="12"/>
      <c r="Z106" s="12"/>
      <c r="AA106" s="9"/>
      <c r="AB106" s="12"/>
      <c r="AC106" s="6"/>
      <c r="AD106" s="6"/>
      <c r="AE106" s="7"/>
      <c r="AF106" s="7"/>
      <c r="AG106" s="7"/>
      <c r="AH106" s="7"/>
      <c r="AI106" s="7"/>
      <c r="AJ106" s="7"/>
      <c r="AK106" s="7"/>
      <c r="AL106" s="7"/>
      <c r="AM106" s="7"/>
      <c r="AN106" s="7"/>
      <c r="AO106" s="6"/>
      <c r="AP106" s="7"/>
      <c r="AQ106" s="7"/>
      <c r="AR106" s="6"/>
      <c r="AS106" s="7"/>
      <c r="AT106" s="7"/>
      <c r="AU106" s="7"/>
      <c r="AV106" s="7"/>
      <c r="AW106" s="7"/>
      <c r="AX106" s="7"/>
      <c r="AY106" s="7"/>
      <c r="AZ106" s="7"/>
      <c r="BA106" s="7"/>
      <c r="BB106" s="7"/>
      <c r="BC106" s="7"/>
      <c r="BD106" s="7"/>
      <c r="BE106" s="7"/>
      <c r="BF106" s="7"/>
      <c r="BG106" s="7"/>
    </row>
    <row r="107" customHeight="1" spans="1:59">
      <c r="A107" s="9" t="str">
        <f>IFERROR(__xludf.DUMMYFUNCTION("""COMPUTED_VALUE"""),"Arial 06")</f>
        <v>Arial 06</v>
      </c>
      <c r="B107" s="5" t="str">
        <f>IFERROR(__xludf.DUMMYFUNCTION("""COMPUTED_VALUE"""),"Arial 07")</f>
        <v>Arial 07</v>
      </c>
      <c r="C107" s="5" t="str">
        <f>IFERROR(__xludf.DUMMYFUNCTION("""COMPUTED_VALUE"""),"Arial 06")</f>
        <v>Arial 06</v>
      </c>
      <c r="D107" s="5" t="str">
        <f>IFERROR(__xludf.DUMMYFUNCTION("""COMPUTED_VALUE"""),"Cutlass Wreck")</f>
        <v>Cutlass Wreck</v>
      </c>
      <c r="E107" s="7" t="str">
        <f>IFERROR(__xludf.DUMMYFUNCTION("""COMPUTED_VALUE"""),"Cutlass")</f>
        <v>Cutlass</v>
      </c>
      <c r="F107" s="8">
        <f>IFERROR(__xludf.DUMMYFUNCTION("""COMPUTED_VALUE"""),216.539735167)</f>
        <v>216.539735167</v>
      </c>
      <c r="G107" s="8">
        <f>IFERROR(__xludf.DUMMYFUNCTION("""COMPUTED_VALUE"""),-124.124250453999)</f>
        <v>-124.124250453999</v>
      </c>
      <c r="H107" s="8">
        <f>IFERROR(__xludf.DUMMYFUNCTION("""COMPUTED_VALUE"""),238.388594621)</f>
        <v>238.388594621</v>
      </c>
      <c r="I107" s="14"/>
      <c r="J107" s="14"/>
      <c r="K107" s="14"/>
      <c r="L107" s="14"/>
      <c r="M107" s="7" t="b">
        <f>IFERROR(__xludf.DUMMYFUNCTION("""COMPUTED_VALUE"""),FALSE)</f>
        <v>0</v>
      </c>
      <c r="N107" s="10">
        <f>IFERROR(__xludf.DUMMYFUNCTION("""COMPUTED_VALUE"""),0)</f>
        <v>0</v>
      </c>
      <c r="O107" s="10">
        <f>IFERROR(__xludf.DUMMYFUNCTION("""COMPUTED_VALUE"""),0)</f>
        <v>0</v>
      </c>
      <c r="P107" s="8"/>
      <c r="Q107" s="7"/>
      <c r="R107" s="16"/>
      <c r="S107" s="17"/>
      <c r="T107" s="8"/>
      <c r="U107" s="8"/>
      <c r="V107" s="22"/>
      <c r="W107" s="12"/>
      <c r="X107" s="12"/>
      <c r="Y107" s="12"/>
      <c r="Z107" s="12"/>
      <c r="AA107" s="9"/>
      <c r="AB107" s="12"/>
      <c r="AC107" s="6"/>
      <c r="AD107" s="6"/>
      <c r="AE107" s="7"/>
      <c r="AF107" s="7"/>
      <c r="AG107" s="7"/>
      <c r="AH107" s="7"/>
      <c r="AI107" s="7"/>
      <c r="AJ107" s="7"/>
      <c r="AK107" s="7"/>
      <c r="AL107" s="7"/>
      <c r="AM107" s="7"/>
      <c r="AN107" s="7"/>
      <c r="AO107" s="6"/>
      <c r="AP107" s="7"/>
      <c r="AQ107" s="7"/>
      <c r="AR107" s="6"/>
      <c r="AS107" s="7"/>
      <c r="AT107" s="7"/>
      <c r="AU107" s="7"/>
      <c r="AV107" s="7"/>
      <c r="AW107" s="7"/>
      <c r="AX107" s="7"/>
      <c r="AY107" s="7"/>
      <c r="AZ107" s="7"/>
      <c r="BA107" s="7"/>
      <c r="BB107" s="7"/>
      <c r="BC107" s="7"/>
      <c r="BD107" s="7"/>
      <c r="BE107" s="7"/>
      <c r="BF107" s="7"/>
      <c r="BG107" s="7"/>
    </row>
    <row r="108" customHeight="1" spans="1:59">
      <c r="A108" s="9" t="str">
        <f>IFERROR(__xludf.DUMMYFUNCTION("""COMPUTED_VALUE"""),"Arial 07")</f>
        <v>Arial 07</v>
      </c>
      <c r="B108" s="5" t="str">
        <f>IFERROR(__xludf.DUMMYFUNCTION("""COMPUTED_VALUE"""),"Arial 08")</f>
        <v>Arial 08</v>
      </c>
      <c r="C108" s="5" t="str">
        <f>IFERROR(__xludf.DUMMYFUNCTION("""COMPUTED_VALUE"""),"Arial 01")</f>
        <v>Arial 01</v>
      </c>
      <c r="D108" s="5" t="str">
        <f>IFERROR(__xludf.DUMMYFUNCTION("""COMPUTED_VALUE"""),"Freelancer Wreck")</f>
        <v>Freelancer Wreck</v>
      </c>
      <c r="E108" s="7" t="str">
        <f>IFERROR(__xludf.DUMMYFUNCTION("""COMPUTED_VALUE"""),"Freelancer")</f>
        <v>Freelancer</v>
      </c>
      <c r="F108" s="8">
        <f>IFERROR(__xludf.DUMMYFUNCTION("""COMPUTED_VALUE"""),-210.193300263)</f>
        <v>-210.193300263</v>
      </c>
      <c r="G108" s="8">
        <f>IFERROR(__xludf.DUMMYFUNCTION("""COMPUTED_VALUE"""),258.977597924)</f>
        <v>258.977597924</v>
      </c>
      <c r="H108" s="8">
        <f>IFERROR(__xludf.DUMMYFUNCTION("""COMPUTED_VALUE"""),-89.4431420669999)</f>
        <v>-89.4431420669999</v>
      </c>
      <c r="I108" s="14"/>
      <c r="J108" s="14"/>
      <c r="K108" s="14"/>
      <c r="L108" s="14"/>
      <c r="M108" s="7" t="b">
        <f>IFERROR(__xludf.DUMMYFUNCTION("""COMPUTED_VALUE"""),FALSE)</f>
        <v>0</v>
      </c>
      <c r="N108" s="10">
        <f>IFERROR(__xludf.DUMMYFUNCTION("""COMPUTED_VALUE"""),0)</f>
        <v>0</v>
      </c>
      <c r="O108" s="10">
        <f>IFERROR(__xludf.DUMMYFUNCTION("""COMPUTED_VALUE"""),0)</f>
        <v>0</v>
      </c>
      <c r="P108" s="8"/>
      <c r="Q108" s="7"/>
      <c r="R108" s="16"/>
      <c r="S108" s="17"/>
      <c r="T108" s="8"/>
      <c r="U108" s="8"/>
      <c r="V108" s="22"/>
      <c r="W108" s="12"/>
      <c r="X108" s="12"/>
      <c r="Y108" s="12"/>
      <c r="Z108" s="12"/>
      <c r="AA108" s="7"/>
      <c r="AB108" s="12"/>
      <c r="AC108" s="6"/>
      <c r="AD108" s="6"/>
      <c r="AE108" s="7"/>
      <c r="AF108" s="7"/>
      <c r="AG108" s="7"/>
      <c r="AH108" s="7"/>
      <c r="AI108" s="7"/>
      <c r="AJ108" s="7"/>
      <c r="AK108" s="7"/>
      <c r="AL108" s="7"/>
      <c r="AM108" s="7"/>
      <c r="AN108" s="7"/>
      <c r="AO108" s="6"/>
      <c r="AP108" s="7"/>
      <c r="AQ108" s="7"/>
      <c r="AR108" s="6"/>
      <c r="AS108" s="7"/>
      <c r="AT108" s="7"/>
      <c r="AU108" s="7"/>
      <c r="AV108" s="7"/>
      <c r="AW108" s="7"/>
      <c r="AX108" s="7"/>
      <c r="AY108" s="7"/>
      <c r="AZ108" s="7"/>
      <c r="BA108" s="7"/>
      <c r="BB108" s="7"/>
      <c r="BC108" s="7"/>
      <c r="BD108" s="7"/>
      <c r="BE108" s="7"/>
      <c r="BF108" s="7"/>
      <c r="BG108" s="7"/>
    </row>
    <row r="109" customHeight="1" spans="1:59">
      <c r="A109" s="9" t="str">
        <f>IFERROR(__xludf.DUMMYFUNCTION("""COMPUTED_VALUE"""),"Arial 08")</f>
        <v>Arial 08</v>
      </c>
      <c r="B109" s="5" t="str">
        <f>IFERROR(__xludf.DUMMYFUNCTION("""COMPUTED_VALUE"""),"Arial 09")</f>
        <v>Arial 09</v>
      </c>
      <c r="C109" s="5" t="str">
        <f>IFERROR(__xludf.DUMMYFUNCTION("""COMPUTED_VALUE"""),"Arial 07")</f>
        <v>Arial 07</v>
      </c>
      <c r="D109" s="5" t="str">
        <f>IFERROR(__xludf.DUMMYFUNCTION("""COMPUTED_VALUE"""),"Starfarer Wreck")</f>
        <v>Starfarer Wreck</v>
      </c>
      <c r="E109" s="7" t="str">
        <f>IFERROR(__xludf.DUMMYFUNCTION("""COMPUTED_VALUE"""),"Starfarer")</f>
        <v>Starfarer</v>
      </c>
      <c r="F109" s="8">
        <f>IFERROR(__xludf.DUMMYFUNCTION("""COMPUTED_VALUE"""),223.890612681)</f>
        <v>223.890612681</v>
      </c>
      <c r="G109" s="8">
        <f>IFERROR(__xludf.DUMMYFUNCTION("""COMPUTED_VALUE"""),-230.405034652)</f>
        <v>-230.405034652</v>
      </c>
      <c r="H109" s="8">
        <f>IFERROR(__xludf.DUMMYFUNCTION("""COMPUTED_VALUE"""),126.732908121)</f>
        <v>126.732908121</v>
      </c>
      <c r="I109" s="14"/>
      <c r="J109" s="14"/>
      <c r="K109" s="14"/>
      <c r="L109" s="14"/>
      <c r="M109" s="7" t="b">
        <f>IFERROR(__xludf.DUMMYFUNCTION("""COMPUTED_VALUE"""),FALSE)</f>
        <v>0</v>
      </c>
      <c r="N109" s="10">
        <f>IFERROR(__xludf.DUMMYFUNCTION("""COMPUTED_VALUE"""),0)</f>
        <v>0</v>
      </c>
      <c r="O109" s="10">
        <f>IFERROR(__xludf.DUMMYFUNCTION("""COMPUTED_VALUE"""),0)</f>
        <v>0</v>
      </c>
      <c r="P109" s="8"/>
      <c r="Q109" s="7"/>
      <c r="R109" s="16"/>
      <c r="S109" s="17"/>
      <c r="T109" s="8"/>
      <c r="U109" s="8"/>
      <c r="V109" s="22"/>
      <c r="W109" s="12"/>
      <c r="X109" s="12"/>
      <c r="Y109" s="12"/>
      <c r="Z109" s="12"/>
      <c r="AA109" s="7"/>
      <c r="AB109" s="12"/>
      <c r="AC109" s="6"/>
      <c r="AD109" s="6"/>
      <c r="AE109" s="7"/>
      <c r="AF109" s="7"/>
      <c r="AG109" s="7"/>
      <c r="AH109" s="7"/>
      <c r="AI109" s="7"/>
      <c r="AJ109" s="7"/>
      <c r="AK109" s="7"/>
      <c r="AL109" s="7"/>
      <c r="AM109" s="7"/>
      <c r="AN109" s="7"/>
      <c r="AO109" s="6"/>
      <c r="AP109" s="7"/>
      <c r="AQ109" s="7"/>
      <c r="AR109" s="6"/>
      <c r="AS109" s="7"/>
      <c r="AT109" s="7"/>
      <c r="AU109" s="7"/>
      <c r="AV109" s="7"/>
      <c r="AW109" s="7"/>
      <c r="AX109" s="7"/>
      <c r="AY109" s="7"/>
      <c r="AZ109" s="7"/>
      <c r="BA109" s="7"/>
      <c r="BB109" s="7"/>
      <c r="BC109" s="7"/>
      <c r="BD109" s="7"/>
      <c r="BE109" s="7"/>
      <c r="BF109" s="7"/>
      <c r="BG109" s="7"/>
    </row>
    <row r="110" customHeight="1" spans="1:59">
      <c r="A110" s="9" t="str">
        <f>IFERROR(__xludf.DUMMYFUNCTION("""COMPUTED_VALUE"""),"Arial")</f>
        <v>Arial</v>
      </c>
      <c r="B110" s="5" t="str">
        <f>IFERROR(__xludf.DUMMYFUNCTION("""COMPUTED_VALUE"""),"Arial 11")</f>
        <v>Arial 11</v>
      </c>
      <c r="C110" s="5"/>
      <c r="D110" s="5" t="str">
        <f>IFERROR(__xludf.DUMMYFUNCTION("""COMPUTED_VALUE"""),"Comm Array")</f>
        <v>Comm Array</v>
      </c>
      <c r="E110" s="7"/>
      <c r="F110" s="8"/>
      <c r="G110" s="8"/>
      <c r="H110" s="8"/>
      <c r="I110" s="14"/>
      <c r="J110" s="14"/>
      <c r="K110" s="14"/>
      <c r="L110" s="14"/>
      <c r="M110" s="7"/>
      <c r="N110" s="10"/>
      <c r="O110" s="10"/>
      <c r="P110" s="8"/>
      <c r="Q110" s="7"/>
      <c r="R110" s="16"/>
      <c r="S110" s="17"/>
      <c r="T110" s="8"/>
      <c r="U110" s="8"/>
      <c r="V110" s="22"/>
      <c r="W110" s="12"/>
      <c r="X110" s="12"/>
      <c r="Y110" s="12"/>
      <c r="Z110" s="12"/>
      <c r="AA110" s="7"/>
      <c r="AB110" s="12"/>
      <c r="AC110" s="6"/>
      <c r="AD110" s="6"/>
      <c r="AE110" s="7"/>
      <c r="AF110" s="7"/>
      <c r="AG110" s="7"/>
      <c r="AH110" s="7"/>
      <c r="AI110" s="7"/>
      <c r="AJ110" s="7"/>
      <c r="AK110" s="7"/>
      <c r="AL110" s="7"/>
      <c r="AM110" s="7"/>
      <c r="AN110" s="7"/>
      <c r="AO110" s="6"/>
      <c r="AP110" s="7"/>
      <c r="AQ110" s="7"/>
      <c r="AR110" s="6"/>
      <c r="AS110" s="7"/>
      <c r="AT110" s="7"/>
      <c r="AU110" s="7"/>
      <c r="AV110" s="7"/>
      <c r="AW110" s="7"/>
      <c r="AX110" s="7"/>
      <c r="AY110" s="7"/>
      <c r="AZ110" s="7"/>
      <c r="BA110" s="7"/>
      <c r="BB110" s="7"/>
      <c r="BC110" s="7"/>
      <c r="BD110" s="7"/>
      <c r="BE110" s="7"/>
      <c r="BF110" s="7"/>
      <c r="BG110" s="7"/>
    </row>
    <row r="111" customHeight="1" spans="1:59">
      <c r="A111" s="9" t="str">
        <f>IFERROR(__xludf.DUMMYFUNCTION("""COMPUTED_VALUE"""),"Arial 03")</f>
        <v>Arial 03</v>
      </c>
      <c r="B111" s="5" t="str">
        <f>IFERROR(__xludf.DUMMYFUNCTION("""COMPUTED_VALUE"""),"Arial 12")</f>
        <v>Arial 12</v>
      </c>
      <c r="C111" s="5" t="str">
        <f>IFERROR(__xludf.DUMMYFUNCTION("""COMPUTED_VALUE"""),"Arial 02")</f>
        <v>Arial 02</v>
      </c>
      <c r="D111" s="5" t="str">
        <f>IFERROR(__xludf.DUMMYFUNCTION("""COMPUTED_VALUE"""),"Comm Array ST1-13")</f>
        <v>Comm Array ST1-13</v>
      </c>
      <c r="E111" s="7" t="str">
        <f>IFERROR(__xludf.DUMMYFUNCTION("""COMPUTED_VALUE"""),"ST1-13")</f>
        <v>ST1-13</v>
      </c>
      <c r="F111" s="8">
        <f>IFERROR(__xludf.DUMMYFUNCTION("""COMPUTED_VALUE"""),-78.760189498901)</f>
        <v>-78.760189498901</v>
      </c>
      <c r="G111" s="8">
        <f>IFERROR(__xludf.DUMMYFUNCTION("""COMPUTED_VALUE"""),505.627721415002)</f>
        <v>505.627721415002</v>
      </c>
      <c r="H111" s="8">
        <f>IFERROR(__xludf.DUMMYFUNCTION("""COMPUTED_VALUE"""),24)</f>
        <v>24</v>
      </c>
      <c r="I111" s="14"/>
      <c r="J111" s="14"/>
      <c r="K111" s="14"/>
      <c r="L111" s="14"/>
      <c r="M111" s="7" t="b">
        <f>IFERROR(__xludf.DUMMYFUNCTION("""COMPUTED_VALUE"""),TRUE)</f>
        <v>1</v>
      </c>
      <c r="N111" s="10">
        <f>IFERROR(__xludf.DUMMYFUNCTION("""COMPUTED_VALUE"""),0)</f>
        <v>0</v>
      </c>
      <c r="O111" s="10">
        <f>IFERROR(__xludf.DUMMYFUNCTION("""COMPUTED_VALUE"""),0)</f>
        <v>0</v>
      </c>
      <c r="P111" s="8"/>
      <c r="Q111" s="7"/>
      <c r="R111" s="16"/>
      <c r="S111" s="17"/>
      <c r="T111" s="8"/>
      <c r="U111" s="8"/>
      <c r="V111" s="22"/>
      <c r="W111" s="12"/>
      <c r="X111" s="12"/>
      <c r="Y111" s="12"/>
      <c r="Z111" s="12"/>
      <c r="AA111" s="7"/>
      <c r="AB111" s="12"/>
      <c r="AC111" s="6"/>
      <c r="AD111" s="6"/>
      <c r="AE111" s="7"/>
      <c r="AF111" s="7"/>
      <c r="AG111" s="7"/>
      <c r="AH111" s="7"/>
      <c r="AI111" s="7"/>
      <c r="AJ111" s="7"/>
      <c r="AK111" s="7"/>
      <c r="AL111" s="7"/>
      <c r="AM111" s="7"/>
      <c r="AN111" s="7"/>
      <c r="AO111" s="6"/>
      <c r="AP111" s="7"/>
      <c r="AQ111" s="7"/>
      <c r="AR111" s="6"/>
      <c r="AS111" s="7"/>
      <c r="AT111" s="7"/>
      <c r="AU111" s="7"/>
      <c r="AV111" s="7"/>
      <c r="AW111" s="7"/>
      <c r="AX111" s="7"/>
      <c r="AY111" s="7"/>
      <c r="AZ111" s="7"/>
      <c r="BA111" s="7"/>
      <c r="BB111" s="7"/>
      <c r="BC111" s="7"/>
      <c r="BD111" s="7"/>
      <c r="BE111" s="7"/>
      <c r="BF111" s="7"/>
      <c r="BG111" s="7"/>
    </row>
    <row r="112" customHeight="1" spans="1:59">
      <c r="A112" s="9"/>
      <c r="B112" s="5"/>
      <c r="C112" s="5"/>
      <c r="D112" s="5"/>
      <c r="E112" s="7"/>
      <c r="F112" s="8"/>
      <c r="G112" s="8"/>
      <c r="H112" s="8"/>
      <c r="I112" s="14"/>
      <c r="J112" s="14"/>
      <c r="K112" s="14"/>
      <c r="L112" s="14"/>
      <c r="M112" s="7"/>
      <c r="N112" s="10"/>
      <c r="O112" s="10"/>
      <c r="P112" s="8"/>
      <c r="Q112" s="7"/>
      <c r="R112" s="16"/>
      <c r="S112" s="17"/>
      <c r="T112" s="8"/>
      <c r="U112" s="8"/>
      <c r="V112" s="22"/>
      <c r="W112" s="12"/>
      <c r="X112" s="12"/>
      <c r="Y112" s="12"/>
      <c r="Z112" s="12"/>
      <c r="AA112" s="7"/>
      <c r="AB112" s="12"/>
      <c r="AC112" s="6"/>
      <c r="AD112" s="6"/>
      <c r="AE112" s="7"/>
      <c r="AF112" s="7"/>
      <c r="AG112" s="7"/>
      <c r="AH112" s="7"/>
      <c r="AI112" s="7"/>
      <c r="AJ112" s="7"/>
      <c r="AK112" s="7"/>
      <c r="AL112" s="7"/>
      <c r="AM112" s="7"/>
      <c r="AN112" s="7"/>
      <c r="AO112" s="6"/>
      <c r="AP112" s="7"/>
      <c r="AQ112" s="7"/>
      <c r="AR112" s="6"/>
      <c r="AS112" s="7"/>
      <c r="AT112" s="7"/>
      <c r="AU112" s="7"/>
      <c r="AV112" s="7"/>
      <c r="AW112" s="7"/>
      <c r="AX112" s="7"/>
      <c r="AY112" s="7"/>
      <c r="AZ112" s="7"/>
      <c r="BA112" s="7"/>
      <c r="BB112" s="7"/>
      <c r="BC112" s="7"/>
      <c r="BD112" s="7"/>
      <c r="BE112" s="7"/>
      <c r="BF112" s="7"/>
      <c r="BG112" s="7"/>
    </row>
    <row r="113" customHeight="1" spans="1:59">
      <c r="A113" s="9" t="str">
        <f>IFERROR(__xludf.DUMMYFUNCTION("""COMPUTED_VALUE"""),"Calliope R01")</f>
        <v>Calliope R01</v>
      </c>
      <c r="B113" s="9" t="str">
        <f>IFERROR(__xludf.DUMMYFUNCTION("""COMPUTED_VALUE"""),"Calliope 29")</f>
        <v>Calliope 29</v>
      </c>
      <c r="C113" s="5"/>
      <c r="D113" s="5" t="str">
        <f>IFERROR(__xludf.DUMMYFUNCTION("""COMPUTED_VALUE"""),"OM-1")</f>
        <v>OM-1</v>
      </c>
      <c r="E113" s="7" t="str">
        <f>IFERROR(__xludf.DUMMYFUNCTION("""COMPUTED_VALUE"""),"OM1")</f>
        <v>OM1</v>
      </c>
      <c r="F113" s="8">
        <f>IFERROR(__xludf.DUMMYFUNCTION("""COMPUTED_VALUE"""),0)</f>
        <v>0</v>
      </c>
      <c r="G113" s="8">
        <f>IFERROR(__xludf.DUMMYFUNCTION("""COMPUTED_VALUE"""),0)</f>
        <v>0</v>
      </c>
      <c r="H113" s="8">
        <f>IFERROR(__xludf.DUMMYFUNCTION("""COMPUTED_VALUE"""),352.214)</f>
        <v>352.214</v>
      </c>
      <c r="I113" s="14"/>
      <c r="J113" s="14"/>
      <c r="K113" s="14"/>
      <c r="L113" s="14"/>
      <c r="M113" s="7" t="b">
        <f>IFERROR(__xludf.DUMMYFUNCTION("""COMPUTED_VALUE"""),TRUE)</f>
        <v>1</v>
      </c>
      <c r="N113" s="10">
        <f>IFERROR(__xludf.DUMMYFUNCTION("""COMPUTED_VALUE"""),0)</f>
        <v>0</v>
      </c>
      <c r="O113" s="10">
        <f>IFERROR(__xludf.DUMMYFUNCTION("""COMPUTED_VALUE"""),0)</f>
        <v>0</v>
      </c>
      <c r="P113" s="8"/>
      <c r="Q113" s="7"/>
      <c r="R113" s="16"/>
      <c r="S113" s="17"/>
      <c r="T113" s="8"/>
      <c r="U113" s="8"/>
      <c r="V113" s="22"/>
      <c r="W113" s="12"/>
      <c r="X113" s="12"/>
      <c r="Y113" s="12"/>
      <c r="Z113" s="12"/>
      <c r="AA113" s="9"/>
      <c r="AB113" s="12"/>
      <c r="AC113" s="6"/>
      <c r="AD113" s="6"/>
      <c r="AE113" s="7"/>
      <c r="AF113" s="7"/>
      <c r="AG113" s="7"/>
      <c r="AH113" s="7"/>
      <c r="AI113" s="7"/>
      <c r="AJ113" s="7"/>
      <c r="AK113" s="7"/>
      <c r="AL113" s="7"/>
      <c r="AM113" s="7"/>
      <c r="AN113" s="7"/>
      <c r="AO113" s="6"/>
      <c r="AP113" s="7"/>
      <c r="AQ113" s="7"/>
      <c r="AR113" s="6"/>
      <c r="AS113" s="7"/>
      <c r="AT113" s="7"/>
      <c r="AU113" s="7"/>
      <c r="AV113" s="7"/>
      <c r="AW113" s="7"/>
      <c r="AX113" s="7"/>
      <c r="AY113" s="7"/>
      <c r="AZ113" s="7"/>
      <c r="BA113" s="7"/>
      <c r="BB113" s="7"/>
      <c r="BC113" s="7"/>
      <c r="BD113" s="7"/>
      <c r="BE113" s="7"/>
      <c r="BF113" s="7"/>
      <c r="BG113" s="7"/>
    </row>
    <row r="114" customHeight="1" spans="1:59">
      <c r="A114" s="9" t="str">
        <f>IFERROR(__xludf.DUMMYFUNCTION("""COMPUTED_VALUE"""),"Calliope R02")</f>
        <v>Calliope R02</v>
      </c>
      <c r="B114" s="5" t="str">
        <f>IFERROR(__xludf.DUMMYFUNCTION("""COMPUTED_VALUE"""),"Calliope 30")</f>
        <v>Calliope 30</v>
      </c>
      <c r="C114" s="5"/>
      <c r="D114" s="5" t="str">
        <f>IFERROR(__xludf.DUMMYFUNCTION("""COMPUTED_VALUE"""),"OM-2")</f>
        <v>OM-2</v>
      </c>
      <c r="E114" s="7" t="str">
        <f>IFERROR(__xludf.DUMMYFUNCTION("""COMPUTED_VALUE"""),"OM2")</f>
        <v>OM2</v>
      </c>
      <c r="F114" s="8">
        <f>IFERROR(__xludf.DUMMYFUNCTION("""COMPUTED_VALUE"""),0)</f>
        <v>0</v>
      </c>
      <c r="G114" s="8">
        <f>IFERROR(__xludf.DUMMYFUNCTION("""COMPUTED_VALUE"""),0)</f>
        <v>0</v>
      </c>
      <c r="H114" s="8">
        <f>IFERROR(__xludf.DUMMYFUNCTION("""COMPUTED_VALUE"""),-352.214)</f>
        <v>-352.214</v>
      </c>
      <c r="I114" s="14"/>
      <c r="J114" s="14"/>
      <c r="K114" s="13"/>
      <c r="L114" s="14"/>
      <c r="M114" s="7" t="b">
        <f>IFERROR(__xludf.DUMMYFUNCTION("""COMPUTED_VALUE"""),TRUE)</f>
        <v>1</v>
      </c>
      <c r="N114" s="10">
        <f>IFERROR(__xludf.DUMMYFUNCTION("""COMPUTED_VALUE"""),0)</f>
        <v>0</v>
      </c>
      <c r="O114" s="10">
        <f>IFERROR(__xludf.DUMMYFUNCTION("""COMPUTED_VALUE"""),0)</f>
        <v>0</v>
      </c>
      <c r="P114" s="8"/>
      <c r="Q114" s="7"/>
      <c r="R114" s="16"/>
      <c r="S114" s="17"/>
      <c r="T114" s="8"/>
      <c r="U114" s="8"/>
      <c r="V114" s="22"/>
      <c r="W114" s="12"/>
      <c r="X114" s="12"/>
      <c r="Y114" s="12"/>
      <c r="Z114" s="12"/>
      <c r="AA114" s="9"/>
      <c r="AB114" s="12"/>
      <c r="AC114" s="6"/>
      <c r="AD114" s="6"/>
      <c r="AE114" s="7"/>
      <c r="AF114" s="7"/>
      <c r="AG114" s="7"/>
      <c r="AH114" s="7"/>
      <c r="AI114" s="7"/>
      <c r="AJ114" s="7"/>
      <c r="AK114" s="7"/>
      <c r="AL114" s="7"/>
      <c r="AM114" s="7"/>
      <c r="AN114" s="7"/>
      <c r="AO114" s="6"/>
      <c r="AP114" s="7"/>
      <c r="AQ114" s="7"/>
      <c r="AR114" s="6"/>
      <c r="AS114" s="7"/>
      <c r="AT114" s="7"/>
      <c r="AU114" s="7"/>
      <c r="AV114" s="7"/>
      <c r="AW114" s="7"/>
      <c r="AX114" s="7"/>
      <c r="AY114" s="7"/>
      <c r="AZ114" s="7"/>
      <c r="BA114" s="7"/>
      <c r="BB114" s="7"/>
      <c r="BC114" s="7"/>
      <c r="BD114" s="7"/>
      <c r="BE114" s="7"/>
      <c r="BF114" s="7"/>
      <c r="BG114" s="7"/>
    </row>
    <row r="115" customHeight="1" spans="1:59">
      <c r="A115" s="9" t="str">
        <f>IFERROR(__xludf.DUMMYFUNCTION("""COMPUTED_VALUE"""),"Calliope R03")</f>
        <v>Calliope R03</v>
      </c>
      <c r="B115" s="5" t="str">
        <f>IFERROR(__xludf.DUMMYFUNCTION("""COMPUTED_VALUE"""),"Calliope 31")</f>
        <v>Calliope 31</v>
      </c>
      <c r="C115" s="5" t="str">
        <f>IFERROR(__xludf.DUMMYFUNCTION("""COMPUTED_VALUE"""),"Calliope 02")</f>
        <v>Calliope 02</v>
      </c>
      <c r="D115" s="5" t="str">
        <f>IFERROR(__xludf.DUMMYFUNCTION("""COMPUTED_VALUE"""),"OM-3")</f>
        <v>OM-3</v>
      </c>
      <c r="E115" s="7" t="str">
        <f>IFERROR(__xludf.DUMMYFUNCTION("""COMPUTED_VALUE"""),"OM3")</f>
        <v>OM3</v>
      </c>
      <c r="F115" s="8">
        <f>IFERROR(__xludf.DUMMYFUNCTION("""COMPUTED_VALUE"""),0)</f>
        <v>0</v>
      </c>
      <c r="G115" s="8">
        <f>IFERROR(__xludf.DUMMYFUNCTION("""COMPUTED_VALUE"""),352.214)</f>
        <v>352.214</v>
      </c>
      <c r="H115" s="8">
        <f>IFERROR(__xludf.DUMMYFUNCTION("""COMPUTED_VALUE"""),0)</f>
        <v>0</v>
      </c>
      <c r="I115" s="14"/>
      <c r="J115" s="14"/>
      <c r="K115" s="13"/>
      <c r="L115" s="14"/>
      <c r="M115" s="7" t="b">
        <f>IFERROR(__xludf.DUMMYFUNCTION("""COMPUTED_VALUE"""),TRUE)</f>
        <v>1</v>
      </c>
      <c r="N115" s="10">
        <f>IFERROR(__xludf.DUMMYFUNCTION("""COMPUTED_VALUE"""),0)</f>
        <v>0</v>
      </c>
      <c r="O115" s="10">
        <f>IFERROR(__xludf.DUMMYFUNCTION("""COMPUTED_VALUE"""),0)</f>
        <v>0</v>
      </c>
      <c r="P115" s="8"/>
      <c r="Q115" s="7"/>
      <c r="R115" s="16"/>
      <c r="S115" s="17"/>
      <c r="T115" s="8"/>
      <c r="U115" s="8"/>
      <c r="V115" s="22"/>
      <c r="W115" s="12"/>
      <c r="X115" s="12"/>
      <c r="Y115" s="12"/>
      <c r="Z115" s="12"/>
      <c r="AA115" s="9"/>
      <c r="AB115" s="12"/>
      <c r="AC115" s="6"/>
      <c r="AD115" s="6"/>
      <c r="AE115" s="7"/>
      <c r="AF115" s="7"/>
      <c r="AG115" s="7"/>
      <c r="AH115" s="7"/>
      <c r="AI115" s="7"/>
      <c r="AJ115" s="7"/>
      <c r="AK115" s="7"/>
      <c r="AL115" s="7"/>
      <c r="AM115" s="7"/>
      <c r="AN115" s="7"/>
      <c r="AO115" s="6"/>
      <c r="AP115" s="7"/>
      <c r="AQ115" s="7"/>
      <c r="AR115" s="6"/>
      <c r="AS115" s="7"/>
      <c r="AT115" s="7"/>
      <c r="AU115" s="7"/>
      <c r="AV115" s="7"/>
      <c r="AW115" s="7"/>
      <c r="AX115" s="7"/>
      <c r="AY115" s="7"/>
      <c r="AZ115" s="7"/>
      <c r="BA115" s="7"/>
      <c r="BB115" s="7"/>
      <c r="BC115" s="7"/>
      <c r="BD115" s="7"/>
      <c r="BE115" s="7"/>
      <c r="BF115" s="7"/>
      <c r="BG115" s="7"/>
    </row>
    <row r="116" customHeight="1" spans="1:59">
      <c r="A116" s="9" t="str">
        <f>IFERROR(__xludf.DUMMYFUNCTION("""COMPUTED_VALUE"""),"Calliope R04")</f>
        <v>Calliope R04</v>
      </c>
      <c r="B116" s="5" t="str">
        <f>IFERROR(__xludf.DUMMYFUNCTION("""COMPUTED_VALUE"""),"Calliope 32")</f>
        <v>Calliope 32</v>
      </c>
      <c r="C116" s="5" t="str">
        <f>IFERROR(__xludf.DUMMYFUNCTION("""COMPUTED_VALUE"""),"Calliope 19")</f>
        <v>Calliope 19</v>
      </c>
      <c r="D116" s="5" t="str">
        <f>IFERROR(__xludf.DUMMYFUNCTION("""COMPUTED_VALUE"""),"OM-4")</f>
        <v>OM-4</v>
      </c>
      <c r="E116" s="7" t="str">
        <f>IFERROR(__xludf.DUMMYFUNCTION("""COMPUTED_VALUE"""),"OM4")</f>
        <v>OM4</v>
      </c>
      <c r="F116" s="8">
        <f>IFERROR(__xludf.DUMMYFUNCTION("""COMPUTED_VALUE"""),0)</f>
        <v>0</v>
      </c>
      <c r="G116" s="8">
        <f>IFERROR(__xludf.DUMMYFUNCTION("""COMPUTED_VALUE"""),-352.214)</f>
        <v>-352.214</v>
      </c>
      <c r="H116" s="8">
        <f>IFERROR(__xludf.DUMMYFUNCTION("""COMPUTED_VALUE"""),0)</f>
        <v>0</v>
      </c>
      <c r="I116" s="14"/>
      <c r="J116" s="14"/>
      <c r="K116" s="13"/>
      <c r="L116" s="14"/>
      <c r="M116" s="7" t="b">
        <f>IFERROR(__xludf.DUMMYFUNCTION("""COMPUTED_VALUE"""),TRUE)</f>
        <v>1</v>
      </c>
      <c r="N116" s="10">
        <f>IFERROR(__xludf.DUMMYFUNCTION("""COMPUTED_VALUE"""),0)</f>
        <v>0</v>
      </c>
      <c r="O116" s="10">
        <f>IFERROR(__xludf.DUMMYFUNCTION("""COMPUTED_VALUE"""),0)</f>
        <v>0</v>
      </c>
      <c r="P116" s="8"/>
      <c r="Q116" s="7"/>
      <c r="R116" s="16"/>
      <c r="S116" s="17"/>
      <c r="T116" s="8"/>
      <c r="U116" s="8"/>
      <c r="V116" s="22"/>
      <c r="W116" s="12"/>
      <c r="X116" s="12"/>
      <c r="Y116" s="12"/>
      <c r="Z116" s="12"/>
      <c r="AA116" s="9"/>
      <c r="AB116" s="12"/>
      <c r="AC116" s="6"/>
      <c r="AD116" s="6"/>
      <c r="AE116" s="7"/>
      <c r="AF116" s="7"/>
      <c r="AG116" s="7"/>
      <c r="AH116" s="7"/>
      <c r="AI116" s="7"/>
      <c r="AJ116" s="7"/>
      <c r="AK116" s="7"/>
      <c r="AL116" s="7"/>
      <c r="AM116" s="7"/>
      <c r="AN116" s="7"/>
      <c r="AO116" s="6"/>
      <c r="AP116" s="7"/>
      <c r="AQ116" s="7"/>
      <c r="AR116" s="6"/>
      <c r="AS116" s="7"/>
      <c r="AT116" s="7"/>
      <c r="AU116" s="7"/>
      <c r="AV116" s="7"/>
      <c r="AW116" s="7"/>
      <c r="AX116" s="7"/>
      <c r="AY116" s="7"/>
      <c r="AZ116" s="7"/>
      <c r="BA116" s="7"/>
      <c r="BB116" s="7"/>
      <c r="BC116" s="7"/>
      <c r="BD116" s="7"/>
      <c r="BE116" s="7"/>
      <c r="BF116" s="7"/>
      <c r="BG116" s="7"/>
    </row>
    <row r="117" customHeight="1" spans="1:59">
      <c r="A117" s="9" t="str">
        <f>IFERROR(__xludf.DUMMYFUNCTION("""COMPUTED_VALUE"""),"Calliope R05")</f>
        <v>Calliope R05</v>
      </c>
      <c r="B117" s="5" t="str">
        <f>IFERROR(__xludf.DUMMYFUNCTION("""COMPUTED_VALUE"""),"Calliope 33")</f>
        <v>Calliope 33</v>
      </c>
      <c r="C117" s="5" t="str">
        <f>IFERROR(__xludf.DUMMYFUNCTION("""COMPUTED_VALUE"""),"Calliope 08")</f>
        <v>Calliope 08</v>
      </c>
      <c r="D117" s="5" t="str">
        <f>IFERROR(__xludf.DUMMYFUNCTION("""COMPUTED_VALUE"""),"OM-5")</f>
        <v>OM-5</v>
      </c>
      <c r="E117" s="7" t="str">
        <f>IFERROR(__xludf.DUMMYFUNCTION("""COMPUTED_VALUE"""),"OM5")</f>
        <v>OM5</v>
      </c>
      <c r="F117" s="8">
        <f>IFERROR(__xludf.DUMMYFUNCTION("""COMPUTED_VALUE"""),352.214)</f>
        <v>352.214</v>
      </c>
      <c r="G117" s="8">
        <f>IFERROR(__xludf.DUMMYFUNCTION("""COMPUTED_VALUE"""),0)</f>
        <v>0</v>
      </c>
      <c r="H117" s="8">
        <f>IFERROR(__xludf.DUMMYFUNCTION("""COMPUTED_VALUE"""),0)</f>
        <v>0</v>
      </c>
      <c r="I117" s="14"/>
      <c r="J117" s="14"/>
      <c r="K117" s="13"/>
      <c r="L117" s="14"/>
      <c r="M117" s="7" t="b">
        <f>IFERROR(__xludf.DUMMYFUNCTION("""COMPUTED_VALUE"""),TRUE)</f>
        <v>1</v>
      </c>
      <c r="N117" s="10">
        <f>IFERROR(__xludf.DUMMYFUNCTION("""COMPUTED_VALUE"""),0)</f>
        <v>0</v>
      </c>
      <c r="O117" s="10">
        <f>IFERROR(__xludf.DUMMYFUNCTION("""COMPUTED_VALUE"""),0)</f>
        <v>0</v>
      </c>
      <c r="P117" s="8"/>
      <c r="Q117" s="7"/>
      <c r="R117" s="16"/>
      <c r="S117" s="17"/>
      <c r="T117" s="8"/>
      <c r="U117" s="8"/>
      <c r="V117" s="22"/>
      <c r="W117" s="12"/>
      <c r="X117" s="12"/>
      <c r="Y117" s="12"/>
      <c r="Z117" s="12"/>
      <c r="AA117" s="9"/>
      <c r="AB117" s="12"/>
      <c r="AC117" s="6"/>
      <c r="AD117" s="6"/>
      <c r="AE117" s="7"/>
      <c r="AF117" s="7"/>
      <c r="AG117" s="7"/>
      <c r="AH117" s="7"/>
      <c r="AI117" s="7"/>
      <c r="AJ117" s="7"/>
      <c r="AK117" s="7"/>
      <c r="AL117" s="7"/>
      <c r="AM117" s="7"/>
      <c r="AN117" s="7"/>
      <c r="AO117" s="6"/>
      <c r="AP117" s="7"/>
      <c r="AQ117" s="7"/>
      <c r="AR117" s="6"/>
      <c r="AS117" s="7"/>
      <c r="AT117" s="7"/>
      <c r="AU117" s="7"/>
      <c r="AV117" s="7"/>
      <c r="AW117" s="7"/>
      <c r="AX117" s="7"/>
      <c r="AY117" s="7"/>
      <c r="AZ117" s="7"/>
      <c r="BA117" s="7"/>
      <c r="BB117" s="7"/>
      <c r="BC117" s="7"/>
      <c r="BD117" s="7"/>
      <c r="BE117" s="7"/>
      <c r="BF117" s="7"/>
      <c r="BG117" s="7"/>
    </row>
    <row r="118" customHeight="1" spans="1:59">
      <c r="A118" s="9" t="str">
        <f>IFERROR(__xludf.DUMMYFUNCTION("""COMPUTED_VALUE"""),"Calliope R06")</f>
        <v>Calliope R06</v>
      </c>
      <c r="B118" s="5" t="str">
        <f>IFERROR(__xludf.DUMMYFUNCTION("""COMPUTED_VALUE"""),"Calliope 34")</f>
        <v>Calliope 34</v>
      </c>
      <c r="C118" s="5" t="str">
        <f>IFERROR(__xludf.DUMMYFUNCTION("""COMPUTED_VALUE"""),"Calliope 22")</f>
        <v>Calliope 22</v>
      </c>
      <c r="D118" s="5" t="str">
        <f>IFERROR(__xludf.DUMMYFUNCTION("""COMPUTED_VALUE"""),"OM-6")</f>
        <v>OM-6</v>
      </c>
      <c r="E118" s="7" t="str">
        <f>IFERROR(__xludf.DUMMYFUNCTION("""COMPUTED_VALUE"""),"OM6")</f>
        <v>OM6</v>
      </c>
      <c r="F118" s="8">
        <f>IFERROR(__xludf.DUMMYFUNCTION("""COMPUTED_VALUE"""),-352.214)</f>
        <v>-352.214</v>
      </c>
      <c r="G118" s="8">
        <f>IFERROR(__xludf.DUMMYFUNCTION("""COMPUTED_VALUE"""),0)</f>
        <v>0</v>
      </c>
      <c r="H118" s="8">
        <f>IFERROR(__xludf.DUMMYFUNCTION("""COMPUTED_VALUE"""),0)</f>
        <v>0</v>
      </c>
      <c r="I118" s="14"/>
      <c r="J118" s="14"/>
      <c r="K118" s="13"/>
      <c r="L118" s="14"/>
      <c r="M118" s="7" t="b">
        <f>IFERROR(__xludf.DUMMYFUNCTION("""COMPUTED_VALUE"""),TRUE)</f>
        <v>1</v>
      </c>
      <c r="N118" s="10">
        <f>IFERROR(__xludf.DUMMYFUNCTION("""COMPUTED_VALUE"""),0)</f>
        <v>0</v>
      </c>
      <c r="O118" s="10">
        <f>IFERROR(__xludf.DUMMYFUNCTION("""COMPUTED_VALUE"""),0)</f>
        <v>0</v>
      </c>
      <c r="P118" s="8"/>
      <c r="Q118" s="7"/>
      <c r="R118" s="16"/>
      <c r="S118" s="17"/>
      <c r="T118" s="8"/>
      <c r="U118" s="8"/>
      <c r="V118" s="22"/>
      <c r="W118" s="12"/>
      <c r="X118" s="12"/>
      <c r="Y118" s="12"/>
      <c r="Z118" s="12"/>
      <c r="AA118" s="9"/>
      <c r="AB118" s="12"/>
      <c r="AC118" s="6"/>
      <c r="AD118" s="6"/>
      <c r="AE118" s="7"/>
      <c r="AF118" s="7"/>
      <c r="AG118" s="7"/>
      <c r="AH118" s="7"/>
      <c r="AI118" s="7"/>
      <c r="AJ118" s="7"/>
      <c r="AK118" s="7"/>
      <c r="AL118" s="7"/>
      <c r="AM118" s="7"/>
      <c r="AN118" s="7"/>
      <c r="AO118" s="6"/>
      <c r="AP118" s="7"/>
      <c r="AQ118" s="7"/>
      <c r="AR118" s="6"/>
      <c r="AS118" s="7"/>
      <c r="AT118" s="7"/>
      <c r="AU118" s="7"/>
      <c r="AV118" s="7"/>
      <c r="AW118" s="7"/>
      <c r="AX118" s="7"/>
      <c r="AY118" s="7"/>
      <c r="AZ118" s="7"/>
      <c r="BA118" s="7"/>
      <c r="BB118" s="7"/>
      <c r="BC118" s="7"/>
      <c r="BD118" s="7"/>
      <c r="BE118" s="7"/>
      <c r="BF118" s="7"/>
      <c r="BG118" s="7"/>
    </row>
    <row r="119" customHeight="1" spans="1:59">
      <c r="A119" s="9" t="str">
        <f>IFERROR(__xludf.DUMMYFUNCTION("""COMPUTED_VALUE"""),"Calliope")</f>
        <v>Calliope</v>
      </c>
      <c r="B119" s="5" t="str">
        <f>IFERROR(__xludf.DUMMYFUNCTION("""COMPUTED_VALUE"""),"Calliope 00")</f>
        <v>Calliope 00</v>
      </c>
      <c r="C119" s="5"/>
      <c r="D119" s="5" t="str">
        <f>IFERROR(__xludf.DUMMYFUNCTION("""COMPUTED_VALUE"""),"Trading Terminals")</f>
        <v>Trading Terminals</v>
      </c>
      <c r="E119" s="7"/>
      <c r="F119" s="8"/>
      <c r="G119" s="8"/>
      <c r="H119" s="8"/>
      <c r="I119" s="14"/>
      <c r="J119" s="14"/>
      <c r="K119" s="13"/>
      <c r="L119" s="14"/>
      <c r="M119" s="7"/>
      <c r="N119" s="10"/>
      <c r="O119" s="10"/>
      <c r="P119" s="8"/>
      <c r="Q119" s="7"/>
      <c r="R119" s="16"/>
      <c r="S119" s="17"/>
      <c r="T119" s="8"/>
      <c r="U119" s="8"/>
      <c r="V119" s="22"/>
      <c r="W119" s="12"/>
      <c r="X119" s="12"/>
      <c r="Y119" s="12"/>
      <c r="Z119" s="12"/>
      <c r="AA119" s="9"/>
      <c r="AB119" s="12"/>
      <c r="AC119" s="6"/>
      <c r="AD119" s="6"/>
      <c r="AE119" s="7"/>
      <c r="AF119" s="7"/>
      <c r="AG119" s="7"/>
      <c r="AH119" s="7"/>
      <c r="AI119" s="7"/>
      <c r="AJ119" s="7"/>
      <c r="AK119" s="7"/>
      <c r="AL119" s="7"/>
      <c r="AM119" s="7"/>
      <c r="AN119" s="7"/>
      <c r="AO119" s="6"/>
      <c r="AP119" s="7"/>
      <c r="AQ119" s="7"/>
      <c r="AR119" s="6"/>
      <c r="AS119" s="7"/>
      <c r="AT119" s="7"/>
      <c r="AU119" s="7"/>
      <c r="AV119" s="7"/>
      <c r="AW119" s="7"/>
      <c r="AX119" s="7"/>
      <c r="AY119" s="7"/>
      <c r="AZ119" s="7"/>
      <c r="BA119" s="7"/>
      <c r="BB119" s="7"/>
      <c r="BC119" s="7"/>
      <c r="BD119" s="7"/>
      <c r="BE119" s="7"/>
      <c r="BF119" s="7"/>
      <c r="BG119" s="7"/>
    </row>
    <row r="120" customHeight="1" spans="1:59">
      <c r="A120" s="9" t="str">
        <f>IFERROR(__xludf.DUMMYFUNCTION("""COMPUTED_VALUE"""),"Calliope 01")</f>
        <v>Calliope 01</v>
      </c>
      <c r="B120" s="5" t="str">
        <f>IFERROR(__xludf.DUMMYFUNCTION("""COMPUTED_VALUE"""),"Calliope 01")</f>
        <v>Calliope 01</v>
      </c>
      <c r="C120" s="5" t="str">
        <f>IFERROR(__xludf.DUMMYFUNCTION("""COMPUTED_VALUE"""),"Calliope 20")</f>
        <v>Calliope 20</v>
      </c>
      <c r="D120" s="5" t="str">
        <f>IFERROR(__xludf.DUMMYFUNCTION("""COMPUTED_VALUE"""),"Rayari Anvik Research Outpost")</f>
        <v>Rayari Anvik Research Outpost</v>
      </c>
      <c r="E120" s="7" t="str">
        <f>IFERROR(__xludf.DUMMYFUNCTION("""COMPUTED_VALUE"""),"Anvik")</f>
        <v>Anvik</v>
      </c>
      <c r="F120" s="8">
        <f>IFERROR(__xludf.DUMMYFUNCTION("""COMPUTED_VALUE"""),-184.63233374)</f>
        <v>-184.63233374</v>
      </c>
      <c r="G120" s="8">
        <f>IFERROR(__xludf.DUMMYFUNCTION("""COMPUTED_VALUE"""),-127.794332011)</f>
        <v>-127.794332011</v>
      </c>
      <c r="H120" s="8">
        <f>IFERROR(__xludf.DUMMYFUNCTION("""COMPUTED_VALUE"""),84.7238775759999)</f>
        <v>84.7238775759999</v>
      </c>
      <c r="I120" s="14"/>
      <c r="J120" s="14"/>
      <c r="K120" s="13"/>
      <c r="L120" s="14"/>
      <c r="M120" s="7" t="b">
        <f>IFERROR(__xludf.DUMMYFUNCTION("""COMPUTED_VALUE"""),TRUE)</f>
        <v>1</v>
      </c>
      <c r="N120" s="10">
        <f>IFERROR(__xludf.DUMMYFUNCTION("""COMPUTED_VALUE"""),0)</f>
        <v>0</v>
      </c>
      <c r="O120" s="10">
        <f>IFERROR(__xludf.DUMMYFUNCTION("""COMPUTED_VALUE"""),0)</f>
        <v>0</v>
      </c>
      <c r="P120" s="8"/>
      <c r="Q120" s="7"/>
      <c r="R120" s="16"/>
      <c r="S120" s="17"/>
      <c r="T120" s="8"/>
      <c r="U120" s="8"/>
      <c r="V120" s="22"/>
      <c r="W120" s="12"/>
      <c r="X120" s="12"/>
      <c r="Y120" s="12"/>
      <c r="Z120" s="12"/>
      <c r="AA120" s="9"/>
      <c r="AB120" s="12"/>
      <c r="AC120" s="6"/>
      <c r="AD120" s="6"/>
      <c r="AE120" s="7"/>
      <c r="AF120" s="7"/>
      <c r="AG120" s="7"/>
      <c r="AH120" s="7"/>
      <c r="AI120" s="7"/>
      <c r="AJ120" s="7"/>
      <c r="AK120" s="7"/>
      <c r="AL120" s="7"/>
      <c r="AM120" s="7"/>
      <c r="AN120" s="7"/>
      <c r="AO120" s="6"/>
      <c r="AP120" s="7"/>
      <c r="AQ120" s="7"/>
      <c r="AR120" s="6"/>
      <c r="AS120" s="7"/>
      <c r="AT120" s="7"/>
      <c r="AU120" s="7"/>
      <c r="AV120" s="7"/>
      <c r="AW120" s="7"/>
      <c r="AX120" s="7"/>
      <c r="AY120" s="7"/>
      <c r="AZ120" s="7"/>
      <c r="BA120" s="7"/>
      <c r="BB120" s="7"/>
      <c r="BC120" s="7"/>
      <c r="BD120" s="7"/>
      <c r="BE120" s="7"/>
      <c r="BF120" s="7"/>
      <c r="BG120" s="7"/>
    </row>
    <row r="121" customHeight="1" spans="1:59">
      <c r="A121" s="9" t="str">
        <f>IFERROR(__xludf.DUMMYFUNCTION("""COMPUTED_VALUE"""),"Calliope 02")</f>
        <v>Calliope 02</v>
      </c>
      <c r="B121" s="5" t="str">
        <f>IFERROR(__xludf.DUMMYFUNCTION("""COMPUTED_VALUE"""),"Calliope 02")</f>
        <v>Calliope 02</v>
      </c>
      <c r="C121" s="5" t="str">
        <f>IFERROR(__xludf.DUMMYFUNCTION("""COMPUTED_VALUE"""),"Calliope 07")</f>
        <v>Calliope 07</v>
      </c>
      <c r="D121" s="5" t="str">
        <f>IFERROR(__xludf.DUMMYFUNCTION("""COMPUTED_VALUE"""),"Rayari Kaltag Research Outpost")</f>
        <v>Rayari Kaltag Research Outpost</v>
      </c>
      <c r="E121" s="7" t="str">
        <f>IFERROR(__xludf.DUMMYFUNCTION("""COMPUTED_VALUE"""),"Kaltag")</f>
        <v>Kaltag</v>
      </c>
      <c r="F121" s="8">
        <f>IFERROR(__xludf.DUMMYFUNCTION("""COMPUTED_VALUE"""),205.267012524999)</f>
        <v>205.267012524999</v>
      </c>
      <c r="G121" s="8">
        <f>IFERROR(__xludf.DUMMYFUNCTION("""COMPUTED_VALUE"""),6.260750882)</f>
        <v>6.260750882</v>
      </c>
      <c r="H121" s="8">
        <f>IFERROR(__xludf.DUMMYFUNCTION("""COMPUTED_VALUE"""),-124.485412182999)</f>
        <v>-124.485412182999</v>
      </c>
      <c r="I121" s="14"/>
      <c r="J121" s="14"/>
      <c r="K121" s="14"/>
      <c r="L121" s="14"/>
      <c r="M121" s="7" t="b">
        <f>IFERROR(__xludf.DUMMYFUNCTION("""COMPUTED_VALUE"""),TRUE)</f>
        <v>1</v>
      </c>
      <c r="N121" s="10">
        <f>IFERROR(__xludf.DUMMYFUNCTION("""COMPUTED_VALUE"""),0)</f>
        <v>0</v>
      </c>
      <c r="O121" s="10">
        <f>IFERROR(__xludf.DUMMYFUNCTION("""COMPUTED_VALUE"""),0)</f>
        <v>0</v>
      </c>
      <c r="P121" s="8"/>
      <c r="Q121" s="7"/>
      <c r="R121" s="16"/>
      <c r="S121" s="17"/>
      <c r="T121" s="8"/>
      <c r="U121" s="8"/>
      <c r="V121" s="22"/>
      <c r="W121" s="12"/>
      <c r="X121" s="12"/>
      <c r="Y121" s="12"/>
      <c r="Z121" s="12"/>
      <c r="AA121" s="9"/>
      <c r="AB121" s="12"/>
      <c r="AC121" s="6"/>
      <c r="AD121" s="6"/>
      <c r="AE121" s="7"/>
      <c r="AF121" s="7"/>
      <c r="AG121" s="7"/>
      <c r="AH121" s="7"/>
      <c r="AI121" s="7"/>
      <c r="AJ121" s="7"/>
      <c r="AK121" s="7"/>
      <c r="AL121" s="7"/>
      <c r="AM121" s="7"/>
      <c r="AN121" s="7"/>
      <c r="AO121" s="6"/>
      <c r="AP121" s="7"/>
      <c r="AQ121" s="7"/>
      <c r="AR121" s="6"/>
      <c r="AS121" s="7"/>
      <c r="AT121" s="7"/>
      <c r="AU121" s="7"/>
      <c r="AV121" s="7"/>
      <c r="AW121" s="7"/>
      <c r="AX121" s="7"/>
      <c r="AY121" s="7"/>
      <c r="AZ121" s="7"/>
      <c r="BA121" s="7"/>
      <c r="BB121" s="7"/>
      <c r="BC121" s="7"/>
      <c r="BD121" s="7"/>
      <c r="BE121" s="7"/>
      <c r="BF121" s="7"/>
      <c r="BG121" s="7"/>
    </row>
    <row r="122" customHeight="1" spans="1:59">
      <c r="A122" s="9" t="str">
        <f>IFERROR(__xludf.DUMMYFUNCTION("""COMPUTED_VALUE"""),"Calliope 03")</f>
        <v>Calliope 03</v>
      </c>
      <c r="B122" s="5" t="str">
        <f>IFERROR(__xludf.DUMMYFUNCTION("""COMPUTED_VALUE"""),"Calliope 03")</f>
        <v>Calliope 03</v>
      </c>
      <c r="C122" s="5" t="str">
        <f>IFERROR(__xludf.DUMMYFUNCTION("""COMPUTED_VALUE"""),"Calliope 03")</f>
        <v>Calliope 03</v>
      </c>
      <c r="D122" s="5" t="str">
        <f>IFERROR(__xludf.DUMMYFUNCTION("""COMPUTED_VALUE"""),"Shubin Mining Facility SMCa-6 (PB)")</f>
        <v>Shubin Mining Facility SMCa-6 (PB)</v>
      </c>
      <c r="E122" s="7" t="str">
        <f>IFERROR(__xludf.DUMMYFUNCTION("""COMPUTED_VALUE"""),"SMCa6")</f>
        <v>SMCa6</v>
      </c>
      <c r="F122" s="10">
        <f>IFERROR(__xludf.DUMMYFUNCTION("""COMPUTED_VALUE"""),50.066359611)</f>
        <v>50.066359611</v>
      </c>
      <c r="G122" s="10">
        <f>IFERROR(__xludf.DUMMYFUNCTION("""COMPUTED_VALUE"""),233.437251098)</f>
        <v>233.437251098</v>
      </c>
      <c r="H122" s="10">
        <f>IFERROR(__xludf.DUMMYFUNCTION("""COMPUTED_VALUE"""),24.935519649)</f>
        <v>24.935519649</v>
      </c>
      <c r="I122" s="13"/>
      <c r="J122" s="13"/>
      <c r="K122" s="13"/>
      <c r="L122" s="13"/>
      <c r="M122" s="7" t="b">
        <f>IFERROR(__xludf.DUMMYFUNCTION("""COMPUTED_VALUE"""),TRUE)</f>
        <v>1</v>
      </c>
      <c r="N122" s="10">
        <f>IFERROR(__xludf.DUMMYFUNCTION("""COMPUTED_VALUE"""),0)</f>
        <v>0</v>
      </c>
      <c r="O122" s="10">
        <f>IFERROR(__xludf.DUMMYFUNCTION("""COMPUTED_VALUE"""),0)</f>
        <v>0</v>
      </c>
      <c r="P122" s="10"/>
      <c r="Q122" s="6"/>
      <c r="R122" s="16"/>
      <c r="S122" s="17"/>
      <c r="T122" s="10"/>
      <c r="U122" s="10"/>
      <c r="V122" s="22"/>
      <c r="W122" s="12"/>
      <c r="X122" s="12"/>
      <c r="Y122" s="12"/>
      <c r="Z122" s="12"/>
      <c r="AA122" s="6"/>
      <c r="AB122" s="12"/>
      <c r="AC122" s="6"/>
      <c r="AD122" s="6"/>
      <c r="AE122" s="7"/>
      <c r="AF122" s="7"/>
      <c r="AG122" s="7"/>
      <c r="AH122" s="7"/>
      <c r="AI122" s="7"/>
      <c r="AJ122" s="7"/>
      <c r="AK122" s="7"/>
      <c r="AL122" s="7"/>
      <c r="AM122" s="7"/>
      <c r="AN122" s="7"/>
      <c r="AO122" s="6"/>
      <c r="AP122" s="7"/>
      <c r="AQ122" s="7"/>
      <c r="AR122" s="6"/>
      <c r="AS122" s="6"/>
      <c r="AT122" s="6"/>
      <c r="AU122" s="6"/>
      <c r="AV122" s="6"/>
      <c r="AW122" s="6"/>
      <c r="AX122" s="6"/>
      <c r="AY122" s="6"/>
      <c r="AZ122" s="6"/>
      <c r="BA122" s="6"/>
      <c r="BB122" s="6"/>
      <c r="BC122" s="6"/>
      <c r="BD122" s="6"/>
      <c r="BE122" s="6"/>
      <c r="BF122" s="6"/>
      <c r="BG122" s="6"/>
    </row>
    <row r="123" customHeight="1" spans="1:59">
      <c r="A123" s="9" t="str">
        <f>IFERROR(__xludf.DUMMYFUNCTION("""COMPUTED_VALUE"""),"Calliope 04")</f>
        <v>Calliope 04</v>
      </c>
      <c r="B123" s="5" t="str">
        <f>IFERROR(__xludf.DUMMYFUNCTION("""COMPUTED_VALUE"""),"Calliope 04")</f>
        <v>Calliope 04</v>
      </c>
      <c r="C123" s="5" t="str">
        <f>IFERROR(__xludf.DUMMYFUNCTION("""COMPUTED_VALUE"""),"Calliope 06")</f>
        <v>Calliope 06</v>
      </c>
      <c r="D123" s="23" t="str">
        <f>IFERROR(__xludf.DUMMYFUNCTION("""COMPUTED_VALUE"""),"Shubin Mining Facility SMCa-8 (PB)")</f>
        <v>Shubin Mining Facility SMCa-8 (PB)</v>
      </c>
      <c r="E123" s="23" t="str">
        <f>IFERROR(__xludf.DUMMYFUNCTION("""COMPUTED_VALUE"""),"SMCa8")</f>
        <v>SMCa8</v>
      </c>
      <c r="F123" s="8">
        <f>IFERROR(__xludf.DUMMYFUNCTION("""COMPUTED_VALUE"""),160.165810537999)</f>
        <v>160.165810537999</v>
      </c>
      <c r="G123" s="8">
        <f>IFERROR(__xludf.DUMMYFUNCTION("""COMPUTED_VALUE"""),168.986607305)</f>
        <v>168.986607305</v>
      </c>
      <c r="H123" s="8">
        <f>IFERROR(__xludf.DUMMYFUNCTION("""COMPUTED_VALUE"""),-58.4003274099999)</f>
        <v>-58.4003274099999</v>
      </c>
      <c r="I123" s="13"/>
      <c r="J123" s="14"/>
      <c r="K123" s="14"/>
      <c r="L123" s="14"/>
      <c r="M123" s="7" t="b">
        <f>IFERROR(__xludf.DUMMYFUNCTION("""COMPUTED_VALUE"""),TRUE)</f>
        <v>1</v>
      </c>
      <c r="N123" s="10">
        <f>IFERROR(__xludf.DUMMYFUNCTION("""COMPUTED_VALUE"""),0)</f>
        <v>0</v>
      </c>
      <c r="O123" s="10">
        <f>IFERROR(__xludf.DUMMYFUNCTION("""COMPUTED_VALUE"""),0)</f>
        <v>0</v>
      </c>
      <c r="P123" s="8"/>
      <c r="Q123" s="7"/>
      <c r="R123" s="16"/>
      <c r="S123" s="17"/>
      <c r="T123" s="8"/>
      <c r="U123" s="8"/>
      <c r="V123" s="22"/>
      <c r="W123" s="12"/>
      <c r="X123" s="12"/>
      <c r="Y123" s="12"/>
      <c r="Z123" s="12"/>
      <c r="AA123" s="7"/>
      <c r="AB123" s="12"/>
      <c r="AC123" s="6"/>
      <c r="AD123" s="6"/>
      <c r="AE123" s="7"/>
      <c r="AF123" s="7"/>
      <c r="AG123" s="7"/>
      <c r="AH123" s="7"/>
      <c r="AI123" s="7"/>
      <c r="AJ123" s="7"/>
      <c r="AK123" s="7"/>
      <c r="AL123" s="7"/>
      <c r="AM123" s="7"/>
      <c r="AN123" s="7"/>
      <c r="AO123" s="6"/>
      <c r="AP123" s="7"/>
      <c r="AQ123" s="7"/>
      <c r="AR123" s="6"/>
      <c r="AS123" s="7"/>
      <c r="AT123" s="7"/>
      <c r="AU123" s="7"/>
      <c r="AV123" s="7"/>
      <c r="AW123" s="7"/>
      <c r="AX123" s="7"/>
      <c r="AY123" s="7"/>
      <c r="AZ123" s="7"/>
      <c r="BA123" s="7"/>
      <c r="BB123" s="7"/>
      <c r="BC123" s="7"/>
      <c r="BD123" s="7"/>
      <c r="BE123" s="7"/>
      <c r="BF123" s="7"/>
      <c r="BG123" s="7"/>
    </row>
    <row r="124" customHeight="1" spans="1:59">
      <c r="A124" s="9" t="str">
        <f>IFERROR(__xludf.DUMMYFUNCTION("""COMPUTED_VALUE"""),"Calliope")</f>
        <v>Calliope</v>
      </c>
      <c r="B124" s="5" t="str">
        <f>IFERROR(__xludf.DUMMYFUNCTION("""COMPUTED_VALUE"""),"Calliope 06")</f>
        <v>Calliope 06</v>
      </c>
      <c r="C124" s="5"/>
      <c r="D124" s="23" t="str">
        <f>IFERROR(__xludf.DUMMYFUNCTION("""COMPUTED_VALUE"""),"Underground Bunker Facilities")</f>
        <v>Underground Bunker Facilities</v>
      </c>
      <c r="E124" s="23"/>
      <c r="F124" s="8"/>
      <c r="G124" s="8"/>
      <c r="H124" s="8"/>
      <c r="I124" s="13"/>
      <c r="J124" s="14"/>
      <c r="K124" s="14"/>
      <c r="L124" s="14"/>
      <c r="M124" s="7"/>
      <c r="N124" s="10"/>
      <c r="O124" s="10"/>
      <c r="P124" s="8"/>
      <c r="Q124" s="7"/>
      <c r="R124" s="16"/>
      <c r="S124" s="17"/>
      <c r="T124" s="8"/>
      <c r="U124" s="8"/>
      <c r="V124" s="22"/>
      <c r="W124" s="12"/>
      <c r="X124" s="12"/>
      <c r="Y124" s="12"/>
      <c r="Z124" s="12"/>
      <c r="AA124" s="7"/>
      <c r="AB124" s="12"/>
      <c r="AC124" s="6"/>
      <c r="AD124" s="6"/>
      <c r="AE124" s="7"/>
      <c r="AF124" s="7"/>
      <c r="AG124" s="7"/>
      <c r="AH124" s="7"/>
      <c r="AI124" s="7"/>
      <c r="AJ124" s="7"/>
      <c r="AK124" s="7"/>
      <c r="AL124" s="7"/>
      <c r="AM124" s="7"/>
      <c r="AN124" s="7"/>
      <c r="AO124" s="6"/>
      <c r="AP124" s="7"/>
      <c r="AQ124" s="7"/>
      <c r="AR124" s="6"/>
      <c r="AS124" s="7"/>
      <c r="AT124" s="7"/>
      <c r="AU124" s="7"/>
      <c r="AV124" s="7"/>
      <c r="AW124" s="7"/>
      <c r="AX124" s="7"/>
      <c r="AY124" s="7"/>
      <c r="AZ124" s="7"/>
      <c r="BA124" s="7"/>
      <c r="BB124" s="7"/>
      <c r="BC124" s="7"/>
      <c r="BD124" s="7"/>
      <c r="BE124" s="7"/>
      <c r="BF124" s="7"/>
      <c r="BG124" s="7"/>
    </row>
    <row r="125" customHeight="1" spans="1:59">
      <c r="A125" s="9" t="str">
        <f>IFERROR(__xludf.DUMMYFUNCTION("""COMPUTED_VALUE"""),"Calliope")</f>
        <v>Calliope</v>
      </c>
      <c r="B125" s="5" t="str">
        <f>IFERROR(__xludf.DUMMYFUNCTION("""COMPUTED_VALUE"""),"Calliope")</f>
        <v>Calliope</v>
      </c>
      <c r="C125" s="5" t="str">
        <f>IFERROR(__xludf.DUMMYFUNCTION("""COMPUTED_VALUE"""),"Calliope")</f>
        <v>Calliope</v>
      </c>
      <c r="D125" s="23" t="str">
        <f>IFERROR(__xludf.DUMMYFUNCTION("""COMPUTED_VALUE"""),"Shubin Processing Facility SPMC-1")</f>
        <v>Shubin Processing Facility SPMC-1</v>
      </c>
      <c r="E125" s="23" t="str">
        <f>IFERROR(__xludf.DUMMYFUNCTION("""COMPUTED_VALUE"""),"SPMC1")</f>
        <v>SPMC1</v>
      </c>
      <c r="F125" s="8">
        <f>IFERROR(__xludf.DUMMYFUNCTION("""COMPUTED_VALUE"""),231.078493220959)</f>
        <v>231.078493220959</v>
      </c>
      <c r="G125" s="8">
        <f>IFERROR(__xludf.DUMMYFUNCTION("""COMPUTED_VALUE"""),-34.373483366601)</f>
        <v>-34.373483366601</v>
      </c>
      <c r="H125" s="8">
        <f>IFERROR(__xludf.DUMMYFUNCTION("""COMPUTED_VALUE"""),-55.892607735305)</f>
        <v>-55.892607735305</v>
      </c>
      <c r="I125" s="13"/>
      <c r="J125" s="14"/>
      <c r="K125" s="14"/>
      <c r="L125" s="14"/>
      <c r="M125" s="7" t="b">
        <f>IFERROR(__xludf.DUMMYFUNCTION("""COMPUTED_VALUE"""),FALSE)</f>
        <v>0</v>
      </c>
      <c r="N125" s="10">
        <f>IFERROR(__xludf.DUMMYFUNCTION("""COMPUTED_VALUE"""),0)</f>
        <v>0</v>
      </c>
      <c r="O125" s="10">
        <f>IFERROR(__xludf.DUMMYFUNCTION("""COMPUTED_VALUE"""),0)</f>
        <v>0</v>
      </c>
      <c r="P125" s="8"/>
      <c r="Q125" s="7"/>
      <c r="R125" s="16"/>
      <c r="S125" s="17"/>
      <c r="T125" s="8"/>
      <c r="U125" s="8"/>
      <c r="V125" s="22"/>
      <c r="W125" s="12"/>
      <c r="X125" s="12"/>
      <c r="Y125" s="12"/>
      <c r="Z125" s="12"/>
      <c r="AA125" s="7"/>
      <c r="AB125" s="12"/>
      <c r="AC125" s="6"/>
      <c r="AD125" s="6"/>
      <c r="AE125" s="7"/>
      <c r="AF125" s="7"/>
      <c r="AG125" s="7"/>
      <c r="AH125" s="7"/>
      <c r="AI125" s="7"/>
      <c r="AJ125" s="7"/>
      <c r="AK125" s="7"/>
      <c r="AL125" s="7"/>
      <c r="AM125" s="7"/>
      <c r="AN125" s="7"/>
      <c r="AO125" s="6"/>
      <c r="AP125" s="7"/>
      <c r="AQ125" s="7"/>
      <c r="AR125" s="6"/>
      <c r="AS125" s="7"/>
      <c r="AT125" s="7"/>
      <c r="AU125" s="7"/>
      <c r="AV125" s="7"/>
      <c r="AW125" s="7"/>
      <c r="AX125" s="7"/>
      <c r="AY125" s="7"/>
      <c r="AZ125" s="7"/>
      <c r="BA125" s="7"/>
      <c r="BB125" s="7"/>
      <c r="BC125" s="7"/>
      <c r="BD125" s="7"/>
      <c r="BE125" s="7"/>
      <c r="BF125" s="7"/>
      <c r="BG125" s="7"/>
    </row>
    <row r="126" customHeight="1" spans="1:59">
      <c r="A126" s="9" t="str">
        <f>IFERROR(__xludf.DUMMYFUNCTION("""COMPUTED_VALUE"""),"Calliope 05")</f>
        <v>Calliope 05</v>
      </c>
      <c r="B126" s="5" t="str">
        <f>IFERROR(__xludf.DUMMYFUNCTION("""COMPUTED_VALUE"""),"Calliope 07")</f>
        <v>Calliope 07</v>
      </c>
      <c r="C126" s="5" t="str">
        <f>IFERROR(__xludf.DUMMYFUNCTION("""COMPUTED_VALUE"""),"Calliope 11")</f>
        <v>Calliope 11</v>
      </c>
      <c r="D126" s="23" t="str">
        <f>IFERROR(__xludf.DUMMYFUNCTION("""COMPUTED_VALUE"""),"Shubin Processing Facility SPMC-3")</f>
        <v>Shubin Processing Facility SPMC-3</v>
      </c>
      <c r="E126" s="23" t="str">
        <f>IFERROR(__xludf.DUMMYFUNCTION("""COMPUTED_VALUE"""),"SPMC3")</f>
        <v>SPMC3</v>
      </c>
      <c r="F126" s="8">
        <f>IFERROR(__xludf.DUMMYFUNCTION("""COMPUTED_VALUE"""),239.598205565)</f>
        <v>239.598205565</v>
      </c>
      <c r="G126" s="8">
        <f>IFERROR(__xludf.DUMMYFUNCTION("""COMPUTED_VALUE"""),-11.4700475009999)</f>
        <v>-11.4700475009999</v>
      </c>
      <c r="H126" s="8">
        <f>IFERROR(__xludf.DUMMYFUNCTION("""COMPUTED_VALUE"""),8.829588243)</f>
        <v>8.829588243</v>
      </c>
      <c r="I126" s="13"/>
      <c r="J126" s="14"/>
      <c r="K126" s="14"/>
      <c r="L126" s="14"/>
      <c r="M126" s="7" t="b">
        <f>IFERROR(__xludf.DUMMYFUNCTION("""COMPUTED_VALUE"""),TRUE)</f>
        <v>1</v>
      </c>
      <c r="N126" s="10">
        <f>IFERROR(__xludf.DUMMYFUNCTION("""COMPUTED_VALUE"""),0)</f>
        <v>0</v>
      </c>
      <c r="O126" s="10">
        <f>IFERROR(__xludf.DUMMYFUNCTION("""COMPUTED_VALUE"""),0)</f>
        <v>0</v>
      </c>
      <c r="P126" s="8"/>
      <c r="Q126" s="7"/>
      <c r="R126" s="16"/>
      <c r="S126" s="17"/>
      <c r="T126" s="8"/>
      <c r="U126" s="8"/>
      <c r="V126" s="22"/>
      <c r="W126" s="12"/>
      <c r="X126" s="12"/>
      <c r="Y126" s="12"/>
      <c r="Z126" s="12"/>
      <c r="AA126" s="7"/>
      <c r="AB126" s="12"/>
      <c r="AC126" s="6"/>
      <c r="AD126" s="6"/>
      <c r="AE126" s="7"/>
      <c r="AF126" s="7"/>
      <c r="AG126" s="7"/>
      <c r="AH126" s="7"/>
      <c r="AI126" s="7"/>
      <c r="AJ126" s="7"/>
      <c r="AK126" s="7"/>
      <c r="AL126" s="7"/>
      <c r="AM126" s="7"/>
      <c r="AN126" s="7"/>
      <c r="AO126" s="6"/>
      <c r="AP126" s="7"/>
      <c r="AQ126" s="7"/>
      <c r="AR126" s="6"/>
      <c r="AS126" s="7"/>
      <c r="AT126" s="7"/>
      <c r="AU126" s="7"/>
      <c r="AV126" s="7"/>
      <c r="AW126" s="7"/>
      <c r="AX126" s="7"/>
      <c r="AY126" s="7"/>
      <c r="AZ126" s="7"/>
      <c r="BA126" s="7"/>
      <c r="BB126" s="7"/>
      <c r="BC126" s="7"/>
      <c r="BD126" s="7"/>
      <c r="BE126" s="7"/>
      <c r="BF126" s="7"/>
      <c r="BG126" s="7"/>
    </row>
    <row r="127" customHeight="1" spans="1:59">
      <c r="A127" s="9" t="str">
        <f>IFERROR(__xludf.DUMMYFUNCTION("""COMPUTED_VALUE"""),"Calliope 06")</f>
        <v>Calliope 06</v>
      </c>
      <c r="B127" s="5" t="str">
        <f>IFERROR(__xludf.DUMMYFUNCTION("""COMPUTED_VALUE"""),"Calliope 08")</f>
        <v>Calliope 08</v>
      </c>
      <c r="C127" s="5" t="str">
        <f>IFERROR(__xludf.DUMMYFUNCTION("""COMPUTED_VALUE"""),"Calliope 01")</f>
        <v>Calliope 01</v>
      </c>
      <c r="D127" s="23" t="str">
        <f>IFERROR(__xludf.DUMMYFUNCTION("""COMPUTED_VALUE"""),"Shubin Processing Facility SPMC-5")</f>
        <v>Shubin Processing Facility SPMC-5</v>
      </c>
      <c r="E127" s="23" t="str">
        <f>IFERROR(__xludf.DUMMYFUNCTION("""COMPUTED_VALUE"""),"SPMC5")</f>
        <v>SPMC5</v>
      </c>
      <c r="F127" s="8">
        <f>IFERROR(__xludf.DUMMYFUNCTION("""COMPUTED_VALUE"""),-230.045632036)</f>
        <v>-230.045632036</v>
      </c>
      <c r="G127" s="8">
        <f>IFERROR(__xludf.DUMMYFUNCTION("""COMPUTED_VALUE"""),66.60371803)</f>
        <v>66.60371803</v>
      </c>
      <c r="H127" s="8">
        <f>IFERROR(__xludf.DUMMYFUNCTION("""COMPUTED_VALUE"""),19.440895829)</f>
        <v>19.440895829</v>
      </c>
      <c r="I127" s="13"/>
      <c r="J127" s="14"/>
      <c r="K127" s="14"/>
      <c r="L127" s="14"/>
      <c r="M127" s="7" t="b">
        <f>IFERROR(__xludf.DUMMYFUNCTION("""COMPUTED_VALUE"""),TRUE)</f>
        <v>1</v>
      </c>
      <c r="N127" s="10">
        <f>IFERROR(__xludf.DUMMYFUNCTION("""COMPUTED_VALUE"""),0)</f>
        <v>0</v>
      </c>
      <c r="O127" s="10">
        <f>IFERROR(__xludf.DUMMYFUNCTION("""COMPUTED_VALUE"""),0)</f>
        <v>0</v>
      </c>
      <c r="P127" s="8"/>
      <c r="Q127" s="7"/>
      <c r="R127" s="16"/>
      <c r="S127" s="17"/>
      <c r="T127" s="8"/>
      <c r="U127" s="8"/>
      <c r="V127" s="22"/>
      <c r="W127" s="12"/>
      <c r="X127" s="12"/>
      <c r="Y127" s="12"/>
      <c r="Z127" s="12"/>
      <c r="AA127" s="7"/>
      <c r="AB127" s="12"/>
      <c r="AC127" s="6"/>
      <c r="AD127" s="6"/>
      <c r="AE127" s="7"/>
      <c r="AF127" s="7"/>
      <c r="AG127" s="7"/>
      <c r="AH127" s="7"/>
      <c r="AI127" s="7"/>
      <c r="AJ127" s="7"/>
      <c r="AK127" s="7"/>
      <c r="AL127" s="7"/>
      <c r="AM127" s="7"/>
      <c r="AN127" s="7"/>
      <c r="AO127" s="6"/>
      <c r="AP127" s="7"/>
      <c r="AQ127" s="7"/>
      <c r="AR127" s="6"/>
      <c r="AS127" s="7"/>
      <c r="AT127" s="7"/>
      <c r="AU127" s="7"/>
      <c r="AV127" s="7"/>
      <c r="AW127" s="7"/>
      <c r="AX127" s="7"/>
      <c r="AY127" s="7"/>
      <c r="AZ127" s="7"/>
      <c r="BA127" s="7"/>
      <c r="BB127" s="7"/>
      <c r="BC127" s="7"/>
      <c r="BD127" s="7"/>
      <c r="BE127" s="7"/>
      <c r="BF127" s="7"/>
      <c r="BG127" s="7"/>
    </row>
    <row r="128" customHeight="1" spans="1:59">
      <c r="A128" s="9" t="str">
        <f>IFERROR(__xludf.DUMMYFUNCTION("""COMPUTED_VALUE"""),"Calliope 07")</f>
        <v>Calliope 07</v>
      </c>
      <c r="B128" s="5" t="str">
        <f>IFERROR(__xludf.DUMMYFUNCTION("""COMPUTED_VALUE"""),"Calliope 09")</f>
        <v>Calliope 09</v>
      </c>
      <c r="C128" s="5" t="str">
        <f>IFERROR(__xludf.DUMMYFUNCTION("""COMPUTED_VALUE"""),"Calliope 21")</f>
        <v>Calliope 21</v>
      </c>
      <c r="D128" s="23" t="str">
        <f>IFERROR(__xludf.DUMMYFUNCTION("""COMPUTED_VALUE"""),"Shubin Processing Facility SPMC-10")</f>
        <v>Shubin Processing Facility SPMC-10</v>
      </c>
      <c r="E128" s="23" t="str">
        <f>IFERROR(__xludf.DUMMYFUNCTION("""COMPUTED_VALUE"""),"SPMC10")</f>
        <v>SPMC10</v>
      </c>
      <c r="F128" s="8">
        <f>IFERROR(__xludf.DUMMYFUNCTION("""COMPUTED_VALUE"""),-222.947307221)</f>
        <v>-222.947307221</v>
      </c>
      <c r="G128" s="8">
        <f>IFERROR(__xludf.DUMMYFUNCTION("""COMPUTED_VALUE"""),-74.1550350809999)</f>
        <v>-74.1550350809999</v>
      </c>
      <c r="H128" s="8">
        <f>IFERROR(__xludf.DUMMYFUNCTION("""COMPUTED_VALUE"""),-48.946056788)</f>
        <v>-48.946056788</v>
      </c>
      <c r="I128" s="13"/>
      <c r="J128" s="14"/>
      <c r="K128" s="14"/>
      <c r="L128" s="14"/>
      <c r="M128" s="7" t="b">
        <f>IFERROR(__xludf.DUMMYFUNCTION("""COMPUTED_VALUE"""),TRUE)</f>
        <v>1</v>
      </c>
      <c r="N128" s="10">
        <f>IFERROR(__xludf.DUMMYFUNCTION("""COMPUTED_VALUE"""),0)</f>
        <v>0</v>
      </c>
      <c r="O128" s="10">
        <f>IFERROR(__xludf.DUMMYFUNCTION("""COMPUTED_VALUE"""),0)</f>
        <v>0</v>
      </c>
      <c r="P128" s="8"/>
      <c r="Q128" s="7"/>
      <c r="R128" s="16"/>
      <c r="S128" s="17"/>
      <c r="T128" s="8"/>
      <c r="U128" s="8"/>
      <c r="V128" s="22"/>
      <c r="W128" s="12"/>
      <c r="X128" s="12"/>
      <c r="Y128" s="12"/>
      <c r="Z128" s="12"/>
      <c r="AA128" s="7"/>
      <c r="AB128" s="12"/>
      <c r="AC128" s="6"/>
      <c r="AD128" s="6"/>
      <c r="AE128" s="7"/>
      <c r="AF128" s="7"/>
      <c r="AG128" s="7"/>
      <c r="AH128" s="7"/>
      <c r="AI128" s="7"/>
      <c r="AJ128" s="7"/>
      <c r="AK128" s="7"/>
      <c r="AL128" s="7"/>
      <c r="AM128" s="7"/>
      <c r="AN128" s="7"/>
      <c r="AO128" s="6"/>
      <c r="AP128" s="7"/>
      <c r="AQ128" s="7"/>
      <c r="AR128" s="6"/>
      <c r="AS128" s="7"/>
      <c r="AT128" s="7"/>
      <c r="AU128" s="7"/>
      <c r="AV128" s="7"/>
      <c r="AW128" s="7"/>
      <c r="AX128" s="7"/>
      <c r="AY128" s="7"/>
      <c r="AZ128" s="7"/>
      <c r="BA128" s="7"/>
      <c r="BB128" s="7"/>
      <c r="BC128" s="7"/>
      <c r="BD128" s="7"/>
      <c r="BE128" s="7"/>
      <c r="BF128" s="7"/>
      <c r="BG128" s="7"/>
    </row>
    <row r="129" customHeight="1" spans="1:59">
      <c r="A129" s="9" t="str">
        <f>IFERROR(__xludf.DUMMYFUNCTION("""COMPUTED_VALUE"""),"Calliope 08")</f>
        <v>Calliope 08</v>
      </c>
      <c r="B129" s="5" t="str">
        <f>IFERROR(__xludf.DUMMYFUNCTION("""COMPUTED_VALUE"""),"Calliope 10")</f>
        <v>Calliope 10</v>
      </c>
      <c r="C129" s="5" t="str">
        <f>IFERROR(__xludf.DUMMYFUNCTION("""COMPUTED_VALUE"""),"Calliope 18")</f>
        <v>Calliope 18</v>
      </c>
      <c r="D129" s="23" t="str">
        <f>IFERROR(__xludf.DUMMYFUNCTION("""COMPUTED_VALUE"""),"Shubin Processing Facility SPMC-11")</f>
        <v>Shubin Processing Facility SPMC-11</v>
      </c>
      <c r="E129" s="23" t="str">
        <f>IFERROR(__xludf.DUMMYFUNCTION("""COMPUTED_VALUE"""),"SPMC11")</f>
        <v>SPMC11</v>
      </c>
      <c r="F129" s="8">
        <f>IFERROR(__xludf.DUMMYFUNCTION("""COMPUTED_VALUE"""),72.651900267)</f>
        <v>72.651900267</v>
      </c>
      <c r="G129" s="8">
        <f>IFERROR(__xludf.DUMMYFUNCTION("""COMPUTED_VALUE"""),-187.770018499)</f>
        <v>-187.770018499</v>
      </c>
      <c r="H129" s="8">
        <f>IFERROR(__xludf.DUMMYFUNCTION("""COMPUTED_VALUE"""),131.024502718)</f>
        <v>131.024502718</v>
      </c>
      <c r="I129" s="13"/>
      <c r="J129" s="14"/>
      <c r="K129" s="14"/>
      <c r="L129" s="14"/>
      <c r="M129" s="7" t="b">
        <f>IFERROR(__xludf.DUMMYFUNCTION("""COMPUTED_VALUE"""),TRUE)</f>
        <v>1</v>
      </c>
      <c r="N129" s="10">
        <f>IFERROR(__xludf.DUMMYFUNCTION("""COMPUTED_VALUE"""),0)</f>
        <v>0</v>
      </c>
      <c r="O129" s="10">
        <f>IFERROR(__xludf.DUMMYFUNCTION("""COMPUTED_VALUE"""),0)</f>
        <v>0</v>
      </c>
      <c r="P129" s="8"/>
      <c r="Q129" s="7"/>
      <c r="R129" s="16"/>
      <c r="S129" s="17"/>
      <c r="T129" s="8"/>
      <c r="U129" s="8"/>
      <c r="V129" s="22"/>
      <c r="W129" s="12"/>
      <c r="X129" s="12"/>
      <c r="Y129" s="12"/>
      <c r="Z129" s="12"/>
      <c r="AA129" s="7"/>
      <c r="AB129" s="12"/>
      <c r="AC129" s="6"/>
      <c r="AD129" s="6"/>
      <c r="AE129" s="7"/>
      <c r="AF129" s="7"/>
      <c r="AG129" s="7"/>
      <c r="AH129" s="7"/>
      <c r="AI129" s="7"/>
      <c r="AJ129" s="7"/>
      <c r="AK129" s="7"/>
      <c r="AL129" s="7"/>
      <c r="AM129" s="7"/>
      <c r="AN129" s="7"/>
      <c r="AO129" s="6"/>
      <c r="AP129" s="7"/>
      <c r="AQ129" s="7"/>
      <c r="AR129" s="6"/>
      <c r="AS129" s="7"/>
      <c r="AT129" s="7"/>
      <c r="AU129" s="7"/>
      <c r="AV129" s="7"/>
      <c r="AW129" s="7"/>
      <c r="AX129" s="7"/>
      <c r="AY129" s="7"/>
      <c r="AZ129" s="7"/>
      <c r="BA129" s="7"/>
      <c r="BB129" s="7"/>
      <c r="BC129" s="7"/>
      <c r="BD129" s="7"/>
      <c r="BE129" s="7"/>
      <c r="BF129" s="7"/>
      <c r="BG129" s="7"/>
    </row>
    <row r="130" customHeight="1" spans="1:59">
      <c r="A130" s="9" t="str">
        <f>IFERROR(__xludf.DUMMYFUNCTION("""COMPUTED_VALUE"""),"Calliope 09")</f>
        <v>Calliope 09</v>
      </c>
      <c r="B130" s="5" t="str">
        <f>IFERROR(__xludf.DUMMYFUNCTION("""COMPUTED_VALUE"""),"Calliope 11")</f>
        <v>Calliope 11</v>
      </c>
      <c r="C130" s="5" t="str">
        <f>IFERROR(__xludf.DUMMYFUNCTION("""COMPUTED_VALUE"""),"Calliope 12")</f>
        <v>Calliope 12</v>
      </c>
      <c r="D130" s="23" t="str">
        <f>IFERROR(__xludf.DUMMYFUNCTION("""COMPUTED_VALUE"""),"Shubin Processing Facility SPMC-14")</f>
        <v>Shubin Processing Facility SPMC-14</v>
      </c>
      <c r="E130" s="23" t="str">
        <f>IFERROR(__xludf.DUMMYFUNCTION("""COMPUTED_VALUE"""),"SPMC14")</f>
        <v>SPMC14</v>
      </c>
      <c r="F130" s="8">
        <f>IFERROR(__xludf.DUMMYFUNCTION("""COMPUTED_VALUE"""),228.647183370999)</f>
        <v>228.647183370999</v>
      </c>
      <c r="G130" s="8">
        <f>IFERROR(__xludf.DUMMYFUNCTION("""COMPUTED_VALUE"""),-21.167935533)</f>
        <v>-21.167935533</v>
      </c>
      <c r="H130" s="8">
        <f>IFERROR(__xludf.DUMMYFUNCTION("""COMPUTED_VALUE"""),71.031798834)</f>
        <v>71.031798834</v>
      </c>
      <c r="I130" s="13"/>
      <c r="J130" s="14"/>
      <c r="K130" s="14"/>
      <c r="L130" s="14"/>
      <c r="M130" s="7" t="b">
        <f>IFERROR(__xludf.DUMMYFUNCTION("""COMPUTED_VALUE"""),TRUE)</f>
        <v>1</v>
      </c>
      <c r="N130" s="10">
        <f>IFERROR(__xludf.DUMMYFUNCTION("""COMPUTED_VALUE"""),0)</f>
        <v>0</v>
      </c>
      <c r="O130" s="10">
        <f>IFERROR(__xludf.DUMMYFUNCTION("""COMPUTED_VALUE"""),0)</f>
        <v>0</v>
      </c>
      <c r="P130" s="8"/>
      <c r="Q130" s="7"/>
      <c r="R130" s="16"/>
      <c r="S130" s="17"/>
      <c r="T130" s="8"/>
      <c r="U130" s="8"/>
      <c r="V130" s="22"/>
      <c r="W130" s="12"/>
      <c r="X130" s="12"/>
      <c r="Y130" s="12"/>
      <c r="Z130" s="12"/>
      <c r="AA130" s="7"/>
      <c r="AB130" s="12"/>
      <c r="AC130" s="6"/>
      <c r="AD130" s="6"/>
      <c r="AE130" s="7"/>
      <c r="AF130" s="7"/>
      <c r="AG130" s="7"/>
      <c r="AH130" s="7"/>
      <c r="AI130" s="7"/>
      <c r="AJ130" s="7"/>
      <c r="AK130" s="7"/>
      <c r="AL130" s="7"/>
      <c r="AM130" s="7"/>
      <c r="AN130" s="7"/>
      <c r="AO130" s="6"/>
      <c r="AP130" s="7"/>
      <c r="AQ130" s="7"/>
      <c r="AR130" s="6"/>
      <c r="AS130" s="7"/>
      <c r="AT130" s="7"/>
      <c r="AU130" s="7"/>
      <c r="AV130" s="7"/>
      <c r="AW130" s="7"/>
      <c r="AX130" s="7"/>
      <c r="AY130" s="7"/>
      <c r="AZ130" s="7"/>
      <c r="BA130" s="7"/>
      <c r="BB130" s="7"/>
      <c r="BC130" s="7"/>
      <c r="BD130" s="7"/>
      <c r="BE130" s="7"/>
      <c r="BF130" s="7"/>
      <c r="BG130" s="7"/>
    </row>
    <row r="131" customHeight="1" spans="1:59">
      <c r="A131" s="9" t="str">
        <f>IFERROR(__xludf.DUMMYFUNCTION("""COMPUTED_VALUE"""),"Calliope")</f>
        <v>Calliope</v>
      </c>
      <c r="B131" s="5" t="str">
        <f>IFERROR(__xludf.DUMMYFUNCTION("""COMPUTED_VALUE"""),"Calliope 13")</f>
        <v>Calliope 13</v>
      </c>
      <c r="C131" s="5"/>
      <c r="D131" s="23" t="str">
        <f>IFERROR(__xludf.DUMMYFUNCTION("""COMPUTED_VALUE"""),"Caves")</f>
        <v>Caves</v>
      </c>
      <c r="E131" s="23"/>
      <c r="F131" s="8"/>
      <c r="G131" s="8"/>
      <c r="H131" s="8"/>
      <c r="I131" s="13"/>
      <c r="J131" s="14"/>
      <c r="K131" s="14"/>
      <c r="L131" s="14"/>
      <c r="M131" s="7"/>
      <c r="N131" s="10"/>
      <c r="O131" s="10"/>
      <c r="P131" s="8"/>
      <c r="Q131" s="7"/>
      <c r="R131" s="16"/>
      <c r="S131" s="17"/>
      <c r="T131" s="8"/>
      <c r="U131" s="8"/>
      <c r="V131" s="22"/>
      <c r="W131" s="12"/>
      <c r="X131" s="12"/>
      <c r="Y131" s="12"/>
      <c r="Z131" s="12"/>
      <c r="AA131" s="7"/>
      <c r="AB131" s="12"/>
      <c r="AC131" s="6"/>
      <c r="AD131" s="6"/>
      <c r="AE131" s="7"/>
      <c r="AF131" s="7"/>
      <c r="AG131" s="7"/>
      <c r="AH131" s="7"/>
      <c r="AI131" s="7"/>
      <c r="AJ131" s="7"/>
      <c r="AK131" s="7"/>
      <c r="AL131" s="7"/>
      <c r="AM131" s="7"/>
      <c r="AN131" s="7"/>
      <c r="AO131" s="6"/>
      <c r="AP131" s="7"/>
      <c r="AQ131" s="7"/>
      <c r="AR131" s="6"/>
      <c r="AS131" s="7"/>
      <c r="AT131" s="7"/>
      <c r="AU131" s="7"/>
      <c r="AV131" s="7"/>
      <c r="AW131" s="7"/>
      <c r="AX131" s="7"/>
      <c r="AY131" s="7"/>
      <c r="AZ131" s="7"/>
      <c r="BA131" s="7"/>
      <c r="BB131" s="7"/>
      <c r="BC131" s="7"/>
      <c r="BD131" s="7"/>
      <c r="BE131" s="7"/>
      <c r="BF131" s="7"/>
      <c r="BG131" s="7"/>
    </row>
    <row r="132" customHeight="1" spans="1:59">
      <c r="A132" s="9" t="str">
        <f>IFERROR(__xludf.DUMMYFUNCTION("""COMPUTED_VALUE"""),"Calliope 12")</f>
        <v>Calliope 12</v>
      </c>
      <c r="B132" s="5" t="str">
        <f>IFERROR(__xludf.DUMMYFUNCTION("""COMPUTED_VALUE"""),"Calliope 15")</f>
        <v>Calliope 15</v>
      </c>
      <c r="C132" s="5" t="str">
        <f>IFERROR(__xludf.DUMMYFUNCTION("""COMPUTED_VALUE"""),"Calliope 16")</f>
        <v>Calliope 16</v>
      </c>
      <c r="D132" s="23" t="str">
        <f>IFERROR(__xludf.DUMMYFUNCTION("""COMPUTED_VALUE"""),"Rock Cave 26P")</f>
        <v>Rock Cave 26P</v>
      </c>
      <c r="E132" s="23" t="str">
        <f>IFERROR(__xludf.DUMMYFUNCTION("""COMPUTED_VALUE"""),"RCave 26P")</f>
        <v>RCave 26P</v>
      </c>
      <c r="F132" s="8">
        <f>IFERROR(__xludf.DUMMYFUNCTION("""COMPUTED_VALUE"""),207.343295357)</f>
        <v>207.343295357</v>
      </c>
      <c r="G132" s="8">
        <f>IFERROR(__xludf.DUMMYFUNCTION("""COMPUTED_VALUE"""),-107.084616404)</f>
        <v>-107.084616404</v>
      </c>
      <c r="H132" s="8">
        <f>IFERROR(__xludf.DUMMYFUNCTION("""COMPUTED_VALUE"""),55.951304278)</f>
        <v>55.951304278</v>
      </c>
      <c r="I132" s="13"/>
      <c r="J132" s="14"/>
      <c r="K132" s="14"/>
      <c r="L132" s="14"/>
      <c r="M132" s="7" t="b">
        <f>IFERROR(__xludf.DUMMYFUNCTION("""COMPUTED_VALUE"""),FALSE)</f>
        <v>0</v>
      </c>
      <c r="N132" s="10">
        <f>IFERROR(__xludf.DUMMYFUNCTION("""COMPUTED_VALUE"""),0)</f>
        <v>0</v>
      </c>
      <c r="O132" s="10">
        <f>IFERROR(__xludf.DUMMYFUNCTION("""COMPUTED_VALUE"""),0)</f>
        <v>0</v>
      </c>
      <c r="P132" s="8"/>
      <c r="Q132" s="7"/>
      <c r="R132" s="16"/>
      <c r="S132" s="17"/>
      <c r="T132" s="8"/>
      <c r="U132" s="8"/>
      <c r="V132" s="22"/>
      <c r="W132" s="12"/>
      <c r="X132" s="12"/>
      <c r="Y132" s="12"/>
      <c r="Z132" s="12"/>
      <c r="AA132" s="7"/>
      <c r="AB132" s="12"/>
      <c r="AC132" s="6"/>
      <c r="AD132" s="6"/>
      <c r="AE132" s="7"/>
      <c r="AF132" s="7"/>
      <c r="AG132" s="7"/>
      <c r="AH132" s="7"/>
      <c r="AI132" s="7"/>
      <c r="AJ132" s="7"/>
      <c r="AK132" s="7"/>
      <c r="AL132" s="7"/>
      <c r="AM132" s="7"/>
      <c r="AN132" s="7"/>
      <c r="AO132" s="6"/>
      <c r="AP132" s="7"/>
      <c r="AQ132" s="7"/>
      <c r="AR132" s="6"/>
      <c r="AS132" s="7"/>
      <c r="AT132" s="7"/>
      <c r="AU132" s="7"/>
      <c r="AV132" s="7"/>
      <c r="AW132" s="7"/>
      <c r="AX132" s="7"/>
      <c r="AY132" s="7"/>
      <c r="AZ132" s="7"/>
      <c r="BA132" s="7"/>
      <c r="BB132" s="7"/>
      <c r="BC132" s="7"/>
      <c r="BD132" s="7"/>
      <c r="BE132" s="7"/>
      <c r="BF132" s="7"/>
      <c r="BG132" s="7"/>
    </row>
    <row r="133" customHeight="1" spans="1:59">
      <c r="A133" s="9" t="str">
        <f>IFERROR(__xludf.DUMMYFUNCTION("""COMPUTED_VALUE"""),"Calliope 11")</f>
        <v>Calliope 11</v>
      </c>
      <c r="B133" s="5" t="str">
        <f>IFERROR(__xludf.DUMMYFUNCTION("""COMPUTED_VALUE"""),"Calliope 14")</f>
        <v>Calliope 14</v>
      </c>
      <c r="C133" s="5" t="str">
        <f>IFERROR(__xludf.DUMMYFUNCTION("""COMPUTED_VALUE"""),"Calliope 15")</f>
        <v>Calliope 15</v>
      </c>
      <c r="D133" s="23" t="str">
        <f>IFERROR(__xludf.DUMMYFUNCTION("""COMPUTED_VALUE"""),"Rock Cave 25R")</f>
        <v>Rock Cave 25R</v>
      </c>
      <c r="E133" s="23" t="str">
        <f>IFERROR(__xludf.DUMMYFUNCTION("""COMPUTED_VALUE"""),"RCave 25R")</f>
        <v>RCave 25R</v>
      </c>
      <c r="F133" s="8">
        <f>IFERROR(__xludf.DUMMYFUNCTION("""COMPUTED_VALUE"""),213.196319319)</f>
        <v>213.196319319</v>
      </c>
      <c r="G133" s="8">
        <f>IFERROR(__xludf.DUMMYFUNCTION("""COMPUTED_VALUE"""),-40.555954422)</f>
        <v>-40.555954422</v>
      </c>
      <c r="H133" s="8">
        <f>IFERROR(__xludf.DUMMYFUNCTION("""COMPUTED_VALUE"""),102.893182979)</f>
        <v>102.893182979</v>
      </c>
      <c r="I133" s="13"/>
      <c r="J133" s="14"/>
      <c r="K133" s="14"/>
      <c r="L133" s="14"/>
      <c r="M133" s="7" t="b">
        <f>IFERROR(__xludf.DUMMYFUNCTION("""COMPUTED_VALUE"""),FALSE)</f>
        <v>0</v>
      </c>
      <c r="N133" s="10">
        <f>IFERROR(__xludf.DUMMYFUNCTION("""COMPUTED_VALUE"""),0)</f>
        <v>0</v>
      </c>
      <c r="O133" s="10">
        <f>IFERROR(__xludf.DUMMYFUNCTION("""COMPUTED_VALUE"""),0)</f>
        <v>0</v>
      </c>
      <c r="P133" s="8"/>
      <c r="Q133" s="7"/>
      <c r="R133" s="16"/>
      <c r="S133" s="17"/>
      <c r="T133" s="8"/>
      <c r="U133" s="8"/>
      <c r="V133" s="22"/>
      <c r="W133" s="12"/>
      <c r="X133" s="12"/>
      <c r="Y133" s="12"/>
      <c r="Z133" s="12"/>
      <c r="AA133" s="7"/>
      <c r="AB133" s="12"/>
      <c r="AC133" s="6"/>
      <c r="AD133" s="6"/>
      <c r="AE133" s="7"/>
      <c r="AF133" s="7"/>
      <c r="AG133" s="7"/>
      <c r="AH133" s="7"/>
      <c r="AI133" s="7"/>
      <c r="AJ133" s="7"/>
      <c r="AK133" s="7"/>
      <c r="AL133" s="7"/>
      <c r="AM133" s="7"/>
      <c r="AN133" s="7"/>
      <c r="AO133" s="6"/>
      <c r="AP133" s="7"/>
      <c r="AQ133" s="7"/>
      <c r="AR133" s="6"/>
      <c r="AS133" s="7"/>
      <c r="AT133" s="7"/>
      <c r="AU133" s="7"/>
      <c r="AV133" s="7"/>
      <c r="AW133" s="7"/>
      <c r="AX133" s="7"/>
      <c r="AY133" s="7"/>
      <c r="AZ133" s="7"/>
      <c r="BA133" s="7"/>
      <c r="BB133" s="7"/>
      <c r="BC133" s="7"/>
      <c r="BD133" s="7"/>
      <c r="BE133" s="7"/>
      <c r="BF133" s="7"/>
      <c r="BG133" s="7"/>
    </row>
    <row r="134" customHeight="1" spans="1:59">
      <c r="A134" s="9" t="str">
        <f>IFERROR(__xludf.DUMMYFUNCTION("""COMPUTED_VALUE"""),"Calliope 13")</f>
        <v>Calliope 13</v>
      </c>
      <c r="B134" s="5" t="str">
        <f>IFERROR(__xludf.DUMMYFUNCTION("""COMPUTED_VALUE"""),"Calliope 16")</f>
        <v>Calliope 16</v>
      </c>
      <c r="C134" s="5" t="str">
        <f>IFERROR(__xludf.DUMMYFUNCTION("""COMPUTED_VALUE"""),"Calliope 09")</f>
        <v>Calliope 09</v>
      </c>
      <c r="D134" s="23" t="str">
        <f>IFERROR(__xludf.DUMMYFUNCTION("""COMPUTED_VALUE"""),"Rock Cave 30T")</f>
        <v>Rock Cave 30T</v>
      </c>
      <c r="E134" s="23" t="str">
        <f>IFERROR(__xludf.DUMMYFUNCTION("""COMPUTED_VALUE"""),"RCave 30T")</f>
        <v>RCave 30T</v>
      </c>
      <c r="F134" s="8">
        <f>IFERROR(__xludf.DUMMYFUNCTION("""COMPUTED_VALUE"""),181.300399053)</f>
        <v>181.300399053</v>
      </c>
      <c r="G134" s="8">
        <f>IFERROR(__xludf.DUMMYFUNCTION("""COMPUTED_VALUE"""),-3.049119508)</f>
        <v>-3.049119508</v>
      </c>
      <c r="H134" s="8">
        <f>IFERROR(__xludf.DUMMYFUNCTION("""COMPUTED_VALUE"""),157.240353132999)</f>
        <v>157.240353132999</v>
      </c>
      <c r="I134" s="13"/>
      <c r="J134" s="14"/>
      <c r="K134" s="14"/>
      <c r="L134" s="14"/>
      <c r="M134" s="7" t="b">
        <f>IFERROR(__xludf.DUMMYFUNCTION("""COMPUTED_VALUE"""),FALSE)</f>
        <v>0</v>
      </c>
      <c r="N134" s="10">
        <f>IFERROR(__xludf.DUMMYFUNCTION("""COMPUTED_VALUE"""),0)</f>
        <v>0</v>
      </c>
      <c r="O134" s="10">
        <f>IFERROR(__xludf.DUMMYFUNCTION("""COMPUTED_VALUE"""),0)</f>
        <v>0</v>
      </c>
      <c r="P134" s="8"/>
      <c r="Q134" s="7"/>
      <c r="R134" s="16"/>
      <c r="S134" s="17"/>
      <c r="T134" s="8"/>
      <c r="U134" s="8"/>
      <c r="V134" s="22"/>
      <c r="W134" s="12"/>
      <c r="X134" s="12"/>
      <c r="Y134" s="12"/>
      <c r="Z134" s="12"/>
      <c r="AA134" s="7"/>
      <c r="AB134" s="12"/>
      <c r="AC134" s="6"/>
      <c r="AD134" s="6"/>
      <c r="AE134" s="7"/>
      <c r="AF134" s="7"/>
      <c r="AG134" s="7"/>
      <c r="AH134" s="7"/>
      <c r="AI134" s="7"/>
      <c r="AJ134" s="7"/>
      <c r="AK134" s="7"/>
      <c r="AL134" s="7"/>
      <c r="AM134" s="7"/>
      <c r="AN134" s="7"/>
      <c r="AO134" s="6"/>
      <c r="AP134" s="7"/>
      <c r="AQ134" s="7"/>
      <c r="AR134" s="6"/>
      <c r="AS134" s="7"/>
      <c r="AT134" s="7"/>
      <c r="AU134" s="7"/>
      <c r="AV134" s="7"/>
      <c r="AW134" s="7"/>
      <c r="AX134" s="7"/>
      <c r="AY134" s="7"/>
      <c r="AZ134" s="7"/>
      <c r="BA134" s="7"/>
      <c r="BB134" s="7"/>
      <c r="BC134" s="7"/>
      <c r="BD134" s="7"/>
      <c r="BE134" s="7"/>
      <c r="BF134" s="7"/>
      <c r="BG134" s="7"/>
    </row>
    <row r="135" customHeight="1" spans="1:59">
      <c r="A135" s="9" t="str">
        <f>IFERROR(__xludf.DUMMYFUNCTION("""COMPUTED_VALUE"""),"Calliope")</f>
        <v>Calliope</v>
      </c>
      <c r="B135" s="5" t="str">
        <f>IFERROR(__xludf.DUMMYFUNCTION("""COMPUTED_VALUE"""),"Calliope 18")</f>
        <v>Calliope 18</v>
      </c>
      <c r="C135" s="5"/>
      <c r="D135" s="23" t="str">
        <f>IFERROR(__xludf.DUMMYFUNCTION("""COMPUTED_VALUE"""),"Wrecks")</f>
        <v>Wrecks</v>
      </c>
      <c r="E135" s="23"/>
      <c r="F135" s="8"/>
      <c r="G135" s="8"/>
      <c r="H135" s="8"/>
      <c r="I135" s="13"/>
      <c r="J135" s="14"/>
      <c r="K135" s="14"/>
      <c r="L135" s="14"/>
      <c r="M135" s="7"/>
      <c r="N135" s="10"/>
      <c r="O135" s="10"/>
      <c r="P135" s="8"/>
      <c r="Q135" s="7"/>
      <c r="R135" s="16"/>
      <c r="S135" s="17"/>
      <c r="T135" s="8"/>
      <c r="U135" s="8"/>
      <c r="V135" s="22"/>
      <c r="W135" s="12"/>
      <c r="X135" s="12"/>
      <c r="Y135" s="12"/>
      <c r="Z135" s="12"/>
      <c r="AA135" s="7"/>
      <c r="AB135" s="12"/>
      <c r="AC135" s="6"/>
      <c r="AD135" s="6"/>
      <c r="AE135" s="7"/>
      <c r="AF135" s="7"/>
      <c r="AG135" s="7"/>
      <c r="AH135" s="7"/>
      <c r="AI135" s="7"/>
      <c r="AJ135" s="7"/>
      <c r="AK135" s="7"/>
      <c r="AL135" s="7"/>
      <c r="AM135" s="7"/>
      <c r="AN135" s="7"/>
      <c r="AO135" s="6"/>
      <c r="AP135" s="7"/>
      <c r="AQ135" s="7"/>
      <c r="AR135" s="6"/>
      <c r="AS135" s="7"/>
      <c r="AT135" s="7"/>
      <c r="AU135" s="7"/>
      <c r="AV135" s="7"/>
      <c r="AW135" s="7"/>
      <c r="AX135" s="7"/>
      <c r="AY135" s="7"/>
      <c r="AZ135" s="7"/>
      <c r="BA135" s="7"/>
      <c r="BB135" s="7"/>
      <c r="BC135" s="7"/>
      <c r="BD135" s="7"/>
      <c r="BE135" s="7"/>
      <c r="BF135" s="7"/>
      <c r="BG135" s="7"/>
    </row>
    <row r="136" customHeight="1" spans="1:59">
      <c r="A136" s="9" t="str">
        <f>IFERROR(__xludf.DUMMYFUNCTION("""COMPUTED_VALUE"""),"Calliope 14")</f>
        <v>Calliope 14</v>
      </c>
      <c r="B136" s="5" t="str">
        <f>IFERROR(__xludf.DUMMYFUNCTION("""COMPUTED_VALUE"""),"Calliope 19")</f>
        <v>Calliope 19</v>
      </c>
      <c r="C136" s="5" t="str">
        <f>IFERROR(__xludf.DUMMYFUNCTION("""COMPUTED_VALUE"""),"Calliope 17")</f>
        <v>Calliope 17</v>
      </c>
      <c r="D136" s="23" t="str">
        <f>IFERROR(__xludf.DUMMYFUNCTION("""COMPUTED_VALUE"""),"Caterpillar Wreck 25P")</f>
        <v>Caterpillar Wreck 25P</v>
      </c>
      <c r="E136" s="23" t="str">
        <f>IFERROR(__xludf.DUMMYFUNCTION("""COMPUTED_VALUE"""),"Caterpillar 25P")</f>
        <v>Caterpillar 25P</v>
      </c>
      <c r="F136" s="8">
        <f>IFERROR(__xludf.DUMMYFUNCTION("""COMPUTED_VALUE"""),199.393000555)</f>
        <v>199.393000555</v>
      </c>
      <c r="G136" s="8">
        <f>IFERROR(__xludf.DUMMYFUNCTION("""COMPUTED_VALUE"""),-126.187863186)</f>
        <v>-126.187863186</v>
      </c>
      <c r="H136" s="8">
        <f>IFERROR(__xludf.DUMMYFUNCTION("""COMPUTED_VALUE"""),45.984564892)</f>
        <v>45.984564892</v>
      </c>
      <c r="I136" s="13"/>
      <c r="J136" s="14"/>
      <c r="K136" s="14"/>
      <c r="L136" s="14"/>
      <c r="M136" s="7" t="b">
        <f>IFERROR(__xludf.DUMMYFUNCTION("""COMPUTED_VALUE"""),FALSE)</f>
        <v>0</v>
      </c>
      <c r="N136" s="10">
        <f>IFERROR(__xludf.DUMMYFUNCTION("""COMPUTED_VALUE"""),0)</f>
        <v>0</v>
      </c>
      <c r="O136" s="10">
        <f>IFERROR(__xludf.DUMMYFUNCTION("""COMPUTED_VALUE"""),0)</f>
        <v>0</v>
      </c>
      <c r="P136" s="8"/>
      <c r="Q136" s="7"/>
      <c r="R136" s="16"/>
      <c r="S136" s="17"/>
      <c r="T136" s="8"/>
      <c r="U136" s="8"/>
      <c r="V136" s="22"/>
      <c r="W136" s="12"/>
      <c r="X136" s="12"/>
      <c r="Y136" s="12"/>
      <c r="Z136" s="12"/>
      <c r="AA136" s="7"/>
      <c r="AB136" s="12"/>
      <c r="AC136" s="6"/>
      <c r="AD136" s="6"/>
      <c r="AE136" s="7"/>
      <c r="AF136" s="7"/>
      <c r="AG136" s="7"/>
      <c r="AH136" s="7"/>
      <c r="AI136" s="7"/>
      <c r="AJ136" s="7"/>
      <c r="AK136" s="7"/>
      <c r="AL136" s="7"/>
      <c r="AM136" s="7"/>
      <c r="AN136" s="7"/>
      <c r="AO136" s="6"/>
      <c r="AP136" s="7"/>
      <c r="AQ136" s="7"/>
      <c r="AR136" s="6"/>
      <c r="AS136" s="7"/>
      <c r="AT136" s="7"/>
      <c r="AU136" s="7"/>
      <c r="AV136" s="7"/>
      <c r="AW136" s="7"/>
      <c r="AX136" s="7"/>
      <c r="AY136" s="7"/>
      <c r="AZ136" s="7"/>
      <c r="BA136" s="7"/>
      <c r="BB136" s="7"/>
      <c r="BC136" s="7"/>
      <c r="BD136" s="7"/>
      <c r="BE136" s="7"/>
      <c r="BF136" s="7"/>
      <c r="BG136" s="7"/>
    </row>
    <row r="137" customHeight="1" spans="1:59">
      <c r="A137" s="9" t="str">
        <f>IFERROR(__xludf.DUMMYFUNCTION("""COMPUTED_VALUE"""),"Calliope 15")</f>
        <v>Calliope 15</v>
      </c>
      <c r="B137" s="5" t="str">
        <f>IFERROR(__xludf.DUMMYFUNCTION("""COMPUTED_VALUE"""),"Calliope 20")</f>
        <v>Calliope 20</v>
      </c>
      <c r="C137" s="5" t="str">
        <f>IFERROR(__xludf.DUMMYFUNCTION("""COMPUTED_VALUE"""),"Calliope 14")</f>
        <v>Calliope 14</v>
      </c>
      <c r="D137" s="23" t="str">
        <f>IFERROR(__xludf.DUMMYFUNCTION("""COMPUTED_VALUE"""),"Caterpillar Wreck 29P")</f>
        <v>Caterpillar Wreck 29P</v>
      </c>
      <c r="E137" s="23" t="str">
        <f>IFERROR(__xludf.DUMMYFUNCTION("""COMPUTED_VALUE"""),"Caterpillar 29P")</f>
        <v>Caterpillar 29P</v>
      </c>
      <c r="F137" s="8">
        <f>IFERROR(__xludf.DUMMYFUNCTION("""COMPUTED_VALUE"""),232.098918105999)</f>
        <v>232.098918105999</v>
      </c>
      <c r="G137" s="8">
        <f>IFERROR(__xludf.DUMMYFUNCTION("""COMPUTED_VALUE"""),-41.3358274539999)</f>
        <v>-41.3358274539999</v>
      </c>
      <c r="H137" s="8">
        <f>IFERROR(__xludf.DUMMYFUNCTION("""COMPUTED_VALUE"""),45.8925226919998)</f>
        <v>45.8925226919998</v>
      </c>
      <c r="I137" s="13"/>
      <c r="J137" s="14"/>
      <c r="K137" s="14"/>
      <c r="L137" s="14"/>
      <c r="M137" s="7" t="b">
        <f>IFERROR(__xludf.DUMMYFUNCTION("""COMPUTED_VALUE"""),FALSE)</f>
        <v>0</v>
      </c>
      <c r="N137" s="10">
        <f>IFERROR(__xludf.DUMMYFUNCTION("""COMPUTED_VALUE"""),0)</f>
        <v>0</v>
      </c>
      <c r="O137" s="10">
        <f>IFERROR(__xludf.DUMMYFUNCTION("""COMPUTED_VALUE"""),0)</f>
        <v>0</v>
      </c>
      <c r="P137" s="8"/>
      <c r="Q137" s="7"/>
      <c r="R137" s="16"/>
      <c r="S137" s="17"/>
      <c r="T137" s="8"/>
      <c r="U137" s="8"/>
      <c r="V137" s="22"/>
      <c r="W137" s="12"/>
      <c r="X137" s="12"/>
      <c r="Y137" s="12"/>
      <c r="Z137" s="12"/>
      <c r="AA137" s="7"/>
      <c r="AB137" s="12"/>
      <c r="AC137" s="6"/>
      <c r="AD137" s="6"/>
      <c r="AE137" s="7"/>
      <c r="AF137" s="7"/>
      <c r="AG137" s="7"/>
      <c r="AH137" s="7"/>
      <c r="AI137" s="7"/>
      <c r="AJ137" s="7"/>
      <c r="AK137" s="7"/>
      <c r="AL137" s="7"/>
      <c r="AM137" s="7"/>
      <c r="AN137" s="7"/>
      <c r="AO137" s="6"/>
      <c r="AP137" s="7"/>
      <c r="AQ137" s="7"/>
      <c r="AR137" s="6"/>
      <c r="AS137" s="7"/>
      <c r="AT137" s="7"/>
      <c r="AU137" s="7"/>
      <c r="AV137" s="7"/>
      <c r="AW137" s="7"/>
      <c r="AX137" s="7"/>
      <c r="AY137" s="7"/>
      <c r="AZ137" s="7"/>
      <c r="BA137" s="7"/>
      <c r="BB137" s="7"/>
      <c r="BC137" s="7"/>
      <c r="BD137" s="7"/>
      <c r="BE137" s="7"/>
      <c r="BF137" s="7"/>
      <c r="BG137" s="7"/>
    </row>
    <row r="138" customHeight="1" spans="1:59">
      <c r="A138" s="9" t="str">
        <f>IFERROR(__xludf.DUMMYFUNCTION("""COMPUTED_VALUE"""),"Calliope 16")</f>
        <v>Calliope 16</v>
      </c>
      <c r="B138" s="5" t="str">
        <f>IFERROR(__xludf.DUMMYFUNCTION("""COMPUTED_VALUE"""),"Calliope 21")</f>
        <v>Calliope 21</v>
      </c>
      <c r="C138" s="5" t="str">
        <f>IFERROR(__xludf.DUMMYFUNCTION("""COMPUTED_VALUE"""),"Calliope 10")</f>
        <v>Calliope 10</v>
      </c>
      <c r="D138" s="23" t="str">
        <f>IFERROR(__xludf.DUMMYFUNCTION("""COMPUTED_VALUE"""),"Caterpillar Wreck 30R")</f>
        <v>Caterpillar Wreck 30R</v>
      </c>
      <c r="E138" s="23" t="str">
        <f>IFERROR(__xludf.DUMMYFUNCTION("""COMPUTED_VALUE"""),"Caterpillar 30R")</f>
        <v>Caterpillar 30R</v>
      </c>
      <c r="F138" s="8">
        <f>IFERROR(__xludf.DUMMYFUNCTION("""COMPUTED_VALUE"""),218.632326066)</f>
        <v>218.632326066</v>
      </c>
      <c r="G138" s="8">
        <f>IFERROR(__xludf.DUMMYFUNCTION("""COMPUTED_VALUE"""),-7.016100032)</f>
        <v>-7.016100032</v>
      </c>
      <c r="H138" s="8">
        <f>IFERROR(__xludf.DUMMYFUNCTION("""COMPUTED_VALUE"""),99.0777021919998)</f>
        <v>99.0777021919998</v>
      </c>
      <c r="I138" s="13"/>
      <c r="J138" s="14"/>
      <c r="K138" s="14"/>
      <c r="L138" s="14"/>
      <c r="M138" s="7" t="b">
        <f>IFERROR(__xludf.DUMMYFUNCTION("""COMPUTED_VALUE"""),FALSE)</f>
        <v>0</v>
      </c>
      <c r="N138" s="10">
        <f>IFERROR(__xludf.DUMMYFUNCTION("""COMPUTED_VALUE"""),0)</f>
        <v>0</v>
      </c>
      <c r="O138" s="10">
        <f>IFERROR(__xludf.DUMMYFUNCTION("""COMPUTED_VALUE"""),0)</f>
        <v>0</v>
      </c>
      <c r="P138" s="8"/>
      <c r="Q138" s="7"/>
      <c r="R138" s="16"/>
      <c r="S138" s="17"/>
      <c r="T138" s="8"/>
      <c r="U138" s="8"/>
      <c r="V138" s="22"/>
      <c r="W138" s="12"/>
      <c r="X138" s="12"/>
      <c r="Y138" s="12"/>
      <c r="Z138" s="12"/>
      <c r="AA138" s="7"/>
      <c r="AB138" s="12"/>
      <c r="AC138" s="6"/>
      <c r="AD138" s="6"/>
      <c r="AE138" s="7"/>
      <c r="AF138" s="7"/>
      <c r="AG138" s="7"/>
      <c r="AH138" s="7"/>
      <c r="AI138" s="7"/>
      <c r="AJ138" s="7"/>
      <c r="AK138" s="7"/>
      <c r="AL138" s="7"/>
      <c r="AM138" s="7"/>
      <c r="AN138" s="7"/>
      <c r="AO138" s="6"/>
      <c r="AP138" s="7"/>
      <c r="AQ138" s="7"/>
      <c r="AR138" s="6"/>
      <c r="AS138" s="7"/>
      <c r="AT138" s="7"/>
      <c r="AU138" s="7"/>
      <c r="AV138" s="7"/>
      <c r="AW138" s="7"/>
      <c r="AX138" s="7"/>
      <c r="AY138" s="7"/>
      <c r="AZ138" s="7"/>
      <c r="BA138" s="7"/>
      <c r="BB138" s="7"/>
      <c r="BC138" s="7"/>
      <c r="BD138" s="7"/>
      <c r="BE138" s="7"/>
      <c r="BF138" s="7"/>
      <c r="BG138" s="7"/>
    </row>
    <row r="139" customHeight="1" spans="1:59">
      <c r="A139" s="9" t="str">
        <f>IFERROR(__xludf.DUMMYFUNCTION("""COMPUTED_VALUE"""),"Calliope 17")</f>
        <v>Calliope 17</v>
      </c>
      <c r="B139" s="5" t="str">
        <f>IFERROR(__xludf.DUMMYFUNCTION("""COMPUTED_VALUE"""),"Calliope 22")</f>
        <v>Calliope 22</v>
      </c>
      <c r="C139" s="5" t="str">
        <f>IFERROR(__xludf.DUMMYFUNCTION("""COMPUTED_VALUE"""),"Calliope 16")</f>
        <v>Calliope 16</v>
      </c>
      <c r="D139" s="23" t="str">
        <f>IFERROR(__xludf.DUMMYFUNCTION("""COMPUTED_VALUE"""),"Cutlass Wreck")</f>
        <v>Cutlass Wreck</v>
      </c>
      <c r="E139" s="23" t="str">
        <f>IFERROR(__xludf.DUMMYFUNCTION("""COMPUTED_VALUE"""),"Cutlass")</f>
        <v>Cutlass</v>
      </c>
      <c r="F139" s="8">
        <f>IFERROR(__xludf.DUMMYFUNCTION("""COMPUTED_VALUE"""),234.804704319)</f>
        <v>234.804704319</v>
      </c>
      <c r="G139" s="8">
        <f>IFERROR(__xludf.DUMMYFUNCTION("""COMPUTED_VALUE"""),-46.6994728939998)</f>
        <v>-46.6994728939998</v>
      </c>
      <c r="H139" s="8">
        <f>IFERROR(__xludf.DUMMYFUNCTION("""COMPUTED_VALUE"""),16.919066492)</f>
        <v>16.919066492</v>
      </c>
      <c r="I139" s="13"/>
      <c r="J139" s="14"/>
      <c r="K139" s="14"/>
      <c r="L139" s="14"/>
      <c r="M139" s="7" t="b">
        <f>IFERROR(__xludf.DUMMYFUNCTION("""COMPUTED_VALUE"""),FALSE)</f>
        <v>0</v>
      </c>
      <c r="N139" s="10">
        <f>IFERROR(__xludf.DUMMYFUNCTION("""COMPUTED_VALUE"""),0)</f>
        <v>0</v>
      </c>
      <c r="O139" s="10">
        <f>IFERROR(__xludf.DUMMYFUNCTION("""COMPUTED_VALUE"""),0)</f>
        <v>0</v>
      </c>
      <c r="P139" s="8"/>
      <c r="Q139" s="7"/>
      <c r="R139" s="16"/>
      <c r="S139" s="17"/>
      <c r="T139" s="8"/>
      <c r="U139" s="8"/>
      <c r="V139" s="22"/>
      <c r="W139" s="12"/>
      <c r="X139" s="12"/>
      <c r="Y139" s="12"/>
      <c r="Z139" s="12"/>
      <c r="AA139" s="7"/>
      <c r="AB139" s="12"/>
      <c r="AC139" s="6"/>
      <c r="AD139" s="6"/>
      <c r="AE139" s="7"/>
      <c r="AF139" s="7"/>
      <c r="AG139" s="7"/>
      <c r="AH139" s="7"/>
      <c r="AI139" s="7"/>
      <c r="AJ139" s="7"/>
      <c r="AK139" s="7"/>
      <c r="AL139" s="7"/>
      <c r="AM139" s="7"/>
      <c r="AN139" s="7"/>
      <c r="AO139" s="6"/>
      <c r="AP139" s="7"/>
      <c r="AQ139" s="7"/>
      <c r="AR139" s="6"/>
      <c r="AS139" s="7"/>
      <c r="AT139" s="7"/>
      <c r="AU139" s="7"/>
      <c r="AV139" s="7"/>
      <c r="AW139" s="7"/>
      <c r="AX139" s="7"/>
      <c r="AY139" s="7"/>
      <c r="AZ139" s="7"/>
      <c r="BA139" s="7"/>
      <c r="BB139" s="7"/>
      <c r="BC139" s="7"/>
      <c r="BD139" s="7"/>
      <c r="BE139" s="7"/>
      <c r="BF139" s="7"/>
      <c r="BG139" s="7"/>
    </row>
    <row r="140" customHeight="1" spans="1:59">
      <c r="A140" s="9" t="str">
        <f>IFERROR(__xludf.DUMMYFUNCTION("""COMPUTED_VALUE"""),"Calliope 18")</f>
        <v>Calliope 18</v>
      </c>
      <c r="B140" s="5" t="str">
        <f>IFERROR(__xludf.DUMMYFUNCTION("""COMPUTED_VALUE"""),"Calliope 23")</f>
        <v>Calliope 23</v>
      </c>
      <c r="C140" s="5" t="str">
        <f>IFERROR(__xludf.DUMMYFUNCTION("""COMPUTED_VALUE"""),"Calliope 13")</f>
        <v>Calliope 13</v>
      </c>
      <c r="D140" s="23" t="str">
        <f>IFERROR(__xludf.DUMMYFUNCTION("""COMPUTED_VALUE"""),"Starfarer Wreck 29Q")</f>
        <v>Starfarer Wreck 29Q</v>
      </c>
      <c r="E140" s="23" t="str">
        <f>IFERROR(__xludf.DUMMYFUNCTION("""COMPUTED_VALUE"""),"Starfarer 29Q")</f>
        <v>Starfarer 29Q</v>
      </c>
      <c r="F140" s="8">
        <f>IFERROR(__xludf.DUMMYFUNCTION("""COMPUTED_VALUE"""),225.967081596)</f>
        <v>225.967081596</v>
      </c>
      <c r="G140" s="8">
        <f>IFERROR(__xludf.DUMMYFUNCTION("""COMPUTED_VALUE"""),-35.1940396029999)</f>
        <v>-35.1940396029999</v>
      </c>
      <c r="H140" s="8">
        <f>IFERROR(__xludf.DUMMYFUNCTION("""COMPUTED_VALUE"""),73.7382120699999)</f>
        <v>73.7382120699999</v>
      </c>
      <c r="I140" s="13"/>
      <c r="J140" s="14"/>
      <c r="K140" s="14"/>
      <c r="L140" s="14"/>
      <c r="M140" s="7" t="b">
        <f>IFERROR(__xludf.DUMMYFUNCTION("""COMPUTED_VALUE"""),FALSE)</f>
        <v>0</v>
      </c>
      <c r="N140" s="10">
        <f>IFERROR(__xludf.DUMMYFUNCTION("""COMPUTED_VALUE"""),0)</f>
        <v>0</v>
      </c>
      <c r="O140" s="10">
        <f>IFERROR(__xludf.DUMMYFUNCTION("""COMPUTED_VALUE"""),0)</f>
        <v>0</v>
      </c>
      <c r="P140" s="8"/>
      <c r="Q140" s="7"/>
      <c r="R140" s="16"/>
      <c r="S140" s="17"/>
      <c r="T140" s="8"/>
      <c r="U140" s="8"/>
      <c r="V140" s="22"/>
      <c r="W140" s="12"/>
      <c r="X140" s="12"/>
      <c r="Y140" s="12"/>
      <c r="Z140" s="12"/>
      <c r="AA140" s="7"/>
      <c r="AB140" s="12"/>
      <c r="AC140" s="6"/>
      <c r="AD140" s="6"/>
      <c r="AE140" s="7"/>
      <c r="AF140" s="7"/>
      <c r="AG140" s="7"/>
      <c r="AH140" s="7"/>
      <c r="AI140" s="7"/>
      <c r="AJ140" s="7"/>
      <c r="AK140" s="7"/>
      <c r="AL140" s="7"/>
      <c r="AM140" s="7"/>
      <c r="AN140" s="7"/>
      <c r="AO140" s="6"/>
      <c r="AP140" s="7"/>
      <c r="AQ140" s="7"/>
      <c r="AR140" s="6"/>
      <c r="AS140" s="7"/>
      <c r="AT140" s="7"/>
      <c r="AU140" s="7"/>
      <c r="AV140" s="7"/>
      <c r="AW140" s="7"/>
      <c r="AX140" s="7"/>
      <c r="AY140" s="7"/>
      <c r="AZ140" s="7"/>
      <c r="BA140" s="7"/>
      <c r="BB140" s="7"/>
      <c r="BC140" s="7"/>
      <c r="BD140" s="7"/>
      <c r="BE140" s="7"/>
      <c r="BF140" s="7"/>
      <c r="BG140" s="7"/>
    </row>
    <row r="141" customHeight="1" spans="1:59">
      <c r="A141" s="9" t="str">
        <f>IFERROR(__xludf.DUMMYFUNCTION("""COMPUTED_VALUE"""),"Calliope 19")</f>
        <v>Calliope 19</v>
      </c>
      <c r="B141" s="5" t="str">
        <f>IFERROR(__xludf.DUMMYFUNCTION("""COMPUTED_VALUE"""),"Calliope 24")</f>
        <v>Calliope 24</v>
      </c>
      <c r="C141" s="5" t="str">
        <f>IFERROR(__xludf.DUMMYFUNCTION("""COMPUTED_VALUE"""),"Calliope 05")</f>
        <v>Calliope 05</v>
      </c>
      <c r="D141" s="23" t="str">
        <f>IFERROR(__xludf.DUMMYFUNCTION("""COMPUTED_VALUE"""),"Starfarer Wreck 39M")</f>
        <v>Starfarer Wreck 39M</v>
      </c>
      <c r="E141" s="23" t="str">
        <f>IFERROR(__xludf.DUMMYFUNCTION("""COMPUTED_VALUE"""),"Starfarer 39M")</f>
        <v>Starfarer 39M</v>
      </c>
      <c r="F141" s="8">
        <f>IFERROR(__xludf.DUMMYFUNCTION("""COMPUTED_VALUE"""),152.524877042)</f>
        <v>152.524877042</v>
      </c>
      <c r="G141" s="8">
        <f>IFERROR(__xludf.DUMMYFUNCTION("""COMPUTED_VALUE"""),184.795799349)</f>
        <v>184.795799349</v>
      </c>
      <c r="H141" s="8">
        <f>IFERROR(__xludf.DUMMYFUNCTION("""COMPUTED_VALUE"""),-14.615864454)</f>
        <v>-14.615864454</v>
      </c>
      <c r="I141" s="13"/>
      <c r="J141" s="14"/>
      <c r="K141" s="14"/>
      <c r="L141" s="14"/>
      <c r="M141" s="7" t="b">
        <f>IFERROR(__xludf.DUMMYFUNCTION("""COMPUTED_VALUE"""),FALSE)</f>
        <v>0</v>
      </c>
      <c r="N141" s="10">
        <f>IFERROR(__xludf.DUMMYFUNCTION("""COMPUTED_VALUE"""),0)</f>
        <v>0</v>
      </c>
      <c r="O141" s="10">
        <f>IFERROR(__xludf.DUMMYFUNCTION("""COMPUTED_VALUE"""),0)</f>
        <v>0</v>
      </c>
      <c r="P141" s="8"/>
      <c r="Q141" s="7"/>
      <c r="R141" s="16"/>
      <c r="S141" s="17"/>
      <c r="T141" s="8"/>
      <c r="U141" s="8"/>
      <c r="V141" s="22"/>
      <c r="W141" s="12"/>
      <c r="X141" s="12"/>
      <c r="Y141" s="12"/>
      <c r="Z141" s="12"/>
      <c r="AA141" s="7"/>
      <c r="AB141" s="12"/>
      <c r="AC141" s="6"/>
      <c r="AD141" s="6"/>
      <c r="AE141" s="7"/>
      <c r="AF141" s="7"/>
      <c r="AG141" s="7"/>
      <c r="AH141" s="7"/>
      <c r="AI141" s="7"/>
      <c r="AJ141" s="7"/>
      <c r="AK141" s="7"/>
      <c r="AL141" s="7"/>
      <c r="AM141" s="7"/>
      <c r="AN141" s="7"/>
      <c r="AO141" s="6"/>
      <c r="AP141" s="7"/>
      <c r="AQ141" s="7"/>
      <c r="AR141" s="6"/>
      <c r="AS141" s="7"/>
      <c r="AT141" s="7"/>
      <c r="AU141" s="7"/>
      <c r="AV141" s="7"/>
      <c r="AW141" s="7"/>
      <c r="AX141" s="7"/>
      <c r="AY141" s="7"/>
      <c r="AZ141" s="7"/>
      <c r="BA141" s="7"/>
      <c r="BB141" s="7"/>
      <c r="BC141" s="7"/>
      <c r="BD141" s="7"/>
      <c r="BE141" s="7"/>
      <c r="BF141" s="7"/>
      <c r="BG141" s="7"/>
    </row>
    <row r="142" customHeight="1" spans="1:59">
      <c r="A142" s="9" t="str">
        <f>IFERROR(__xludf.DUMMYFUNCTION("""COMPUTED_VALUE"""),"Calliope")</f>
        <v>Calliope</v>
      </c>
      <c r="B142" s="5" t="str">
        <f>IFERROR(__xludf.DUMMYFUNCTION("""COMPUTED_VALUE"""),"Calliope 26")</f>
        <v>Calliope 26</v>
      </c>
      <c r="C142" s="5"/>
      <c r="D142" s="23" t="str">
        <f>IFERROR(__xludf.DUMMYFUNCTION("""COMPUTED_VALUE"""),"Comm Array")</f>
        <v>Comm Array</v>
      </c>
      <c r="E142" s="23"/>
      <c r="F142" s="8"/>
      <c r="G142" s="8"/>
      <c r="H142" s="8"/>
      <c r="I142" s="13"/>
      <c r="J142" s="14"/>
      <c r="K142" s="14"/>
      <c r="L142" s="14"/>
      <c r="M142" s="7"/>
      <c r="N142" s="10"/>
      <c r="O142" s="10"/>
      <c r="P142" s="8"/>
      <c r="Q142" s="7"/>
      <c r="R142" s="16"/>
      <c r="S142" s="17"/>
      <c r="T142" s="8"/>
      <c r="U142" s="8"/>
      <c r="V142" s="22"/>
      <c r="W142" s="12"/>
      <c r="X142" s="12"/>
      <c r="Y142" s="12"/>
      <c r="Z142" s="12"/>
      <c r="AA142" s="7"/>
      <c r="AB142" s="12"/>
      <c r="AC142" s="6"/>
      <c r="AD142" s="6"/>
      <c r="AE142" s="7"/>
      <c r="AF142" s="7"/>
      <c r="AG142" s="7"/>
      <c r="AH142" s="7"/>
      <c r="AI142" s="7"/>
      <c r="AJ142" s="7"/>
      <c r="AK142" s="7"/>
      <c r="AL142" s="7"/>
      <c r="AM142" s="7"/>
      <c r="AN142" s="7"/>
      <c r="AO142" s="6"/>
      <c r="AP142" s="7"/>
      <c r="AQ142" s="7"/>
      <c r="AR142" s="6"/>
      <c r="AS142" s="7"/>
      <c r="AT142" s="7"/>
      <c r="AU142" s="7"/>
      <c r="AV142" s="7"/>
      <c r="AW142" s="7"/>
      <c r="AX142" s="7"/>
      <c r="AY142" s="7"/>
      <c r="AZ142" s="7"/>
      <c r="BA142" s="7"/>
      <c r="BB142" s="7"/>
      <c r="BC142" s="7"/>
      <c r="BD142" s="7"/>
      <c r="BE142" s="7"/>
      <c r="BF142" s="7"/>
      <c r="BG142" s="7"/>
    </row>
    <row r="143" customHeight="1" spans="1:59">
      <c r="A143" s="9" t="str">
        <f>IFERROR(__xludf.DUMMYFUNCTION("""COMPUTED_VALUE"""),"Calliope 10")</f>
        <v>Calliope 10</v>
      </c>
      <c r="B143" s="5" t="str">
        <f>IFERROR(__xludf.DUMMYFUNCTION("""COMPUTED_VALUE"""),"Calliope 27")</f>
        <v>Calliope 27</v>
      </c>
      <c r="C143" s="5" t="str">
        <f>IFERROR(__xludf.DUMMYFUNCTION("""COMPUTED_VALUE"""),"Calliope 04")</f>
        <v>Calliope 04</v>
      </c>
      <c r="D143" s="23" t="str">
        <f>IFERROR(__xludf.DUMMYFUNCTION("""COMPUTED_VALUE"""),"Comm Array ST4-31")</f>
        <v>Comm Array ST4-31</v>
      </c>
      <c r="E143" s="23" t="str">
        <f>IFERROR(__xludf.DUMMYFUNCTION("""COMPUTED_VALUE"""),"ST4-31")</f>
        <v>ST4-31</v>
      </c>
      <c r="F143" s="8">
        <f>IFERROR(__xludf.DUMMYFUNCTION("""COMPUTED_VALUE"""),258.505721000671)</f>
        <v>258.505721000671</v>
      </c>
      <c r="G143" s="8">
        <f>IFERROR(__xludf.DUMMYFUNCTION("""COMPUTED_VALUE"""),474.193314002991)</f>
        <v>474.193314002991</v>
      </c>
      <c r="H143" s="8">
        <f>IFERROR(__xludf.DUMMYFUNCTION("""COMPUTED_VALUE"""),24)</f>
        <v>24</v>
      </c>
      <c r="I143" s="13"/>
      <c r="J143" s="14"/>
      <c r="K143" s="14"/>
      <c r="L143" s="14"/>
      <c r="M143" s="7" t="b">
        <f>IFERROR(__xludf.DUMMYFUNCTION("""COMPUTED_VALUE"""),TRUE)</f>
        <v>1</v>
      </c>
      <c r="N143" s="10">
        <f>IFERROR(__xludf.DUMMYFUNCTION("""COMPUTED_VALUE"""),0)</f>
        <v>0</v>
      </c>
      <c r="O143" s="10">
        <f>IFERROR(__xludf.DUMMYFUNCTION("""COMPUTED_VALUE"""),0)</f>
        <v>0</v>
      </c>
      <c r="P143" s="8"/>
      <c r="Q143" s="7"/>
      <c r="R143" s="16"/>
      <c r="S143" s="17"/>
      <c r="T143" s="8"/>
      <c r="U143" s="8"/>
      <c r="V143" s="22"/>
      <c r="W143" s="12"/>
      <c r="X143" s="12"/>
      <c r="Y143" s="12"/>
      <c r="Z143" s="12"/>
      <c r="AA143" s="7"/>
      <c r="AB143" s="12"/>
      <c r="AC143" s="6"/>
      <c r="AD143" s="6"/>
      <c r="AE143" s="7"/>
      <c r="AF143" s="7"/>
      <c r="AG143" s="7"/>
      <c r="AH143" s="7"/>
      <c r="AI143" s="7"/>
      <c r="AJ143" s="7"/>
      <c r="AK143" s="7"/>
      <c r="AL143" s="7"/>
      <c r="AM143" s="7"/>
      <c r="AN143" s="7"/>
      <c r="AO143" s="6"/>
      <c r="AP143" s="7"/>
      <c r="AQ143" s="7"/>
      <c r="AR143" s="6"/>
      <c r="AS143" s="7"/>
      <c r="AT143" s="7"/>
      <c r="AU143" s="7"/>
      <c r="AV143" s="7"/>
      <c r="AW143" s="7"/>
      <c r="AX143" s="7"/>
      <c r="AY143" s="7"/>
      <c r="AZ143" s="7"/>
      <c r="BA143" s="7"/>
      <c r="BB143" s="7"/>
      <c r="BC143" s="7"/>
      <c r="BD143" s="7"/>
      <c r="BE143" s="7"/>
      <c r="BF143" s="7"/>
      <c r="BG143" s="7"/>
    </row>
    <row r="144" customHeight="1" spans="1:59">
      <c r="A144" s="9"/>
      <c r="B144" s="5"/>
      <c r="C144" s="5"/>
      <c r="D144" s="23"/>
      <c r="E144" s="23"/>
      <c r="F144" s="8"/>
      <c r="G144" s="8"/>
      <c r="H144" s="8"/>
      <c r="I144" s="13"/>
      <c r="J144" s="14"/>
      <c r="K144" s="14"/>
      <c r="L144" s="14"/>
      <c r="M144" s="7"/>
      <c r="N144" s="10"/>
      <c r="O144" s="10"/>
      <c r="P144" s="8"/>
      <c r="Q144" s="7"/>
      <c r="R144" s="16"/>
      <c r="S144" s="17"/>
      <c r="T144" s="8"/>
      <c r="U144" s="8"/>
      <c r="V144" s="22"/>
      <c r="W144" s="12"/>
      <c r="X144" s="12"/>
      <c r="Y144" s="12"/>
      <c r="Z144" s="12"/>
      <c r="AA144" s="7"/>
      <c r="AB144" s="12"/>
      <c r="AC144" s="6"/>
      <c r="AD144" s="6"/>
      <c r="AE144" s="7"/>
      <c r="AF144" s="7"/>
      <c r="AG144" s="7"/>
      <c r="AH144" s="7"/>
      <c r="AI144" s="7"/>
      <c r="AJ144" s="7"/>
      <c r="AK144" s="7"/>
      <c r="AL144" s="7"/>
      <c r="AM144" s="7"/>
      <c r="AN144" s="7"/>
      <c r="AO144" s="6"/>
      <c r="AP144" s="7"/>
      <c r="AQ144" s="7"/>
      <c r="AR144" s="6"/>
      <c r="AS144" s="7"/>
      <c r="AT144" s="7"/>
      <c r="AU144" s="7"/>
      <c r="AV144" s="7"/>
      <c r="AW144" s="7"/>
      <c r="AX144" s="7"/>
      <c r="AY144" s="7"/>
      <c r="AZ144" s="7"/>
      <c r="BA144" s="7"/>
      <c r="BB144" s="7"/>
      <c r="BC144" s="7"/>
      <c r="BD144" s="7"/>
      <c r="BE144" s="7"/>
      <c r="BF144" s="7"/>
      <c r="BG144" s="7"/>
    </row>
    <row r="145" customHeight="1" spans="1:59">
      <c r="A145" s="9" t="str">
        <f>IFERROR(__xludf.DUMMYFUNCTION("""COMPUTED_VALUE"""),"Cellin R01")</f>
        <v>Cellin R01</v>
      </c>
      <c r="B145" s="5" t="str">
        <f>IFERROR(__xludf.DUMMYFUNCTION("""COMPUTED_VALUE"""),"Cellin 34")</f>
        <v>Cellin 34</v>
      </c>
      <c r="C145" s="5"/>
      <c r="D145" s="23" t="str">
        <f>IFERROR(__xludf.DUMMYFUNCTION("""COMPUTED_VALUE"""),"OM-1")</f>
        <v>OM-1</v>
      </c>
      <c r="E145" s="23" t="str">
        <f>IFERROR(__xludf.DUMMYFUNCTION("""COMPUTED_VALUE"""),"OM1")</f>
        <v>OM1</v>
      </c>
      <c r="F145" s="8">
        <f>IFERROR(__xludf.DUMMYFUNCTION("""COMPUTED_VALUE"""),0)</f>
        <v>0</v>
      </c>
      <c r="G145" s="8">
        <f>IFERROR(__xludf.DUMMYFUNCTION("""COMPUTED_VALUE"""),0)</f>
        <v>0</v>
      </c>
      <c r="H145" s="8">
        <f>IFERROR(__xludf.DUMMYFUNCTION("""COMPUTED_VALUE"""),380.53)</f>
        <v>380.53</v>
      </c>
      <c r="I145" s="13"/>
      <c r="J145" s="14"/>
      <c r="K145" s="14"/>
      <c r="L145" s="14"/>
      <c r="M145" s="7" t="b">
        <f>IFERROR(__xludf.DUMMYFUNCTION("""COMPUTED_VALUE"""),TRUE)</f>
        <v>1</v>
      </c>
      <c r="N145" s="10">
        <f>IFERROR(__xludf.DUMMYFUNCTION("""COMPUTED_VALUE"""),0)</f>
        <v>0</v>
      </c>
      <c r="O145" s="10">
        <f>IFERROR(__xludf.DUMMYFUNCTION("""COMPUTED_VALUE"""),0)</f>
        <v>0</v>
      </c>
      <c r="P145" s="8"/>
      <c r="Q145" s="7"/>
      <c r="R145" s="16"/>
      <c r="S145" s="17"/>
      <c r="T145" s="8"/>
      <c r="U145" s="8"/>
      <c r="V145" s="22"/>
      <c r="W145" s="12"/>
      <c r="X145" s="12"/>
      <c r="Y145" s="12"/>
      <c r="Z145" s="12"/>
      <c r="AA145" s="7"/>
      <c r="AB145" s="12"/>
      <c r="AC145" s="6"/>
      <c r="AD145" s="6"/>
      <c r="AE145" s="7"/>
      <c r="AF145" s="7"/>
      <c r="AG145" s="7"/>
      <c r="AH145" s="7"/>
      <c r="AI145" s="7"/>
      <c r="AJ145" s="7"/>
      <c r="AK145" s="7"/>
      <c r="AL145" s="7"/>
      <c r="AM145" s="7"/>
      <c r="AN145" s="7"/>
      <c r="AO145" s="6"/>
      <c r="AP145" s="7"/>
      <c r="AQ145" s="7"/>
      <c r="AR145" s="6"/>
      <c r="AS145" s="7"/>
      <c r="AT145" s="7"/>
      <c r="AU145" s="7"/>
      <c r="AV145" s="7"/>
      <c r="AW145" s="7"/>
      <c r="AX145" s="7"/>
      <c r="AY145" s="7"/>
      <c r="AZ145" s="7"/>
      <c r="BA145" s="7"/>
      <c r="BB145" s="7"/>
      <c r="BC145" s="7"/>
      <c r="BD145" s="7"/>
      <c r="BE145" s="7"/>
      <c r="BF145" s="7"/>
      <c r="BG145" s="7"/>
    </row>
    <row r="146" customHeight="1" spans="1:59">
      <c r="A146" s="9" t="str">
        <f>IFERROR(__xludf.DUMMYFUNCTION("""COMPUTED_VALUE"""),"Cellin R02")</f>
        <v>Cellin R02</v>
      </c>
      <c r="B146" s="5" t="str">
        <f>IFERROR(__xludf.DUMMYFUNCTION("""COMPUTED_VALUE"""),"Cellin 35")</f>
        <v>Cellin 35</v>
      </c>
      <c r="C146" s="5"/>
      <c r="D146" s="23" t="str">
        <f>IFERROR(__xludf.DUMMYFUNCTION("""COMPUTED_VALUE"""),"OM-2")</f>
        <v>OM-2</v>
      </c>
      <c r="E146" s="23" t="str">
        <f>IFERROR(__xludf.DUMMYFUNCTION("""COMPUTED_VALUE"""),"OM2")</f>
        <v>OM2</v>
      </c>
      <c r="F146" s="8">
        <f>IFERROR(__xludf.DUMMYFUNCTION("""COMPUTED_VALUE"""),0)</f>
        <v>0</v>
      </c>
      <c r="G146" s="8">
        <f>IFERROR(__xludf.DUMMYFUNCTION("""COMPUTED_VALUE"""),0)</f>
        <v>0</v>
      </c>
      <c r="H146" s="8">
        <f>IFERROR(__xludf.DUMMYFUNCTION("""COMPUTED_VALUE"""),-380.53)</f>
        <v>-380.53</v>
      </c>
      <c r="I146" s="13"/>
      <c r="J146" s="14"/>
      <c r="K146" s="14"/>
      <c r="L146" s="14"/>
      <c r="M146" s="7" t="b">
        <f>IFERROR(__xludf.DUMMYFUNCTION("""COMPUTED_VALUE"""),TRUE)</f>
        <v>1</v>
      </c>
      <c r="N146" s="10">
        <f>IFERROR(__xludf.DUMMYFUNCTION("""COMPUTED_VALUE"""),0)</f>
        <v>0</v>
      </c>
      <c r="O146" s="10">
        <f>IFERROR(__xludf.DUMMYFUNCTION("""COMPUTED_VALUE"""),0)</f>
        <v>0</v>
      </c>
      <c r="P146" s="8"/>
      <c r="Q146" s="7"/>
      <c r="R146" s="16"/>
      <c r="S146" s="17"/>
      <c r="T146" s="8"/>
      <c r="U146" s="8"/>
      <c r="V146" s="22"/>
      <c r="W146" s="12"/>
      <c r="X146" s="12"/>
      <c r="Y146" s="12"/>
      <c r="Z146" s="12"/>
      <c r="AA146" s="7"/>
      <c r="AB146" s="12"/>
      <c r="AC146" s="6"/>
      <c r="AD146" s="6"/>
      <c r="AE146" s="7"/>
      <c r="AF146" s="7"/>
      <c r="AG146" s="7"/>
      <c r="AH146" s="7"/>
      <c r="AI146" s="7"/>
      <c r="AJ146" s="7"/>
      <c r="AK146" s="7"/>
      <c r="AL146" s="7"/>
      <c r="AM146" s="7"/>
      <c r="AN146" s="7"/>
      <c r="AO146" s="6"/>
      <c r="AP146" s="7"/>
      <c r="AQ146" s="7"/>
      <c r="AR146" s="6"/>
      <c r="AS146" s="7"/>
      <c r="AT146" s="7"/>
      <c r="AU146" s="7"/>
      <c r="AV146" s="7"/>
      <c r="AW146" s="7"/>
      <c r="AX146" s="7"/>
      <c r="AY146" s="7"/>
      <c r="AZ146" s="7"/>
      <c r="BA146" s="7"/>
      <c r="BB146" s="7"/>
      <c r="BC146" s="7"/>
      <c r="BD146" s="7"/>
      <c r="BE146" s="7"/>
      <c r="BF146" s="7"/>
      <c r="BG146" s="7"/>
    </row>
    <row r="147" customHeight="1" spans="1:59">
      <c r="A147" s="9" t="str">
        <f>IFERROR(__xludf.DUMMYFUNCTION("""COMPUTED_VALUE"""),"Cellin R03")</f>
        <v>Cellin R03</v>
      </c>
      <c r="B147" s="5" t="str">
        <f>IFERROR(__xludf.DUMMYFUNCTION("""COMPUTED_VALUE"""),"Cellin 36")</f>
        <v>Cellin 36</v>
      </c>
      <c r="C147" s="5" t="str">
        <f>IFERROR(__xludf.DUMMYFUNCTION("""COMPUTED_VALUE"""),"Cellin 07")</f>
        <v>Cellin 07</v>
      </c>
      <c r="D147" s="23" t="str">
        <f>IFERROR(__xludf.DUMMYFUNCTION("""COMPUTED_VALUE"""),"OM-3")</f>
        <v>OM-3</v>
      </c>
      <c r="E147" s="23" t="str">
        <f>IFERROR(__xludf.DUMMYFUNCTION("""COMPUTED_VALUE"""),"OM3")</f>
        <v>OM3</v>
      </c>
      <c r="F147" s="8">
        <f>IFERROR(__xludf.DUMMYFUNCTION("""COMPUTED_VALUE"""),0)</f>
        <v>0</v>
      </c>
      <c r="G147" s="8">
        <f>IFERROR(__xludf.DUMMYFUNCTION("""COMPUTED_VALUE"""),380.53)</f>
        <v>380.53</v>
      </c>
      <c r="H147" s="8">
        <f>IFERROR(__xludf.DUMMYFUNCTION("""COMPUTED_VALUE"""),0)</f>
        <v>0</v>
      </c>
      <c r="I147" s="13"/>
      <c r="J147" s="14"/>
      <c r="K147" s="14"/>
      <c r="L147" s="14"/>
      <c r="M147" s="7" t="b">
        <f>IFERROR(__xludf.DUMMYFUNCTION("""COMPUTED_VALUE"""),TRUE)</f>
        <v>1</v>
      </c>
      <c r="N147" s="10">
        <f>IFERROR(__xludf.DUMMYFUNCTION("""COMPUTED_VALUE"""),0)</f>
        <v>0</v>
      </c>
      <c r="O147" s="10">
        <f>IFERROR(__xludf.DUMMYFUNCTION("""COMPUTED_VALUE"""),0)</f>
        <v>0</v>
      </c>
      <c r="P147" s="8"/>
      <c r="Q147" s="7"/>
      <c r="R147" s="16"/>
      <c r="S147" s="17"/>
      <c r="T147" s="8"/>
      <c r="U147" s="8"/>
      <c r="V147" s="22"/>
      <c r="W147" s="12"/>
      <c r="X147" s="12"/>
      <c r="Y147" s="12"/>
      <c r="Z147" s="12"/>
      <c r="AA147" s="7"/>
      <c r="AB147" s="12"/>
      <c r="AC147" s="6"/>
      <c r="AD147" s="6"/>
      <c r="AE147" s="7"/>
      <c r="AF147" s="7"/>
      <c r="AG147" s="7"/>
      <c r="AH147" s="7"/>
      <c r="AI147" s="7"/>
      <c r="AJ147" s="7"/>
      <c r="AK147" s="7"/>
      <c r="AL147" s="7"/>
      <c r="AM147" s="7"/>
      <c r="AN147" s="7"/>
      <c r="AO147" s="6"/>
      <c r="AP147" s="7"/>
      <c r="AQ147" s="7"/>
      <c r="AR147" s="6"/>
      <c r="AS147" s="7"/>
      <c r="AT147" s="7"/>
      <c r="AU147" s="7"/>
      <c r="AV147" s="7"/>
      <c r="AW147" s="7"/>
      <c r="AX147" s="7"/>
      <c r="AY147" s="7"/>
      <c r="AZ147" s="7"/>
      <c r="BA147" s="7"/>
      <c r="BB147" s="7"/>
      <c r="BC147" s="7"/>
      <c r="BD147" s="7"/>
      <c r="BE147" s="7"/>
      <c r="BF147" s="7"/>
      <c r="BG147" s="7"/>
    </row>
    <row r="148" customHeight="1" spans="1:59">
      <c r="A148" s="9" t="str">
        <f>IFERROR(__xludf.DUMMYFUNCTION("""COMPUTED_VALUE"""),"Cellin R04")</f>
        <v>Cellin R04</v>
      </c>
      <c r="B148" s="5" t="str">
        <f>IFERROR(__xludf.DUMMYFUNCTION("""COMPUTED_VALUE"""),"Cellin 37")</f>
        <v>Cellin 37</v>
      </c>
      <c r="C148" s="5" t="str">
        <f>IFERROR(__xludf.DUMMYFUNCTION("""COMPUTED_VALUE"""),"Cellin 23")</f>
        <v>Cellin 23</v>
      </c>
      <c r="D148" s="23" t="str">
        <f>IFERROR(__xludf.DUMMYFUNCTION("""COMPUTED_VALUE"""),"OM-4")</f>
        <v>OM-4</v>
      </c>
      <c r="E148" s="23" t="str">
        <f>IFERROR(__xludf.DUMMYFUNCTION("""COMPUTED_VALUE"""),"OM4")</f>
        <v>OM4</v>
      </c>
      <c r="F148" s="8">
        <f>IFERROR(__xludf.DUMMYFUNCTION("""COMPUTED_VALUE"""),0)</f>
        <v>0</v>
      </c>
      <c r="G148" s="8">
        <f>IFERROR(__xludf.DUMMYFUNCTION("""COMPUTED_VALUE"""),-380.53)</f>
        <v>-380.53</v>
      </c>
      <c r="H148" s="8">
        <f>IFERROR(__xludf.DUMMYFUNCTION("""COMPUTED_VALUE"""),0)</f>
        <v>0</v>
      </c>
      <c r="I148" s="13"/>
      <c r="J148" s="14"/>
      <c r="K148" s="14"/>
      <c r="L148" s="14"/>
      <c r="M148" s="7" t="b">
        <f>IFERROR(__xludf.DUMMYFUNCTION("""COMPUTED_VALUE"""),TRUE)</f>
        <v>1</v>
      </c>
      <c r="N148" s="10">
        <f>IFERROR(__xludf.DUMMYFUNCTION("""COMPUTED_VALUE"""),0)</f>
        <v>0</v>
      </c>
      <c r="O148" s="10">
        <f>IFERROR(__xludf.DUMMYFUNCTION("""COMPUTED_VALUE"""),0)</f>
        <v>0</v>
      </c>
      <c r="P148" s="8"/>
      <c r="Q148" s="7"/>
      <c r="R148" s="16"/>
      <c r="S148" s="17"/>
      <c r="T148" s="8"/>
      <c r="U148" s="8"/>
      <c r="V148" s="22"/>
      <c r="W148" s="12"/>
      <c r="X148" s="12"/>
      <c r="Y148" s="12"/>
      <c r="Z148" s="12"/>
      <c r="AA148" s="7"/>
      <c r="AB148" s="12"/>
      <c r="AC148" s="6"/>
      <c r="AD148" s="6"/>
      <c r="AE148" s="7"/>
      <c r="AF148" s="7"/>
      <c r="AG148" s="7"/>
      <c r="AH148" s="7"/>
      <c r="AI148" s="7"/>
      <c r="AJ148" s="7"/>
      <c r="AK148" s="7"/>
      <c r="AL148" s="7"/>
      <c r="AM148" s="7"/>
      <c r="AN148" s="7"/>
      <c r="AO148" s="6"/>
      <c r="AP148" s="7"/>
      <c r="AQ148" s="7"/>
      <c r="AR148" s="6"/>
      <c r="AS148" s="7"/>
      <c r="AT148" s="7"/>
      <c r="AU148" s="7"/>
      <c r="AV148" s="7"/>
      <c r="AW148" s="7"/>
      <c r="AX148" s="7"/>
      <c r="AY148" s="7"/>
      <c r="AZ148" s="7"/>
      <c r="BA148" s="7"/>
      <c r="BB148" s="7"/>
      <c r="BC148" s="7"/>
      <c r="BD148" s="7"/>
      <c r="BE148" s="7"/>
      <c r="BF148" s="7"/>
      <c r="BG148" s="7"/>
    </row>
    <row r="149" customHeight="1" spans="1:59">
      <c r="A149" s="9" t="str">
        <f>IFERROR(__xludf.DUMMYFUNCTION("""COMPUTED_VALUE"""),"Cellin R05")</f>
        <v>Cellin R05</v>
      </c>
      <c r="B149" s="5" t="str">
        <f>IFERROR(__xludf.DUMMYFUNCTION("""COMPUTED_VALUE"""),"Cellin 38")</f>
        <v>Cellin 38</v>
      </c>
      <c r="C149" s="5" t="str">
        <f>IFERROR(__xludf.DUMMYFUNCTION("""COMPUTED_VALUE"""),"Cellin 17")</f>
        <v>Cellin 17</v>
      </c>
      <c r="D149" s="23" t="str">
        <f>IFERROR(__xludf.DUMMYFUNCTION("""COMPUTED_VALUE"""),"OM-5")</f>
        <v>OM-5</v>
      </c>
      <c r="E149" s="23" t="str">
        <f>IFERROR(__xludf.DUMMYFUNCTION("""COMPUTED_VALUE"""),"OM5")</f>
        <v>OM5</v>
      </c>
      <c r="F149" s="8">
        <f>IFERROR(__xludf.DUMMYFUNCTION("""COMPUTED_VALUE"""),380.53)</f>
        <v>380.53</v>
      </c>
      <c r="G149" s="8">
        <f>IFERROR(__xludf.DUMMYFUNCTION("""COMPUTED_VALUE"""),0)</f>
        <v>0</v>
      </c>
      <c r="H149" s="8">
        <f>IFERROR(__xludf.DUMMYFUNCTION("""COMPUTED_VALUE"""),0)</f>
        <v>0</v>
      </c>
      <c r="I149" s="13"/>
      <c r="J149" s="14"/>
      <c r="K149" s="14"/>
      <c r="L149" s="14"/>
      <c r="M149" s="7" t="b">
        <f>IFERROR(__xludf.DUMMYFUNCTION("""COMPUTED_VALUE"""),TRUE)</f>
        <v>1</v>
      </c>
      <c r="N149" s="10">
        <f>IFERROR(__xludf.DUMMYFUNCTION("""COMPUTED_VALUE"""),0)</f>
        <v>0</v>
      </c>
      <c r="O149" s="10">
        <f>IFERROR(__xludf.DUMMYFUNCTION("""COMPUTED_VALUE"""),0)</f>
        <v>0</v>
      </c>
      <c r="P149" s="8"/>
      <c r="Q149" s="7"/>
      <c r="R149" s="16"/>
      <c r="S149" s="17"/>
      <c r="T149" s="8"/>
      <c r="U149" s="8"/>
      <c r="V149" s="22"/>
      <c r="W149" s="12"/>
      <c r="X149" s="12"/>
      <c r="Y149" s="12"/>
      <c r="Z149" s="12"/>
      <c r="AA149" s="7"/>
      <c r="AB149" s="12"/>
      <c r="AC149" s="6"/>
      <c r="AD149" s="6"/>
      <c r="AE149" s="7"/>
      <c r="AF149" s="7"/>
      <c r="AG149" s="7"/>
      <c r="AH149" s="7"/>
      <c r="AI149" s="7"/>
      <c r="AJ149" s="7"/>
      <c r="AK149" s="7"/>
      <c r="AL149" s="7"/>
      <c r="AM149" s="7"/>
      <c r="AN149" s="7"/>
      <c r="AO149" s="6"/>
      <c r="AP149" s="7"/>
      <c r="AQ149" s="7"/>
      <c r="AR149" s="6"/>
      <c r="AS149" s="7"/>
      <c r="AT149" s="7"/>
      <c r="AU149" s="7"/>
      <c r="AV149" s="7"/>
      <c r="AW149" s="7"/>
      <c r="AX149" s="7"/>
      <c r="AY149" s="7"/>
      <c r="AZ149" s="7"/>
      <c r="BA149" s="7"/>
      <c r="BB149" s="7"/>
      <c r="BC149" s="7"/>
      <c r="BD149" s="7"/>
      <c r="BE149" s="7"/>
      <c r="BF149" s="7"/>
      <c r="BG149" s="7"/>
    </row>
    <row r="150" customHeight="1" spans="1:59">
      <c r="A150" s="9" t="str">
        <f>IFERROR(__xludf.DUMMYFUNCTION("""COMPUTED_VALUE"""),"Cellin R06")</f>
        <v>Cellin R06</v>
      </c>
      <c r="B150" s="5" t="str">
        <f>IFERROR(__xludf.DUMMYFUNCTION("""COMPUTED_VALUE"""),"Cellin 39")</f>
        <v>Cellin 39</v>
      </c>
      <c r="C150" s="5" t="str">
        <f>IFERROR(__xludf.DUMMYFUNCTION("""COMPUTED_VALUE"""),"Cellin 26")</f>
        <v>Cellin 26</v>
      </c>
      <c r="D150" s="23" t="str">
        <f>IFERROR(__xludf.DUMMYFUNCTION("""COMPUTED_VALUE"""),"OM-6")</f>
        <v>OM-6</v>
      </c>
      <c r="E150" s="23" t="str">
        <f>IFERROR(__xludf.DUMMYFUNCTION("""COMPUTED_VALUE"""),"OM6")</f>
        <v>OM6</v>
      </c>
      <c r="F150" s="8">
        <f>IFERROR(__xludf.DUMMYFUNCTION("""COMPUTED_VALUE"""),-380.53)</f>
        <v>-380.53</v>
      </c>
      <c r="G150" s="8">
        <f>IFERROR(__xludf.DUMMYFUNCTION("""COMPUTED_VALUE"""),0)</f>
        <v>0</v>
      </c>
      <c r="H150" s="8">
        <f>IFERROR(__xludf.DUMMYFUNCTION("""COMPUTED_VALUE"""),0)</f>
        <v>0</v>
      </c>
      <c r="I150" s="13"/>
      <c r="J150" s="14"/>
      <c r="K150" s="14"/>
      <c r="L150" s="14"/>
      <c r="M150" s="7" t="b">
        <f>IFERROR(__xludf.DUMMYFUNCTION("""COMPUTED_VALUE"""),TRUE)</f>
        <v>1</v>
      </c>
      <c r="N150" s="10">
        <f>IFERROR(__xludf.DUMMYFUNCTION("""COMPUTED_VALUE"""),0)</f>
        <v>0</v>
      </c>
      <c r="O150" s="10">
        <f>IFERROR(__xludf.DUMMYFUNCTION("""COMPUTED_VALUE"""),0)</f>
        <v>0</v>
      </c>
      <c r="P150" s="8"/>
      <c r="Q150" s="7"/>
      <c r="R150" s="16"/>
      <c r="S150" s="17"/>
      <c r="T150" s="8"/>
      <c r="U150" s="8"/>
      <c r="V150" s="22"/>
      <c r="W150" s="12"/>
      <c r="X150" s="12"/>
      <c r="Y150" s="12"/>
      <c r="Z150" s="12"/>
      <c r="AA150" s="7"/>
      <c r="AB150" s="12"/>
      <c r="AC150" s="6"/>
      <c r="AD150" s="6"/>
      <c r="AE150" s="7"/>
      <c r="AF150" s="7"/>
      <c r="AG150" s="7"/>
      <c r="AH150" s="7"/>
      <c r="AI150" s="7"/>
      <c r="AJ150" s="7"/>
      <c r="AK150" s="7"/>
      <c r="AL150" s="7"/>
      <c r="AM150" s="7"/>
      <c r="AN150" s="7"/>
      <c r="AO150" s="6"/>
      <c r="AP150" s="7"/>
      <c r="AQ150" s="7"/>
      <c r="AR150" s="6"/>
      <c r="AS150" s="7"/>
      <c r="AT150" s="7"/>
      <c r="AU150" s="7"/>
      <c r="AV150" s="7"/>
      <c r="AW150" s="7"/>
      <c r="AX150" s="7"/>
      <c r="AY150" s="7"/>
      <c r="AZ150" s="7"/>
      <c r="BA150" s="7"/>
      <c r="BB150" s="7"/>
      <c r="BC150" s="7"/>
      <c r="BD150" s="7"/>
      <c r="BE150" s="7"/>
      <c r="BF150" s="7"/>
      <c r="BG150" s="7"/>
    </row>
    <row r="151" customHeight="1" spans="1:59">
      <c r="A151" s="9" t="str">
        <f>IFERROR(__xludf.DUMMYFUNCTION("""COMPUTED_VALUE"""),"Cellin")</f>
        <v>Cellin</v>
      </c>
      <c r="B151" s="5" t="str">
        <f>IFERROR(__xludf.DUMMYFUNCTION("""COMPUTED_VALUE"""),"Cellin 00")</f>
        <v>Cellin 00</v>
      </c>
      <c r="C151" s="5"/>
      <c r="D151" s="23" t="str">
        <f>IFERROR(__xludf.DUMMYFUNCTION("""COMPUTED_VALUE"""),"Trading Terminals")</f>
        <v>Trading Terminals</v>
      </c>
      <c r="E151" s="23"/>
      <c r="F151" s="8"/>
      <c r="G151" s="8"/>
      <c r="H151" s="8"/>
      <c r="I151" s="13"/>
      <c r="J151" s="14"/>
      <c r="K151" s="14"/>
      <c r="L151" s="14"/>
      <c r="M151" s="7"/>
      <c r="N151" s="10"/>
      <c r="O151" s="10"/>
      <c r="P151" s="8"/>
      <c r="Q151" s="7"/>
      <c r="R151" s="16"/>
      <c r="S151" s="17"/>
      <c r="T151" s="8"/>
      <c r="U151" s="8"/>
      <c r="V151" s="22"/>
      <c r="W151" s="12"/>
      <c r="X151" s="12"/>
      <c r="Y151" s="12"/>
      <c r="Z151" s="12"/>
      <c r="AA151" s="7"/>
      <c r="AB151" s="12"/>
      <c r="AC151" s="6"/>
      <c r="AD151" s="6"/>
      <c r="AE151" s="7"/>
      <c r="AF151" s="7"/>
      <c r="AG151" s="7"/>
      <c r="AH151" s="7"/>
      <c r="AI151" s="7"/>
      <c r="AJ151" s="7"/>
      <c r="AK151" s="7"/>
      <c r="AL151" s="7"/>
      <c r="AM151" s="7"/>
      <c r="AN151" s="7"/>
      <c r="AO151" s="6"/>
      <c r="AP151" s="7"/>
      <c r="AQ151" s="7"/>
      <c r="AR151" s="6"/>
      <c r="AS151" s="7"/>
      <c r="AT151" s="7"/>
      <c r="AU151" s="7"/>
      <c r="AV151" s="7"/>
      <c r="AW151" s="7"/>
      <c r="AX151" s="7"/>
      <c r="AY151" s="7"/>
      <c r="AZ151" s="7"/>
      <c r="BA151" s="7"/>
      <c r="BB151" s="7"/>
      <c r="BC151" s="7"/>
      <c r="BD151" s="7"/>
      <c r="BE151" s="7"/>
      <c r="BF151" s="7"/>
      <c r="BG151" s="7"/>
    </row>
    <row r="152" customHeight="1" spans="1:59">
      <c r="A152" s="9" t="str">
        <f>IFERROR(__xludf.DUMMYFUNCTION("""COMPUTED_VALUE"""),"Cellin 01")</f>
        <v>Cellin 01</v>
      </c>
      <c r="B152" s="5" t="str">
        <f>IFERROR(__xludf.DUMMYFUNCTION("""COMPUTED_VALUE"""),"Cellin 01")</f>
        <v>Cellin 01</v>
      </c>
      <c r="C152" s="5" t="str">
        <f>IFERROR(__xludf.DUMMYFUNCTION("""COMPUTED_VALUE"""),"Cellin 06")</f>
        <v>Cellin 06</v>
      </c>
      <c r="D152" s="23" t="str">
        <f>IFERROR(__xludf.DUMMYFUNCTION("""COMPUTED_VALUE"""),"Gallete Family Farms")</f>
        <v>Gallete Family Farms</v>
      </c>
      <c r="E152" s="23" t="str">
        <f>IFERROR(__xludf.DUMMYFUNCTION("""COMPUTED_VALUE"""),"Gallete")</f>
        <v>Gallete</v>
      </c>
      <c r="F152" s="8">
        <f>IFERROR(__xludf.DUMMYFUNCTION("""COMPUTED_VALUE"""),-89.471079746)</f>
        <v>-89.471079746</v>
      </c>
      <c r="G152" s="8">
        <f>IFERROR(__xludf.DUMMYFUNCTION("""COMPUTED_VALUE"""),106.716830059)</f>
        <v>106.716830059</v>
      </c>
      <c r="H152" s="8">
        <f>IFERROR(__xludf.DUMMYFUNCTION("""COMPUTED_VALUE"""),220.041097737)</f>
        <v>220.041097737</v>
      </c>
      <c r="I152" s="13"/>
      <c r="J152" s="14"/>
      <c r="K152" s="14"/>
      <c r="L152" s="14"/>
      <c r="M152" s="7" t="b">
        <f>IFERROR(__xludf.DUMMYFUNCTION("""COMPUTED_VALUE"""),TRUE)</f>
        <v>1</v>
      </c>
      <c r="N152" s="10">
        <f>IFERROR(__xludf.DUMMYFUNCTION("""COMPUTED_VALUE"""),0)</f>
        <v>0</v>
      </c>
      <c r="O152" s="10">
        <f>IFERROR(__xludf.DUMMYFUNCTION("""COMPUTED_VALUE"""),0)</f>
        <v>0</v>
      </c>
      <c r="P152" s="8"/>
      <c r="Q152" s="7"/>
      <c r="R152" s="16"/>
      <c r="S152" s="17"/>
      <c r="T152" s="8"/>
      <c r="U152" s="8"/>
      <c r="V152" s="22"/>
      <c r="W152" s="12"/>
      <c r="X152" s="12"/>
      <c r="Y152" s="12"/>
      <c r="Z152" s="12"/>
      <c r="AA152" s="7"/>
      <c r="AB152" s="12"/>
      <c r="AC152" s="6"/>
      <c r="AD152" s="6"/>
      <c r="AE152" s="7"/>
      <c r="AF152" s="7"/>
      <c r="AG152" s="7"/>
      <c r="AH152" s="7"/>
      <c r="AI152" s="7"/>
      <c r="AJ152" s="7"/>
      <c r="AK152" s="7"/>
      <c r="AL152" s="7"/>
      <c r="AM152" s="7"/>
      <c r="AN152" s="7"/>
      <c r="AO152" s="6"/>
      <c r="AP152" s="7"/>
      <c r="AQ152" s="7"/>
      <c r="AR152" s="6"/>
      <c r="AS152" s="7"/>
      <c r="AT152" s="7"/>
      <c r="AU152" s="7"/>
      <c r="AV152" s="7"/>
      <c r="AW152" s="7"/>
      <c r="AX152" s="7"/>
      <c r="AY152" s="7"/>
      <c r="AZ152" s="7"/>
      <c r="BA152" s="7"/>
      <c r="BB152" s="7"/>
      <c r="BC152" s="7"/>
      <c r="BD152" s="7"/>
      <c r="BE152" s="7"/>
      <c r="BF152" s="7"/>
      <c r="BG152" s="7"/>
    </row>
    <row r="153" customHeight="1" spans="1:59">
      <c r="A153" s="9" t="str">
        <f>IFERROR(__xludf.DUMMYFUNCTION("""COMPUTED_VALUE"""),"Cellin 02")</f>
        <v>Cellin 02</v>
      </c>
      <c r="B153" s="5" t="str">
        <f>IFERROR(__xludf.DUMMYFUNCTION("""COMPUTED_VALUE"""),"Cellin 02")</f>
        <v>Cellin 02</v>
      </c>
      <c r="C153" s="5" t="str">
        <f>IFERROR(__xludf.DUMMYFUNCTION("""COMPUTED_VALUE"""),"Cellin 09")</f>
        <v>Cellin 09</v>
      </c>
      <c r="D153" s="23" t="str">
        <f>IFERROR(__xludf.DUMMYFUNCTION("""COMPUTED_VALUE"""),"Hickes Research Outpost (PB)")</f>
        <v>Hickes Research Outpost (PB)</v>
      </c>
      <c r="E153" s="23" t="str">
        <f>IFERROR(__xludf.DUMMYFUNCTION("""COMPUTED_VALUE"""),"Hickes")</f>
        <v>Hickes</v>
      </c>
      <c r="F153" s="8">
        <f>IFERROR(__xludf.DUMMYFUNCTION("""COMPUTED_VALUE"""),3.27005712499999)</f>
        <v>3.27005712499999</v>
      </c>
      <c r="G153" s="8">
        <f>IFERROR(__xludf.DUMMYFUNCTION("""COMPUTED_VALUE"""),13.090707017)</f>
        <v>13.090707017</v>
      </c>
      <c r="H153" s="8">
        <f>IFERROR(__xludf.DUMMYFUNCTION("""COMPUTED_VALUE"""),-260.315952851)</f>
        <v>-260.315952851</v>
      </c>
      <c r="I153" s="13"/>
      <c r="J153" s="14"/>
      <c r="K153" s="14"/>
      <c r="L153" s="14"/>
      <c r="M153" s="7" t="b">
        <f>IFERROR(__xludf.DUMMYFUNCTION("""COMPUTED_VALUE"""),TRUE)</f>
        <v>1</v>
      </c>
      <c r="N153" s="10">
        <f>IFERROR(__xludf.DUMMYFUNCTION("""COMPUTED_VALUE"""),0)</f>
        <v>0</v>
      </c>
      <c r="O153" s="10">
        <f>IFERROR(__xludf.DUMMYFUNCTION("""COMPUTED_VALUE"""),0)</f>
        <v>0</v>
      </c>
      <c r="P153" s="8"/>
      <c r="Q153" s="7"/>
      <c r="R153" s="16"/>
      <c r="S153" s="17"/>
      <c r="T153" s="8"/>
      <c r="U153" s="8"/>
      <c r="V153" s="22"/>
      <c r="W153" s="12"/>
      <c r="X153" s="12"/>
      <c r="Y153" s="12"/>
      <c r="Z153" s="12"/>
      <c r="AA153" s="7"/>
      <c r="AB153" s="12"/>
      <c r="AC153" s="6"/>
      <c r="AD153" s="6"/>
      <c r="AE153" s="7"/>
      <c r="AF153" s="7"/>
      <c r="AG153" s="7"/>
      <c r="AH153" s="7"/>
      <c r="AI153" s="7"/>
      <c r="AJ153" s="7"/>
      <c r="AK153" s="7"/>
      <c r="AL153" s="7"/>
      <c r="AM153" s="7"/>
      <c r="AN153" s="7"/>
      <c r="AO153" s="6"/>
      <c r="AP153" s="7"/>
      <c r="AQ153" s="7"/>
      <c r="AR153" s="6"/>
      <c r="AS153" s="7"/>
      <c r="AT153" s="7"/>
      <c r="AU153" s="7"/>
      <c r="AV153" s="7"/>
      <c r="AW153" s="7"/>
      <c r="AX153" s="7"/>
      <c r="AY153" s="7"/>
      <c r="AZ153" s="7"/>
      <c r="BA153" s="7"/>
      <c r="BB153" s="7"/>
      <c r="BC153" s="7"/>
      <c r="BD153" s="7"/>
      <c r="BE153" s="7"/>
      <c r="BF153" s="7"/>
      <c r="BG153" s="7"/>
    </row>
    <row r="154" customHeight="1" spans="1:59">
      <c r="A154" s="9" t="str">
        <f>IFERROR(__xludf.DUMMYFUNCTION("""COMPUTED_VALUE"""),"Cellin 03")</f>
        <v>Cellin 03</v>
      </c>
      <c r="B154" s="5" t="str">
        <f>IFERROR(__xludf.DUMMYFUNCTION("""COMPUTED_VALUE"""),"Cellin 03")</f>
        <v>Cellin 03</v>
      </c>
      <c r="C154" s="5" t="str">
        <f>IFERROR(__xludf.DUMMYFUNCTION("""COMPUTED_VALUE"""),"Cellin 15")</f>
        <v>Cellin 15</v>
      </c>
      <c r="D154" s="23" t="str">
        <f>IFERROR(__xludf.DUMMYFUNCTION("""COMPUTED_VALUE"""),"Terra Mills HydroFarm (PB)")</f>
        <v>Terra Mills HydroFarm (PB)</v>
      </c>
      <c r="E154" s="23" t="str">
        <f>IFERROR(__xludf.DUMMYFUNCTION("""COMPUTED_VALUE"""),"TerraMills")</f>
        <v>TerraMills</v>
      </c>
      <c r="F154" s="8">
        <f>IFERROR(__xludf.DUMMYFUNCTION("""COMPUTED_VALUE"""),100.136911598)</f>
        <v>100.136911598</v>
      </c>
      <c r="G154" s="8">
        <f>IFERROR(__xludf.DUMMYFUNCTION("""COMPUTED_VALUE"""),27.7006790059999)</f>
        <v>27.7006790059999</v>
      </c>
      <c r="H154" s="8">
        <f>IFERROR(__xludf.DUMMYFUNCTION("""COMPUTED_VALUE"""),239.024369118)</f>
        <v>239.024369118</v>
      </c>
      <c r="I154" s="13"/>
      <c r="J154" s="14"/>
      <c r="K154" s="14"/>
      <c r="L154" s="14"/>
      <c r="M154" s="7" t="b">
        <f>IFERROR(__xludf.DUMMYFUNCTION("""COMPUTED_VALUE"""),TRUE)</f>
        <v>1</v>
      </c>
      <c r="N154" s="10">
        <f>IFERROR(__xludf.DUMMYFUNCTION("""COMPUTED_VALUE"""),0)</f>
        <v>0</v>
      </c>
      <c r="O154" s="10">
        <f>IFERROR(__xludf.DUMMYFUNCTION("""COMPUTED_VALUE"""),0)</f>
        <v>0</v>
      </c>
      <c r="P154" s="8"/>
      <c r="Q154" s="7"/>
      <c r="R154" s="16"/>
      <c r="S154" s="17"/>
      <c r="T154" s="8"/>
      <c r="U154" s="8"/>
      <c r="V154" s="22"/>
      <c r="W154" s="12"/>
      <c r="X154" s="12"/>
      <c r="Y154" s="12"/>
      <c r="Z154" s="12"/>
      <c r="AA154" s="7"/>
      <c r="AB154" s="12"/>
      <c r="AC154" s="6"/>
      <c r="AD154" s="6"/>
      <c r="AE154" s="7"/>
      <c r="AF154" s="7"/>
      <c r="AG154" s="7"/>
      <c r="AH154" s="7"/>
      <c r="AI154" s="7"/>
      <c r="AJ154" s="7"/>
      <c r="AK154" s="7"/>
      <c r="AL154" s="7"/>
      <c r="AM154" s="7"/>
      <c r="AN154" s="7"/>
      <c r="AO154" s="6"/>
      <c r="AP154" s="7"/>
      <c r="AQ154" s="7"/>
      <c r="AR154" s="6"/>
      <c r="AS154" s="7"/>
      <c r="AT154" s="7"/>
      <c r="AU154" s="7"/>
      <c r="AV154" s="7"/>
      <c r="AW154" s="7"/>
      <c r="AX154" s="7"/>
      <c r="AY154" s="7"/>
      <c r="AZ154" s="7"/>
      <c r="BA154" s="7"/>
      <c r="BB154" s="7"/>
      <c r="BC154" s="7"/>
      <c r="BD154" s="7"/>
      <c r="BE154" s="7"/>
      <c r="BF154" s="7"/>
      <c r="BG154" s="7"/>
    </row>
    <row r="155" customHeight="1" spans="1:59">
      <c r="A155" s="9" t="str">
        <f>IFERROR(__xludf.DUMMYFUNCTION("""COMPUTED_VALUE"""),"Cellin 04")</f>
        <v>Cellin 04</v>
      </c>
      <c r="B155" s="5" t="str">
        <f>IFERROR(__xludf.DUMMYFUNCTION("""COMPUTED_VALUE"""),"Cellin 04")</f>
        <v>Cellin 04</v>
      </c>
      <c r="C155" s="5" t="str">
        <f>IFERROR(__xludf.DUMMYFUNCTION("""COMPUTED_VALUE"""),"Cellin 01")</f>
        <v>Cellin 01</v>
      </c>
      <c r="D155" s="23" t="str">
        <f>IFERROR(__xludf.DUMMYFUNCTION("""COMPUTED_VALUE"""),"Tram &amp; Myers Mining")</f>
        <v>Tram &amp; Myers Mining</v>
      </c>
      <c r="E155" s="23" t="str">
        <f>IFERROR(__xludf.DUMMYFUNCTION("""COMPUTED_VALUE"""),"TramMyers")</f>
        <v>TramMyers</v>
      </c>
      <c r="F155" s="8">
        <f>IFERROR(__xludf.DUMMYFUNCTION("""COMPUTED_VALUE"""),-241.16404418)</f>
        <v>-241.16404418</v>
      </c>
      <c r="G155" s="8">
        <f>IFERROR(__xludf.DUMMYFUNCTION("""COMPUTED_VALUE"""),2.39636862599999)</f>
        <v>2.39636862599999</v>
      </c>
      <c r="H155" s="8">
        <f>IFERROR(__xludf.DUMMYFUNCTION("""COMPUTED_VALUE"""),-98.7002332719998)</f>
        <v>-98.7002332719998</v>
      </c>
      <c r="I155" s="13"/>
      <c r="J155" s="14"/>
      <c r="K155" s="14"/>
      <c r="L155" s="14"/>
      <c r="M155" s="7" t="b">
        <f>IFERROR(__xludf.DUMMYFUNCTION("""COMPUTED_VALUE"""),TRUE)</f>
        <v>1</v>
      </c>
      <c r="N155" s="10">
        <f>IFERROR(__xludf.DUMMYFUNCTION("""COMPUTED_VALUE"""),0)</f>
        <v>0</v>
      </c>
      <c r="O155" s="10">
        <f>IFERROR(__xludf.DUMMYFUNCTION("""COMPUTED_VALUE"""),0)</f>
        <v>0</v>
      </c>
      <c r="P155" s="8"/>
      <c r="Q155" s="7"/>
      <c r="R155" s="16"/>
      <c r="S155" s="17"/>
      <c r="T155" s="8"/>
      <c r="U155" s="8"/>
      <c r="V155" s="22"/>
      <c r="W155" s="12"/>
      <c r="X155" s="12"/>
      <c r="Y155" s="12"/>
      <c r="Z155" s="12"/>
      <c r="AA155" s="7"/>
      <c r="AB155" s="12"/>
      <c r="AC155" s="6"/>
      <c r="AD155" s="6"/>
      <c r="AE155" s="7"/>
      <c r="AF155" s="7"/>
      <c r="AG155" s="7"/>
      <c r="AH155" s="7"/>
      <c r="AI155" s="7"/>
      <c r="AJ155" s="7"/>
      <c r="AK155" s="7"/>
      <c r="AL155" s="7"/>
      <c r="AM155" s="7"/>
      <c r="AN155" s="7"/>
      <c r="AO155" s="6"/>
      <c r="AP155" s="7"/>
      <c r="AQ155" s="7"/>
      <c r="AR155" s="6"/>
      <c r="AS155" s="7"/>
      <c r="AT155" s="7"/>
      <c r="AU155" s="7"/>
      <c r="AV155" s="7"/>
      <c r="AW155" s="7"/>
      <c r="AX155" s="7"/>
      <c r="AY155" s="7"/>
      <c r="AZ155" s="7"/>
      <c r="BA155" s="7"/>
      <c r="BB155" s="7"/>
      <c r="BC155" s="7"/>
      <c r="BD155" s="7"/>
      <c r="BE155" s="7"/>
      <c r="BF155" s="7"/>
      <c r="BG155" s="7"/>
    </row>
    <row r="156" customHeight="1" spans="1:59">
      <c r="A156" s="9" t="str">
        <f>IFERROR(__xludf.DUMMYFUNCTION("""COMPUTED_VALUE"""),"Cellin 05")</f>
        <v>Cellin 05</v>
      </c>
      <c r="B156" s="5" t="str">
        <f>IFERROR(__xludf.DUMMYFUNCTION("""COMPUTED_VALUE"""),"Cellin 05")</f>
        <v>Cellin 05</v>
      </c>
      <c r="C156" s="5" t="str">
        <f>IFERROR(__xludf.DUMMYFUNCTION("""COMPUTED_VALUE"""),"Cellin 19")</f>
        <v>Cellin 19</v>
      </c>
      <c r="D156" s="23" t="str">
        <f>IFERROR(__xludf.DUMMYFUNCTION("""COMPUTED_VALUE"""),"Cellin Stash House (Private Property)")</f>
        <v>Cellin Stash House (Private Property)</v>
      </c>
      <c r="E156" s="23" t="str">
        <f>IFERROR(__xludf.DUMMYFUNCTION("""COMPUTED_VALUE"""),"Stash")</f>
        <v>Stash</v>
      </c>
      <c r="F156" s="8">
        <f>IFERROR(__xludf.DUMMYFUNCTION("""COMPUTED_VALUE"""),97.7489381589998)</f>
        <v>97.7489381589998</v>
      </c>
      <c r="G156" s="8">
        <f>IFERROR(__xludf.DUMMYFUNCTION("""COMPUTED_VALUE"""),-173.763985546999)</f>
        <v>-173.763985546999</v>
      </c>
      <c r="H156" s="8">
        <f>IFERROR(__xludf.DUMMYFUNCTION("""COMPUTED_VALUE"""),167.078469877)</f>
        <v>167.078469877</v>
      </c>
      <c r="I156" s="13"/>
      <c r="J156" s="14"/>
      <c r="K156" s="14"/>
      <c r="L156" s="14"/>
      <c r="M156" s="7" t="b">
        <f>IFERROR(__xludf.DUMMYFUNCTION("""COMPUTED_VALUE"""),TRUE)</f>
        <v>1</v>
      </c>
      <c r="N156" s="10">
        <f>IFERROR(__xludf.DUMMYFUNCTION("""COMPUTED_VALUE"""),0)</f>
        <v>0</v>
      </c>
      <c r="O156" s="10">
        <f>IFERROR(__xludf.DUMMYFUNCTION("""COMPUTED_VALUE"""),0)</f>
        <v>0</v>
      </c>
      <c r="P156" s="8"/>
      <c r="Q156" s="7"/>
      <c r="R156" s="16"/>
      <c r="S156" s="17"/>
      <c r="T156" s="8"/>
      <c r="U156" s="8"/>
      <c r="V156" s="22"/>
      <c r="W156" s="12"/>
      <c r="X156" s="12"/>
      <c r="Y156" s="12"/>
      <c r="Z156" s="12"/>
      <c r="AA156" s="7"/>
      <c r="AB156" s="12"/>
      <c r="AC156" s="6"/>
      <c r="AD156" s="6"/>
      <c r="AE156" s="7"/>
      <c r="AF156" s="7"/>
      <c r="AG156" s="7"/>
      <c r="AH156" s="7"/>
      <c r="AI156" s="7"/>
      <c r="AJ156" s="7"/>
      <c r="AK156" s="7"/>
      <c r="AL156" s="7"/>
      <c r="AM156" s="7"/>
      <c r="AN156" s="7"/>
      <c r="AO156" s="6"/>
      <c r="AP156" s="7"/>
      <c r="AQ156" s="7"/>
      <c r="AR156" s="6"/>
      <c r="AS156" s="7"/>
      <c r="AT156" s="7"/>
      <c r="AU156" s="7"/>
      <c r="AV156" s="7"/>
      <c r="AW156" s="7"/>
      <c r="AX156" s="7"/>
      <c r="AY156" s="7"/>
      <c r="AZ156" s="7"/>
      <c r="BA156" s="7"/>
      <c r="BB156" s="7"/>
      <c r="BC156" s="7"/>
      <c r="BD156" s="7"/>
      <c r="BE156" s="7"/>
      <c r="BF156" s="7"/>
      <c r="BG156" s="7"/>
    </row>
    <row r="157" customHeight="1" spans="1:59">
      <c r="A157" s="9" t="str">
        <f>IFERROR(__xludf.DUMMYFUNCTION("""COMPUTED_VALUE"""),"Cellin")</f>
        <v>Cellin</v>
      </c>
      <c r="B157" s="5" t="str">
        <f>IFERROR(__xludf.DUMMYFUNCTION("""COMPUTED_VALUE"""),"Cellin 07")</f>
        <v>Cellin 07</v>
      </c>
      <c r="C157" s="5"/>
      <c r="D157" s="23" t="str">
        <f>IFERROR(__xludf.DUMMYFUNCTION("""COMPUTED_VALUE"""),"Underground Bunker Facilities")</f>
        <v>Underground Bunker Facilities</v>
      </c>
      <c r="E157" s="23"/>
      <c r="F157" s="8"/>
      <c r="G157" s="8"/>
      <c r="H157" s="8"/>
      <c r="I157" s="13"/>
      <c r="J157" s="14"/>
      <c r="K157" s="14"/>
      <c r="L157" s="14"/>
      <c r="M157" s="7"/>
      <c r="N157" s="10"/>
      <c r="O157" s="10"/>
      <c r="P157" s="8"/>
      <c r="Q157" s="7"/>
      <c r="R157" s="16"/>
      <c r="S157" s="17"/>
      <c r="T157" s="8"/>
      <c r="U157" s="8"/>
      <c r="V157" s="22"/>
      <c r="W157" s="12"/>
      <c r="X157" s="12"/>
      <c r="Y157" s="12"/>
      <c r="Z157" s="12"/>
      <c r="AA157" s="7"/>
      <c r="AB157" s="12"/>
      <c r="AC157" s="6"/>
      <c r="AD157" s="6"/>
      <c r="AE157" s="7"/>
      <c r="AF157" s="7"/>
      <c r="AG157" s="7"/>
      <c r="AH157" s="7"/>
      <c r="AI157" s="7"/>
      <c r="AJ157" s="7"/>
      <c r="AK157" s="7"/>
      <c r="AL157" s="7"/>
      <c r="AM157" s="7"/>
      <c r="AN157" s="7"/>
      <c r="AO157" s="6"/>
      <c r="AP157" s="7"/>
      <c r="AQ157" s="7"/>
      <c r="AR157" s="6"/>
      <c r="AS157" s="7"/>
      <c r="AT157" s="7"/>
      <c r="AU157" s="7"/>
      <c r="AV157" s="7"/>
      <c r="AW157" s="7"/>
      <c r="AX157" s="7"/>
      <c r="AY157" s="7"/>
      <c r="AZ157" s="7"/>
      <c r="BA157" s="7"/>
      <c r="BB157" s="7"/>
      <c r="BC157" s="7"/>
      <c r="BD157" s="7"/>
      <c r="BE157" s="7"/>
      <c r="BF157" s="7"/>
      <c r="BG157" s="7"/>
    </row>
    <row r="158" customHeight="1" spans="1:59">
      <c r="A158" s="9" t="str">
        <f>IFERROR(__xludf.DUMMYFUNCTION("""COMPUTED_VALUE"""),"Cellin 06")</f>
        <v>Cellin 06</v>
      </c>
      <c r="B158" s="5" t="str">
        <f>IFERROR(__xludf.DUMMYFUNCTION("""COMPUTED_VALUE"""),"Cellin 08")</f>
        <v>Cellin 08</v>
      </c>
      <c r="C158" s="5" t="str">
        <f>IFERROR(__xludf.DUMMYFUNCTION("""COMPUTED_VALUE"""),"Cellin 13")</f>
        <v>Cellin 13</v>
      </c>
      <c r="D158" s="23" t="str">
        <f>IFERROR(__xludf.DUMMYFUNCTION("""COMPUTED_VALUE"""),"NT-999-XV")</f>
        <v>NT-999-XV</v>
      </c>
      <c r="E158" s="23" t="str">
        <f>IFERROR(__xludf.DUMMYFUNCTION("""COMPUTED_VALUE"""),"NT999XV")</f>
        <v>NT999XV</v>
      </c>
      <c r="F158" s="8">
        <f>IFERROR(__xludf.DUMMYFUNCTION("""COMPUTED_VALUE"""),146.84857443)</f>
        <v>146.84857443</v>
      </c>
      <c r="G158" s="8">
        <f>IFERROR(__xludf.DUMMYFUNCTION("""COMPUTED_VALUE"""),135.264197531)</f>
        <v>135.264197531</v>
      </c>
      <c r="H158" s="8">
        <f>IFERROR(__xludf.DUMMYFUNCTION("""COMPUTED_VALUE"""),167.452103602999)</f>
        <v>167.452103602999</v>
      </c>
      <c r="I158" s="13"/>
      <c r="J158" s="14"/>
      <c r="K158" s="14"/>
      <c r="L158" s="14"/>
      <c r="M158" s="7" t="b">
        <f>IFERROR(__xludf.DUMMYFUNCTION("""COMPUTED_VALUE"""),TRUE)</f>
        <v>1</v>
      </c>
      <c r="N158" s="10">
        <f>IFERROR(__xludf.DUMMYFUNCTION("""COMPUTED_VALUE"""),0)</f>
        <v>0</v>
      </c>
      <c r="O158" s="10">
        <f>IFERROR(__xludf.DUMMYFUNCTION("""COMPUTED_VALUE"""),0)</f>
        <v>0</v>
      </c>
      <c r="P158" s="8"/>
      <c r="Q158" s="7"/>
      <c r="R158" s="16"/>
      <c r="S158" s="17"/>
      <c r="T158" s="8"/>
      <c r="U158" s="8"/>
      <c r="V158" s="22"/>
      <c r="W158" s="12"/>
      <c r="X158" s="12"/>
      <c r="Y158" s="12"/>
      <c r="Z158" s="12"/>
      <c r="AA158" s="7"/>
      <c r="AB158" s="12"/>
      <c r="AC158" s="6"/>
      <c r="AD158" s="6"/>
      <c r="AE158" s="7"/>
      <c r="AF158" s="7"/>
      <c r="AG158" s="7"/>
      <c r="AH158" s="7"/>
      <c r="AI158" s="7"/>
      <c r="AJ158" s="7"/>
      <c r="AK158" s="7"/>
      <c r="AL158" s="7"/>
      <c r="AM158" s="7"/>
      <c r="AN158" s="7"/>
      <c r="AO158" s="6"/>
      <c r="AP158" s="7"/>
      <c r="AQ158" s="7"/>
      <c r="AR158" s="6"/>
      <c r="AS158" s="7"/>
      <c r="AT158" s="7"/>
      <c r="AU158" s="7"/>
      <c r="AV158" s="7"/>
      <c r="AW158" s="7"/>
      <c r="AX158" s="7"/>
      <c r="AY158" s="7"/>
      <c r="AZ158" s="7"/>
      <c r="BA158" s="7"/>
      <c r="BB158" s="7"/>
      <c r="BC158" s="7"/>
      <c r="BD158" s="7"/>
      <c r="BE158" s="7"/>
      <c r="BF158" s="7"/>
      <c r="BG158" s="7"/>
    </row>
    <row r="159" customHeight="1" spans="1:59">
      <c r="A159" s="9" t="str">
        <f>IFERROR(__xludf.DUMMYFUNCTION("""COMPUTED_VALUE"""),"Cellin 07")</f>
        <v>Cellin 07</v>
      </c>
      <c r="B159" s="5" t="str">
        <f>IFERROR(__xludf.DUMMYFUNCTION("""COMPUTED_VALUE"""),"Cellin 09")</f>
        <v>Cellin 09</v>
      </c>
      <c r="C159" s="5" t="str">
        <f>IFERROR(__xludf.DUMMYFUNCTION("""COMPUTED_VALUE"""),"Cellin 16")</f>
        <v>Cellin 16</v>
      </c>
      <c r="D159" s="23" t="str">
        <f>IFERROR(__xludf.DUMMYFUNCTION("""COMPUTED_VALUE"""),"Security Post Criska")</f>
        <v>Security Post Criska</v>
      </c>
      <c r="E159" s="23" t="str">
        <f>IFERROR(__xludf.DUMMYFUNCTION("""COMPUTED_VALUE"""),"Criska")</f>
        <v>Criska</v>
      </c>
      <c r="F159" s="8">
        <f>IFERROR(__xludf.DUMMYFUNCTION("""COMPUTED_VALUE"""),252.518284892)</f>
        <v>252.518284892</v>
      </c>
      <c r="G159" s="8">
        <f>IFERROR(__xludf.DUMMYFUNCTION("""COMPUTED_VALUE"""),62.91717199)</f>
        <v>62.91717199</v>
      </c>
      <c r="H159" s="8">
        <f>IFERROR(__xludf.DUMMYFUNCTION("""COMPUTED_VALUE"""),13.987825758)</f>
        <v>13.987825758</v>
      </c>
      <c r="I159" s="13"/>
      <c r="J159" s="14"/>
      <c r="K159" s="14"/>
      <c r="L159" s="14"/>
      <c r="M159" s="7" t="b">
        <f>IFERROR(__xludf.DUMMYFUNCTION("""COMPUTED_VALUE"""),TRUE)</f>
        <v>1</v>
      </c>
      <c r="N159" s="10">
        <f>IFERROR(__xludf.DUMMYFUNCTION("""COMPUTED_VALUE"""),0)</f>
        <v>0</v>
      </c>
      <c r="O159" s="10">
        <f>IFERROR(__xludf.DUMMYFUNCTION("""COMPUTED_VALUE"""),0)</f>
        <v>0</v>
      </c>
      <c r="P159" s="8"/>
      <c r="Q159" s="7"/>
      <c r="R159" s="16"/>
      <c r="S159" s="17"/>
      <c r="T159" s="8"/>
      <c r="U159" s="8"/>
      <c r="V159" s="22"/>
      <c r="W159" s="12"/>
      <c r="X159" s="12"/>
      <c r="Y159" s="12"/>
      <c r="Z159" s="12"/>
      <c r="AA159" s="7"/>
      <c r="AB159" s="12"/>
      <c r="AC159" s="6"/>
      <c r="AD159" s="6"/>
      <c r="AE159" s="7"/>
      <c r="AF159" s="7"/>
      <c r="AG159" s="7"/>
      <c r="AH159" s="7"/>
      <c r="AI159" s="7"/>
      <c r="AJ159" s="7"/>
      <c r="AK159" s="7"/>
      <c r="AL159" s="7"/>
      <c r="AM159" s="7"/>
      <c r="AN159" s="7"/>
      <c r="AO159" s="6"/>
      <c r="AP159" s="7"/>
      <c r="AQ159" s="7"/>
      <c r="AR159" s="6"/>
      <c r="AS159" s="7"/>
      <c r="AT159" s="7"/>
      <c r="AU159" s="7"/>
      <c r="AV159" s="7"/>
      <c r="AW159" s="7"/>
      <c r="AX159" s="7"/>
      <c r="AY159" s="7"/>
      <c r="AZ159" s="7"/>
      <c r="BA159" s="7"/>
      <c r="BB159" s="7"/>
      <c r="BC159" s="7"/>
      <c r="BD159" s="7"/>
      <c r="BE159" s="7"/>
      <c r="BF159" s="7"/>
      <c r="BG159" s="7"/>
    </row>
    <row r="160" customHeight="1" spans="1:59">
      <c r="A160" s="9" t="str">
        <f>IFERROR(__xludf.DUMMYFUNCTION("""COMPUTED_VALUE"""),"Cellin 08")</f>
        <v>Cellin 08</v>
      </c>
      <c r="B160" s="5" t="str">
        <f>IFERROR(__xludf.DUMMYFUNCTION("""COMPUTED_VALUE"""),"Cellin 10")</f>
        <v>Cellin 10</v>
      </c>
      <c r="C160" s="5" t="str">
        <f>IFERROR(__xludf.DUMMYFUNCTION("""COMPUTED_VALUE"""),"Cellin 14")</f>
        <v>Cellin 14</v>
      </c>
      <c r="D160" s="23" t="str">
        <f>IFERROR(__xludf.DUMMYFUNCTION("""COMPUTED_VALUE"""),"Security Post Dipur")</f>
        <v>Security Post Dipur</v>
      </c>
      <c r="E160" s="23" t="str">
        <f>IFERROR(__xludf.DUMMYFUNCTION("""COMPUTED_VALUE"""),"Dipur")</f>
        <v>Dipur</v>
      </c>
      <c r="F160" s="8">
        <f>IFERROR(__xludf.DUMMYFUNCTION("""COMPUTED_VALUE"""),197.594290647999)</f>
        <v>197.594290647999</v>
      </c>
      <c r="G160" s="8">
        <f>IFERROR(__xludf.DUMMYFUNCTION("""COMPUTED_VALUE"""),57.562007416)</f>
        <v>57.562007416</v>
      </c>
      <c r="H160" s="8">
        <f>IFERROR(__xludf.DUMMYFUNCTION("""COMPUTED_VALUE"""),-160.055417576999)</f>
        <v>-160.055417576999</v>
      </c>
      <c r="I160" s="13"/>
      <c r="J160" s="14"/>
      <c r="K160" s="14"/>
      <c r="L160" s="14"/>
      <c r="M160" s="7" t="b">
        <f>IFERROR(__xludf.DUMMYFUNCTION("""COMPUTED_VALUE"""),TRUE)</f>
        <v>1</v>
      </c>
      <c r="N160" s="10">
        <f>IFERROR(__xludf.DUMMYFUNCTION("""COMPUTED_VALUE"""),0)</f>
        <v>0</v>
      </c>
      <c r="O160" s="10">
        <f>IFERROR(__xludf.DUMMYFUNCTION("""COMPUTED_VALUE"""),0)</f>
        <v>0</v>
      </c>
      <c r="P160" s="8"/>
      <c r="Q160" s="7"/>
      <c r="R160" s="16"/>
      <c r="S160" s="17"/>
      <c r="T160" s="8"/>
      <c r="U160" s="8"/>
      <c r="V160" s="22"/>
      <c r="W160" s="12"/>
      <c r="X160" s="12"/>
      <c r="Y160" s="12"/>
      <c r="Z160" s="12"/>
      <c r="AA160" s="7"/>
      <c r="AB160" s="12"/>
      <c r="AC160" s="6"/>
      <c r="AD160" s="6"/>
      <c r="AE160" s="7"/>
      <c r="AF160" s="7"/>
      <c r="AG160" s="7"/>
      <c r="AH160" s="7"/>
      <c r="AI160" s="7"/>
      <c r="AJ160" s="7"/>
      <c r="AK160" s="7"/>
      <c r="AL160" s="7"/>
      <c r="AM160" s="7"/>
      <c r="AN160" s="7"/>
      <c r="AO160" s="6"/>
      <c r="AP160" s="7"/>
      <c r="AQ160" s="7"/>
      <c r="AR160" s="6"/>
      <c r="AS160" s="7"/>
      <c r="AT160" s="7"/>
      <c r="AU160" s="7"/>
      <c r="AV160" s="7"/>
      <c r="AW160" s="7"/>
      <c r="AX160" s="7"/>
      <c r="AY160" s="7"/>
      <c r="AZ160" s="7"/>
      <c r="BA160" s="7"/>
      <c r="BB160" s="7"/>
      <c r="BC160" s="7"/>
      <c r="BD160" s="7"/>
      <c r="BE160" s="7"/>
      <c r="BF160" s="7"/>
      <c r="BG160" s="7"/>
    </row>
    <row r="161" customHeight="1" spans="1:59">
      <c r="A161" s="9" t="str">
        <f>IFERROR(__xludf.DUMMYFUNCTION("""COMPUTED_VALUE"""),"Cellin 09")</f>
        <v>Cellin 09</v>
      </c>
      <c r="B161" s="5" t="str">
        <f>IFERROR(__xludf.DUMMYFUNCTION("""COMPUTED_VALUE"""),"Cellin 11")</f>
        <v>Cellin 11</v>
      </c>
      <c r="C161" s="5" t="str">
        <f>IFERROR(__xludf.DUMMYFUNCTION("""COMPUTED_VALUE"""),"Cellin 24")</f>
        <v>Cellin 24</v>
      </c>
      <c r="D161" s="23" t="str">
        <f>IFERROR(__xludf.DUMMYFUNCTION("""COMPUTED_VALUE"""),"Security Post Lespin")</f>
        <v>Security Post Lespin</v>
      </c>
      <c r="E161" s="23" t="str">
        <f>IFERROR(__xludf.DUMMYFUNCTION("""COMPUTED_VALUE"""),"Lespin")</f>
        <v>Lespin</v>
      </c>
      <c r="F161" s="8">
        <f>IFERROR(__xludf.DUMMYFUNCTION("""COMPUTED_VALUE"""),-214.292676368999)</f>
        <v>-214.292676368999</v>
      </c>
      <c r="G161" s="8">
        <f>IFERROR(__xludf.DUMMYFUNCTION("""COMPUTED_VALUE"""),-149.183812567999)</f>
        <v>-149.183812567999</v>
      </c>
      <c r="H161" s="8">
        <f>IFERROR(__xludf.DUMMYFUNCTION("""COMPUTED_VALUE"""),4.122577671)</f>
        <v>4.122577671</v>
      </c>
      <c r="I161" s="13"/>
      <c r="J161" s="14"/>
      <c r="K161" s="14"/>
      <c r="L161" s="14"/>
      <c r="M161" s="7" t="b">
        <f>IFERROR(__xludf.DUMMYFUNCTION("""COMPUTED_VALUE"""),TRUE)</f>
        <v>1</v>
      </c>
      <c r="N161" s="10">
        <f>IFERROR(__xludf.DUMMYFUNCTION("""COMPUTED_VALUE"""),0)</f>
        <v>0</v>
      </c>
      <c r="O161" s="10">
        <f>IFERROR(__xludf.DUMMYFUNCTION("""COMPUTED_VALUE"""),0)</f>
        <v>0</v>
      </c>
      <c r="P161" s="8"/>
      <c r="Q161" s="7"/>
      <c r="R161" s="16"/>
      <c r="S161" s="17"/>
      <c r="T161" s="8"/>
      <c r="U161" s="8"/>
      <c r="V161" s="22"/>
      <c r="W161" s="12"/>
      <c r="X161" s="12"/>
      <c r="Y161" s="12"/>
      <c r="Z161" s="12"/>
      <c r="AA161" s="7"/>
      <c r="AB161" s="12"/>
      <c r="AC161" s="6"/>
      <c r="AD161" s="6"/>
      <c r="AE161" s="7"/>
      <c r="AF161" s="7"/>
      <c r="AG161" s="7"/>
      <c r="AH161" s="7"/>
      <c r="AI161" s="7"/>
      <c r="AJ161" s="7"/>
      <c r="AK161" s="7"/>
      <c r="AL161" s="7"/>
      <c r="AM161" s="7"/>
      <c r="AN161" s="7"/>
      <c r="AO161" s="6"/>
      <c r="AP161" s="7"/>
      <c r="AQ161" s="7"/>
      <c r="AR161" s="6"/>
      <c r="AS161" s="7"/>
      <c r="AT161" s="7"/>
      <c r="AU161" s="7"/>
      <c r="AV161" s="7"/>
      <c r="AW161" s="7"/>
      <c r="AX161" s="7"/>
      <c r="AY161" s="7"/>
      <c r="AZ161" s="7"/>
      <c r="BA161" s="7"/>
      <c r="BB161" s="7"/>
      <c r="BC161" s="7"/>
      <c r="BD161" s="7"/>
      <c r="BE161" s="7"/>
      <c r="BF161" s="7"/>
      <c r="BG161" s="7"/>
    </row>
    <row r="162" customHeight="1" spans="1:59">
      <c r="A162" s="9" t="str">
        <f>IFERROR(__xludf.DUMMYFUNCTION("""COMPUTED_VALUE"""),"Cellin")</f>
        <v>Cellin</v>
      </c>
      <c r="B162" s="5" t="str">
        <f>IFERROR(__xludf.DUMMYFUNCTION("""COMPUTED_VALUE"""),"Cellin 13")</f>
        <v>Cellin 13</v>
      </c>
      <c r="C162" s="5"/>
      <c r="D162" s="23" t="str">
        <f>IFERROR(__xludf.DUMMYFUNCTION("""COMPUTED_VALUE"""),"Other Facilities")</f>
        <v>Other Facilities</v>
      </c>
      <c r="E162" s="23"/>
      <c r="F162" s="8"/>
      <c r="G162" s="8"/>
      <c r="H162" s="8"/>
      <c r="I162" s="13"/>
      <c r="J162" s="14"/>
      <c r="K162" s="14"/>
      <c r="L162" s="14"/>
      <c r="M162" s="7"/>
      <c r="N162" s="10"/>
      <c r="O162" s="10"/>
      <c r="P162" s="8"/>
      <c r="Q162" s="7"/>
      <c r="R162" s="16"/>
      <c r="S162" s="17"/>
      <c r="T162" s="8"/>
      <c r="U162" s="8"/>
      <c r="V162" s="22"/>
      <c r="W162" s="12"/>
      <c r="X162" s="12"/>
      <c r="Y162" s="12"/>
      <c r="Z162" s="12"/>
      <c r="AA162" s="7"/>
      <c r="AB162" s="12"/>
      <c r="AC162" s="6"/>
      <c r="AD162" s="6"/>
      <c r="AE162" s="7"/>
      <c r="AF162" s="7"/>
      <c r="AG162" s="7"/>
      <c r="AH162" s="7"/>
      <c r="AI162" s="7"/>
      <c r="AJ162" s="7"/>
      <c r="AK162" s="7"/>
      <c r="AL162" s="7"/>
      <c r="AM162" s="7"/>
      <c r="AN162" s="7"/>
      <c r="AO162" s="6"/>
      <c r="AP162" s="7"/>
      <c r="AQ162" s="7"/>
      <c r="AR162" s="6"/>
      <c r="AS162" s="7"/>
      <c r="AT162" s="7"/>
      <c r="AU162" s="7"/>
      <c r="AV162" s="7"/>
      <c r="AW162" s="7"/>
      <c r="AX162" s="7"/>
      <c r="AY162" s="7"/>
      <c r="AZ162" s="7"/>
      <c r="BA162" s="7"/>
      <c r="BB162" s="7"/>
      <c r="BC162" s="7"/>
      <c r="BD162" s="7"/>
      <c r="BE162" s="7"/>
      <c r="BF162" s="7"/>
      <c r="BG162" s="7"/>
    </row>
    <row r="163" customHeight="1" spans="1:59">
      <c r="A163" s="9" t="str">
        <f>IFERROR(__xludf.DUMMYFUNCTION("""COMPUTED_VALUE"""),"Cellin 10")</f>
        <v>Cellin 10</v>
      </c>
      <c r="B163" s="5" t="str">
        <f>IFERROR(__xludf.DUMMYFUNCTION("""COMPUTED_VALUE"""),"Cellin 14")</f>
        <v>Cellin 14</v>
      </c>
      <c r="C163" s="5" t="str">
        <f>IFERROR(__xludf.DUMMYFUNCTION("""COMPUTED_VALUE"""),"Cellin 21")</f>
        <v>Cellin 21</v>
      </c>
      <c r="D163" s="23" t="str">
        <f>IFERROR(__xludf.DUMMYFUNCTION("""COMPUTED_VALUE"""),"Security Post Kareah")</f>
        <v>Security Post Kareah</v>
      </c>
      <c r="E163" s="23" t="str">
        <f>IFERROR(__xludf.DUMMYFUNCTION("""COMPUTED_VALUE"""),"Kareah")</f>
        <v>Kareah</v>
      </c>
      <c r="F163" s="8">
        <f>IFERROR(__xludf.DUMMYFUNCTION("""COMPUTED_VALUE"""),11.620356800079)</f>
        <v>11.620356800079</v>
      </c>
      <c r="G163" s="8">
        <f>IFERROR(__xludf.DUMMYFUNCTION("""COMPUTED_VALUE"""),-419.839422159672)</f>
        <v>-419.839422159672</v>
      </c>
      <c r="H163" s="8">
        <f>IFERROR(__xludf.DUMMYFUNCTION("""COMPUTED_VALUE"""),200)</f>
        <v>200</v>
      </c>
      <c r="I163" s="13"/>
      <c r="J163" s="14"/>
      <c r="K163" s="14"/>
      <c r="L163" s="14"/>
      <c r="M163" s="7" t="b">
        <f>IFERROR(__xludf.DUMMYFUNCTION("""COMPUTED_VALUE"""),TRUE)</f>
        <v>1</v>
      </c>
      <c r="N163" s="10">
        <f>IFERROR(__xludf.DUMMYFUNCTION("""COMPUTED_VALUE"""),0)</f>
        <v>0</v>
      </c>
      <c r="O163" s="10">
        <f>IFERROR(__xludf.DUMMYFUNCTION("""COMPUTED_VALUE"""),0)</f>
        <v>0</v>
      </c>
      <c r="P163" s="8"/>
      <c r="Q163" s="7"/>
      <c r="R163" s="16"/>
      <c r="S163" s="17"/>
      <c r="T163" s="8"/>
      <c r="U163" s="8"/>
      <c r="V163" s="22"/>
      <c r="W163" s="12"/>
      <c r="X163" s="12"/>
      <c r="Y163" s="12"/>
      <c r="Z163" s="12"/>
      <c r="AA163" s="7"/>
      <c r="AB163" s="12"/>
      <c r="AC163" s="6"/>
      <c r="AD163" s="6"/>
      <c r="AE163" s="7"/>
      <c r="AF163" s="7"/>
      <c r="AG163" s="7"/>
      <c r="AH163" s="7"/>
      <c r="AI163" s="7"/>
      <c r="AJ163" s="7"/>
      <c r="AK163" s="7"/>
      <c r="AL163" s="7"/>
      <c r="AM163" s="7"/>
      <c r="AN163" s="7"/>
      <c r="AO163" s="6"/>
      <c r="AP163" s="7"/>
      <c r="AQ163" s="7"/>
      <c r="AR163" s="6"/>
      <c r="AS163" s="7"/>
      <c r="AT163" s="7"/>
      <c r="AU163" s="7"/>
      <c r="AV163" s="7"/>
      <c r="AW163" s="7"/>
      <c r="AX163" s="7"/>
      <c r="AY163" s="7"/>
      <c r="AZ163" s="7"/>
      <c r="BA163" s="7"/>
      <c r="BB163" s="7"/>
      <c r="BC163" s="7"/>
      <c r="BD163" s="7"/>
      <c r="BE163" s="7"/>
      <c r="BF163" s="7"/>
      <c r="BG163" s="7"/>
    </row>
    <row r="164" customHeight="1" spans="1:59">
      <c r="A164" s="9" t="str">
        <f>IFERROR(__xludf.DUMMYFUNCTION("""COMPUTED_VALUE"""),"Cellin 16")</f>
        <v>Cellin 16</v>
      </c>
      <c r="B164" s="5" t="str">
        <f>IFERROR(__xludf.DUMMYFUNCTION("""COMPUTED_VALUE"""),"Cellin 15")</f>
        <v>Cellin 15</v>
      </c>
      <c r="C164" s="5" t="str">
        <f>IFERROR(__xludf.DUMMYFUNCTION("""COMPUTED_VALUE"""),"Cellin 11")</f>
        <v>Cellin 11</v>
      </c>
      <c r="D164" s="23" t="str">
        <f>IFERROR(__xludf.DUMMYFUNCTION("""COMPUTED_VALUE"""),"Abandoned Outpost")</f>
        <v>Abandoned Outpost</v>
      </c>
      <c r="E164" s="23" t="str">
        <f>IFERROR(__xludf.DUMMYFUNCTION("""COMPUTED_VALUE"""),"Abandoned")</f>
        <v>Abandoned</v>
      </c>
      <c r="F164" s="8">
        <f>IFERROR(__xludf.DUMMYFUNCTION("""COMPUTED_VALUE"""),130.061649871999)</f>
        <v>130.061649871999</v>
      </c>
      <c r="G164" s="8">
        <f>IFERROR(__xludf.DUMMYFUNCTION("""COMPUTED_VALUE"""),184.915423914)</f>
        <v>184.915423914</v>
      </c>
      <c r="H164" s="8">
        <f>IFERROR(__xludf.DUMMYFUNCTION("""COMPUTED_VALUE"""),130.356376438)</f>
        <v>130.356376438</v>
      </c>
      <c r="I164" s="13"/>
      <c r="J164" s="14"/>
      <c r="K164" s="14"/>
      <c r="L164" s="14"/>
      <c r="M164" s="7" t="b">
        <f>IFERROR(__xludf.DUMMYFUNCTION("""COMPUTED_VALUE"""),FALSE)</f>
        <v>0</v>
      </c>
      <c r="N164" s="10">
        <f>IFERROR(__xludf.DUMMYFUNCTION("""COMPUTED_VALUE"""),0)</f>
        <v>0</v>
      </c>
      <c r="O164" s="10">
        <f>IFERROR(__xludf.DUMMYFUNCTION("""COMPUTED_VALUE"""),0)</f>
        <v>0</v>
      </c>
      <c r="P164" s="8"/>
      <c r="Q164" s="7"/>
      <c r="R164" s="16"/>
      <c r="S164" s="17"/>
      <c r="T164" s="8"/>
      <c r="U164" s="8"/>
      <c r="V164" s="22"/>
      <c r="W164" s="12"/>
      <c r="X164" s="12"/>
      <c r="Y164" s="12"/>
      <c r="Z164" s="12"/>
      <c r="AA164" s="7"/>
      <c r="AB164" s="12"/>
      <c r="AC164" s="6"/>
      <c r="AD164" s="6"/>
      <c r="AE164" s="7"/>
      <c r="AF164" s="7"/>
      <c r="AG164" s="7"/>
      <c r="AH164" s="7"/>
      <c r="AI164" s="7"/>
      <c r="AJ164" s="7"/>
      <c r="AK164" s="7"/>
      <c r="AL164" s="7"/>
      <c r="AM164" s="7"/>
      <c r="AN164" s="7"/>
      <c r="AO164" s="6"/>
      <c r="AP164" s="7"/>
      <c r="AQ164" s="7"/>
      <c r="AR164" s="6"/>
      <c r="AS164" s="7"/>
      <c r="AT164" s="7"/>
      <c r="AU164" s="7"/>
      <c r="AV164" s="7"/>
      <c r="AW164" s="7"/>
      <c r="AX164" s="7"/>
      <c r="AY164" s="7"/>
      <c r="AZ164" s="7"/>
      <c r="BA164" s="7"/>
      <c r="BB164" s="7"/>
      <c r="BC164" s="7"/>
      <c r="BD164" s="7"/>
      <c r="BE164" s="7"/>
      <c r="BF164" s="7"/>
      <c r="BG164" s="7"/>
    </row>
    <row r="165" customHeight="1" spans="1:59">
      <c r="A165" s="9" t="str">
        <f>IFERROR(__xludf.DUMMYFUNCTION("""COMPUTED_VALUE"""),"Cellin")</f>
        <v>Cellin</v>
      </c>
      <c r="B165" s="5" t="str">
        <f>IFERROR(__xludf.DUMMYFUNCTION("""COMPUTED_VALUE"""),"Cellin 17")</f>
        <v>Cellin 17</v>
      </c>
      <c r="C165" s="5"/>
      <c r="D165" s="23" t="str">
        <f>IFERROR(__xludf.DUMMYFUNCTION("""COMPUTED_VALUE"""),"Emergency Shelters")</f>
        <v>Emergency Shelters</v>
      </c>
      <c r="E165" s="23"/>
      <c r="F165" s="8"/>
      <c r="G165" s="8"/>
      <c r="H165" s="8"/>
      <c r="I165" s="13"/>
      <c r="J165" s="14"/>
      <c r="K165" s="14"/>
      <c r="L165" s="14"/>
      <c r="M165" s="7"/>
      <c r="N165" s="10"/>
      <c r="O165" s="10"/>
      <c r="P165" s="8"/>
      <c r="Q165" s="7"/>
      <c r="R165" s="16"/>
      <c r="S165" s="17"/>
      <c r="T165" s="8"/>
      <c r="U165" s="8"/>
      <c r="V165" s="22"/>
      <c r="W165" s="12"/>
      <c r="X165" s="12"/>
      <c r="Y165" s="12"/>
      <c r="Z165" s="12"/>
      <c r="AA165" s="7"/>
      <c r="AB165" s="12"/>
      <c r="AC165" s="6"/>
      <c r="AD165" s="6"/>
      <c r="AE165" s="7"/>
      <c r="AF165" s="7"/>
      <c r="AG165" s="7"/>
      <c r="AH165" s="7"/>
      <c r="AI165" s="7"/>
      <c r="AJ165" s="7"/>
      <c r="AK165" s="7"/>
      <c r="AL165" s="7"/>
      <c r="AM165" s="7"/>
      <c r="AN165" s="7"/>
      <c r="AO165" s="6"/>
      <c r="AP165" s="7"/>
      <c r="AQ165" s="7"/>
      <c r="AR165" s="6"/>
      <c r="AS165" s="7"/>
      <c r="AT165" s="7"/>
      <c r="AU165" s="7"/>
      <c r="AV165" s="7"/>
      <c r="AW165" s="7"/>
      <c r="AX165" s="7"/>
      <c r="AY165" s="7"/>
      <c r="AZ165" s="7"/>
      <c r="BA165" s="7"/>
      <c r="BB165" s="7"/>
      <c r="BC165" s="7"/>
      <c r="BD165" s="7"/>
      <c r="BE165" s="7"/>
      <c r="BF165" s="7"/>
      <c r="BG165" s="7"/>
    </row>
    <row r="166" customHeight="1" spans="1:59">
      <c r="A166" s="9" t="str">
        <f>IFERROR(__xludf.DUMMYFUNCTION("""COMPUTED_VALUE"""),"Cellin 11")</f>
        <v>Cellin 11</v>
      </c>
      <c r="B166" s="5" t="str">
        <f>IFERROR(__xludf.DUMMYFUNCTION("""COMPUTED_VALUE"""),"Cellin 18")</f>
        <v>Cellin 18</v>
      </c>
      <c r="C166" s="5" t="str">
        <f>IFERROR(__xludf.DUMMYFUNCTION("""COMPUTED_VALUE"""),"Cellin 22")</f>
        <v>Cellin 22</v>
      </c>
      <c r="D166" s="23" t="str">
        <f>IFERROR(__xludf.DUMMYFUNCTION("""COMPUTED_VALUE"""),"Ashburn Channel Aid Shelter")</f>
        <v>Ashburn Channel Aid Shelter</v>
      </c>
      <c r="E166" s="23" t="str">
        <f>IFERROR(__xludf.DUMMYFUNCTION("""COMPUTED_VALUE"""),"Ashburn")</f>
        <v>Ashburn</v>
      </c>
      <c r="F166" s="8">
        <f>IFERROR(__xludf.DUMMYFUNCTION("""COMPUTED_VALUE"""),3.02383073199998)</f>
        <v>3.02383073199998</v>
      </c>
      <c r="G166" s="8">
        <f>IFERROR(__xludf.DUMMYFUNCTION("""COMPUTED_VALUE"""),-257.942071407999)</f>
        <v>-257.942071407999</v>
      </c>
      <c r="H166" s="8">
        <f>IFERROR(__xludf.DUMMYFUNCTION("""COMPUTED_VALUE"""),-37.129182627)</f>
        <v>-37.129182627</v>
      </c>
      <c r="I166" s="13"/>
      <c r="J166" s="14"/>
      <c r="K166" s="14"/>
      <c r="L166" s="14"/>
      <c r="M166" s="7" t="b">
        <f>IFERROR(__xludf.DUMMYFUNCTION("""COMPUTED_VALUE"""),TRUE)</f>
        <v>1</v>
      </c>
      <c r="N166" s="10">
        <f>IFERROR(__xludf.DUMMYFUNCTION("""COMPUTED_VALUE"""),0)</f>
        <v>0</v>
      </c>
      <c r="O166" s="10">
        <f>IFERROR(__xludf.DUMMYFUNCTION("""COMPUTED_VALUE"""),0)</f>
        <v>0</v>
      </c>
      <c r="P166" s="8"/>
      <c r="Q166" s="7"/>
      <c r="R166" s="16"/>
      <c r="S166" s="17"/>
      <c r="T166" s="8"/>
      <c r="U166" s="8"/>
      <c r="V166" s="22"/>
      <c r="W166" s="12"/>
      <c r="X166" s="12"/>
      <c r="Y166" s="12"/>
      <c r="Z166" s="12"/>
      <c r="AA166" s="7"/>
      <c r="AB166" s="12"/>
      <c r="AC166" s="6"/>
      <c r="AD166" s="6"/>
      <c r="AE166" s="7"/>
      <c r="AF166" s="7"/>
      <c r="AG166" s="7"/>
      <c r="AH166" s="7"/>
      <c r="AI166" s="7"/>
      <c r="AJ166" s="7"/>
      <c r="AK166" s="7"/>
      <c r="AL166" s="7"/>
      <c r="AM166" s="7"/>
      <c r="AN166" s="7"/>
      <c r="AO166" s="6"/>
      <c r="AP166" s="7"/>
      <c r="AQ166" s="7"/>
      <c r="AR166" s="6"/>
      <c r="AS166" s="7"/>
      <c r="AT166" s="7"/>
      <c r="AU166" s="7"/>
      <c r="AV166" s="7"/>
      <c r="AW166" s="7"/>
      <c r="AX166" s="7"/>
      <c r="AY166" s="7"/>
      <c r="AZ166" s="7"/>
      <c r="BA166" s="7"/>
      <c r="BB166" s="7"/>
      <c r="BC166" s="7"/>
      <c r="BD166" s="7"/>
      <c r="BE166" s="7"/>
      <c r="BF166" s="7"/>
      <c r="BG166" s="7"/>
    </row>
    <row r="167" customHeight="1" spans="1:59">
      <c r="A167" s="9" t="str">
        <f>IFERROR(__xludf.DUMMYFUNCTION("""COMPUTED_VALUE"""),"Cellin 12")</f>
        <v>Cellin 12</v>
      </c>
      <c r="B167" s="5" t="str">
        <f>IFERROR(__xludf.DUMMYFUNCTION("""COMPUTED_VALUE"""),"Cellin 19")</f>
        <v>Cellin 19</v>
      </c>
      <c r="C167" s="5" t="str">
        <f>IFERROR(__xludf.DUMMYFUNCTION("""COMPUTED_VALUE"""),"Cellin 05")</f>
        <v>Cellin 05</v>
      </c>
      <c r="D167" s="23" t="str">
        <f>IFERROR(__xludf.DUMMYFUNCTION("""COMPUTED_VALUE"""),"Flanagan's Ravine Aid Shelter")</f>
        <v>Flanagan's Ravine Aid Shelter</v>
      </c>
      <c r="E167" s="23" t="str">
        <f>IFERROR(__xludf.DUMMYFUNCTION("""COMPUTED_VALUE"""),"Flanagan")</f>
        <v>Flanagan</v>
      </c>
      <c r="F167" s="8">
        <f>IFERROR(__xludf.DUMMYFUNCTION("""COMPUTED_VALUE"""),-194.282409239)</f>
        <v>-194.282409239</v>
      </c>
      <c r="G167" s="8">
        <f>IFERROR(__xludf.DUMMYFUNCTION("""COMPUTED_VALUE"""),151.722017958999)</f>
        <v>151.722017958999</v>
      </c>
      <c r="H167" s="8">
        <f>IFERROR(__xludf.DUMMYFUNCTION("""COMPUTED_VALUE"""),84.996712245)</f>
        <v>84.996712245</v>
      </c>
      <c r="I167" s="13"/>
      <c r="J167" s="14"/>
      <c r="K167" s="14"/>
      <c r="L167" s="14"/>
      <c r="M167" s="7" t="b">
        <f>IFERROR(__xludf.DUMMYFUNCTION("""COMPUTED_VALUE"""),TRUE)</f>
        <v>1</v>
      </c>
      <c r="N167" s="10">
        <f>IFERROR(__xludf.DUMMYFUNCTION("""COMPUTED_VALUE"""),0)</f>
        <v>0</v>
      </c>
      <c r="O167" s="10">
        <f>IFERROR(__xludf.DUMMYFUNCTION("""COMPUTED_VALUE"""),0)</f>
        <v>0</v>
      </c>
      <c r="P167" s="8"/>
      <c r="Q167" s="7"/>
      <c r="R167" s="16"/>
      <c r="S167" s="17"/>
      <c r="T167" s="8"/>
      <c r="U167" s="8"/>
      <c r="V167" s="22"/>
      <c r="W167" s="12"/>
      <c r="X167" s="12"/>
      <c r="Y167" s="12"/>
      <c r="Z167" s="12"/>
      <c r="AA167" s="7"/>
      <c r="AB167" s="12"/>
      <c r="AC167" s="6"/>
      <c r="AD167" s="6"/>
      <c r="AE167" s="7"/>
      <c r="AF167" s="7"/>
      <c r="AG167" s="7"/>
      <c r="AH167" s="7"/>
      <c r="AI167" s="7"/>
      <c r="AJ167" s="7"/>
      <c r="AK167" s="7"/>
      <c r="AL167" s="7"/>
      <c r="AM167" s="7"/>
      <c r="AN167" s="7"/>
      <c r="AO167" s="6"/>
      <c r="AP167" s="7"/>
      <c r="AQ167" s="7"/>
      <c r="AR167" s="6"/>
      <c r="AS167" s="7"/>
      <c r="AT167" s="7"/>
      <c r="AU167" s="7"/>
      <c r="AV167" s="7"/>
      <c r="AW167" s="7"/>
      <c r="AX167" s="7"/>
      <c r="AY167" s="7"/>
      <c r="AZ167" s="7"/>
      <c r="BA167" s="7"/>
      <c r="BB167" s="7"/>
      <c r="BC167" s="7"/>
      <c r="BD167" s="7"/>
      <c r="BE167" s="7"/>
      <c r="BF167" s="7"/>
      <c r="BG167" s="7"/>
    </row>
    <row r="168" customHeight="1" spans="1:59">
      <c r="A168" s="9" t="str">
        <f>IFERROR(__xludf.DUMMYFUNCTION("""COMPUTED_VALUE"""),"Cellin 13")</f>
        <v>Cellin 13</v>
      </c>
      <c r="B168" s="5" t="str">
        <f>IFERROR(__xludf.DUMMYFUNCTION("""COMPUTED_VALUE"""),"Cellin 20")</f>
        <v>Cellin 20</v>
      </c>
      <c r="C168" s="5" t="str">
        <f>IFERROR(__xludf.DUMMYFUNCTION("""COMPUTED_VALUE"""),"Cellin 25")</f>
        <v>Cellin 25</v>
      </c>
      <c r="D168" s="23" t="str">
        <f>IFERROR(__xludf.DUMMYFUNCTION("""COMPUTED_VALUE"""),"Julep Ravine Aid Shelter")</f>
        <v>Julep Ravine Aid Shelter</v>
      </c>
      <c r="E168" s="23" t="str">
        <f>IFERROR(__xludf.DUMMYFUNCTION("""COMPUTED_VALUE"""),"Julep")</f>
        <v>Julep</v>
      </c>
      <c r="F168" s="8">
        <f>IFERROR(__xludf.DUMMYFUNCTION("""COMPUTED_VALUE"""),-111.527725091999)</f>
        <v>-111.527725091999</v>
      </c>
      <c r="G168" s="8">
        <f>IFERROR(__xludf.DUMMYFUNCTION("""COMPUTED_VALUE"""),-56.296659414)</f>
        <v>-56.296659414</v>
      </c>
      <c r="H168" s="8">
        <f>IFERROR(__xludf.DUMMYFUNCTION("""COMPUTED_VALUE"""),-228.949606357)</f>
        <v>-228.949606357</v>
      </c>
      <c r="I168" s="13"/>
      <c r="J168" s="14"/>
      <c r="K168" s="14"/>
      <c r="L168" s="14"/>
      <c r="M168" s="7" t="b">
        <f>IFERROR(__xludf.DUMMYFUNCTION("""COMPUTED_VALUE"""),TRUE)</f>
        <v>1</v>
      </c>
      <c r="N168" s="10">
        <f>IFERROR(__xludf.DUMMYFUNCTION("""COMPUTED_VALUE"""),0)</f>
        <v>0</v>
      </c>
      <c r="O168" s="10">
        <f>IFERROR(__xludf.DUMMYFUNCTION("""COMPUTED_VALUE"""),0)</f>
        <v>0</v>
      </c>
      <c r="P168" s="8"/>
      <c r="Q168" s="7"/>
      <c r="R168" s="16"/>
      <c r="S168" s="17"/>
      <c r="T168" s="8"/>
      <c r="U168" s="8"/>
      <c r="V168" s="22"/>
      <c r="W168" s="12"/>
      <c r="X168" s="12"/>
      <c r="Y168" s="12"/>
      <c r="Z168" s="12"/>
      <c r="AA168" s="7"/>
      <c r="AB168" s="12"/>
      <c r="AC168" s="6"/>
      <c r="AD168" s="6"/>
      <c r="AE168" s="7"/>
      <c r="AF168" s="7"/>
      <c r="AG168" s="7"/>
      <c r="AH168" s="7"/>
      <c r="AI168" s="7"/>
      <c r="AJ168" s="7"/>
      <c r="AK168" s="7"/>
      <c r="AL168" s="7"/>
      <c r="AM168" s="7"/>
      <c r="AN168" s="7"/>
      <c r="AO168" s="6"/>
      <c r="AP168" s="7"/>
      <c r="AQ168" s="7"/>
      <c r="AR168" s="6"/>
      <c r="AS168" s="7"/>
      <c r="AT168" s="7"/>
      <c r="AU168" s="7"/>
      <c r="AV168" s="7"/>
      <c r="AW168" s="7"/>
      <c r="AX168" s="7"/>
      <c r="AY168" s="7"/>
      <c r="AZ168" s="7"/>
      <c r="BA168" s="7"/>
      <c r="BB168" s="7"/>
      <c r="BC168" s="7"/>
      <c r="BD168" s="7"/>
      <c r="BE168" s="7"/>
      <c r="BF168" s="7"/>
      <c r="BG168" s="7"/>
    </row>
    <row r="169" customHeight="1" spans="1:59">
      <c r="A169" s="9" t="str">
        <f>IFERROR(__xludf.DUMMYFUNCTION("""COMPUTED_VALUE"""),"Cellin 14")</f>
        <v>Cellin 14</v>
      </c>
      <c r="B169" s="5" t="str">
        <f>IFERROR(__xludf.DUMMYFUNCTION("""COMPUTED_VALUE"""),"Cellin 21")</f>
        <v>Cellin 21</v>
      </c>
      <c r="C169" s="5" t="str">
        <f>IFERROR(__xludf.DUMMYFUNCTION("""COMPUTED_VALUE"""),"Cellin 02")</f>
        <v>Cellin 02</v>
      </c>
      <c r="D169" s="23" t="str">
        <f>IFERROR(__xludf.DUMMYFUNCTION("""COMPUTED_VALUE"""),"Mogote Aid Shelter")</f>
        <v>Mogote Aid Shelter</v>
      </c>
      <c r="E169" s="23" t="str">
        <f>IFERROR(__xludf.DUMMYFUNCTION("""COMPUTED_VALUE"""),"Mogate")</f>
        <v>Mogate</v>
      </c>
      <c r="F169" s="8">
        <f>IFERROR(__xludf.DUMMYFUNCTION("""COMPUTED_VALUE"""),-198.66438993)</f>
        <v>-198.66438993</v>
      </c>
      <c r="G169" s="8">
        <f>IFERROR(__xludf.DUMMYFUNCTION("""COMPUTED_VALUE"""),50.789738103)</f>
        <v>50.789738103</v>
      </c>
      <c r="H169" s="8">
        <f>IFERROR(__xludf.DUMMYFUNCTION("""COMPUTED_VALUE"""),160.874780686999)</f>
        <v>160.874780686999</v>
      </c>
      <c r="I169" s="13"/>
      <c r="J169" s="14"/>
      <c r="K169" s="14"/>
      <c r="L169" s="14"/>
      <c r="M169" s="7" t="b">
        <f>IFERROR(__xludf.DUMMYFUNCTION("""COMPUTED_VALUE"""),TRUE)</f>
        <v>1</v>
      </c>
      <c r="N169" s="10">
        <f>IFERROR(__xludf.DUMMYFUNCTION("""COMPUTED_VALUE"""),0)</f>
        <v>0</v>
      </c>
      <c r="O169" s="10">
        <f>IFERROR(__xludf.DUMMYFUNCTION("""COMPUTED_VALUE"""),0)</f>
        <v>0</v>
      </c>
      <c r="P169" s="8"/>
      <c r="Q169" s="7"/>
      <c r="R169" s="16"/>
      <c r="S169" s="17"/>
      <c r="T169" s="8"/>
      <c r="U169" s="8"/>
      <c r="V169" s="22"/>
      <c r="W169" s="12"/>
      <c r="X169" s="12"/>
      <c r="Y169" s="12"/>
      <c r="Z169" s="12"/>
      <c r="AA169" s="7"/>
      <c r="AB169" s="12"/>
      <c r="AC169" s="6"/>
      <c r="AD169" s="6"/>
      <c r="AE169" s="7"/>
      <c r="AF169" s="7"/>
      <c r="AG169" s="7"/>
      <c r="AH169" s="7"/>
      <c r="AI169" s="7"/>
      <c r="AJ169" s="7"/>
      <c r="AK169" s="7"/>
      <c r="AL169" s="7"/>
      <c r="AM169" s="7"/>
      <c r="AN169" s="7"/>
      <c r="AO169" s="6"/>
      <c r="AP169" s="7"/>
      <c r="AQ169" s="7"/>
      <c r="AR169" s="6"/>
      <c r="AS169" s="7"/>
      <c r="AT169" s="7"/>
      <c r="AU169" s="7"/>
      <c r="AV169" s="7"/>
      <c r="AW169" s="7"/>
      <c r="AX169" s="7"/>
      <c r="AY169" s="7"/>
      <c r="AZ169" s="7"/>
      <c r="BA169" s="7"/>
      <c r="BB169" s="7"/>
      <c r="BC169" s="7"/>
      <c r="BD169" s="7"/>
      <c r="BE169" s="7"/>
      <c r="BF169" s="7"/>
      <c r="BG169" s="7"/>
    </row>
    <row r="170" customHeight="1" spans="1:59">
      <c r="A170" s="9" t="str">
        <f>IFERROR(__xludf.DUMMYFUNCTION("""COMPUTED_VALUE"""),"Cellin")</f>
        <v>Cellin</v>
      </c>
      <c r="B170" s="5" t="str">
        <f>IFERROR(__xludf.DUMMYFUNCTION("""COMPUTED_VALUE"""),"Cellin 23")</f>
        <v>Cellin 23</v>
      </c>
      <c r="C170" s="5"/>
      <c r="D170" s="23" t="str">
        <f>IFERROR(__xludf.DUMMYFUNCTION("""COMPUTED_VALUE"""),"Wrecks")</f>
        <v>Wrecks</v>
      </c>
      <c r="E170" s="23"/>
      <c r="F170" s="8"/>
      <c r="G170" s="8"/>
      <c r="H170" s="8"/>
      <c r="I170" s="13"/>
      <c r="J170" s="14"/>
      <c r="K170" s="14"/>
      <c r="L170" s="14"/>
      <c r="M170" s="7"/>
      <c r="N170" s="10"/>
      <c r="O170" s="10"/>
      <c r="P170" s="8"/>
      <c r="Q170" s="7"/>
      <c r="R170" s="16"/>
      <c r="S170" s="17"/>
      <c r="T170" s="8"/>
      <c r="U170" s="8"/>
      <c r="V170" s="22"/>
      <c r="W170" s="12"/>
      <c r="X170" s="12"/>
      <c r="Y170" s="12"/>
      <c r="Z170" s="12"/>
      <c r="AA170" s="7"/>
      <c r="AB170" s="12"/>
      <c r="AC170" s="6"/>
      <c r="AD170" s="6"/>
      <c r="AE170" s="7"/>
      <c r="AF170" s="7"/>
      <c r="AG170" s="7"/>
      <c r="AH170" s="7"/>
      <c r="AI170" s="7"/>
      <c r="AJ170" s="7"/>
      <c r="AK170" s="7"/>
      <c r="AL170" s="7"/>
      <c r="AM170" s="7"/>
      <c r="AN170" s="7"/>
      <c r="AO170" s="6"/>
      <c r="AP170" s="7"/>
      <c r="AQ170" s="7"/>
      <c r="AR170" s="6"/>
      <c r="AS170" s="7"/>
      <c r="AT170" s="7"/>
      <c r="AU170" s="7"/>
      <c r="AV170" s="7"/>
      <c r="AW170" s="7"/>
      <c r="AX170" s="7"/>
      <c r="AY170" s="7"/>
      <c r="AZ170" s="7"/>
      <c r="BA170" s="7"/>
      <c r="BB170" s="7"/>
      <c r="BC170" s="7"/>
      <c r="BD170" s="7"/>
      <c r="BE170" s="7"/>
      <c r="BF170" s="7"/>
      <c r="BG170" s="7"/>
    </row>
    <row r="171" customHeight="1" spans="1:59">
      <c r="A171" s="9" t="str">
        <f>IFERROR(__xludf.DUMMYFUNCTION("""COMPUTED_VALUE"""),"Cellin 18")</f>
        <v>Cellin 18</v>
      </c>
      <c r="B171" s="5" t="str">
        <f>IFERROR(__xludf.DUMMYFUNCTION("""COMPUTED_VALUE"""),"Cellin 25")</f>
        <v>Cellin 25</v>
      </c>
      <c r="C171" s="5" t="str">
        <f>IFERROR(__xludf.DUMMYFUNCTION("""COMPUTED_VALUE"""),"Cellin 18")</f>
        <v>Cellin 18</v>
      </c>
      <c r="D171" s="23" t="str">
        <f>IFERROR(__xludf.DUMMYFUNCTION("""COMPUTED_VALUE"""),"Caterpillar Wreck 21T")</f>
        <v>Caterpillar Wreck 21T</v>
      </c>
      <c r="E171" s="23" t="str">
        <f>IFERROR(__xludf.DUMMYFUNCTION("""COMPUTED_VALUE"""),"Caterpillar 21T")</f>
        <v>Caterpillar 21T</v>
      </c>
      <c r="F171" s="8">
        <f>IFERROR(__xludf.DUMMYFUNCTION("""COMPUTED_VALUE"""),112.178110205)</f>
        <v>112.178110205</v>
      </c>
      <c r="G171" s="8">
        <f>IFERROR(__xludf.DUMMYFUNCTION("""COMPUTED_VALUE"""),-163.729527342999)</f>
        <v>-163.729527342999</v>
      </c>
      <c r="H171" s="8">
        <f>IFERROR(__xludf.DUMMYFUNCTION("""COMPUTED_VALUE"""),169.625281977)</f>
        <v>169.625281977</v>
      </c>
      <c r="I171" s="13"/>
      <c r="J171" s="14"/>
      <c r="K171" s="14"/>
      <c r="L171" s="14"/>
      <c r="M171" s="7"/>
      <c r="N171" s="10"/>
      <c r="O171" s="10"/>
      <c r="P171" s="8"/>
      <c r="Q171" s="7"/>
      <c r="R171" s="16"/>
      <c r="S171" s="17"/>
      <c r="T171" s="8"/>
      <c r="U171" s="8"/>
      <c r="V171" s="22"/>
      <c r="W171" s="12"/>
      <c r="X171" s="12"/>
      <c r="Y171" s="12"/>
      <c r="Z171" s="12"/>
      <c r="AA171" s="7"/>
      <c r="AB171" s="12"/>
      <c r="AC171" s="6"/>
      <c r="AD171" s="6"/>
      <c r="AE171" s="7"/>
      <c r="AF171" s="7"/>
      <c r="AG171" s="7"/>
      <c r="AH171" s="7"/>
      <c r="AI171" s="7"/>
      <c r="AJ171" s="7"/>
      <c r="AK171" s="7"/>
      <c r="AL171" s="7"/>
      <c r="AM171" s="7"/>
      <c r="AN171" s="7"/>
      <c r="AO171" s="6"/>
      <c r="AP171" s="7"/>
      <c r="AQ171" s="7"/>
      <c r="AR171" s="6"/>
      <c r="AS171" s="7"/>
      <c r="AT171" s="7"/>
      <c r="AU171" s="7"/>
      <c r="AV171" s="7"/>
      <c r="AW171" s="7"/>
      <c r="AX171" s="7"/>
      <c r="AY171" s="7"/>
      <c r="AZ171" s="7"/>
      <c r="BA171" s="7"/>
      <c r="BB171" s="7"/>
      <c r="BC171" s="7"/>
      <c r="BD171" s="7"/>
      <c r="BE171" s="7"/>
      <c r="BF171" s="7"/>
      <c r="BG171" s="7"/>
    </row>
    <row r="172" customHeight="1" spans="1:59">
      <c r="A172" s="9" t="str">
        <f>IFERROR(__xludf.DUMMYFUNCTION("""COMPUTED_VALUE"""),"Cellin 17")</f>
        <v>Cellin 17</v>
      </c>
      <c r="B172" s="5" t="str">
        <f>IFERROR(__xludf.DUMMYFUNCTION("""COMPUTED_VALUE"""),"Cellin 24")</f>
        <v>Cellin 24</v>
      </c>
      <c r="C172" s="5" t="str">
        <f>IFERROR(__xludf.DUMMYFUNCTION("""COMPUTED_VALUE"""),"Cellin 20")</f>
        <v>Cellin 20</v>
      </c>
      <c r="D172" s="23" t="str">
        <f>IFERROR(__xludf.DUMMYFUNCTION("""COMPUTED_VALUE"""),"Caterpillar Wreck 18U")</f>
        <v>Caterpillar Wreck 18U</v>
      </c>
      <c r="E172" s="23" t="str">
        <f>IFERROR(__xludf.DUMMYFUNCTION("""COMPUTED_VALUE"""),"Caterpillar 18U")</f>
        <v>Caterpillar 18U</v>
      </c>
      <c r="F172" s="8">
        <f>IFERROR(__xludf.DUMMYFUNCTION("""COMPUTED_VALUE"""),36.77563612)</f>
        <v>36.77563612</v>
      </c>
      <c r="G172" s="8">
        <f>IFERROR(__xludf.DUMMYFUNCTION("""COMPUTED_VALUE"""),-152.500653764999)</f>
        <v>-152.500653764999</v>
      </c>
      <c r="H172" s="8">
        <f>IFERROR(__xludf.DUMMYFUNCTION("""COMPUTED_VALUE"""),208.898621596999)</f>
        <v>208.898621596999</v>
      </c>
      <c r="I172" s="13"/>
      <c r="J172" s="14"/>
      <c r="K172" s="14"/>
      <c r="L172" s="14"/>
      <c r="M172" s="7" t="b">
        <f>IFERROR(__xludf.DUMMYFUNCTION("""COMPUTED_VALUE"""),FALSE)</f>
        <v>0</v>
      </c>
      <c r="N172" s="10">
        <f>IFERROR(__xludf.DUMMYFUNCTION("""COMPUTED_VALUE"""),0)</f>
        <v>0</v>
      </c>
      <c r="O172" s="10">
        <f>IFERROR(__xludf.DUMMYFUNCTION("""COMPUTED_VALUE"""),0)</f>
        <v>0</v>
      </c>
      <c r="P172" s="8"/>
      <c r="Q172" s="7"/>
      <c r="R172" s="16"/>
      <c r="S172" s="17"/>
      <c r="T172" s="8"/>
      <c r="U172" s="8"/>
      <c r="V172" s="22"/>
      <c r="W172" s="12"/>
      <c r="X172" s="12"/>
      <c r="Y172" s="12"/>
      <c r="Z172" s="12"/>
      <c r="AA172" s="7"/>
      <c r="AB172" s="12"/>
      <c r="AC172" s="6"/>
      <c r="AD172" s="6"/>
      <c r="AE172" s="7"/>
      <c r="AF172" s="7"/>
      <c r="AG172" s="7"/>
      <c r="AH172" s="7"/>
      <c r="AI172" s="7"/>
      <c r="AJ172" s="7"/>
      <c r="AK172" s="7"/>
      <c r="AL172" s="7"/>
      <c r="AM172" s="7"/>
      <c r="AN172" s="7"/>
      <c r="AO172" s="6"/>
      <c r="AP172" s="7"/>
      <c r="AQ172" s="7"/>
      <c r="AR172" s="6"/>
      <c r="AS172" s="7"/>
      <c r="AT172" s="7"/>
      <c r="AU172" s="7"/>
      <c r="AV172" s="7"/>
      <c r="AW172" s="7"/>
      <c r="AX172" s="7"/>
      <c r="AY172" s="7"/>
      <c r="AZ172" s="7"/>
      <c r="BA172" s="7"/>
      <c r="BB172" s="7"/>
      <c r="BC172" s="7"/>
      <c r="BD172" s="7"/>
      <c r="BE172" s="7"/>
      <c r="BF172" s="7"/>
      <c r="BG172" s="7"/>
    </row>
    <row r="173" customHeight="1" spans="1:59">
      <c r="A173" s="9" t="str">
        <f>IFERROR(__xludf.DUMMYFUNCTION("""COMPUTED_VALUE"""),"Cellin 19")</f>
        <v>Cellin 19</v>
      </c>
      <c r="B173" s="5" t="str">
        <f>IFERROR(__xludf.DUMMYFUNCTION("""COMPUTED_VALUE"""),"Cellin 26")</f>
        <v>Cellin 26</v>
      </c>
      <c r="C173" s="5" t="str">
        <f>IFERROR(__xludf.DUMMYFUNCTION("""COMPUTED_VALUE"""),"Cellin 03")</f>
        <v>Cellin 03</v>
      </c>
      <c r="D173" s="23" t="str">
        <f>IFERROR(__xludf.DUMMYFUNCTION("""COMPUTED_VALUE"""),"Constellation Wreck")</f>
        <v>Constellation Wreck</v>
      </c>
      <c r="E173" s="23" t="str">
        <f>IFERROR(__xludf.DUMMYFUNCTION("""COMPUTED_VALUE"""),"Constellation")</f>
        <v>Constellation</v>
      </c>
      <c r="F173" s="8">
        <f>IFERROR(__xludf.DUMMYFUNCTION("""COMPUTED_VALUE"""),-243.602356926)</f>
        <v>-243.602356926</v>
      </c>
      <c r="G173" s="8">
        <f>IFERROR(__xludf.DUMMYFUNCTION("""COMPUTED_VALUE"""),85.478663203)</f>
        <v>85.478663203</v>
      </c>
      <c r="H173" s="8">
        <f>IFERROR(__xludf.DUMMYFUNCTION("""COMPUTED_VALUE"""),38.768882423)</f>
        <v>38.768882423</v>
      </c>
      <c r="I173" s="13"/>
      <c r="J173" s="14"/>
      <c r="K173" s="14"/>
      <c r="L173" s="14"/>
      <c r="M173" s="7" t="b">
        <f>IFERROR(__xludf.DUMMYFUNCTION("""COMPUTED_VALUE"""),FALSE)</f>
        <v>0</v>
      </c>
      <c r="N173" s="10">
        <f>IFERROR(__xludf.DUMMYFUNCTION("""COMPUTED_VALUE"""),0)</f>
        <v>0</v>
      </c>
      <c r="O173" s="10">
        <f>IFERROR(__xludf.DUMMYFUNCTION("""COMPUTED_VALUE"""),0)</f>
        <v>0</v>
      </c>
      <c r="P173" s="8"/>
      <c r="Q173" s="7"/>
      <c r="R173" s="16"/>
      <c r="S173" s="17"/>
      <c r="T173" s="8"/>
      <c r="U173" s="8"/>
      <c r="V173" s="22"/>
      <c r="W173" s="12"/>
      <c r="X173" s="12"/>
      <c r="Y173" s="12"/>
      <c r="Z173" s="12"/>
      <c r="AA173" s="7"/>
      <c r="AB173" s="12"/>
      <c r="AC173" s="6"/>
      <c r="AD173" s="6"/>
      <c r="AE173" s="7"/>
      <c r="AF173" s="7"/>
      <c r="AG173" s="7"/>
      <c r="AH173" s="7"/>
      <c r="AI173" s="7"/>
      <c r="AJ173" s="7"/>
      <c r="AK173" s="7"/>
      <c r="AL173" s="7"/>
      <c r="AM173" s="7"/>
      <c r="AN173" s="7"/>
      <c r="AO173" s="6"/>
      <c r="AP173" s="7"/>
      <c r="AQ173" s="7"/>
      <c r="AR173" s="6"/>
      <c r="AS173" s="7"/>
      <c r="AT173" s="7"/>
      <c r="AU173" s="7"/>
      <c r="AV173" s="7"/>
      <c r="AW173" s="7"/>
      <c r="AX173" s="7"/>
      <c r="AY173" s="7"/>
      <c r="AZ173" s="7"/>
      <c r="BA173" s="7"/>
      <c r="BB173" s="7"/>
      <c r="BC173" s="7"/>
      <c r="BD173" s="7"/>
      <c r="BE173" s="7"/>
      <c r="BF173" s="7"/>
      <c r="BG173" s="7"/>
    </row>
    <row r="174" customHeight="1" spans="1:59">
      <c r="A174" s="9" t="str">
        <f>IFERROR(__xludf.DUMMYFUNCTION("""COMPUTED_VALUE"""),"Cellin 20")</f>
        <v>Cellin 20</v>
      </c>
      <c r="B174" s="5" t="str">
        <f>IFERROR(__xludf.DUMMYFUNCTION("""COMPUTED_VALUE"""),"Cellin 27")</f>
        <v>Cellin 27</v>
      </c>
      <c r="C174" s="5" t="str">
        <f>IFERROR(__xludf.DUMMYFUNCTION("""COMPUTED_VALUE"""),"Cellin 04")</f>
        <v>Cellin 04</v>
      </c>
      <c r="D174" s="23" t="str">
        <f>IFERROR(__xludf.DUMMYFUNCTION("""COMPUTED_VALUE"""),"Cutlass Wreck")</f>
        <v>Cutlass Wreck</v>
      </c>
      <c r="E174" s="23" t="str">
        <f>IFERROR(__xludf.DUMMYFUNCTION("""COMPUTED_VALUE"""),"Cutlass")</f>
        <v>Cutlass</v>
      </c>
      <c r="F174" s="8">
        <f>IFERROR(__xludf.DUMMYFUNCTION("""COMPUTED_VALUE"""),-231.141707511999)</f>
        <v>-231.141707511999</v>
      </c>
      <c r="G174" s="8">
        <f>IFERROR(__xludf.DUMMYFUNCTION("""COMPUTED_VALUE"""),109.974970837999)</f>
        <v>109.974970837999</v>
      </c>
      <c r="H174" s="8">
        <f>IFERROR(__xludf.DUMMYFUNCTION("""COMPUTED_VALUE"""),50.933375967)</f>
        <v>50.933375967</v>
      </c>
      <c r="I174" s="13"/>
      <c r="J174" s="14"/>
      <c r="K174" s="14"/>
      <c r="L174" s="14"/>
      <c r="M174" s="7" t="b">
        <f>IFERROR(__xludf.DUMMYFUNCTION("""COMPUTED_VALUE"""),FALSE)</f>
        <v>0</v>
      </c>
      <c r="N174" s="10">
        <f>IFERROR(__xludf.DUMMYFUNCTION("""COMPUTED_VALUE"""),0)</f>
        <v>0</v>
      </c>
      <c r="O174" s="10">
        <f>IFERROR(__xludf.DUMMYFUNCTION("""COMPUTED_VALUE"""),0)</f>
        <v>0</v>
      </c>
      <c r="P174" s="8"/>
      <c r="Q174" s="7"/>
      <c r="R174" s="16"/>
      <c r="S174" s="17"/>
      <c r="T174" s="8"/>
      <c r="U174" s="8"/>
      <c r="V174" s="22"/>
      <c r="W174" s="12"/>
      <c r="X174" s="12"/>
      <c r="Y174" s="12"/>
      <c r="Z174" s="12"/>
      <c r="AA174" s="7"/>
      <c r="AB174" s="12"/>
      <c r="AC174" s="6"/>
      <c r="AD174" s="6"/>
      <c r="AE174" s="7"/>
      <c r="AF174" s="7"/>
      <c r="AG174" s="7"/>
      <c r="AH174" s="7"/>
      <c r="AI174" s="7"/>
      <c r="AJ174" s="7"/>
      <c r="AK174" s="7"/>
      <c r="AL174" s="7"/>
      <c r="AM174" s="7"/>
      <c r="AN174" s="7"/>
      <c r="AO174" s="6"/>
      <c r="AP174" s="7"/>
      <c r="AQ174" s="7"/>
      <c r="AR174" s="6"/>
      <c r="AS174" s="7"/>
      <c r="AT174" s="7"/>
      <c r="AU174" s="7"/>
      <c r="AV174" s="7"/>
      <c r="AW174" s="7"/>
      <c r="AX174" s="7"/>
      <c r="AY174" s="7"/>
      <c r="AZ174" s="7"/>
      <c r="BA174" s="7"/>
      <c r="BB174" s="7"/>
      <c r="BC174" s="7"/>
      <c r="BD174" s="7"/>
      <c r="BE174" s="7"/>
      <c r="BF174" s="7"/>
      <c r="BG174" s="7"/>
    </row>
    <row r="175" customHeight="1" spans="1:59">
      <c r="A175" s="9" t="str">
        <f>IFERROR(__xludf.DUMMYFUNCTION("""COMPUTED_VALUE"""),"Cellin 21")</f>
        <v>Cellin 21</v>
      </c>
      <c r="B175" s="5" t="str">
        <f>IFERROR(__xludf.DUMMYFUNCTION("""COMPUTED_VALUE"""),"Cellin 28")</f>
        <v>Cellin 28</v>
      </c>
      <c r="C175" s="5" t="str">
        <f>IFERROR(__xludf.DUMMYFUNCTION("""COMPUTED_VALUE"""),"Cellin 12")</f>
        <v>Cellin 12</v>
      </c>
      <c r="D175" s="23" t="str">
        <f>IFERROR(__xludf.DUMMYFUNCTION("""COMPUTED_VALUE"""),"Freelancer Wreck")</f>
        <v>Freelancer Wreck</v>
      </c>
      <c r="E175" s="23" t="str">
        <f>IFERROR(__xludf.DUMMYFUNCTION("""COMPUTED_VALUE"""),"Freelancer")</f>
        <v>Freelancer</v>
      </c>
      <c r="F175" s="8">
        <f>IFERROR(__xludf.DUMMYFUNCTION("""COMPUTED_VALUE"""),125.55260103)</f>
        <v>125.55260103</v>
      </c>
      <c r="G175" s="8">
        <f>IFERROR(__xludf.DUMMYFUNCTION("""COMPUTED_VALUE"""),138.116999413999)</f>
        <v>138.116999413999</v>
      </c>
      <c r="H175" s="8">
        <f>IFERROR(__xludf.DUMMYFUNCTION("""COMPUTED_VALUE"""),-182.239186726999)</f>
        <v>-182.239186726999</v>
      </c>
      <c r="I175" s="13"/>
      <c r="J175" s="14"/>
      <c r="K175" s="14"/>
      <c r="L175" s="14"/>
      <c r="M175" s="7" t="b">
        <f>IFERROR(__xludf.DUMMYFUNCTION("""COMPUTED_VALUE"""),FALSE)</f>
        <v>0</v>
      </c>
      <c r="N175" s="10">
        <f>IFERROR(__xludf.DUMMYFUNCTION("""COMPUTED_VALUE"""),0)</f>
        <v>0</v>
      </c>
      <c r="O175" s="10">
        <f>IFERROR(__xludf.DUMMYFUNCTION("""COMPUTED_VALUE"""),0)</f>
        <v>0</v>
      </c>
      <c r="P175" s="8"/>
      <c r="Q175" s="7"/>
      <c r="R175" s="16"/>
      <c r="S175" s="17"/>
      <c r="T175" s="8"/>
      <c r="U175" s="8"/>
      <c r="V175" s="22"/>
      <c r="W175" s="12"/>
      <c r="X175" s="12"/>
      <c r="Y175" s="12"/>
      <c r="Z175" s="12"/>
      <c r="AA175" s="7"/>
      <c r="AB175" s="12"/>
      <c r="AC175" s="6"/>
      <c r="AD175" s="6"/>
      <c r="AE175" s="7"/>
      <c r="AF175" s="7"/>
      <c r="AG175" s="7"/>
      <c r="AH175" s="7"/>
      <c r="AI175" s="7"/>
      <c r="AJ175" s="7"/>
      <c r="AK175" s="7"/>
      <c r="AL175" s="7"/>
      <c r="AM175" s="7"/>
      <c r="AN175" s="7"/>
      <c r="AO175" s="6"/>
      <c r="AP175" s="7"/>
      <c r="AQ175" s="7"/>
      <c r="AR175" s="6"/>
      <c r="AS175" s="7"/>
      <c r="AT175" s="7"/>
      <c r="AU175" s="7"/>
      <c r="AV175" s="7"/>
      <c r="AW175" s="7"/>
      <c r="AX175" s="7"/>
      <c r="AY175" s="7"/>
      <c r="AZ175" s="7"/>
      <c r="BA175" s="7"/>
      <c r="BB175" s="7"/>
      <c r="BC175" s="7"/>
      <c r="BD175" s="7"/>
      <c r="BE175" s="7"/>
      <c r="BF175" s="7"/>
      <c r="BG175" s="7"/>
    </row>
    <row r="176" customHeight="1" spans="1:59">
      <c r="A176" s="9" t="str">
        <f>IFERROR(__xludf.DUMMYFUNCTION("""COMPUTED_VALUE"""),"Cellin 22")</f>
        <v>Cellin 22</v>
      </c>
      <c r="B176" s="5" t="str">
        <f>IFERROR(__xludf.DUMMYFUNCTION("""COMPUTED_VALUE"""),"Cellin 29")</f>
        <v>Cellin 29</v>
      </c>
      <c r="C176" s="5" t="str">
        <f>IFERROR(__xludf.DUMMYFUNCTION("""COMPUTED_VALUE"""),"Cellin 08")</f>
        <v>Cellin 08</v>
      </c>
      <c r="D176" s="23" t="str">
        <f>IFERROR(__xludf.DUMMYFUNCTION("""COMPUTED_VALUE"""),"Starfarer Wreck")</f>
        <v>Starfarer Wreck</v>
      </c>
      <c r="E176" s="23" t="str">
        <f>IFERROR(__xludf.DUMMYFUNCTION("""COMPUTED_VALUE"""),"Starfarer")</f>
        <v>Starfarer</v>
      </c>
      <c r="F176" s="8">
        <f>IFERROR(__xludf.DUMMYFUNCTION("""COMPUTED_VALUE"""),38.687554401)</f>
        <v>38.687554401</v>
      </c>
      <c r="G176" s="8">
        <f>IFERROR(__xludf.DUMMYFUNCTION("""COMPUTED_VALUE"""),166.47818745)</f>
        <v>166.47818745</v>
      </c>
      <c r="H176" s="8">
        <f>IFERROR(__xludf.DUMMYFUNCTION("""COMPUTED_VALUE"""),196.316955867)</f>
        <v>196.316955867</v>
      </c>
      <c r="I176" s="13"/>
      <c r="J176" s="14"/>
      <c r="K176" s="14"/>
      <c r="L176" s="14"/>
      <c r="M176" s="7" t="b">
        <f>IFERROR(__xludf.DUMMYFUNCTION("""COMPUTED_VALUE"""),FALSE)</f>
        <v>0</v>
      </c>
      <c r="N176" s="10">
        <f>IFERROR(__xludf.DUMMYFUNCTION("""COMPUTED_VALUE"""),0)</f>
        <v>0</v>
      </c>
      <c r="O176" s="10">
        <f>IFERROR(__xludf.DUMMYFUNCTION("""COMPUTED_VALUE"""),0)</f>
        <v>0</v>
      </c>
      <c r="P176" s="8"/>
      <c r="Q176" s="7"/>
      <c r="R176" s="16"/>
      <c r="S176" s="17"/>
      <c r="T176" s="8"/>
      <c r="U176" s="8"/>
      <c r="V176" s="22"/>
      <c r="W176" s="12"/>
      <c r="X176" s="12"/>
      <c r="Y176" s="12"/>
      <c r="Z176" s="12"/>
      <c r="AA176" s="7"/>
      <c r="AB176" s="12"/>
      <c r="AC176" s="6"/>
      <c r="AD176" s="6"/>
      <c r="AE176" s="7"/>
      <c r="AF176" s="7"/>
      <c r="AG176" s="7"/>
      <c r="AH176" s="7"/>
      <c r="AI176" s="7"/>
      <c r="AJ176" s="7"/>
      <c r="AK176" s="7"/>
      <c r="AL176" s="7"/>
      <c r="AM176" s="7"/>
      <c r="AN176" s="7"/>
      <c r="AO176" s="6"/>
      <c r="AP176" s="7"/>
      <c r="AQ176" s="7"/>
      <c r="AR176" s="6"/>
      <c r="AS176" s="7"/>
      <c r="AT176" s="7"/>
      <c r="AU176" s="7"/>
      <c r="AV176" s="7"/>
      <c r="AW176" s="7"/>
      <c r="AX176" s="7"/>
      <c r="AY176" s="7"/>
      <c r="AZ176" s="7"/>
      <c r="BA176" s="7"/>
      <c r="BB176" s="7"/>
      <c r="BC176" s="7"/>
      <c r="BD176" s="7"/>
      <c r="BE176" s="7"/>
      <c r="BF176" s="7"/>
      <c r="BG176" s="7"/>
    </row>
    <row r="177" customHeight="1" spans="1:59">
      <c r="A177" s="9" t="str">
        <f>IFERROR(__xludf.DUMMYFUNCTION("""COMPUTED_VALUE"""),"Cellin")</f>
        <v>Cellin</v>
      </c>
      <c r="B177" s="5" t="str">
        <f>IFERROR(__xludf.DUMMYFUNCTION("""COMPUTED_VALUE"""),"Cellin 31")</f>
        <v>Cellin 31</v>
      </c>
      <c r="C177" s="5"/>
      <c r="D177" s="23" t="str">
        <f>IFERROR(__xludf.DUMMYFUNCTION("""COMPUTED_VALUE"""),"Comm Array")</f>
        <v>Comm Array</v>
      </c>
      <c r="E177" s="23"/>
      <c r="F177" s="8"/>
      <c r="G177" s="8"/>
      <c r="H177" s="8"/>
      <c r="I177" s="13"/>
      <c r="J177" s="14"/>
      <c r="K177" s="14"/>
      <c r="L177" s="14"/>
      <c r="M177" s="7"/>
      <c r="N177" s="10"/>
      <c r="O177" s="10"/>
      <c r="P177" s="8"/>
      <c r="Q177" s="7"/>
      <c r="R177" s="16"/>
      <c r="S177" s="17"/>
      <c r="T177" s="8"/>
      <c r="U177" s="8"/>
      <c r="V177" s="22"/>
      <c r="W177" s="12"/>
      <c r="X177" s="12"/>
      <c r="Y177" s="12"/>
      <c r="Z177" s="12"/>
      <c r="AA177" s="7"/>
      <c r="AB177" s="12"/>
      <c r="AC177" s="6"/>
      <c r="AD177" s="6"/>
      <c r="AE177" s="7"/>
      <c r="AF177" s="7"/>
      <c r="AG177" s="7"/>
      <c r="AH177" s="7"/>
      <c r="AI177" s="7"/>
      <c r="AJ177" s="7"/>
      <c r="AK177" s="7"/>
      <c r="AL177" s="7"/>
      <c r="AM177" s="7"/>
      <c r="AN177" s="7"/>
      <c r="AO177" s="6"/>
      <c r="AP177" s="7"/>
      <c r="AQ177" s="7"/>
      <c r="AR177" s="6"/>
      <c r="AS177" s="7"/>
      <c r="AT177" s="7"/>
      <c r="AU177" s="7"/>
      <c r="AV177" s="7"/>
      <c r="AW177" s="7"/>
      <c r="AX177" s="7"/>
      <c r="AY177" s="7"/>
      <c r="AZ177" s="7"/>
      <c r="BA177" s="7"/>
      <c r="BB177" s="7"/>
      <c r="BC177" s="7"/>
      <c r="BD177" s="7"/>
      <c r="BE177" s="7"/>
      <c r="BF177" s="7"/>
      <c r="BG177" s="7"/>
    </row>
    <row r="178" customHeight="1" spans="1:59">
      <c r="A178" s="9" t="str">
        <f>IFERROR(__xludf.DUMMYFUNCTION("""COMPUTED_VALUE"""),"Cellin 15")</f>
        <v>Cellin 15</v>
      </c>
      <c r="B178" s="5" t="str">
        <f>IFERROR(__xludf.DUMMYFUNCTION("""COMPUTED_VALUE"""),"Cellin 32")</f>
        <v>Cellin 32</v>
      </c>
      <c r="C178" s="5" t="str">
        <f>IFERROR(__xludf.DUMMYFUNCTION("""COMPUTED_VALUE"""),"Cellin 10")</f>
        <v>Cellin 10</v>
      </c>
      <c r="D178" s="23" t="str">
        <f>IFERROR(__xludf.DUMMYFUNCTION("""COMPUTED_VALUE"""),"Comm Array ST2-28")</f>
        <v>Comm Array ST2-28</v>
      </c>
      <c r="E178" s="23" t="str">
        <f>IFERROR(__xludf.DUMMYFUNCTION("""COMPUTED_VALUE"""),"ST2-28")</f>
        <v>ST2-28</v>
      </c>
      <c r="F178" s="8">
        <f>IFERROR(__xludf.DUMMYFUNCTION("""COMPUTED_VALUE"""),242.243958999634)</f>
        <v>242.243958999634</v>
      </c>
      <c r="G178" s="8">
        <f>IFERROR(__xludf.DUMMYFUNCTION("""COMPUTED_VALUE"""),347.192687280178)</f>
        <v>347.192687280178</v>
      </c>
      <c r="H178" s="8">
        <f>IFERROR(__xludf.DUMMYFUNCTION("""COMPUTED_VALUE"""),24)</f>
        <v>24</v>
      </c>
      <c r="I178" s="13"/>
      <c r="J178" s="14"/>
      <c r="K178" s="14"/>
      <c r="L178" s="14"/>
      <c r="M178" s="7" t="b">
        <f>IFERROR(__xludf.DUMMYFUNCTION("""COMPUTED_VALUE"""),TRUE)</f>
        <v>1</v>
      </c>
      <c r="N178" s="10">
        <f>IFERROR(__xludf.DUMMYFUNCTION("""COMPUTED_VALUE"""),0)</f>
        <v>0</v>
      </c>
      <c r="O178" s="10">
        <f>IFERROR(__xludf.DUMMYFUNCTION("""COMPUTED_VALUE"""),0)</f>
        <v>0</v>
      </c>
      <c r="P178" s="8"/>
      <c r="Q178" s="7"/>
      <c r="R178" s="16"/>
      <c r="S178" s="17"/>
      <c r="T178" s="8"/>
      <c r="U178" s="8"/>
      <c r="V178" s="22"/>
      <c r="W178" s="12"/>
      <c r="X178" s="12"/>
      <c r="Y178" s="12"/>
      <c r="Z178" s="12"/>
      <c r="AA178" s="7"/>
      <c r="AB178" s="12"/>
      <c r="AC178" s="6"/>
      <c r="AD178" s="6"/>
      <c r="AE178" s="7"/>
      <c r="AF178" s="7"/>
      <c r="AG178" s="7"/>
      <c r="AH178" s="7"/>
      <c r="AI178" s="7"/>
      <c r="AJ178" s="7"/>
      <c r="AK178" s="7"/>
      <c r="AL178" s="7"/>
      <c r="AM178" s="7"/>
      <c r="AN178" s="7"/>
      <c r="AO178" s="6"/>
      <c r="AP178" s="7"/>
      <c r="AQ178" s="7"/>
      <c r="AR178" s="6"/>
      <c r="AS178" s="7"/>
      <c r="AT178" s="7"/>
      <c r="AU178" s="7"/>
      <c r="AV178" s="7"/>
      <c r="AW178" s="7"/>
      <c r="AX178" s="7"/>
      <c r="AY178" s="7"/>
      <c r="AZ178" s="7"/>
      <c r="BA178" s="7"/>
      <c r="BB178" s="7"/>
      <c r="BC178" s="7"/>
      <c r="BD178" s="7"/>
      <c r="BE178" s="7"/>
      <c r="BF178" s="7"/>
      <c r="BG178" s="7"/>
    </row>
    <row r="179" customHeight="1" spans="1:59">
      <c r="A179" s="9"/>
      <c r="B179" s="5"/>
      <c r="C179" s="5"/>
      <c r="D179" s="23"/>
      <c r="E179" s="23"/>
      <c r="F179" s="8"/>
      <c r="G179" s="8"/>
      <c r="H179" s="8"/>
      <c r="I179" s="13"/>
      <c r="J179" s="14"/>
      <c r="K179" s="14"/>
      <c r="L179" s="14"/>
      <c r="M179" s="7"/>
      <c r="N179" s="10"/>
      <c r="O179" s="10"/>
      <c r="P179" s="8"/>
      <c r="Q179" s="7"/>
      <c r="R179" s="16"/>
      <c r="S179" s="17"/>
      <c r="T179" s="8"/>
      <c r="U179" s="8"/>
      <c r="V179" s="22"/>
      <c r="W179" s="12"/>
      <c r="X179" s="12"/>
      <c r="Y179" s="12"/>
      <c r="Z179" s="12"/>
      <c r="AA179" s="7"/>
      <c r="AB179" s="12"/>
      <c r="AC179" s="6"/>
      <c r="AD179" s="6"/>
      <c r="AE179" s="7"/>
      <c r="AF179" s="7"/>
      <c r="AG179" s="7"/>
      <c r="AH179" s="7"/>
      <c r="AI179" s="7"/>
      <c r="AJ179" s="7"/>
      <c r="AK179" s="7"/>
      <c r="AL179" s="7"/>
      <c r="AM179" s="7"/>
      <c r="AN179" s="7"/>
      <c r="AO179" s="6"/>
      <c r="AP179" s="7"/>
      <c r="AQ179" s="7"/>
      <c r="AR179" s="6"/>
      <c r="AS179" s="7"/>
      <c r="AT179" s="7"/>
      <c r="AU179" s="7"/>
      <c r="AV179" s="7"/>
      <c r="AW179" s="7"/>
      <c r="AX179" s="7"/>
      <c r="AY179" s="7"/>
      <c r="AZ179" s="7"/>
      <c r="BA179" s="7"/>
      <c r="BB179" s="7"/>
      <c r="BC179" s="7"/>
      <c r="BD179" s="7"/>
      <c r="BE179" s="7"/>
      <c r="BF179" s="7"/>
      <c r="BG179" s="7"/>
    </row>
    <row r="180" customHeight="1" spans="1:59">
      <c r="A180" s="9" t="str">
        <f>IFERROR(__xludf.DUMMYFUNCTION("""COMPUTED_VALUE"""),"Clio R01")</f>
        <v>Clio R01</v>
      </c>
      <c r="B180" s="5" t="str">
        <f>IFERROR(__xludf.DUMMYFUNCTION("""COMPUTED_VALUE"""),"Clio 28")</f>
        <v>Clio 28</v>
      </c>
      <c r="C180" s="5"/>
      <c r="D180" s="23" t="str">
        <f>IFERROR(__xludf.DUMMYFUNCTION("""COMPUTED_VALUE"""),"OM-1")</f>
        <v>OM-1</v>
      </c>
      <c r="E180" s="23" t="str">
        <f>IFERROR(__xludf.DUMMYFUNCTION("""COMPUTED_VALUE"""),"OM1")</f>
        <v>OM1</v>
      </c>
      <c r="F180" s="8">
        <f>IFERROR(__xludf.DUMMYFUNCTION("""COMPUTED_VALUE"""),0)</f>
        <v>0</v>
      </c>
      <c r="G180" s="8">
        <f>IFERROR(__xludf.DUMMYFUNCTION("""COMPUTED_VALUE"""),0)</f>
        <v>0</v>
      </c>
      <c r="H180" s="8">
        <f>IFERROR(__xludf.DUMMYFUNCTION("""COMPUTED_VALUE"""),489.867)</f>
        <v>489.867</v>
      </c>
      <c r="I180" s="13"/>
      <c r="J180" s="14"/>
      <c r="K180" s="14"/>
      <c r="L180" s="14"/>
      <c r="M180" s="7" t="b">
        <f>IFERROR(__xludf.DUMMYFUNCTION("""COMPUTED_VALUE"""),TRUE)</f>
        <v>1</v>
      </c>
      <c r="N180" s="10">
        <f>IFERROR(__xludf.DUMMYFUNCTION("""COMPUTED_VALUE"""),0)</f>
        <v>0</v>
      </c>
      <c r="O180" s="10">
        <f>IFERROR(__xludf.DUMMYFUNCTION("""COMPUTED_VALUE"""),0)</f>
        <v>0</v>
      </c>
      <c r="P180" s="8"/>
      <c r="Q180" s="7"/>
      <c r="R180" s="16"/>
      <c r="S180" s="17"/>
      <c r="T180" s="8"/>
      <c r="U180" s="8"/>
      <c r="V180" s="22"/>
      <c r="W180" s="12"/>
      <c r="X180" s="12"/>
      <c r="Y180" s="12"/>
      <c r="Z180" s="12"/>
      <c r="AA180" s="7"/>
      <c r="AB180" s="12"/>
      <c r="AC180" s="6"/>
      <c r="AD180" s="6"/>
      <c r="AE180" s="7"/>
      <c r="AF180" s="7"/>
      <c r="AG180" s="7"/>
      <c r="AH180" s="7"/>
      <c r="AI180" s="7"/>
      <c r="AJ180" s="7"/>
      <c r="AK180" s="7"/>
      <c r="AL180" s="7"/>
      <c r="AM180" s="7"/>
      <c r="AN180" s="7"/>
      <c r="AO180" s="6"/>
      <c r="AP180" s="7"/>
      <c r="AQ180" s="7"/>
      <c r="AR180" s="6"/>
      <c r="AS180" s="7"/>
      <c r="AT180" s="7"/>
      <c r="AU180" s="7"/>
      <c r="AV180" s="7"/>
      <c r="AW180" s="7"/>
      <c r="AX180" s="7"/>
      <c r="AY180" s="7"/>
      <c r="AZ180" s="7"/>
      <c r="BA180" s="7"/>
      <c r="BB180" s="7"/>
      <c r="BC180" s="7"/>
      <c r="BD180" s="7"/>
      <c r="BE180" s="7"/>
      <c r="BF180" s="7"/>
      <c r="BG180" s="7"/>
    </row>
    <row r="181" customHeight="1" spans="1:59">
      <c r="A181" s="9" t="str">
        <f>IFERROR(__xludf.DUMMYFUNCTION("""COMPUTED_VALUE"""),"Clio R02")</f>
        <v>Clio R02</v>
      </c>
      <c r="B181" s="5" t="str">
        <f>IFERROR(__xludf.DUMMYFUNCTION("""COMPUTED_VALUE"""),"Clio 29")</f>
        <v>Clio 29</v>
      </c>
      <c r="C181" s="5"/>
      <c r="D181" s="23" t="str">
        <f>IFERROR(__xludf.DUMMYFUNCTION("""COMPUTED_VALUE"""),"OM-2")</f>
        <v>OM-2</v>
      </c>
      <c r="E181" s="23" t="str">
        <f>IFERROR(__xludf.DUMMYFUNCTION("""COMPUTED_VALUE"""),"OM2")</f>
        <v>OM2</v>
      </c>
      <c r="F181" s="8">
        <f>IFERROR(__xludf.DUMMYFUNCTION("""COMPUTED_VALUE"""),0)</f>
        <v>0</v>
      </c>
      <c r="G181" s="8">
        <f>IFERROR(__xludf.DUMMYFUNCTION("""COMPUTED_VALUE"""),0)</f>
        <v>0</v>
      </c>
      <c r="H181" s="8">
        <f>IFERROR(__xludf.DUMMYFUNCTION("""COMPUTED_VALUE"""),-489.867)</f>
        <v>-489.867</v>
      </c>
      <c r="I181" s="13"/>
      <c r="J181" s="14"/>
      <c r="K181" s="14"/>
      <c r="L181" s="14"/>
      <c r="M181" s="7" t="b">
        <f>IFERROR(__xludf.DUMMYFUNCTION("""COMPUTED_VALUE"""),TRUE)</f>
        <v>1</v>
      </c>
      <c r="N181" s="10">
        <f>IFERROR(__xludf.DUMMYFUNCTION("""COMPUTED_VALUE"""),0)</f>
        <v>0</v>
      </c>
      <c r="O181" s="10">
        <f>IFERROR(__xludf.DUMMYFUNCTION("""COMPUTED_VALUE"""),0)</f>
        <v>0</v>
      </c>
      <c r="P181" s="8"/>
      <c r="Q181" s="7"/>
      <c r="R181" s="16"/>
      <c r="S181" s="17"/>
      <c r="T181" s="8"/>
      <c r="U181" s="8"/>
      <c r="V181" s="22"/>
      <c r="W181" s="12"/>
      <c r="X181" s="12"/>
      <c r="Y181" s="12"/>
      <c r="Z181" s="12"/>
      <c r="AA181" s="7"/>
      <c r="AB181" s="12"/>
      <c r="AC181" s="6"/>
      <c r="AD181" s="6"/>
      <c r="AE181" s="7"/>
      <c r="AF181" s="7"/>
      <c r="AG181" s="7"/>
      <c r="AH181" s="7"/>
      <c r="AI181" s="7"/>
      <c r="AJ181" s="7"/>
      <c r="AK181" s="7"/>
      <c r="AL181" s="7"/>
      <c r="AM181" s="7"/>
      <c r="AN181" s="7"/>
      <c r="AO181" s="6"/>
      <c r="AP181" s="7"/>
      <c r="AQ181" s="7"/>
      <c r="AR181" s="6"/>
      <c r="AS181" s="7"/>
      <c r="AT181" s="7"/>
      <c r="AU181" s="7"/>
      <c r="AV181" s="7"/>
      <c r="AW181" s="7"/>
      <c r="AX181" s="7"/>
      <c r="AY181" s="7"/>
      <c r="AZ181" s="7"/>
      <c r="BA181" s="7"/>
      <c r="BB181" s="7"/>
      <c r="BC181" s="7"/>
      <c r="BD181" s="7"/>
      <c r="BE181" s="7"/>
      <c r="BF181" s="7"/>
      <c r="BG181" s="7"/>
    </row>
    <row r="182" customHeight="1" spans="1:59">
      <c r="A182" s="9" t="str">
        <f>IFERROR(__xludf.DUMMYFUNCTION("""COMPUTED_VALUE"""),"Clio R03")</f>
        <v>Clio R03</v>
      </c>
      <c r="B182" s="5" t="str">
        <f>IFERROR(__xludf.DUMMYFUNCTION("""COMPUTED_VALUE"""),"Clio 30")</f>
        <v>Clio 30</v>
      </c>
      <c r="C182" s="5" t="str">
        <f>IFERROR(__xludf.DUMMYFUNCTION("""COMPUTED_VALUE"""),"Clio 09")</f>
        <v>Clio 09</v>
      </c>
      <c r="D182" s="23" t="str">
        <f>IFERROR(__xludf.DUMMYFUNCTION("""COMPUTED_VALUE"""),"OM-3")</f>
        <v>OM-3</v>
      </c>
      <c r="E182" s="23" t="str">
        <f>IFERROR(__xludf.DUMMYFUNCTION("""COMPUTED_VALUE"""),"OM3")</f>
        <v>OM3</v>
      </c>
      <c r="F182" s="8">
        <f>IFERROR(__xludf.DUMMYFUNCTION("""COMPUTED_VALUE"""),0)</f>
        <v>0</v>
      </c>
      <c r="G182" s="8">
        <f>IFERROR(__xludf.DUMMYFUNCTION("""COMPUTED_VALUE"""),489.867)</f>
        <v>489.867</v>
      </c>
      <c r="H182" s="8">
        <f>IFERROR(__xludf.DUMMYFUNCTION("""COMPUTED_VALUE"""),0)</f>
        <v>0</v>
      </c>
      <c r="I182" s="13"/>
      <c r="J182" s="14"/>
      <c r="K182" s="14"/>
      <c r="L182" s="14"/>
      <c r="M182" s="7" t="b">
        <f>IFERROR(__xludf.DUMMYFUNCTION("""COMPUTED_VALUE"""),TRUE)</f>
        <v>1</v>
      </c>
      <c r="N182" s="10">
        <f>IFERROR(__xludf.DUMMYFUNCTION("""COMPUTED_VALUE"""),0)</f>
        <v>0</v>
      </c>
      <c r="O182" s="10">
        <f>IFERROR(__xludf.DUMMYFUNCTION("""COMPUTED_VALUE"""),0)</f>
        <v>0</v>
      </c>
      <c r="P182" s="8"/>
      <c r="Q182" s="7"/>
      <c r="R182" s="16"/>
      <c r="S182" s="17"/>
      <c r="T182" s="8"/>
      <c r="U182" s="8"/>
      <c r="V182" s="22"/>
      <c r="W182" s="12"/>
      <c r="X182" s="12"/>
      <c r="Y182" s="12"/>
      <c r="Z182" s="12"/>
      <c r="AA182" s="7"/>
      <c r="AB182" s="12"/>
      <c r="AC182" s="6"/>
      <c r="AD182" s="6"/>
      <c r="AE182" s="7"/>
      <c r="AF182" s="7"/>
      <c r="AG182" s="7"/>
      <c r="AH182" s="7"/>
      <c r="AI182" s="7"/>
      <c r="AJ182" s="7"/>
      <c r="AK182" s="7"/>
      <c r="AL182" s="7"/>
      <c r="AM182" s="7"/>
      <c r="AN182" s="7"/>
      <c r="AO182" s="6"/>
      <c r="AP182" s="7"/>
      <c r="AQ182" s="7"/>
      <c r="AR182" s="6"/>
      <c r="AS182" s="7"/>
      <c r="AT182" s="7"/>
      <c r="AU182" s="7"/>
      <c r="AV182" s="7"/>
      <c r="AW182" s="7"/>
      <c r="AX182" s="7"/>
      <c r="AY182" s="7"/>
      <c r="AZ182" s="7"/>
      <c r="BA182" s="7"/>
      <c r="BB182" s="7"/>
      <c r="BC182" s="7"/>
      <c r="BD182" s="7"/>
      <c r="BE182" s="7"/>
      <c r="BF182" s="7"/>
      <c r="BG182" s="7"/>
    </row>
    <row r="183" customHeight="1" spans="1:59">
      <c r="A183" s="9" t="str">
        <f>IFERROR(__xludf.DUMMYFUNCTION("""COMPUTED_VALUE"""),"Clio R04")</f>
        <v>Clio R04</v>
      </c>
      <c r="B183" s="5" t="str">
        <f>IFERROR(__xludf.DUMMYFUNCTION("""COMPUTED_VALUE"""),"Clio 31")</f>
        <v>Clio 31</v>
      </c>
      <c r="C183" s="5" t="str">
        <f>IFERROR(__xludf.DUMMYFUNCTION("""COMPUTED_VALUE"""),"Clio 17")</f>
        <v>Clio 17</v>
      </c>
      <c r="D183" s="23" t="str">
        <f>IFERROR(__xludf.DUMMYFUNCTION("""COMPUTED_VALUE"""),"OM-4")</f>
        <v>OM-4</v>
      </c>
      <c r="E183" s="23" t="str">
        <f>IFERROR(__xludf.DUMMYFUNCTION("""COMPUTED_VALUE"""),"OM4")</f>
        <v>OM4</v>
      </c>
      <c r="F183" s="8">
        <f>IFERROR(__xludf.DUMMYFUNCTION("""COMPUTED_VALUE"""),0)</f>
        <v>0</v>
      </c>
      <c r="G183" s="8">
        <f>IFERROR(__xludf.DUMMYFUNCTION("""COMPUTED_VALUE"""),-489.867)</f>
        <v>-489.867</v>
      </c>
      <c r="H183" s="8">
        <f>IFERROR(__xludf.DUMMYFUNCTION("""COMPUTED_VALUE"""),0)</f>
        <v>0</v>
      </c>
      <c r="I183" s="13"/>
      <c r="J183" s="14"/>
      <c r="K183" s="14"/>
      <c r="L183" s="14"/>
      <c r="M183" s="7" t="b">
        <f>IFERROR(__xludf.DUMMYFUNCTION("""COMPUTED_VALUE"""),TRUE)</f>
        <v>1</v>
      </c>
      <c r="N183" s="10">
        <f>IFERROR(__xludf.DUMMYFUNCTION("""COMPUTED_VALUE"""),0)</f>
        <v>0</v>
      </c>
      <c r="O183" s="10">
        <f>IFERROR(__xludf.DUMMYFUNCTION("""COMPUTED_VALUE"""),0)</f>
        <v>0</v>
      </c>
      <c r="P183" s="8"/>
      <c r="Q183" s="7"/>
      <c r="R183" s="16"/>
      <c r="S183" s="17"/>
      <c r="T183" s="8"/>
      <c r="U183" s="8"/>
      <c r="V183" s="22"/>
      <c r="W183" s="12"/>
      <c r="X183" s="12"/>
      <c r="Y183" s="12"/>
      <c r="Z183" s="12"/>
      <c r="AA183" s="7"/>
      <c r="AB183" s="12"/>
      <c r="AC183" s="6"/>
      <c r="AD183" s="6"/>
      <c r="AE183" s="7"/>
      <c r="AF183" s="7"/>
      <c r="AG183" s="7"/>
      <c r="AH183" s="7"/>
      <c r="AI183" s="7"/>
      <c r="AJ183" s="7"/>
      <c r="AK183" s="7"/>
      <c r="AL183" s="7"/>
      <c r="AM183" s="7"/>
      <c r="AN183" s="7"/>
      <c r="AO183" s="6"/>
      <c r="AP183" s="7"/>
      <c r="AQ183" s="7"/>
      <c r="AR183" s="6"/>
      <c r="AS183" s="7"/>
      <c r="AT183" s="7"/>
      <c r="AU183" s="7"/>
      <c r="AV183" s="7"/>
      <c r="AW183" s="7"/>
      <c r="AX183" s="7"/>
      <c r="AY183" s="7"/>
      <c r="AZ183" s="7"/>
      <c r="BA183" s="7"/>
      <c r="BB183" s="7"/>
      <c r="BC183" s="7"/>
      <c r="BD183" s="7"/>
      <c r="BE183" s="7"/>
      <c r="BF183" s="7"/>
      <c r="BG183" s="7"/>
    </row>
    <row r="184" customHeight="1" spans="1:59">
      <c r="A184" s="9" t="str">
        <f>IFERROR(__xludf.DUMMYFUNCTION("""COMPUTED_VALUE"""),"Clio R05")</f>
        <v>Clio R05</v>
      </c>
      <c r="B184" s="5" t="str">
        <f>IFERROR(__xludf.DUMMYFUNCTION("""COMPUTED_VALUE"""),"Clio 32")</f>
        <v>Clio 32</v>
      </c>
      <c r="C184" s="5" t="str">
        <f>IFERROR(__xludf.DUMMYFUNCTION("""COMPUTED_VALUE"""),"Clio 16")</f>
        <v>Clio 16</v>
      </c>
      <c r="D184" s="23" t="str">
        <f>IFERROR(__xludf.DUMMYFUNCTION("""COMPUTED_VALUE"""),"OM-5")</f>
        <v>OM-5</v>
      </c>
      <c r="E184" s="23" t="str">
        <f>IFERROR(__xludf.DUMMYFUNCTION("""COMPUTED_VALUE"""),"OM5")</f>
        <v>OM5</v>
      </c>
      <c r="F184" s="8">
        <f>IFERROR(__xludf.DUMMYFUNCTION("""COMPUTED_VALUE"""),489.867)</f>
        <v>489.867</v>
      </c>
      <c r="G184" s="8">
        <f>IFERROR(__xludf.DUMMYFUNCTION("""COMPUTED_VALUE"""),0)</f>
        <v>0</v>
      </c>
      <c r="H184" s="8">
        <f>IFERROR(__xludf.DUMMYFUNCTION("""COMPUTED_VALUE"""),0)</f>
        <v>0</v>
      </c>
      <c r="I184" s="13"/>
      <c r="J184" s="14"/>
      <c r="K184" s="14"/>
      <c r="L184" s="14"/>
      <c r="M184" s="7" t="b">
        <f>IFERROR(__xludf.DUMMYFUNCTION("""COMPUTED_VALUE"""),TRUE)</f>
        <v>1</v>
      </c>
      <c r="N184" s="10">
        <f>IFERROR(__xludf.DUMMYFUNCTION("""COMPUTED_VALUE"""),0)</f>
        <v>0</v>
      </c>
      <c r="O184" s="10">
        <f>IFERROR(__xludf.DUMMYFUNCTION("""COMPUTED_VALUE"""),0)</f>
        <v>0</v>
      </c>
      <c r="P184" s="8"/>
      <c r="Q184" s="7"/>
      <c r="R184" s="16"/>
      <c r="S184" s="17"/>
      <c r="T184" s="8"/>
      <c r="U184" s="8"/>
      <c r="V184" s="22"/>
      <c r="W184" s="12"/>
      <c r="X184" s="12"/>
      <c r="Y184" s="12"/>
      <c r="Z184" s="12"/>
      <c r="AA184" s="7"/>
      <c r="AB184" s="12"/>
      <c r="AC184" s="6"/>
      <c r="AD184" s="6"/>
      <c r="AE184" s="7"/>
      <c r="AF184" s="7"/>
      <c r="AG184" s="7"/>
      <c r="AH184" s="7"/>
      <c r="AI184" s="7"/>
      <c r="AJ184" s="7"/>
      <c r="AK184" s="7"/>
      <c r="AL184" s="7"/>
      <c r="AM184" s="7"/>
      <c r="AN184" s="7"/>
      <c r="AO184" s="6"/>
      <c r="AP184" s="7"/>
      <c r="AQ184" s="7"/>
      <c r="AR184" s="6"/>
      <c r="AS184" s="7"/>
      <c r="AT184" s="7"/>
      <c r="AU184" s="7"/>
      <c r="AV184" s="7"/>
      <c r="AW184" s="7"/>
      <c r="AX184" s="7"/>
      <c r="AY184" s="7"/>
      <c r="AZ184" s="7"/>
      <c r="BA184" s="7"/>
      <c r="BB184" s="7"/>
      <c r="BC184" s="7"/>
      <c r="BD184" s="7"/>
      <c r="BE184" s="7"/>
      <c r="BF184" s="7"/>
      <c r="BG184" s="7"/>
    </row>
    <row r="185" customHeight="1" spans="1:59">
      <c r="A185" s="9" t="str">
        <f>IFERROR(__xludf.DUMMYFUNCTION("""COMPUTED_VALUE"""),"Clio R06")</f>
        <v>Clio R06</v>
      </c>
      <c r="B185" s="5" t="str">
        <f>IFERROR(__xludf.DUMMYFUNCTION("""COMPUTED_VALUE"""),"Clio 33")</f>
        <v>Clio 33</v>
      </c>
      <c r="C185" s="5" t="str">
        <f>IFERROR(__xludf.DUMMYFUNCTION("""COMPUTED_VALUE"""),"Clio 20")</f>
        <v>Clio 20</v>
      </c>
      <c r="D185" s="23" t="str">
        <f>IFERROR(__xludf.DUMMYFUNCTION("""COMPUTED_VALUE"""),"OM-6")</f>
        <v>OM-6</v>
      </c>
      <c r="E185" s="23" t="str">
        <f>IFERROR(__xludf.DUMMYFUNCTION("""COMPUTED_VALUE"""),"OM6")</f>
        <v>OM6</v>
      </c>
      <c r="F185" s="8">
        <f>IFERROR(__xludf.DUMMYFUNCTION("""COMPUTED_VALUE"""),-489.867)</f>
        <v>-489.867</v>
      </c>
      <c r="G185" s="8">
        <f>IFERROR(__xludf.DUMMYFUNCTION("""COMPUTED_VALUE"""),0)</f>
        <v>0</v>
      </c>
      <c r="H185" s="8">
        <f>IFERROR(__xludf.DUMMYFUNCTION("""COMPUTED_VALUE"""),0)</f>
        <v>0</v>
      </c>
      <c r="I185" s="13"/>
      <c r="J185" s="14"/>
      <c r="K185" s="14"/>
      <c r="L185" s="14"/>
      <c r="M185" s="7" t="b">
        <f>IFERROR(__xludf.DUMMYFUNCTION("""COMPUTED_VALUE"""),TRUE)</f>
        <v>1</v>
      </c>
      <c r="N185" s="10">
        <f>IFERROR(__xludf.DUMMYFUNCTION("""COMPUTED_VALUE"""),0)</f>
        <v>0</v>
      </c>
      <c r="O185" s="10">
        <f>IFERROR(__xludf.DUMMYFUNCTION("""COMPUTED_VALUE"""),0)</f>
        <v>0</v>
      </c>
      <c r="P185" s="8"/>
      <c r="Q185" s="7"/>
      <c r="R185" s="16"/>
      <c r="S185" s="17"/>
      <c r="T185" s="8"/>
      <c r="U185" s="8"/>
      <c r="V185" s="22"/>
      <c r="W185" s="12"/>
      <c r="X185" s="12"/>
      <c r="Y185" s="12"/>
      <c r="Z185" s="12"/>
      <c r="AA185" s="7"/>
      <c r="AB185" s="12"/>
      <c r="AC185" s="6"/>
      <c r="AD185" s="6"/>
      <c r="AE185" s="7"/>
      <c r="AF185" s="7"/>
      <c r="AG185" s="7"/>
      <c r="AH185" s="7"/>
      <c r="AI185" s="7"/>
      <c r="AJ185" s="7"/>
      <c r="AK185" s="7"/>
      <c r="AL185" s="7"/>
      <c r="AM185" s="7"/>
      <c r="AN185" s="7"/>
      <c r="AO185" s="6"/>
      <c r="AP185" s="7"/>
      <c r="AQ185" s="7"/>
      <c r="AR185" s="6"/>
      <c r="AS185" s="7"/>
      <c r="AT185" s="7"/>
      <c r="AU185" s="7"/>
      <c r="AV185" s="7"/>
      <c r="AW185" s="7"/>
      <c r="AX185" s="7"/>
      <c r="AY185" s="7"/>
      <c r="AZ185" s="7"/>
      <c r="BA185" s="7"/>
      <c r="BB185" s="7"/>
      <c r="BC185" s="7"/>
      <c r="BD185" s="7"/>
      <c r="BE185" s="7"/>
      <c r="BF185" s="7"/>
      <c r="BG185" s="7"/>
    </row>
    <row r="186" customHeight="1" spans="1:59">
      <c r="A186" s="9" t="str">
        <f>IFERROR(__xludf.DUMMYFUNCTION("""COMPUTED_VALUE"""),"Clio")</f>
        <v>Clio</v>
      </c>
      <c r="B186" s="5" t="str">
        <f>IFERROR(__xludf.DUMMYFUNCTION("""COMPUTED_VALUE"""),"Clio 00")</f>
        <v>Clio 00</v>
      </c>
      <c r="C186" s="5"/>
      <c r="D186" s="23" t="str">
        <f>IFERROR(__xludf.DUMMYFUNCTION("""COMPUTED_VALUE"""),"Trading Terminals")</f>
        <v>Trading Terminals</v>
      </c>
      <c r="E186" s="23"/>
      <c r="F186" s="8"/>
      <c r="G186" s="8"/>
      <c r="H186" s="8"/>
      <c r="I186" s="13"/>
      <c r="J186" s="14"/>
      <c r="K186" s="14"/>
      <c r="L186" s="14"/>
      <c r="M186" s="7"/>
      <c r="N186" s="10"/>
      <c r="O186" s="10"/>
      <c r="P186" s="8"/>
      <c r="Q186" s="7"/>
      <c r="R186" s="16"/>
      <c r="S186" s="17"/>
      <c r="T186" s="8"/>
      <c r="U186" s="8"/>
      <c r="V186" s="22"/>
      <c r="W186" s="12"/>
      <c r="X186" s="12"/>
      <c r="Y186" s="12"/>
      <c r="Z186" s="12"/>
      <c r="AA186" s="7"/>
      <c r="AB186" s="12"/>
      <c r="AC186" s="6"/>
      <c r="AD186" s="6"/>
      <c r="AE186" s="7"/>
      <c r="AF186" s="7"/>
      <c r="AG186" s="7"/>
      <c r="AH186" s="7"/>
      <c r="AI186" s="7"/>
      <c r="AJ186" s="7"/>
      <c r="AK186" s="7"/>
      <c r="AL186" s="7"/>
      <c r="AM186" s="7"/>
      <c r="AN186" s="7"/>
      <c r="AO186" s="6"/>
      <c r="AP186" s="7"/>
      <c r="AQ186" s="7"/>
      <c r="AR186" s="6"/>
      <c r="AS186" s="7"/>
      <c r="AT186" s="7"/>
      <c r="AU186" s="7"/>
      <c r="AV186" s="7"/>
      <c r="AW186" s="7"/>
      <c r="AX186" s="7"/>
      <c r="AY186" s="7"/>
      <c r="AZ186" s="7"/>
      <c r="BA186" s="7"/>
      <c r="BB186" s="7"/>
      <c r="BC186" s="7"/>
      <c r="BD186" s="7"/>
      <c r="BE186" s="7"/>
      <c r="BF186" s="7"/>
      <c r="BG186" s="7"/>
    </row>
    <row r="187" customHeight="1" spans="1:59">
      <c r="A187" s="9" t="str">
        <f>IFERROR(__xludf.DUMMYFUNCTION("""COMPUTED_VALUE"""),"Clio 01")</f>
        <v>Clio 01</v>
      </c>
      <c r="B187" s="5" t="str">
        <f>IFERROR(__xludf.DUMMYFUNCTION("""COMPUTED_VALUE"""),"Clio 01")</f>
        <v>Clio 01</v>
      </c>
      <c r="C187" s="5" t="str">
        <f>IFERROR(__xludf.DUMMYFUNCTION("""COMPUTED_VALUE"""),"Clio 03")</f>
        <v>Clio 03</v>
      </c>
      <c r="D187" s="23" t="str">
        <f>IFERROR(__xludf.DUMMYFUNCTION("""COMPUTED_VALUE"""),"Rayari Cantwell Research Outpost (PB)")</f>
        <v>Rayari Cantwell Research Outpost (PB)</v>
      </c>
      <c r="E187" s="23" t="str">
        <f>IFERROR(__xludf.DUMMYFUNCTION("""COMPUTED_VALUE"""),"Cantwell")</f>
        <v>Cantwell</v>
      </c>
      <c r="F187" s="8">
        <f>IFERROR(__xludf.DUMMYFUNCTION("""COMPUTED_VALUE"""),-217.174844287999)</f>
        <v>-217.174844287999</v>
      </c>
      <c r="G187" s="8">
        <f>IFERROR(__xludf.DUMMYFUNCTION("""COMPUTED_VALUE"""),215.278422408)</f>
        <v>215.278422408</v>
      </c>
      <c r="H187" s="8">
        <f>IFERROR(__xludf.DUMMYFUNCTION("""COMPUTED_VALUE"""),142.842297228999)</f>
        <v>142.842297228999</v>
      </c>
      <c r="I187" s="13"/>
      <c r="J187" s="14"/>
      <c r="K187" s="14"/>
      <c r="L187" s="14"/>
      <c r="M187" s="7" t="b">
        <f>IFERROR(__xludf.DUMMYFUNCTION("""COMPUTED_VALUE"""),TRUE)</f>
        <v>1</v>
      </c>
      <c r="N187" s="10">
        <f>IFERROR(__xludf.DUMMYFUNCTION("""COMPUTED_VALUE"""),0)</f>
        <v>0</v>
      </c>
      <c r="O187" s="10">
        <f>IFERROR(__xludf.DUMMYFUNCTION("""COMPUTED_VALUE"""),0)</f>
        <v>0</v>
      </c>
      <c r="P187" s="8"/>
      <c r="Q187" s="7"/>
      <c r="R187" s="16"/>
      <c r="S187" s="17"/>
      <c r="T187" s="8"/>
      <c r="U187" s="8"/>
      <c r="V187" s="22"/>
      <c r="W187" s="12"/>
      <c r="X187" s="12"/>
      <c r="Y187" s="12"/>
      <c r="Z187" s="12"/>
      <c r="AA187" s="7"/>
      <c r="AB187" s="12"/>
      <c r="AC187" s="6"/>
      <c r="AD187" s="6"/>
      <c r="AE187" s="7"/>
      <c r="AF187" s="7"/>
      <c r="AG187" s="7"/>
      <c r="AH187" s="7"/>
      <c r="AI187" s="7"/>
      <c r="AJ187" s="7"/>
      <c r="AK187" s="7"/>
      <c r="AL187" s="7"/>
      <c r="AM187" s="7"/>
      <c r="AN187" s="7"/>
      <c r="AO187" s="6"/>
      <c r="AP187" s="7"/>
      <c r="AQ187" s="7"/>
      <c r="AR187" s="6"/>
      <c r="AS187" s="7"/>
      <c r="AT187" s="7"/>
      <c r="AU187" s="7"/>
      <c r="AV187" s="7"/>
      <c r="AW187" s="7"/>
      <c r="AX187" s="7"/>
      <c r="AY187" s="7"/>
      <c r="AZ187" s="7"/>
      <c r="BA187" s="7"/>
      <c r="BB187" s="7"/>
      <c r="BC187" s="7"/>
      <c r="BD187" s="7"/>
      <c r="BE187" s="7"/>
      <c r="BF187" s="7"/>
      <c r="BG187" s="7"/>
    </row>
    <row r="188" customHeight="1" spans="1:59">
      <c r="A188" s="9" t="str">
        <f>IFERROR(__xludf.DUMMYFUNCTION("""COMPUTED_VALUE"""),"Clio 02")</f>
        <v>Clio 02</v>
      </c>
      <c r="B188" s="5" t="str">
        <f>IFERROR(__xludf.DUMMYFUNCTION("""COMPUTED_VALUE"""),"Clio 02")</f>
        <v>Clio 02</v>
      </c>
      <c r="C188" s="5" t="str">
        <f>IFERROR(__xludf.DUMMYFUNCTION("""COMPUTED_VALUE"""),"Clio 18")</f>
        <v>Clio 18</v>
      </c>
      <c r="D188" s="23" t="str">
        <f>IFERROR(__xludf.DUMMYFUNCTION("""COMPUTED_VALUE"""),"Rayari McGrath Research Outpost (PB)")</f>
        <v>Rayari McGrath Research Outpost (PB)</v>
      </c>
      <c r="E188" s="23" t="str">
        <f>IFERROR(__xludf.DUMMYFUNCTION("""COMPUTED_VALUE"""),"McGrath")</f>
        <v>McGrath</v>
      </c>
      <c r="F188" s="8">
        <f>IFERROR(__xludf.DUMMYFUNCTION("""COMPUTED_VALUE"""),-325.904156921999)</f>
        <v>-325.904156921999</v>
      </c>
      <c r="G188" s="8">
        <f>IFERROR(__xludf.DUMMYFUNCTION("""COMPUTED_VALUE"""),-85.7133595519999)</f>
        <v>-85.7133595519999</v>
      </c>
      <c r="H188" s="8">
        <f>IFERROR(__xludf.DUMMYFUNCTION("""COMPUTED_VALUE"""),-18.785980507)</f>
        <v>-18.785980507</v>
      </c>
      <c r="I188" s="13"/>
      <c r="J188" s="14"/>
      <c r="K188" s="14"/>
      <c r="L188" s="14"/>
      <c r="M188" s="7" t="b">
        <f>IFERROR(__xludf.DUMMYFUNCTION("""COMPUTED_VALUE"""),TRUE)</f>
        <v>1</v>
      </c>
      <c r="N188" s="10">
        <f>IFERROR(__xludf.DUMMYFUNCTION("""COMPUTED_VALUE"""),0)</f>
        <v>0</v>
      </c>
      <c r="O188" s="10">
        <f>IFERROR(__xludf.DUMMYFUNCTION("""COMPUTED_VALUE"""),0)</f>
        <v>0</v>
      </c>
      <c r="P188" s="8"/>
      <c r="Q188" s="7"/>
      <c r="R188" s="16"/>
      <c r="S188" s="17"/>
      <c r="T188" s="8"/>
      <c r="U188" s="8"/>
      <c r="V188" s="22"/>
      <c r="W188" s="12"/>
      <c r="X188" s="12"/>
      <c r="Y188" s="12"/>
      <c r="Z188" s="12"/>
      <c r="AA188" s="7"/>
      <c r="AB188" s="12"/>
      <c r="AC188" s="6"/>
      <c r="AD188" s="6"/>
      <c r="AE188" s="7"/>
      <c r="AF188" s="7"/>
      <c r="AG188" s="7"/>
      <c r="AH188" s="7"/>
      <c r="AI188" s="7"/>
      <c r="AJ188" s="7"/>
      <c r="AK188" s="7"/>
      <c r="AL188" s="7"/>
      <c r="AM188" s="7"/>
      <c r="AN188" s="7"/>
      <c r="AO188" s="6"/>
      <c r="AP188" s="7"/>
      <c r="AQ188" s="7"/>
      <c r="AR188" s="6"/>
      <c r="AS188" s="7"/>
      <c r="AT188" s="7"/>
      <c r="AU188" s="7"/>
      <c r="AV188" s="7"/>
      <c r="AW188" s="7"/>
      <c r="AX188" s="7"/>
      <c r="AY188" s="7"/>
      <c r="AZ188" s="7"/>
      <c r="BA188" s="7"/>
      <c r="BB188" s="7"/>
      <c r="BC188" s="7"/>
      <c r="BD188" s="7"/>
      <c r="BE188" s="7"/>
      <c r="BF188" s="7"/>
      <c r="BG188" s="7"/>
    </row>
    <row r="189" customHeight="1" spans="1:59">
      <c r="A189" s="9" t="str">
        <f>IFERROR(__xludf.DUMMYFUNCTION("""COMPUTED_VALUE"""),"Clio")</f>
        <v>Clio</v>
      </c>
      <c r="B189" s="5" t="str">
        <f>IFERROR(__xludf.DUMMYFUNCTION("""COMPUTED_VALUE"""),"Clio 04")</f>
        <v>Clio 04</v>
      </c>
      <c r="C189" s="5"/>
      <c r="D189" s="23" t="str">
        <f>IFERROR(__xludf.DUMMYFUNCTION("""COMPUTED_VALUE"""),"Racetracks")</f>
        <v>Racetracks</v>
      </c>
      <c r="E189" s="23"/>
      <c r="F189" s="8"/>
      <c r="G189" s="8"/>
      <c r="H189" s="8"/>
      <c r="I189" s="13"/>
      <c r="J189" s="14"/>
      <c r="K189" s="14"/>
      <c r="L189" s="14"/>
      <c r="M189" s="7"/>
      <c r="N189" s="10"/>
      <c r="O189" s="10"/>
      <c r="P189" s="8"/>
      <c r="Q189" s="7"/>
      <c r="R189" s="16"/>
      <c r="S189" s="17"/>
      <c r="T189" s="8"/>
      <c r="U189" s="8"/>
      <c r="V189" s="22"/>
      <c r="W189" s="12"/>
      <c r="X189" s="12"/>
      <c r="Y189" s="12"/>
      <c r="Z189" s="12"/>
      <c r="AA189" s="7"/>
      <c r="AB189" s="12"/>
      <c r="AC189" s="6"/>
      <c r="AD189" s="6"/>
      <c r="AE189" s="7"/>
      <c r="AF189" s="7"/>
      <c r="AG189" s="7"/>
      <c r="AH189" s="7"/>
      <c r="AI189" s="7"/>
      <c r="AJ189" s="7"/>
      <c r="AK189" s="7"/>
      <c r="AL189" s="7"/>
      <c r="AM189" s="7"/>
      <c r="AN189" s="7"/>
      <c r="AO189" s="6"/>
      <c r="AP189" s="7"/>
      <c r="AQ189" s="7"/>
      <c r="AR189" s="6"/>
      <c r="AS189" s="7"/>
      <c r="AT189" s="7"/>
      <c r="AU189" s="7"/>
      <c r="AV189" s="7"/>
      <c r="AW189" s="7"/>
      <c r="AX189" s="7"/>
      <c r="AY189" s="7"/>
      <c r="AZ189" s="7"/>
      <c r="BA189" s="7"/>
      <c r="BB189" s="7"/>
      <c r="BC189" s="7"/>
      <c r="BD189" s="7"/>
      <c r="BE189" s="7"/>
      <c r="BF189" s="7"/>
      <c r="BG189" s="7"/>
    </row>
    <row r="190" customHeight="1" spans="1:59">
      <c r="A190" s="9" t="str">
        <f>IFERROR(__xludf.DUMMYFUNCTION("""COMPUTED_VALUE"""),"Clio 04")</f>
        <v>Clio 04</v>
      </c>
      <c r="B190" s="5" t="str">
        <f>IFERROR(__xludf.DUMMYFUNCTION("""COMPUTED_VALUE"""),"Clio 05")</f>
        <v>Clio 05</v>
      </c>
      <c r="C190" s="5" t="str">
        <f>IFERROR(__xludf.DUMMYFUNCTION("""COMPUTED_VALUE"""),"Clio 19")</f>
        <v>Clio 19</v>
      </c>
      <c r="D190" s="23" t="str">
        <f>IFERROR(__xludf.DUMMYFUNCTION("""COMPUTED_VALUE"""),"Snake Pit")</f>
        <v>Snake Pit</v>
      </c>
      <c r="E190" s="23" t="str">
        <f>IFERROR(__xludf.DUMMYFUNCTION("""COMPUTED_VALUE"""),"Snake Pit")</f>
        <v>Snake Pit</v>
      </c>
      <c r="F190" s="8">
        <f>IFERROR(__xludf.DUMMYFUNCTION("""COMPUTED_VALUE"""),-327.835)</f>
        <v>-327.835</v>
      </c>
      <c r="G190" s="8">
        <f>IFERROR(__xludf.DUMMYFUNCTION("""COMPUTED_VALUE"""),-78.8871999999999)</f>
        <v>-78.8871999999999</v>
      </c>
      <c r="H190" s="8">
        <f>IFERROR(__xludf.DUMMYFUNCTION("""COMPUTED_VALUE"""),-13.657)</f>
        <v>-13.657</v>
      </c>
      <c r="I190" s="13"/>
      <c r="J190" s="14"/>
      <c r="K190" s="14"/>
      <c r="L190" s="14"/>
      <c r="M190" s="7" t="b">
        <f>IFERROR(__xludf.DUMMYFUNCTION("""COMPUTED_VALUE"""),FALSE)</f>
        <v>0</v>
      </c>
      <c r="N190" s="10">
        <f>IFERROR(__xludf.DUMMYFUNCTION("""COMPUTED_VALUE"""),0)</f>
        <v>0</v>
      </c>
      <c r="O190" s="10">
        <f>IFERROR(__xludf.DUMMYFUNCTION("""COMPUTED_VALUE"""),0)</f>
        <v>0</v>
      </c>
      <c r="P190" s="8"/>
      <c r="Q190" s="7"/>
      <c r="R190" s="16"/>
      <c r="S190" s="17"/>
      <c r="T190" s="8"/>
      <c r="U190" s="8"/>
      <c r="V190" s="22"/>
      <c r="W190" s="12"/>
      <c r="X190" s="12"/>
      <c r="Y190" s="12"/>
      <c r="Z190" s="12"/>
      <c r="AA190" s="7"/>
      <c r="AB190" s="12"/>
      <c r="AC190" s="6"/>
      <c r="AD190" s="6"/>
      <c r="AE190" s="7"/>
      <c r="AF190" s="7"/>
      <c r="AG190" s="7"/>
      <c r="AH190" s="7"/>
      <c r="AI190" s="7"/>
      <c r="AJ190" s="7"/>
      <c r="AK190" s="7"/>
      <c r="AL190" s="7"/>
      <c r="AM190" s="7"/>
      <c r="AN190" s="7"/>
      <c r="AO190" s="6"/>
      <c r="AP190" s="7"/>
      <c r="AQ190" s="7"/>
      <c r="AR190" s="6"/>
      <c r="AS190" s="7"/>
      <c r="AT190" s="7"/>
      <c r="AU190" s="7"/>
      <c r="AV190" s="7"/>
      <c r="AW190" s="7"/>
      <c r="AX190" s="7"/>
      <c r="AY190" s="7"/>
      <c r="AZ190" s="7"/>
      <c r="BA190" s="7"/>
      <c r="BB190" s="7"/>
      <c r="BC190" s="7"/>
      <c r="BD190" s="7"/>
      <c r="BE190" s="7"/>
      <c r="BF190" s="7"/>
      <c r="BG190" s="7"/>
    </row>
    <row r="191" customHeight="1" spans="1:59">
      <c r="A191" s="9" t="str">
        <f>IFERROR(__xludf.DUMMYFUNCTION("""COMPUTED_VALUE"""),"Clio")</f>
        <v>Clio</v>
      </c>
      <c r="B191" s="5" t="str">
        <f>IFERROR(__xludf.DUMMYFUNCTION("""COMPUTED_VALUE"""),"Clio 07")</f>
        <v>Clio 07</v>
      </c>
      <c r="C191" s="5"/>
      <c r="D191" s="23" t="str">
        <f>IFERROR(__xludf.DUMMYFUNCTION("""COMPUTED_VALUE"""),"Settlements")</f>
        <v>Settlements</v>
      </c>
      <c r="E191" s="23"/>
      <c r="F191" s="8"/>
      <c r="G191" s="8"/>
      <c r="H191" s="8"/>
      <c r="I191" s="13"/>
      <c r="J191" s="14"/>
      <c r="K191" s="14"/>
      <c r="L191" s="14"/>
      <c r="M191" s="7"/>
      <c r="N191" s="10"/>
      <c r="O191" s="10"/>
      <c r="P191" s="8"/>
      <c r="Q191" s="7"/>
      <c r="R191" s="16"/>
      <c r="S191" s="17"/>
      <c r="T191" s="8"/>
      <c r="U191" s="8"/>
      <c r="V191" s="22"/>
      <c r="W191" s="12"/>
      <c r="X191" s="12"/>
      <c r="Y191" s="12"/>
      <c r="Z191" s="12"/>
      <c r="AA191" s="7"/>
      <c r="AB191" s="12"/>
      <c r="AC191" s="6"/>
      <c r="AD191" s="6"/>
      <c r="AE191" s="7"/>
      <c r="AF191" s="7"/>
      <c r="AG191" s="7"/>
      <c r="AH191" s="7"/>
      <c r="AI191" s="7"/>
      <c r="AJ191" s="7"/>
      <c r="AK191" s="7"/>
      <c r="AL191" s="7"/>
      <c r="AM191" s="7"/>
      <c r="AN191" s="7"/>
      <c r="AO191" s="6"/>
      <c r="AP191" s="7"/>
      <c r="AQ191" s="7"/>
      <c r="AR191" s="6"/>
      <c r="AS191" s="7"/>
      <c r="AT191" s="7"/>
      <c r="AU191" s="7"/>
      <c r="AV191" s="7"/>
      <c r="AW191" s="7"/>
      <c r="AX191" s="7"/>
      <c r="AY191" s="7"/>
      <c r="AZ191" s="7"/>
      <c r="BA191" s="7"/>
      <c r="BB191" s="7"/>
      <c r="BC191" s="7"/>
      <c r="BD191" s="7"/>
      <c r="BE191" s="7"/>
      <c r="BF191" s="7"/>
      <c r="BG191" s="7"/>
    </row>
    <row r="192" customHeight="1" spans="1:59">
      <c r="A192" s="9" t="str">
        <f>IFERROR(__xludf.DUMMYFUNCTION("""COMPUTED_VALUE"""),"Clio 05")</f>
        <v>Clio 05</v>
      </c>
      <c r="B192" s="5" t="str">
        <f>IFERROR(__xludf.DUMMYFUNCTION("""COMPUTED_VALUE"""),"Clio 08")</f>
        <v>Clio 08</v>
      </c>
      <c r="C192" s="5" t="str">
        <f>IFERROR(__xludf.DUMMYFUNCTION("""COMPUTED_VALUE"""),"Clio 04")</f>
        <v>Clio 04</v>
      </c>
      <c r="D192" s="23" t="str">
        <f>IFERROR(__xludf.DUMMYFUNCTION("""COMPUTED_VALUE"""),"Clio Settlement")</f>
        <v>Clio Settlement</v>
      </c>
      <c r="E192" s="23" t="str">
        <f>IFERROR(__xludf.DUMMYFUNCTION("""COMPUTED_VALUE"""),"Settlement 4b")</f>
        <v>Settlement 4b</v>
      </c>
      <c r="F192" s="8">
        <f>IFERROR(__xludf.DUMMYFUNCTION("""COMPUTED_VALUE"""),-213.194362306)</f>
        <v>-213.194362306</v>
      </c>
      <c r="G192" s="8">
        <f>IFERROR(__xludf.DUMMYFUNCTION("""COMPUTED_VALUE"""),224.238109238)</f>
        <v>224.238109238</v>
      </c>
      <c r="H192" s="8">
        <f>IFERROR(__xludf.DUMMYFUNCTION("""COMPUTED_VALUE"""),134.909854727)</f>
        <v>134.909854727</v>
      </c>
      <c r="I192" s="13"/>
      <c r="J192" s="14"/>
      <c r="K192" s="14"/>
      <c r="L192" s="14"/>
      <c r="M192" s="7" t="b">
        <f>IFERROR(__xludf.DUMMYFUNCTION("""COMPUTED_VALUE"""),FALSE)</f>
        <v>0</v>
      </c>
      <c r="N192" s="10">
        <f>IFERROR(__xludf.DUMMYFUNCTION("""COMPUTED_VALUE"""),0)</f>
        <v>0</v>
      </c>
      <c r="O192" s="10">
        <f>IFERROR(__xludf.DUMMYFUNCTION("""COMPUTED_VALUE"""),0)</f>
        <v>0</v>
      </c>
      <c r="P192" s="8"/>
      <c r="Q192" s="7"/>
      <c r="R192" s="16"/>
      <c r="S192" s="17"/>
      <c r="T192" s="8"/>
      <c r="U192" s="8"/>
      <c r="V192" s="22"/>
      <c r="W192" s="12"/>
      <c r="X192" s="12"/>
      <c r="Y192" s="12"/>
      <c r="Z192" s="12"/>
      <c r="AA192" s="7"/>
      <c r="AB192" s="12"/>
      <c r="AC192" s="6"/>
      <c r="AD192" s="6"/>
      <c r="AE192" s="7"/>
      <c r="AF192" s="7"/>
      <c r="AG192" s="7"/>
      <c r="AH192" s="7"/>
      <c r="AI192" s="7"/>
      <c r="AJ192" s="7"/>
      <c r="AK192" s="7"/>
      <c r="AL192" s="7"/>
      <c r="AM192" s="7"/>
      <c r="AN192" s="7"/>
      <c r="AO192" s="6"/>
      <c r="AP192" s="7"/>
      <c r="AQ192" s="7"/>
      <c r="AR192" s="6"/>
      <c r="AS192" s="7"/>
      <c r="AT192" s="7"/>
      <c r="AU192" s="7"/>
      <c r="AV192" s="7"/>
      <c r="AW192" s="7"/>
      <c r="AX192" s="7"/>
      <c r="AY192" s="7"/>
      <c r="AZ192" s="7"/>
      <c r="BA192" s="7"/>
      <c r="BB192" s="7"/>
      <c r="BC192" s="7"/>
      <c r="BD192" s="7"/>
      <c r="BE192" s="7"/>
      <c r="BF192" s="7"/>
      <c r="BG192" s="7"/>
    </row>
    <row r="193" customHeight="1" spans="1:59">
      <c r="A193" s="9" t="str">
        <f>IFERROR(__xludf.DUMMYFUNCTION("""COMPUTED_VALUE"""),"Clio")</f>
        <v>Clio</v>
      </c>
      <c r="B193" s="5" t="str">
        <f>IFERROR(__xludf.DUMMYFUNCTION("""COMPUTED_VALUE"""),"Clio 10")</f>
        <v>Clio 10</v>
      </c>
      <c r="C193" s="5"/>
      <c r="D193" s="23" t="str">
        <f>IFERROR(__xludf.DUMMYFUNCTION("""COMPUTED_VALUE"""),"Caves")</f>
        <v>Caves</v>
      </c>
      <c r="E193" s="23"/>
      <c r="F193" s="8"/>
      <c r="G193" s="8"/>
      <c r="H193" s="8"/>
      <c r="I193" s="13"/>
      <c r="J193" s="14"/>
      <c r="K193" s="14"/>
      <c r="L193" s="14"/>
      <c r="M193" s="7"/>
      <c r="N193" s="10"/>
      <c r="O193" s="10"/>
      <c r="P193" s="8"/>
      <c r="Q193" s="7"/>
      <c r="R193" s="16"/>
      <c r="S193" s="17"/>
      <c r="T193" s="8"/>
      <c r="U193" s="8"/>
      <c r="V193" s="22"/>
      <c r="W193" s="12"/>
      <c r="X193" s="12"/>
      <c r="Y193" s="12"/>
      <c r="Z193" s="12"/>
      <c r="AA193" s="7"/>
      <c r="AB193" s="12"/>
      <c r="AC193" s="6"/>
      <c r="AD193" s="6"/>
      <c r="AE193" s="7"/>
      <c r="AF193" s="7"/>
      <c r="AG193" s="7"/>
      <c r="AH193" s="7"/>
      <c r="AI193" s="7"/>
      <c r="AJ193" s="7"/>
      <c r="AK193" s="7"/>
      <c r="AL193" s="7"/>
      <c r="AM193" s="7"/>
      <c r="AN193" s="7"/>
      <c r="AO193" s="6"/>
      <c r="AP193" s="7"/>
      <c r="AQ193" s="7"/>
      <c r="AR193" s="6"/>
      <c r="AS193" s="7"/>
      <c r="AT193" s="7"/>
      <c r="AU193" s="7"/>
      <c r="AV193" s="7"/>
      <c r="AW193" s="7"/>
      <c r="AX193" s="7"/>
      <c r="AY193" s="7"/>
      <c r="AZ193" s="7"/>
      <c r="BA193" s="7"/>
      <c r="BB193" s="7"/>
      <c r="BC193" s="7"/>
      <c r="BD193" s="7"/>
      <c r="BE193" s="7"/>
      <c r="BF193" s="7"/>
      <c r="BG193" s="7"/>
    </row>
    <row r="194" customHeight="1" spans="1:59">
      <c r="A194" s="9" t="str">
        <f>IFERROR(__xludf.DUMMYFUNCTION("""COMPUTED_VALUE"""),"Clio 08")</f>
        <v>Clio 08</v>
      </c>
      <c r="B194" s="5" t="str">
        <f>IFERROR(__xludf.DUMMYFUNCTION("""COMPUTED_VALUE"""),"Clio 13")</f>
        <v>Clio 13</v>
      </c>
      <c r="C194" s="5" t="str">
        <f>IFERROR(__xludf.DUMMYFUNCTION("""COMPUTED_VALUE"""),"Clio 08")</f>
        <v>Clio 08</v>
      </c>
      <c r="D194" s="23" t="str">
        <f>IFERROR(__xludf.DUMMYFUNCTION("""COMPUTED_VALUE"""),"Rock Cave 46W-546")</f>
        <v>Rock Cave 46W-546</v>
      </c>
      <c r="E194" s="23" t="str">
        <f>IFERROR(__xludf.DUMMYFUNCTION("""COMPUTED_VALUE"""),"RCave 46W546")</f>
        <v>RCave 46W546</v>
      </c>
      <c r="F194" s="8">
        <f>IFERROR(__xludf.DUMMYFUNCTION("""COMPUTED_VALUE"""),-6.58353413499999)</f>
        <v>-6.58353413499999</v>
      </c>
      <c r="G194" s="8">
        <f>IFERROR(__xludf.DUMMYFUNCTION("""COMPUTED_VALUE"""),137.809373117)</f>
        <v>137.809373117</v>
      </c>
      <c r="H194" s="8">
        <f>IFERROR(__xludf.DUMMYFUNCTION("""COMPUTED_VALUE"""),308.281085888999)</f>
        <v>308.281085888999</v>
      </c>
      <c r="I194" s="13"/>
      <c r="J194" s="14"/>
      <c r="K194" s="14"/>
      <c r="L194" s="14"/>
      <c r="M194" s="7" t="b">
        <f>IFERROR(__xludf.DUMMYFUNCTION("""COMPUTED_VALUE"""),FALSE)</f>
        <v>0</v>
      </c>
      <c r="N194" s="10">
        <f>IFERROR(__xludf.DUMMYFUNCTION("""COMPUTED_VALUE"""),0)</f>
        <v>0</v>
      </c>
      <c r="O194" s="10">
        <f>IFERROR(__xludf.DUMMYFUNCTION("""COMPUTED_VALUE"""),0)</f>
        <v>0</v>
      </c>
      <c r="P194" s="8"/>
      <c r="Q194" s="7"/>
      <c r="R194" s="16"/>
      <c r="S194" s="17"/>
      <c r="T194" s="8"/>
      <c r="U194" s="8"/>
      <c r="V194" s="22"/>
      <c r="W194" s="12"/>
      <c r="X194" s="12"/>
      <c r="Y194" s="12"/>
      <c r="Z194" s="12"/>
      <c r="AA194" s="7"/>
      <c r="AB194" s="12"/>
      <c r="AC194" s="6"/>
      <c r="AD194" s="6"/>
      <c r="AE194" s="7"/>
      <c r="AF194" s="7"/>
      <c r="AG194" s="7"/>
      <c r="AH194" s="7"/>
      <c r="AI194" s="7"/>
      <c r="AJ194" s="7"/>
      <c r="AK194" s="7"/>
      <c r="AL194" s="7"/>
      <c r="AM194" s="7"/>
      <c r="AN194" s="7"/>
      <c r="AO194" s="6"/>
      <c r="AP194" s="7"/>
      <c r="AQ194" s="7"/>
      <c r="AR194" s="6"/>
      <c r="AS194" s="7"/>
      <c r="AT194" s="7"/>
      <c r="AU194" s="7"/>
      <c r="AV194" s="7"/>
      <c r="AW194" s="7"/>
      <c r="AX194" s="7"/>
      <c r="AY194" s="7"/>
      <c r="AZ194" s="7"/>
      <c r="BA194" s="7"/>
      <c r="BB194" s="7"/>
      <c r="BC194" s="7"/>
      <c r="BD194" s="7"/>
      <c r="BE194" s="7"/>
      <c r="BF194" s="7"/>
      <c r="BG194" s="7"/>
    </row>
    <row r="195" customHeight="1" spans="1:59">
      <c r="A195" s="9" t="str">
        <f>IFERROR(__xludf.DUMMYFUNCTION("""COMPUTED_VALUE"""),"Clio 09")</f>
        <v>Clio 09</v>
      </c>
      <c r="B195" s="5" t="str">
        <f>IFERROR(__xludf.DUMMYFUNCTION("""COMPUTED_VALUE"""),"Clio 14")</f>
        <v>Clio 14</v>
      </c>
      <c r="C195" s="5" t="str">
        <f>IFERROR(__xludf.DUMMYFUNCTION("""COMPUTED_VALUE"""),"Clio 07")</f>
        <v>Clio 07</v>
      </c>
      <c r="D195" s="23" t="str">
        <f>IFERROR(__xludf.DUMMYFUNCTION("""COMPUTED_VALUE"""),"Rock Cave 46W-550")</f>
        <v>Rock Cave 46W-550</v>
      </c>
      <c r="E195" s="23" t="str">
        <f>IFERROR(__xludf.DUMMYFUNCTION("""COMPUTED_VALUE"""),"RCave 46W550")</f>
        <v>RCave 46W550</v>
      </c>
      <c r="F195" s="8">
        <f>IFERROR(__xludf.DUMMYFUNCTION("""COMPUTED_VALUE"""),-11.324353981)</f>
        <v>-11.324353981</v>
      </c>
      <c r="G195" s="8">
        <f>IFERROR(__xludf.DUMMYFUNCTION("""COMPUTED_VALUE"""),131.045365911)</f>
        <v>131.045365911</v>
      </c>
      <c r="H195" s="8">
        <f>IFERROR(__xludf.DUMMYFUNCTION("""COMPUTED_VALUE"""),311.055768554)</f>
        <v>311.055768554</v>
      </c>
      <c r="I195" s="13"/>
      <c r="J195" s="14"/>
      <c r="K195" s="14"/>
      <c r="L195" s="14"/>
      <c r="M195" s="7" t="b">
        <f>IFERROR(__xludf.DUMMYFUNCTION("""COMPUTED_VALUE"""),FALSE)</f>
        <v>0</v>
      </c>
      <c r="N195" s="10">
        <f>IFERROR(__xludf.DUMMYFUNCTION("""COMPUTED_VALUE"""),0)</f>
        <v>0</v>
      </c>
      <c r="O195" s="10">
        <f>IFERROR(__xludf.DUMMYFUNCTION("""COMPUTED_VALUE"""),0)</f>
        <v>0</v>
      </c>
      <c r="P195" s="8"/>
      <c r="Q195" s="7"/>
      <c r="R195" s="16"/>
      <c r="S195" s="17"/>
      <c r="T195" s="8"/>
      <c r="U195" s="8"/>
      <c r="V195" s="22"/>
      <c r="W195" s="12"/>
      <c r="X195" s="12"/>
      <c r="Y195" s="12"/>
      <c r="Z195" s="12"/>
      <c r="AA195" s="7"/>
      <c r="AB195" s="12"/>
      <c r="AC195" s="6"/>
      <c r="AD195" s="6"/>
      <c r="AE195" s="7"/>
      <c r="AF195" s="7"/>
      <c r="AG195" s="7"/>
      <c r="AH195" s="7"/>
      <c r="AI195" s="7"/>
      <c r="AJ195" s="7"/>
      <c r="AK195" s="7"/>
      <c r="AL195" s="7"/>
      <c r="AM195" s="7"/>
      <c r="AN195" s="7"/>
      <c r="AO195" s="6"/>
      <c r="AP195" s="7"/>
      <c r="AQ195" s="7"/>
      <c r="AR195" s="6"/>
      <c r="AS195" s="7"/>
      <c r="AT195" s="7"/>
      <c r="AU195" s="7"/>
      <c r="AV195" s="7"/>
      <c r="AW195" s="7"/>
      <c r="AX195" s="7"/>
      <c r="AY195" s="7"/>
      <c r="AZ195" s="7"/>
      <c r="BA195" s="7"/>
      <c r="BB195" s="7"/>
      <c r="BC195" s="7"/>
      <c r="BD195" s="7"/>
      <c r="BE195" s="7"/>
      <c r="BF195" s="7"/>
      <c r="BG195" s="7"/>
    </row>
    <row r="196" customHeight="1" spans="1:59">
      <c r="A196" s="9" t="str">
        <f>IFERROR(__xludf.DUMMYFUNCTION("""COMPUTED_VALUE"""),"Clio 06")</f>
        <v>Clio 06</v>
      </c>
      <c r="B196" s="5" t="str">
        <f>IFERROR(__xludf.DUMMYFUNCTION("""COMPUTED_VALUE"""),"Clio 11")</f>
        <v>Clio 11</v>
      </c>
      <c r="C196" s="5" t="str">
        <f>IFERROR(__xludf.DUMMYFUNCTION("""COMPUTED_VALUE"""),"Clio 12")</f>
        <v>Clio 12</v>
      </c>
      <c r="D196" s="23" t="str">
        <f>IFERROR(__xludf.DUMMYFUNCTION("""COMPUTED_VALUE"""),"Rock Cave 43W")</f>
        <v>Rock Cave 43W</v>
      </c>
      <c r="E196" s="23" t="str">
        <f>IFERROR(__xludf.DUMMYFUNCTION("""COMPUTED_VALUE"""),"RCave 43W")</f>
        <v>RCave 43W</v>
      </c>
      <c r="F196" s="8">
        <f>IFERROR(__xludf.DUMMYFUNCTION("""COMPUTED_VALUE"""),26.4030768629999)</f>
        <v>26.4030768629999</v>
      </c>
      <c r="G196" s="8">
        <f>IFERROR(__xludf.DUMMYFUNCTION("""COMPUTED_VALUE"""),105.021741404999)</f>
        <v>105.021741404999</v>
      </c>
      <c r="H196" s="8">
        <f>IFERROR(__xludf.DUMMYFUNCTION("""COMPUTED_VALUE"""),319.751096617)</f>
        <v>319.751096617</v>
      </c>
      <c r="I196" s="13"/>
      <c r="J196" s="14"/>
      <c r="K196" s="14"/>
      <c r="L196" s="14"/>
      <c r="M196" s="7" t="b">
        <f>IFERROR(__xludf.DUMMYFUNCTION("""COMPUTED_VALUE"""),FALSE)</f>
        <v>0</v>
      </c>
      <c r="N196" s="10">
        <f>IFERROR(__xludf.DUMMYFUNCTION("""COMPUTED_VALUE"""),0)</f>
        <v>0</v>
      </c>
      <c r="O196" s="10">
        <f>IFERROR(__xludf.DUMMYFUNCTION("""COMPUTED_VALUE"""),0)</f>
        <v>0</v>
      </c>
      <c r="P196" s="8"/>
      <c r="Q196" s="7"/>
      <c r="R196" s="16"/>
      <c r="S196" s="17"/>
      <c r="T196" s="8"/>
      <c r="U196" s="8"/>
      <c r="V196" s="22"/>
      <c r="W196" s="12"/>
      <c r="X196" s="12"/>
      <c r="Y196" s="12"/>
      <c r="Z196" s="12"/>
      <c r="AA196" s="7"/>
      <c r="AB196" s="12"/>
      <c r="AC196" s="6"/>
      <c r="AD196" s="6"/>
      <c r="AE196" s="7"/>
      <c r="AF196" s="7"/>
      <c r="AG196" s="7"/>
      <c r="AH196" s="7"/>
      <c r="AI196" s="7"/>
      <c r="AJ196" s="7"/>
      <c r="AK196" s="7"/>
      <c r="AL196" s="7"/>
      <c r="AM196" s="7"/>
      <c r="AN196" s="7"/>
      <c r="AO196" s="6"/>
      <c r="AP196" s="7"/>
      <c r="AQ196" s="7"/>
      <c r="AR196" s="6"/>
      <c r="AS196" s="7"/>
      <c r="AT196" s="7"/>
      <c r="AU196" s="7"/>
      <c r="AV196" s="7"/>
      <c r="AW196" s="7"/>
      <c r="AX196" s="7"/>
      <c r="AY196" s="7"/>
      <c r="AZ196" s="7"/>
      <c r="BA196" s="7"/>
      <c r="BB196" s="7"/>
      <c r="BC196" s="7"/>
      <c r="BD196" s="7"/>
      <c r="BE196" s="7"/>
      <c r="BF196" s="7"/>
      <c r="BG196" s="7"/>
    </row>
    <row r="197" customHeight="1" spans="1:59">
      <c r="A197" s="9" t="str">
        <f>IFERROR(__xludf.DUMMYFUNCTION("""COMPUTED_VALUE"""),"Clio 07")</f>
        <v>Clio 07</v>
      </c>
      <c r="B197" s="5" t="str">
        <f>IFERROR(__xludf.DUMMYFUNCTION("""COMPUTED_VALUE"""),"Clio 12")</f>
        <v>Clio 12</v>
      </c>
      <c r="C197" s="5" t="str">
        <f>IFERROR(__xludf.DUMMYFUNCTION("""COMPUTED_VALUE"""),"Clio 11")</f>
        <v>Clio 11</v>
      </c>
      <c r="D197" s="23" t="str">
        <f>IFERROR(__xludf.DUMMYFUNCTION("""COMPUTED_VALUE"""),"Rock Cave 44X")</f>
        <v>Rock Cave 44X</v>
      </c>
      <c r="E197" s="23" t="str">
        <f>IFERROR(__xludf.DUMMYFUNCTION("""COMPUTED_VALUE"""),"RCave 44X")</f>
        <v>RCave 44X</v>
      </c>
      <c r="F197" s="8">
        <f>IFERROR(__xludf.DUMMYFUNCTION("""COMPUTED_VALUE"""),12.477181057)</f>
        <v>12.477181057</v>
      </c>
      <c r="G197" s="8">
        <f>IFERROR(__xludf.DUMMYFUNCTION("""COMPUTED_VALUE"""),77.049362663)</f>
        <v>77.049362663</v>
      </c>
      <c r="H197" s="8">
        <f>IFERROR(__xludf.DUMMYFUNCTION("""COMPUTED_VALUE"""),328.531213000999)</f>
        <v>328.531213000999</v>
      </c>
      <c r="I197" s="13"/>
      <c r="J197" s="14"/>
      <c r="K197" s="14"/>
      <c r="L197" s="14"/>
      <c r="M197" s="7" t="b">
        <f>IFERROR(__xludf.DUMMYFUNCTION("""COMPUTED_VALUE"""),FALSE)</f>
        <v>0</v>
      </c>
      <c r="N197" s="10">
        <f>IFERROR(__xludf.DUMMYFUNCTION("""COMPUTED_VALUE"""),0)</f>
        <v>0</v>
      </c>
      <c r="O197" s="10">
        <f>IFERROR(__xludf.DUMMYFUNCTION("""COMPUTED_VALUE"""),0)</f>
        <v>0</v>
      </c>
      <c r="P197" s="8"/>
      <c r="Q197" s="7"/>
      <c r="R197" s="16"/>
      <c r="S197" s="17"/>
      <c r="T197" s="8"/>
      <c r="U197" s="8"/>
      <c r="V197" s="22"/>
      <c r="W197" s="12"/>
      <c r="X197" s="12"/>
      <c r="Y197" s="12"/>
      <c r="Z197" s="12"/>
      <c r="AA197" s="7"/>
      <c r="AB197" s="12"/>
      <c r="AC197" s="6"/>
      <c r="AD197" s="6"/>
      <c r="AE197" s="7"/>
      <c r="AF197" s="7"/>
      <c r="AG197" s="7"/>
      <c r="AH197" s="7"/>
      <c r="AI197" s="7"/>
      <c r="AJ197" s="7"/>
      <c r="AK197" s="7"/>
      <c r="AL197" s="7"/>
      <c r="AM197" s="7"/>
      <c r="AN197" s="7"/>
      <c r="AO197" s="6"/>
      <c r="AP197" s="7"/>
      <c r="AQ197" s="7"/>
      <c r="AR197" s="6"/>
      <c r="AS197" s="7"/>
      <c r="AT197" s="7"/>
      <c r="AU197" s="7"/>
      <c r="AV197" s="7"/>
      <c r="AW197" s="7"/>
      <c r="AX197" s="7"/>
      <c r="AY197" s="7"/>
      <c r="AZ197" s="7"/>
      <c r="BA197" s="7"/>
      <c r="BB197" s="7"/>
      <c r="BC197" s="7"/>
      <c r="BD197" s="7"/>
      <c r="BE197" s="7"/>
      <c r="BF197" s="7"/>
      <c r="BG197" s="7"/>
    </row>
    <row r="198" customHeight="1" spans="1:59">
      <c r="A198" s="9" t="str">
        <f>IFERROR(__xludf.DUMMYFUNCTION("""COMPUTED_VALUE"""),"Clio")</f>
        <v>Clio</v>
      </c>
      <c r="B198" s="5" t="str">
        <f>IFERROR(__xludf.DUMMYFUNCTION("""COMPUTED_VALUE"""),"Clio 16")</f>
        <v>Clio 16</v>
      </c>
      <c r="C198" s="5"/>
      <c r="D198" s="23" t="str">
        <f>IFERROR(__xludf.DUMMYFUNCTION("""COMPUTED_VALUE"""),"Wrecks")</f>
        <v>Wrecks</v>
      </c>
      <c r="E198" s="23"/>
      <c r="F198" s="8"/>
      <c r="G198" s="8"/>
      <c r="H198" s="8"/>
      <c r="I198" s="13"/>
      <c r="J198" s="14"/>
      <c r="K198" s="14"/>
      <c r="L198" s="14"/>
      <c r="M198" s="7"/>
      <c r="N198" s="10"/>
      <c r="O198" s="10"/>
      <c r="P198" s="8"/>
      <c r="Q198" s="7"/>
      <c r="R198" s="16"/>
      <c r="S198" s="17"/>
      <c r="T198" s="8"/>
      <c r="U198" s="8"/>
      <c r="V198" s="22"/>
      <c r="W198" s="12"/>
      <c r="X198" s="12"/>
      <c r="Y198" s="12"/>
      <c r="Z198" s="12"/>
      <c r="AA198" s="7"/>
      <c r="AB198" s="12"/>
      <c r="AC198" s="6"/>
      <c r="AD198" s="6"/>
      <c r="AE198" s="7"/>
      <c r="AF198" s="7"/>
      <c r="AG198" s="7"/>
      <c r="AH198" s="7"/>
      <c r="AI198" s="7"/>
      <c r="AJ198" s="7"/>
      <c r="AK198" s="7"/>
      <c r="AL198" s="7"/>
      <c r="AM198" s="7"/>
      <c r="AN198" s="7"/>
      <c r="AO198" s="6"/>
      <c r="AP198" s="7"/>
      <c r="AQ198" s="7"/>
      <c r="AR198" s="6"/>
      <c r="AS198" s="7"/>
      <c r="AT198" s="7"/>
      <c r="AU198" s="7"/>
      <c r="AV198" s="7"/>
      <c r="AW198" s="7"/>
      <c r="AX198" s="7"/>
      <c r="AY198" s="7"/>
      <c r="AZ198" s="7"/>
      <c r="BA198" s="7"/>
      <c r="BB198" s="7"/>
      <c r="BC198" s="7"/>
      <c r="BD198" s="7"/>
      <c r="BE198" s="7"/>
      <c r="BF198" s="7"/>
      <c r="BG198" s="7"/>
    </row>
    <row r="199" customHeight="1" spans="1:59">
      <c r="A199" s="9" t="str">
        <f>IFERROR(__xludf.DUMMYFUNCTION("""COMPUTED_VALUE"""),"Clio 11")</f>
        <v>Clio 11</v>
      </c>
      <c r="B199" s="5" t="str">
        <f>IFERROR(__xludf.DUMMYFUNCTION("""COMPUTED_VALUE"""),"Clio 18")</f>
        <v>Clio 18</v>
      </c>
      <c r="C199" s="5" t="str">
        <f>IFERROR(__xludf.DUMMYFUNCTION("""COMPUTED_VALUE"""),"Clio 02")</f>
        <v>Clio 02</v>
      </c>
      <c r="D199" s="23" t="str">
        <f>IFERROR(__xludf.DUMMYFUNCTION("""COMPUTED_VALUE"""),"Caterpillar Wreck 53Q")</f>
        <v>Caterpillar Wreck 53Q</v>
      </c>
      <c r="E199" s="23" t="str">
        <f>IFERROR(__xludf.DUMMYFUNCTION("""COMPUTED_VALUE"""),"Caterpillar 53Q")</f>
        <v>Caterpillar 53Q</v>
      </c>
      <c r="F199" s="8">
        <f>IFERROR(__xludf.DUMMYFUNCTION("""COMPUTED_VALUE"""),-235.054101494)</f>
        <v>-235.054101494</v>
      </c>
      <c r="G199" s="8">
        <f>IFERROR(__xludf.DUMMYFUNCTION("""COMPUTED_VALUE"""),222.12720871)</f>
        <v>222.12720871</v>
      </c>
      <c r="H199" s="8">
        <f>IFERROR(__xludf.DUMMYFUNCTION("""COMPUTED_VALUE"""),97.406744592)</f>
        <v>97.406744592</v>
      </c>
      <c r="I199" s="13"/>
      <c r="J199" s="14"/>
      <c r="K199" s="14"/>
      <c r="L199" s="14"/>
      <c r="M199" s="7" t="b">
        <f>IFERROR(__xludf.DUMMYFUNCTION("""COMPUTED_VALUE"""),FALSE)</f>
        <v>0</v>
      </c>
      <c r="N199" s="10">
        <f>IFERROR(__xludf.DUMMYFUNCTION("""COMPUTED_VALUE"""),0)</f>
        <v>0</v>
      </c>
      <c r="O199" s="10">
        <f>IFERROR(__xludf.DUMMYFUNCTION("""COMPUTED_VALUE"""),0)</f>
        <v>0</v>
      </c>
      <c r="P199" s="8"/>
      <c r="Q199" s="7"/>
      <c r="R199" s="16"/>
      <c r="S199" s="17"/>
      <c r="T199" s="8"/>
      <c r="U199" s="8"/>
      <c r="V199" s="22"/>
      <c r="W199" s="12"/>
      <c r="X199" s="12"/>
      <c r="Y199" s="12"/>
      <c r="Z199" s="12"/>
      <c r="AA199" s="7"/>
      <c r="AB199" s="12"/>
      <c r="AC199" s="6"/>
      <c r="AD199" s="6"/>
      <c r="AE199" s="7"/>
      <c r="AF199" s="7"/>
      <c r="AG199" s="7"/>
      <c r="AH199" s="7"/>
      <c r="AI199" s="7"/>
      <c r="AJ199" s="7"/>
      <c r="AK199" s="7"/>
      <c r="AL199" s="7"/>
      <c r="AM199" s="7"/>
      <c r="AN199" s="7"/>
      <c r="AO199" s="6"/>
      <c r="AP199" s="7"/>
      <c r="AQ199" s="7"/>
      <c r="AR199" s="6"/>
      <c r="AS199" s="7"/>
      <c r="AT199" s="7"/>
      <c r="AU199" s="7"/>
      <c r="AV199" s="7"/>
      <c r="AW199" s="7"/>
      <c r="AX199" s="7"/>
      <c r="AY199" s="7"/>
      <c r="AZ199" s="7"/>
      <c r="BA199" s="7"/>
      <c r="BB199" s="7"/>
      <c r="BC199" s="7"/>
      <c r="BD199" s="7"/>
      <c r="BE199" s="7"/>
      <c r="BF199" s="7"/>
      <c r="BG199" s="7"/>
    </row>
    <row r="200" customHeight="1" spans="1:59">
      <c r="A200" s="9" t="str">
        <f>IFERROR(__xludf.DUMMYFUNCTION("""COMPUTED_VALUE"""),"Clio 10")</f>
        <v>Clio 10</v>
      </c>
      <c r="B200" s="5" t="str">
        <f>IFERROR(__xludf.DUMMYFUNCTION("""COMPUTED_VALUE"""),"Clio 17")</f>
        <v>Clio 17</v>
      </c>
      <c r="C200" s="5" t="str">
        <f>IFERROR(__xludf.DUMMYFUNCTION("""COMPUTED_VALUE"""),"Clio 15")</f>
        <v>Clio 15</v>
      </c>
      <c r="D200" s="23" t="str">
        <f>IFERROR(__xludf.DUMMYFUNCTION("""COMPUTED_VALUE"""),"Caterpillar Wreck 36Q")</f>
        <v>Caterpillar Wreck 36Q</v>
      </c>
      <c r="E200" s="23" t="str">
        <f>IFERROR(__xludf.DUMMYFUNCTION("""COMPUTED_VALUE"""),"Caterpillar 36Q")</f>
        <v>Caterpillar 36Q</v>
      </c>
      <c r="F200" s="8">
        <f>IFERROR(__xludf.DUMMYFUNCTION("""COMPUTED_VALUE"""),253.20056266)</f>
        <v>253.20056266</v>
      </c>
      <c r="G200" s="8">
        <f>IFERROR(__xludf.DUMMYFUNCTION("""COMPUTED_VALUE"""),178.404406362)</f>
        <v>178.404406362</v>
      </c>
      <c r="H200" s="8">
        <f>IFERROR(__xludf.DUMMYFUNCTION("""COMPUTED_VALUE"""),134.71351571)</f>
        <v>134.71351571</v>
      </c>
      <c r="I200" s="13"/>
      <c r="J200" s="14"/>
      <c r="K200" s="14"/>
      <c r="L200" s="14"/>
      <c r="M200" s="7" t="b">
        <f>IFERROR(__xludf.DUMMYFUNCTION("""COMPUTED_VALUE"""),FALSE)</f>
        <v>0</v>
      </c>
      <c r="N200" s="10">
        <f>IFERROR(__xludf.DUMMYFUNCTION("""COMPUTED_VALUE"""),0)</f>
        <v>0</v>
      </c>
      <c r="O200" s="10">
        <f>IFERROR(__xludf.DUMMYFUNCTION("""COMPUTED_VALUE"""),0)</f>
        <v>0</v>
      </c>
      <c r="P200" s="8"/>
      <c r="Q200" s="7"/>
      <c r="R200" s="16"/>
      <c r="S200" s="17"/>
      <c r="T200" s="8"/>
      <c r="U200" s="8"/>
      <c r="V200" s="22"/>
      <c r="W200" s="12"/>
      <c r="X200" s="12"/>
      <c r="Y200" s="12"/>
      <c r="Z200" s="12"/>
      <c r="AA200" s="7"/>
      <c r="AB200" s="12"/>
      <c r="AC200" s="6"/>
      <c r="AD200" s="6"/>
      <c r="AE200" s="7"/>
      <c r="AF200" s="7"/>
      <c r="AG200" s="7"/>
      <c r="AH200" s="7"/>
      <c r="AI200" s="7"/>
      <c r="AJ200" s="7"/>
      <c r="AK200" s="7"/>
      <c r="AL200" s="7"/>
      <c r="AM200" s="7"/>
      <c r="AN200" s="7"/>
      <c r="AO200" s="6"/>
      <c r="AP200" s="7"/>
      <c r="AQ200" s="7"/>
      <c r="AR200" s="6"/>
      <c r="AS200" s="7"/>
      <c r="AT200" s="7"/>
      <c r="AU200" s="7"/>
      <c r="AV200" s="7"/>
      <c r="AW200" s="7"/>
      <c r="AX200" s="7"/>
      <c r="AY200" s="7"/>
      <c r="AZ200" s="7"/>
      <c r="BA200" s="7"/>
      <c r="BB200" s="7"/>
      <c r="BC200" s="7"/>
      <c r="BD200" s="7"/>
      <c r="BE200" s="7"/>
      <c r="BF200" s="7"/>
      <c r="BG200" s="7"/>
    </row>
    <row r="201" customHeight="1" spans="1:59">
      <c r="A201" s="9" t="str">
        <f>IFERROR(__xludf.DUMMYFUNCTION("""COMPUTED_VALUE"""),"Clio 12")</f>
        <v>Clio 12</v>
      </c>
      <c r="B201" s="5" t="str">
        <f>IFERROR(__xludf.DUMMYFUNCTION("""COMPUTED_VALUE"""),"Clio 19")</f>
        <v>Clio 19</v>
      </c>
      <c r="C201" s="5" t="str">
        <f>IFERROR(__xludf.DUMMYFUNCTION("""COMPUTED_VALUE"""),"Clio 01")</f>
        <v>Clio 01</v>
      </c>
      <c r="D201" s="23" t="str">
        <f>IFERROR(__xludf.DUMMYFUNCTION("""COMPUTED_VALUE"""),"Caterpillar Wreck 55V")</f>
        <v>Caterpillar Wreck 55V</v>
      </c>
      <c r="E201" s="23" t="str">
        <f>IFERROR(__xludf.DUMMYFUNCTION("""COMPUTED_VALUE"""),"Caterpillar 55V")</f>
        <v>Caterpillar 55V</v>
      </c>
      <c r="F201" s="8">
        <f>IFERROR(__xludf.DUMMYFUNCTION("""COMPUTED_VALUE"""),-142.973418852)</f>
        <v>-142.973418852</v>
      </c>
      <c r="G201" s="8">
        <f>IFERROR(__xludf.DUMMYFUNCTION("""COMPUTED_VALUE"""),98.2859822969998)</f>
        <v>98.2859822969998</v>
      </c>
      <c r="H201" s="8">
        <f>IFERROR(__xludf.DUMMYFUNCTION("""COMPUTED_VALUE"""),289.667368875999)</f>
        <v>289.667368875999</v>
      </c>
      <c r="I201" s="13"/>
      <c r="J201" s="14"/>
      <c r="K201" s="14"/>
      <c r="L201" s="14"/>
      <c r="M201" s="7" t="b">
        <f>IFERROR(__xludf.DUMMYFUNCTION("""COMPUTED_VALUE"""),FALSE)</f>
        <v>0</v>
      </c>
      <c r="N201" s="10">
        <f>IFERROR(__xludf.DUMMYFUNCTION("""COMPUTED_VALUE"""),0)</f>
        <v>0</v>
      </c>
      <c r="O201" s="10">
        <f>IFERROR(__xludf.DUMMYFUNCTION("""COMPUTED_VALUE"""),0)</f>
        <v>0</v>
      </c>
      <c r="P201" s="8"/>
      <c r="Q201" s="7"/>
      <c r="R201" s="16"/>
      <c r="S201" s="17"/>
      <c r="T201" s="8"/>
      <c r="U201" s="8"/>
      <c r="V201" s="22"/>
      <c r="W201" s="12"/>
      <c r="X201" s="12"/>
      <c r="Y201" s="12"/>
      <c r="Z201" s="12"/>
      <c r="AA201" s="7"/>
      <c r="AB201" s="12"/>
      <c r="AC201" s="6"/>
      <c r="AD201" s="6"/>
      <c r="AE201" s="7"/>
      <c r="AF201" s="7"/>
      <c r="AG201" s="7"/>
      <c r="AH201" s="7"/>
      <c r="AI201" s="7"/>
      <c r="AJ201" s="7"/>
      <c r="AK201" s="7"/>
      <c r="AL201" s="7"/>
      <c r="AM201" s="7"/>
      <c r="AN201" s="7"/>
      <c r="AO201" s="6"/>
      <c r="AP201" s="7"/>
      <c r="AQ201" s="7"/>
      <c r="AR201" s="6"/>
      <c r="AS201" s="7"/>
      <c r="AT201" s="7"/>
      <c r="AU201" s="7"/>
      <c r="AV201" s="7"/>
      <c r="AW201" s="7"/>
      <c r="AX201" s="7"/>
      <c r="AY201" s="7"/>
      <c r="AZ201" s="7"/>
      <c r="BA201" s="7"/>
      <c r="BB201" s="7"/>
      <c r="BC201" s="7"/>
      <c r="BD201" s="7"/>
      <c r="BE201" s="7"/>
      <c r="BF201" s="7"/>
      <c r="BG201" s="7"/>
    </row>
    <row r="202" customHeight="1" spans="1:59">
      <c r="A202" s="9" t="str">
        <f>IFERROR(__xludf.DUMMYFUNCTION("""COMPUTED_VALUE"""),"Clio 13")</f>
        <v>Clio 13</v>
      </c>
      <c r="B202" s="5" t="str">
        <f>IFERROR(__xludf.DUMMYFUNCTION("""COMPUTED_VALUE"""),"Clio 20")</f>
        <v>Clio 20</v>
      </c>
      <c r="C202" s="5" t="str">
        <f>IFERROR(__xludf.DUMMYFUNCTION("""COMPUTED_VALUE"""),"Clio 14")</f>
        <v>Clio 14</v>
      </c>
      <c r="D202" s="23" t="str">
        <f>IFERROR(__xludf.DUMMYFUNCTION("""COMPUTED_VALUE"""),"Constellation Wreck")</f>
        <v>Constellation Wreck</v>
      </c>
      <c r="E202" s="23" t="str">
        <f>IFERROR(__xludf.DUMMYFUNCTION("""COMPUTED_VALUE"""),"Constellation")</f>
        <v>Constellation</v>
      </c>
      <c r="F202" s="8">
        <f>IFERROR(__xludf.DUMMYFUNCTION("""COMPUTED_VALUE"""),237.914797603999)</f>
        <v>237.914797603999</v>
      </c>
      <c r="G202" s="8">
        <f>IFERROR(__xludf.DUMMYFUNCTION("""COMPUTED_VALUE"""),197.091654172999)</f>
        <v>197.091654172999</v>
      </c>
      <c r="H202" s="8">
        <f>IFERROR(__xludf.DUMMYFUNCTION("""COMPUTED_VALUE"""),136.425946877999)</f>
        <v>136.425946877999</v>
      </c>
      <c r="I202" s="13"/>
      <c r="J202" s="14"/>
      <c r="K202" s="14"/>
      <c r="L202" s="14"/>
      <c r="M202" s="7" t="b">
        <f>IFERROR(__xludf.DUMMYFUNCTION("""COMPUTED_VALUE"""),FALSE)</f>
        <v>0</v>
      </c>
      <c r="N202" s="10">
        <f>IFERROR(__xludf.DUMMYFUNCTION("""COMPUTED_VALUE"""),0)</f>
        <v>0</v>
      </c>
      <c r="O202" s="10">
        <f>IFERROR(__xludf.DUMMYFUNCTION("""COMPUTED_VALUE"""),0)</f>
        <v>0</v>
      </c>
      <c r="P202" s="8"/>
      <c r="Q202" s="7"/>
      <c r="R202" s="16"/>
      <c r="S202" s="17"/>
      <c r="T202" s="8"/>
      <c r="U202" s="8"/>
      <c r="V202" s="22"/>
      <c r="W202" s="12"/>
      <c r="X202" s="12"/>
      <c r="Y202" s="12"/>
      <c r="Z202" s="12"/>
      <c r="AA202" s="7"/>
      <c r="AB202" s="12"/>
      <c r="AC202" s="6"/>
      <c r="AD202" s="6"/>
      <c r="AE202" s="7"/>
      <c r="AF202" s="7"/>
      <c r="AG202" s="7"/>
      <c r="AH202" s="7"/>
      <c r="AI202" s="7"/>
      <c r="AJ202" s="7"/>
      <c r="AK202" s="7"/>
      <c r="AL202" s="7"/>
      <c r="AM202" s="7"/>
      <c r="AN202" s="7"/>
      <c r="AO202" s="6"/>
      <c r="AP202" s="7"/>
      <c r="AQ202" s="7"/>
      <c r="AR202" s="6"/>
      <c r="AS202" s="7"/>
      <c r="AT202" s="7"/>
      <c r="AU202" s="7"/>
      <c r="AV202" s="7"/>
      <c r="AW202" s="7"/>
      <c r="AX202" s="7"/>
      <c r="AY202" s="7"/>
      <c r="AZ202" s="7"/>
      <c r="BA202" s="7"/>
      <c r="BB202" s="7"/>
      <c r="BC202" s="7"/>
      <c r="BD202" s="7"/>
      <c r="BE202" s="7"/>
      <c r="BF202" s="7"/>
      <c r="BG202" s="7"/>
    </row>
    <row r="203" customHeight="1" spans="1:59">
      <c r="A203" s="9" t="str">
        <f>IFERROR(__xludf.DUMMYFUNCTION("""COMPUTED_VALUE"""),"Clio 16")</f>
        <v>Clio 16</v>
      </c>
      <c r="B203" s="5" t="str">
        <f>IFERROR(__xludf.DUMMYFUNCTION("""COMPUTED_VALUE"""),"Clio 23")</f>
        <v>Clio 23</v>
      </c>
      <c r="C203" s="5" t="str">
        <f>IFERROR(__xludf.DUMMYFUNCTION("""COMPUTED_VALUE"""),"Clio 05")</f>
        <v>Clio 05</v>
      </c>
      <c r="D203" s="23" t="str">
        <f>IFERROR(__xludf.DUMMYFUNCTION("""COMPUTED_VALUE"""),"Starfarer Wreck 50S")</f>
        <v>Starfarer Wreck 50S</v>
      </c>
      <c r="E203" s="23" t="str">
        <f>IFERROR(__xludf.DUMMYFUNCTION("""COMPUTED_VALUE"""),"Starfarer 50S")</f>
        <v>Starfarer 50S</v>
      </c>
      <c r="F203" s="8">
        <f>IFERROR(__xludf.DUMMYFUNCTION("""COMPUTED_VALUE"""),-125.553805875)</f>
        <v>-125.553805875</v>
      </c>
      <c r="G203" s="8">
        <f>IFERROR(__xludf.DUMMYFUNCTION("""COMPUTED_VALUE"""),242.327564791999)</f>
        <v>242.327564791999</v>
      </c>
      <c r="H203" s="8">
        <f>IFERROR(__xludf.DUMMYFUNCTION("""COMPUTED_VALUE"""),198.087908123)</f>
        <v>198.087908123</v>
      </c>
      <c r="I203" s="13"/>
      <c r="J203" s="14"/>
      <c r="K203" s="14"/>
      <c r="L203" s="14"/>
      <c r="M203" s="7" t="b">
        <f>IFERROR(__xludf.DUMMYFUNCTION("""COMPUTED_VALUE"""),FALSE)</f>
        <v>0</v>
      </c>
      <c r="N203" s="10">
        <f>IFERROR(__xludf.DUMMYFUNCTION("""COMPUTED_VALUE"""),0)</f>
        <v>0</v>
      </c>
      <c r="O203" s="10">
        <f>IFERROR(__xludf.DUMMYFUNCTION("""COMPUTED_VALUE"""),0)</f>
        <v>0</v>
      </c>
      <c r="P203" s="8"/>
      <c r="Q203" s="7"/>
      <c r="R203" s="16"/>
      <c r="S203" s="17"/>
      <c r="T203" s="8"/>
      <c r="U203" s="8"/>
      <c r="V203" s="22"/>
      <c r="W203" s="12"/>
      <c r="X203" s="12"/>
      <c r="Y203" s="12"/>
      <c r="Z203" s="12"/>
      <c r="AA203" s="7"/>
      <c r="AB203" s="12"/>
      <c r="AC203" s="6"/>
      <c r="AD203" s="6"/>
      <c r="AE203" s="7"/>
      <c r="AF203" s="7"/>
      <c r="AG203" s="7"/>
      <c r="AH203" s="7"/>
      <c r="AI203" s="7"/>
      <c r="AJ203" s="7"/>
      <c r="AK203" s="7"/>
      <c r="AL203" s="7"/>
      <c r="AM203" s="7"/>
      <c r="AN203" s="7"/>
      <c r="AO203" s="6"/>
      <c r="AP203" s="7"/>
      <c r="AQ203" s="7"/>
      <c r="AR203" s="6"/>
      <c r="AS203" s="7"/>
      <c r="AT203" s="7"/>
      <c r="AU203" s="7"/>
      <c r="AV203" s="7"/>
      <c r="AW203" s="7"/>
      <c r="AX203" s="7"/>
      <c r="AY203" s="7"/>
      <c r="AZ203" s="7"/>
      <c r="BA203" s="7"/>
      <c r="BB203" s="7"/>
      <c r="BC203" s="7"/>
      <c r="BD203" s="7"/>
      <c r="BE203" s="7"/>
      <c r="BF203" s="7"/>
      <c r="BG203" s="7"/>
    </row>
    <row r="204" customHeight="1" spans="1:59">
      <c r="A204" s="9" t="str">
        <f>IFERROR(__xludf.DUMMYFUNCTION("""COMPUTED_VALUE"""),"Clio 14")</f>
        <v>Clio 14</v>
      </c>
      <c r="B204" s="5" t="str">
        <f>IFERROR(__xludf.DUMMYFUNCTION("""COMPUTED_VALUE"""),"Clio 21")</f>
        <v>Clio 21</v>
      </c>
      <c r="C204" s="5" t="str">
        <f>IFERROR(__xludf.DUMMYFUNCTION("""COMPUTED_VALUE"""),"Clio 13")</f>
        <v>Clio 13</v>
      </c>
      <c r="D204" s="23" t="str">
        <f>IFERROR(__xludf.DUMMYFUNCTION("""COMPUTED_VALUE"""),"Starfarer Wreck 42T")</f>
        <v>Starfarer Wreck 42T</v>
      </c>
      <c r="E204" s="23" t="str">
        <f>IFERROR(__xludf.DUMMYFUNCTION("""COMPUTED_VALUE"""),"Starfarer 42T")</f>
        <v>Starfarer 42T</v>
      </c>
      <c r="F204" s="8">
        <f>IFERROR(__xludf.DUMMYFUNCTION("""COMPUTED_VALUE"""),76.745244493)</f>
        <v>76.745244493</v>
      </c>
      <c r="G204" s="8">
        <f>IFERROR(__xludf.DUMMYFUNCTION("""COMPUTED_VALUE"""),235.732647705999)</f>
        <v>235.732647705999</v>
      </c>
      <c r="H204" s="8">
        <f>IFERROR(__xludf.DUMMYFUNCTION("""COMPUTED_VALUE"""),229.345741264999)</f>
        <v>229.345741264999</v>
      </c>
      <c r="I204" s="13"/>
      <c r="J204" s="14"/>
      <c r="K204" s="14"/>
      <c r="L204" s="14"/>
      <c r="M204" s="7" t="b">
        <f>IFERROR(__xludf.DUMMYFUNCTION("""COMPUTED_VALUE"""),FALSE)</f>
        <v>0</v>
      </c>
      <c r="N204" s="10">
        <f>IFERROR(__xludf.DUMMYFUNCTION("""COMPUTED_VALUE"""),0)</f>
        <v>0</v>
      </c>
      <c r="O204" s="10">
        <f>IFERROR(__xludf.DUMMYFUNCTION("""COMPUTED_VALUE"""),0)</f>
        <v>0</v>
      </c>
      <c r="P204" s="8"/>
      <c r="Q204" s="7"/>
      <c r="R204" s="16"/>
      <c r="S204" s="17"/>
      <c r="T204" s="8"/>
      <c r="U204" s="8"/>
      <c r="V204" s="22"/>
      <c r="W204" s="12"/>
      <c r="X204" s="12"/>
      <c r="Y204" s="12"/>
      <c r="Z204" s="12"/>
      <c r="AA204" s="7"/>
      <c r="AB204" s="12"/>
      <c r="AC204" s="6"/>
      <c r="AD204" s="6"/>
      <c r="AE204" s="7"/>
      <c r="AF204" s="7"/>
      <c r="AG204" s="7"/>
      <c r="AH204" s="7"/>
      <c r="AI204" s="7"/>
      <c r="AJ204" s="7"/>
      <c r="AK204" s="7"/>
      <c r="AL204" s="7"/>
      <c r="AM204" s="7"/>
      <c r="AN204" s="7"/>
      <c r="AO204" s="6"/>
      <c r="AP204" s="7"/>
      <c r="AQ204" s="7"/>
      <c r="AR204" s="6"/>
      <c r="AS204" s="7"/>
      <c r="AT204" s="7"/>
      <c r="AU204" s="7"/>
      <c r="AV204" s="7"/>
      <c r="AW204" s="7"/>
      <c r="AX204" s="7"/>
      <c r="AY204" s="7"/>
      <c r="AZ204" s="7"/>
      <c r="BA204" s="7"/>
      <c r="BB204" s="7"/>
      <c r="BC204" s="7"/>
      <c r="BD204" s="7"/>
      <c r="BE204" s="7"/>
      <c r="BF204" s="7"/>
      <c r="BG204" s="7"/>
    </row>
    <row r="205" customHeight="1" spans="1:59">
      <c r="A205" s="9" t="str">
        <f>IFERROR(__xludf.DUMMYFUNCTION("""COMPUTED_VALUE"""),"Clio 15")</f>
        <v>Clio 15</v>
      </c>
      <c r="B205" s="5" t="str">
        <f>IFERROR(__xludf.DUMMYFUNCTION("""COMPUTED_VALUE"""),"Clio 22")</f>
        <v>Clio 22</v>
      </c>
      <c r="C205" s="5" t="str">
        <f>IFERROR(__xludf.DUMMYFUNCTION("""COMPUTED_VALUE"""),"Clio 10")</f>
        <v>Clio 10</v>
      </c>
      <c r="D205" s="23" t="str">
        <f>IFERROR(__xludf.DUMMYFUNCTION("""COMPUTED_VALUE"""),"Starfarer Wreck 45V")</f>
        <v>Starfarer Wreck 45V</v>
      </c>
      <c r="E205" s="23" t="str">
        <f>IFERROR(__xludf.DUMMYFUNCTION("""COMPUTED_VALUE"""),"Starfarer 45V")</f>
        <v>Starfarer 45V</v>
      </c>
      <c r="F205" s="8">
        <f>IFERROR(__xludf.DUMMYFUNCTION("""COMPUTED_VALUE"""),6.51288168099999)</f>
        <v>6.51288168099999</v>
      </c>
      <c r="G205" s="8">
        <f>IFERROR(__xludf.DUMMYFUNCTION("""COMPUTED_VALUE"""),175.082089572)</f>
        <v>175.082089572</v>
      </c>
      <c r="H205" s="8">
        <f>IFERROR(__xludf.DUMMYFUNCTION("""COMPUTED_VALUE"""),288.414680617999)</f>
        <v>288.414680617999</v>
      </c>
      <c r="I205" s="13"/>
      <c r="J205" s="14"/>
      <c r="K205" s="14"/>
      <c r="L205" s="14"/>
      <c r="M205" s="7" t="b">
        <f>IFERROR(__xludf.DUMMYFUNCTION("""COMPUTED_VALUE"""),FALSE)</f>
        <v>0</v>
      </c>
      <c r="N205" s="10">
        <f>IFERROR(__xludf.DUMMYFUNCTION("""COMPUTED_VALUE"""),0)</f>
        <v>0</v>
      </c>
      <c r="O205" s="10">
        <f>IFERROR(__xludf.DUMMYFUNCTION("""COMPUTED_VALUE"""),0)</f>
        <v>0</v>
      </c>
      <c r="P205" s="8"/>
      <c r="Q205" s="7"/>
      <c r="R205" s="16"/>
      <c r="S205" s="17"/>
      <c r="T205" s="8"/>
      <c r="U205" s="8"/>
      <c r="V205" s="22"/>
      <c r="W205" s="12"/>
      <c r="X205" s="12"/>
      <c r="Y205" s="12"/>
      <c r="Z205" s="12"/>
      <c r="AA205" s="7"/>
      <c r="AB205" s="12"/>
      <c r="AC205" s="6"/>
      <c r="AD205" s="6"/>
      <c r="AE205" s="7"/>
      <c r="AF205" s="7"/>
      <c r="AG205" s="7"/>
      <c r="AH205" s="7"/>
      <c r="AI205" s="7"/>
      <c r="AJ205" s="7"/>
      <c r="AK205" s="7"/>
      <c r="AL205" s="7"/>
      <c r="AM205" s="7"/>
      <c r="AN205" s="7"/>
      <c r="AO205" s="6"/>
      <c r="AP205" s="7"/>
      <c r="AQ205" s="7"/>
      <c r="AR205" s="6"/>
      <c r="AS205" s="7"/>
      <c r="AT205" s="7"/>
      <c r="AU205" s="7"/>
      <c r="AV205" s="7"/>
      <c r="AW205" s="7"/>
      <c r="AX205" s="7"/>
      <c r="AY205" s="7"/>
      <c r="AZ205" s="7"/>
      <c r="BA205" s="7"/>
      <c r="BB205" s="7"/>
      <c r="BC205" s="7"/>
      <c r="BD205" s="7"/>
      <c r="BE205" s="7"/>
      <c r="BF205" s="7"/>
      <c r="BG205" s="7"/>
    </row>
    <row r="206" customHeight="1" spans="1:59">
      <c r="A206" s="9" t="str">
        <f>IFERROR(__xludf.DUMMYFUNCTION("""COMPUTED_VALUE"""),"Clio")</f>
        <v>Clio</v>
      </c>
      <c r="B206" s="5" t="str">
        <f>IFERROR(__xludf.DUMMYFUNCTION("""COMPUTED_VALUE"""),"Clio 25")</f>
        <v>Clio 25</v>
      </c>
      <c r="C206" s="5"/>
      <c r="D206" s="23" t="str">
        <f>IFERROR(__xludf.DUMMYFUNCTION("""COMPUTED_VALUE"""),"Comm Array")</f>
        <v>Comm Array</v>
      </c>
      <c r="E206" s="23"/>
      <c r="F206" s="8"/>
      <c r="G206" s="8"/>
      <c r="H206" s="8"/>
      <c r="I206" s="13"/>
      <c r="J206" s="14"/>
      <c r="K206" s="14"/>
      <c r="L206" s="14"/>
      <c r="M206" s="7"/>
      <c r="N206" s="10"/>
      <c r="O206" s="10"/>
      <c r="P206" s="8"/>
      <c r="Q206" s="7"/>
      <c r="R206" s="16"/>
      <c r="S206" s="17"/>
      <c r="T206" s="8"/>
      <c r="U206" s="8"/>
      <c r="V206" s="22"/>
      <c r="W206" s="12"/>
      <c r="X206" s="12"/>
      <c r="Y206" s="12"/>
      <c r="Z206" s="12"/>
      <c r="AA206" s="7"/>
      <c r="AB206" s="12"/>
      <c r="AC206" s="6"/>
      <c r="AD206" s="6"/>
      <c r="AE206" s="7"/>
      <c r="AF206" s="7"/>
      <c r="AG206" s="7"/>
      <c r="AH206" s="7"/>
      <c r="AI206" s="7"/>
      <c r="AJ206" s="7"/>
      <c r="AK206" s="7"/>
      <c r="AL206" s="7"/>
      <c r="AM206" s="7"/>
      <c r="AN206" s="7"/>
      <c r="AO206" s="6"/>
      <c r="AP206" s="7"/>
      <c r="AQ206" s="7"/>
      <c r="AR206" s="6"/>
      <c r="AS206" s="7"/>
      <c r="AT206" s="7"/>
      <c r="AU206" s="7"/>
      <c r="AV206" s="7"/>
      <c r="AW206" s="7"/>
      <c r="AX206" s="7"/>
      <c r="AY206" s="7"/>
      <c r="AZ206" s="7"/>
      <c r="BA206" s="7"/>
      <c r="BB206" s="7"/>
      <c r="BC206" s="7"/>
      <c r="BD206" s="7"/>
      <c r="BE206" s="7"/>
      <c r="BF206" s="7"/>
      <c r="BG206" s="7"/>
    </row>
    <row r="207" customHeight="1" spans="1:59">
      <c r="A207" s="9" t="str">
        <f>IFERROR(__xludf.DUMMYFUNCTION("""COMPUTED_VALUE"""),"Clio 03")</f>
        <v>Clio 03</v>
      </c>
      <c r="B207" s="5" t="str">
        <f>IFERROR(__xludf.DUMMYFUNCTION("""COMPUTED_VALUE"""),"Clio 26")</f>
        <v>Clio 26</v>
      </c>
      <c r="C207" s="5" t="str">
        <f>IFERROR(__xludf.DUMMYFUNCTION("""COMPUTED_VALUE"""),"Clio 06")</f>
        <v>Clio 06</v>
      </c>
      <c r="D207" s="23" t="str">
        <f>IFERROR(__xludf.DUMMYFUNCTION("""COMPUTED_VALUE"""),"Comm Array ST4-59")</f>
        <v>Comm Array ST4-59</v>
      </c>
      <c r="E207" s="23" t="str">
        <f>IFERROR(__xludf.DUMMYFUNCTION("""COMPUTED_VALUE"""),"ST4-59")</f>
        <v>ST4-59</v>
      </c>
      <c r="F207" s="8">
        <f>IFERROR(__xludf.DUMMYFUNCTION("""COMPUTED_VALUE"""),-249.263407497406)</f>
        <v>-249.263407497406</v>
      </c>
      <c r="G207" s="8">
        <f>IFERROR(__xludf.DUMMYFUNCTION("""COMPUTED_VALUE"""),510.162233093262)</f>
        <v>510.162233093262</v>
      </c>
      <c r="H207" s="8">
        <f>IFERROR(__xludf.DUMMYFUNCTION("""COMPUTED_VALUE"""),24)</f>
        <v>24</v>
      </c>
      <c r="I207" s="13"/>
      <c r="J207" s="14"/>
      <c r="K207" s="14"/>
      <c r="L207" s="14"/>
      <c r="M207" s="7" t="b">
        <f>IFERROR(__xludf.DUMMYFUNCTION("""COMPUTED_VALUE"""),TRUE)</f>
        <v>1</v>
      </c>
      <c r="N207" s="10">
        <f>IFERROR(__xludf.DUMMYFUNCTION("""COMPUTED_VALUE"""),0)</f>
        <v>0</v>
      </c>
      <c r="O207" s="10">
        <f>IFERROR(__xludf.DUMMYFUNCTION("""COMPUTED_VALUE"""),0)</f>
        <v>0</v>
      </c>
      <c r="P207" s="8"/>
      <c r="Q207" s="7"/>
      <c r="R207" s="16"/>
      <c r="S207" s="17"/>
      <c r="T207" s="8"/>
      <c r="U207" s="8"/>
      <c r="V207" s="22"/>
      <c r="W207" s="12"/>
      <c r="X207" s="12"/>
      <c r="Y207" s="12"/>
      <c r="Z207" s="12"/>
      <c r="AA207" s="7"/>
      <c r="AB207" s="12"/>
      <c r="AC207" s="6"/>
      <c r="AD207" s="6"/>
      <c r="AE207" s="7"/>
      <c r="AF207" s="7"/>
      <c r="AG207" s="7"/>
      <c r="AH207" s="7"/>
      <c r="AI207" s="7"/>
      <c r="AJ207" s="7"/>
      <c r="AK207" s="7"/>
      <c r="AL207" s="7"/>
      <c r="AM207" s="7"/>
      <c r="AN207" s="7"/>
      <c r="AO207" s="6"/>
      <c r="AP207" s="7"/>
      <c r="AQ207" s="7"/>
      <c r="AR207" s="6"/>
      <c r="AS207" s="7"/>
      <c r="AT207" s="7"/>
      <c r="AU207" s="7"/>
      <c r="AV207" s="7"/>
      <c r="AW207" s="7"/>
      <c r="AX207" s="7"/>
      <c r="AY207" s="7"/>
      <c r="AZ207" s="7"/>
      <c r="BA207" s="7"/>
      <c r="BB207" s="7"/>
      <c r="BC207" s="7"/>
      <c r="BD207" s="7"/>
      <c r="BE207" s="7"/>
      <c r="BF207" s="7"/>
      <c r="BG207" s="7"/>
    </row>
    <row r="208" customHeight="1" spans="1:59">
      <c r="A208" s="9"/>
      <c r="B208" s="5"/>
      <c r="C208" s="5"/>
      <c r="D208" s="23"/>
      <c r="E208" s="23"/>
      <c r="F208" s="8"/>
      <c r="G208" s="8"/>
      <c r="H208" s="8"/>
      <c r="I208" s="13"/>
      <c r="J208" s="14"/>
      <c r="K208" s="14"/>
      <c r="L208" s="14"/>
      <c r="M208" s="7"/>
      <c r="N208" s="10"/>
      <c r="O208" s="10"/>
      <c r="P208" s="8"/>
      <c r="Q208" s="7"/>
      <c r="R208" s="16"/>
      <c r="S208" s="17"/>
      <c r="T208" s="8"/>
      <c r="U208" s="8"/>
      <c r="V208" s="22"/>
      <c r="W208" s="12"/>
      <c r="X208" s="12"/>
      <c r="Y208" s="12"/>
      <c r="Z208" s="12"/>
      <c r="AA208" s="7"/>
      <c r="AB208" s="12"/>
      <c r="AC208" s="6"/>
      <c r="AD208" s="6"/>
      <c r="AE208" s="7"/>
      <c r="AF208" s="7"/>
      <c r="AG208" s="7"/>
      <c r="AH208" s="7"/>
      <c r="AI208" s="7"/>
      <c r="AJ208" s="7"/>
      <c r="AK208" s="7"/>
      <c r="AL208" s="7"/>
      <c r="AM208" s="7"/>
      <c r="AN208" s="7"/>
      <c r="AO208" s="6"/>
      <c r="AP208" s="7"/>
      <c r="AQ208" s="7"/>
      <c r="AR208" s="6"/>
      <c r="AS208" s="7"/>
      <c r="AT208" s="7"/>
      <c r="AU208" s="7"/>
      <c r="AV208" s="7"/>
      <c r="AW208" s="7"/>
      <c r="AX208" s="7"/>
      <c r="AY208" s="7"/>
      <c r="AZ208" s="7"/>
      <c r="BA208" s="7"/>
      <c r="BB208" s="7"/>
      <c r="BC208" s="7"/>
      <c r="BD208" s="7"/>
      <c r="BE208" s="7"/>
      <c r="BF208" s="7"/>
      <c r="BG208" s="7"/>
    </row>
    <row r="209" customHeight="1" spans="1:59">
      <c r="A209" s="9" t="str">
        <f>IFERROR(__xludf.DUMMYFUNCTION("""COMPUTED_VALUE"""),"Crusader R01")</f>
        <v>Crusader R01</v>
      </c>
      <c r="B209" s="5" t="str">
        <f>IFERROR(__xludf.DUMMYFUNCTION("""COMPUTED_VALUE"""),"Crusader 16")</f>
        <v>Crusader 16</v>
      </c>
      <c r="C209" s="5"/>
      <c r="D209" s="23" t="str">
        <f>IFERROR(__xludf.DUMMYFUNCTION("""COMPUTED_VALUE"""),"OM-1")</f>
        <v>OM-1</v>
      </c>
      <c r="E209" s="23" t="str">
        <f>IFERROR(__xludf.DUMMYFUNCTION("""COMPUTED_VALUE"""),"OM1")</f>
        <v>OM1</v>
      </c>
      <c r="F209" s="8">
        <f>IFERROR(__xludf.DUMMYFUNCTION("""COMPUTED_VALUE"""),0)</f>
        <v>0</v>
      </c>
      <c r="G209" s="8">
        <f>IFERROR(__xludf.DUMMYFUNCTION("""COMPUTED_VALUE"""),0)</f>
        <v>0</v>
      </c>
      <c r="H209" s="8">
        <f>IFERROR(__xludf.DUMMYFUNCTION("""COMPUTED_VALUE"""),10673.17)</f>
        <v>10673.17</v>
      </c>
      <c r="I209" s="13"/>
      <c r="J209" s="14"/>
      <c r="K209" s="14"/>
      <c r="L209" s="14"/>
      <c r="M209" s="7" t="b">
        <f>IFERROR(__xludf.DUMMYFUNCTION("""COMPUTED_VALUE"""),TRUE)</f>
        <v>1</v>
      </c>
      <c r="N209" s="10">
        <f>IFERROR(__xludf.DUMMYFUNCTION("""COMPUTED_VALUE"""),0)</f>
        <v>0</v>
      </c>
      <c r="O209" s="10">
        <f>IFERROR(__xludf.DUMMYFUNCTION("""COMPUTED_VALUE"""),0)</f>
        <v>0</v>
      </c>
      <c r="P209" s="8"/>
      <c r="Q209" s="7"/>
      <c r="R209" s="16"/>
      <c r="S209" s="17"/>
      <c r="T209" s="8"/>
      <c r="U209" s="8"/>
      <c r="V209" s="22"/>
      <c r="W209" s="12"/>
      <c r="X209" s="12"/>
      <c r="Y209" s="12"/>
      <c r="Z209" s="12"/>
      <c r="AA209" s="7"/>
      <c r="AB209" s="12"/>
      <c r="AC209" s="6"/>
      <c r="AD209" s="6"/>
      <c r="AE209" s="7"/>
      <c r="AF209" s="7"/>
      <c r="AG209" s="7"/>
      <c r="AH209" s="7"/>
      <c r="AI209" s="7"/>
      <c r="AJ209" s="7"/>
      <c r="AK209" s="7"/>
      <c r="AL209" s="7"/>
      <c r="AM209" s="7"/>
      <c r="AN209" s="7"/>
      <c r="AO209" s="6"/>
      <c r="AP209" s="7"/>
      <c r="AQ209" s="7"/>
      <c r="AR209" s="6"/>
      <c r="AS209" s="7"/>
      <c r="AT209" s="7"/>
      <c r="AU209" s="7"/>
      <c r="AV209" s="7"/>
      <c r="AW209" s="7"/>
      <c r="AX209" s="7"/>
      <c r="AY209" s="7"/>
      <c r="AZ209" s="7"/>
      <c r="BA209" s="7"/>
      <c r="BB209" s="7"/>
      <c r="BC209" s="7"/>
      <c r="BD209" s="7"/>
      <c r="BE209" s="7"/>
      <c r="BF209" s="7"/>
      <c r="BG209" s="7"/>
    </row>
    <row r="210" customHeight="1" spans="1:59">
      <c r="A210" s="9" t="str">
        <f>IFERROR(__xludf.DUMMYFUNCTION("""COMPUTED_VALUE"""),"Crusader R02")</f>
        <v>Crusader R02</v>
      </c>
      <c r="B210" s="9" t="str">
        <f>IFERROR(__xludf.DUMMYFUNCTION("""COMPUTED_VALUE"""),"Crusader 17")</f>
        <v>Crusader 17</v>
      </c>
      <c r="C210" s="9"/>
      <c r="D210" s="5" t="str">
        <f>IFERROR(__xludf.DUMMYFUNCTION("""COMPUTED_VALUE"""),"OM-2")</f>
        <v>OM-2</v>
      </c>
      <c r="E210" s="7" t="str">
        <f>IFERROR(__xludf.DUMMYFUNCTION("""COMPUTED_VALUE"""),"OM2")</f>
        <v>OM2</v>
      </c>
      <c r="F210" s="11">
        <f>IFERROR(__xludf.DUMMYFUNCTION("""COMPUTED_VALUE"""),0)</f>
        <v>0</v>
      </c>
      <c r="G210" s="11">
        <f>IFERROR(__xludf.DUMMYFUNCTION("""COMPUTED_VALUE"""),0)</f>
        <v>0</v>
      </c>
      <c r="H210" s="11">
        <f>IFERROR(__xludf.DUMMYFUNCTION("""COMPUTED_VALUE"""),-10673.17)</f>
        <v>-10673.17</v>
      </c>
      <c r="I210" s="15"/>
      <c r="J210" s="15"/>
      <c r="K210" s="15"/>
      <c r="L210" s="15"/>
      <c r="M210" s="7" t="b">
        <f>IFERROR(__xludf.DUMMYFUNCTION("""COMPUTED_VALUE"""),TRUE)</f>
        <v>1</v>
      </c>
      <c r="N210" s="10">
        <f>IFERROR(__xludf.DUMMYFUNCTION("""COMPUTED_VALUE"""),0)</f>
        <v>0</v>
      </c>
      <c r="O210" s="10">
        <f>IFERROR(__xludf.DUMMYFUNCTION("""COMPUTED_VALUE"""),0)</f>
        <v>0</v>
      </c>
      <c r="P210" s="8"/>
      <c r="Q210" s="7"/>
      <c r="R210" s="16"/>
      <c r="S210" s="17"/>
      <c r="T210" s="8"/>
      <c r="U210" s="8"/>
      <c r="V210" s="22"/>
      <c r="W210" s="12"/>
      <c r="X210" s="12"/>
      <c r="Y210" s="12"/>
      <c r="Z210" s="12"/>
      <c r="AA210" s="7"/>
      <c r="AB210" s="12"/>
      <c r="AC210" s="6"/>
      <c r="AD210" s="6"/>
      <c r="AE210" s="7"/>
      <c r="AF210" s="7"/>
      <c r="AG210" s="7"/>
      <c r="AH210" s="7"/>
      <c r="AI210" s="7"/>
      <c r="AJ210" s="7"/>
      <c r="AK210" s="7"/>
      <c r="AL210" s="7"/>
      <c r="AM210" s="7"/>
      <c r="AN210" s="7"/>
      <c r="AO210" s="6"/>
      <c r="AP210" s="7"/>
      <c r="AQ210" s="7"/>
      <c r="AR210" s="6"/>
      <c r="AS210" s="7"/>
      <c r="AT210" s="7"/>
      <c r="AU210" s="7"/>
      <c r="AV210" s="7"/>
      <c r="AW210" s="7"/>
      <c r="AX210" s="7"/>
      <c r="AY210" s="7"/>
      <c r="AZ210" s="7"/>
      <c r="BA210" s="7"/>
      <c r="BB210" s="7"/>
      <c r="BC210" s="7"/>
      <c r="BD210" s="7"/>
      <c r="BE210" s="7"/>
      <c r="BF210" s="7"/>
      <c r="BG210" s="7"/>
    </row>
    <row r="211" customHeight="1" spans="1:59">
      <c r="A211" s="9" t="str">
        <f>IFERROR(__xludf.DUMMYFUNCTION("""COMPUTED_VALUE"""),"Crusader R03")</f>
        <v>Crusader R03</v>
      </c>
      <c r="B211" s="9" t="str">
        <f>IFERROR(__xludf.DUMMYFUNCTION("""COMPUTED_VALUE"""),"Crusader 18")</f>
        <v>Crusader 18</v>
      </c>
      <c r="C211" s="9" t="str">
        <f>IFERROR(__xludf.DUMMYFUNCTION("""COMPUTED_VALUE"""),"Crusader 02")</f>
        <v>Crusader 02</v>
      </c>
      <c r="D211" s="5" t="str">
        <f>IFERROR(__xludf.DUMMYFUNCTION("""COMPUTED_VALUE"""),"OM-3")</f>
        <v>OM-3</v>
      </c>
      <c r="E211" s="7" t="str">
        <f>IFERROR(__xludf.DUMMYFUNCTION("""COMPUTED_VALUE"""),"OM3")</f>
        <v>OM3</v>
      </c>
      <c r="F211" s="11">
        <f>IFERROR(__xludf.DUMMYFUNCTION("""COMPUTED_VALUE"""),0)</f>
        <v>0</v>
      </c>
      <c r="G211" s="11">
        <f>IFERROR(__xludf.DUMMYFUNCTION("""COMPUTED_VALUE"""),10673.17)</f>
        <v>10673.17</v>
      </c>
      <c r="H211" s="11">
        <f>IFERROR(__xludf.DUMMYFUNCTION("""COMPUTED_VALUE"""),0)</f>
        <v>0</v>
      </c>
      <c r="I211" s="15"/>
      <c r="J211" s="15"/>
      <c r="K211" s="15"/>
      <c r="L211" s="15"/>
      <c r="M211" s="7" t="b">
        <f>IFERROR(__xludf.DUMMYFUNCTION("""COMPUTED_VALUE"""),TRUE)</f>
        <v>1</v>
      </c>
      <c r="N211" s="10">
        <f>IFERROR(__xludf.DUMMYFUNCTION("""COMPUTED_VALUE"""),0)</f>
        <v>0</v>
      </c>
      <c r="O211" s="10">
        <f>IFERROR(__xludf.DUMMYFUNCTION("""COMPUTED_VALUE"""),0)</f>
        <v>0</v>
      </c>
      <c r="P211" s="8"/>
      <c r="Q211" s="7"/>
      <c r="R211" s="16"/>
      <c r="S211" s="17"/>
      <c r="T211" s="8"/>
      <c r="U211" s="8"/>
      <c r="V211" s="22"/>
      <c r="W211" s="12"/>
      <c r="X211" s="12"/>
      <c r="Y211" s="12"/>
      <c r="Z211" s="12"/>
      <c r="AA211" s="7"/>
      <c r="AB211" s="12"/>
      <c r="AC211" s="6"/>
      <c r="AD211" s="6"/>
      <c r="AE211" s="7"/>
      <c r="AF211" s="7"/>
      <c r="AG211" s="7"/>
      <c r="AH211" s="7"/>
      <c r="AI211" s="7"/>
      <c r="AJ211" s="7"/>
      <c r="AK211" s="7"/>
      <c r="AL211" s="7"/>
      <c r="AM211" s="7"/>
      <c r="AN211" s="7"/>
      <c r="AO211" s="6"/>
      <c r="AP211" s="7"/>
      <c r="AQ211" s="7"/>
      <c r="AR211" s="6"/>
      <c r="AS211" s="7"/>
      <c r="AT211" s="7"/>
      <c r="AU211" s="7"/>
      <c r="AV211" s="7"/>
      <c r="AW211" s="7"/>
      <c r="AX211" s="7"/>
      <c r="AY211" s="7"/>
      <c r="AZ211" s="7"/>
      <c r="BA211" s="7"/>
      <c r="BB211" s="7"/>
      <c r="BC211" s="7"/>
      <c r="BD211" s="7"/>
      <c r="BE211" s="7"/>
      <c r="BF211" s="7"/>
      <c r="BG211" s="7"/>
    </row>
    <row r="212" customHeight="1" spans="1:59">
      <c r="A212" s="9" t="str">
        <f>IFERROR(__xludf.DUMMYFUNCTION("""COMPUTED_VALUE"""),"Crusader R04")</f>
        <v>Crusader R04</v>
      </c>
      <c r="B212" s="9" t="str">
        <f>IFERROR(__xludf.DUMMYFUNCTION("""COMPUTED_VALUE"""),"Crusader 19")</f>
        <v>Crusader 19</v>
      </c>
      <c r="C212" s="9" t="str">
        <f>IFERROR(__xludf.DUMMYFUNCTION("""COMPUTED_VALUE"""),"Crusader 10")</f>
        <v>Crusader 10</v>
      </c>
      <c r="D212" s="5" t="str">
        <f>IFERROR(__xludf.DUMMYFUNCTION("""COMPUTED_VALUE"""),"OM-4")</f>
        <v>OM-4</v>
      </c>
      <c r="E212" s="7" t="str">
        <f>IFERROR(__xludf.DUMMYFUNCTION("""COMPUTED_VALUE"""),"OM4")</f>
        <v>OM4</v>
      </c>
      <c r="F212" s="11">
        <f>IFERROR(__xludf.DUMMYFUNCTION("""COMPUTED_VALUE"""),0)</f>
        <v>0</v>
      </c>
      <c r="G212" s="11">
        <f>IFERROR(__xludf.DUMMYFUNCTION("""COMPUTED_VALUE"""),-10673.17)</f>
        <v>-10673.17</v>
      </c>
      <c r="H212" s="11">
        <f>IFERROR(__xludf.DUMMYFUNCTION("""COMPUTED_VALUE"""),0)</f>
        <v>0</v>
      </c>
      <c r="I212" s="15"/>
      <c r="J212" s="15"/>
      <c r="K212" s="15"/>
      <c r="L212" s="15"/>
      <c r="M212" s="7" t="b">
        <f>IFERROR(__xludf.DUMMYFUNCTION("""COMPUTED_VALUE"""),TRUE)</f>
        <v>1</v>
      </c>
      <c r="N212" s="10">
        <f>IFERROR(__xludf.DUMMYFUNCTION("""COMPUTED_VALUE"""),0)</f>
        <v>0</v>
      </c>
      <c r="O212" s="10">
        <f>IFERROR(__xludf.DUMMYFUNCTION("""COMPUTED_VALUE"""),0)</f>
        <v>0</v>
      </c>
      <c r="P212" s="8"/>
      <c r="Q212" s="7"/>
      <c r="R212" s="16"/>
      <c r="S212" s="17"/>
      <c r="T212" s="8"/>
      <c r="U212" s="8"/>
      <c r="V212" s="22"/>
      <c r="W212" s="12"/>
      <c r="X212" s="12"/>
      <c r="Y212" s="12"/>
      <c r="Z212" s="12"/>
      <c r="AA212" s="7"/>
      <c r="AB212" s="12"/>
      <c r="AC212" s="6"/>
      <c r="AD212" s="6"/>
      <c r="AE212" s="7"/>
      <c r="AF212" s="7"/>
      <c r="AG212" s="7"/>
      <c r="AH212" s="7"/>
      <c r="AI212" s="7"/>
      <c r="AJ212" s="7"/>
      <c r="AK212" s="7"/>
      <c r="AL212" s="7"/>
      <c r="AM212" s="7"/>
      <c r="AN212" s="7"/>
      <c r="AO212" s="6"/>
      <c r="AP212" s="7"/>
      <c r="AQ212" s="7"/>
      <c r="AR212" s="6"/>
      <c r="AS212" s="7"/>
      <c r="AT212" s="7"/>
      <c r="AU212" s="7"/>
      <c r="AV212" s="7"/>
      <c r="AW212" s="7"/>
      <c r="AX212" s="7"/>
      <c r="AY212" s="7"/>
      <c r="AZ212" s="7"/>
      <c r="BA212" s="7"/>
      <c r="BB212" s="7"/>
      <c r="BC212" s="7"/>
      <c r="BD212" s="7"/>
      <c r="BE212" s="7"/>
      <c r="BF212" s="7"/>
      <c r="BG212" s="7"/>
    </row>
    <row r="213" customHeight="1" spans="1:59">
      <c r="A213" s="9" t="str">
        <f>IFERROR(__xludf.DUMMYFUNCTION("""COMPUTED_VALUE"""),"Crusader R05")</f>
        <v>Crusader R05</v>
      </c>
      <c r="B213" s="9" t="str">
        <f>IFERROR(__xludf.DUMMYFUNCTION("""COMPUTED_VALUE"""),"Crusader 20")</f>
        <v>Crusader 20</v>
      </c>
      <c r="C213" s="9" t="str">
        <f>IFERROR(__xludf.DUMMYFUNCTION("""COMPUTED_VALUE"""),"Crusader 04")</f>
        <v>Crusader 04</v>
      </c>
      <c r="D213" s="5" t="str">
        <f>IFERROR(__xludf.DUMMYFUNCTION("""COMPUTED_VALUE"""),"OM-5")</f>
        <v>OM-5</v>
      </c>
      <c r="E213" s="7" t="str">
        <f>IFERROR(__xludf.DUMMYFUNCTION("""COMPUTED_VALUE"""),"OM5")</f>
        <v>OM5</v>
      </c>
      <c r="F213" s="11">
        <f>IFERROR(__xludf.DUMMYFUNCTION("""COMPUTED_VALUE"""),10673.17)</f>
        <v>10673.17</v>
      </c>
      <c r="G213" s="11">
        <f>IFERROR(__xludf.DUMMYFUNCTION("""COMPUTED_VALUE"""),0)</f>
        <v>0</v>
      </c>
      <c r="H213" s="11">
        <f>IFERROR(__xludf.DUMMYFUNCTION("""COMPUTED_VALUE"""),0)</f>
        <v>0</v>
      </c>
      <c r="I213" s="15"/>
      <c r="J213" s="15"/>
      <c r="K213" s="15"/>
      <c r="L213" s="15"/>
      <c r="M213" s="7" t="b">
        <f>IFERROR(__xludf.DUMMYFUNCTION("""COMPUTED_VALUE"""),TRUE)</f>
        <v>1</v>
      </c>
      <c r="N213" s="10">
        <f>IFERROR(__xludf.DUMMYFUNCTION("""COMPUTED_VALUE"""),0)</f>
        <v>0</v>
      </c>
      <c r="O213" s="10">
        <f>IFERROR(__xludf.DUMMYFUNCTION("""COMPUTED_VALUE"""),0)</f>
        <v>0</v>
      </c>
      <c r="P213" s="8"/>
      <c r="Q213" s="7"/>
      <c r="R213" s="16"/>
      <c r="S213" s="17"/>
      <c r="T213" s="8"/>
      <c r="U213" s="8"/>
      <c r="V213" s="22"/>
      <c r="W213" s="12"/>
      <c r="X213" s="12"/>
      <c r="Y213" s="12"/>
      <c r="Z213" s="12"/>
      <c r="AA213" s="7"/>
      <c r="AB213" s="12"/>
      <c r="AC213" s="6"/>
      <c r="AD213" s="6"/>
      <c r="AE213" s="7"/>
      <c r="AF213" s="7"/>
      <c r="AG213" s="7"/>
      <c r="AH213" s="7"/>
      <c r="AI213" s="7"/>
      <c r="AJ213" s="7"/>
      <c r="AK213" s="7"/>
      <c r="AL213" s="7"/>
      <c r="AM213" s="7"/>
      <c r="AN213" s="7"/>
      <c r="AO213" s="6"/>
      <c r="AP213" s="7"/>
      <c r="AQ213" s="7"/>
      <c r="AR213" s="6"/>
      <c r="AS213" s="7"/>
      <c r="AT213" s="7"/>
      <c r="AU213" s="7"/>
      <c r="AV213" s="7"/>
      <c r="AW213" s="7"/>
      <c r="AX213" s="7"/>
      <c r="AY213" s="7"/>
      <c r="AZ213" s="7"/>
      <c r="BA213" s="7"/>
      <c r="BB213" s="7"/>
      <c r="BC213" s="7"/>
      <c r="BD213" s="7"/>
      <c r="BE213" s="7"/>
      <c r="BF213" s="7"/>
      <c r="BG213" s="7"/>
    </row>
    <row r="214" customHeight="1" spans="1:59">
      <c r="A214" s="9" t="str">
        <f>IFERROR(__xludf.DUMMYFUNCTION("""COMPUTED_VALUE"""),"Crusader R06")</f>
        <v>Crusader R06</v>
      </c>
      <c r="B214" s="9" t="str">
        <f>IFERROR(__xludf.DUMMYFUNCTION("""COMPUTED_VALUE"""),"Crusader 21")</f>
        <v>Crusader 21</v>
      </c>
      <c r="C214" s="9" t="str">
        <f>IFERROR(__xludf.DUMMYFUNCTION("""COMPUTED_VALUE"""),"Crusader 12")</f>
        <v>Crusader 12</v>
      </c>
      <c r="D214" s="5" t="str">
        <f>IFERROR(__xludf.DUMMYFUNCTION("""COMPUTED_VALUE"""),"OM-6")</f>
        <v>OM-6</v>
      </c>
      <c r="E214" s="7" t="str">
        <f>IFERROR(__xludf.DUMMYFUNCTION("""COMPUTED_VALUE"""),"OM6")</f>
        <v>OM6</v>
      </c>
      <c r="F214" s="11">
        <f>IFERROR(__xludf.DUMMYFUNCTION("""COMPUTED_VALUE"""),-10673.17)</f>
        <v>-10673.17</v>
      </c>
      <c r="G214" s="11">
        <f>IFERROR(__xludf.DUMMYFUNCTION("""COMPUTED_VALUE"""),0)</f>
        <v>0</v>
      </c>
      <c r="H214" s="11">
        <f>IFERROR(__xludf.DUMMYFUNCTION("""COMPUTED_VALUE"""),0)</f>
        <v>0</v>
      </c>
      <c r="I214" s="15"/>
      <c r="J214" s="15"/>
      <c r="K214" s="15"/>
      <c r="L214" s="15"/>
      <c r="M214" s="7" t="b">
        <f>IFERROR(__xludf.DUMMYFUNCTION("""COMPUTED_VALUE"""),TRUE)</f>
        <v>1</v>
      </c>
      <c r="N214" s="10">
        <f>IFERROR(__xludf.DUMMYFUNCTION("""COMPUTED_VALUE"""),0)</f>
        <v>0</v>
      </c>
      <c r="O214" s="10">
        <f>IFERROR(__xludf.DUMMYFUNCTION("""COMPUTED_VALUE"""),0)</f>
        <v>0</v>
      </c>
      <c r="P214" s="8"/>
      <c r="Q214" s="7"/>
      <c r="R214" s="16"/>
      <c r="S214" s="17"/>
      <c r="T214" s="8"/>
      <c r="U214" s="8"/>
      <c r="V214" s="22"/>
      <c r="W214" s="12"/>
      <c r="X214" s="12"/>
      <c r="Y214" s="12"/>
      <c r="Z214" s="12"/>
      <c r="AA214" s="7"/>
      <c r="AB214" s="12"/>
      <c r="AC214" s="6"/>
      <c r="AD214" s="6"/>
      <c r="AE214" s="7"/>
      <c r="AF214" s="7"/>
      <c r="AG214" s="7"/>
      <c r="AH214" s="7"/>
      <c r="AI214" s="7"/>
      <c r="AJ214" s="7"/>
      <c r="AK214" s="7"/>
      <c r="AL214" s="7"/>
      <c r="AM214" s="7"/>
      <c r="AN214" s="7"/>
      <c r="AO214" s="6"/>
      <c r="AP214" s="7"/>
      <c r="AQ214" s="7"/>
      <c r="AR214" s="6"/>
      <c r="AS214" s="7"/>
      <c r="AT214" s="7"/>
      <c r="AU214" s="7"/>
      <c r="AV214" s="7"/>
      <c r="AW214" s="7"/>
      <c r="AX214" s="7"/>
      <c r="AY214" s="7"/>
      <c r="AZ214" s="7"/>
      <c r="BA214" s="7"/>
      <c r="BB214" s="7"/>
      <c r="BC214" s="7"/>
      <c r="BD214" s="7"/>
      <c r="BE214" s="7"/>
      <c r="BF214" s="7"/>
      <c r="BG214" s="7"/>
    </row>
    <row r="215" customHeight="1" spans="1:59">
      <c r="A215" s="9" t="str">
        <f>IFERROR(__xludf.DUMMYFUNCTION("""COMPUTED_VALUE"""),"Crusader")</f>
        <v>Crusader</v>
      </c>
      <c r="B215" s="9" t="str">
        <f>IFERROR(__xludf.DUMMYFUNCTION("""COMPUTED_VALUE"""),"Crusader 00")</f>
        <v>Crusader 00</v>
      </c>
      <c r="C215" s="9"/>
      <c r="D215" s="5" t="str">
        <f>IFERROR(__xludf.DUMMYFUNCTION("""COMPUTED_VALUE"""),"Landing Zone")</f>
        <v>Landing Zone</v>
      </c>
      <c r="E215" s="7"/>
      <c r="F215" s="11"/>
      <c r="G215" s="11"/>
      <c r="H215" s="11"/>
      <c r="I215" s="15"/>
      <c r="J215" s="15"/>
      <c r="K215" s="15"/>
      <c r="L215" s="15"/>
      <c r="M215" s="7"/>
      <c r="N215" s="10"/>
      <c r="O215" s="10"/>
      <c r="P215" s="8"/>
      <c r="Q215" s="7"/>
      <c r="R215" s="16"/>
      <c r="S215" s="17"/>
      <c r="T215" s="8"/>
      <c r="U215" s="8"/>
      <c r="V215" s="22"/>
      <c r="W215" s="12"/>
      <c r="X215" s="12"/>
      <c r="Y215" s="12"/>
      <c r="Z215" s="12"/>
      <c r="AA215" s="7"/>
      <c r="AB215" s="12"/>
      <c r="AC215" s="6"/>
      <c r="AD215" s="6"/>
      <c r="AE215" s="7"/>
      <c r="AF215" s="7"/>
      <c r="AG215" s="7"/>
      <c r="AH215" s="7"/>
      <c r="AI215" s="7"/>
      <c r="AJ215" s="7"/>
      <c r="AK215" s="7"/>
      <c r="AL215" s="7"/>
      <c r="AM215" s="7"/>
      <c r="AN215" s="7"/>
      <c r="AO215" s="6"/>
      <c r="AP215" s="7"/>
      <c r="AQ215" s="7"/>
      <c r="AR215" s="6"/>
      <c r="AS215" s="7"/>
      <c r="AT215" s="7"/>
      <c r="AU215" s="7"/>
      <c r="AV215" s="7"/>
      <c r="AW215" s="7"/>
      <c r="AX215" s="7"/>
      <c r="AY215" s="7"/>
      <c r="AZ215" s="7"/>
      <c r="BA215" s="7"/>
      <c r="BB215" s="7"/>
      <c r="BC215" s="7"/>
      <c r="BD215" s="7"/>
      <c r="BE215" s="7"/>
      <c r="BF215" s="7"/>
      <c r="BG215" s="7"/>
    </row>
    <row r="216" customHeight="1" spans="1:59">
      <c r="A216" s="9" t="str">
        <f>IFERROR(__xludf.DUMMYFUNCTION("""COMPUTED_VALUE"""),"Crusader 01")</f>
        <v>Crusader 01</v>
      </c>
      <c r="B216" s="9" t="str">
        <f>IFERROR(__xludf.DUMMYFUNCTION("""COMPUTED_VALUE"""),"Crusader 01")</f>
        <v>Crusader 01</v>
      </c>
      <c r="C216" s="9" t="str">
        <f>IFERROR(__xludf.DUMMYFUNCTION("""COMPUTED_VALUE"""),"Crusader 05")</f>
        <v>Crusader 05</v>
      </c>
      <c r="D216" s="5" t="str">
        <f>IFERROR(__xludf.DUMMYFUNCTION("""COMPUTED_VALUE"""),"Orison")</f>
        <v>Orison</v>
      </c>
      <c r="E216" s="7" t="str">
        <f>IFERROR(__xludf.DUMMYFUNCTION("""COMPUTED_VALUE"""),"Orison")</f>
        <v>Orison</v>
      </c>
      <c r="F216" s="11">
        <f>IFERROR(__xludf.DUMMYFUNCTION("""COMPUTED_VALUE"""),5295.51694080599)</f>
        <v>5295.51694080599</v>
      </c>
      <c r="G216" s="11">
        <f>IFERROR(__xludf.DUMMYFUNCTION("""COMPUTED_VALUE"""),-863.193533027)</f>
        <v>-863.193533027</v>
      </c>
      <c r="H216" s="11">
        <f>IFERROR(__xludf.DUMMYFUNCTION("""COMPUTED_VALUE"""),5282.237225567)</f>
        <v>5282.237225567</v>
      </c>
      <c r="I216" s="15"/>
      <c r="J216" s="15"/>
      <c r="K216" s="15"/>
      <c r="L216" s="15"/>
      <c r="M216" s="7" t="b">
        <f>IFERROR(__xludf.DUMMYFUNCTION("""COMPUTED_VALUE"""),TRUE)</f>
        <v>1</v>
      </c>
      <c r="N216" s="10">
        <f>IFERROR(__xludf.DUMMYFUNCTION("""COMPUTED_VALUE"""),0)</f>
        <v>0</v>
      </c>
      <c r="O216" s="10">
        <f>IFERROR(__xludf.DUMMYFUNCTION("""COMPUTED_VALUE"""),0)</f>
        <v>0</v>
      </c>
      <c r="P216" s="8"/>
      <c r="Q216" s="7"/>
      <c r="R216" s="16"/>
      <c r="S216" s="17"/>
      <c r="T216" s="8"/>
      <c r="U216" s="8"/>
      <c r="V216" s="22"/>
      <c r="W216" s="12"/>
      <c r="X216" s="12"/>
      <c r="Y216" s="12"/>
      <c r="Z216" s="12"/>
      <c r="AA216" s="7"/>
      <c r="AB216" s="12"/>
      <c r="AC216" s="6"/>
      <c r="AD216" s="6"/>
      <c r="AE216" s="7"/>
      <c r="AF216" s="7"/>
      <c r="AG216" s="7"/>
      <c r="AH216" s="7"/>
      <c r="AI216" s="7"/>
      <c r="AJ216" s="7"/>
      <c r="AK216" s="7"/>
      <c r="AL216" s="7"/>
      <c r="AM216" s="7"/>
      <c r="AN216" s="7"/>
      <c r="AO216" s="6"/>
      <c r="AP216" s="7"/>
      <c r="AQ216" s="7"/>
      <c r="AR216" s="6"/>
      <c r="AS216" s="7"/>
      <c r="AT216" s="7"/>
      <c r="AU216" s="7"/>
      <c r="AV216" s="7"/>
      <c r="AW216" s="7"/>
      <c r="AX216" s="7"/>
      <c r="AY216" s="7"/>
      <c r="AZ216" s="7"/>
      <c r="BA216" s="7"/>
      <c r="BB216" s="7"/>
      <c r="BC216" s="7"/>
      <c r="BD216" s="7"/>
      <c r="BE216" s="7"/>
      <c r="BF216" s="7"/>
      <c r="BG216" s="7"/>
    </row>
    <row r="217" customHeight="1" spans="1:59">
      <c r="A217" s="9" t="str">
        <f>IFERROR(__xludf.DUMMYFUNCTION("""COMPUTED_VALUE"""),"Crusader 07")</f>
        <v>Crusader 07</v>
      </c>
      <c r="B217" s="9" t="str">
        <f>IFERROR(__xludf.DUMMYFUNCTION("""COMPUTED_VALUE"""),"Crusader 02")</f>
        <v>Crusader 02</v>
      </c>
      <c r="C217" s="9" t="str">
        <f>IFERROR(__xludf.DUMMYFUNCTION("""COMPUTED_VALUE"""),"Crusader 06")</f>
        <v>Crusader 06</v>
      </c>
      <c r="D217" s="5" t="str">
        <f>IFERROR(__xludf.DUMMYFUNCTION("""COMPUTED_VALUE"""),"August Dunlow Spaceport")</f>
        <v>August Dunlow Spaceport</v>
      </c>
      <c r="E217" s="7" t="str">
        <f>IFERROR(__xludf.DUMMYFUNCTION("""COMPUTED_VALUE"""),"Dunlow")</f>
        <v>Dunlow</v>
      </c>
      <c r="F217" s="11">
        <f>IFERROR(__xludf.DUMMYFUNCTION("""COMPUTED_VALUE"""),5295.53593213877)</f>
        <v>5295.53593213877</v>
      </c>
      <c r="G217" s="11">
        <f>IFERROR(__xludf.DUMMYFUNCTION("""COMPUTED_VALUE"""),-871.476300384976)</f>
        <v>-871.476300384976</v>
      </c>
      <c r="H217" s="11">
        <f>IFERROR(__xludf.DUMMYFUNCTION("""COMPUTED_VALUE"""),5281.92257913656)</f>
        <v>5281.92257913656</v>
      </c>
      <c r="I217" s="15"/>
      <c r="J217" s="15"/>
      <c r="K217" s="15"/>
      <c r="L217" s="15"/>
      <c r="M217" s="7" t="b">
        <f>IFERROR(__xludf.DUMMYFUNCTION("""COMPUTED_VALUE"""),FALSE)</f>
        <v>0</v>
      </c>
      <c r="N217" s="10">
        <f>IFERROR(__xludf.DUMMYFUNCTION("""COMPUTED_VALUE"""),0)</f>
        <v>0</v>
      </c>
      <c r="O217" s="10">
        <f>IFERROR(__xludf.DUMMYFUNCTION("""COMPUTED_VALUE"""),0)</f>
        <v>0</v>
      </c>
      <c r="P217" s="8"/>
      <c r="Q217" s="7"/>
      <c r="R217" s="16"/>
      <c r="S217" s="17"/>
      <c r="T217" s="8"/>
      <c r="U217" s="8"/>
      <c r="V217" s="22"/>
      <c r="W217" s="12"/>
      <c r="X217" s="12"/>
      <c r="Y217" s="12"/>
      <c r="Z217" s="12"/>
      <c r="AA217" s="7"/>
      <c r="AB217" s="12"/>
      <c r="AC217" s="6"/>
      <c r="AD217" s="6"/>
      <c r="AE217" s="7"/>
      <c r="AF217" s="7"/>
      <c r="AG217" s="7"/>
      <c r="AH217" s="7"/>
      <c r="AI217" s="7"/>
      <c r="AJ217" s="7"/>
      <c r="AK217" s="7"/>
      <c r="AL217" s="7"/>
      <c r="AM217" s="7"/>
      <c r="AN217" s="7"/>
      <c r="AO217" s="6"/>
      <c r="AP217" s="7"/>
      <c r="AQ217" s="7"/>
      <c r="AR217" s="6"/>
      <c r="AS217" s="7"/>
      <c r="AT217" s="7"/>
      <c r="AU217" s="7"/>
      <c r="AV217" s="7"/>
      <c r="AW217" s="7"/>
      <c r="AX217" s="7"/>
      <c r="AY217" s="7"/>
      <c r="AZ217" s="7"/>
      <c r="BA217" s="7"/>
      <c r="BB217" s="7"/>
      <c r="BC217" s="7"/>
      <c r="BD217" s="7"/>
      <c r="BE217" s="7"/>
      <c r="BF217" s="7"/>
      <c r="BG217" s="7"/>
    </row>
    <row r="218" customHeight="1" spans="1:59">
      <c r="A218" s="9" t="str">
        <f>IFERROR(__xludf.DUMMYFUNCTION("""COMPUTED_VALUE"""),"Crusader 02")</f>
        <v>Crusader 02</v>
      </c>
      <c r="B218" s="9" t="str">
        <f>IFERROR(__xludf.DUMMYFUNCTION("""COMPUTED_VALUE"""),"Crusader 03")</f>
        <v>Crusader 03</v>
      </c>
      <c r="C218" s="9" t="str">
        <f>IFERROR(__xludf.DUMMYFUNCTION("""COMPUTED_VALUE"""),"Crusader 08")</f>
        <v>Crusader 08</v>
      </c>
      <c r="D218" s="5" t="str">
        <f>IFERROR(__xludf.DUMMYFUNCTION("""COMPUTED_VALUE"""),"Seraphim Station")</f>
        <v>Seraphim Station</v>
      </c>
      <c r="E218" s="7" t="str">
        <f>IFERROR(__xludf.DUMMYFUNCTION("""COMPUTED_VALUE"""),"Seraphim")</f>
        <v>Seraphim</v>
      </c>
      <c r="F218" s="11">
        <f>IFERROR(__xludf.DUMMYFUNCTION("""COMPUTED_VALUE"""),5876.098201785)</f>
        <v>5876.098201785</v>
      </c>
      <c r="G218" s="11">
        <f>IFERROR(__xludf.DUMMYFUNCTION("""COMPUTED_VALUE"""),-1384.206723274)</f>
        <v>-1384.206723274</v>
      </c>
      <c r="H218" s="11">
        <f>IFERROR(__xludf.DUMMYFUNCTION("""COMPUTED_VALUE"""),5565.88323190699)</f>
        <v>5565.88323190699</v>
      </c>
      <c r="I218" s="15"/>
      <c r="J218" s="15"/>
      <c r="K218" s="15"/>
      <c r="L218" s="15"/>
      <c r="M218" s="7" t="b">
        <f>IFERROR(__xludf.DUMMYFUNCTION("""COMPUTED_VALUE"""),TRUE)</f>
        <v>1</v>
      </c>
      <c r="N218" s="10">
        <f>IFERROR(__xludf.DUMMYFUNCTION("""COMPUTED_VALUE"""),0)</f>
        <v>0</v>
      </c>
      <c r="O218" s="10">
        <f>IFERROR(__xludf.DUMMYFUNCTION("""COMPUTED_VALUE"""),0)</f>
        <v>0</v>
      </c>
      <c r="P218" s="8"/>
      <c r="Q218" s="7"/>
      <c r="R218" s="16"/>
      <c r="S218" s="17"/>
      <c r="T218" s="8"/>
      <c r="U218" s="8"/>
      <c r="V218" s="22"/>
      <c r="W218" s="12"/>
      <c r="X218" s="12"/>
      <c r="Y218" s="12"/>
      <c r="Z218" s="12"/>
      <c r="AA218" s="7"/>
      <c r="AB218" s="12"/>
      <c r="AC218" s="6"/>
      <c r="AD218" s="6"/>
      <c r="AE218" s="7"/>
      <c r="AF218" s="7"/>
      <c r="AG218" s="7"/>
      <c r="AH218" s="7"/>
      <c r="AI218" s="7"/>
      <c r="AJ218" s="7"/>
      <c r="AK218" s="7"/>
      <c r="AL218" s="7"/>
      <c r="AM218" s="7"/>
      <c r="AN218" s="7"/>
      <c r="AO218" s="6"/>
      <c r="AP218" s="7"/>
      <c r="AQ218" s="7"/>
      <c r="AR218" s="6"/>
      <c r="AS218" s="7"/>
      <c r="AT218" s="7"/>
      <c r="AU218" s="7"/>
      <c r="AV218" s="7"/>
      <c r="AW218" s="7"/>
      <c r="AX218" s="7"/>
      <c r="AY218" s="7"/>
      <c r="AZ218" s="7"/>
      <c r="BA218" s="7"/>
      <c r="BB218" s="7"/>
      <c r="BC218" s="7"/>
      <c r="BD218" s="7"/>
      <c r="BE218" s="7"/>
      <c r="BF218" s="7"/>
      <c r="BG218" s="7"/>
    </row>
    <row r="219" customHeight="1" spans="1:59">
      <c r="A219" s="9" t="str">
        <f>IFERROR(__xludf.DUMMYFUNCTION("""COMPUTED_VALUE"""),"Crusader")</f>
        <v>Crusader</v>
      </c>
      <c r="B219" s="9" t="str">
        <f>IFERROR(__xludf.DUMMYFUNCTION("""COMPUTED_VALUE"""),"Crusader 05")</f>
        <v>Crusader 05</v>
      </c>
      <c r="C219" s="9"/>
      <c r="D219" s="5" t="str">
        <f>IFERROR(__xludf.DUMMYFUNCTION("""COMPUTED_VALUE"""),"Platforms")</f>
        <v>Platforms</v>
      </c>
      <c r="E219" s="7"/>
      <c r="F219" s="8"/>
      <c r="G219" s="8"/>
      <c r="H219" s="8"/>
      <c r="I219" s="14"/>
      <c r="J219" s="14"/>
      <c r="K219" s="14"/>
      <c r="L219" s="14"/>
      <c r="M219" s="7"/>
      <c r="N219" s="10"/>
      <c r="O219" s="10"/>
      <c r="P219" s="8"/>
      <c r="Q219" s="7"/>
      <c r="R219" s="16"/>
      <c r="S219" s="17"/>
      <c r="T219" s="8"/>
      <c r="U219" s="8"/>
      <c r="V219" s="22"/>
      <c r="W219" s="12"/>
      <c r="X219" s="12"/>
      <c r="Y219" s="12"/>
      <c r="Z219" s="12"/>
      <c r="AA219" s="7"/>
      <c r="AB219" s="12"/>
      <c r="AC219" s="6"/>
      <c r="AD219" s="6"/>
      <c r="AE219" s="7"/>
      <c r="AF219" s="7"/>
      <c r="AG219" s="7"/>
      <c r="AH219" s="7"/>
      <c r="AI219" s="7"/>
      <c r="AJ219" s="7"/>
      <c r="AK219" s="7"/>
      <c r="AL219" s="7"/>
      <c r="AM219" s="7"/>
      <c r="AN219" s="7"/>
      <c r="AO219" s="6"/>
      <c r="AP219" s="7"/>
      <c r="AQ219" s="7"/>
      <c r="AR219" s="6"/>
      <c r="AS219" s="7"/>
      <c r="AT219" s="7"/>
      <c r="AU219" s="7"/>
      <c r="AV219" s="7"/>
      <c r="AW219" s="7"/>
      <c r="AX219" s="7"/>
      <c r="AY219" s="7"/>
      <c r="AZ219" s="7"/>
      <c r="BA219" s="7"/>
      <c r="BB219" s="7"/>
      <c r="BC219" s="7"/>
      <c r="BD219" s="7"/>
      <c r="BE219" s="7"/>
      <c r="BF219" s="7"/>
      <c r="BG219" s="7"/>
    </row>
    <row r="220" customHeight="1" spans="1:59">
      <c r="A220" s="9" t="str">
        <f>IFERROR(__xludf.DUMMYFUNCTION("""COMPUTED_VALUE"""),"Crusader 05")</f>
        <v>Crusader 05</v>
      </c>
      <c r="B220" s="9" t="str">
        <f>IFERROR(__xludf.DUMMYFUNCTION("""COMPUTED_VALUE"""),"Crusader 08")</f>
        <v>Crusader 08</v>
      </c>
      <c r="C220" s="9" t="str">
        <f>IFERROR(__xludf.DUMMYFUNCTION("""COMPUTED_VALUE"""),"Crusader 09")</f>
        <v>Crusader 09</v>
      </c>
      <c r="D220" s="5" t="str">
        <f>IFERROR(__xludf.DUMMYFUNCTION("""COMPUTED_VALUE"""),"Prospect Point")</f>
        <v>Prospect Point</v>
      </c>
      <c r="E220" s="7" t="str">
        <f>IFERROR(__xludf.DUMMYFUNCTION("""COMPUTED_VALUE"""),"Prospect")</f>
        <v>Prospect</v>
      </c>
      <c r="F220" s="8">
        <f>IFERROR(__xludf.DUMMYFUNCTION("""COMPUTED_VALUE"""),3254.27862449799)</f>
        <v>3254.27862449799</v>
      </c>
      <c r="G220" s="8">
        <f>IFERROR(__xludf.DUMMYFUNCTION("""COMPUTED_VALUE"""),-1225.24843794899)</f>
        <v>-1225.24843794899</v>
      </c>
      <c r="H220" s="8">
        <f>IFERROR(__xludf.DUMMYFUNCTION("""COMPUTED_VALUE"""),6683.685935703)</f>
        <v>6683.685935703</v>
      </c>
      <c r="I220" s="14"/>
      <c r="J220" s="14"/>
      <c r="K220" s="14"/>
      <c r="L220" s="14"/>
      <c r="M220" s="7" t="b">
        <f>IFERROR(__xludf.DUMMYFUNCTION("""COMPUTED_VALUE"""),TRUE)</f>
        <v>1</v>
      </c>
      <c r="N220" s="10">
        <f>IFERROR(__xludf.DUMMYFUNCTION("""COMPUTED_VALUE"""),0)</f>
        <v>0</v>
      </c>
      <c r="O220" s="10">
        <f>IFERROR(__xludf.DUMMYFUNCTION("""COMPUTED_VALUE"""),0)</f>
        <v>0</v>
      </c>
      <c r="P220" s="8"/>
      <c r="Q220" s="7"/>
      <c r="R220" s="16"/>
      <c r="S220" s="17"/>
      <c r="T220" s="8"/>
      <c r="U220" s="8"/>
      <c r="V220" s="22"/>
      <c r="W220" s="12"/>
      <c r="X220" s="12"/>
      <c r="Y220" s="12"/>
      <c r="Z220" s="12"/>
      <c r="AA220" s="7"/>
      <c r="AB220" s="12"/>
      <c r="AC220" s="6"/>
      <c r="AD220" s="6"/>
      <c r="AE220" s="7"/>
      <c r="AF220" s="7"/>
      <c r="AG220" s="7"/>
      <c r="AH220" s="7"/>
      <c r="AI220" s="7"/>
      <c r="AJ220" s="7"/>
      <c r="AK220" s="7"/>
      <c r="AL220" s="7"/>
      <c r="AM220" s="7"/>
      <c r="AN220" s="7"/>
      <c r="AO220" s="6"/>
      <c r="AP220" s="7"/>
      <c r="AQ220" s="7"/>
      <c r="AR220" s="6"/>
      <c r="AS220" s="7"/>
      <c r="AT220" s="7"/>
      <c r="AU220" s="7"/>
      <c r="AV220" s="7"/>
      <c r="AW220" s="7"/>
      <c r="AX220" s="7"/>
      <c r="AY220" s="7"/>
      <c r="AZ220" s="7"/>
      <c r="BA220" s="7"/>
      <c r="BB220" s="7"/>
      <c r="BC220" s="7"/>
      <c r="BD220" s="7"/>
      <c r="BE220" s="7"/>
      <c r="BF220" s="7"/>
      <c r="BG220" s="7"/>
    </row>
    <row r="221" customHeight="1" spans="1:59">
      <c r="A221" s="9" t="str">
        <f>IFERROR(__xludf.DUMMYFUNCTION("""COMPUTED_VALUE"""),"Crusader 03")</f>
        <v>Crusader 03</v>
      </c>
      <c r="B221" s="9" t="str">
        <f>IFERROR(__xludf.DUMMYFUNCTION("""COMPUTED_VALUE"""),"Crusader 06")</f>
        <v>Crusader 06</v>
      </c>
      <c r="C221" s="9" t="str">
        <f>IFERROR(__xludf.DUMMYFUNCTION("""COMPUTED_VALUE"""),"Crusader 11")</f>
        <v>Crusader 11</v>
      </c>
      <c r="D221" s="5" t="str">
        <f>IFERROR(__xludf.DUMMYFUNCTION("""COMPUTED_VALUE"""),"Cloudrest Retreat")</f>
        <v>Cloudrest Retreat</v>
      </c>
      <c r="E221" s="7" t="str">
        <f>IFERROR(__xludf.DUMMYFUNCTION("""COMPUTED_VALUE"""),"Cloudrest")</f>
        <v>Cloudrest</v>
      </c>
      <c r="F221" s="8">
        <f>IFERROR(__xludf.DUMMYFUNCTION("""COMPUTED_VALUE"""),-7396.17234155199)</f>
        <v>-7396.17234155199</v>
      </c>
      <c r="G221" s="8">
        <f>IFERROR(__xludf.DUMMYFUNCTION("""COMPUTED_VALUE"""),-1420.24600075198)</f>
        <v>-1420.24600075198</v>
      </c>
      <c r="H221" s="8">
        <f>IFERROR(__xludf.DUMMYFUNCTION("""COMPUTED_VALUE"""),29.006964957)</f>
        <v>29.006964957</v>
      </c>
      <c r="I221" s="14"/>
      <c r="J221" s="14"/>
      <c r="K221" s="14"/>
      <c r="L221" s="14"/>
      <c r="M221" s="7" t="b">
        <f>IFERROR(__xludf.DUMMYFUNCTION("""COMPUTED_VALUE"""),TRUE)</f>
        <v>1</v>
      </c>
      <c r="N221" s="10">
        <f>IFERROR(__xludf.DUMMYFUNCTION("""COMPUTED_VALUE"""),0)</f>
        <v>0</v>
      </c>
      <c r="O221" s="10">
        <f>IFERROR(__xludf.DUMMYFUNCTION("""COMPUTED_VALUE"""),0)</f>
        <v>0</v>
      </c>
      <c r="P221" s="8"/>
      <c r="Q221" s="7"/>
      <c r="R221" s="16"/>
      <c r="S221" s="17"/>
      <c r="T221" s="8"/>
      <c r="U221" s="8"/>
      <c r="V221" s="22"/>
      <c r="W221" s="12"/>
      <c r="X221" s="12"/>
      <c r="Y221" s="12"/>
      <c r="Z221" s="12"/>
      <c r="AA221" s="7"/>
      <c r="AB221" s="12"/>
      <c r="AC221" s="6"/>
      <c r="AD221" s="6"/>
      <c r="AE221" s="7"/>
      <c r="AF221" s="7"/>
      <c r="AG221" s="7"/>
      <c r="AH221" s="7"/>
      <c r="AI221" s="7"/>
      <c r="AJ221" s="7"/>
      <c r="AK221" s="7"/>
      <c r="AL221" s="7"/>
      <c r="AM221" s="7"/>
      <c r="AN221" s="7"/>
      <c r="AO221" s="6"/>
      <c r="AP221" s="7"/>
      <c r="AQ221" s="7"/>
      <c r="AR221" s="6"/>
      <c r="AS221" s="7"/>
      <c r="AT221" s="7"/>
      <c r="AU221" s="7"/>
      <c r="AV221" s="7"/>
      <c r="AW221" s="7"/>
      <c r="AX221" s="7"/>
      <c r="AY221" s="7"/>
      <c r="AZ221" s="7"/>
      <c r="BA221" s="7"/>
      <c r="BB221" s="7"/>
      <c r="BC221" s="7"/>
      <c r="BD221" s="7"/>
      <c r="BE221" s="7"/>
      <c r="BF221" s="7"/>
      <c r="BG221" s="7"/>
    </row>
    <row r="222" customHeight="1" spans="1:59">
      <c r="A222" s="9" t="str">
        <f>IFERROR(__xludf.DUMMYFUNCTION("""COMPUTED_VALUE"""),"Crusader 04")</f>
        <v>Crusader 04</v>
      </c>
      <c r="B222" s="9" t="str">
        <f>IFERROR(__xludf.DUMMYFUNCTION("""COMPUTED_VALUE"""),"Crusader 07")</f>
        <v>Crusader 07</v>
      </c>
      <c r="C222" s="9" t="str">
        <f>IFERROR(__xludf.DUMMYFUNCTION("""COMPUTED_VALUE"""),"Crusader 03")</f>
        <v>Crusader 03</v>
      </c>
      <c r="D222" s="5" t="str">
        <f>IFERROR(__xludf.DUMMYFUNCTION("""COMPUTED_VALUE"""),"Empyrean Park")</f>
        <v>Empyrean Park</v>
      </c>
      <c r="E222" s="7" t="str">
        <f>IFERROR(__xludf.DUMMYFUNCTION("""COMPUTED_VALUE"""),"Empyrean")</f>
        <v>Empyrean</v>
      </c>
      <c r="F222" s="8">
        <f>IFERROR(__xludf.DUMMYFUNCTION("""COMPUTED_VALUE"""),1090.10800084099)</f>
        <v>1090.10800084099</v>
      </c>
      <c r="G222" s="8">
        <f>IFERROR(__xludf.DUMMYFUNCTION("""COMPUTED_VALUE"""),7304.36414807)</f>
        <v>7304.36414807</v>
      </c>
      <c r="H222" s="8">
        <f>IFERROR(__xludf.DUMMYFUNCTION("""COMPUTED_VALUE"""),1509.817678994)</f>
        <v>1509.817678994</v>
      </c>
      <c r="I222" s="14"/>
      <c r="J222" s="14"/>
      <c r="K222" s="14"/>
      <c r="L222" s="14"/>
      <c r="M222" s="7" t="b">
        <f>IFERROR(__xludf.DUMMYFUNCTION("""COMPUTED_VALUE"""),TRUE)</f>
        <v>1</v>
      </c>
      <c r="N222" s="10">
        <f>IFERROR(__xludf.DUMMYFUNCTION("""COMPUTED_VALUE"""),0)</f>
        <v>0</v>
      </c>
      <c r="O222" s="10">
        <f>IFERROR(__xludf.DUMMYFUNCTION("""COMPUTED_VALUE"""),0)</f>
        <v>0</v>
      </c>
      <c r="P222" s="8"/>
      <c r="Q222" s="7"/>
      <c r="R222" s="16"/>
      <c r="S222" s="17"/>
      <c r="T222" s="8"/>
      <c r="U222" s="8"/>
      <c r="V222" s="22"/>
      <c r="W222" s="12"/>
      <c r="X222" s="12"/>
      <c r="Y222" s="12"/>
      <c r="Z222" s="12"/>
      <c r="AA222" s="7"/>
      <c r="AB222" s="12"/>
      <c r="AC222" s="6"/>
      <c r="AD222" s="6"/>
      <c r="AE222" s="7"/>
      <c r="AF222" s="7"/>
      <c r="AG222" s="7"/>
      <c r="AH222" s="7"/>
      <c r="AI222" s="7"/>
      <c r="AJ222" s="7"/>
      <c r="AK222" s="7"/>
      <c r="AL222" s="7"/>
      <c r="AM222" s="7"/>
      <c r="AN222" s="7"/>
      <c r="AO222" s="6"/>
      <c r="AP222" s="7"/>
      <c r="AQ222" s="7"/>
      <c r="AR222" s="6"/>
      <c r="AS222" s="7"/>
      <c r="AT222" s="7"/>
      <c r="AU222" s="7"/>
      <c r="AV222" s="7"/>
      <c r="AW222" s="7"/>
      <c r="AX222" s="7"/>
      <c r="AY222" s="7"/>
      <c r="AZ222" s="7"/>
      <c r="BA222" s="7"/>
      <c r="BB222" s="7"/>
      <c r="BC222" s="7"/>
      <c r="BD222" s="7"/>
      <c r="BE222" s="7"/>
      <c r="BF222" s="7"/>
      <c r="BG222" s="7"/>
    </row>
    <row r="223" customHeight="1" spans="1:59">
      <c r="A223" s="9" t="str">
        <f>IFERROR(__xludf.DUMMYFUNCTION("""COMPUTED_VALUE"""),"Crusader")</f>
        <v>Crusader</v>
      </c>
      <c r="B223" s="9" t="str">
        <f>IFERROR(__xludf.DUMMYFUNCTION("""COMPUTED_VALUE"""),"Crusader 10")</f>
        <v>Crusader 10</v>
      </c>
      <c r="C223" s="9"/>
      <c r="D223" s="5" t="str">
        <f>IFERROR(__xludf.DUMMYFUNCTION("""COMPUTED_VALUE"""),"Racetracks")</f>
        <v>Racetracks</v>
      </c>
      <c r="E223" s="7"/>
      <c r="F223" s="11"/>
      <c r="G223" s="11"/>
      <c r="H223" s="11"/>
      <c r="I223" s="15"/>
      <c r="J223" s="15"/>
      <c r="K223" s="15"/>
      <c r="L223" s="15"/>
      <c r="M223" s="7"/>
      <c r="N223" s="10"/>
      <c r="O223" s="10"/>
      <c r="P223" s="8"/>
      <c r="Q223" s="7"/>
      <c r="R223" s="16"/>
      <c r="S223" s="17"/>
      <c r="T223" s="8"/>
      <c r="U223" s="8"/>
      <c r="V223" s="22"/>
      <c r="W223" s="12"/>
      <c r="X223" s="12"/>
      <c r="Y223" s="12"/>
      <c r="Z223" s="12"/>
      <c r="AA223" s="7"/>
      <c r="AB223" s="12"/>
      <c r="AC223" s="6"/>
      <c r="AD223" s="6"/>
      <c r="AE223" s="7"/>
      <c r="AF223" s="7"/>
      <c r="AG223" s="7"/>
      <c r="AH223" s="7"/>
      <c r="AI223" s="7"/>
      <c r="AJ223" s="7"/>
      <c r="AK223" s="7"/>
      <c r="AL223" s="7"/>
      <c r="AM223" s="7"/>
      <c r="AN223" s="7"/>
      <c r="AO223" s="6"/>
      <c r="AP223" s="7"/>
      <c r="AQ223" s="7"/>
      <c r="AR223" s="6"/>
      <c r="AS223" s="7"/>
      <c r="AT223" s="7"/>
      <c r="AU223" s="7"/>
      <c r="AV223" s="7"/>
      <c r="AW223" s="7"/>
      <c r="AX223" s="7"/>
      <c r="AY223" s="7"/>
      <c r="AZ223" s="7"/>
      <c r="BA223" s="7"/>
      <c r="BB223" s="7"/>
      <c r="BC223" s="7"/>
      <c r="BD223" s="7"/>
      <c r="BE223" s="7"/>
      <c r="BF223" s="7"/>
      <c r="BG223" s="7"/>
    </row>
    <row r="224" customHeight="1" spans="1:59">
      <c r="A224" s="9" t="str">
        <f>IFERROR(__xludf.DUMMYFUNCTION("""COMPUTED_VALUE"""),"Crusader 08")</f>
        <v>Crusader 08</v>
      </c>
      <c r="B224" s="9" t="str">
        <f>IFERROR(__xludf.DUMMYFUNCTION("""COMPUTED_VALUE"""),"Crusader 11")</f>
        <v>Crusader 11</v>
      </c>
      <c r="C224" s="9" t="str">
        <f>IFERROR(__xludf.DUMMYFUNCTION("""COMPUTED_VALUE"""),"Crusader 07")</f>
        <v>Crusader 07</v>
      </c>
      <c r="D224" s="5" t="str">
        <f>IFERROR(__xludf.DUMMYFUNCTION("""COMPUTED_VALUE"""),"Caplan Circuit")</f>
        <v>Caplan Circuit</v>
      </c>
      <c r="E224" s="7" t="str">
        <f>IFERROR(__xludf.DUMMYFUNCTION("""COMPUTED_VALUE"""),"Caplan")</f>
        <v>Caplan</v>
      </c>
      <c r="F224" s="11">
        <f>IFERROR(__xludf.DUMMYFUNCTION("""COMPUTED_VALUE"""),5297.83153033498)</f>
        <v>5297.83153033498</v>
      </c>
      <c r="G224" s="11">
        <f>IFERROR(__xludf.DUMMYFUNCTION("""COMPUTED_VALUE"""),-878.029351991)</f>
        <v>-878.029351991</v>
      </c>
      <c r="H224" s="11">
        <f>IFERROR(__xludf.DUMMYFUNCTION("""COMPUTED_VALUE"""),5275.458328362)</f>
        <v>5275.458328362</v>
      </c>
      <c r="I224" s="15"/>
      <c r="J224" s="15"/>
      <c r="K224" s="15"/>
      <c r="L224" s="15"/>
      <c r="M224" s="7" t="b">
        <f>IFERROR(__xludf.DUMMYFUNCTION("""COMPUTED_VALUE"""),FALSE)</f>
        <v>0</v>
      </c>
      <c r="N224" s="10">
        <f>IFERROR(__xludf.DUMMYFUNCTION("""COMPUTED_VALUE"""),0)</f>
        <v>0</v>
      </c>
      <c r="O224" s="10">
        <f>IFERROR(__xludf.DUMMYFUNCTION("""COMPUTED_VALUE"""),0)</f>
        <v>0</v>
      </c>
      <c r="P224" s="8"/>
      <c r="Q224" s="7"/>
      <c r="R224" s="16"/>
      <c r="S224" s="17"/>
      <c r="T224" s="8"/>
      <c r="U224" s="8"/>
      <c r="V224" s="22"/>
      <c r="W224" s="12"/>
      <c r="X224" s="12"/>
      <c r="Y224" s="12"/>
      <c r="Z224" s="12"/>
      <c r="AA224" s="7"/>
      <c r="AB224" s="12"/>
      <c r="AC224" s="6"/>
      <c r="AD224" s="6"/>
      <c r="AE224" s="7"/>
      <c r="AF224" s="7"/>
      <c r="AG224" s="7"/>
      <c r="AH224" s="7"/>
      <c r="AI224" s="7"/>
      <c r="AJ224" s="7"/>
      <c r="AK224" s="7"/>
      <c r="AL224" s="7"/>
      <c r="AM224" s="7"/>
      <c r="AN224" s="7"/>
      <c r="AO224" s="6"/>
      <c r="AP224" s="7"/>
      <c r="AQ224" s="7"/>
      <c r="AR224" s="6"/>
      <c r="AS224" s="7"/>
      <c r="AT224" s="7"/>
      <c r="AU224" s="7"/>
      <c r="AV224" s="7"/>
      <c r="AW224" s="7"/>
      <c r="AX224" s="7"/>
      <c r="AY224" s="7"/>
      <c r="AZ224" s="7"/>
      <c r="BA224" s="7"/>
      <c r="BB224" s="7"/>
      <c r="BC224" s="7"/>
      <c r="BD224" s="7"/>
      <c r="BE224" s="7"/>
      <c r="BF224" s="7"/>
      <c r="BG224" s="7"/>
    </row>
    <row r="225" customHeight="1" spans="1:59">
      <c r="A225" s="9" t="str">
        <f>IFERROR(__xludf.DUMMYFUNCTION("""COMPUTED_VALUE"""),"Crusader")</f>
        <v>Crusader</v>
      </c>
      <c r="B225" s="9" t="str">
        <f>IFERROR(__xludf.DUMMYFUNCTION("""COMPUTED_VALUE"""),"Crusader 13")</f>
        <v>Crusader 13</v>
      </c>
      <c r="C225" s="9"/>
      <c r="D225" s="5" t="str">
        <f>IFERROR(__xludf.DUMMYFUNCTION("""COMPUTED_VALUE"""),"Comm Array")</f>
        <v>Comm Array</v>
      </c>
      <c r="E225" s="7"/>
      <c r="F225" s="11"/>
      <c r="G225" s="11"/>
      <c r="H225" s="11"/>
      <c r="I225" s="15"/>
      <c r="J225" s="15"/>
      <c r="K225" s="15"/>
      <c r="L225" s="15"/>
      <c r="M225" s="7"/>
      <c r="N225" s="10"/>
      <c r="O225" s="10"/>
      <c r="P225" s="8"/>
      <c r="Q225" s="7"/>
      <c r="R225" s="16"/>
      <c r="S225" s="17"/>
      <c r="T225" s="8"/>
      <c r="U225" s="8"/>
      <c r="V225" s="22"/>
      <c r="W225" s="12"/>
      <c r="X225" s="12"/>
      <c r="Y225" s="12"/>
      <c r="Z225" s="12"/>
      <c r="AA225" s="7"/>
      <c r="AB225" s="12"/>
      <c r="AC225" s="6"/>
      <c r="AD225" s="6"/>
      <c r="AE225" s="7"/>
      <c r="AF225" s="7"/>
      <c r="AG225" s="7"/>
      <c r="AH225" s="7"/>
      <c r="AI225" s="7"/>
      <c r="AJ225" s="7"/>
      <c r="AK225" s="7"/>
      <c r="AL225" s="7"/>
      <c r="AM225" s="7"/>
      <c r="AN225" s="7"/>
      <c r="AO225" s="6"/>
      <c r="AP225" s="7"/>
      <c r="AQ225" s="7"/>
      <c r="AR225" s="6"/>
      <c r="AS225" s="7"/>
      <c r="AT225" s="7"/>
      <c r="AU225" s="7"/>
      <c r="AV225" s="7"/>
      <c r="AW225" s="7"/>
      <c r="AX225" s="7"/>
      <c r="AY225" s="7"/>
      <c r="AZ225" s="7"/>
      <c r="BA225" s="7"/>
      <c r="BB225" s="7"/>
      <c r="BC225" s="7"/>
      <c r="BD225" s="7"/>
      <c r="BE225" s="7"/>
      <c r="BF225" s="7"/>
      <c r="BG225" s="7"/>
    </row>
    <row r="226" customHeight="1" spans="1:59">
      <c r="A226" s="9" t="str">
        <f>IFERROR(__xludf.DUMMYFUNCTION("""COMPUTED_VALUE"""),"Crusader 06")</f>
        <v>Crusader 06</v>
      </c>
      <c r="B226" s="9" t="str">
        <f>IFERROR(__xludf.DUMMYFUNCTION("""COMPUTED_VALUE"""),"Crusader 14")</f>
        <v>Crusader 14</v>
      </c>
      <c r="C226" s="9" t="str">
        <f>IFERROR(__xludf.DUMMYFUNCTION("""COMPUTED_VALUE"""),"Crusader 01")</f>
        <v>Crusader 01</v>
      </c>
      <c r="D226" s="5" t="str">
        <f>IFERROR(__xludf.DUMMYFUNCTION("""COMPUTED_VALUE"""),"Comm Array ST2-55")</f>
        <v>Comm Array ST2-55</v>
      </c>
      <c r="E226" s="7" t="str">
        <f>IFERROR(__xludf.DUMMYFUNCTION("""COMPUTED_VALUE"""),"ST2-55")</f>
        <v>ST2-55</v>
      </c>
      <c r="F226" s="11">
        <f>IFERROR(__xludf.DUMMYFUNCTION("""COMPUTED_VALUE"""),-1387.91691970062)</f>
        <v>-1387.91691970062</v>
      </c>
      <c r="G226" s="11">
        <f>IFERROR(__xludf.DUMMYFUNCTION("""COMPUTED_VALUE"""),8802.20376522017)</f>
        <v>8802.20376522017</v>
      </c>
      <c r="H226" s="11">
        <f>IFERROR(__xludf.DUMMYFUNCTION("""COMPUTED_VALUE"""),24)</f>
        <v>24</v>
      </c>
      <c r="I226" s="15"/>
      <c r="J226" s="15"/>
      <c r="K226" s="15"/>
      <c r="L226" s="15"/>
      <c r="M226" s="7" t="b">
        <f>IFERROR(__xludf.DUMMYFUNCTION("""COMPUTED_VALUE"""),TRUE)</f>
        <v>1</v>
      </c>
      <c r="N226" s="10">
        <f>IFERROR(__xludf.DUMMYFUNCTION("""COMPUTED_VALUE"""),0)</f>
        <v>0</v>
      </c>
      <c r="O226" s="10">
        <f>IFERROR(__xludf.DUMMYFUNCTION("""COMPUTED_VALUE"""),0)</f>
        <v>0</v>
      </c>
      <c r="P226" s="8"/>
      <c r="Q226" s="7"/>
      <c r="R226" s="16"/>
      <c r="S226" s="17"/>
      <c r="T226" s="8"/>
      <c r="U226" s="8"/>
      <c r="V226" s="22"/>
      <c r="W226" s="12"/>
      <c r="X226" s="12"/>
      <c r="Y226" s="12"/>
      <c r="Z226" s="12"/>
      <c r="AA226" s="7"/>
      <c r="AB226" s="12"/>
      <c r="AC226" s="6"/>
      <c r="AD226" s="6"/>
      <c r="AE226" s="7"/>
      <c r="AF226" s="7"/>
      <c r="AG226" s="7"/>
      <c r="AH226" s="7"/>
      <c r="AI226" s="7"/>
      <c r="AJ226" s="7"/>
      <c r="AK226" s="7"/>
      <c r="AL226" s="7"/>
      <c r="AM226" s="7"/>
      <c r="AN226" s="7"/>
      <c r="AO226" s="6"/>
      <c r="AP226" s="7"/>
      <c r="AQ226" s="7"/>
      <c r="AR226" s="6"/>
      <c r="AS226" s="7"/>
      <c r="AT226" s="7"/>
      <c r="AU226" s="7"/>
      <c r="AV226" s="7"/>
      <c r="AW226" s="7"/>
      <c r="AX226" s="7"/>
      <c r="AY226" s="7"/>
      <c r="AZ226" s="7"/>
      <c r="BA226" s="7"/>
      <c r="BB226" s="7"/>
      <c r="BC226" s="7"/>
      <c r="BD226" s="7"/>
      <c r="BE226" s="7"/>
      <c r="BF226" s="7"/>
      <c r="BG226" s="7"/>
    </row>
    <row r="227" customHeight="1" spans="1:59">
      <c r="A227" s="9"/>
      <c r="B227" s="9"/>
      <c r="C227" s="9"/>
      <c r="D227" s="5"/>
      <c r="E227" s="7"/>
      <c r="F227" s="11"/>
      <c r="G227" s="11"/>
      <c r="H227" s="11"/>
      <c r="I227" s="15"/>
      <c r="J227" s="15"/>
      <c r="K227" s="15"/>
      <c r="L227" s="15"/>
      <c r="M227" s="7"/>
      <c r="N227" s="10"/>
      <c r="O227" s="10"/>
      <c r="P227" s="8"/>
      <c r="Q227" s="7"/>
      <c r="R227" s="16"/>
      <c r="S227" s="17"/>
      <c r="T227" s="8"/>
      <c r="U227" s="8"/>
      <c r="V227" s="22"/>
      <c r="W227" s="12"/>
      <c r="X227" s="12"/>
      <c r="Y227" s="12"/>
      <c r="Z227" s="12"/>
      <c r="AA227" s="7"/>
      <c r="AB227" s="12"/>
      <c r="AC227" s="6"/>
      <c r="AD227" s="6"/>
      <c r="AE227" s="7"/>
      <c r="AF227" s="7"/>
      <c r="AG227" s="7"/>
      <c r="AH227" s="7"/>
      <c r="AI227" s="7"/>
      <c r="AJ227" s="7"/>
      <c r="AK227" s="7"/>
      <c r="AL227" s="7"/>
      <c r="AM227" s="7"/>
      <c r="AN227" s="7"/>
      <c r="AO227" s="6"/>
      <c r="AP227" s="7"/>
      <c r="AQ227" s="7"/>
      <c r="AR227" s="6"/>
      <c r="AS227" s="7"/>
      <c r="AT227" s="7"/>
      <c r="AU227" s="7"/>
      <c r="AV227" s="7"/>
      <c r="AW227" s="7"/>
      <c r="AX227" s="7"/>
      <c r="AY227" s="7"/>
      <c r="AZ227" s="7"/>
      <c r="BA227" s="7"/>
      <c r="BB227" s="7"/>
      <c r="BC227" s="7"/>
      <c r="BD227" s="7"/>
      <c r="BE227" s="7"/>
      <c r="BF227" s="7"/>
      <c r="BG227" s="7"/>
    </row>
    <row r="228" customHeight="1" spans="1:59">
      <c r="A228" s="9" t="str">
        <f>IFERROR(__xludf.DUMMYFUNCTION("""COMPUTED_VALUE"""),"Daymar R01")</f>
        <v>Daymar R01</v>
      </c>
      <c r="B228" s="9" t="str">
        <f>IFERROR(__xludf.DUMMYFUNCTION("""COMPUTED_VALUE"""),"Daymar 87")</f>
        <v>Daymar 87</v>
      </c>
      <c r="C228" s="9"/>
      <c r="D228" s="5" t="str">
        <f>IFERROR(__xludf.DUMMYFUNCTION("""COMPUTED_VALUE"""),"OM-1")</f>
        <v>OM-1</v>
      </c>
      <c r="E228" s="7" t="str">
        <f>IFERROR(__xludf.DUMMYFUNCTION("""COMPUTED_VALUE"""),"OM1")</f>
        <v>OM1</v>
      </c>
      <c r="F228" s="11">
        <f>IFERROR(__xludf.DUMMYFUNCTION("""COMPUTED_VALUE"""),0)</f>
        <v>0</v>
      </c>
      <c r="G228" s="11">
        <f>IFERROR(__xludf.DUMMYFUNCTION("""COMPUTED_VALUE"""),0)</f>
        <v>0</v>
      </c>
      <c r="H228" s="11">
        <f>IFERROR(__xludf.DUMMYFUNCTION("""COMPUTED_VALUE"""),430.028)</f>
        <v>430.028</v>
      </c>
      <c r="I228" s="15"/>
      <c r="J228" s="15"/>
      <c r="K228" s="15"/>
      <c r="L228" s="15"/>
      <c r="M228" s="7" t="b">
        <f>IFERROR(__xludf.DUMMYFUNCTION("""COMPUTED_VALUE"""),TRUE)</f>
        <v>1</v>
      </c>
      <c r="N228" s="10">
        <f>IFERROR(__xludf.DUMMYFUNCTION("""COMPUTED_VALUE"""),0)</f>
        <v>0</v>
      </c>
      <c r="O228" s="10">
        <f>IFERROR(__xludf.DUMMYFUNCTION("""COMPUTED_VALUE"""),0)</f>
        <v>0</v>
      </c>
      <c r="P228" s="8"/>
      <c r="Q228" s="7"/>
      <c r="R228" s="16"/>
      <c r="S228" s="17"/>
      <c r="T228" s="8"/>
      <c r="U228" s="8"/>
      <c r="V228" s="22"/>
      <c r="W228" s="12"/>
      <c r="X228" s="12"/>
      <c r="Y228" s="12"/>
      <c r="Z228" s="12"/>
      <c r="AA228" s="7"/>
      <c r="AB228" s="12"/>
      <c r="AC228" s="6"/>
      <c r="AD228" s="6"/>
      <c r="AE228" s="7"/>
      <c r="AF228" s="7"/>
      <c r="AG228" s="7"/>
      <c r="AH228" s="7"/>
      <c r="AI228" s="7"/>
      <c r="AJ228" s="7"/>
      <c r="AK228" s="7"/>
      <c r="AL228" s="7"/>
      <c r="AM228" s="7"/>
      <c r="AN228" s="7"/>
      <c r="AO228" s="6"/>
      <c r="AP228" s="7"/>
      <c r="AQ228" s="7"/>
      <c r="AR228" s="6"/>
      <c r="AS228" s="7"/>
      <c r="AT228" s="7"/>
      <c r="AU228" s="7"/>
      <c r="AV228" s="7"/>
      <c r="AW228" s="7"/>
      <c r="AX228" s="7"/>
      <c r="AY228" s="7"/>
      <c r="AZ228" s="7"/>
      <c r="BA228" s="7"/>
      <c r="BB228" s="7"/>
      <c r="BC228" s="7"/>
      <c r="BD228" s="7"/>
      <c r="BE228" s="7"/>
      <c r="BF228" s="7"/>
      <c r="BG228" s="7"/>
    </row>
    <row r="229" customHeight="1" spans="1:59">
      <c r="A229" s="9" t="str">
        <f>IFERROR(__xludf.DUMMYFUNCTION("""COMPUTED_VALUE"""),"Daymar R02")</f>
        <v>Daymar R02</v>
      </c>
      <c r="B229" s="9" t="str">
        <f>IFERROR(__xludf.DUMMYFUNCTION("""COMPUTED_VALUE"""),"Daymar 88")</f>
        <v>Daymar 88</v>
      </c>
      <c r="C229" s="9"/>
      <c r="D229" s="5" t="str">
        <f>IFERROR(__xludf.DUMMYFUNCTION("""COMPUTED_VALUE"""),"OM-2")</f>
        <v>OM-2</v>
      </c>
      <c r="E229" s="7" t="str">
        <f>IFERROR(__xludf.DUMMYFUNCTION("""COMPUTED_VALUE"""),"OM2")</f>
        <v>OM2</v>
      </c>
      <c r="F229" s="11">
        <f>IFERROR(__xludf.DUMMYFUNCTION("""COMPUTED_VALUE"""),0)</f>
        <v>0</v>
      </c>
      <c r="G229" s="11">
        <f>IFERROR(__xludf.DUMMYFUNCTION("""COMPUTED_VALUE"""),0)</f>
        <v>0</v>
      </c>
      <c r="H229" s="11">
        <f>IFERROR(__xludf.DUMMYFUNCTION("""COMPUTED_VALUE"""),-430.028)</f>
        <v>-430.028</v>
      </c>
      <c r="I229" s="15"/>
      <c r="J229" s="15"/>
      <c r="K229" s="15"/>
      <c r="L229" s="15"/>
      <c r="M229" s="7" t="b">
        <f>IFERROR(__xludf.DUMMYFUNCTION("""COMPUTED_VALUE"""),TRUE)</f>
        <v>1</v>
      </c>
      <c r="N229" s="10">
        <f>IFERROR(__xludf.DUMMYFUNCTION("""COMPUTED_VALUE"""),0)</f>
        <v>0</v>
      </c>
      <c r="O229" s="10">
        <f>IFERROR(__xludf.DUMMYFUNCTION("""COMPUTED_VALUE"""),0)</f>
        <v>0</v>
      </c>
      <c r="P229" s="8"/>
      <c r="Q229" s="7"/>
      <c r="R229" s="16"/>
      <c r="S229" s="17"/>
      <c r="T229" s="8"/>
      <c r="U229" s="8"/>
      <c r="V229" s="22"/>
      <c r="W229" s="12"/>
      <c r="X229" s="12"/>
      <c r="Y229" s="12"/>
      <c r="Z229" s="12"/>
      <c r="AA229" s="7"/>
      <c r="AB229" s="12"/>
      <c r="AC229" s="6"/>
      <c r="AD229" s="6"/>
      <c r="AE229" s="7"/>
      <c r="AF229" s="7"/>
      <c r="AG229" s="7"/>
      <c r="AH229" s="7"/>
      <c r="AI229" s="7"/>
      <c r="AJ229" s="7"/>
      <c r="AK229" s="7"/>
      <c r="AL229" s="7"/>
      <c r="AM229" s="7"/>
      <c r="AN229" s="7"/>
      <c r="AO229" s="6"/>
      <c r="AP229" s="7"/>
      <c r="AQ229" s="7"/>
      <c r="AR229" s="6"/>
      <c r="AS229" s="7"/>
      <c r="AT229" s="7"/>
      <c r="AU229" s="7"/>
      <c r="AV229" s="7"/>
      <c r="AW229" s="7"/>
      <c r="AX229" s="7"/>
      <c r="AY229" s="7"/>
      <c r="AZ229" s="7"/>
      <c r="BA229" s="7"/>
      <c r="BB229" s="7"/>
      <c r="BC229" s="7"/>
      <c r="BD229" s="7"/>
      <c r="BE229" s="7"/>
      <c r="BF229" s="7"/>
      <c r="BG229" s="7"/>
    </row>
    <row r="230" customHeight="1" spans="1:59">
      <c r="A230" s="9" t="str">
        <f>IFERROR(__xludf.DUMMYFUNCTION("""COMPUTED_VALUE"""),"Daymar R03")</f>
        <v>Daymar R03</v>
      </c>
      <c r="B230" s="9" t="str">
        <f>IFERROR(__xludf.DUMMYFUNCTION("""COMPUTED_VALUE"""),"Daymar 89")</f>
        <v>Daymar 89</v>
      </c>
      <c r="C230" s="9" t="str">
        <f>IFERROR(__xludf.DUMMYFUNCTION("""COMPUTED_VALUE"""),"Daymar 21")</f>
        <v>Daymar 21</v>
      </c>
      <c r="D230" s="5" t="str">
        <f>IFERROR(__xludf.DUMMYFUNCTION("""COMPUTED_VALUE"""),"OM-3")</f>
        <v>OM-3</v>
      </c>
      <c r="E230" s="7" t="str">
        <f>IFERROR(__xludf.DUMMYFUNCTION("""COMPUTED_VALUE"""),"OM3")</f>
        <v>OM3</v>
      </c>
      <c r="F230" s="11">
        <f>IFERROR(__xludf.DUMMYFUNCTION("""COMPUTED_VALUE"""),0)</f>
        <v>0</v>
      </c>
      <c r="G230" s="11">
        <f>IFERROR(__xludf.DUMMYFUNCTION("""COMPUTED_VALUE"""),430.028)</f>
        <v>430.028</v>
      </c>
      <c r="H230" s="11">
        <f>IFERROR(__xludf.DUMMYFUNCTION("""COMPUTED_VALUE"""),0)</f>
        <v>0</v>
      </c>
      <c r="I230" s="15"/>
      <c r="J230" s="15"/>
      <c r="K230" s="15"/>
      <c r="L230" s="15"/>
      <c r="M230" s="7" t="b">
        <f>IFERROR(__xludf.DUMMYFUNCTION("""COMPUTED_VALUE"""),TRUE)</f>
        <v>1</v>
      </c>
      <c r="N230" s="10">
        <f>IFERROR(__xludf.DUMMYFUNCTION("""COMPUTED_VALUE"""),0)</f>
        <v>0</v>
      </c>
      <c r="O230" s="10">
        <f>IFERROR(__xludf.DUMMYFUNCTION("""COMPUTED_VALUE"""),0)</f>
        <v>0</v>
      </c>
      <c r="P230" s="8"/>
      <c r="Q230" s="7"/>
      <c r="R230" s="16"/>
      <c r="S230" s="17"/>
      <c r="T230" s="8"/>
      <c r="U230" s="8"/>
      <c r="V230" s="22"/>
      <c r="W230" s="12"/>
      <c r="X230" s="12"/>
      <c r="Y230" s="12"/>
      <c r="Z230" s="12"/>
      <c r="AA230" s="7"/>
      <c r="AB230" s="12"/>
      <c r="AC230" s="6"/>
      <c r="AD230" s="6"/>
      <c r="AE230" s="7"/>
      <c r="AF230" s="7"/>
      <c r="AG230" s="7"/>
      <c r="AH230" s="7"/>
      <c r="AI230" s="7"/>
      <c r="AJ230" s="7"/>
      <c r="AK230" s="7"/>
      <c r="AL230" s="7"/>
      <c r="AM230" s="7"/>
      <c r="AN230" s="7"/>
      <c r="AO230" s="6"/>
      <c r="AP230" s="7"/>
      <c r="AQ230" s="7"/>
      <c r="AR230" s="6"/>
      <c r="AS230" s="7"/>
      <c r="AT230" s="7"/>
      <c r="AU230" s="7"/>
      <c r="AV230" s="7"/>
      <c r="AW230" s="7"/>
      <c r="AX230" s="7"/>
      <c r="AY230" s="7"/>
      <c r="AZ230" s="7"/>
      <c r="BA230" s="7"/>
      <c r="BB230" s="7"/>
      <c r="BC230" s="7"/>
      <c r="BD230" s="7"/>
      <c r="BE230" s="7"/>
      <c r="BF230" s="7"/>
      <c r="BG230" s="7"/>
    </row>
    <row r="231" customHeight="1" spans="1:59">
      <c r="A231" s="9" t="str">
        <f>IFERROR(__xludf.DUMMYFUNCTION("""COMPUTED_VALUE"""),"Daymar R04")</f>
        <v>Daymar R04</v>
      </c>
      <c r="B231" s="5" t="str">
        <f>IFERROR(__xludf.DUMMYFUNCTION("""COMPUTED_VALUE"""),"Daymar 90")</f>
        <v>Daymar 90</v>
      </c>
      <c r="C231" s="5" t="str">
        <f>IFERROR(__xludf.DUMMYFUNCTION("""COMPUTED_VALUE"""),"Daymar 57")</f>
        <v>Daymar 57</v>
      </c>
      <c r="D231" s="5" t="str">
        <f>IFERROR(__xludf.DUMMYFUNCTION("""COMPUTED_VALUE"""),"OM-4")</f>
        <v>OM-4</v>
      </c>
      <c r="E231" s="7" t="str">
        <f>IFERROR(__xludf.DUMMYFUNCTION("""COMPUTED_VALUE"""),"OM4")</f>
        <v>OM4</v>
      </c>
      <c r="F231" s="8">
        <f>IFERROR(__xludf.DUMMYFUNCTION("""COMPUTED_VALUE"""),0)</f>
        <v>0</v>
      </c>
      <c r="G231" s="8">
        <f>IFERROR(__xludf.DUMMYFUNCTION("""COMPUTED_VALUE"""),-430.028)</f>
        <v>-430.028</v>
      </c>
      <c r="H231" s="8">
        <f>IFERROR(__xludf.DUMMYFUNCTION("""COMPUTED_VALUE"""),0)</f>
        <v>0</v>
      </c>
      <c r="I231" s="14"/>
      <c r="J231" s="14"/>
      <c r="K231" s="14"/>
      <c r="L231" s="14"/>
      <c r="M231" s="7" t="b">
        <f>IFERROR(__xludf.DUMMYFUNCTION("""COMPUTED_VALUE"""),TRUE)</f>
        <v>1</v>
      </c>
      <c r="N231" s="10">
        <f>IFERROR(__xludf.DUMMYFUNCTION("""COMPUTED_VALUE"""),0)</f>
        <v>0</v>
      </c>
      <c r="O231" s="10">
        <f>IFERROR(__xludf.DUMMYFUNCTION("""COMPUTED_VALUE"""),0)</f>
        <v>0</v>
      </c>
      <c r="P231" s="8"/>
      <c r="Q231" s="7"/>
      <c r="R231" s="16"/>
      <c r="S231" s="17"/>
      <c r="T231" s="8"/>
      <c r="U231" s="8"/>
      <c r="V231" s="22"/>
      <c r="W231" s="12"/>
      <c r="X231" s="12"/>
      <c r="Y231" s="12"/>
      <c r="Z231" s="12"/>
      <c r="AA231" s="7"/>
      <c r="AB231" s="12"/>
      <c r="AC231" s="6"/>
      <c r="AD231" s="6"/>
      <c r="AE231" s="7"/>
      <c r="AF231" s="7"/>
      <c r="AG231" s="7"/>
      <c r="AH231" s="7"/>
      <c r="AI231" s="7"/>
      <c r="AJ231" s="7"/>
      <c r="AK231" s="7"/>
      <c r="AL231" s="7"/>
      <c r="AM231" s="7"/>
      <c r="AN231" s="7"/>
      <c r="AO231" s="6"/>
      <c r="AP231" s="7"/>
      <c r="AQ231" s="7"/>
      <c r="AR231" s="6"/>
      <c r="AS231" s="7"/>
      <c r="AT231" s="7"/>
      <c r="AU231" s="7"/>
      <c r="AV231" s="7"/>
      <c r="AW231" s="7"/>
      <c r="AX231" s="7"/>
      <c r="AY231" s="7"/>
      <c r="AZ231" s="7"/>
      <c r="BA231" s="7"/>
      <c r="BB231" s="7"/>
      <c r="BC231" s="7"/>
      <c r="BD231" s="7"/>
      <c r="BE231" s="7"/>
      <c r="BF231" s="7"/>
      <c r="BG231" s="7"/>
    </row>
    <row r="232" customHeight="1" spans="1:59">
      <c r="A232" s="9" t="str">
        <f>IFERROR(__xludf.DUMMYFUNCTION("""COMPUTED_VALUE"""),"Daymar R05")</f>
        <v>Daymar R05</v>
      </c>
      <c r="B232" s="5" t="str">
        <f>IFERROR(__xludf.DUMMYFUNCTION("""COMPUTED_VALUE"""),"Daymar 91")</f>
        <v>Daymar 91</v>
      </c>
      <c r="C232" s="5" t="str">
        <f>IFERROR(__xludf.DUMMYFUNCTION("""COMPUTED_VALUE"""),"Daymar 38")</f>
        <v>Daymar 38</v>
      </c>
      <c r="D232" s="5" t="str">
        <f>IFERROR(__xludf.DUMMYFUNCTION("""COMPUTED_VALUE"""),"OM-5")</f>
        <v>OM-5</v>
      </c>
      <c r="E232" s="7" t="str">
        <f>IFERROR(__xludf.DUMMYFUNCTION("""COMPUTED_VALUE"""),"OM5")</f>
        <v>OM5</v>
      </c>
      <c r="F232" s="8">
        <f>IFERROR(__xludf.DUMMYFUNCTION("""COMPUTED_VALUE"""),430.028)</f>
        <v>430.028</v>
      </c>
      <c r="G232" s="8">
        <f>IFERROR(__xludf.DUMMYFUNCTION("""COMPUTED_VALUE"""),0)</f>
        <v>0</v>
      </c>
      <c r="H232" s="8">
        <f>IFERROR(__xludf.DUMMYFUNCTION("""COMPUTED_VALUE"""),0)</f>
        <v>0</v>
      </c>
      <c r="I232" s="14"/>
      <c r="J232" s="14"/>
      <c r="K232" s="14"/>
      <c r="L232" s="14"/>
      <c r="M232" s="7" t="b">
        <f>IFERROR(__xludf.DUMMYFUNCTION("""COMPUTED_VALUE"""),TRUE)</f>
        <v>1</v>
      </c>
      <c r="N232" s="10">
        <f>IFERROR(__xludf.DUMMYFUNCTION("""COMPUTED_VALUE"""),0)</f>
        <v>0</v>
      </c>
      <c r="O232" s="10">
        <f>IFERROR(__xludf.DUMMYFUNCTION("""COMPUTED_VALUE"""),0)</f>
        <v>0</v>
      </c>
      <c r="P232" s="8"/>
      <c r="Q232" s="7"/>
      <c r="R232" s="16"/>
      <c r="S232" s="17"/>
      <c r="T232" s="8"/>
      <c r="U232" s="8"/>
      <c r="V232" s="22"/>
      <c r="W232" s="12"/>
      <c r="X232" s="12"/>
      <c r="Y232" s="12"/>
      <c r="Z232" s="12"/>
      <c r="AA232" s="7"/>
      <c r="AB232" s="12"/>
      <c r="AC232" s="6"/>
      <c r="AD232" s="6"/>
      <c r="AE232" s="7"/>
      <c r="AF232" s="7"/>
      <c r="AG232" s="7"/>
      <c r="AH232" s="7"/>
      <c r="AI232" s="7"/>
      <c r="AJ232" s="7"/>
      <c r="AK232" s="7"/>
      <c r="AL232" s="7"/>
      <c r="AM232" s="7"/>
      <c r="AN232" s="7"/>
      <c r="AO232" s="6"/>
      <c r="AP232" s="7"/>
      <c r="AQ232" s="7"/>
      <c r="AR232" s="6"/>
      <c r="AS232" s="7"/>
      <c r="AT232" s="7"/>
      <c r="AU232" s="7"/>
      <c r="AV232" s="7"/>
      <c r="AW232" s="7"/>
      <c r="AX232" s="7"/>
      <c r="AY232" s="7"/>
      <c r="AZ232" s="7"/>
      <c r="BA232" s="7"/>
      <c r="BB232" s="7"/>
      <c r="BC232" s="7"/>
      <c r="BD232" s="7"/>
      <c r="BE232" s="7"/>
      <c r="BF232" s="7"/>
      <c r="BG232" s="7"/>
    </row>
    <row r="233" customHeight="1" spans="1:59">
      <c r="A233" s="9" t="str">
        <f>IFERROR(__xludf.DUMMYFUNCTION("""COMPUTED_VALUE"""),"Daymar R06")</f>
        <v>Daymar R06</v>
      </c>
      <c r="B233" s="5" t="str">
        <f>IFERROR(__xludf.DUMMYFUNCTION("""COMPUTED_VALUE"""),"Daymar 92")</f>
        <v>Daymar 92</v>
      </c>
      <c r="C233" s="5" t="str">
        <f>IFERROR(__xludf.DUMMYFUNCTION("""COMPUTED_VALUE"""),"Daymar 74")</f>
        <v>Daymar 74</v>
      </c>
      <c r="D233" s="5" t="str">
        <f>IFERROR(__xludf.DUMMYFUNCTION("""COMPUTED_VALUE"""),"OM-6")</f>
        <v>OM-6</v>
      </c>
      <c r="E233" s="7" t="str">
        <f>IFERROR(__xludf.DUMMYFUNCTION("""COMPUTED_VALUE"""),"OM6")</f>
        <v>OM6</v>
      </c>
      <c r="F233" s="8">
        <f>IFERROR(__xludf.DUMMYFUNCTION("""COMPUTED_VALUE"""),-430.028)</f>
        <v>-430.028</v>
      </c>
      <c r="G233" s="8">
        <f>IFERROR(__xludf.DUMMYFUNCTION("""COMPUTED_VALUE"""),0)</f>
        <v>0</v>
      </c>
      <c r="H233" s="8">
        <f>IFERROR(__xludf.DUMMYFUNCTION("""COMPUTED_VALUE"""),0)</f>
        <v>0</v>
      </c>
      <c r="I233" s="14"/>
      <c r="J233" s="14"/>
      <c r="K233" s="14"/>
      <c r="L233" s="14"/>
      <c r="M233" s="7" t="b">
        <f>IFERROR(__xludf.DUMMYFUNCTION("""COMPUTED_VALUE"""),TRUE)</f>
        <v>1</v>
      </c>
      <c r="N233" s="10">
        <f>IFERROR(__xludf.DUMMYFUNCTION("""COMPUTED_VALUE"""),0)</f>
        <v>0</v>
      </c>
      <c r="O233" s="10">
        <f>IFERROR(__xludf.DUMMYFUNCTION("""COMPUTED_VALUE"""),0)</f>
        <v>0</v>
      </c>
      <c r="P233" s="8"/>
      <c r="Q233" s="7"/>
      <c r="R233" s="16"/>
      <c r="S233" s="17"/>
      <c r="T233" s="8"/>
      <c r="U233" s="8"/>
      <c r="V233" s="22"/>
      <c r="W233" s="12"/>
      <c r="X233" s="12"/>
      <c r="Y233" s="12"/>
      <c r="Z233" s="12"/>
      <c r="AA233" s="7"/>
      <c r="AB233" s="12"/>
      <c r="AC233" s="6"/>
      <c r="AD233" s="6"/>
      <c r="AE233" s="7"/>
      <c r="AF233" s="7"/>
      <c r="AG233" s="7"/>
      <c r="AH233" s="7"/>
      <c r="AI233" s="7"/>
      <c r="AJ233" s="7"/>
      <c r="AK233" s="7"/>
      <c r="AL233" s="7"/>
      <c r="AM233" s="7"/>
      <c r="AN233" s="7"/>
      <c r="AO233" s="6"/>
      <c r="AP233" s="7"/>
      <c r="AQ233" s="7"/>
      <c r="AR233" s="6"/>
      <c r="AS233" s="7"/>
      <c r="AT233" s="7"/>
      <c r="AU233" s="7"/>
      <c r="AV233" s="7"/>
      <c r="AW233" s="7"/>
      <c r="AX233" s="7"/>
      <c r="AY233" s="7"/>
      <c r="AZ233" s="7"/>
      <c r="BA233" s="7"/>
      <c r="BB233" s="7"/>
      <c r="BC233" s="7"/>
      <c r="BD233" s="7"/>
      <c r="BE233" s="7"/>
      <c r="BF233" s="7"/>
      <c r="BG233" s="7"/>
    </row>
    <row r="234" customHeight="1" spans="1:59">
      <c r="A234" s="9" t="str">
        <f>IFERROR(__xludf.DUMMYFUNCTION("""COMPUTED_VALUE"""),"Daymar")</f>
        <v>Daymar</v>
      </c>
      <c r="B234" s="5" t="str">
        <f>IFERROR(__xludf.DUMMYFUNCTION("""COMPUTED_VALUE"""),"Daymar 00")</f>
        <v>Daymar 00</v>
      </c>
      <c r="C234" s="5"/>
      <c r="D234" s="5" t="str">
        <f>IFERROR(__xludf.DUMMYFUNCTION("""COMPUTED_VALUE"""),"Trading Terminals")</f>
        <v>Trading Terminals</v>
      </c>
      <c r="E234" s="7"/>
      <c r="F234" s="8"/>
      <c r="G234" s="8"/>
      <c r="H234" s="8"/>
      <c r="I234" s="14"/>
      <c r="J234" s="14"/>
      <c r="K234" s="14"/>
      <c r="L234" s="14"/>
      <c r="M234" s="7"/>
      <c r="N234" s="10"/>
      <c r="O234" s="10"/>
      <c r="P234" s="8"/>
      <c r="Q234" s="7"/>
      <c r="R234" s="16"/>
      <c r="S234" s="17"/>
      <c r="T234" s="8"/>
      <c r="U234" s="8"/>
      <c r="V234" s="22"/>
      <c r="W234" s="12"/>
      <c r="X234" s="12"/>
      <c r="Y234" s="12"/>
      <c r="Z234" s="12"/>
      <c r="AA234" s="7"/>
      <c r="AB234" s="12"/>
      <c r="AC234" s="6"/>
      <c r="AD234" s="6"/>
      <c r="AE234" s="7"/>
      <c r="AF234" s="7"/>
      <c r="AG234" s="7"/>
      <c r="AH234" s="7"/>
      <c r="AI234" s="7"/>
      <c r="AJ234" s="7"/>
      <c r="AK234" s="7"/>
      <c r="AL234" s="7"/>
      <c r="AM234" s="7"/>
      <c r="AN234" s="7"/>
      <c r="AO234" s="6"/>
      <c r="AP234" s="7"/>
      <c r="AQ234" s="7"/>
      <c r="AR234" s="6"/>
      <c r="AS234" s="7"/>
      <c r="AT234" s="7"/>
      <c r="AU234" s="7"/>
      <c r="AV234" s="7"/>
      <c r="AW234" s="7"/>
      <c r="AX234" s="7"/>
      <c r="AY234" s="7"/>
      <c r="AZ234" s="7"/>
      <c r="BA234" s="7"/>
      <c r="BB234" s="7"/>
      <c r="BC234" s="7"/>
      <c r="BD234" s="7"/>
      <c r="BE234" s="7"/>
      <c r="BF234" s="7"/>
      <c r="BG234" s="7"/>
    </row>
    <row r="235" customHeight="1" spans="1:59">
      <c r="A235" s="9" t="str">
        <f>IFERROR(__xludf.DUMMYFUNCTION("""COMPUTED_VALUE"""),"Daymar 01")</f>
        <v>Daymar 01</v>
      </c>
      <c r="B235" s="5" t="str">
        <f>IFERROR(__xludf.DUMMYFUNCTION("""COMPUTED_VALUE"""),"Daymar 01")</f>
        <v>Daymar 01</v>
      </c>
      <c r="C235" s="5" t="str">
        <f>IFERROR(__xludf.DUMMYFUNCTION("""COMPUTED_VALUE"""),"Daymar 17")</f>
        <v>Daymar 17</v>
      </c>
      <c r="D235" s="5" t="str">
        <f>IFERROR(__xludf.DUMMYFUNCTION("""COMPUTED_VALUE"""),"ArcCorp Mining Area 141 (PB)")</f>
        <v>ArcCorp Mining Area 141 (PB)</v>
      </c>
      <c r="E235" s="7" t="str">
        <f>IFERROR(__xludf.DUMMYFUNCTION("""COMPUTED_VALUE"""),"ArcCorp 141")</f>
        <v>ArcCorp 141</v>
      </c>
      <c r="F235" s="8">
        <f>IFERROR(__xludf.DUMMYFUNCTION("""COMPUTED_VALUE"""),-18.1669995110158)</f>
        <v>-18.1669995110158</v>
      </c>
      <c r="G235" s="8">
        <f>IFERROR(__xludf.DUMMYFUNCTION("""COMPUTED_VALUE"""),180.36216702036)</f>
        <v>180.36216702036</v>
      </c>
      <c r="H235" s="8">
        <f>IFERROR(__xludf.DUMMYFUNCTION("""COMPUTED_VALUE"""),-232.759931235018)</f>
        <v>-232.759931235018</v>
      </c>
      <c r="I235" s="14"/>
      <c r="J235" s="14"/>
      <c r="K235" s="14"/>
      <c r="L235" s="14"/>
      <c r="M235" s="7" t="b">
        <f>IFERROR(__xludf.DUMMYFUNCTION("""COMPUTED_VALUE"""),TRUE)</f>
        <v>1</v>
      </c>
      <c r="N235" s="10">
        <f>IFERROR(__xludf.DUMMYFUNCTION("""COMPUTED_VALUE"""),0)</f>
        <v>0</v>
      </c>
      <c r="O235" s="10">
        <f>IFERROR(__xludf.DUMMYFUNCTION("""COMPUTED_VALUE"""),0)</f>
        <v>0</v>
      </c>
      <c r="P235" s="8"/>
      <c r="Q235" s="7"/>
      <c r="R235" s="16"/>
      <c r="S235" s="17"/>
      <c r="T235" s="8"/>
      <c r="U235" s="8"/>
      <c r="V235" s="22"/>
      <c r="W235" s="12"/>
      <c r="X235" s="12"/>
      <c r="Y235" s="12"/>
      <c r="Z235" s="12"/>
      <c r="AA235" s="7"/>
      <c r="AB235" s="12"/>
      <c r="AC235" s="6"/>
      <c r="AD235" s="6"/>
      <c r="AE235" s="7"/>
      <c r="AF235" s="7"/>
      <c r="AG235" s="7"/>
      <c r="AH235" s="7"/>
      <c r="AI235" s="7"/>
      <c r="AJ235" s="7"/>
      <c r="AK235" s="7"/>
      <c r="AL235" s="7"/>
      <c r="AM235" s="7"/>
      <c r="AN235" s="7"/>
      <c r="AO235" s="6"/>
      <c r="AP235" s="7"/>
      <c r="AQ235" s="7"/>
      <c r="AR235" s="6"/>
      <c r="AS235" s="7"/>
      <c r="AT235" s="7"/>
      <c r="AU235" s="7"/>
      <c r="AV235" s="7"/>
      <c r="AW235" s="7"/>
      <c r="AX235" s="7"/>
      <c r="AY235" s="7"/>
      <c r="AZ235" s="7"/>
      <c r="BA235" s="7"/>
      <c r="BB235" s="7"/>
      <c r="BC235" s="7"/>
      <c r="BD235" s="7"/>
      <c r="BE235" s="7"/>
      <c r="BF235" s="7"/>
      <c r="BG235" s="7"/>
    </row>
    <row r="236" customHeight="1" spans="1:59">
      <c r="A236" s="9" t="str">
        <f>IFERROR(__xludf.DUMMYFUNCTION("""COMPUTED_VALUE"""),"Daymar 02")</f>
        <v>Daymar 02</v>
      </c>
      <c r="B236" s="5" t="str">
        <f>IFERROR(__xludf.DUMMYFUNCTION("""COMPUTED_VALUE"""),"Daymar 02")</f>
        <v>Daymar 02</v>
      </c>
      <c r="C236" s="5" t="str">
        <f>IFERROR(__xludf.DUMMYFUNCTION("""COMPUTED_VALUE"""),"Daymar 50")</f>
        <v>Daymar 50</v>
      </c>
      <c r="D236" s="5" t="str">
        <f>IFERROR(__xludf.DUMMYFUNCTION("""COMPUTED_VALUE"""),"Bountiful Harvest Hydroponics")</f>
        <v>Bountiful Harvest Hydroponics</v>
      </c>
      <c r="E236" s="7" t="str">
        <f>IFERROR(__xludf.DUMMYFUNCTION("""COMPUTED_VALUE"""),"Bountiful")</f>
        <v>Bountiful</v>
      </c>
      <c r="F236" s="8">
        <f>IFERROR(__xludf.DUMMYFUNCTION("""COMPUTED_VALUE"""),57.552271237)</f>
        <v>57.552271237</v>
      </c>
      <c r="G236" s="8">
        <f>IFERROR(__xludf.DUMMYFUNCTION("""COMPUTED_VALUE"""),-92.266994923)</f>
        <v>-92.266994923</v>
      </c>
      <c r="H236" s="8">
        <f>IFERROR(__xludf.DUMMYFUNCTION("""COMPUTED_VALUE"""),-274.246351880999)</f>
        <v>-274.246351880999</v>
      </c>
      <c r="I236" s="14"/>
      <c r="J236" s="14"/>
      <c r="K236" s="14"/>
      <c r="L236" s="14"/>
      <c r="M236" s="7" t="b">
        <f>IFERROR(__xludf.DUMMYFUNCTION("""COMPUTED_VALUE"""),TRUE)</f>
        <v>1</v>
      </c>
      <c r="N236" s="10">
        <f>IFERROR(__xludf.DUMMYFUNCTION("""COMPUTED_VALUE"""),0)</f>
        <v>0</v>
      </c>
      <c r="O236" s="10">
        <f>IFERROR(__xludf.DUMMYFUNCTION("""COMPUTED_VALUE"""),0)</f>
        <v>0</v>
      </c>
      <c r="P236" s="8"/>
      <c r="Q236" s="7"/>
      <c r="R236" s="16"/>
      <c r="S236" s="17"/>
      <c r="T236" s="8"/>
      <c r="U236" s="8"/>
      <c r="V236" s="22"/>
      <c r="W236" s="12"/>
      <c r="X236" s="12"/>
      <c r="Y236" s="12"/>
      <c r="Z236" s="12"/>
      <c r="AA236" s="7"/>
      <c r="AB236" s="12"/>
      <c r="AC236" s="6"/>
      <c r="AD236" s="6"/>
      <c r="AE236" s="7"/>
      <c r="AF236" s="7"/>
      <c r="AG236" s="7"/>
      <c r="AH236" s="7"/>
      <c r="AI236" s="7"/>
      <c r="AJ236" s="7"/>
      <c r="AK236" s="7"/>
      <c r="AL236" s="7"/>
      <c r="AM236" s="7"/>
      <c r="AN236" s="7"/>
      <c r="AO236" s="6"/>
      <c r="AP236" s="7"/>
      <c r="AQ236" s="7"/>
      <c r="AR236" s="6"/>
      <c r="AS236" s="7"/>
      <c r="AT236" s="7"/>
      <c r="AU236" s="7"/>
      <c r="AV236" s="7"/>
      <c r="AW236" s="7"/>
      <c r="AX236" s="7"/>
      <c r="AY236" s="7"/>
      <c r="AZ236" s="7"/>
      <c r="BA236" s="7"/>
      <c r="BB236" s="7"/>
      <c r="BC236" s="7"/>
      <c r="BD236" s="7"/>
      <c r="BE236" s="7"/>
      <c r="BF236" s="7"/>
      <c r="BG236" s="7"/>
    </row>
    <row r="237" customHeight="1" spans="1:59">
      <c r="A237" s="9" t="str">
        <f>IFERROR(__xludf.DUMMYFUNCTION("""COMPUTED_VALUE"""),"Daymar 03")</f>
        <v>Daymar 03</v>
      </c>
      <c r="B237" s="5" t="str">
        <f>IFERROR(__xludf.DUMMYFUNCTION("""COMPUTED_VALUE"""),"Daymar 03")</f>
        <v>Daymar 03</v>
      </c>
      <c r="C237" s="5" t="str">
        <f>IFERROR(__xludf.DUMMYFUNCTION("""COMPUTED_VALUE"""),"Daymar 48")</f>
        <v>Daymar 48</v>
      </c>
      <c r="D237" s="5" t="str">
        <f>IFERROR(__xludf.DUMMYFUNCTION("""COMPUTED_VALUE"""),"Kudre Ore")</f>
        <v>Kudre Ore</v>
      </c>
      <c r="E237" s="7" t="str">
        <f>IFERROR(__xludf.DUMMYFUNCTION("""COMPUTED_VALUE"""),"Kudre")</f>
        <v>Kudre</v>
      </c>
      <c r="F237" s="8">
        <f>IFERROR(__xludf.DUMMYFUNCTION("""COMPUTED_VALUE"""),146.617154182308)</f>
        <v>146.617154182308</v>
      </c>
      <c r="G237" s="8">
        <f>IFERROR(__xludf.DUMMYFUNCTION("""COMPUTED_VALUE"""),-177.093294377513)</f>
        <v>-177.093294377513</v>
      </c>
      <c r="H237" s="8">
        <f>IFERROR(__xludf.DUMMYFUNCTION("""COMPUTED_VALUE"""),-184.862263017951)</f>
        <v>-184.862263017951</v>
      </c>
      <c r="I237" s="14"/>
      <c r="J237" s="14"/>
      <c r="K237" s="14"/>
      <c r="L237" s="14"/>
      <c r="M237" s="7" t="b">
        <f>IFERROR(__xludf.DUMMYFUNCTION("""COMPUTED_VALUE"""),TRUE)</f>
        <v>1</v>
      </c>
      <c r="N237" s="10">
        <f>IFERROR(__xludf.DUMMYFUNCTION("""COMPUTED_VALUE"""),0)</f>
        <v>0</v>
      </c>
      <c r="O237" s="10">
        <f>IFERROR(__xludf.DUMMYFUNCTION("""COMPUTED_VALUE"""),0)</f>
        <v>0</v>
      </c>
      <c r="P237" s="8"/>
      <c r="Q237" s="7"/>
      <c r="R237" s="16"/>
      <c r="S237" s="17"/>
      <c r="T237" s="8"/>
      <c r="U237" s="8"/>
      <c r="V237" s="22"/>
      <c r="W237" s="12"/>
      <c r="X237" s="12"/>
      <c r="Y237" s="12"/>
      <c r="Z237" s="12"/>
      <c r="AA237" s="7"/>
      <c r="AB237" s="12"/>
      <c r="AC237" s="6"/>
      <c r="AD237" s="6"/>
      <c r="AE237" s="7"/>
      <c r="AF237" s="7"/>
      <c r="AG237" s="7"/>
      <c r="AH237" s="7"/>
      <c r="AI237" s="7"/>
      <c r="AJ237" s="7"/>
      <c r="AK237" s="7"/>
      <c r="AL237" s="7"/>
      <c r="AM237" s="7"/>
      <c r="AN237" s="7"/>
      <c r="AO237" s="6"/>
      <c r="AP237" s="7"/>
      <c r="AQ237" s="7"/>
      <c r="AR237" s="6"/>
      <c r="AS237" s="7"/>
      <c r="AT237" s="7"/>
      <c r="AU237" s="7"/>
      <c r="AV237" s="7"/>
      <c r="AW237" s="7"/>
      <c r="AX237" s="7"/>
      <c r="AY237" s="7"/>
      <c r="AZ237" s="7"/>
      <c r="BA237" s="7"/>
      <c r="BB237" s="7"/>
      <c r="BC237" s="7"/>
      <c r="BD237" s="7"/>
      <c r="BE237" s="7"/>
      <c r="BF237" s="7"/>
      <c r="BG237" s="7"/>
    </row>
    <row r="238" customHeight="1" spans="1:59">
      <c r="A238" s="9" t="str">
        <f>IFERROR(__xludf.DUMMYFUNCTION("""COMPUTED_VALUE"""),"Daymar 04")</f>
        <v>Daymar 04</v>
      </c>
      <c r="B238" s="5" t="str">
        <f>IFERROR(__xludf.DUMMYFUNCTION("""COMPUTED_VALUE"""),"Daymar 04")</f>
        <v>Daymar 04</v>
      </c>
      <c r="C238" s="5" t="str">
        <f>IFERROR(__xludf.DUMMYFUNCTION("""COMPUTED_VALUE"""),"Daymar 45")</f>
        <v>Daymar 45</v>
      </c>
      <c r="D238" s="5" t="str">
        <f>IFERROR(__xludf.DUMMYFUNCTION("""COMPUTED_VALUE"""),"Shubin Mining Facility SCD-1 (PB)")</f>
        <v>Shubin Mining Facility SCD-1 (PB)</v>
      </c>
      <c r="E238" s="7" t="str">
        <f>IFERROR(__xludf.DUMMYFUNCTION("""COMPUTED_VALUE"""),"SCD1")</f>
        <v>SCD1</v>
      </c>
      <c r="F238" s="8">
        <f>IFERROR(__xludf.DUMMYFUNCTION("""COMPUTED_VALUE"""),126.025172040445)</f>
        <v>126.025172040445</v>
      </c>
      <c r="G238" s="8">
        <f>IFERROR(__xludf.DUMMYFUNCTION("""COMPUTED_VALUE"""),-149.58146894637)</f>
        <v>-149.58146894637</v>
      </c>
      <c r="H238" s="8">
        <f>IFERROR(__xludf.DUMMYFUNCTION("""COMPUTED_VALUE"""),221.25334404046)</f>
        <v>221.25334404046</v>
      </c>
      <c r="I238" s="14"/>
      <c r="J238" s="14"/>
      <c r="K238" s="14"/>
      <c r="L238" s="14"/>
      <c r="M238" s="7" t="b">
        <f>IFERROR(__xludf.DUMMYFUNCTION("""COMPUTED_VALUE"""),TRUE)</f>
        <v>1</v>
      </c>
      <c r="N238" s="10">
        <f>IFERROR(__xludf.DUMMYFUNCTION("""COMPUTED_VALUE"""),0)</f>
        <v>0</v>
      </c>
      <c r="O238" s="10">
        <f>IFERROR(__xludf.DUMMYFUNCTION("""COMPUTED_VALUE"""),0)</f>
        <v>0</v>
      </c>
      <c r="P238" s="8"/>
      <c r="Q238" s="7"/>
      <c r="R238" s="16"/>
      <c r="S238" s="17"/>
      <c r="T238" s="8"/>
      <c r="U238" s="8"/>
      <c r="V238" s="22"/>
      <c r="W238" s="12"/>
      <c r="X238" s="12"/>
      <c r="Y238" s="12"/>
      <c r="Z238" s="12"/>
      <c r="AA238" s="7"/>
      <c r="AB238" s="12"/>
      <c r="AC238" s="6"/>
      <c r="AD238" s="6"/>
      <c r="AE238" s="7"/>
      <c r="AF238" s="7"/>
      <c r="AG238" s="7"/>
      <c r="AH238" s="7"/>
      <c r="AI238" s="7"/>
      <c r="AJ238" s="7"/>
      <c r="AK238" s="7"/>
      <c r="AL238" s="7"/>
      <c r="AM238" s="7"/>
      <c r="AN238" s="7"/>
      <c r="AO238" s="6"/>
      <c r="AP238" s="7"/>
      <c r="AQ238" s="7"/>
      <c r="AR238" s="6"/>
      <c r="AS238" s="7"/>
      <c r="AT238" s="7"/>
      <c r="AU238" s="7"/>
      <c r="AV238" s="7"/>
      <c r="AW238" s="7"/>
      <c r="AX238" s="7"/>
      <c r="AY238" s="7"/>
      <c r="AZ238" s="7"/>
      <c r="BA238" s="7"/>
      <c r="BB238" s="7"/>
      <c r="BC238" s="7"/>
      <c r="BD238" s="7"/>
      <c r="BE238" s="7"/>
      <c r="BF238" s="7"/>
      <c r="BG238" s="7"/>
    </row>
    <row r="239" customHeight="1" spans="1:59">
      <c r="A239" s="9" t="str">
        <f>IFERROR(__xludf.DUMMYFUNCTION("""COMPUTED_VALUE"""),"Daymar 05")</f>
        <v>Daymar 05</v>
      </c>
      <c r="B239" s="5" t="str">
        <f>IFERROR(__xludf.DUMMYFUNCTION("""COMPUTED_VALUE"""),"Daymar 05")</f>
        <v>Daymar 05</v>
      </c>
      <c r="C239" s="5" t="str">
        <f>IFERROR(__xludf.DUMMYFUNCTION("""COMPUTED_VALUE"""),"Daymar 65")</f>
        <v>Daymar 65</v>
      </c>
      <c r="D239" s="5" t="str">
        <f>IFERROR(__xludf.DUMMYFUNCTION("""COMPUTED_VALUE"""),"Brio's Breaker Yard")</f>
        <v>Brio's Breaker Yard</v>
      </c>
      <c r="E239" s="6" t="str">
        <f>IFERROR(__xludf.DUMMYFUNCTION("""COMPUTED_VALUE"""),"Brio")</f>
        <v>Brio</v>
      </c>
      <c r="F239" s="10">
        <f>IFERROR(__xludf.DUMMYFUNCTION("""COMPUTED_VALUE"""),-176.683380383)</f>
        <v>-176.683380383</v>
      </c>
      <c r="G239" s="10">
        <f>IFERROR(__xludf.DUMMYFUNCTION("""COMPUTED_VALUE"""),-161.257379913)</f>
        <v>-161.257379913</v>
      </c>
      <c r="H239" s="10">
        <f>IFERROR(__xludf.DUMMYFUNCTION("""COMPUTED_VALUE"""),173.852255297)</f>
        <v>173.852255297</v>
      </c>
      <c r="I239" s="13"/>
      <c r="J239" s="13"/>
      <c r="K239" s="13"/>
      <c r="L239" s="13"/>
      <c r="M239" s="7" t="b">
        <f>IFERROR(__xludf.DUMMYFUNCTION("""COMPUTED_VALUE"""),TRUE)</f>
        <v>1</v>
      </c>
      <c r="N239" s="10">
        <f>IFERROR(__xludf.DUMMYFUNCTION("""COMPUTED_VALUE"""),0)</f>
        <v>0</v>
      </c>
      <c r="O239" s="10">
        <f>IFERROR(__xludf.DUMMYFUNCTION("""COMPUTED_VALUE"""),0)</f>
        <v>0</v>
      </c>
      <c r="P239" s="10"/>
      <c r="Q239" s="6"/>
      <c r="R239" s="16"/>
      <c r="S239" s="17"/>
      <c r="T239" s="10"/>
      <c r="U239" s="10"/>
      <c r="V239" s="22"/>
      <c r="W239" s="12"/>
      <c r="X239" s="12"/>
      <c r="Y239" s="12"/>
      <c r="Z239" s="12"/>
      <c r="AA239" s="6"/>
      <c r="AB239" s="12"/>
      <c r="AC239" s="6"/>
      <c r="AD239" s="6"/>
      <c r="AE239" s="7"/>
      <c r="AF239" s="7"/>
      <c r="AG239" s="7"/>
      <c r="AH239" s="7"/>
      <c r="AI239" s="7"/>
      <c r="AJ239" s="7"/>
      <c r="AK239" s="7"/>
      <c r="AL239" s="7"/>
      <c r="AM239" s="7"/>
      <c r="AN239" s="7"/>
      <c r="AO239" s="6"/>
      <c r="AP239" s="7"/>
      <c r="AQ239" s="7"/>
      <c r="AR239" s="6"/>
      <c r="AS239" s="6"/>
      <c r="AT239" s="6"/>
      <c r="AU239" s="6"/>
      <c r="AV239" s="6"/>
      <c r="AW239" s="6"/>
      <c r="AX239" s="6"/>
      <c r="AY239" s="6"/>
      <c r="AZ239" s="6"/>
      <c r="BA239" s="6"/>
      <c r="BB239" s="6"/>
      <c r="BC239" s="6"/>
      <c r="BD239" s="6"/>
      <c r="BE239" s="6"/>
      <c r="BF239" s="6"/>
      <c r="BG239" s="6"/>
    </row>
    <row r="240" customHeight="1" spans="1:59">
      <c r="A240" s="9" t="str">
        <f>IFERROR(__xludf.DUMMYFUNCTION("""COMPUTED_VALUE"""),"Daymar")</f>
        <v>Daymar</v>
      </c>
      <c r="B240" s="5" t="str">
        <f>IFERROR(__xludf.DUMMYFUNCTION("""COMPUTED_VALUE"""),"Daymar")</f>
        <v>Daymar</v>
      </c>
      <c r="C240" s="5" t="str">
        <f>IFERROR(__xludf.DUMMYFUNCTION("""COMPUTED_VALUE"""),"Daymar 26")</f>
        <v>Daymar 26</v>
      </c>
      <c r="D240" s="5" t="str">
        <f>IFERROR(__xludf.DUMMYFUNCTION("""COMPUTED_VALUE"""),"Jumptown")</f>
        <v>Jumptown</v>
      </c>
      <c r="E240" s="6" t="str">
        <f>IFERROR(__xludf.DUMMYFUNCTION("""COMPUTED_VALUE"""),"Jumptown")</f>
        <v>Jumptown</v>
      </c>
      <c r="F240" s="10">
        <f>IFERROR(__xludf.DUMMYFUNCTION("""COMPUTED_VALUE"""),80.43911474)</f>
        <v>80.43911474</v>
      </c>
      <c r="G240" s="10">
        <f>IFERROR(__xludf.DUMMYFUNCTION("""COMPUTED_VALUE"""),242.715634598)</f>
        <v>242.715634598</v>
      </c>
      <c r="H240" s="10">
        <f>IFERROR(__xludf.DUMMYFUNCTION("""COMPUTED_VALUE"""),-147.633537765)</f>
        <v>-147.633537765</v>
      </c>
      <c r="I240" s="13"/>
      <c r="J240" s="13"/>
      <c r="K240" s="13"/>
      <c r="L240" s="13"/>
      <c r="M240" s="7" t="b">
        <f>IFERROR(__xludf.DUMMYFUNCTION("""COMPUTED_VALUE"""),FALSE)</f>
        <v>0</v>
      </c>
      <c r="N240" s="10">
        <f>IFERROR(__xludf.DUMMYFUNCTION("""COMPUTED_VALUE"""),0)</f>
        <v>0</v>
      </c>
      <c r="O240" s="10">
        <f>IFERROR(__xludf.DUMMYFUNCTION("""COMPUTED_VALUE"""),0)</f>
        <v>0</v>
      </c>
      <c r="P240" s="10"/>
      <c r="Q240" s="6"/>
      <c r="R240" s="16"/>
      <c r="S240" s="17"/>
      <c r="T240" s="10"/>
      <c r="U240" s="10"/>
      <c r="V240" s="22"/>
      <c r="W240" s="12"/>
      <c r="X240" s="12"/>
      <c r="Y240" s="12"/>
      <c r="Z240" s="12"/>
      <c r="AA240" s="6"/>
      <c r="AB240" s="12"/>
      <c r="AC240" s="6"/>
      <c r="AD240" s="6"/>
      <c r="AE240" s="7"/>
      <c r="AF240" s="7"/>
      <c r="AG240" s="7"/>
      <c r="AH240" s="7"/>
      <c r="AI240" s="7"/>
      <c r="AJ240" s="7"/>
      <c r="AK240" s="7"/>
      <c r="AL240" s="7"/>
      <c r="AM240" s="7"/>
      <c r="AN240" s="7"/>
      <c r="AO240" s="6"/>
      <c r="AP240" s="7"/>
      <c r="AQ240" s="7"/>
      <c r="AR240" s="6"/>
      <c r="AS240" s="6"/>
      <c r="AT240" s="6"/>
      <c r="AU240" s="6"/>
      <c r="AV240" s="6"/>
      <c r="AW240" s="6"/>
      <c r="AX240" s="6"/>
      <c r="AY240" s="6"/>
      <c r="AZ240" s="6"/>
      <c r="BA240" s="6"/>
      <c r="BB240" s="6"/>
      <c r="BC240" s="6"/>
      <c r="BD240" s="6"/>
      <c r="BE240" s="6"/>
      <c r="BF240" s="6"/>
      <c r="BG240" s="6"/>
    </row>
    <row r="241" customHeight="1" spans="1:59">
      <c r="A241" s="9" t="str">
        <f>IFERROR(__xludf.DUMMYFUNCTION("""COMPUTED_VALUE"""),"Daymar 06")</f>
        <v>Daymar 06</v>
      </c>
      <c r="B241" s="5" t="str">
        <f>IFERROR(__xludf.DUMMYFUNCTION("""COMPUTED_VALUE"""),"Daymar 06")</f>
        <v>Daymar 06</v>
      </c>
      <c r="C241" s="5" t="str">
        <f>IFERROR(__xludf.DUMMYFUNCTION("""COMPUTED_VALUE"""),"Daymar 18")</f>
        <v>Daymar 18</v>
      </c>
      <c r="D241" s="5" t="str">
        <f>IFERROR(__xludf.DUMMYFUNCTION("""COMPUTED_VALUE"""),"Daymar Stash House (Nuen Waste Management)")</f>
        <v>Daymar Stash House (Nuen Waste Management)</v>
      </c>
      <c r="E241" s="6" t="str">
        <f>IFERROR(__xludf.DUMMYFUNCTION("""COMPUTED_VALUE"""),"Stash")</f>
        <v>Stash</v>
      </c>
      <c r="F241" s="10">
        <f>IFERROR(__xludf.DUMMYFUNCTION("""COMPUTED_VALUE"""),-18.9432612462583)</f>
        <v>-18.9432612462583</v>
      </c>
      <c r="G241" s="10">
        <f>IFERROR(__xludf.DUMMYFUNCTION("""COMPUTED_VALUE"""),293.340930183354)</f>
        <v>293.340930183354</v>
      </c>
      <c r="H241" s="10">
        <f>IFERROR(__xludf.DUMMYFUNCTION("""COMPUTED_VALUE"""),25.4783997551309)</f>
        <v>25.4783997551309</v>
      </c>
      <c r="I241" s="13"/>
      <c r="J241" s="13"/>
      <c r="K241" s="13"/>
      <c r="L241" s="13"/>
      <c r="M241" s="7" t="b">
        <f>IFERROR(__xludf.DUMMYFUNCTION("""COMPUTED_VALUE"""),TRUE)</f>
        <v>1</v>
      </c>
      <c r="N241" s="10">
        <f>IFERROR(__xludf.DUMMYFUNCTION("""COMPUTED_VALUE"""),0)</f>
        <v>0</v>
      </c>
      <c r="O241" s="10">
        <f>IFERROR(__xludf.DUMMYFUNCTION("""COMPUTED_VALUE"""),0)</f>
        <v>0</v>
      </c>
      <c r="P241" s="10"/>
      <c r="Q241" s="6"/>
      <c r="R241" s="16"/>
      <c r="S241" s="17"/>
      <c r="T241" s="10"/>
      <c r="U241" s="10"/>
      <c r="V241" s="22"/>
      <c r="W241" s="12"/>
      <c r="X241" s="12"/>
      <c r="Y241" s="12"/>
      <c r="Z241" s="12"/>
      <c r="AA241" s="6"/>
      <c r="AB241" s="12"/>
      <c r="AC241" s="6"/>
      <c r="AD241" s="6"/>
      <c r="AE241" s="7"/>
      <c r="AF241" s="7"/>
      <c r="AG241" s="7"/>
      <c r="AH241" s="7"/>
      <c r="AI241" s="7"/>
      <c r="AJ241" s="7"/>
      <c r="AK241" s="7"/>
      <c r="AL241" s="7"/>
      <c r="AM241" s="7"/>
      <c r="AN241" s="7"/>
      <c r="AO241" s="6"/>
      <c r="AP241" s="7"/>
      <c r="AQ241" s="7"/>
      <c r="AR241" s="6"/>
      <c r="AS241" s="6"/>
      <c r="AT241" s="6"/>
      <c r="AU241" s="6"/>
      <c r="AV241" s="6"/>
      <c r="AW241" s="6"/>
      <c r="AX241" s="6"/>
      <c r="AY241" s="6"/>
      <c r="AZ241" s="6"/>
      <c r="BA241" s="6"/>
      <c r="BB241" s="6"/>
      <c r="BC241" s="6"/>
      <c r="BD241" s="6"/>
      <c r="BE241" s="6"/>
      <c r="BF241" s="6"/>
      <c r="BG241" s="6"/>
    </row>
    <row r="242" customHeight="1" spans="1:59">
      <c r="A242" s="9" t="str">
        <f>IFERROR(__xludf.DUMMYFUNCTION("""COMPUTED_VALUE"""),"Daymar")</f>
        <v>Daymar</v>
      </c>
      <c r="B242" s="5" t="str">
        <f>IFERROR(__xludf.DUMMYFUNCTION("""COMPUTED_VALUE"""),"Daymar 08")</f>
        <v>Daymar 08</v>
      </c>
      <c r="C242" s="5"/>
      <c r="D242" s="5" t="str">
        <f>IFERROR(__xludf.DUMMYFUNCTION("""COMPUTED_VALUE"""),"Underground Bunker Facilities")</f>
        <v>Underground Bunker Facilities</v>
      </c>
      <c r="E242" s="6"/>
      <c r="F242" s="10"/>
      <c r="G242" s="10"/>
      <c r="H242" s="10"/>
      <c r="I242" s="13"/>
      <c r="J242" s="13"/>
      <c r="K242" s="13"/>
      <c r="L242" s="13"/>
      <c r="M242" s="7"/>
      <c r="N242" s="10"/>
      <c r="O242" s="10"/>
      <c r="P242" s="10"/>
      <c r="Q242" s="6"/>
      <c r="R242" s="16"/>
      <c r="S242" s="17"/>
      <c r="T242" s="10"/>
      <c r="U242" s="10"/>
      <c r="V242" s="22"/>
      <c r="W242" s="12"/>
      <c r="X242" s="12"/>
      <c r="Y242" s="12"/>
      <c r="Z242" s="12"/>
      <c r="AA242" s="6"/>
      <c r="AB242" s="12"/>
      <c r="AC242" s="6"/>
      <c r="AD242" s="6"/>
      <c r="AE242" s="7"/>
      <c r="AF242" s="7"/>
      <c r="AG242" s="7"/>
      <c r="AH242" s="7"/>
      <c r="AI242" s="7"/>
      <c r="AJ242" s="7"/>
      <c r="AK242" s="7"/>
      <c r="AL242" s="7"/>
      <c r="AM242" s="7"/>
      <c r="AN242" s="7"/>
      <c r="AO242" s="6"/>
      <c r="AP242" s="7"/>
      <c r="AQ242" s="7"/>
      <c r="AR242" s="6"/>
      <c r="AS242" s="6"/>
      <c r="AT242" s="6"/>
      <c r="AU242" s="6"/>
      <c r="AV242" s="6"/>
      <c r="AW242" s="6"/>
      <c r="AX242" s="6"/>
      <c r="AY242" s="6"/>
      <c r="AZ242" s="6"/>
      <c r="BA242" s="6"/>
      <c r="BB242" s="6"/>
      <c r="BC242" s="6"/>
      <c r="BD242" s="6"/>
      <c r="BE242" s="6"/>
      <c r="BF242" s="6"/>
      <c r="BG242" s="6"/>
    </row>
    <row r="243" customHeight="1" spans="1:59">
      <c r="A243" s="9" t="str">
        <f>IFERROR(__xludf.DUMMYFUNCTION("""COMPUTED_VALUE"""),"Daymar 07")</f>
        <v>Daymar 07</v>
      </c>
      <c r="B243" s="5" t="str">
        <f>IFERROR(__xludf.DUMMYFUNCTION("""COMPUTED_VALUE"""),"Daymar 09")</f>
        <v>Daymar 09</v>
      </c>
      <c r="C243" s="5" t="str">
        <f>IFERROR(__xludf.DUMMYFUNCTION("""COMPUTED_VALUE"""),"Daymar 33")</f>
        <v>Daymar 33</v>
      </c>
      <c r="D243" s="5" t="str">
        <f>IFERROR(__xludf.DUMMYFUNCTION("""COMPUTED_VALUE"""),"NT-999-XVI")</f>
        <v>NT-999-XVI</v>
      </c>
      <c r="E243" s="6" t="str">
        <f>IFERROR(__xludf.DUMMYFUNCTION("""COMPUTED_VALUE"""),"NT999XVI")</f>
        <v>NT999XVI</v>
      </c>
      <c r="F243" s="10">
        <f>IFERROR(__xludf.DUMMYFUNCTION("""COMPUTED_VALUE"""),250.895143122999)</f>
        <v>250.895143122999</v>
      </c>
      <c r="G243" s="10">
        <f>IFERROR(__xludf.DUMMYFUNCTION("""COMPUTED_VALUE"""),154.055329269)</f>
        <v>154.055329269</v>
      </c>
      <c r="H243" s="10">
        <f>IFERROR(__xludf.DUMMYFUNCTION("""COMPUTED_VALUE"""),-24.262749506)</f>
        <v>-24.262749506</v>
      </c>
      <c r="I243" s="13"/>
      <c r="J243" s="13"/>
      <c r="K243" s="13"/>
      <c r="L243" s="13"/>
      <c r="M243" s="7" t="b">
        <f>IFERROR(__xludf.DUMMYFUNCTION("""COMPUTED_VALUE"""),TRUE)</f>
        <v>1</v>
      </c>
      <c r="N243" s="10">
        <f>IFERROR(__xludf.DUMMYFUNCTION("""COMPUTED_VALUE"""),0)</f>
        <v>0</v>
      </c>
      <c r="O243" s="10">
        <f>IFERROR(__xludf.DUMMYFUNCTION("""COMPUTED_VALUE"""),0)</f>
        <v>0</v>
      </c>
      <c r="P243" s="10"/>
      <c r="Q243" s="6"/>
      <c r="R243" s="16"/>
      <c r="S243" s="17"/>
      <c r="T243" s="10"/>
      <c r="U243" s="10"/>
      <c r="V243" s="22"/>
      <c r="W243" s="12"/>
      <c r="X243" s="12"/>
      <c r="Y243" s="12"/>
      <c r="Z243" s="12"/>
      <c r="AA243" s="6"/>
      <c r="AB243" s="12"/>
      <c r="AC243" s="6"/>
      <c r="AD243" s="6"/>
      <c r="AE243" s="7"/>
      <c r="AF243" s="7"/>
      <c r="AG243" s="7"/>
      <c r="AH243" s="7"/>
      <c r="AI243" s="7"/>
      <c r="AJ243" s="7"/>
      <c r="AK243" s="7"/>
      <c r="AL243" s="7"/>
      <c r="AM243" s="7"/>
      <c r="AN243" s="7"/>
      <c r="AO243" s="6"/>
      <c r="AP243" s="7"/>
      <c r="AQ243" s="7"/>
      <c r="AR243" s="6"/>
      <c r="AS243" s="6"/>
      <c r="AT243" s="6"/>
      <c r="AU243" s="6"/>
      <c r="AV243" s="6"/>
      <c r="AW243" s="6"/>
      <c r="AX243" s="6"/>
      <c r="AY243" s="6"/>
      <c r="AZ243" s="6"/>
      <c r="BA243" s="6"/>
      <c r="BB243" s="6"/>
      <c r="BC243" s="6"/>
      <c r="BD243" s="6"/>
      <c r="BE243" s="6"/>
      <c r="BF243" s="6"/>
      <c r="BG243" s="6"/>
    </row>
    <row r="244" customHeight="1" spans="1:59">
      <c r="A244" s="9" t="str">
        <f>IFERROR(__xludf.DUMMYFUNCTION("""COMPUTED_VALUE"""),"Daymar 08")</f>
        <v>Daymar 08</v>
      </c>
      <c r="B244" s="5" t="str">
        <f>IFERROR(__xludf.DUMMYFUNCTION("""COMPUTED_VALUE"""),"Daymar 10")</f>
        <v>Daymar 10</v>
      </c>
      <c r="C244" s="5" t="str">
        <f>IFERROR(__xludf.DUMMYFUNCTION("""COMPUTED_VALUE"""),"Daymar 37")</f>
        <v>Daymar 37</v>
      </c>
      <c r="D244" s="5" t="str">
        <f>IFERROR(__xludf.DUMMYFUNCTION("""COMPUTED_VALUE"""),"Security Post Moluto")</f>
        <v>Security Post Moluto</v>
      </c>
      <c r="E244" s="6" t="str">
        <f>IFERROR(__xludf.DUMMYFUNCTION("""COMPUTED_VALUE"""),"Moluto")</f>
        <v>Moluto</v>
      </c>
      <c r="F244" s="10">
        <f>IFERROR(__xludf.DUMMYFUNCTION("""COMPUTED_VALUE"""),188.858126624)</f>
        <v>188.858126624</v>
      </c>
      <c r="G244" s="10">
        <f>IFERROR(__xludf.DUMMYFUNCTION("""COMPUTED_VALUE"""),33.74640769)</f>
        <v>33.74640769</v>
      </c>
      <c r="H244" s="10">
        <f>IFERROR(__xludf.DUMMYFUNCTION("""COMPUTED_VALUE"""),-224.162867624)</f>
        <v>-224.162867624</v>
      </c>
      <c r="I244" s="13"/>
      <c r="J244" s="13"/>
      <c r="K244" s="13"/>
      <c r="L244" s="13"/>
      <c r="M244" s="7" t="b">
        <f>IFERROR(__xludf.DUMMYFUNCTION("""COMPUTED_VALUE"""),TRUE)</f>
        <v>1</v>
      </c>
      <c r="N244" s="10">
        <f>IFERROR(__xludf.DUMMYFUNCTION("""COMPUTED_VALUE"""),0)</f>
        <v>0</v>
      </c>
      <c r="O244" s="10">
        <f>IFERROR(__xludf.DUMMYFUNCTION("""COMPUTED_VALUE"""),0)</f>
        <v>0</v>
      </c>
      <c r="P244" s="10"/>
      <c r="Q244" s="6"/>
      <c r="R244" s="16"/>
      <c r="S244" s="17"/>
      <c r="T244" s="10"/>
      <c r="U244" s="10"/>
      <c r="V244" s="22"/>
      <c r="W244" s="12"/>
      <c r="X244" s="12"/>
      <c r="Y244" s="12"/>
      <c r="Z244" s="12"/>
      <c r="AA244" s="6"/>
      <c r="AB244" s="12"/>
      <c r="AC244" s="6"/>
      <c r="AD244" s="6"/>
      <c r="AE244" s="7"/>
      <c r="AF244" s="7"/>
      <c r="AG244" s="7"/>
      <c r="AH244" s="7"/>
      <c r="AI244" s="7"/>
      <c r="AJ244" s="7"/>
      <c r="AK244" s="7"/>
      <c r="AL244" s="7"/>
      <c r="AM244" s="7"/>
      <c r="AN244" s="7"/>
      <c r="AO244" s="6"/>
      <c r="AP244" s="7"/>
      <c r="AQ244" s="7"/>
      <c r="AR244" s="6"/>
      <c r="AS244" s="6"/>
      <c r="AT244" s="6"/>
      <c r="AU244" s="6"/>
      <c r="AV244" s="6"/>
      <c r="AW244" s="6"/>
      <c r="AX244" s="6"/>
      <c r="AY244" s="6"/>
      <c r="AZ244" s="6"/>
      <c r="BA244" s="6"/>
      <c r="BB244" s="6"/>
      <c r="BC244" s="6"/>
      <c r="BD244" s="6"/>
      <c r="BE244" s="6"/>
      <c r="BF244" s="6"/>
      <c r="BG244" s="6"/>
    </row>
    <row r="245" customHeight="1" spans="1:59">
      <c r="A245" s="9" t="str">
        <f>IFERROR(__xludf.DUMMYFUNCTION("""COMPUTED_VALUE"""),"Daymar 09")</f>
        <v>Daymar 09</v>
      </c>
      <c r="B245" s="5" t="str">
        <f>IFERROR(__xludf.DUMMYFUNCTION("""COMPUTED_VALUE"""),"Daymar 11")</f>
        <v>Daymar 11</v>
      </c>
      <c r="C245" s="5" t="str">
        <f>IFERROR(__xludf.DUMMYFUNCTION("""COMPUTED_VALUE"""),"Daymar 04")</f>
        <v>Daymar 04</v>
      </c>
      <c r="D245" s="5" t="str">
        <f>IFERROR(__xludf.DUMMYFUNCTION("""COMPUTED_VALUE"""),"Security Post Prashad")</f>
        <v>Security Post Prashad</v>
      </c>
      <c r="E245" s="6" t="str">
        <f>IFERROR(__xludf.DUMMYFUNCTION("""COMPUTED_VALUE"""),"Prashad")</f>
        <v>Prashad</v>
      </c>
      <c r="F245" s="10">
        <f>IFERROR(__xludf.DUMMYFUNCTION("""COMPUTED_VALUE"""),-223.887404405)</f>
        <v>-223.887404405</v>
      </c>
      <c r="G245" s="10">
        <f>IFERROR(__xludf.DUMMYFUNCTION("""COMPUTED_VALUE"""),65.622608817)</f>
        <v>65.622608817</v>
      </c>
      <c r="H245" s="10">
        <f>IFERROR(__xludf.DUMMYFUNCTION("""COMPUTED_VALUE"""),180.748712154)</f>
        <v>180.748712154</v>
      </c>
      <c r="I245" s="13"/>
      <c r="J245" s="13"/>
      <c r="K245" s="13"/>
      <c r="L245" s="13"/>
      <c r="M245" s="7" t="b">
        <f>IFERROR(__xludf.DUMMYFUNCTION("""COMPUTED_VALUE"""),TRUE)</f>
        <v>1</v>
      </c>
      <c r="N245" s="10">
        <f>IFERROR(__xludf.DUMMYFUNCTION("""COMPUTED_VALUE"""),0)</f>
        <v>0</v>
      </c>
      <c r="O245" s="10">
        <f>IFERROR(__xludf.DUMMYFUNCTION("""COMPUTED_VALUE"""),0)</f>
        <v>0</v>
      </c>
      <c r="P245" s="10"/>
      <c r="Q245" s="6"/>
      <c r="R245" s="16"/>
      <c r="S245" s="17"/>
      <c r="T245" s="10"/>
      <c r="U245" s="10"/>
      <c r="V245" s="22"/>
      <c r="W245" s="12"/>
      <c r="X245" s="12"/>
      <c r="Y245" s="12"/>
      <c r="Z245" s="12"/>
      <c r="AA245" s="6"/>
      <c r="AB245" s="12"/>
      <c r="AC245" s="6"/>
      <c r="AD245" s="6"/>
      <c r="AE245" s="7"/>
      <c r="AF245" s="7"/>
      <c r="AG245" s="7"/>
      <c r="AH245" s="7"/>
      <c r="AI245" s="7"/>
      <c r="AJ245" s="7"/>
      <c r="AK245" s="7"/>
      <c r="AL245" s="7"/>
      <c r="AM245" s="7"/>
      <c r="AN245" s="7"/>
      <c r="AO245" s="6"/>
      <c r="AP245" s="7"/>
      <c r="AQ245" s="7"/>
      <c r="AR245" s="6"/>
      <c r="AS245" s="6"/>
      <c r="AT245" s="6"/>
      <c r="AU245" s="6"/>
      <c r="AV245" s="6"/>
      <c r="AW245" s="6"/>
      <c r="AX245" s="6"/>
      <c r="AY245" s="6"/>
      <c r="AZ245" s="6"/>
      <c r="BA245" s="6"/>
      <c r="BB245" s="6"/>
      <c r="BC245" s="6"/>
      <c r="BD245" s="6"/>
      <c r="BE245" s="6"/>
      <c r="BF245" s="6"/>
      <c r="BG245" s="6"/>
    </row>
    <row r="246" customHeight="1" spans="1:59">
      <c r="A246" s="9" t="str">
        <f>IFERROR(__xludf.DUMMYFUNCTION("""COMPUTED_VALUE"""),"Daymar 10")</f>
        <v>Daymar 10</v>
      </c>
      <c r="B246" s="5" t="str">
        <f>IFERROR(__xludf.DUMMYFUNCTION("""COMPUTED_VALUE"""),"Daymar 12")</f>
        <v>Daymar 12</v>
      </c>
      <c r="C246" s="5" t="str">
        <f>IFERROR(__xludf.DUMMYFUNCTION("""COMPUTED_VALUE"""),"Daymar 59")</f>
        <v>Daymar 59</v>
      </c>
      <c r="D246" s="5" t="str">
        <f>IFERROR(__xludf.DUMMYFUNCTION("""COMPUTED_VALUE"""),"Security Post Thaquray")</f>
        <v>Security Post Thaquray</v>
      </c>
      <c r="E246" s="6" t="str">
        <f>IFERROR(__xludf.DUMMYFUNCTION("""COMPUTED_VALUE"""),"Thaquray")</f>
        <v>Thaquray</v>
      </c>
      <c r="F246" s="10">
        <f>IFERROR(__xludf.DUMMYFUNCTION("""COMPUTED_VALUE"""),-6.98126783299999)</f>
        <v>-6.98126783299999</v>
      </c>
      <c r="G246" s="10">
        <f>IFERROR(__xludf.DUMMYFUNCTION("""COMPUTED_VALUE"""),-89.665412035)</f>
        <v>-89.665412035</v>
      </c>
      <c r="H246" s="10">
        <f>IFERROR(__xludf.DUMMYFUNCTION("""COMPUTED_VALUE"""),281.360037909)</f>
        <v>281.360037909</v>
      </c>
      <c r="I246" s="13"/>
      <c r="J246" s="13"/>
      <c r="K246" s="13"/>
      <c r="L246" s="13"/>
      <c r="M246" s="7" t="b">
        <f>IFERROR(__xludf.DUMMYFUNCTION("""COMPUTED_VALUE"""),TRUE)</f>
        <v>1</v>
      </c>
      <c r="N246" s="10">
        <f>IFERROR(__xludf.DUMMYFUNCTION("""COMPUTED_VALUE"""),0)</f>
        <v>0</v>
      </c>
      <c r="O246" s="10">
        <f>IFERROR(__xludf.DUMMYFUNCTION("""COMPUTED_VALUE"""),0)</f>
        <v>0</v>
      </c>
      <c r="P246" s="10"/>
      <c r="Q246" s="6"/>
      <c r="R246" s="16"/>
      <c r="S246" s="17"/>
      <c r="T246" s="10"/>
      <c r="U246" s="10"/>
      <c r="V246" s="22"/>
      <c r="W246" s="12"/>
      <c r="X246" s="12"/>
      <c r="Y246" s="12"/>
      <c r="Z246" s="12"/>
      <c r="AA246" s="6"/>
      <c r="AB246" s="12"/>
      <c r="AC246" s="6"/>
      <c r="AD246" s="6"/>
      <c r="AE246" s="7"/>
      <c r="AF246" s="7"/>
      <c r="AG246" s="7"/>
      <c r="AH246" s="7"/>
      <c r="AI246" s="7"/>
      <c r="AJ246" s="7"/>
      <c r="AK246" s="7"/>
      <c r="AL246" s="7"/>
      <c r="AM246" s="7"/>
      <c r="AN246" s="7"/>
      <c r="AO246" s="6"/>
      <c r="AP246" s="7"/>
      <c r="AQ246" s="7"/>
      <c r="AR246" s="6"/>
      <c r="AS246" s="6"/>
      <c r="AT246" s="6"/>
      <c r="AU246" s="6"/>
      <c r="AV246" s="6"/>
      <c r="AW246" s="6"/>
      <c r="AX246" s="6"/>
      <c r="AY246" s="6"/>
      <c r="AZ246" s="6"/>
      <c r="BA246" s="6"/>
      <c r="BB246" s="6"/>
      <c r="BC246" s="6"/>
      <c r="BD246" s="6"/>
      <c r="BE246" s="6"/>
      <c r="BF246" s="6"/>
      <c r="BG246" s="6"/>
    </row>
    <row r="247" customHeight="1" spans="1:59">
      <c r="A247" s="9" t="str">
        <f>IFERROR(__xludf.DUMMYFUNCTION("""COMPUTED_VALUE"""),"Daymar 11")</f>
        <v>Daymar 11</v>
      </c>
      <c r="B247" s="5" t="str">
        <f>IFERROR(__xludf.DUMMYFUNCTION("""COMPUTED_VALUE"""),"Daymar 13")</f>
        <v>Daymar 13</v>
      </c>
      <c r="C247" s="5" t="str">
        <f>IFERROR(__xludf.DUMMYFUNCTION("""COMPUTED_VALUE"""),"Daymar 07")</f>
        <v>Daymar 07</v>
      </c>
      <c r="D247" s="5" t="str">
        <f>IFERROR(__xludf.DUMMYFUNCTION("""COMPUTED_VALUE"""),"The Garden")</f>
        <v>The Garden</v>
      </c>
      <c r="E247" s="6" t="str">
        <f>IFERROR(__xludf.DUMMYFUNCTION("""COMPUTED_VALUE"""),"Garden")</f>
        <v>Garden</v>
      </c>
      <c r="F247" s="10">
        <f>IFERROR(__xludf.DUMMYFUNCTION("""COMPUTED_VALUE"""),-175.970114604)</f>
        <v>-175.970114604</v>
      </c>
      <c r="G247" s="10">
        <f>IFERROR(__xludf.DUMMYFUNCTION("""COMPUTED_VALUE"""),146.722503656999)</f>
        <v>146.722503656999</v>
      </c>
      <c r="H247" s="10">
        <f>IFERROR(__xludf.DUMMYFUNCTION("""COMPUTED_VALUE"""),186.025525633)</f>
        <v>186.025525633</v>
      </c>
      <c r="I247" s="13"/>
      <c r="J247" s="13"/>
      <c r="K247" s="13"/>
      <c r="L247" s="13"/>
      <c r="M247" s="7" t="b">
        <f>IFERROR(__xludf.DUMMYFUNCTION("""COMPUTED_VALUE"""),TRUE)</f>
        <v>1</v>
      </c>
      <c r="N247" s="10">
        <f>IFERROR(__xludf.DUMMYFUNCTION("""COMPUTED_VALUE"""),0)</f>
        <v>0</v>
      </c>
      <c r="O247" s="10">
        <f>IFERROR(__xludf.DUMMYFUNCTION("""COMPUTED_VALUE"""),0)</f>
        <v>0</v>
      </c>
      <c r="P247" s="10"/>
      <c r="Q247" s="6"/>
      <c r="R247" s="16"/>
      <c r="S247" s="17"/>
      <c r="T247" s="10"/>
      <c r="U247" s="10"/>
      <c r="V247" s="22"/>
      <c r="W247" s="12"/>
      <c r="X247" s="12"/>
      <c r="Y247" s="12"/>
      <c r="Z247" s="12"/>
      <c r="AA247" s="6"/>
      <c r="AB247" s="12"/>
      <c r="AC247" s="6"/>
      <c r="AD247" s="6"/>
      <c r="AE247" s="7"/>
      <c r="AF247" s="7"/>
      <c r="AG247" s="7"/>
      <c r="AH247" s="7"/>
      <c r="AI247" s="7"/>
      <c r="AJ247" s="7"/>
      <c r="AK247" s="7"/>
      <c r="AL247" s="7"/>
      <c r="AM247" s="7"/>
      <c r="AN247" s="7"/>
      <c r="AO247" s="6"/>
      <c r="AP247" s="7"/>
      <c r="AQ247" s="7"/>
      <c r="AR247" s="6"/>
      <c r="AS247" s="6"/>
      <c r="AT247" s="6"/>
      <c r="AU247" s="6"/>
      <c r="AV247" s="6"/>
      <c r="AW247" s="6"/>
      <c r="AX247" s="6"/>
      <c r="AY247" s="6"/>
      <c r="AZ247" s="6"/>
      <c r="BA247" s="6"/>
      <c r="BB247" s="6"/>
      <c r="BC247" s="6"/>
      <c r="BD247" s="6"/>
      <c r="BE247" s="6"/>
      <c r="BF247" s="6"/>
      <c r="BG247" s="6"/>
    </row>
    <row r="248" customHeight="1" spans="1:59">
      <c r="A248" s="9" t="str">
        <f>IFERROR(__xludf.DUMMYFUNCTION("""COMPUTED_VALUE"""),"Daymar 12")</f>
        <v>Daymar 12</v>
      </c>
      <c r="B248" s="5" t="str">
        <f>IFERROR(__xludf.DUMMYFUNCTION("""COMPUTED_VALUE"""),"Daymar 14")</f>
        <v>Daymar 14</v>
      </c>
      <c r="C248" s="5" t="str">
        <f>IFERROR(__xludf.DUMMYFUNCTION("""COMPUTED_VALUE"""),"Daymar 23")</f>
        <v>Daymar 23</v>
      </c>
      <c r="D248" s="5" t="str">
        <f>IFERROR(__xludf.DUMMYFUNCTION("""COMPUTED_VALUE"""),"TPF")</f>
        <v>TPF</v>
      </c>
      <c r="E248" s="6" t="str">
        <f>IFERROR(__xludf.DUMMYFUNCTION("""COMPUTED_VALUE"""),"TPF")</f>
        <v>TPF</v>
      </c>
      <c r="F248" s="10">
        <f>IFERROR(__xludf.DUMMYFUNCTION("""COMPUTED_VALUE"""),37.24823997)</f>
        <v>37.24823997</v>
      </c>
      <c r="G248" s="10">
        <f>IFERROR(__xludf.DUMMYFUNCTION("""COMPUTED_VALUE"""),203.87655616)</f>
        <v>203.87655616</v>
      </c>
      <c r="H248" s="10">
        <f>IFERROR(__xludf.DUMMYFUNCTION("""COMPUTED_VALUE"""),-209.981122536)</f>
        <v>-209.981122536</v>
      </c>
      <c r="I248" s="13"/>
      <c r="J248" s="13"/>
      <c r="K248" s="13"/>
      <c r="L248" s="13"/>
      <c r="M248" s="7" t="b">
        <f>IFERROR(__xludf.DUMMYFUNCTION("""COMPUTED_VALUE"""),TRUE)</f>
        <v>1</v>
      </c>
      <c r="N248" s="10">
        <f>IFERROR(__xludf.DUMMYFUNCTION("""COMPUTED_VALUE"""),0)</f>
        <v>0</v>
      </c>
      <c r="O248" s="10">
        <f>IFERROR(__xludf.DUMMYFUNCTION("""COMPUTED_VALUE"""),0)</f>
        <v>0</v>
      </c>
      <c r="P248" s="10"/>
      <c r="Q248" s="6"/>
      <c r="R248" s="16"/>
      <c r="S248" s="17"/>
      <c r="T248" s="10"/>
      <c r="U248" s="10"/>
      <c r="V248" s="22"/>
      <c r="W248" s="12"/>
      <c r="X248" s="12"/>
      <c r="Y248" s="12"/>
      <c r="Z248" s="12"/>
      <c r="AA248" s="6"/>
      <c r="AB248" s="12"/>
      <c r="AC248" s="6"/>
      <c r="AD248" s="6"/>
      <c r="AE248" s="7"/>
      <c r="AF248" s="7"/>
      <c r="AG248" s="7"/>
      <c r="AH248" s="7"/>
      <c r="AI248" s="7"/>
      <c r="AJ248" s="7"/>
      <c r="AK248" s="7"/>
      <c r="AL248" s="7"/>
      <c r="AM248" s="7"/>
      <c r="AN248" s="7"/>
      <c r="AO248" s="6"/>
      <c r="AP248" s="7"/>
      <c r="AQ248" s="7"/>
      <c r="AR248" s="6"/>
      <c r="AS248" s="6"/>
      <c r="AT248" s="6"/>
      <c r="AU248" s="6"/>
      <c r="AV248" s="6"/>
      <c r="AW248" s="6"/>
      <c r="AX248" s="6"/>
      <c r="AY248" s="6"/>
      <c r="AZ248" s="6"/>
      <c r="BA248" s="6"/>
      <c r="BB248" s="6"/>
      <c r="BC248" s="6"/>
      <c r="BD248" s="6"/>
      <c r="BE248" s="6"/>
      <c r="BF248" s="6"/>
      <c r="BG248" s="6"/>
    </row>
    <row r="249" customHeight="1" spans="1:59">
      <c r="A249" s="9" t="str">
        <f>IFERROR(__xludf.DUMMYFUNCTION("""COMPUTED_VALUE"""),"Daymar")</f>
        <v>Daymar</v>
      </c>
      <c r="B249" s="5" t="str">
        <f>IFERROR(__xludf.DUMMYFUNCTION("""COMPUTED_VALUE"""),"Daymar 16")</f>
        <v>Daymar 16</v>
      </c>
      <c r="C249" s="5"/>
      <c r="D249" s="5" t="str">
        <f>IFERROR(__xludf.DUMMYFUNCTION("""COMPUTED_VALUE"""),"Other Facilities")</f>
        <v>Other Facilities</v>
      </c>
      <c r="E249" s="6"/>
      <c r="F249" s="10"/>
      <c r="G249" s="10"/>
      <c r="H249" s="10"/>
      <c r="I249" s="13"/>
      <c r="J249" s="13"/>
      <c r="K249" s="13"/>
      <c r="L249" s="13"/>
      <c r="M249" s="7"/>
      <c r="N249" s="10"/>
      <c r="O249" s="10"/>
      <c r="P249" s="10"/>
      <c r="Q249" s="6"/>
      <c r="R249" s="16"/>
      <c r="S249" s="17"/>
      <c r="T249" s="10"/>
      <c r="U249" s="10"/>
      <c r="V249" s="22"/>
      <c r="W249" s="12"/>
      <c r="X249" s="12"/>
      <c r="Y249" s="12"/>
      <c r="Z249" s="12"/>
      <c r="AA249" s="6"/>
      <c r="AB249" s="12"/>
      <c r="AC249" s="6"/>
      <c r="AD249" s="6"/>
      <c r="AE249" s="7"/>
      <c r="AF249" s="7"/>
      <c r="AG249" s="7"/>
      <c r="AH249" s="7"/>
      <c r="AI249" s="7"/>
      <c r="AJ249" s="7"/>
      <c r="AK249" s="7"/>
      <c r="AL249" s="7"/>
      <c r="AM249" s="7"/>
      <c r="AN249" s="7"/>
      <c r="AO249" s="6"/>
      <c r="AP249" s="7"/>
      <c r="AQ249" s="7"/>
      <c r="AR249" s="6"/>
      <c r="AS249" s="6"/>
      <c r="AT249" s="6"/>
      <c r="AU249" s="6"/>
      <c r="AV249" s="6"/>
      <c r="AW249" s="6"/>
      <c r="AX249" s="6"/>
      <c r="AY249" s="6"/>
      <c r="AZ249" s="6"/>
      <c r="BA249" s="6"/>
      <c r="BB249" s="6"/>
      <c r="BC249" s="6"/>
      <c r="BD249" s="6"/>
      <c r="BE249" s="6"/>
      <c r="BF249" s="6"/>
      <c r="BG249" s="6"/>
    </row>
    <row r="250" customHeight="1" spans="1:59">
      <c r="A250" s="9" t="str">
        <f>IFERROR(__xludf.DUMMYFUNCTION("""COMPUTED_VALUE"""),"Daymar 13")</f>
        <v>Daymar 13</v>
      </c>
      <c r="B250" s="5" t="str">
        <f>IFERROR(__xludf.DUMMYFUNCTION("""COMPUTED_VALUE"""),"Daymar 17")</f>
        <v>Daymar 17</v>
      </c>
      <c r="C250" s="5" t="str">
        <f>IFERROR(__xludf.DUMMYFUNCTION("""COMPUTED_VALUE"""),"Daymar 11")</f>
        <v>Daymar 11</v>
      </c>
      <c r="D250" s="5" t="str">
        <f>IFERROR(__xludf.DUMMYFUNCTION("""COMPUTED_VALUE"""),"Covalex Shipping Hub Gundo")</f>
        <v>Covalex Shipping Hub Gundo</v>
      </c>
      <c r="E250" s="7" t="str">
        <f>IFERROR(__xludf.DUMMYFUNCTION("""COMPUTED_VALUE"""),"Covalex")</f>
        <v>Covalex</v>
      </c>
      <c r="F250" s="11">
        <f>IFERROR(__xludf.DUMMYFUNCTION("""COMPUTED_VALUE"""),-241.198062896729)</f>
        <v>-241.198062896729</v>
      </c>
      <c r="G250" s="11">
        <f>IFERROR(__xludf.DUMMYFUNCTION("""COMPUTED_VALUE"""),437.977486660004)</f>
        <v>437.977486660004</v>
      </c>
      <c r="H250" s="11">
        <f>IFERROR(__xludf.DUMMYFUNCTION("""COMPUTED_VALUE"""),-300)</f>
        <v>-300</v>
      </c>
      <c r="I250" s="15"/>
      <c r="J250" s="15"/>
      <c r="K250" s="15"/>
      <c r="L250" s="15"/>
      <c r="M250" s="7" t="b">
        <f>IFERROR(__xludf.DUMMYFUNCTION("""COMPUTED_VALUE"""),TRUE)</f>
        <v>1</v>
      </c>
      <c r="N250" s="10">
        <f>IFERROR(__xludf.DUMMYFUNCTION("""COMPUTED_VALUE"""),0)</f>
        <v>0</v>
      </c>
      <c r="O250" s="10">
        <f>IFERROR(__xludf.DUMMYFUNCTION("""COMPUTED_VALUE"""),0)</f>
        <v>0</v>
      </c>
      <c r="P250" s="8"/>
      <c r="Q250" s="7"/>
      <c r="R250" s="16"/>
      <c r="S250" s="17"/>
      <c r="T250" s="8"/>
      <c r="U250" s="8"/>
      <c r="V250" s="22"/>
      <c r="W250" s="12"/>
      <c r="X250" s="12"/>
      <c r="Y250" s="12"/>
      <c r="Z250" s="12"/>
      <c r="AA250" s="7"/>
      <c r="AB250" s="12"/>
      <c r="AC250" s="6"/>
      <c r="AD250" s="6"/>
      <c r="AE250" s="7"/>
      <c r="AF250" s="7"/>
      <c r="AG250" s="7"/>
      <c r="AH250" s="7"/>
      <c r="AI250" s="7"/>
      <c r="AJ250" s="7"/>
      <c r="AK250" s="7"/>
      <c r="AL250" s="7"/>
      <c r="AM250" s="7"/>
      <c r="AN250" s="7"/>
      <c r="AO250" s="6"/>
      <c r="AP250" s="7"/>
      <c r="AQ250" s="7"/>
      <c r="AR250" s="6"/>
      <c r="AS250" s="7"/>
      <c r="AT250" s="7"/>
      <c r="AU250" s="7"/>
      <c r="AV250" s="7"/>
      <c r="AW250" s="7"/>
      <c r="AX250" s="7"/>
      <c r="AY250" s="7"/>
      <c r="AZ250" s="7"/>
      <c r="BA250" s="7"/>
      <c r="BB250" s="7"/>
      <c r="BC250" s="7"/>
      <c r="BD250" s="7"/>
      <c r="BE250" s="7"/>
      <c r="BF250" s="7"/>
      <c r="BG250" s="7"/>
    </row>
    <row r="251" customHeight="1" spans="1:59">
      <c r="A251" s="9" t="str">
        <f>IFERROR(__xludf.DUMMYFUNCTION("""COMPUTED_VALUE"""),"Daymar 20")</f>
        <v>Daymar 20</v>
      </c>
      <c r="B251" s="5" t="str">
        <f>IFERROR(__xludf.DUMMYFUNCTION("""COMPUTED_VALUE"""),"Daymar 18")</f>
        <v>Daymar 18</v>
      </c>
      <c r="C251" s="5" t="str">
        <f>IFERROR(__xludf.DUMMYFUNCTION("""COMPUTED_VALUE"""),"Daymar 25")</f>
        <v>Daymar 25</v>
      </c>
      <c r="D251" s="5" t="str">
        <f>IFERROR(__xludf.DUMMYFUNCTION("""COMPUTED_VALUE"""),"Abandoned Outpost")</f>
        <v>Abandoned Outpost</v>
      </c>
      <c r="E251" s="7" t="str">
        <f>IFERROR(__xludf.DUMMYFUNCTION("""COMPUTED_VALUE"""),"Abandoned")</f>
        <v>Abandoned</v>
      </c>
      <c r="F251" s="11">
        <f>IFERROR(__xludf.DUMMYFUNCTION("""COMPUTED_VALUE"""),73.1390425385456)</f>
        <v>73.1390425385456</v>
      </c>
      <c r="G251" s="11">
        <f>IFERROR(__xludf.DUMMYFUNCTION("""COMPUTED_VALUE"""),285.904326088043)</f>
        <v>285.904326088043</v>
      </c>
      <c r="H251" s="11">
        <f>IFERROR(__xludf.DUMMYFUNCTION("""COMPUTED_VALUE"""),1.90551400657811)</f>
        <v>1.90551400657811</v>
      </c>
      <c r="I251" s="15"/>
      <c r="J251" s="15"/>
      <c r="K251" s="15"/>
      <c r="L251" s="15"/>
      <c r="M251" s="7" t="b">
        <f>IFERROR(__xludf.DUMMYFUNCTION("""COMPUTED_VALUE"""),FALSE)</f>
        <v>0</v>
      </c>
      <c r="N251" s="10">
        <f>IFERROR(__xludf.DUMMYFUNCTION("""COMPUTED_VALUE"""),0)</f>
        <v>0</v>
      </c>
      <c r="O251" s="10">
        <f>IFERROR(__xludf.DUMMYFUNCTION("""COMPUTED_VALUE"""),0)</f>
        <v>0</v>
      </c>
      <c r="P251" s="8"/>
      <c r="Q251" s="7"/>
      <c r="R251" s="16"/>
      <c r="S251" s="17"/>
      <c r="T251" s="8"/>
      <c r="U251" s="8"/>
      <c r="V251" s="22"/>
      <c r="W251" s="12"/>
      <c r="X251" s="12"/>
      <c r="Y251" s="12"/>
      <c r="Z251" s="12"/>
      <c r="AA251" s="7"/>
      <c r="AB251" s="12"/>
      <c r="AC251" s="6"/>
      <c r="AD251" s="6"/>
      <c r="AE251" s="7"/>
      <c r="AF251" s="7"/>
      <c r="AG251" s="7"/>
      <c r="AH251" s="7"/>
      <c r="AI251" s="7"/>
      <c r="AJ251" s="7"/>
      <c r="AK251" s="7"/>
      <c r="AL251" s="7"/>
      <c r="AM251" s="7"/>
      <c r="AN251" s="7"/>
      <c r="AO251" s="6"/>
      <c r="AP251" s="7"/>
      <c r="AQ251" s="7"/>
      <c r="AR251" s="6"/>
      <c r="AS251" s="7"/>
      <c r="AT251" s="7"/>
      <c r="AU251" s="7"/>
      <c r="AV251" s="7"/>
      <c r="AW251" s="7"/>
      <c r="AX251" s="7"/>
      <c r="AY251" s="7"/>
      <c r="AZ251" s="7"/>
      <c r="BA251" s="7"/>
      <c r="BB251" s="7"/>
      <c r="BC251" s="7"/>
      <c r="BD251" s="7"/>
      <c r="BE251" s="7"/>
      <c r="BF251" s="7"/>
      <c r="BG251" s="7"/>
    </row>
    <row r="252" customHeight="1" spans="1:59">
      <c r="A252" s="9" t="str">
        <f>IFERROR(__xludf.DUMMYFUNCTION("""COMPUTED_VALUE"""),"Daymar")</f>
        <v>Daymar</v>
      </c>
      <c r="B252" s="5" t="str">
        <f>IFERROR(__xludf.DUMMYFUNCTION("""COMPUTED_VALUE"""),"Daymar 20")</f>
        <v>Daymar 20</v>
      </c>
      <c r="C252" s="5"/>
      <c r="D252" s="5" t="str">
        <f>IFERROR(__xludf.DUMMYFUNCTION("""COMPUTED_VALUE"""),"Emergency Shelters")</f>
        <v>Emergency Shelters</v>
      </c>
      <c r="E252" s="7"/>
      <c r="F252" s="11"/>
      <c r="G252" s="11"/>
      <c r="H252" s="11"/>
      <c r="I252" s="15"/>
      <c r="J252" s="15"/>
      <c r="K252" s="15"/>
      <c r="L252" s="15"/>
      <c r="M252" s="7"/>
      <c r="N252" s="10"/>
      <c r="O252" s="10"/>
      <c r="P252" s="8"/>
      <c r="Q252" s="7"/>
      <c r="R252" s="16"/>
      <c r="S252" s="17"/>
      <c r="T252" s="8"/>
      <c r="U252" s="8"/>
      <c r="V252" s="22"/>
      <c r="W252" s="12"/>
      <c r="X252" s="12"/>
      <c r="Y252" s="12"/>
      <c r="Z252" s="12"/>
      <c r="AA252" s="7"/>
      <c r="AB252" s="12"/>
      <c r="AC252" s="6"/>
      <c r="AD252" s="6"/>
      <c r="AE252" s="7"/>
      <c r="AF252" s="7"/>
      <c r="AG252" s="7"/>
      <c r="AH252" s="7"/>
      <c r="AI252" s="7"/>
      <c r="AJ252" s="7"/>
      <c r="AK252" s="7"/>
      <c r="AL252" s="7"/>
      <c r="AM252" s="7"/>
      <c r="AN252" s="7"/>
      <c r="AO252" s="6"/>
      <c r="AP252" s="7"/>
      <c r="AQ252" s="7"/>
      <c r="AR252" s="6"/>
      <c r="AS252" s="7"/>
      <c r="AT252" s="7"/>
      <c r="AU252" s="7"/>
      <c r="AV252" s="7"/>
      <c r="AW252" s="7"/>
      <c r="AX252" s="7"/>
      <c r="AY252" s="7"/>
      <c r="AZ252" s="7"/>
      <c r="BA252" s="7"/>
      <c r="BB252" s="7"/>
      <c r="BC252" s="7"/>
      <c r="BD252" s="7"/>
      <c r="BE252" s="7"/>
      <c r="BF252" s="7"/>
      <c r="BG252" s="7"/>
    </row>
    <row r="253" customHeight="1" spans="1:59">
      <c r="A253" s="9" t="str">
        <f>IFERROR(__xludf.DUMMYFUNCTION("""COMPUTED_VALUE"""),"Daymar 14")</f>
        <v>Daymar 14</v>
      </c>
      <c r="B253" s="5" t="str">
        <f>IFERROR(__xludf.DUMMYFUNCTION("""COMPUTED_VALUE"""),"Daymar 21")</f>
        <v>Daymar 21</v>
      </c>
      <c r="C253" s="5" t="str">
        <f>IFERROR(__xludf.DUMMYFUNCTION("""COMPUTED_VALUE"""),"Daymar 14")</f>
        <v>Daymar 14</v>
      </c>
      <c r="D253" s="5" t="str">
        <f>IFERROR(__xludf.DUMMYFUNCTION("""COMPUTED_VALUE"""),"Dunlow Ridge Aid Shelter")</f>
        <v>Dunlow Ridge Aid Shelter</v>
      </c>
      <c r="E253" s="7" t="str">
        <f>IFERROR(__xludf.DUMMYFUNCTION("""COMPUTED_VALUE"""),"Dunlow")</f>
        <v>Dunlow</v>
      </c>
      <c r="F253" s="11">
        <f>IFERROR(__xludf.DUMMYFUNCTION("""COMPUTED_VALUE"""),-51.8496231568687)</f>
        <v>-51.8496231568687</v>
      </c>
      <c r="G253" s="11">
        <f>IFERROR(__xludf.DUMMYFUNCTION("""COMPUTED_VALUE"""),280.931990013533)</f>
        <v>280.931990013533</v>
      </c>
      <c r="H253" s="11">
        <f>IFERROR(__xludf.DUMMYFUNCTION("""COMPUTED_VALUE"""),75.3312863846513)</f>
        <v>75.3312863846513</v>
      </c>
      <c r="I253" s="15"/>
      <c r="J253" s="15"/>
      <c r="K253" s="15"/>
      <c r="L253" s="15"/>
      <c r="M253" s="7" t="b">
        <f>IFERROR(__xludf.DUMMYFUNCTION("""COMPUTED_VALUE"""),TRUE)</f>
        <v>1</v>
      </c>
      <c r="N253" s="10">
        <f>IFERROR(__xludf.DUMMYFUNCTION("""COMPUTED_VALUE"""),0)</f>
        <v>0</v>
      </c>
      <c r="O253" s="10">
        <f>IFERROR(__xludf.DUMMYFUNCTION("""COMPUTED_VALUE"""),0)</f>
        <v>0</v>
      </c>
      <c r="P253" s="8"/>
      <c r="Q253" s="7"/>
      <c r="R253" s="16"/>
      <c r="S253" s="17"/>
      <c r="T253" s="8"/>
      <c r="U253" s="8"/>
      <c r="V253" s="22"/>
      <c r="W253" s="12"/>
      <c r="X253" s="12"/>
      <c r="Y253" s="12"/>
      <c r="Z253" s="12"/>
      <c r="AA253" s="7"/>
      <c r="AB253" s="12"/>
      <c r="AC253" s="6"/>
      <c r="AD253" s="6"/>
      <c r="AE253" s="7"/>
      <c r="AF253" s="7"/>
      <c r="AG253" s="7"/>
      <c r="AH253" s="7"/>
      <c r="AI253" s="7"/>
      <c r="AJ253" s="7"/>
      <c r="AK253" s="7"/>
      <c r="AL253" s="7"/>
      <c r="AM253" s="7"/>
      <c r="AN253" s="7"/>
      <c r="AO253" s="6"/>
      <c r="AP253" s="7"/>
      <c r="AQ253" s="7"/>
      <c r="AR253" s="6"/>
      <c r="AS253" s="7"/>
      <c r="AT253" s="7"/>
      <c r="AU253" s="7"/>
      <c r="AV253" s="7"/>
      <c r="AW253" s="7"/>
      <c r="AX253" s="7"/>
      <c r="AY253" s="7"/>
      <c r="AZ253" s="7"/>
      <c r="BA253" s="7"/>
      <c r="BB253" s="7"/>
      <c r="BC253" s="7"/>
      <c r="BD253" s="7"/>
      <c r="BE253" s="7"/>
      <c r="BF253" s="7"/>
      <c r="BG253" s="7"/>
    </row>
    <row r="254" customHeight="1" spans="1:59">
      <c r="A254" s="9" t="str">
        <f>IFERROR(__xludf.DUMMYFUNCTION("""COMPUTED_VALUE"""),"Daymar 15")</f>
        <v>Daymar 15</v>
      </c>
      <c r="B254" s="5" t="str">
        <f>IFERROR(__xludf.DUMMYFUNCTION("""COMPUTED_VALUE"""),"Daymar 22")</f>
        <v>Daymar 22</v>
      </c>
      <c r="C254" s="5" t="str">
        <f>IFERROR(__xludf.DUMMYFUNCTION("""COMPUTED_VALUE"""),"Daymar 44")</f>
        <v>Daymar 44</v>
      </c>
      <c r="D254" s="5" t="str">
        <f>IFERROR(__xludf.DUMMYFUNCTION("""COMPUTED_VALUE"""),"Eager Flats Aid Shelter")</f>
        <v>Eager Flats Aid Shelter</v>
      </c>
      <c r="E254" s="7" t="str">
        <f>IFERROR(__xludf.DUMMYFUNCTION("""COMPUTED_VALUE"""),"Eager")</f>
        <v>Eager</v>
      </c>
      <c r="F254" s="11">
        <f>IFERROR(__xludf.DUMMYFUNCTION("""COMPUTED_VALUE"""),200.545063565929)</f>
        <v>200.545063565929</v>
      </c>
      <c r="G254" s="11">
        <f>IFERROR(__xludf.DUMMYFUNCTION("""COMPUTED_VALUE"""),-104.917273995152)</f>
        <v>-104.917273995152</v>
      </c>
      <c r="H254" s="11">
        <f>IFERROR(__xludf.DUMMYFUNCTION("""COMPUTED_VALUE"""),190.096594760393)</f>
        <v>190.096594760393</v>
      </c>
      <c r="I254" s="15"/>
      <c r="J254" s="15"/>
      <c r="K254" s="15"/>
      <c r="L254" s="15"/>
      <c r="M254" s="7" t="b">
        <f>IFERROR(__xludf.DUMMYFUNCTION("""COMPUTED_VALUE"""),TRUE)</f>
        <v>1</v>
      </c>
      <c r="N254" s="10">
        <f>IFERROR(__xludf.DUMMYFUNCTION("""COMPUTED_VALUE"""),0)</f>
        <v>0</v>
      </c>
      <c r="O254" s="10">
        <f>IFERROR(__xludf.DUMMYFUNCTION("""COMPUTED_VALUE"""),0)</f>
        <v>0</v>
      </c>
      <c r="P254" s="8"/>
      <c r="Q254" s="7"/>
      <c r="R254" s="16"/>
      <c r="S254" s="17"/>
      <c r="T254" s="8"/>
      <c r="U254" s="8"/>
      <c r="V254" s="22"/>
      <c r="W254" s="12"/>
      <c r="X254" s="12"/>
      <c r="Y254" s="12"/>
      <c r="Z254" s="12"/>
      <c r="AA254" s="7"/>
      <c r="AB254" s="12"/>
      <c r="AC254" s="6"/>
      <c r="AD254" s="6"/>
      <c r="AE254" s="7"/>
      <c r="AF254" s="7"/>
      <c r="AG254" s="7"/>
      <c r="AH254" s="7"/>
      <c r="AI254" s="7"/>
      <c r="AJ254" s="7"/>
      <c r="AK254" s="7"/>
      <c r="AL254" s="7"/>
      <c r="AM254" s="7"/>
      <c r="AN254" s="7"/>
      <c r="AO254" s="6"/>
      <c r="AP254" s="7"/>
      <c r="AQ254" s="7"/>
      <c r="AR254" s="6"/>
      <c r="AS254" s="7"/>
      <c r="AT254" s="7"/>
      <c r="AU254" s="7"/>
      <c r="AV254" s="7"/>
      <c r="AW254" s="7"/>
      <c r="AX254" s="7"/>
      <c r="AY254" s="7"/>
      <c r="AZ254" s="7"/>
      <c r="BA254" s="7"/>
      <c r="BB254" s="7"/>
      <c r="BC254" s="7"/>
      <c r="BD254" s="7"/>
      <c r="BE254" s="7"/>
      <c r="BF254" s="7"/>
      <c r="BG254" s="7"/>
    </row>
    <row r="255" customHeight="1" spans="1:59">
      <c r="A255" s="9" t="str">
        <f>IFERROR(__xludf.DUMMYFUNCTION("""COMPUTED_VALUE"""),"Daymar 16")</f>
        <v>Daymar 16</v>
      </c>
      <c r="B255" s="5" t="str">
        <f>IFERROR(__xludf.DUMMYFUNCTION("""COMPUTED_VALUE"""),"Daymar 23")</f>
        <v>Daymar 23</v>
      </c>
      <c r="C255" s="5" t="str">
        <f>IFERROR(__xludf.DUMMYFUNCTION("""COMPUTED_VALUE"""),"Daymar 72")</f>
        <v>Daymar 72</v>
      </c>
      <c r="D255" s="5" t="str">
        <f>IFERROR(__xludf.DUMMYFUNCTION("""COMPUTED_VALUE"""),"Tamdon Plains Aid Shelter")</f>
        <v>Tamdon Plains Aid Shelter</v>
      </c>
      <c r="E255" s="7" t="str">
        <f>IFERROR(__xludf.DUMMYFUNCTION("""COMPUTED_VALUE"""),"Tamdon")</f>
        <v>Tamdon</v>
      </c>
      <c r="F255" s="11">
        <f>IFERROR(__xludf.DUMMYFUNCTION("""COMPUTED_VALUE"""),-138.113873216395)</f>
        <v>-138.113873216395</v>
      </c>
      <c r="G255" s="11">
        <f>IFERROR(__xludf.DUMMYFUNCTION("""COMPUTED_VALUE"""),-24.4628492934615)</f>
        <v>-24.4628492934615</v>
      </c>
      <c r="H255" s="11">
        <f>IFERROR(__xludf.DUMMYFUNCTION("""COMPUTED_VALUE"""),-259.848699769311)</f>
        <v>-259.848699769311</v>
      </c>
      <c r="I255" s="15"/>
      <c r="J255" s="15"/>
      <c r="K255" s="15"/>
      <c r="L255" s="15"/>
      <c r="M255" s="7" t="b">
        <f>IFERROR(__xludf.DUMMYFUNCTION("""COMPUTED_VALUE"""),TRUE)</f>
        <v>1</v>
      </c>
      <c r="N255" s="10">
        <f>IFERROR(__xludf.DUMMYFUNCTION("""COMPUTED_VALUE"""),0)</f>
        <v>0</v>
      </c>
      <c r="O255" s="10">
        <f>IFERROR(__xludf.DUMMYFUNCTION("""COMPUTED_VALUE"""),0)</f>
        <v>0</v>
      </c>
      <c r="P255" s="8"/>
      <c r="Q255" s="7"/>
      <c r="R255" s="16"/>
      <c r="S255" s="17"/>
      <c r="T255" s="8"/>
      <c r="U255" s="8"/>
      <c r="V255" s="22"/>
      <c r="W255" s="12"/>
      <c r="X255" s="12"/>
      <c r="Y255" s="12"/>
      <c r="Z255" s="12"/>
      <c r="AA255" s="7"/>
      <c r="AB255" s="12"/>
      <c r="AC255" s="6"/>
      <c r="AD255" s="6"/>
      <c r="AE255" s="7"/>
      <c r="AF255" s="7"/>
      <c r="AG255" s="7"/>
      <c r="AH255" s="7"/>
      <c r="AI255" s="7"/>
      <c r="AJ255" s="7"/>
      <c r="AK255" s="7"/>
      <c r="AL255" s="7"/>
      <c r="AM255" s="7"/>
      <c r="AN255" s="7"/>
      <c r="AO255" s="6"/>
      <c r="AP255" s="7"/>
      <c r="AQ255" s="7"/>
      <c r="AR255" s="6"/>
      <c r="AS255" s="7"/>
      <c r="AT255" s="7"/>
      <c r="AU255" s="7"/>
      <c r="AV255" s="7"/>
      <c r="AW255" s="7"/>
      <c r="AX255" s="7"/>
      <c r="AY255" s="7"/>
      <c r="AZ255" s="7"/>
      <c r="BA255" s="7"/>
      <c r="BB255" s="7"/>
      <c r="BC255" s="7"/>
      <c r="BD255" s="7"/>
      <c r="BE255" s="7"/>
      <c r="BF255" s="7"/>
      <c r="BG255" s="7"/>
    </row>
    <row r="256" customHeight="1" spans="1:59">
      <c r="A256" s="9" t="str">
        <f>IFERROR(__xludf.DUMMYFUNCTION("""COMPUTED_VALUE"""),"Daymar 17")</f>
        <v>Daymar 17</v>
      </c>
      <c r="B256" s="5" t="str">
        <f>IFERROR(__xludf.DUMMYFUNCTION("""COMPUTED_VALUE"""),"Daymar 24")</f>
        <v>Daymar 24</v>
      </c>
      <c r="C256" s="5" t="str">
        <f>IFERROR(__xludf.DUMMYFUNCTION("""COMPUTED_VALUE"""),"Daymar 20")</f>
        <v>Daymar 20</v>
      </c>
      <c r="D256" s="5" t="str">
        <f>IFERROR(__xludf.DUMMYFUNCTION("""COMPUTED_VALUE"""),"Wolf Point Aid Shelter")</f>
        <v>Wolf Point Aid Shelter</v>
      </c>
      <c r="E256" s="7" t="str">
        <f>IFERROR(__xludf.DUMMYFUNCTION("""COMPUTED_VALUE"""),"Wolf")</f>
        <v>Wolf</v>
      </c>
      <c r="F256" s="11">
        <f>IFERROR(__xludf.DUMMYFUNCTION("""COMPUTED_VALUE"""),-4.41978284451699)</f>
        <v>-4.41978284451699</v>
      </c>
      <c r="G256" s="11">
        <f>IFERROR(__xludf.DUMMYFUNCTION("""COMPUTED_VALUE"""),279.066633187614)</f>
        <v>279.066633187614</v>
      </c>
      <c r="H256" s="11">
        <f>IFERROR(__xludf.DUMMYFUNCTION("""COMPUTED_VALUE"""),95.7326590587272)</f>
        <v>95.7326590587272</v>
      </c>
      <c r="I256" s="15"/>
      <c r="J256" s="15"/>
      <c r="K256" s="15"/>
      <c r="L256" s="15"/>
      <c r="M256" s="7" t="b">
        <f>IFERROR(__xludf.DUMMYFUNCTION("""COMPUTED_VALUE"""),TRUE)</f>
        <v>1</v>
      </c>
      <c r="N256" s="10">
        <f>IFERROR(__xludf.DUMMYFUNCTION("""COMPUTED_VALUE"""),0)</f>
        <v>0</v>
      </c>
      <c r="O256" s="10">
        <f>IFERROR(__xludf.DUMMYFUNCTION("""COMPUTED_VALUE"""),0)</f>
        <v>0</v>
      </c>
      <c r="P256" s="8"/>
      <c r="Q256" s="7"/>
      <c r="R256" s="16"/>
      <c r="S256" s="17"/>
      <c r="T256" s="8"/>
      <c r="U256" s="8"/>
      <c r="V256" s="22"/>
      <c r="W256" s="12"/>
      <c r="X256" s="12"/>
      <c r="Y256" s="12"/>
      <c r="Z256" s="12"/>
      <c r="AA256" s="7"/>
      <c r="AB256" s="12"/>
      <c r="AC256" s="6"/>
      <c r="AD256" s="6"/>
      <c r="AE256" s="7"/>
      <c r="AF256" s="7"/>
      <c r="AG256" s="7"/>
      <c r="AH256" s="7"/>
      <c r="AI256" s="7"/>
      <c r="AJ256" s="7"/>
      <c r="AK256" s="7"/>
      <c r="AL256" s="7"/>
      <c r="AM256" s="7"/>
      <c r="AN256" s="7"/>
      <c r="AO256" s="6"/>
      <c r="AP256" s="7"/>
      <c r="AQ256" s="7"/>
      <c r="AR256" s="6"/>
      <c r="AS256" s="7"/>
      <c r="AT256" s="7"/>
      <c r="AU256" s="7"/>
      <c r="AV256" s="7"/>
      <c r="AW256" s="7"/>
      <c r="AX256" s="7"/>
      <c r="AY256" s="7"/>
      <c r="AZ256" s="7"/>
      <c r="BA256" s="7"/>
      <c r="BB256" s="7"/>
      <c r="BC256" s="7"/>
      <c r="BD256" s="7"/>
      <c r="BE256" s="7"/>
      <c r="BF256" s="7"/>
      <c r="BG256" s="7"/>
    </row>
    <row r="257" customHeight="1" spans="1:59">
      <c r="A257" s="9" t="str">
        <f>IFERROR(__xludf.DUMMYFUNCTION("""COMPUTED_VALUE"""),"Daymar")</f>
        <v>Daymar</v>
      </c>
      <c r="B257" s="5" t="str">
        <f>IFERROR(__xludf.DUMMYFUNCTION("""COMPUTED_VALUE"""),"Daymar 26")</f>
        <v>Daymar 26</v>
      </c>
      <c r="C257" s="5"/>
      <c r="D257" s="5" t="str">
        <f>IFERROR(__xludf.DUMMYFUNCTION("""COMPUTED_VALUE"""),"Racetracks")</f>
        <v>Racetracks</v>
      </c>
      <c r="E257" s="7"/>
      <c r="F257" s="11"/>
      <c r="G257" s="11"/>
      <c r="H257" s="11"/>
      <c r="I257" s="15"/>
      <c r="J257" s="15"/>
      <c r="K257" s="15"/>
      <c r="L257" s="15"/>
      <c r="M257" s="7"/>
      <c r="N257" s="10"/>
      <c r="O257" s="10"/>
      <c r="P257" s="8"/>
      <c r="Q257" s="7"/>
      <c r="R257" s="16"/>
      <c r="S257" s="17"/>
      <c r="T257" s="8"/>
      <c r="U257" s="8"/>
      <c r="V257" s="22"/>
      <c r="W257" s="12"/>
      <c r="X257" s="12"/>
      <c r="Y257" s="12"/>
      <c r="Z257" s="12"/>
      <c r="AA257" s="7"/>
      <c r="AB257" s="12"/>
      <c r="AC257" s="6"/>
      <c r="AD257" s="6"/>
      <c r="AE257" s="7"/>
      <c r="AF257" s="7"/>
      <c r="AG257" s="7"/>
      <c r="AH257" s="7"/>
      <c r="AI257" s="7"/>
      <c r="AJ257" s="7"/>
      <c r="AK257" s="7"/>
      <c r="AL257" s="7"/>
      <c r="AM257" s="7"/>
      <c r="AN257" s="7"/>
      <c r="AO257" s="6"/>
      <c r="AP257" s="7"/>
      <c r="AQ257" s="7"/>
      <c r="AR257" s="6"/>
      <c r="AS257" s="7"/>
      <c r="AT257" s="7"/>
      <c r="AU257" s="7"/>
      <c r="AV257" s="7"/>
      <c r="AW257" s="7"/>
      <c r="AX257" s="7"/>
      <c r="AY257" s="7"/>
      <c r="AZ257" s="7"/>
      <c r="BA257" s="7"/>
      <c r="BB257" s="7"/>
      <c r="BC257" s="7"/>
      <c r="BD257" s="7"/>
      <c r="BE257" s="7"/>
      <c r="BF257" s="7"/>
      <c r="BG257" s="7"/>
    </row>
    <row r="258" customHeight="1" spans="1:59">
      <c r="A258" s="9" t="str">
        <f>IFERROR(__xludf.DUMMYFUNCTION("""COMPUTED_VALUE"""),"Daymar 21")</f>
        <v>Daymar 21</v>
      </c>
      <c r="B258" s="5" t="str">
        <f>IFERROR(__xludf.DUMMYFUNCTION("""COMPUTED_VALUE"""),"Daymar 27")</f>
        <v>Daymar 27</v>
      </c>
      <c r="C258" s="5" t="str">
        <f>IFERROR(__xludf.DUMMYFUNCTION("""COMPUTED_VALUE"""),"Daymar 09")</f>
        <v>Daymar 09</v>
      </c>
      <c r="D258" s="5" t="str">
        <f>IFERROR(__xludf.DUMMYFUNCTION("""COMPUTED_VALUE"""),"Yadar Valley")</f>
        <v>Yadar Valley</v>
      </c>
      <c r="E258" s="7" t="str">
        <f>IFERROR(__xludf.DUMMYFUNCTION("""COMPUTED_VALUE"""),"Yadar")</f>
        <v>Yadar</v>
      </c>
      <c r="F258" s="11">
        <f>IFERROR(__xludf.DUMMYFUNCTION("""COMPUTED_VALUE"""),-171.7979096)</f>
        <v>-171.7979096</v>
      </c>
      <c r="G258" s="11">
        <f>IFERROR(__xludf.DUMMYFUNCTION("""COMPUTED_VALUE"""),157.576253494)</f>
        <v>157.576253494</v>
      </c>
      <c r="H258" s="11">
        <f>IFERROR(__xludf.DUMMYFUNCTION("""COMPUTED_VALUE"""),181.014665399999)</f>
        <v>181.014665399999</v>
      </c>
      <c r="I258" s="15"/>
      <c r="J258" s="15"/>
      <c r="K258" s="15"/>
      <c r="L258" s="15"/>
      <c r="M258" s="7" t="b">
        <f>IFERROR(__xludf.DUMMYFUNCTION("""COMPUTED_VALUE"""),FALSE)</f>
        <v>0</v>
      </c>
      <c r="N258" s="10">
        <f>IFERROR(__xludf.DUMMYFUNCTION("""COMPUTED_VALUE"""),0)</f>
        <v>0</v>
      </c>
      <c r="O258" s="10">
        <f>IFERROR(__xludf.DUMMYFUNCTION("""COMPUTED_VALUE"""),0)</f>
        <v>0</v>
      </c>
      <c r="P258" s="8"/>
      <c r="Q258" s="7"/>
      <c r="R258" s="16"/>
      <c r="S258" s="17"/>
      <c r="T258" s="8"/>
      <c r="U258" s="8"/>
      <c r="V258" s="22"/>
      <c r="W258" s="12"/>
      <c r="X258" s="12"/>
      <c r="Y258" s="12"/>
      <c r="Z258" s="12"/>
      <c r="AA258" s="7"/>
      <c r="AB258" s="12"/>
      <c r="AC258" s="6"/>
      <c r="AD258" s="6"/>
      <c r="AE258" s="7"/>
      <c r="AF258" s="7"/>
      <c r="AG258" s="7"/>
      <c r="AH258" s="7"/>
      <c r="AI258" s="7"/>
      <c r="AJ258" s="7"/>
      <c r="AK258" s="7"/>
      <c r="AL258" s="7"/>
      <c r="AM258" s="7"/>
      <c r="AN258" s="7"/>
      <c r="AO258" s="6"/>
      <c r="AP258" s="7"/>
      <c r="AQ258" s="7"/>
      <c r="AR258" s="6"/>
      <c r="AS258" s="7"/>
      <c r="AT258" s="7"/>
      <c r="AU258" s="7"/>
      <c r="AV258" s="7"/>
      <c r="AW258" s="7"/>
      <c r="AX258" s="7"/>
      <c r="AY258" s="7"/>
      <c r="AZ258" s="7"/>
      <c r="BA258" s="7"/>
      <c r="BB258" s="7"/>
      <c r="BC258" s="7"/>
      <c r="BD258" s="7"/>
      <c r="BE258" s="7"/>
      <c r="BF258" s="7"/>
      <c r="BG258" s="7"/>
    </row>
    <row r="259" customHeight="1" spans="1:59">
      <c r="A259" s="9" t="str">
        <f>IFERROR(__xludf.DUMMYFUNCTION("""COMPUTED_VALUE"""),"Daymar")</f>
        <v>Daymar</v>
      </c>
      <c r="B259" s="5" t="str">
        <f>IFERROR(__xludf.DUMMYFUNCTION("""COMPUTED_VALUE"""),"Daymar 29")</f>
        <v>Daymar 29</v>
      </c>
      <c r="C259" s="5"/>
      <c r="D259" s="5" t="str">
        <f>IFERROR(__xludf.DUMMYFUNCTION("""COMPUTED_VALUE"""),"Settlements")</f>
        <v>Settlements</v>
      </c>
      <c r="E259" s="7"/>
      <c r="F259" s="11"/>
      <c r="G259" s="11"/>
      <c r="H259" s="11"/>
      <c r="I259" s="15"/>
      <c r="J259" s="15"/>
      <c r="K259" s="15"/>
      <c r="L259" s="15"/>
      <c r="M259" s="7"/>
      <c r="N259" s="10"/>
      <c r="O259" s="10"/>
      <c r="P259" s="8"/>
      <c r="Q259" s="7"/>
      <c r="R259" s="16"/>
      <c r="S259" s="17"/>
      <c r="T259" s="8"/>
      <c r="U259" s="8"/>
      <c r="V259" s="22"/>
      <c r="W259" s="12"/>
      <c r="X259" s="12"/>
      <c r="Y259" s="12"/>
      <c r="Z259" s="12"/>
      <c r="AA259" s="7"/>
      <c r="AB259" s="12"/>
      <c r="AC259" s="6"/>
      <c r="AD259" s="6"/>
      <c r="AE259" s="7"/>
      <c r="AF259" s="7"/>
      <c r="AG259" s="7"/>
      <c r="AH259" s="7"/>
      <c r="AI259" s="7"/>
      <c r="AJ259" s="7"/>
      <c r="AK259" s="7"/>
      <c r="AL259" s="7"/>
      <c r="AM259" s="7"/>
      <c r="AN259" s="7"/>
      <c r="AO259" s="6"/>
      <c r="AP259" s="7"/>
      <c r="AQ259" s="7"/>
      <c r="AR259" s="6"/>
      <c r="AS259" s="7"/>
      <c r="AT259" s="7"/>
      <c r="AU259" s="7"/>
      <c r="AV259" s="7"/>
      <c r="AW259" s="7"/>
      <c r="AX259" s="7"/>
      <c r="AY259" s="7"/>
      <c r="AZ259" s="7"/>
      <c r="BA259" s="7"/>
      <c r="BB259" s="7"/>
      <c r="BC259" s="7"/>
      <c r="BD259" s="7"/>
      <c r="BE259" s="7"/>
      <c r="BF259" s="7"/>
      <c r="BG259" s="7"/>
    </row>
    <row r="260" customHeight="1" spans="1:59">
      <c r="A260" s="9" t="str">
        <f>IFERROR(__xludf.DUMMYFUNCTION("""COMPUTED_VALUE"""),"Daymar 22")</f>
        <v>Daymar 22</v>
      </c>
      <c r="B260" s="5" t="str">
        <f>IFERROR(__xludf.DUMMYFUNCTION("""COMPUTED_VALUE"""),"Daymar 30")</f>
        <v>Daymar 30</v>
      </c>
      <c r="C260" s="5" t="str">
        <f>IFERROR(__xludf.DUMMYFUNCTION("""COMPUTED_VALUE"""),"Daymar 30")</f>
        <v>Daymar 30</v>
      </c>
      <c r="D260" s="5" t="str">
        <f>IFERROR(__xludf.DUMMYFUNCTION("""COMPUTED_VALUE"""),"Whistler's Crypt")</f>
        <v>Whistler's Crypt</v>
      </c>
      <c r="E260" s="7" t="str">
        <f>IFERROR(__xludf.DUMMYFUNCTION("""COMPUTED_VALUE"""),"Whistler")</f>
        <v>Whistler</v>
      </c>
      <c r="F260" s="11">
        <f>IFERROR(__xludf.DUMMYFUNCTION("""COMPUTED_VALUE"""),182.233)</f>
        <v>182.233</v>
      </c>
      <c r="G260" s="11">
        <f>IFERROR(__xludf.DUMMYFUNCTION("""COMPUTED_VALUE"""),222.588)</f>
        <v>222.588</v>
      </c>
      <c r="H260" s="11">
        <f>IFERROR(__xludf.DUMMYFUNCTION("""COMPUTED_VALUE"""),65.545)</f>
        <v>65.545</v>
      </c>
      <c r="I260" s="15"/>
      <c r="J260" s="15"/>
      <c r="K260" s="15"/>
      <c r="L260" s="15"/>
      <c r="M260" s="7" t="b">
        <f>IFERROR(__xludf.DUMMYFUNCTION("""COMPUTED_VALUE"""),FALSE)</f>
        <v>0</v>
      </c>
      <c r="N260" s="10">
        <f>IFERROR(__xludf.DUMMYFUNCTION("""COMPUTED_VALUE"""),0)</f>
        <v>0</v>
      </c>
      <c r="O260" s="10">
        <f>IFERROR(__xludf.DUMMYFUNCTION("""COMPUTED_VALUE"""),0)</f>
        <v>0</v>
      </c>
      <c r="P260" s="8"/>
      <c r="Q260" s="7"/>
      <c r="R260" s="16"/>
      <c r="S260" s="17"/>
      <c r="T260" s="8"/>
      <c r="U260" s="8"/>
      <c r="V260" s="22"/>
      <c r="W260" s="12"/>
      <c r="X260" s="12"/>
      <c r="Y260" s="12"/>
      <c r="Z260" s="12"/>
      <c r="AA260" s="7"/>
      <c r="AB260" s="12"/>
      <c r="AC260" s="6"/>
      <c r="AD260" s="6"/>
      <c r="AE260" s="7"/>
      <c r="AF260" s="7"/>
      <c r="AG260" s="7"/>
      <c r="AH260" s="7"/>
      <c r="AI260" s="7"/>
      <c r="AJ260" s="7"/>
      <c r="AK260" s="7"/>
      <c r="AL260" s="7"/>
      <c r="AM260" s="7"/>
      <c r="AN260" s="7"/>
      <c r="AO260" s="6"/>
      <c r="AP260" s="7"/>
      <c r="AQ260" s="7"/>
      <c r="AR260" s="6"/>
      <c r="AS260" s="7"/>
      <c r="AT260" s="7"/>
      <c r="AU260" s="7"/>
      <c r="AV260" s="7"/>
      <c r="AW260" s="7"/>
      <c r="AX260" s="7"/>
      <c r="AY260" s="7"/>
      <c r="AZ260" s="7"/>
      <c r="BA260" s="7"/>
      <c r="BB260" s="7"/>
      <c r="BC260" s="7"/>
      <c r="BD260" s="7"/>
      <c r="BE260" s="7"/>
      <c r="BF260" s="7"/>
      <c r="BG260" s="7"/>
    </row>
    <row r="261" customHeight="1" spans="1:59">
      <c r="A261" s="9" t="str">
        <f>IFERROR(__xludf.DUMMYFUNCTION("""COMPUTED_VALUE"""),"Daymar 26")</f>
        <v>Daymar 26</v>
      </c>
      <c r="B261" s="5" t="str">
        <f>IFERROR(__xludf.DUMMYFUNCTION("""COMPUTED_VALUE"""),"Daymar 34")</f>
        <v>Daymar 34</v>
      </c>
      <c r="C261" s="5" t="str">
        <f>IFERROR(__xludf.DUMMYFUNCTION("""COMPUTED_VALUE"""),"Daymar 46")</f>
        <v>Daymar 46</v>
      </c>
      <c r="D261" s="5" t="str">
        <f>IFERROR(__xludf.DUMMYFUNCTION("""COMPUTED_VALUE"""),"Settlement 22U")</f>
        <v>Settlement 22U</v>
      </c>
      <c r="E261" s="7" t="str">
        <f>IFERROR(__xludf.DUMMYFUNCTION("""COMPUTED_VALUE"""),"Settlement 22U")</f>
        <v>Settlement 22U</v>
      </c>
      <c r="F261" s="11">
        <f>IFERROR(__xludf.DUMMYFUNCTION("""COMPUTED_VALUE"""),124.959683383)</f>
        <v>124.959683383</v>
      </c>
      <c r="G261" s="11">
        <f>IFERROR(__xludf.DUMMYFUNCTION("""COMPUTED_VALUE"""),-148.641389276)</f>
        <v>-148.641389276</v>
      </c>
      <c r="H261" s="11">
        <f>IFERROR(__xludf.DUMMYFUNCTION("""COMPUTED_VALUE"""),222.355427660999)</f>
        <v>222.355427660999</v>
      </c>
      <c r="I261" s="15"/>
      <c r="J261" s="15"/>
      <c r="K261" s="15"/>
      <c r="L261" s="15"/>
      <c r="M261" s="7" t="b">
        <f>IFERROR(__xludf.DUMMYFUNCTION("""COMPUTED_VALUE"""),FALSE)</f>
        <v>0</v>
      </c>
      <c r="N261" s="10"/>
      <c r="O261" s="10"/>
      <c r="P261" s="8"/>
      <c r="Q261" s="7"/>
      <c r="R261" s="16"/>
      <c r="S261" s="17"/>
      <c r="T261" s="8"/>
      <c r="U261" s="8"/>
      <c r="V261" s="22"/>
      <c r="W261" s="12"/>
      <c r="X261" s="12"/>
      <c r="Y261" s="12"/>
      <c r="Z261" s="12"/>
      <c r="AA261" s="7"/>
      <c r="AB261" s="12"/>
      <c r="AC261" s="6"/>
      <c r="AD261" s="6"/>
      <c r="AE261" s="7"/>
      <c r="AF261" s="7"/>
      <c r="AG261" s="7"/>
      <c r="AH261" s="7"/>
      <c r="AI261" s="7"/>
      <c r="AJ261" s="7"/>
      <c r="AK261" s="7"/>
      <c r="AL261" s="7"/>
      <c r="AM261" s="7"/>
      <c r="AN261" s="7"/>
      <c r="AO261" s="6"/>
      <c r="AP261" s="7"/>
      <c r="AQ261" s="7"/>
      <c r="AR261" s="6"/>
      <c r="AS261" s="7"/>
      <c r="AT261" s="7"/>
      <c r="AU261" s="7"/>
      <c r="AV261" s="7"/>
      <c r="AW261" s="7"/>
      <c r="AX261" s="7"/>
      <c r="AY261" s="7"/>
      <c r="AZ261" s="7"/>
      <c r="BA261" s="7"/>
      <c r="BB261" s="7"/>
      <c r="BC261" s="7"/>
      <c r="BD261" s="7"/>
      <c r="BE261" s="7"/>
      <c r="BF261" s="7"/>
      <c r="BG261" s="7"/>
    </row>
    <row r="262" customHeight="1" spans="1:59">
      <c r="A262" s="9" t="str">
        <f>IFERROR(__xludf.DUMMYFUNCTION("""COMPUTED_VALUE"""),"Daymar 27")</f>
        <v>Daymar 27</v>
      </c>
      <c r="B262" s="5" t="str">
        <f>IFERROR(__xludf.DUMMYFUNCTION("""COMPUTED_VALUE"""),"Daymar 35")</f>
        <v>Daymar 35</v>
      </c>
      <c r="C262" s="5" t="str">
        <f>IFERROR(__xludf.DUMMYFUNCTION("""COMPUTED_VALUE"""),"Daymar 22")</f>
        <v>Daymar 22</v>
      </c>
      <c r="D262" s="5" t="str">
        <f>IFERROR(__xludf.DUMMYFUNCTION("""COMPUTED_VALUE"""),"Settlement 45U")</f>
        <v>Settlement 45U</v>
      </c>
      <c r="E262" s="7" t="str">
        <f>IFERROR(__xludf.DUMMYFUNCTION("""COMPUTED_VALUE"""),"Settlement 45U")</f>
        <v>Settlement 45U</v>
      </c>
      <c r="F262" s="11">
        <f>IFERROR(__xludf.DUMMYFUNCTION("""COMPUTED_VALUE"""),4.25840597299999)</f>
        <v>4.25840597299999</v>
      </c>
      <c r="G262" s="11">
        <f>IFERROR(__xludf.DUMMYFUNCTION("""COMPUTED_VALUE"""),191.418437493)</f>
        <v>191.418437493</v>
      </c>
      <c r="H262" s="11">
        <f>IFERROR(__xludf.DUMMYFUNCTION("""COMPUTED_VALUE"""),225.000645625)</f>
        <v>225.000645625</v>
      </c>
      <c r="I262" s="15"/>
      <c r="J262" s="15"/>
      <c r="K262" s="15"/>
      <c r="L262" s="15"/>
      <c r="M262" s="7" t="b">
        <f>IFERROR(__xludf.DUMMYFUNCTION("""COMPUTED_VALUE"""),FALSE)</f>
        <v>0</v>
      </c>
      <c r="N262" s="10"/>
      <c r="O262" s="10"/>
      <c r="P262" s="8"/>
      <c r="Q262" s="7"/>
      <c r="R262" s="16"/>
      <c r="S262" s="17"/>
      <c r="T262" s="8"/>
      <c r="U262" s="8"/>
      <c r="V262" s="22"/>
      <c r="W262" s="12"/>
      <c r="X262" s="12"/>
      <c r="Y262" s="12"/>
      <c r="Z262" s="12"/>
      <c r="AA262" s="7"/>
      <c r="AB262" s="12"/>
      <c r="AC262" s="6"/>
      <c r="AD262" s="6"/>
      <c r="AE262" s="7"/>
      <c r="AF262" s="7"/>
      <c r="AG262" s="7"/>
      <c r="AH262" s="7"/>
      <c r="AI262" s="7"/>
      <c r="AJ262" s="7"/>
      <c r="AK262" s="7"/>
      <c r="AL262" s="7"/>
      <c r="AM262" s="7"/>
      <c r="AN262" s="7"/>
      <c r="AO262" s="6"/>
      <c r="AP262" s="7"/>
      <c r="AQ262" s="7"/>
      <c r="AR262" s="6"/>
      <c r="AS262" s="7"/>
      <c r="AT262" s="7"/>
      <c r="AU262" s="7"/>
      <c r="AV262" s="7"/>
      <c r="AW262" s="7"/>
      <c r="AX262" s="7"/>
      <c r="AY262" s="7"/>
      <c r="AZ262" s="7"/>
      <c r="BA262" s="7"/>
      <c r="BB262" s="7"/>
      <c r="BC262" s="7"/>
      <c r="BD262" s="7"/>
      <c r="BE262" s="7"/>
      <c r="BF262" s="7"/>
      <c r="BG262" s="7"/>
    </row>
    <row r="263" customHeight="1" spans="1:59">
      <c r="A263" s="9" t="str">
        <f>IFERROR(__xludf.DUMMYFUNCTION("""COMPUTED_VALUE"""),"Daymar 25")</f>
        <v>Daymar 25</v>
      </c>
      <c r="B263" s="5" t="str">
        <f>IFERROR(__xludf.DUMMYFUNCTION("""COMPUTED_VALUE"""),"Daymar 33")</f>
        <v>Daymar 33</v>
      </c>
      <c r="C263" s="5" t="str">
        <f>IFERROR(__xludf.DUMMYFUNCTION("""COMPUTED_VALUE"""),"Daymar 47")</f>
        <v>Daymar 47</v>
      </c>
      <c r="D263" s="5" t="str">
        <f>IFERROR(__xludf.DUMMYFUNCTION("""COMPUTED_VALUE"""),"Settlement 22H")</f>
        <v>Settlement 22H</v>
      </c>
      <c r="E263" s="7" t="str">
        <f>IFERROR(__xludf.DUMMYFUNCTION("""COMPUTED_VALUE"""),"Settlement 22H")</f>
        <v>Settlement 22H</v>
      </c>
      <c r="F263" s="11">
        <f>IFERROR(__xludf.DUMMYFUNCTION("""COMPUTED_VALUE"""),157.294227787999)</f>
        <v>157.294227787999</v>
      </c>
      <c r="G263" s="11">
        <f>IFERROR(__xludf.DUMMYFUNCTION("""COMPUTED_VALUE"""),-189.610411583)</f>
        <v>-189.610411583</v>
      </c>
      <c r="H263" s="11">
        <f>IFERROR(__xludf.DUMMYFUNCTION("""COMPUTED_VALUE"""),-162.426784141)</f>
        <v>-162.426784141</v>
      </c>
      <c r="I263" s="15"/>
      <c r="J263" s="15"/>
      <c r="K263" s="15"/>
      <c r="L263" s="15"/>
      <c r="M263" s="7" t="b">
        <f>IFERROR(__xludf.DUMMYFUNCTION("""COMPUTED_VALUE"""),FALSE)</f>
        <v>0</v>
      </c>
      <c r="N263" s="10"/>
      <c r="O263" s="10"/>
      <c r="P263" s="8"/>
      <c r="Q263" s="7"/>
      <c r="R263" s="16"/>
      <c r="S263" s="17"/>
      <c r="T263" s="8"/>
      <c r="U263" s="8"/>
      <c r="V263" s="22"/>
      <c r="W263" s="12"/>
      <c r="X263" s="12"/>
      <c r="Y263" s="12"/>
      <c r="Z263" s="12"/>
      <c r="AA263" s="7"/>
      <c r="AB263" s="12"/>
      <c r="AC263" s="6"/>
      <c r="AD263" s="6"/>
      <c r="AE263" s="7"/>
      <c r="AF263" s="7"/>
      <c r="AG263" s="7"/>
      <c r="AH263" s="7"/>
      <c r="AI263" s="7"/>
      <c r="AJ263" s="7"/>
      <c r="AK263" s="7"/>
      <c r="AL263" s="7"/>
      <c r="AM263" s="7"/>
      <c r="AN263" s="7"/>
      <c r="AO263" s="6"/>
      <c r="AP263" s="7"/>
      <c r="AQ263" s="7"/>
      <c r="AR263" s="6"/>
      <c r="AS263" s="7"/>
      <c r="AT263" s="7"/>
      <c r="AU263" s="7"/>
      <c r="AV263" s="7"/>
      <c r="AW263" s="7"/>
      <c r="AX263" s="7"/>
      <c r="AY263" s="7"/>
      <c r="AZ263" s="7"/>
      <c r="BA263" s="7"/>
      <c r="BB263" s="7"/>
      <c r="BC263" s="7"/>
      <c r="BD263" s="7"/>
      <c r="BE263" s="7"/>
      <c r="BF263" s="7"/>
      <c r="BG263" s="7"/>
    </row>
    <row r="264" customHeight="1" spans="1:59">
      <c r="A264" s="9" t="str">
        <f>IFERROR(__xludf.DUMMYFUNCTION("""COMPUTED_VALUE"""),"Daymar 28")</f>
        <v>Daymar 28</v>
      </c>
      <c r="B264" s="5" t="str">
        <f>IFERROR(__xludf.DUMMYFUNCTION("""COMPUTED_VALUE"""),"Daymar 36")</f>
        <v>Daymar 36</v>
      </c>
      <c r="C264" s="5" t="str">
        <f>IFERROR(__xludf.DUMMYFUNCTION("""COMPUTED_VALUE"""),"Daymar 06")</f>
        <v>Daymar 06</v>
      </c>
      <c r="D264" s="5" t="str">
        <f>IFERROR(__xludf.DUMMYFUNCTION("""COMPUTED_VALUE"""),"Settlement 56G")</f>
        <v>Settlement 56G</v>
      </c>
      <c r="E264" s="7" t="str">
        <f>IFERROR(__xludf.DUMMYFUNCTION("""COMPUTED_VALUE"""),"Settlement 56G")</f>
        <v>Settlement 56G</v>
      </c>
      <c r="F264" s="11">
        <f>IFERROR(__xludf.DUMMYFUNCTION("""COMPUTED_VALUE"""),-180.21903034)</f>
        <v>-180.21903034</v>
      </c>
      <c r="G264" s="11">
        <f>IFERROR(__xludf.DUMMYFUNCTION("""COMPUTED_VALUE"""),102.450227155999)</f>
        <v>102.450227155999</v>
      </c>
      <c r="H264" s="11">
        <f>IFERROR(__xludf.DUMMYFUNCTION("""COMPUTED_VALUE"""),-209.921362674)</f>
        <v>-209.921362674</v>
      </c>
      <c r="I264" s="15"/>
      <c r="J264" s="15"/>
      <c r="K264" s="15"/>
      <c r="L264" s="15"/>
      <c r="M264" s="7" t="b">
        <f>IFERROR(__xludf.DUMMYFUNCTION("""COMPUTED_VALUE"""),FALSE)</f>
        <v>0</v>
      </c>
      <c r="N264" s="10"/>
      <c r="O264" s="10"/>
      <c r="P264" s="8"/>
      <c r="Q264" s="7"/>
      <c r="R264" s="16"/>
      <c r="S264" s="17"/>
      <c r="T264" s="8"/>
      <c r="U264" s="8"/>
      <c r="V264" s="22"/>
      <c r="W264" s="12"/>
      <c r="X264" s="12"/>
      <c r="Y264" s="12"/>
      <c r="Z264" s="12"/>
      <c r="AA264" s="7"/>
      <c r="AB264" s="12"/>
      <c r="AC264" s="6"/>
      <c r="AD264" s="6"/>
      <c r="AE264" s="7"/>
      <c r="AF264" s="7"/>
      <c r="AG264" s="7"/>
      <c r="AH264" s="7"/>
      <c r="AI264" s="7"/>
      <c r="AJ264" s="7"/>
      <c r="AK264" s="7"/>
      <c r="AL264" s="7"/>
      <c r="AM264" s="7"/>
      <c r="AN264" s="7"/>
      <c r="AO264" s="6"/>
      <c r="AP264" s="7"/>
      <c r="AQ264" s="7"/>
      <c r="AR264" s="6"/>
      <c r="AS264" s="7"/>
      <c r="AT264" s="7"/>
      <c r="AU264" s="7"/>
      <c r="AV264" s="7"/>
      <c r="AW264" s="7"/>
      <c r="AX264" s="7"/>
      <c r="AY264" s="7"/>
      <c r="AZ264" s="7"/>
      <c r="BA264" s="7"/>
      <c r="BB264" s="7"/>
      <c r="BC264" s="7"/>
      <c r="BD264" s="7"/>
      <c r="BE264" s="7"/>
      <c r="BF264" s="7"/>
      <c r="BG264" s="7"/>
    </row>
    <row r="265" customHeight="1" spans="1:59">
      <c r="A265" s="9" t="str">
        <f>IFERROR(__xludf.DUMMYFUNCTION("""COMPUTED_VALUE"""),"Daymar 23")</f>
        <v>Daymar 23</v>
      </c>
      <c r="B265" s="5" t="str">
        <f>IFERROR(__xludf.DUMMYFUNCTION("""COMPUTED_VALUE"""),"Daymar 31")</f>
        <v>Daymar 31</v>
      </c>
      <c r="C265" s="5" t="str">
        <f>IFERROR(__xludf.DUMMYFUNCTION("""COMPUTED_VALUE"""),"Daymar 63")</f>
        <v>Daymar 63</v>
      </c>
      <c r="D265" s="5" t="str">
        <f>IFERROR(__xludf.DUMMYFUNCTION("""COMPUTED_VALUE"""),"Settlement 08S")</f>
        <v>Settlement 08S</v>
      </c>
      <c r="E265" s="7" t="str">
        <f>IFERROR(__xludf.DUMMYFUNCTION("""COMPUTED_VALUE"""),"Settlement 08S")</f>
        <v>Settlement 08S</v>
      </c>
      <c r="F265" s="11">
        <f>IFERROR(__xludf.DUMMYFUNCTION("""COMPUTED_VALUE"""),-171.120180567)</f>
        <v>-171.120180567</v>
      </c>
      <c r="G265" s="11">
        <f>IFERROR(__xludf.DUMMYFUNCTION("""COMPUTED_VALUE"""),-163.647997459)</f>
        <v>-163.647997459</v>
      </c>
      <c r="H265" s="11">
        <f>IFERROR(__xludf.DUMMYFUNCTION("""COMPUTED_VALUE"""),176.529683862)</f>
        <v>176.529683862</v>
      </c>
      <c r="I265" s="15"/>
      <c r="J265" s="15"/>
      <c r="K265" s="15"/>
      <c r="L265" s="15"/>
      <c r="M265" s="7" t="b">
        <f>IFERROR(__xludf.DUMMYFUNCTION("""COMPUTED_VALUE"""),FALSE)</f>
        <v>0</v>
      </c>
      <c r="N265" s="10"/>
      <c r="O265" s="10"/>
      <c r="P265" s="8"/>
      <c r="Q265" s="7"/>
      <c r="R265" s="16"/>
      <c r="S265" s="17"/>
      <c r="T265" s="8"/>
      <c r="U265" s="8"/>
      <c r="V265" s="22"/>
      <c r="W265" s="12"/>
      <c r="X265" s="12"/>
      <c r="Y265" s="12"/>
      <c r="Z265" s="12"/>
      <c r="AA265" s="7"/>
      <c r="AB265" s="12"/>
      <c r="AC265" s="6"/>
      <c r="AD265" s="6"/>
      <c r="AE265" s="7"/>
      <c r="AF265" s="7"/>
      <c r="AG265" s="7"/>
      <c r="AH265" s="7"/>
      <c r="AI265" s="7"/>
      <c r="AJ265" s="7"/>
      <c r="AK265" s="7"/>
      <c r="AL265" s="7"/>
      <c r="AM265" s="7"/>
      <c r="AN265" s="7"/>
      <c r="AO265" s="6"/>
      <c r="AP265" s="7"/>
      <c r="AQ265" s="7"/>
      <c r="AR265" s="6"/>
      <c r="AS265" s="7"/>
      <c r="AT265" s="7"/>
      <c r="AU265" s="7"/>
      <c r="AV265" s="7"/>
      <c r="AW265" s="7"/>
      <c r="AX265" s="7"/>
      <c r="AY265" s="7"/>
      <c r="AZ265" s="7"/>
      <c r="BA265" s="7"/>
      <c r="BB265" s="7"/>
      <c r="BC265" s="7"/>
      <c r="BD265" s="7"/>
      <c r="BE265" s="7"/>
      <c r="BF265" s="7"/>
      <c r="BG265" s="7"/>
    </row>
    <row r="266" customHeight="1" spans="1:59">
      <c r="A266" s="9" t="str">
        <f>IFERROR(__xludf.DUMMYFUNCTION("""COMPUTED_VALUE"""),"Daymar 24")</f>
        <v>Daymar 24</v>
      </c>
      <c r="B266" s="5" t="str">
        <f>IFERROR(__xludf.DUMMYFUNCTION("""COMPUTED_VALUE"""),"Daymar 32")</f>
        <v>Daymar 32</v>
      </c>
      <c r="C266" s="5" t="str">
        <f>IFERROR(__xludf.DUMMYFUNCTION("""COMPUTED_VALUE"""),"Daymar 53")</f>
        <v>Daymar 53</v>
      </c>
      <c r="D266" s="5" t="str">
        <f>IFERROR(__xludf.DUMMYFUNCTION("""COMPUTED_VALUE"""),"Settlement 18S")</f>
        <v>Settlement 18S</v>
      </c>
      <c r="E266" s="7" t="str">
        <f>IFERROR(__xludf.DUMMYFUNCTION("""COMPUTED_VALUE"""),"Settlement 18S")</f>
        <v>Settlement 18S</v>
      </c>
      <c r="F266" s="11">
        <f>IFERROR(__xludf.DUMMYFUNCTION("""COMPUTED_VALUE"""),58.3047788839998)</f>
        <v>58.3047788839998</v>
      </c>
      <c r="G266" s="11">
        <f>IFERROR(__xludf.DUMMYFUNCTION("""COMPUTED_VALUE"""),-233.734591893)</f>
        <v>-233.734591893</v>
      </c>
      <c r="H266" s="11">
        <f>IFERROR(__xludf.DUMMYFUNCTION("""COMPUTED_VALUE"""),171.439528446999)</f>
        <v>171.439528446999</v>
      </c>
      <c r="I266" s="15"/>
      <c r="J266" s="15"/>
      <c r="K266" s="15"/>
      <c r="L266" s="15"/>
      <c r="M266" s="7" t="b">
        <f>IFERROR(__xludf.DUMMYFUNCTION("""COMPUTED_VALUE"""),FALSE)</f>
        <v>0</v>
      </c>
      <c r="N266" s="10"/>
      <c r="O266" s="10"/>
      <c r="P266" s="8"/>
      <c r="Q266" s="7"/>
      <c r="R266" s="16"/>
      <c r="S266" s="17"/>
      <c r="T266" s="8"/>
      <c r="U266" s="8"/>
      <c r="V266" s="22"/>
      <c r="W266" s="12"/>
      <c r="X266" s="12"/>
      <c r="Y266" s="12"/>
      <c r="Z266" s="12"/>
      <c r="AA266" s="7"/>
      <c r="AB266" s="12"/>
      <c r="AC266" s="6"/>
      <c r="AD266" s="6"/>
      <c r="AE266" s="7"/>
      <c r="AF266" s="7"/>
      <c r="AG266" s="7"/>
      <c r="AH266" s="7"/>
      <c r="AI266" s="7"/>
      <c r="AJ266" s="7"/>
      <c r="AK266" s="7"/>
      <c r="AL266" s="7"/>
      <c r="AM266" s="7"/>
      <c r="AN266" s="7"/>
      <c r="AO266" s="6"/>
      <c r="AP266" s="7"/>
      <c r="AQ266" s="7"/>
      <c r="AR266" s="6"/>
      <c r="AS266" s="7"/>
      <c r="AT266" s="7"/>
      <c r="AU266" s="7"/>
      <c r="AV266" s="7"/>
      <c r="AW266" s="7"/>
      <c r="AX266" s="7"/>
      <c r="AY266" s="7"/>
      <c r="AZ266" s="7"/>
      <c r="BA266" s="7"/>
      <c r="BB266" s="7"/>
      <c r="BC266" s="7"/>
      <c r="BD266" s="7"/>
      <c r="BE266" s="7"/>
      <c r="BF266" s="7"/>
      <c r="BG266" s="7"/>
    </row>
    <row r="267" customHeight="1" spans="1:59">
      <c r="A267" s="9" t="str">
        <f>IFERROR(__xludf.DUMMYFUNCTION("""COMPUTED_VALUE"""),"Daymar")</f>
        <v>Daymar</v>
      </c>
      <c r="B267" s="5" t="str">
        <f>IFERROR(__xludf.DUMMYFUNCTION("""COMPUTED_VALUE"""),"Daymar 38")</f>
        <v>Daymar 38</v>
      </c>
      <c r="C267" s="5"/>
      <c r="D267" s="5" t="str">
        <f>IFERROR(__xludf.DUMMYFUNCTION("""COMPUTED_VALUE"""),"Caves")</f>
        <v>Caves</v>
      </c>
      <c r="E267" s="7"/>
      <c r="F267" s="11"/>
      <c r="G267" s="11"/>
      <c r="H267" s="11"/>
      <c r="I267" s="15"/>
      <c r="J267" s="15"/>
      <c r="K267" s="15"/>
      <c r="L267" s="15"/>
      <c r="M267" s="7"/>
      <c r="N267" s="10"/>
      <c r="O267" s="10"/>
      <c r="P267" s="8"/>
      <c r="Q267" s="7"/>
      <c r="R267" s="16"/>
      <c r="S267" s="17"/>
      <c r="T267" s="8"/>
      <c r="U267" s="8"/>
      <c r="V267" s="22"/>
      <c r="W267" s="12"/>
      <c r="X267" s="12"/>
      <c r="Y267" s="12"/>
      <c r="Z267" s="12"/>
      <c r="AA267" s="7"/>
      <c r="AB267" s="12"/>
      <c r="AC267" s="6"/>
      <c r="AD267" s="6"/>
      <c r="AE267" s="7"/>
      <c r="AF267" s="7"/>
      <c r="AG267" s="7"/>
      <c r="AH267" s="7"/>
      <c r="AI267" s="7"/>
      <c r="AJ267" s="7"/>
      <c r="AK267" s="7"/>
      <c r="AL267" s="7"/>
      <c r="AM267" s="7"/>
      <c r="AN267" s="7"/>
      <c r="AO267" s="6"/>
      <c r="AP267" s="7"/>
      <c r="AQ267" s="7"/>
      <c r="AR267" s="6"/>
      <c r="AS267" s="7"/>
      <c r="AT267" s="7"/>
      <c r="AU267" s="7"/>
      <c r="AV267" s="7"/>
      <c r="AW267" s="7"/>
      <c r="AX267" s="7"/>
      <c r="AY267" s="7"/>
      <c r="AZ267" s="7"/>
      <c r="BA267" s="7"/>
      <c r="BB267" s="7"/>
      <c r="BC267" s="7"/>
      <c r="BD267" s="7"/>
      <c r="BE267" s="7"/>
      <c r="BF267" s="7"/>
      <c r="BG267" s="7"/>
    </row>
    <row r="268" customHeight="1" spans="1:59">
      <c r="A268" s="9" t="str">
        <f>IFERROR(__xludf.DUMMYFUNCTION("""COMPUTED_VALUE"""),"Daymar 18")</f>
        <v>Daymar 18</v>
      </c>
      <c r="B268" s="5" t="str">
        <f>IFERROR(__xludf.DUMMYFUNCTION("""COMPUTED_VALUE"""),"Daymar 39")</f>
        <v>Daymar 39</v>
      </c>
      <c r="C268" s="5" t="str">
        <f>IFERROR(__xludf.DUMMYFUNCTION("""COMPUTED_VALUE"""),"Daymar 52")</f>
        <v>Daymar 52</v>
      </c>
      <c r="D268" s="5" t="str">
        <f>IFERROR(__xludf.DUMMYFUNCTION("""COMPUTED_VALUE"""),"Kudre Ore Mine (Closed)")</f>
        <v>Kudre Ore Mine (Closed)</v>
      </c>
      <c r="E268" s="7" t="str">
        <f>IFERROR(__xludf.DUMMYFUNCTION("""COMPUTED_VALUE"""),"Kudre Cave")</f>
        <v>Kudre Cave</v>
      </c>
      <c r="F268" s="11">
        <f>IFERROR(__xludf.DUMMYFUNCTION("""COMPUTED_VALUE"""),81.0076702389147)</f>
        <v>81.0076702389147</v>
      </c>
      <c r="G268" s="11">
        <f>IFERROR(__xludf.DUMMYFUNCTION("""COMPUTED_VALUE"""),-280.683338081131)</f>
        <v>-280.683338081131</v>
      </c>
      <c r="H268" s="11">
        <f>IFERROR(__xludf.DUMMYFUNCTION("""COMPUTED_VALUE"""),43.6486983371916)</f>
        <v>43.6486983371916</v>
      </c>
      <c r="I268" s="15"/>
      <c r="J268" s="15"/>
      <c r="K268" s="15"/>
      <c r="L268" s="15"/>
      <c r="M268" s="7" t="b">
        <f>IFERROR(__xludf.DUMMYFUNCTION("""COMPUTED_VALUE"""),TRUE)</f>
        <v>1</v>
      </c>
      <c r="N268" s="10">
        <f>IFERROR(__xludf.DUMMYFUNCTION("""COMPUTED_VALUE"""),0)</f>
        <v>0</v>
      </c>
      <c r="O268" s="10">
        <f>IFERROR(__xludf.DUMMYFUNCTION("""COMPUTED_VALUE"""),0)</f>
        <v>0</v>
      </c>
      <c r="P268" s="8"/>
      <c r="Q268" s="7"/>
      <c r="R268" s="16"/>
      <c r="S268" s="17"/>
      <c r="T268" s="8"/>
      <c r="U268" s="8"/>
      <c r="V268" s="22"/>
      <c r="W268" s="12"/>
      <c r="X268" s="12"/>
      <c r="Y268" s="12"/>
      <c r="Z268" s="12"/>
      <c r="AA268" s="7"/>
      <c r="AB268" s="12"/>
      <c r="AC268" s="6"/>
      <c r="AD268" s="6"/>
      <c r="AE268" s="7"/>
      <c r="AF268" s="7"/>
      <c r="AG268" s="7"/>
      <c r="AH268" s="7"/>
      <c r="AI268" s="7"/>
      <c r="AJ268" s="7"/>
      <c r="AK268" s="7"/>
      <c r="AL268" s="7"/>
      <c r="AM268" s="7"/>
      <c r="AN268" s="7"/>
      <c r="AO268" s="6"/>
      <c r="AP268" s="7"/>
      <c r="AQ268" s="7"/>
      <c r="AR268" s="6"/>
      <c r="AS268" s="7"/>
      <c r="AT268" s="7"/>
      <c r="AU268" s="7"/>
      <c r="AV268" s="7"/>
      <c r="AW268" s="7"/>
      <c r="AX268" s="7"/>
      <c r="AY268" s="7"/>
      <c r="AZ268" s="7"/>
      <c r="BA268" s="7"/>
      <c r="BB268" s="7"/>
      <c r="BC268" s="7"/>
      <c r="BD268" s="7"/>
      <c r="BE268" s="7"/>
      <c r="BF268" s="7"/>
      <c r="BG268" s="7"/>
    </row>
    <row r="269" customHeight="1" spans="1:59">
      <c r="A269" s="9" t="str">
        <f>IFERROR(__xludf.DUMMYFUNCTION("""COMPUTED_VALUE"""),"Daymar 33")</f>
        <v>Daymar 33</v>
      </c>
      <c r="B269" s="5" t="str">
        <f>IFERROR(__xludf.DUMMYFUNCTION("""COMPUTED_VALUE"""),"Daymar 44")</f>
        <v>Daymar 44</v>
      </c>
      <c r="C269" s="5" t="str">
        <f>IFERROR(__xludf.DUMMYFUNCTION("""COMPUTED_VALUE"""),"Daymar 05")</f>
        <v>Daymar 05</v>
      </c>
      <c r="D269" s="5" t="str">
        <f>IFERROR(__xludf.DUMMYFUNCTION("""COMPUTED_VALUE"""),"Rock Cave 57P")</f>
        <v>Rock Cave 57P</v>
      </c>
      <c r="E269" s="7" t="str">
        <f>IFERROR(__xludf.DUMMYFUNCTION("""COMPUTED_VALUE"""),"RCave 57P")</f>
        <v>RCave 57P</v>
      </c>
      <c r="F269" s="11">
        <f>IFERROR(__xludf.DUMMYFUNCTION("""COMPUTED_VALUE"""),-272.652163639452)</f>
        <v>-272.652163639452</v>
      </c>
      <c r="G269" s="11">
        <f>IFERROR(__xludf.DUMMYFUNCTION("""COMPUTED_VALUE"""),102.061596516086)</f>
        <v>102.061596516086</v>
      </c>
      <c r="H269" s="11">
        <f>IFERROR(__xludf.DUMMYFUNCTION("""COMPUTED_VALUE"""),48.6446145996223)</f>
        <v>48.6446145996223</v>
      </c>
      <c r="I269" s="15"/>
      <c r="J269" s="15"/>
      <c r="K269" s="15"/>
      <c r="L269" s="15"/>
      <c r="M269" s="7" t="b">
        <f>IFERROR(__xludf.DUMMYFUNCTION("""COMPUTED_VALUE"""),FALSE)</f>
        <v>0</v>
      </c>
      <c r="N269" s="10">
        <f>IFERROR(__xludf.DUMMYFUNCTION("""COMPUTED_VALUE"""),0)</f>
        <v>0</v>
      </c>
      <c r="O269" s="10">
        <f>IFERROR(__xludf.DUMMYFUNCTION("""COMPUTED_VALUE"""),0)</f>
        <v>0</v>
      </c>
      <c r="P269" s="8"/>
      <c r="Q269" s="7"/>
      <c r="R269" s="16"/>
      <c r="S269" s="17"/>
      <c r="T269" s="8"/>
      <c r="U269" s="8"/>
      <c r="V269" s="22"/>
      <c r="W269" s="12"/>
      <c r="X269" s="12"/>
      <c r="Y269" s="12"/>
      <c r="Z269" s="12"/>
      <c r="AA269" s="7"/>
      <c r="AB269" s="12"/>
      <c r="AC269" s="6"/>
      <c r="AD269" s="6"/>
      <c r="AE269" s="7"/>
      <c r="AF269" s="7"/>
      <c r="AG269" s="7"/>
      <c r="AH269" s="7"/>
      <c r="AI269" s="7"/>
      <c r="AJ269" s="7"/>
      <c r="AK269" s="7"/>
      <c r="AL269" s="7"/>
      <c r="AM269" s="7"/>
      <c r="AN269" s="7"/>
      <c r="AO269" s="6"/>
      <c r="AP269" s="7"/>
      <c r="AQ269" s="7"/>
      <c r="AR269" s="6"/>
      <c r="AS269" s="7"/>
      <c r="AT269" s="7"/>
      <c r="AU269" s="7"/>
      <c r="AV269" s="7"/>
      <c r="AW269" s="7"/>
      <c r="AX269" s="7"/>
      <c r="AY269" s="7"/>
      <c r="AZ269" s="7"/>
      <c r="BA269" s="7"/>
      <c r="BB269" s="7"/>
      <c r="BC269" s="7"/>
      <c r="BD269" s="7"/>
      <c r="BE269" s="7"/>
      <c r="BF269" s="7"/>
      <c r="BG269" s="7"/>
    </row>
    <row r="270" customHeight="1" spans="1:59">
      <c r="A270" s="9" t="str">
        <f>IFERROR(__xludf.DUMMYFUNCTION("""COMPUTED_VALUE"""),"Daymar 32")</f>
        <v>Daymar 32</v>
      </c>
      <c r="B270" s="5" t="str">
        <f>IFERROR(__xludf.DUMMYFUNCTION("""COMPUTED_VALUE"""),"Daymar 43")</f>
        <v>Daymar 43</v>
      </c>
      <c r="C270" s="5" t="str">
        <f>IFERROR(__xludf.DUMMYFUNCTION("""COMPUTED_VALUE"""),"Daymar 28")</f>
        <v>Daymar 28</v>
      </c>
      <c r="D270" s="5" t="str">
        <f>IFERROR(__xludf.DUMMYFUNCTION("""COMPUTED_VALUE"""),"Rock Cave 42Q")</f>
        <v>Rock Cave 42Q</v>
      </c>
      <c r="E270" s="7" t="str">
        <f>IFERROR(__xludf.DUMMYFUNCTION("""COMPUTED_VALUE"""),"RCave 42Q")</f>
        <v>RCave 42Q</v>
      </c>
      <c r="F270" s="11">
        <f>IFERROR(__xludf.DUMMYFUNCTION("""COMPUTED_VALUE"""),108.060453641311)</f>
        <v>108.060453641311</v>
      </c>
      <c r="G270" s="11">
        <f>IFERROR(__xludf.DUMMYFUNCTION("""COMPUTED_VALUE"""),250.300376195933)</f>
        <v>250.300376195933</v>
      </c>
      <c r="H270" s="11">
        <f>IFERROR(__xludf.DUMMYFUNCTION("""COMPUTED_VALUE"""),113.123828665503)</f>
        <v>113.123828665503</v>
      </c>
      <c r="I270" s="15"/>
      <c r="J270" s="15"/>
      <c r="K270" s="15"/>
      <c r="L270" s="15"/>
      <c r="M270" s="7" t="b">
        <f>IFERROR(__xludf.DUMMYFUNCTION("""COMPUTED_VALUE"""),FALSE)</f>
        <v>0</v>
      </c>
      <c r="N270" s="10">
        <f>IFERROR(__xludf.DUMMYFUNCTION("""COMPUTED_VALUE"""),0)</f>
        <v>0</v>
      </c>
      <c r="O270" s="10">
        <f>IFERROR(__xludf.DUMMYFUNCTION("""COMPUTED_VALUE"""),0)</f>
        <v>0</v>
      </c>
      <c r="P270" s="8"/>
      <c r="Q270" s="7"/>
      <c r="R270" s="16"/>
      <c r="S270" s="17"/>
      <c r="T270" s="8"/>
      <c r="U270" s="8"/>
      <c r="V270" s="22"/>
      <c r="W270" s="12"/>
      <c r="X270" s="12"/>
      <c r="Y270" s="12"/>
      <c r="Z270" s="12"/>
      <c r="AA270" s="7"/>
      <c r="AB270" s="12"/>
      <c r="AC270" s="6"/>
      <c r="AD270" s="6"/>
      <c r="AE270" s="7"/>
      <c r="AF270" s="7"/>
      <c r="AG270" s="7"/>
      <c r="AH270" s="7"/>
      <c r="AI270" s="7"/>
      <c r="AJ270" s="7"/>
      <c r="AK270" s="7"/>
      <c r="AL270" s="7"/>
      <c r="AM270" s="7"/>
      <c r="AN270" s="7"/>
      <c r="AO270" s="6"/>
      <c r="AP270" s="7"/>
      <c r="AQ270" s="7"/>
      <c r="AR270" s="6"/>
      <c r="AS270" s="7"/>
      <c r="AT270" s="7"/>
      <c r="AU270" s="7"/>
      <c r="AV270" s="7"/>
      <c r="AW270" s="7"/>
      <c r="AX270" s="7"/>
      <c r="AY270" s="7"/>
      <c r="AZ270" s="7"/>
      <c r="BA270" s="7"/>
      <c r="BB270" s="7"/>
      <c r="BC270" s="7"/>
      <c r="BD270" s="7"/>
      <c r="BE270" s="7"/>
      <c r="BF270" s="7"/>
      <c r="BG270" s="7"/>
    </row>
    <row r="271" customHeight="1" spans="1:59">
      <c r="A271" s="9" t="str">
        <f>IFERROR(__xludf.DUMMYFUNCTION("""COMPUTED_VALUE"""),"Daymar 29")</f>
        <v>Daymar 29</v>
      </c>
      <c r="B271" s="5" t="str">
        <f>IFERROR(__xludf.DUMMYFUNCTION("""COMPUTED_VALUE"""),"Daymar 40")</f>
        <v>Daymar 40</v>
      </c>
      <c r="C271" s="5" t="str">
        <f>IFERROR(__xludf.DUMMYFUNCTION("""COMPUTED_VALUE"""),"Daymar 70")</f>
        <v>Daymar 70</v>
      </c>
      <c r="D271" s="5" t="str">
        <f>IFERROR(__xludf.DUMMYFUNCTION("""COMPUTED_VALUE"""),"Rock Cave 03J")</f>
        <v>Rock Cave 03J</v>
      </c>
      <c r="E271" s="7" t="str">
        <f>IFERROR(__xludf.DUMMYFUNCTION("""COMPUTED_VALUE"""),"RCave 03J")</f>
        <v>RCave 03J</v>
      </c>
      <c r="F271" s="11">
        <f>IFERROR(__xludf.DUMMYFUNCTION("""COMPUTED_VALUE"""),-259.27181278496)</f>
        <v>-259.27181278496</v>
      </c>
      <c r="G271" s="11">
        <f>IFERROR(__xludf.DUMMYFUNCTION("""COMPUTED_VALUE"""),-68.9764688258107)</f>
        <v>-68.9764688258107</v>
      </c>
      <c r="H271" s="11">
        <f>IFERROR(__xludf.DUMMYFUNCTION("""COMPUTED_VALUE"""),-122.777164197442)</f>
        <v>-122.777164197442</v>
      </c>
      <c r="I271" s="15"/>
      <c r="J271" s="15"/>
      <c r="K271" s="15"/>
      <c r="L271" s="15"/>
      <c r="M271" s="7" t="b">
        <f>IFERROR(__xludf.DUMMYFUNCTION("""COMPUTED_VALUE"""),FALSE)</f>
        <v>0</v>
      </c>
      <c r="N271" s="10">
        <f>IFERROR(__xludf.DUMMYFUNCTION("""COMPUTED_VALUE"""),0)</f>
        <v>0</v>
      </c>
      <c r="O271" s="10">
        <f>IFERROR(__xludf.DUMMYFUNCTION("""COMPUTED_VALUE"""),0)</f>
        <v>0</v>
      </c>
      <c r="P271" s="8"/>
      <c r="Q271" s="7"/>
      <c r="R271" s="16"/>
      <c r="S271" s="17"/>
      <c r="T271" s="8"/>
      <c r="U271" s="8"/>
      <c r="V271" s="22"/>
      <c r="W271" s="12"/>
      <c r="X271" s="12"/>
      <c r="Y271" s="12"/>
      <c r="Z271" s="12"/>
      <c r="AA271" s="7"/>
      <c r="AB271" s="12"/>
      <c r="AC271" s="6"/>
      <c r="AD271" s="6"/>
      <c r="AE271" s="7"/>
      <c r="AF271" s="7"/>
      <c r="AG271" s="7"/>
      <c r="AH271" s="7"/>
      <c r="AI271" s="7"/>
      <c r="AJ271" s="7"/>
      <c r="AK271" s="7"/>
      <c r="AL271" s="7"/>
      <c r="AM271" s="7"/>
      <c r="AN271" s="7"/>
      <c r="AO271" s="6"/>
      <c r="AP271" s="7"/>
      <c r="AQ271" s="7"/>
      <c r="AR271" s="6"/>
      <c r="AS271" s="7"/>
      <c r="AT271" s="7"/>
      <c r="AU271" s="7"/>
      <c r="AV271" s="7"/>
      <c r="AW271" s="7"/>
      <c r="AX271" s="7"/>
      <c r="AY271" s="7"/>
      <c r="AZ271" s="7"/>
      <c r="BA271" s="7"/>
      <c r="BB271" s="7"/>
      <c r="BC271" s="7"/>
      <c r="BD271" s="7"/>
      <c r="BE271" s="7"/>
      <c r="BF271" s="7"/>
      <c r="BG271" s="7"/>
    </row>
    <row r="272" customHeight="1" spans="1:59">
      <c r="A272" s="9" t="str">
        <f>IFERROR(__xludf.DUMMYFUNCTION("""COMPUTED_VALUE"""),"Daymar 30")</f>
        <v>Daymar 30</v>
      </c>
      <c r="B272" s="5" t="str">
        <f>IFERROR(__xludf.DUMMYFUNCTION("""COMPUTED_VALUE"""),"Daymar 41")</f>
        <v>Daymar 41</v>
      </c>
      <c r="C272" s="5" t="str">
        <f>IFERROR(__xludf.DUMMYFUNCTION("""COMPUTED_VALUE"""),"Daymar 54")</f>
        <v>Daymar 54</v>
      </c>
      <c r="D272" s="5" t="str">
        <f>IFERROR(__xludf.DUMMYFUNCTION("""COMPUTED_VALUE"""),"Rock Cave 18J")</f>
        <v>Rock Cave 18J</v>
      </c>
      <c r="E272" s="7" t="str">
        <f>IFERROR(__xludf.DUMMYFUNCTION("""COMPUTED_VALUE"""),"RCave 18J")</f>
        <v>RCave 18J</v>
      </c>
      <c r="F272" s="11">
        <f>IFERROR(__xludf.DUMMYFUNCTION("""COMPUTED_VALUE"""),61.88259058123)</f>
        <v>61.88259058123</v>
      </c>
      <c r="G272" s="11">
        <f>IFERROR(__xludf.DUMMYFUNCTION("""COMPUTED_VALUE"""),-249.124565468918)</f>
        <v>-249.124565468918</v>
      </c>
      <c r="H272" s="11">
        <f>IFERROR(__xludf.DUMMYFUNCTION("""COMPUTED_VALUE"""),-145.426564233107)</f>
        <v>-145.426564233107</v>
      </c>
      <c r="I272" s="15"/>
      <c r="J272" s="15"/>
      <c r="K272" s="15"/>
      <c r="L272" s="15"/>
      <c r="M272" s="7" t="b">
        <f>IFERROR(__xludf.DUMMYFUNCTION("""COMPUTED_VALUE"""),FALSE)</f>
        <v>0</v>
      </c>
      <c r="N272" s="10">
        <f>IFERROR(__xludf.DUMMYFUNCTION("""COMPUTED_VALUE"""),0)</f>
        <v>0</v>
      </c>
      <c r="O272" s="10">
        <f>IFERROR(__xludf.DUMMYFUNCTION("""COMPUTED_VALUE"""),0)</f>
        <v>0</v>
      </c>
      <c r="P272" s="8"/>
      <c r="Q272" s="7"/>
      <c r="R272" s="16"/>
      <c r="S272" s="17"/>
      <c r="T272" s="8"/>
      <c r="U272" s="8"/>
      <c r="V272" s="22"/>
      <c r="W272" s="12"/>
      <c r="X272" s="12"/>
      <c r="Y272" s="12"/>
      <c r="Z272" s="12"/>
      <c r="AA272" s="7"/>
      <c r="AB272" s="12"/>
      <c r="AC272" s="6"/>
      <c r="AD272" s="6"/>
      <c r="AE272" s="7"/>
      <c r="AF272" s="7"/>
      <c r="AG272" s="7"/>
      <c r="AH272" s="7"/>
      <c r="AI272" s="7"/>
      <c r="AJ272" s="7"/>
      <c r="AK272" s="7"/>
      <c r="AL272" s="7"/>
      <c r="AM272" s="7"/>
      <c r="AN272" s="7"/>
      <c r="AO272" s="6"/>
      <c r="AP272" s="7"/>
      <c r="AQ272" s="7"/>
      <c r="AR272" s="6"/>
      <c r="AS272" s="7"/>
      <c r="AT272" s="7"/>
      <c r="AU272" s="7"/>
      <c r="AV272" s="7"/>
      <c r="AW272" s="7"/>
      <c r="AX272" s="7"/>
      <c r="AY272" s="7"/>
      <c r="AZ272" s="7"/>
      <c r="BA272" s="7"/>
      <c r="BB272" s="7"/>
      <c r="BC272" s="7"/>
      <c r="BD272" s="7"/>
      <c r="BE272" s="7"/>
      <c r="BF272" s="7"/>
      <c r="BG272" s="7"/>
    </row>
    <row r="273" customHeight="1" spans="1:59">
      <c r="A273" s="9" t="str">
        <f>IFERROR(__xludf.DUMMYFUNCTION("""COMPUTED_VALUE"""),"Daymar 31")</f>
        <v>Daymar 31</v>
      </c>
      <c r="B273" s="5" t="str">
        <f>IFERROR(__xludf.DUMMYFUNCTION("""COMPUTED_VALUE"""),"Daymar 42")</f>
        <v>Daymar 42</v>
      </c>
      <c r="C273" s="5" t="str">
        <f>IFERROR(__xludf.DUMMYFUNCTION("""COMPUTED_VALUE"""),"Daymar 49")</f>
        <v>Daymar 49</v>
      </c>
      <c r="D273" s="5" t="str">
        <f>IFERROR(__xludf.DUMMYFUNCTION("""COMPUTED_VALUE"""),"Rock Cave 22H")</f>
        <v>Rock Cave 22H</v>
      </c>
      <c r="E273" s="7" t="str">
        <f>IFERROR(__xludf.DUMMYFUNCTION("""COMPUTED_VALUE"""),"RCave 22H")</f>
        <v>RCave 22H</v>
      </c>
      <c r="F273" s="11">
        <f>IFERROR(__xludf.DUMMYFUNCTION("""COMPUTED_VALUE"""),146.356092536804)</f>
        <v>146.356092536804</v>
      </c>
      <c r="G273" s="11">
        <f>IFERROR(__xludf.DUMMYFUNCTION("""COMPUTED_VALUE"""),-177.105889156909)</f>
        <v>-177.105889156909</v>
      </c>
      <c r="H273" s="11">
        <f>IFERROR(__xludf.DUMMYFUNCTION("""COMPUTED_VALUE"""),-185.069701590894)</f>
        <v>-185.069701590894</v>
      </c>
      <c r="I273" s="15"/>
      <c r="J273" s="15"/>
      <c r="K273" s="15"/>
      <c r="L273" s="15"/>
      <c r="M273" s="7" t="b">
        <f>IFERROR(__xludf.DUMMYFUNCTION("""COMPUTED_VALUE"""),FALSE)</f>
        <v>0</v>
      </c>
      <c r="N273" s="10">
        <f>IFERROR(__xludf.DUMMYFUNCTION("""COMPUTED_VALUE"""),0)</f>
        <v>0</v>
      </c>
      <c r="O273" s="10">
        <f>IFERROR(__xludf.DUMMYFUNCTION("""COMPUTED_VALUE"""),0)</f>
        <v>0</v>
      </c>
      <c r="P273" s="8"/>
      <c r="Q273" s="7"/>
      <c r="R273" s="16"/>
      <c r="S273" s="17"/>
      <c r="T273" s="8"/>
      <c r="U273" s="8"/>
      <c r="V273" s="22"/>
      <c r="W273" s="12"/>
      <c r="X273" s="12"/>
      <c r="Y273" s="12"/>
      <c r="Z273" s="12"/>
      <c r="AA273" s="7"/>
      <c r="AB273" s="12"/>
      <c r="AC273" s="6"/>
      <c r="AD273" s="6"/>
      <c r="AE273" s="7"/>
      <c r="AF273" s="7"/>
      <c r="AG273" s="7"/>
      <c r="AH273" s="7"/>
      <c r="AI273" s="7"/>
      <c r="AJ273" s="7"/>
      <c r="AK273" s="7"/>
      <c r="AL273" s="7"/>
      <c r="AM273" s="7"/>
      <c r="AN273" s="7"/>
      <c r="AO273" s="6"/>
      <c r="AP273" s="7"/>
      <c r="AQ273" s="7"/>
      <c r="AR273" s="6"/>
      <c r="AS273" s="7"/>
      <c r="AT273" s="7"/>
      <c r="AU273" s="7"/>
      <c r="AV273" s="7"/>
      <c r="AW273" s="7"/>
      <c r="AX273" s="7"/>
      <c r="AY273" s="7"/>
      <c r="AZ273" s="7"/>
      <c r="BA273" s="7"/>
      <c r="BB273" s="7"/>
      <c r="BC273" s="7"/>
      <c r="BD273" s="7"/>
      <c r="BE273" s="7"/>
      <c r="BF273" s="7"/>
      <c r="BG273" s="7"/>
    </row>
    <row r="274" customHeight="1" spans="1:59">
      <c r="A274" s="9" t="str">
        <f>IFERROR(__xludf.DUMMYFUNCTION("""COMPUTED_VALUE"""),"Daymar 47")</f>
        <v>Daymar 47</v>
      </c>
      <c r="B274" s="5" t="str">
        <f>IFERROR(__xludf.DUMMYFUNCTION("""COMPUTED_VALUE"""),"Daymar 58")</f>
        <v>Daymar 58</v>
      </c>
      <c r="C274" s="5" t="str">
        <f>IFERROR(__xludf.DUMMYFUNCTION("""COMPUTED_VALUE"""),"Daymar 42")</f>
        <v>Daymar 42</v>
      </c>
      <c r="D274" s="5" t="str">
        <f>IFERROR(__xludf.DUMMYFUNCTION("""COMPUTED_VALUE"""),"Sand Cave 26W-306")</f>
        <v>Sand Cave 26W-306</v>
      </c>
      <c r="E274" s="7" t="str">
        <f>IFERROR(__xludf.DUMMYFUNCTION("""COMPUTED_VALUE"""),"SCave 26W306")</f>
        <v>SCave 26W306</v>
      </c>
      <c r="F274" s="11">
        <f>IFERROR(__xludf.DUMMYFUNCTION("""COMPUTED_VALUE"""),94.703698105)</f>
        <v>94.703698105</v>
      </c>
      <c r="G274" s="11">
        <f>IFERROR(__xludf.DUMMYFUNCTION("""COMPUTED_VALUE"""),-48.9156427899999)</f>
        <v>-48.9156427899999</v>
      </c>
      <c r="H274" s="11">
        <f>IFERROR(__xludf.DUMMYFUNCTION("""COMPUTED_VALUE"""),275.455950373)</f>
        <v>275.455950373</v>
      </c>
      <c r="I274" s="15"/>
      <c r="J274" s="15"/>
      <c r="K274" s="15"/>
      <c r="L274" s="15"/>
      <c r="M274" s="7" t="b">
        <f>IFERROR(__xludf.DUMMYFUNCTION("""COMPUTED_VALUE"""),FALSE)</f>
        <v>0</v>
      </c>
      <c r="N274" s="10"/>
      <c r="O274" s="10"/>
      <c r="P274" s="8"/>
      <c r="Q274" s="7"/>
      <c r="R274" s="16"/>
      <c r="S274" s="17"/>
      <c r="T274" s="8"/>
      <c r="U274" s="8"/>
      <c r="V274" s="22"/>
      <c r="W274" s="12"/>
      <c r="X274" s="12"/>
      <c r="Y274" s="12"/>
      <c r="Z274" s="12"/>
      <c r="AA274" s="7"/>
      <c r="AB274" s="12"/>
      <c r="AC274" s="6"/>
      <c r="AD274" s="6"/>
      <c r="AE274" s="7"/>
      <c r="AF274" s="7"/>
      <c r="AG274" s="7"/>
      <c r="AH274" s="7"/>
      <c r="AI274" s="7"/>
      <c r="AJ274" s="7"/>
      <c r="AK274" s="7"/>
      <c r="AL274" s="7"/>
      <c r="AM274" s="7"/>
      <c r="AN274" s="7"/>
      <c r="AO274" s="6"/>
      <c r="AP274" s="7"/>
      <c r="AQ274" s="7"/>
      <c r="AR274" s="6"/>
      <c r="AS274" s="7"/>
      <c r="AT274" s="7"/>
      <c r="AU274" s="7"/>
      <c r="AV274" s="7"/>
      <c r="AW274" s="7"/>
      <c r="AX274" s="7"/>
      <c r="AY274" s="7"/>
      <c r="AZ274" s="7"/>
      <c r="BA274" s="7"/>
      <c r="BB274" s="7"/>
      <c r="BC274" s="7"/>
      <c r="BD274" s="7"/>
      <c r="BE274" s="7"/>
      <c r="BF274" s="7"/>
      <c r="BG274" s="7"/>
    </row>
    <row r="275" customHeight="1" spans="1:59">
      <c r="A275" s="9" t="str">
        <f>IFERROR(__xludf.DUMMYFUNCTION("""COMPUTED_VALUE"""),"Daymar 51")</f>
        <v>Daymar 51</v>
      </c>
      <c r="B275" s="5" t="str">
        <f>IFERROR(__xludf.DUMMYFUNCTION("""COMPUTED_VALUE"""),"Daymar 62")</f>
        <v>Daymar 62</v>
      </c>
      <c r="C275" s="5" t="str">
        <f>IFERROR(__xludf.DUMMYFUNCTION("""COMPUTED_VALUE"""),"Daymar 32")</f>
        <v>Daymar 32</v>
      </c>
      <c r="D275" s="5" t="str">
        <f>IFERROR(__xludf.DUMMYFUNCTION("""COMPUTED_VALUE"""),"Sand Cave 37H")</f>
        <v>Sand Cave 37H</v>
      </c>
      <c r="E275" s="7" t="str">
        <f>IFERROR(__xludf.DUMMYFUNCTION("""COMPUTED_VALUE"""),"SCave 37H")</f>
        <v>SCave 37H</v>
      </c>
      <c r="F275" s="11">
        <f>IFERROR(__xludf.DUMMYFUNCTION("""COMPUTED_VALUE"""),193.895761441)</f>
        <v>193.895761441</v>
      </c>
      <c r="G275" s="11">
        <f>IFERROR(__xludf.DUMMYFUNCTION("""COMPUTED_VALUE"""),150.95448894)</f>
        <v>150.95448894</v>
      </c>
      <c r="H275" s="11">
        <f>IFERROR(__xludf.DUMMYFUNCTION("""COMPUTED_VALUE"""),-163.815470028)</f>
        <v>-163.815470028</v>
      </c>
      <c r="I275" s="15"/>
      <c r="J275" s="15"/>
      <c r="K275" s="15"/>
      <c r="L275" s="15"/>
      <c r="M275" s="7" t="b">
        <f>IFERROR(__xludf.DUMMYFUNCTION("""COMPUTED_VALUE"""),FALSE)</f>
        <v>0</v>
      </c>
      <c r="N275" s="10"/>
      <c r="O275" s="10"/>
      <c r="P275" s="8"/>
      <c r="Q275" s="7"/>
      <c r="R275" s="16"/>
      <c r="S275" s="17"/>
      <c r="T275" s="8"/>
      <c r="U275" s="8"/>
      <c r="V275" s="22"/>
      <c r="W275" s="12"/>
      <c r="X275" s="12"/>
      <c r="Y275" s="12"/>
      <c r="Z275" s="12"/>
      <c r="AA275" s="7"/>
      <c r="AB275" s="12"/>
      <c r="AC275" s="6"/>
      <c r="AD275" s="6"/>
      <c r="AE275" s="7"/>
      <c r="AF275" s="7"/>
      <c r="AG275" s="7"/>
      <c r="AH275" s="7"/>
      <c r="AI275" s="7"/>
      <c r="AJ275" s="7"/>
      <c r="AK275" s="7"/>
      <c r="AL275" s="7"/>
      <c r="AM275" s="7"/>
      <c r="AN275" s="7"/>
      <c r="AO275" s="6"/>
      <c r="AP275" s="7"/>
      <c r="AQ275" s="7"/>
      <c r="AR275" s="6"/>
      <c r="AS275" s="7"/>
      <c r="AT275" s="7"/>
      <c r="AU275" s="7"/>
      <c r="AV275" s="7"/>
      <c r="AW275" s="7"/>
      <c r="AX275" s="7"/>
      <c r="AY275" s="7"/>
      <c r="AZ275" s="7"/>
      <c r="BA275" s="7"/>
      <c r="BB275" s="7"/>
      <c r="BC275" s="7"/>
      <c r="BD275" s="7"/>
      <c r="BE275" s="7"/>
      <c r="BF275" s="7"/>
      <c r="BG275" s="7"/>
    </row>
    <row r="276" customHeight="1" spans="1:59">
      <c r="A276" s="9" t="str">
        <f>IFERROR(__xludf.DUMMYFUNCTION("""COMPUTED_VALUE"""),"Daymar 38")</f>
        <v>Daymar 38</v>
      </c>
      <c r="B276" s="5" t="str">
        <f>IFERROR(__xludf.DUMMYFUNCTION("""COMPUTED_VALUE"""),"Daymar 49")</f>
        <v>Daymar 49</v>
      </c>
      <c r="C276" s="5" t="str">
        <f>IFERROR(__xludf.DUMMYFUNCTION("""COMPUTED_VALUE"""),"Daymar 66")</f>
        <v>Daymar 66</v>
      </c>
      <c r="D276" s="5" t="str">
        <f>IFERROR(__xludf.DUMMYFUNCTION("""COMPUTED_VALUE"""),"Sand Cave 07U")</f>
        <v>Sand Cave 07U</v>
      </c>
      <c r="E276" s="7" t="str">
        <f>IFERROR(__xludf.DUMMYFUNCTION("""COMPUTED_VALUE"""),"SCave 07U")</f>
        <v>SCave 07U</v>
      </c>
      <c r="F276" s="8">
        <f>IFERROR(__xludf.DUMMYFUNCTION("""COMPUTED_VALUE"""),-135.061539033)</f>
        <v>-135.061539033</v>
      </c>
      <c r="G276" s="8">
        <f>IFERROR(__xludf.DUMMYFUNCTION("""COMPUTED_VALUE"""),-105.570169559999)</f>
        <v>-105.570169559999</v>
      </c>
      <c r="H276" s="8">
        <f>IFERROR(__xludf.DUMMYFUNCTION("""COMPUTED_VALUE"""),240.678741274)</f>
        <v>240.678741274</v>
      </c>
      <c r="I276" s="14"/>
      <c r="J276" s="14"/>
      <c r="K276" s="14"/>
      <c r="L276" s="14"/>
      <c r="M276" s="7" t="b">
        <f>IFERROR(__xludf.DUMMYFUNCTION("""COMPUTED_VALUE"""),FALSE)</f>
        <v>0</v>
      </c>
      <c r="N276" s="10"/>
      <c r="O276" s="10"/>
      <c r="P276" s="8"/>
      <c r="Q276" s="7"/>
      <c r="R276" s="16"/>
      <c r="S276" s="17"/>
      <c r="T276" s="8"/>
      <c r="U276" s="8"/>
      <c r="V276" s="22"/>
      <c r="W276" s="12"/>
      <c r="X276" s="12"/>
      <c r="Y276" s="12"/>
      <c r="Z276" s="12"/>
      <c r="AA276" s="9"/>
      <c r="AB276" s="12"/>
      <c r="AC276" s="6"/>
      <c r="AD276" s="6"/>
      <c r="AE276" s="7"/>
      <c r="AF276" s="7"/>
      <c r="AG276" s="7"/>
      <c r="AH276" s="7"/>
      <c r="AI276" s="7"/>
      <c r="AJ276" s="7"/>
      <c r="AK276" s="7"/>
      <c r="AL276" s="7"/>
      <c r="AM276" s="7"/>
      <c r="AN276" s="7"/>
      <c r="AO276" s="6"/>
      <c r="AP276" s="7"/>
      <c r="AQ276" s="7"/>
      <c r="AR276" s="6"/>
      <c r="AS276" s="7"/>
      <c r="AT276" s="7"/>
      <c r="AU276" s="7"/>
      <c r="AV276" s="7"/>
      <c r="AW276" s="7"/>
      <c r="AX276" s="7"/>
      <c r="AY276" s="7"/>
      <c r="AZ276" s="7"/>
      <c r="BA276" s="7"/>
      <c r="BB276" s="7"/>
      <c r="BC276" s="7"/>
      <c r="BD276" s="7"/>
      <c r="BE276" s="7"/>
      <c r="BF276" s="7"/>
      <c r="BG276" s="7"/>
    </row>
    <row r="277" customHeight="1" spans="1:59">
      <c r="A277" s="9" t="str">
        <f>IFERROR(__xludf.DUMMYFUNCTION("""COMPUTED_VALUE"""),"Daymar 46")</f>
        <v>Daymar 46</v>
      </c>
      <c r="B277" s="5" t="str">
        <f>IFERROR(__xludf.DUMMYFUNCTION("""COMPUTED_VALUE"""),"Daymar 57")</f>
        <v>Daymar 57</v>
      </c>
      <c r="C277" s="5" t="str">
        <f>IFERROR(__xludf.DUMMYFUNCTION("""COMPUTED_VALUE"""),"Daymar 43")</f>
        <v>Daymar 43</v>
      </c>
      <c r="D277" s="5" t="str">
        <f>IFERROR(__xludf.DUMMYFUNCTION("""COMPUTED_VALUE"""),"Sand Cave 26W-305")</f>
        <v>Sand Cave 26W-305</v>
      </c>
      <c r="E277" s="7" t="str">
        <f>IFERROR(__xludf.DUMMYFUNCTION("""COMPUTED_VALUE"""),"SCave 26W305")</f>
        <v>SCave 26W305</v>
      </c>
      <c r="F277" s="8">
        <f>IFERROR(__xludf.DUMMYFUNCTION("""COMPUTED_VALUE"""),104.782787075999)</f>
        <v>104.782787075999</v>
      </c>
      <c r="G277" s="8">
        <f>IFERROR(__xludf.DUMMYFUNCTION("""COMPUTED_VALUE"""),-54.620319293)</f>
        <v>-54.620319293</v>
      </c>
      <c r="H277" s="8">
        <f>IFERROR(__xludf.DUMMYFUNCTION("""COMPUTED_VALUE"""),270.343699932)</f>
        <v>270.343699932</v>
      </c>
      <c r="I277" s="14"/>
      <c r="J277" s="14"/>
      <c r="K277" s="14"/>
      <c r="L277" s="14"/>
      <c r="M277" s="7" t="b">
        <f>IFERROR(__xludf.DUMMYFUNCTION("""COMPUTED_VALUE"""),FALSE)</f>
        <v>0</v>
      </c>
      <c r="N277" s="10"/>
      <c r="O277" s="10"/>
      <c r="P277" s="8"/>
      <c r="Q277" s="7"/>
      <c r="R277" s="16"/>
      <c r="S277" s="17"/>
      <c r="T277" s="8"/>
      <c r="U277" s="8"/>
      <c r="V277" s="22"/>
      <c r="W277" s="12"/>
      <c r="X277" s="12"/>
      <c r="Y277" s="12"/>
      <c r="Z277" s="12"/>
      <c r="AA277" s="9"/>
      <c r="AB277" s="12"/>
      <c r="AC277" s="6"/>
      <c r="AD277" s="6"/>
      <c r="AE277" s="7"/>
      <c r="AF277" s="7"/>
      <c r="AG277" s="7"/>
      <c r="AH277" s="7"/>
      <c r="AI277" s="7"/>
      <c r="AJ277" s="7"/>
      <c r="AK277" s="7"/>
      <c r="AL277" s="7"/>
      <c r="AM277" s="7"/>
      <c r="AN277" s="7"/>
      <c r="AO277" s="6"/>
      <c r="AP277" s="7"/>
      <c r="AQ277" s="7"/>
      <c r="AR277" s="6"/>
      <c r="AS277" s="7"/>
      <c r="AT277" s="7"/>
      <c r="AU277" s="7"/>
      <c r="AV277" s="7"/>
      <c r="AW277" s="7"/>
      <c r="AX277" s="7"/>
      <c r="AY277" s="7"/>
      <c r="AZ277" s="7"/>
      <c r="BA277" s="7"/>
      <c r="BB277" s="7"/>
      <c r="BC277" s="7"/>
      <c r="BD277" s="7"/>
      <c r="BE277" s="7"/>
      <c r="BF277" s="7"/>
      <c r="BG277" s="7"/>
    </row>
    <row r="278" customHeight="1" spans="1:59">
      <c r="A278" s="9" t="str">
        <f>IFERROR(__xludf.DUMMYFUNCTION("""COMPUTED_VALUE"""),"Daymar 59")</f>
        <v>Daymar 59</v>
      </c>
      <c r="B278" s="5" t="str">
        <f>IFERROR(__xludf.DUMMYFUNCTION("""COMPUTED_VALUE"""),"Daymar 70")</f>
        <v>Daymar 70</v>
      </c>
      <c r="C278" s="5" t="str">
        <f>IFERROR(__xludf.DUMMYFUNCTION("""COMPUTED_VALUE"""),"Daymar 10")</f>
        <v>Daymar 10</v>
      </c>
      <c r="D278" s="5" t="str">
        <f>IFERROR(__xludf.DUMMYFUNCTION("""COMPUTED_VALUE"""),"Sand Cave 51H")</f>
        <v>Sand Cave 51H</v>
      </c>
      <c r="E278" s="7" t="str">
        <f>IFERROR(__xludf.DUMMYFUNCTION("""COMPUTED_VALUE"""),"SCave 51H")</f>
        <v>SCave 51H</v>
      </c>
      <c r="F278" s="8">
        <f>IFERROR(__xludf.DUMMYFUNCTION("""COMPUTED_VALUE"""),-120.896937773)</f>
        <v>-120.896937773</v>
      </c>
      <c r="G278" s="8">
        <f>IFERROR(__xludf.DUMMYFUNCTION("""COMPUTED_VALUE"""),206.520738225999)</f>
        <v>206.520738225999</v>
      </c>
      <c r="H278" s="8">
        <f>IFERROR(__xludf.DUMMYFUNCTION("""COMPUTED_VALUE"""),-172.837167745)</f>
        <v>-172.837167745</v>
      </c>
      <c r="I278" s="14"/>
      <c r="J278" s="14"/>
      <c r="K278" s="14"/>
      <c r="L278" s="14"/>
      <c r="M278" s="7" t="b">
        <f>IFERROR(__xludf.DUMMYFUNCTION("""COMPUTED_VALUE"""),FALSE)</f>
        <v>0</v>
      </c>
      <c r="N278" s="10"/>
      <c r="O278" s="10"/>
      <c r="P278" s="8"/>
      <c r="Q278" s="7"/>
      <c r="R278" s="16"/>
      <c r="S278" s="17"/>
      <c r="T278" s="8"/>
      <c r="U278" s="8"/>
      <c r="V278" s="22"/>
      <c r="W278" s="12"/>
      <c r="X278" s="12"/>
      <c r="Y278" s="12"/>
      <c r="Z278" s="12"/>
      <c r="AA278" s="9"/>
      <c r="AB278" s="12"/>
      <c r="AC278" s="6"/>
      <c r="AD278" s="6"/>
      <c r="AE278" s="7"/>
      <c r="AF278" s="7"/>
      <c r="AG278" s="7"/>
      <c r="AH278" s="7"/>
      <c r="AI278" s="7"/>
      <c r="AJ278" s="7"/>
      <c r="AK278" s="7"/>
      <c r="AL278" s="7"/>
      <c r="AM278" s="7"/>
      <c r="AN278" s="7"/>
      <c r="AO278" s="6"/>
      <c r="AP278" s="7"/>
      <c r="AQ278" s="7"/>
      <c r="AR278" s="6"/>
      <c r="AS278" s="7"/>
      <c r="AT278" s="7"/>
      <c r="AU278" s="7"/>
      <c r="AV278" s="7"/>
      <c r="AW278" s="7"/>
      <c r="AX278" s="7"/>
      <c r="AY278" s="7"/>
      <c r="AZ278" s="7"/>
      <c r="BA278" s="7"/>
      <c r="BB278" s="7"/>
      <c r="BC278" s="7"/>
      <c r="BD278" s="7"/>
      <c r="BE278" s="7"/>
      <c r="BF278" s="7"/>
      <c r="BG278" s="7"/>
    </row>
    <row r="279" customHeight="1" spans="1:59">
      <c r="A279" s="9" t="str">
        <f>IFERROR(__xludf.DUMMYFUNCTION("""COMPUTED_VALUE"""),"Daymar 48")</f>
        <v>Daymar 48</v>
      </c>
      <c r="B279" s="5" t="str">
        <f>IFERROR(__xludf.DUMMYFUNCTION("""COMPUTED_VALUE"""),"Daymar 59")</f>
        <v>Daymar 59</v>
      </c>
      <c r="C279" s="5" t="str">
        <f>IFERROR(__xludf.DUMMYFUNCTION("""COMPUTED_VALUE"""),"Daymar 40")</f>
        <v>Daymar 40</v>
      </c>
      <c r="D279" s="5" t="str">
        <f>IFERROR(__xludf.DUMMYFUNCTION("""COMPUTED_VALUE"""),"Sand Cave 29K")</f>
        <v>Sand Cave 29K</v>
      </c>
      <c r="E279" s="7" t="str">
        <f>IFERROR(__xludf.DUMMYFUNCTION("""COMPUTED_VALUE"""),"SCave 29K")</f>
        <v>SCave 29K</v>
      </c>
      <c r="F279" s="8">
        <f>IFERROR(__xludf.DUMMYFUNCTION("""COMPUTED_VALUE"""),269.995081695)</f>
        <v>269.995081695</v>
      </c>
      <c r="G279" s="8">
        <f>IFERROR(__xludf.DUMMYFUNCTION("""COMPUTED_VALUE"""),-37.160661351)</f>
        <v>-37.160661351</v>
      </c>
      <c r="H279" s="8">
        <f>IFERROR(__xludf.DUMMYFUNCTION("""COMPUTED_VALUE"""),-114.388437142)</f>
        <v>-114.388437142</v>
      </c>
      <c r="I279" s="14"/>
      <c r="J279" s="14"/>
      <c r="K279" s="14"/>
      <c r="L279" s="14"/>
      <c r="M279" s="7" t="b">
        <f>IFERROR(__xludf.DUMMYFUNCTION("""COMPUTED_VALUE"""),FALSE)</f>
        <v>0</v>
      </c>
      <c r="N279" s="10"/>
      <c r="O279" s="10"/>
      <c r="P279" s="8"/>
      <c r="Q279" s="7"/>
      <c r="R279" s="16"/>
      <c r="S279" s="17"/>
      <c r="T279" s="8"/>
      <c r="U279" s="8"/>
      <c r="V279" s="22"/>
      <c r="W279" s="12"/>
      <c r="X279" s="12"/>
      <c r="Y279" s="12"/>
      <c r="Z279" s="12"/>
      <c r="AA279" s="9"/>
      <c r="AB279" s="12"/>
      <c r="AC279" s="6"/>
      <c r="AD279" s="6"/>
      <c r="AE279" s="7"/>
      <c r="AF279" s="7"/>
      <c r="AG279" s="7"/>
      <c r="AH279" s="7"/>
      <c r="AI279" s="7"/>
      <c r="AJ279" s="7"/>
      <c r="AK279" s="7"/>
      <c r="AL279" s="7"/>
      <c r="AM279" s="7"/>
      <c r="AN279" s="7"/>
      <c r="AO279" s="6"/>
      <c r="AP279" s="7"/>
      <c r="AQ279" s="7"/>
      <c r="AR279" s="6"/>
      <c r="AS279" s="7"/>
      <c r="AT279" s="7"/>
      <c r="AU279" s="7"/>
      <c r="AV279" s="7"/>
      <c r="AW279" s="7"/>
      <c r="AX279" s="7"/>
      <c r="AY279" s="7"/>
      <c r="AZ279" s="7"/>
      <c r="BA279" s="7"/>
      <c r="BB279" s="7"/>
      <c r="BC279" s="7"/>
      <c r="BD279" s="7"/>
      <c r="BE279" s="7"/>
      <c r="BF279" s="7"/>
      <c r="BG279" s="7"/>
    </row>
    <row r="280" customHeight="1" spans="1:59">
      <c r="A280" s="9" t="str">
        <f>IFERROR(__xludf.DUMMYFUNCTION("""COMPUTED_VALUE"""),"Daymar 45")</f>
        <v>Daymar 45</v>
      </c>
      <c r="B280" s="5" t="str">
        <f>IFERROR(__xludf.DUMMYFUNCTION("""COMPUTED_VALUE"""),"Daymar 56")</f>
        <v>Daymar 56</v>
      </c>
      <c r="C280" s="5" t="str">
        <f>IFERROR(__xludf.DUMMYFUNCTION("""COMPUTED_VALUE"""),"Daymar 41")</f>
        <v>Daymar 41</v>
      </c>
      <c r="D280" s="5" t="str">
        <f>IFERROR(__xludf.DUMMYFUNCTION("""COMPUTED_VALUE"""),"Sand Cave 26K")</f>
        <v>Sand Cave 26K</v>
      </c>
      <c r="E280" s="7" t="str">
        <f>IFERROR(__xludf.DUMMYFUNCTION("""COMPUTED_VALUE"""),"SCave 26K")</f>
        <v>SCave 26K</v>
      </c>
      <c r="F280" s="8">
        <f>IFERROR(__xludf.DUMMYFUNCTION("""COMPUTED_VALUE"""),254.473932353)</f>
        <v>254.473932353</v>
      </c>
      <c r="G280" s="8">
        <f>IFERROR(__xludf.DUMMYFUNCTION("""COMPUTED_VALUE"""),-117.367807036)</f>
        <v>-117.367807036</v>
      </c>
      <c r="H280" s="8">
        <f>IFERROR(__xludf.DUMMYFUNCTION("""COMPUTED_VALUE"""),-92.8200432989998)</f>
        <v>-92.8200432989998</v>
      </c>
      <c r="I280" s="14"/>
      <c r="J280" s="14"/>
      <c r="K280" s="14"/>
      <c r="L280" s="14"/>
      <c r="M280" s="7" t="b">
        <f>IFERROR(__xludf.DUMMYFUNCTION("""COMPUTED_VALUE"""),FALSE)</f>
        <v>0</v>
      </c>
      <c r="N280" s="10"/>
      <c r="O280" s="10"/>
      <c r="P280" s="8"/>
      <c r="Q280" s="7"/>
      <c r="R280" s="16"/>
      <c r="S280" s="17"/>
      <c r="T280" s="8"/>
      <c r="U280" s="8"/>
      <c r="V280" s="22"/>
      <c r="W280" s="12"/>
      <c r="X280" s="12"/>
      <c r="Y280" s="12"/>
      <c r="Z280" s="12"/>
      <c r="AA280" s="9"/>
      <c r="AB280" s="12"/>
      <c r="AC280" s="6"/>
      <c r="AD280" s="6"/>
      <c r="AE280" s="7"/>
      <c r="AF280" s="7"/>
      <c r="AG280" s="7"/>
      <c r="AH280" s="7"/>
      <c r="AI280" s="7"/>
      <c r="AJ280" s="7"/>
      <c r="AK280" s="7"/>
      <c r="AL280" s="7"/>
      <c r="AM280" s="7"/>
      <c r="AN280" s="7"/>
      <c r="AO280" s="6"/>
      <c r="AP280" s="7"/>
      <c r="AQ280" s="7"/>
      <c r="AR280" s="6"/>
      <c r="AS280" s="7"/>
      <c r="AT280" s="7"/>
      <c r="AU280" s="7"/>
      <c r="AV280" s="7"/>
      <c r="AW280" s="7"/>
      <c r="AX280" s="7"/>
      <c r="AY280" s="7"/>
      <c r="AZ280" s="7"/>
      <c r="BA280" s="7"/>
      <c r="BB280" s="7"/>
      <c r="BC280" s="7"/>
      <c r="BD280" s="7"/>
      <c r="BE280" s="7"/>
      <c r="BF280" s="7"/>
      <c r="BG280" s="7"/>
    </row>
    <row r="281" customHeight="1" spans="1:59">
      <c r="A281" s="9" t="str">
        <f>IFERROR(__xludf.DUMMYFUNCTION("""COMPUTED_VALUE"""),"Daymar 44")</f>
        <v>Daymar 44</v>
      </c>
      <c r="B281" s="5" t="str">
        <f>IFERROR(__xludf.DUMMYFUNCTION("""COMPUTED_VALUE"""),"Daymar 55")</f>
        <v>Daymar 55</v>
      </c>
      <c r="C281" s="5" t="str">
        <f>IFERROR(__xludf.DUMMYFUNCTION("""COMPUTED_VALUE"""),"Daymar 51")</f>
        <v>Daymar 51</v>
      </c>
      <c r="D281" s="5" t="str">
        <f>IFERROR(__xludf.DUMMYFUNCTION("""COMPUTED_VALUE"""),"Sand Cave 20P")</f>
        <v>Sand Cave 20P</v>
      </c>
      <c r="E281" s="7" t="str">
        <f>IFERROR(__xludf.DUMMYFUNCTION("""COMPUTED_VALUE"""),"SCave 20P")</f>
        <v>SCave 20P</v>
      </c>
      <c r="F281" s="8">
        <f>IFERROR(__xludf.DUMMYFUNCTION("""COMPUTED_VALUE"""),130.924424524)</f>
        <v>130.924424524</v>
      </c>
      <c r="G281" s="8">
        <f>IFERROR(__xludf.DUMMYFUNCTION("""COMPUTED_VALUE"""),-259.374254282)</f>
        <v>-259.374254282</v>
      </c>
      <c r="H281" s="8">
        <f>IFERROR(__xludf.DUMMYFUNCTION("""COMPUTED_VALUE"""),52.0052411199998)</f>
        <v>52.0052411199998</v>
      </c>
      <c r="I281" s="14"/>
      <c r="J281" s="14"/>
      <c r="K281" s="14"/>
      <c r="L281" s="14"/>
      <c r="M281" s="7" t="b">
        <f>IFERROR(__xludf.DUMMYFUNCTION("""COMPUTED_VALUE"""),FALSE)</f>
        <v>0</v>
      </c>
      <c r="N281" s="10"/>
      <c r="O281" s="10"/>
      <c r="P281" s="8"/>
      <c r="Q281" s="7"/>
      <c r="R281" s="16"/>
      <c r="S281" s="17"/>
      <c r="T281" s="8"/>
      <c r="U281" s="8"/>
      <c r="V281" s="22"/>
      <c r="W281" s="12"/>
      <c r="X281" s="12"/>
      <c r="Y281" s="12"/>
      <c r="Z281" s="12"/>
      <c r="AA281" s="7"/>
      <c r="AB281" s="12"/>
      <c r="AC281" s="6"/>
      <c r="AD281" s="6"/>
      <c r="AE281" s="7"/>
      <c r="AF281" s="7"/>
      <c r="AG281" s="7"/>
      <c r="AH281" s="7"/>
      <c r="AI281" s="7"/>
      <c r="AJ281" s="7"/>
      <c r="AK281" s="7"/>
      <c r="AL281" s="7"/>
      <c r="AM281" s="7"/>
      <c r="AN281" s="7"/>
      <c r="AO281" s="6"/>
      <c r="AP281" s="7"/>
      <c r="AQ281" s="7"/>
      <c r="AR281" s="6"/>
      <c r="AS281" s="7"/>
      <c r="AT281" s="7"/>
      <c r="AU281" s="7"/>
      <c r="AV281" s="7"/>
      <c r="AW281" s="7"/>
      <c r="AX281" s="7"/>
      <c r="AY281" s="7"/>
      <c r="AZ281" s="7"/>
      <c r="BA281" s="7"/>
      <c r="BB281" s="7"/>
      <c r="BC281" s="7"/>
      <c r="BD281" s="7"/>
      <c r="BE281" s="7"/>
      <c r="BF281" s="7"/>
      <c r="BG281" s="7"/>
    </row>
    <row r="282" customHeight="1" spans="1:59">
      <c r="A282" s="9" t="str">
        <f>IFERROR(__xludf.DUMMYFUNCTION("""COMPUTED_VALUE"""),"Daymar 40")</f>
        <v>Daymar 40</v>
      </c>
      <c r="B282" s="5" t="str">
        <f>IFERROR(__xludf.DUMMYFUNCTION("""COMPUTED_VALUE"""),"Daymar 51")</f>
        <v>Daymar 51</v>
      </c>
      <c r="C282" s="5" t="str">
        <f>IFERROR(__xludf.DUMMYFUNCTION("""COMPUTED_VALUE"""),"Daymar 61")</f>
        <v>Daymar 61</v>
      </c>
      <c r="D282" s="5" t="str">
        <f>IFERROR(__xludf.DUMMYFUNCTION("""COMPUTED_VALUE"""),"Sand Cave 11M")</f>
        <v>Sand Cave 11M</v>
      </c>
      <c r="E282" s="7" t="str">
        <f>IFERROR(__xludf.DUMMYFUNCTION("""COMPUTED_VALUE"""),"SCave 11M")</f>
        <v>SCave 11M</v>
      </c>
      <c r="F282" s="8">
        <f>IFERROR(__xludf.DUMMYFUNCTION("""COMPUTED_VALUE"""),-128.787395598)</f>
        <v>-128.787395598</v>
      </c>
      <c r="G282" s="8">
        <f>IFERROR(__xludf.DUMMYFUNCTION("""COMPUTED_VALUE"""),-265.681916571)</f>
        <v>-265.681916571</v>
      </c>
      <c r="H282" s="8">
        <f>IFERROR(__xludf.DUMMYFUNCTION("""COMPUTED_VALUE"""),-7.48585235399999)</f>
        <v>-7.48585235399999</v>
      </c>
      <c r="I282" s="14"/>
      <c r="J282" s="14"/>
      <c r="K282" s="14"/>
      <c r="L282" s="14"/>
      <c r="M282" s="7" t="b">
        <f>IFERROR(__xludf.DUMMYFUNCTION("""COMPUTED_VALUE"""),FALSE)</f>
        <v>0</v>
      </c>
      <c r="N282" s="10"/>
      <c r="O282" s="10"/>
      <c r="P282" s="8"/>
      <c r="Q282" s="7"/>
      <c r="R282" s="16"/>
      <c r="S282" s="17"/>
      <c r="T282" s="8"/>
      <c r="U282" s="8"/>
      <c r="V282" s="22"/>
      <c r="W282" s="12"/>
      <c r="X282" s="12"/>
      <c r="Y282" s="12"/>
      <c r="Z282" s="12"/>
      <c r="AA282" s="7"/>
      <c r="AB282" s="12"/>
      <c r="AC282" s="6"/>
      <c r="AD282" s="6"/>
      <c r="AE282" s="7"/>
      <c r="AF282" s="7"/>
      <c r="AG282" s="7"/>
      <c r="AH282" s="7"/>
      <c r="AI282" s="7"/>
      <c r="AJ282" s="7"/>
      <c r="AK282" s="7"/>
      <c r="AL282" s="7"/>
      <c r="AM282" s="7"/>
      <c r="AN282" s="7"/>
      <c r="AO282" s="6"/>
      <c r="AP282" s="7"/>
      <c r="AQ282" s="7"/>
      <c r="AR282" s="6"/>
      <c r="AS282" s="7"/>
      <c r="AT282" s="7"/>
      <c r="AU282" s="7"/>
      <c r="AV282" s="7"/>
      <c r="AW282" s="7"/>
      <c r="AX282" s="7"/>
      <c r="AY282" s="7"/>
      <c r="AZ282" s="7"/>
      <c r="BA282" s="7"/>
      <c r="BB282" s="7"/>
      <c r="BC282" s="7"/>
      <c r="BD282" s="7"/>
      <c r="BE282" s="7"/>
      <c r="BF282" s="7"/>
      <c r="BG282" s="7"/>
    </row>
    <row r="283" customHeight="1" spans="1:59">
      <c r="A283" s="9" t="str">
        <f>IFERROR(__xludf.DUMMYFUNCTION("""COMPUTED_VALUE"""),"Daymar 37")</f>
        <v>Daymar 37</v>
      </c>
      <c r="B283" s="5" t="str">
        <f>IFERROR(__xludf.DUMMYFUNCTION("""COMPUTED_VALUE"""),"Daymar 48")</f>
        <v>Daymar 48</v>
      </c>
      <c r="C283" s="5" t="str">
        <f>IFERROR(__xludf.DUMMYFUNCTION("""COMPUTED_VALUE"""),"Daymar 67")</f>
        <v>Daymar 67</v>
      </c>
      <c r="D283" s="5" t="str">
        <f>IFERROR(__xludf.DUMMYFUNCTION("""COMPUTED_VALUE"""),"Sand Cave 05N")</f>
        <v>Sand Cave 05N</v>
      </c>
      <c r="E283" s="7" t="str">
        <f>IFERROR(__xludf.DUMMYFUNCTION("""COMPUTED_VALUE"""),"SCave 05N")</f>
        <v>SCave 05N</v>
      </c>
      <c r="F283" s="8">
        <f>IFERROR(__xludf.DUMMYFUNCTION("""COMPUTED_VALUE"""),-255.99513398)</f>
        <v>-255.99513398</v>
      </c>
      <c r="G283" s="8">
        <f>IFERROR(__xludf.DUMMYFUNCTION("""COMPUTED_VALUE"""),-142.165036414)</f>
        <v>-142.165036414</v>
      </c>
      <c r="H283" s="8">
        <f>IFERROR(__xludf.DUMMYFUNCTION("""COMPUTED_VALUE"""),36.2082418029999)</f>
        <v>36.2082418029999</v>
      </c>
      <c r="I283" s="14"/>
      <c r="J283" s="14"/>
      <c r="K283" s="14"/>
      <c r="L283" s="14"/>
      <c r="M283" s="7" t="b">
        <f>IFERROR(__xludf.DUMMYFUNCTION("""COMPUTED_VALUE"""),FALSE)</f>
        <v>0</v>
      </c>
      <c r="N283" s="10"/>
      <c r="O283" s="10"/>
      <c r="P283" s="8"/>
      <c r="Q283" s="7"/>
      <c r="R283" s="16"/>
      <c r="S283" s="17"/>
      <c r="T283" s="8"/>
      <c r="U283" s="8"/>
      <c r="V283" s="22"/>
      <c r="W283" s="12"/>
      <c r="X283" s="12"/>
      <c r="Y283" s="12"/>
      <c r="Z283" s="12"/>
      <c r="AA283" s="7"/>
      <c r="AB283" s="12"/>
      <c r="AC283" s="6"/>
      <c r="AD283" s="6"/>
      <c r="AE283" s="7"/>
      <c r="AF283" s="7"/>
      <c r="AG283" s="7"/>
      <c r="AH283" s="7"/>
      <c r="AI283" s="7"/>
      <c r="AJ283" s="7"/>
      <c r="AK283" s="7"/>
      <c r="AL283" s="7"/>
      <c r="AM283" s="7"/>
      <c r="AN283" s="7"/>
      <c r="AO283" s="6"/>
      <c r="AP283" s="7"/>
      <c r="AQ283" s="7"/>
      <c r="AR283" s="6"/>
      <c r="AS283" s="7"/>
      <c r="AT283" s="7"/>
      <c r="AU283" s="7"/>
      <c r="AV283" s="7"/>
      <c r="AW283" s="7"/>
      <c r="AX283" s="7"/>
      <c r="AY283" s="7"/>
      <c r="AZ283" s="7"/>
      <c r="BA283" s="7"/>
      <c r="BB283" s="7"/>
      <c r="BC283" s="7"/>
      <c r="BD283" s="7"/>
      <c r="BE283" s="7"/>
      <c r="BF283" s="7"/>
      <c r="BG283" s="7"/>
    </row>
    <row r="284" customHeight="1" spans="1:59">
      <c r="A284" s="9" t="str">
        <f>IFERROR(__xludf.DUMMYFUNCTION("""COMPUTED_VALUE"""),"Daymar 62")</f>
        <v>Daymar 62</v>
      </c>
      <c r="B284" s="5" t="str">
        <f>IFERROR(__xludf.DUMMYFUNCTION("""COMPUTED_VALUE"""),"Daymar 73")</f>
        <v>Daymar 73</v>
      </c>
      <c r="C284" s="5" t="str">
        <f>IFERROR(__xludf.DUMMYFUNCTION("""COMPUTED_VALUE"""),"Daymar 02")</f>
        <v>Daymar 02</v>
      </c>
      <c r="D284" s="5" t="str">
        <f>IFERROR(__xludf.DUMMYFUNCTION("""COMPUTED_VALUE"""),"Sand Cave 59L")</f>
        <v>Sand Cave 59L</v>
      </c>
      <c r="E284" s="7" t="str">
        <f>IFERROR(__xludf.DUMMYFUNCTION("""COMPUTED_VALUE"""),"SCave 59L")</f>
        <v>SCave 59L</v>
      </c>
      <c r="F284" s="8">
        <f>IFERROR(__xludf.DUMMYFUNCTION("""COMPUTED_VALUE"""),-283.731842295999)</f>
        <v>-283.731842295999</v>
      </c>
      <c r="G284" s="8">
        <f>IFERROR(__xludf.DUMMYFUNCTION("""COMPUTED_VALUE"""),54.104315044)</f>
        <v>54.104315044</v>
      </c>
      <c r="H284" s="8">
        <f>IFERROR(__xludf.DUMMYFUNCTION("""COMPUTED_VALUE"""),-60.1727223109999)</f>
        <v>-60.1727223109999</v>
      </c>
      <c r="I284" s="14"/>
      <c r="J284" s="14"/>
      <c r="K284" s="14"/>
      <c r="L284" s="14"/>
      <c r="M284" s="7" t="b">
        <f>IFERROR(__xludf.DUMMYFUNCTION("""COMPUTED_VALUE"""),FALSE)</f>
        <v>0</v>
      </c>
      <c r="N284" s="10"/>
      <c r="O284" s="10"/>
      <c r="P284" s="8"/>
      <c r="Q284" s="7"/>
      <c r="R284" s="16"/>
      <c r="S284" s="17"/>
      <c r="T284" s="8"/>
      <c r="U284" s="8"/>
      <c r="V284" s="22"/>
      <c r="W284" s="12"/>
      <c r="X284" s="12"/>
      <c r="Y284" s="12"/>
      <c r="Z284" s="12"/>
      <c r="AA284" s="7"/>
      <c r="AB284" s="12"/>
      <c r="AC284" s="6"/>
      <c r="AD284" s="6"/>
      <c r="AE284" s="7"/>
      <c r="AF284" s="7"/>
      <c r="AG284" s="7"/>
      <c r="AH284" s="7"/>
      <c r="AI284" s="7"/>
      <c r="AJ284" s="7"/>
      <c r="AK284" s="7"/>
      <c r="AL284" s="7"/>
      <c r="AM284" s="7"/>
      <c r="AN284" s="7"/>
      <c r="AO284" s="6"/>
      <c r="AP284" s="7"/>
      <c r="AQ284" s="7"/>
      <c r="AR284" s="6"/>
      <c r="AS284" s="7"/>
      <c r="AT284" s="7"/>
      <c r="AU284" s="7"/>
      <c r="AV284" s="7"/>
      <c r="AW284" s="7"/>
      <c r="AX284" s="7"/>
      <c r="AY284" s="7"/>
      <c r="AZ284" s="7"/>
      <c r="BA284" s="7"/>
      <c r="BB284" s="7"/>
      <c r="BC284" s="7"/>
      <c r="BD284" s="7"/>
      <c r="BE284" s="7"/>
      <c r="BF284" s="7"/>
      <c r="BG284" s="7"/>
    </row>
    <row r="285" customHeight="1" spans="1:59">
      <c r="A285" s="9" t="str">
        <f>IFERROR(__xludf.DUMMYFUNCTION("""COMPUTED_VALUE"""),"Daymar 54")</f>
        <v>Daymar 54</v>
      </c>
      <c r="B285" s="5" t="str">
        <f>IFERROR(__xludf.DUMMYFUNCTION("""COMPUTED_VALUE"""),"Daymar 65")</f>
        <v>Daymar 65</v>
      </c>
      <c r="C285" s="5" t="str">
        <f>IFERROR(__xludf.DUMMYFUNCTION("""COMPUTED_VALUE"""),"Daymar 24")</f>
        <v>Daymar 24</v>
      </c>
      <c r="D285" s="5" t="str">
        <f>IFERROR(__xludf.DUMMYFUNCTION("""COMPUTED_VALUE"""),"Sand Cave 43H")</f>
        <v>Sand Cave 43H</v>
      </c>
      <c r="E285" s="7" t="str">
        <f>IFERROR(__xludf.DUMMYFUNCTION("""COMPUTED_VALUE"""),"SCave 43H")</f>
        <v>SCave 43H</v>
      </c>
      <c r="F285" s="8">
        <f>IFERROR(__xludf.DUMMYFUNCTION("""COMPUTED_VALUE"""),58.664743427)</f>
        <v>58.664743427</v>
      </c>
      <c r="G285" s="8">
        <f>IFERROR(__xludf.DUMMYFUNCTION("""COMPUTED_VALUE"""),231.23653437)</f>
        <v>231.23653437</v>
      </c>
      <c r="H285" s="8">
        <f>IFERROR(__xludf.DUMMYFUNCTION("""COMPUTED_VALUE"""),-173.753163922)</f>
        <v>-173.753163922</v>
      </c>
      <c r="I285" s="14"/>
      <c r="J285" s="14"/>
      <c r="K285" s="14"/>
      <c r="L285" s="14"/>
      <c r="M285" s="7" t="b">
        <f>IFERROR(__xludf.DUMMYFUNCTION("""COMPUTED_VALUE"""),FALSE)</f>
        <v>0</v>
      </c>
      <c r="N285" s="10"/>
      <c r="O285" s="10"/>
      <c r="P285" s="8"/>
      <c r="Q285" s="7"/>
      <c r="R285" s="16"/>
      <c r="S285" s="17"/>
      <c r="T285" s="8"/>
      <c r="U285" s="8"/>
      <c r="V285" s="22"/>
      <c r="W285" s="12"/>
      <c r="X285" s="12"/>
      <c r="Y285" s="12"/>
      <c r="Z285" s="12"/>
      <c r="AA285" s="7"/>
      <c r="AB285" s="12"/>
      <c r="AC285" s="6"/>
      <c r="AD285" s="6"/>
      <c r="AE285" s="7"/>
      <c r="AF285" s="7"/>
      <c r="AG285" s="7"/>
      <c r="AH285" s="7"/>
      <c r="AI285" s="7"/>
      <c r="AJ285" s="7"/>
      <c r="AK285" s="7"/>
      <c r="AL285" s="7"/>
      <c r="AM285" s="7"/>
      <c r="AN285" s="7"/>
      <c r="AO285" s="6"/>
      <c r="AP285" s="7"/>
      <c r="AQ285" s="7"/>
      <c r="AR285" s="6"/>
      <c r="AS285" s="7"/>
      <c r="AT285" s="7"/>
      <c r="AU285" s="7"/>
      <c r="AV285" s="7"/>
      <c r="AW285" s="7"/>
      <c r="AX285" s="7"/>
      <c r="AY285" s="7"/>
      <c r="AZ285" s="7"/>
      <c r="BA285" s="7"/>
      <c r="BB285" s="7"/>
      <c r="BC285" s="7"/>
      <c r="BD285" s="7"/>
      <c r="BE285" s="7"/>
      <c r="BF285" s="7"/>
      <c r="BG285" s="7"/>
    </row>
    <row r="286" customHeight="1" spans="1:59">
      <c r="A286" s="9" t="str">
        <f>IFERROR(__xludf.DUMMYFUNCTION("""COMPUTED_VALUE"""),"Daymar 52")</f>
        <v>Daymar 52</v>
      </c>
      <c r="B286" s="5" t="str">
        <f>IFERROR(__xludf.DUMMYFUNCTION("""COMPUTED_VALUE"""),"Daymar 63")</f>
        <v>Daymar 63</v>
      </c>
      <c r="C286" s="5" t="str">
        <f>IFERROR(__xludf.DUMMYFUNCTION("""COMPUTED_VALUE"""),"Daymar 31")</f>
        <v>Daymar 31</v>
      </c>
      <c r="D286" s="5" t="str">
        <f>IFERROR(__xludf.DUMMYFUNCTION("""COMPUTED_VALUE"""),"Sand Cave 37L")</f>
        <v>Sand Cave 37L</v>
      </c>
      <c r="E286" s="7" t="str">
        <f>IFERROR(__xludf.DUMMYFUNCTION("""COMPUTED_VALUE"""),"SCave 37L")</f>
        <v>SCave 37L</v>
      </c>
      <c r="F286" s="8">
        <f>IFERROR(__xludf.DUMMYFUNCTION("""COMPUTED_VALUE"""),223.891715502)</f>
        <v>223.891715502</v>
      </c>
      <c r="G286" s="8">
        <f>IFERROR(__xludf.DUMMYFUNCTION("""COMPUTED_VALUE"""),183.627600085)</f>
        <v>183.627600085</v>
      </c>
      <c r="H286" s="8">
        <f>IFERROR(__xludf.DUMMYFUNCTION("""COMPUTED_VALUE"""),-59.6782640739999)</f>
        <v>-59.6782640739999</v>
      </c>
      <c r="I286" s="14"/>
      <c r="J286" s="14"/>
      <c r="K286" s="14"/>
      <c r="L286" s="14"/>
      <c r="M286" s="7" t="b">
        <f>IFERROR(__xludf.DUMMYFUNCTION("""COMPUTED_VALUE"""),FALSE)</f>
        <v>0</v>
      </c>
      <c r="N286" s="10"/>
      <c r="O286" s="10"/>
      <c r="P286" s="8"/>
      <c r="Q286" s="7"/>
      <c r="R286" s="16"/>
      <c r="S286" s="17"/>
      <c r="T286" s="8"/>
      <c r="U286" s="8"/>
      <c r="V286" s="22"/>
      <c r="W286" s="12"/>
      <c r="X286" s="12"/>
      <c r="Y286" s="12"/>
      <c r="Z286" s="12"/>
      <c r="AA286" s="7"/>
      <c r="AB286" s="12"/>
      <c r="AC286" s="6"/>
      <c r="AD286" s="6"/>
      <c r="AE286" s="7"/>
      <c r="AF286" s="7"/>
      <c r="AG286" s="7"/>
      <c r="AH286" s="7"/>
      <c r="AI286" s="7"/>
      <c r="AJ286" s="7"/>
      <c r="AK286" s="7"/>
      <c r="AL286" s="7"/>
      <c r="AM286" s="7"/>
      <c r="AN286" s="7"/>
      <c r="AO286" s="6"/>
      <c r="AP286" s="7"/>
      <c r="AQ286" s="7"/>
      <c r="AR286" s="6"/>
      <c r="AS286" s="7"/>
      <c r="AT286" s="7"/>
      <c r="AU286" s="7"/>
      <c r="AV286" s="7"/>
      <c r="AW286" s="7"/>
      <c r="AX286" s="7"/>
      <c r="AY286" s="7"/>
      <c r="AZ286" s="7"/>
      <c r="BA286" s="7"/>
      <c r="BB286" s="7"/>
      <c r="BC286" s="7"/>
      <c r="BD286" s="7"/>
      <c r="BE286" s="7"/>
      <c r="BF286" s="7"/>
      <c r="BG286" s="7"/>
    </row>
    <row r="287" customHeight="1" spans="1:59">
      <c r="A287" s="9" t="str">
        <f>IFERROR(__xludf.DUMMYFUNCTION("""COMPUTED_VALUE"""),"Daymar 49")</f>
        <v>Daymar 49</v>
      </c>
      <c r="B287" s="5" t="str">
        <f>IFERROR(__xludf.DUMMYFUNCTION("""COMPUTED_VALUE"""),"Daymar 60")</f>
        <v>Daymar 60</v>
      </c>
      <c r="C287" s="5" t="str">
        <f>IFERROR(__xludf.DUMMYFUNCTION("""COMPUTED_VALUE"""),"Daymar 39")</f>
        <v>Daymar 39</v>
      </c>
      <c r="D287" s="5" t="str">
        <f>IFERROR(__xludf.DUMMYFUNCTION("""COMPUTED_VALUE"""),"Sand Cave 30D")</f>
        <v>Sand Cave 30D</v>
      </c>
      <c r="E287" s="7" t="str">
        <f>IFERROR(__xludf.DUMMYFUNCTION("""COMPUTED_VALUE"""),"SCave 30D")</f>
        <v>SCave 30D</v>
      </c>
      <c r="F287" s="8">
        <f>IFERROR(__xludf.DUMMYFUNCTION("""COMPUTED_VALUE"""),110.428650132)</f>
        <v>110.428650132</v>
      </c>
      <c r="G287" s="8">
        <f>IFERROR(__xludf.DUMMYFUNCTION("""COMPUTED_VALUE"""),-9.16211831499999)</f>
        <v>-9.16211831499999</v>
      </c>
      <c r="H287" s="8">
        <f>IFERROR(__xludf.DUMMYFUNCTION("""COMPUTED_VALUE"""),-273.395692081)</f>
        <v>-273.395692081</v>
      </c>
      <c r="I287" s="14"/>
      <c r="J287" s="14"/>
      <c r="K287" s="14"/>
      <c r="L287" s="14"/>
      <c r="M287" s="7" t="b">
        <f>IFERROR(__xludf.DUMMYFUNCTION("""COMPUTED_VALUE"""),FALSE)</f>
        <v>0</v>
      </c>
      <c r="N287" s="10"/>
      <c r="O287" s="10"/>
      <c r="P287" s="8"/>
      <c r="Q287" s="7"/>
      <c r="R287" s="16"/>
      <c r="S287" s="17"/>
      <c r="T287" s="8"/>
      <c r="U287" s="8"/>
      <c r="V287" s="22"/>
      <c r="W287" s="12"/>
      <c r="X287" s="12"/>
      <c r="Y287" s="12"/>
      <c r="Z287" s="12"/>
      <c r="AA287" s="7"/>
      <c r="AB287" s="12"/>
      <c r="AC287" s="6"/>
      <c r="AD287" s="6"/>
      <c r="AE287" s="7"/>
      <c r="AF287" s="7"/>
      <c r="AG287" s="7"/>
      <c r="AH287" s="7"/>
      <c r="AI287" s="7"/>
      <c r="AJ287" s="7"/>
      <c r="AK287" s="7"/>
      <c r="AL287" s="7"/>
      <c r="AM287" s="7"/>
      <c r="AN287" s="7"/>
      <c r="AO287" s="6"/>
      <c r="AP287" s="7"/>
      <c r="AQ287" s="7"/>
      <c r="AR287" s="6"/>
      <c r="AS287" s="7"/>
      <c r="AT287" s="7"/>
      <c r="AU287" s="7"/>
      <c r="AV287" s="7"/>
      <c r="AW287" s="7"/>
      <c r="AX287" s="7"/>
      <c r="AY287" s="7"/>
      <c r="AZ287" s="7"/>
      <c r="BA287" s="7"/>
      <c r="BB287" s="7"/>
      <c r="BC287" s="7"/>
      <c r="BD287" s="7"/>
      <c r="BE287" s="7"/>
      <c r="BF287" s="7"/>
      <c r="BG287" s="7"/>
    </row>
    <row r="288" customHeight="1" spans="1:59">
      <c r="A288" s="9" t="str">
        <f>IFERROR(__xludf.DUMMYFUNCTION("""COMPUTED_VALUE"""),"Daymar 35")</f>
        <v>Daymar 35</v>
      </c>
      <c r="B288" s="5" t="str">
        <f>IFERROR(__xludf.DUMMYFUNCTION("""COMPUTED_VALUE"""),"Daymar 46")</f>
        <v>Daymar 46</v>
      </c>
      <c r="C288" s="5" t="str">
        <f>IFERROR(__xludf.DUMMYFUNCTION("""COMPUTED_VALUE"""),"Daymar 71")</f>
        <v>Daymar 71</v>
      </c>
      <c r="D288" s="5" t="str">
        <f>IFERROR(__xludf.DUMMYFUNCTION("""COMPUTED_VALUE"""),"Sand Cave 03G")</f>
        <v>Sand Cave 03G</v>
      </c>
      <c r="E288" s="7" t="str">
        <f>IFERROR(__xludf.DUMMYFUNCTION("""COMPUTED_VALUE"""),"SCave 03G")</f>
        <v>SCave 03G</v>
      </c>
      <c r="F288" s="11">
        <f>IFERROR(__xludf.DUMMYFUNCTION("""COMPUTED_VALUE"""),-201.78924098)</f>
        <v>-201.78924098</v>
      </c>
      <c r="G288" s="11">
        <f>IFERROR(__xludf.DUMMYFUNCTION("""COMPUTED_VALUE"""),-45.2817604839998)</f>
        <v>-45.2817604839998</v>
      </c>
      <c r="H288" s="11">
        <f>IFERROR(__xludf.DUMMYFUNCTION("""COMPUTED_VALUE"""),-210.857671955)</f>
        <v>-210.857671955</v>
      </c>
      <c r="I288" s="15"/>
      <c r="J288" s="15"/>
      <c r="K288" s="15"/>
      <c r="L288" s="15"/>
      <c r="M288" s="7" t="b">
        <f>IFERROR(__xludf.DUMMYFUNCTION("""COMPUTED_VALUE"""),FALSE)</f>
        <v>0</v>
      </c>
      <c r="N288" s="10"/>
      <c r="O288" s="10"/>
      <c r="P288" s="8"/>
      <c r="Q288" s="7"/>
      <c r="R288" s="16"/>
      <c r="S288" s="17"/>
      <c r="T288" s="8"/>
      <c r="U288" s="8"/>
      <c r="V288" s="22"/>
      <c r="W288" s="12"/>
      <c r="X288" s="12"/>
      <c r="Y288" s="12"/>
      <c r="Z288" s="12"/>
      <c r="AA288" s="7"/>
      <c r="AB288" s="12"/>
      <c r="AC288" s="6"/>
      <c r="AD288" s="6"/>
      <c r="AE288" s="7"/>
      <c r="AF288" s="7"/>
      <c r="AG288" s="7"/>
      <c r="AH288" s="7"/>
      <c r="AI288" s="7"/>
      <c r="AJ288" s="7"/>
      <c r="AK288" s="7"/>
      <c r="AL288" s="7"/>
      <c r="AM288" s="7"/>
      <c r="AN288" s="7"/>
      <c r="AO288" s="6"/>
      <c r="AP288" s="7"/>
      <c r="AQ288" s="7"/>
      <c r="AR288" s="6"/>
      <c r="AS288" s="7"/>
      <c r="AT288" s="7"/>
      <c r="AU288" s="7"/>
      <c r="AV288" s="7"/>
      <c r="AW288" s="7"/>
      <c r="AX288" s="7"/>
      <c r="AY288" s="7"/>
      <c r="AZ288" s="7"/>
      <c r="BA288" s="7"/>
      <c r="BB288" s="7"/>
      <c r="BC288" s="7"/>
      <c r="BD288" s="7"/>
      <c r="BE288" s="7"/>
      <c r="BF288" s="7"/>
      <c r="BG288" s="7"/>
    </row>
    <row r="289" customHeight="1" spans="1:59">
      <c r="A289" s="9" t="str">
        <f>IFERROR(__xludf.DUMMYFUNCTION("""COMPUTED_VALUE"""),"Daymar 55")</f>
        <v>Daymar 55</v>
      </c>
      <c r="B289" s="5" t="str">
        <f>IFERROR(__xludf.DUMMYFUNCTION("""COMPUTED_VALUE"""),"Daymar 66")</f>
        <v>Daymar 66</v>
      </c>
      <c r="C289" s="5" t="str">
        <f>IFERROR(__xludf.DUMMYFUNCTION("""COMPUTED_VALUE"""),"Daymar 19")</f>
        <v>Daymar 19</v>
      </c>
      <c r="D289" s="5" t="str">
        <f>IFERROR(__xludf.DUMMYFUNCTION("""COMPUTED_VALUE"""),"Sand Cave 46L")</f>
        <v>Sand Cave 46L</v>
      </c>
      <c r="E289" s="7" t="str">
        <f>IFERROR(__xludf.DUMMYFUNCTION("""COMPUTED_VALUE"""),"SCave 46L")</f>
        <v>SCave 46L</v>
      </c>
      <c r="F289" s="11">
        <f>IFERROR(__xludf.DUMMYFUNCTION("""COMPUTED_VALUE"""),-18.6007644389999)</f>
        <v>-18.6007644389999</v>
      </c>
      <c r="G289" s="11">
        <f>IFERROR(__xludf.DUMMYFUNCTION("""COMPUTED_VALUE"""),289.504881805)</f>
        <v>289.504881805</v>
      </c>
      <c r="H289" s="11">
        <f>IFERROR(__xludf.DUMMYFUNCTION("""COMPUTED_VALUE"""),-56.7709161289999)</f>
        <v>-56.7709161289999</v>
      </c>
      <c r="I289" s="15"/>
      <c r="J289" s="15"/>
      <c r="K289" s="15"/>
      <c r="L289" s="15"/>
      <c r="M289" s="7" t="b">
        <f>IFERROR(__xludf.DUMMYFUNCTION("""COMPUTED_VALUE"""),FALSE)</f>
        <v>0</v>
      </c>
      <c r="N289" s="10"/>
      <c r="O289" s="10"/>
      <c r="P289" s="8"/>
      <c r="Q289" s="7"/>
      <c r="R289" s="16"/>
      <c r="S289" s="17"/>
      <c r="T289" s="8"/>
      <c r="U289" s="8"/>
      <c r="V289" s="22"/>
      <c r="W289" s="12"/>
      <c r="X289" s="12"/>
      <c r="Y289" s="12"/>
      <c r="Z289" s="12"/>
      <c r="AA289" s="7"/>
      <c r="AB289" s="12"/>
      <c r="AC289" s="6"/>
      <c r="AD289" s="6"/>
      <c r="AE289" s="7"/>
      <c r="AF289" s="7"/>
      <c r="AG289" s="7"/>
      <c r="AH289" s="7"/>
      <c r="AI289" s="7"/>
      <c r="AJ289" s="7"/>
      <c r="AK289" s="7"/>
      <c r="AL289" s="7"/>
      <c r="AM289" s="7"/>
      <c r="AN289" s="7"/>
      <c r="AO289" s="6"/>
      <c r="AP289" s="7"/>
      <c r="AQ289" s="7"/>
      <c r="AR289" s="6"/>
      <c r="AS289" s="7"/>
      <c r="AT289" s="7"/>
      <c r="AU289" s="7"/>
      <c r="AV289" s="7"/>
      <c r="AW289" s="7"/>
      <c r="AX289" s="7"/>
      <c r="AY289" s="7"/>
      <c r="AZ289" s="7"/>
      <c r="BA289" s="7"/>
      <c r="BB289" s="7"/>
      <c r="BC289" s="7"/>
      <c r="BD289" s="7"/>
      <c r="BE289" s="7"/>
      <c r="BF289" s="7"/>
      <c r="BG289" s="7"/>
    </row>
    <row r="290" customHeight="1" spans="1:59">
      <c r="A290" s="9" t="str">
        <f>IFERROR(__xludf.DUMMYFUNCTION("""COMPUTED_VALUE"""),"Daymar 53")</f>
        <v>Daymar 53</v>
      </c>
      <c r="B290" s="5" t="str">
        <f>IFERROR(__xludf.DUMMYFUNCTION("""COMPUTED_VALUE"""),"Daymar 64")</f>
        <v>Daymar 64</v>
      </c>
      <c r="C290" s="5" t="str">
        <f>IFERROR(__xludf.DUMMYFUNCTION("""COMPUTED_VALUE"""),"Daymar 29")</f>
        <v>Daymar 29</v>
      </c>
      <c r="D290" s="5" t="str">
        <f>IFERROR(__xludf.DUMMYFUNCTION("""COMPUTED_VALUE"""),"Sand Cave 41Q")</f>
        <v>Sand Cave 41Q</v>
      </c>
      <c r="E290" s="7" t="str">
        <f>IFERROR(__xludf.DUMMYFUNCTION("""COMPUTED_VALUE"""),"SCave 41Q")</f>
        <v>SCave 41Q</v>
      </c>
      <c r="F290" s="11">
        <f>IFERROR(__xludf.DUMMYFUNCTION("""COMPUTED_VALUE"""),123.522194406)</f>
        <v>123.522194406</v>
      </c>
      <c r="G290" s="11">
        <f>IFERROR(__xludf.DUMMYFUNCTION("""COMPUTED_VALUE"""),254.315972424)</f>
        <v>254.315972424</v>
      </c>
      <c r="H290" s="11">
        <f>IFERROR(__xludf.DUMMYFUNCTION("""COMPUTED_VALUE"""),86.1357779339998)</f>
        <v>86.1357779339998</v>
      </c>
      <c r="I290" s="15"/>
      <c r="J290" s="15"/>
      <c r="K290" s="15"/>
      <c r="L290" s="15"/>
      <c r="M290" s="7" t="b">
        <f>IFERROR(__xludf.DUMMYFUNCTION("""COMPUTED_VALUE"""),FALSE)</f>
        <v>0</v>
      </c>
      <c r="N290" s="10"/>
      <c r="O290" s="10"/>
      <c r="P290" s="8"/>
      <c r="Q290" s="7"/>
      <c r="R290" s="16"/>
      <c r="S290" s="17"/>
      <c r="T290" s="8"/>
      <c r="U290" s="8"/>
      <c r="V290" s="22"/>
      <c r="W290" s="12"/>
      <c r="X290" s="12"/>
      <c r="Y290" s="12"/>
      <c r="Z290" s="12"/>
      <c r="AA290" s="7"/>
      <c r="AB290" s="12"/>
      <c r="AC290" s="6"/>
      <c r="AD290" s="6"/>
      <c r="AE290" s="7"/>
      <c r="AF290" s="7"/>
      <c r="AG290" s="7"/>
      <c r="AH290" s="7"/>
      <c r="AI290" s="7"/>
      <c r="AJ290" s="7"/>
      <c r="AK290" s="7"/>
      <c r="AL290" s="7"/>
      <c r="AM290" s="7"/>
      <c r="AN290" s="7"/>
      <c r="AO290" s="6"/>
      <c r="AP290" s="7"/>
      <c r="AQ290" s="7"/>
      <c r="AR290" s="6"/>
      <c r="AS290" s="7"/>
      <c r="AT290" s="7"/>
      <c r="AU290" s="7"/>
      <c r="AV290" s="7"/>
      <c r="AW290" s="7"/>
      <c r="AX290" s="7"/>
      <c r="AY290" s="7"/>
      <c r="AZ290" s="7"/>
      <c r="BA290" s="7"/>
      <c r="BB290" s="7"/>
      <c r="BC290" s="7"/>
      <c r="BD290" s="7"/>
      <c r="BE290" s="7"/>
      <c r="BF290" s="7"/>
      <c r="BG290" s="7"/>
    </row>
    <row r="291" customHeight="1" spans="1:59">
      <c r="A291" s="9" t="str">
        <f>IFERROR(__xludf.DUMMYFUNCTION("""COMPUTED_VALUE"""),"Daymar 58")</f>
        <v>Daymar 58</v>
      </c>
      <c r="B291" s="5" t="str">
        <f>IFERROR(__xludf.DUMMYFUNCTION("""COMPUTED_VALUE"""),"Daymar 69")</f>
        <v>Daymar 69</v>
      </c>
      <c r="C291" s="5" t="str">
        <f>IFERROR(__xludf.DUMMYFUNCTION("""COMPUTED_VALUE"""),"Daymar 12")</f>
        <v>Daymar 12</v>
      </c>
      <c r="D291" s="5" t="str">
        <f>IFERROR(__xludf.DUMMYFUNCTION("""COMPUTED_VALUE"""),"Sand Cave 49V")</f>
        <v>Sand Cave 49V</v>
      </c>
      <c r="E291" s="7" t="str">
        <f>IFERROR(__xludf.DUMMYFUNCTION("""COMPUTED_VALUE"""),"SCave 49V")</f>
        <v>SCave 49V</v>
      </c>
      <c r="F291" s="11">
        <f>IFERROR(__xludf.DUMMYFUNCTION("""COMPUTED_VALUE"""),-56.559550707)</f>
        <v>-56.559550707</v>
      </c>
      <c r="G291" s="11">
        <f>IFERROR(__xludf.DUMMYFUNCTION("""COMPUTED_VALUE"""),132.210330674)</f>
        <v>132.210330674</v>
      </c>
      <c r="H291" s="11">
        <f>IFERROR(__xludf.DUMMYFUNCTION("""COMPUTED_VALUE"""),257.679033079999)</f>
        <v>257.679033079999</v>
      </c>
      <c r="I291" s="15"/>
      <c r="J291" s="15"/>
      <c r="K291" s="15"/>
      <c r="L291" s="15"/>
      <c r="M291" s="7" t="b">
        <f>IFERROR(__xludf.DUMMYFUNCTION("""COMPUTED_VALUE"""),FALSE)</f>
        <v>0</v>
      </c>
      <c r="N291" s="10"/>
      <c r="O291" s="10"/>
      <c r="P291" s="8"/>
      <c r="Q291" s="7"/>
      <c r="R291" s="16"/>
      <c r="S291" s="17"/>
      <c r="T291" s="8"/>
      <c r="U291" s="8"/>
      <c r="V291" s="22"/>
      <c r="W291" s="12"/>
      <c r="X291" s="12"/>
      <c r="Y291" s="12"/>
      <c r="Z291" s="12"/>
      <c r="AA291" s="7"/>
      <c r="AB291" s="12"/>
      <c r="AC291" s="6"/>
      <c r="AD291" s="6"/>
      <c r="AE291" s="7"/>
      <c r="AF291" s="7"/>
      <c r="AG291" s="7"/>
      <c r="AH291" s="7"/>
      <c r="AI291" s="7"/>
      <c r="AJ291" s="7"/>
      <c r="AK291" s="7"/>
      <c r="AL291" s="7"/>
      <c r="AM291" s="7"/>
      <c r="AN291" s="7"/>
      <c r="AO291" s="6"/>
      <c r="AP291" s="7"/>
      <c r="AQ291" s="7"/>
      <c r="AR291" s="6"/>
      <c r="AS291" s="7"/>
      <c r="AT291" s="7"/>
      <c r="AU291" s="7"/>
      <c r="AV291" s="7"/>
      <c r="AW291" s="7"/>
      <c r="AX291" s="7"/>
      <c r="AY291" s="7"/>
      <c r="AZ291" s="7"/>
      <c r="BA291" s="7"/>
      <c r="BB291" s="7"/>
      <c r="BC291" s="7"/>
      <c r="BD291" s="7"/>
      <c r="BE291" s="7"/>
      <c r="BF291" s="7"/>
      <c r="BG291" s="7"/>
    </row>
    <row r="292" customHeight="1" spans="1:59">
      <c r="A292" s="9" t="str">
        <f>IFERROR(__xludf.DUMMYFUNCTION("""COMPUTED_VALUE"""),"Daymar 50")</f>
        <v>Daymar 50</v>
      </c>
      <c r="B292" s="5" t="str">
        <f>IFERROR(__xludf.DUMMYFUNCTION("""COMPUTED_VALUE"""),"Daymar 61")</f>
        <v>Daymar 61</v>
      </c>
      <c r="C292" s="5" t="str">
        <f>IFERROR(__xludf.DUMMYFUNCTION("""COMPUTED_VALUE"""),"Daymar 34")</f>
        <v>Daymar 34</v>
      </c>
      <c r="D292" s="5" t="str">
        <f>IFERROR(__xludf.DUMMYFUNCTION("""COMPUTED_VALUE"""),"Sand Cave 34T")</f>
        <v>Sand Cave 34T</v>
      </c>
      <c r="E292" s="7" t="str">
        <f>IFERROR(__xludf.DUMMYFUNCTION("""COMPUTED_VALUE"""),"SCave 34T")</f>
        <v>SCave 34T</v>
      </c>
      <c r="F292" s="11">
        <f>IFERROR(__xludf.DUMMYFUNCTION("""COMPUTED_VALUE"""),203.579362154)</f>
        <v>203.579362154</v>
      </c>
      <c r="G292" s="11">
        <f>IFERROR(__xludf.DUMMYFUNCTION("""COMPUTED_VALUE"""),80.5784592549999)</f>
        <v>80.5784592549999</v>
      </c>
      <c r="H292" s="11">
        <f>IFERROR(__xludf.DUMMYFUNCTION("""COMPUTED_VALUE"""),198.174320894)</f>
        <v>198.174320894</v>
      </c>
      <c r="I292" s="15"/>
      <c r="J292" s="15"/>
      <c r="K292" s="15"/>
      <c r="L292" s="15"/>
      <c r="M292" s="7" t="b">
        <f>IFERROR(__xludf.DUMMYFUNCTION("""COMPUTED_VALUE"""),FALSE)</f>
        <v>0</v>
      </c>
      <c r="N292" s="10"/>
      <c r="O292" s="10"/>
      <c r="P292" s="8"/>
      <c r="Q292" s="7"/>
      <c r="R292" s="16"/>
      <c r="S292" s="17"/>
      <c r="T292" s="8"/>
      <c r="U292" s="8"/>
      <c r="V292" s="22"/>
      <c r="W292" s="12"/>
      <c r="X292" s="12"/>
      <c r="Y292" s="12"/>
      <c r="Z292" s="12"/>
      <c r="AA292" s="7"/>
      <c r="AB292" s="12"/>
      <c r="AC292" s="6"/>
      <c r="AD292" s="6"/>
      <c r="AE292" s="7"/>
      <c r="AF292" s="7"/>
      <c r="AG292" s="7"/>
      <c r="AH292" s="7"/>
      <c r="AI292" s="7"/>
      <c r="AJ292" s="7"/>
      <c r="AK292" s="7"/>
      <c r="AL292" s="7"/>
      <c r="AM292" s="7"/>
      <c r="AN292" s="7"/>
      <c r="AO292" s="6"/>
      <c r="AP292" s="7"/>
      <c r="AQ292" s="7"/>
      <c r="AR292" s="6"/>
      <c r="AS292" s="7"/>
      <c r="AT292" s="7"/>
      <c r="AU292" s="7"/>
      <c r="AV292" s="7"/>
      <c r="AW292" s="7"/>
      <c r="AX292" s="7"/>
      <c r="AY292" s="7"/>
      <c r="AZ292" s="7"/>
      <c r="BA292" s="7"/>
      <c r="BB292" s="7"/>
      <c r="BC292" s="7"/>
      <c r="BD292" s="7"/>
      <c r="BE292" s="7"/>
      <c r="BF292" s="7"/>
      <c r="BG292" s="7"/>
    </row>
    <row r="293" customHeight="1" spans="1:59">
      <c r="A293" s="9" t="str">
        <f>IFERROR(__xludf.DUMMYFUNCTION("""COMPUTED_VALUE"""),"Daymar 42")</f>
        <v>Daymar 42</v>
      </c>
      <c r="B293" s="5" t="str">
        <f>IFERROR(__xludf.DUMMYFUNCTION("""COMPUTED_VALUE"""),"Daymar 53")</f>
        <v>Daymar 53</v>
      </c>
      <c r="C293" s="5" t="str">
        <f>IFERROR(__xludf.DUMMYFUNCTION("""COMPUTED_VALUE"""),"Daymar 58")</f>
        <v>Daymar 58</v>
      </c>
      <c r="D293" s="5" t="str">
        <f>IFERROR(__xludf.DUMMYFUNCTION("""COMPUTED_VALUE"""),"Sand Cave 15H")</f>
        <v>Sand Cave 15H</v>
      </c>
      <c r="E293" s="7" t="str">
        <f>IFERROR(__xludf.DUMMYFUNCTION("""COMPUTED_VALUE"""),"SCave 15H")</f>
        <v>SCave 15H</v>
      </c>
      <c r="F293" s="11">
        <f>IFERROR(__xludf.DUMMYFUNCTION("""COMPUTED_VALUE"""),-17.528967342)</f>
        <v>-17.528967342</v>
      </c>
      <c r="G293" s="11">
        <f>IFERROR(__xludf.DUMMYFUNCTION("""COMPUTED_VALUE"""),-235.607051966)</f>
        <v>-235.607051966</v>
      </c>
      <c r="H293" s="11">
        <f>IFERROR(__xludf.DUMMYFUNCTION("""COMPUTED_VALUE"""),-176.988804781)</f>
        <v>-176.988804781</v>
      </c>
      <c r="I293" s="15"/>
      <c r="J293" s="15"/>
      <c r="K293" s="15"/>
      <c r="L293" s="15"/>
      <c r="M293" s="7" t="b">
        <f>IFERROR(__xludf.DUMMYFUNCTION("""COMPUTED_VALUE"""),FALSE)</f>
        <v>0</v>
      </c>
      <c r="N293" s="10"/>
      <c r="O293" s="10"/>
      <c r="P293" s="8"/>
      <c r="Q293" s="7"/>
      <c r="R293" s="16"/>
      <c r="S293" s="17"/>
      <c r="T293" s="8"/>
      <c r="U293" s="8"/>
      <c r="V293" s="22"/>
      <c r="W293" s="12"/>
      <c r="X293" s="12"/>
      <c r="Y293" s="12"/>
      <c r="Z293" s="12"/>
      <c r="AA293" s="7"/>
      <c r="AB293" s="12"/>
      <c r="AC293" s="6"/>
      <c r="AD293" s="6"/>
      <c r="AE293" s="7"/>
      <c r="AF293" s="7"/>
      <c r="AG293" s="7"/>
      <c r="AH293" s="7"/>
      <c r="AI293" s="7"/>
      <c r="AJ293" s="7"/>
      <c r="AK293" s="7"/>
      <c r="AL293" s="7"/>
      <c r="AM293" s="7"/>
      <c r="AN293" s="7"/>
      <c r="AO293" s="6"/>
      <c r="AP293" s="7"/>
      <c r="AQ293" s="7"/>
      <c r="AR293" s="6"/>
      <c r="AS293" s="7"/>
      <c r="AT293" s="7"/>
      <c r="AU293" s="7"/>
      <c r="AV293" s="7"/>
      <c r="AW293" s="7"/>
      <c r="AX293" s="7"/>
      <c r="AY293" s="7"/>
      <c r="AZ293" s="7"/>
      <c r="BA293" s="7"/>
      <c r="BB293" s="7"/>
      <c r="BC293" s="7"/>
      <c r="BD293" s="7"/>
      <c r="BE293" s="7"/>
      <c r="BF293" s="7"/>
      <c r="BG293" s="7"/>
    </row>
    <row r="294" customHeight="1" spans="1:59">
      <c r="A294" s="9" t="str">
        <f>IFERROR(__xludf.DUMMYFUNCTION("""COMPUTED_VALUE"""),"Daymar 56")</f>
        <v>Daymar 56</v>
      </c>
      <c r="B294" s="5" t="str">
        <f>IFERROR(__xludf.DUMMYFUNCTION("""COMPUTED_VALUE"""),"Daymar 67")</f>
        <v>Daymar 67</v>
      </c>
      <c r="C294" s="5" t="str">
        <f>IFERROR(__xludf.DUMMYFUNCTION("""COMPUTED_VALUE"""),"Daymar 15")</f>
        <v>Daymar 15</v>
      </c>
      <c r="D294" s="5" t="str">
        <f>IFERROR(__xludf.DUMMYFUNCTION("""COMPUTED_VALUE"""),"Sand Cave 47U")</f>
        <v>Sand Cave 47U</v>
      </c>
      <c r="E294" s="7" t="str">
        <f>IFERROR(__xludf.DUMMYFUNCTION("""COMPUTED_VALUE"""),"SCave 47U")</f>
        <v>SCave 47U</v>
      </c>
      <c r="F294" s="11">
        <f>IFERROR(__xludf.DUMMYFUNCTION("""COMPUTED_VALUE"""),-24.453191189)</f>
        <v>-24.453191189</v>
      </c>
      <c r="G294" s="11">
        <f>IFERROR(__xludf.DUMMYFUNCTION("""COMPUTED_VALUE"""),190.721141586)</f>
        <v>190.721141586</v>
      </c>
      <c r="H294" s="11">
        <f>IFERROR(__xludf.DUMMYFUNCTION("""COMPUTED_VALUE"""),223.877190403999)</f>
        <v>223.877190403999</v>
      </c>
      <c r="I294" s="15"/>
      <c r="J294" s="15"/>
      <c r="K294" s="15"/>
      <c r="L294" s="15"/>
      <c r="M294" s="7" t="b">
        <f>IFERROR(__xludf.DUMMYFUNCTION("""COMPUTED_VALUE"""),FALSE)</f>
        <v>0</v>
      </c>
      <c r="N294" s="10"/>
      <c r="O294" s="10"/>
      <c r="P294" s="8"/>
      <c r="Q294" s="7"/>
      <c r="R294" s="16"/>
      <c r="S294" s="17"/>
      <c r="T294" s="8"/>
      <c r="U294" s="8"/>
      <c r="V294" s="22"/>
      <c r="W294" s="12"/>
      <c r="X294" s="12"/>
      <c r="Y294" s="12"/>
      <c r="Z294" s="12"/>
      <c r="AA294" s="7"/>
      <c r="AB294" s="12"/>
      <c r="AC294" s="6"/>
      <c r="AD294" s="6"/>
      <c r="AE294" s="7"/>
      <c r="AF294" s="7"/>
      <c r="AG294" s="7"/>
      <c r="AH294" s="7"/>
      <c r="AI294" s="7"/>
      <c r="AJ294" s="7"/>
      <c r="AK294" s="7"/>
      <c r="AL294" s="7"/>
      <c r="AM294" s="7"/>
      <c r="AN294" s="7"/>
      <c r="AO294" s="6"/>
      <c r="AP294" s="7"/>
      <c r="AQ294" s="7"/>
      <c r="AR294" s="6"/>
      <c r="AS294" s="7"/>
      <c r="AT294" s="7"/>
      <c r="AU294" s="7"/>
      <c r="AV294" s="7"/>
      <c r="AW294" s="7"/>
      <c r="AX294" s="7"/>
      <c r="AY294" s="7"/>
      <c r="AZ294" s="7"/>
      <c r="BA294" s="7"/>
      <c r="BB294" s="7"/>
      <c r="BC294" s="7"/>
      <c r="BD294" s="7"/>
      <c r="BE294" s="7"/>
      <c r="BF294" s="7"/>
      <c r="BG294" s="7"/>
    </row>
    <row r="295" customHeight="1" spans="1:59">
      <c r="A295" s="9" t="str">
        <f>IFERROR(__xludf.DUMMYFUNCTION("""COMPUTED_VALUE"""),"Daymar 41")</f>
        <v>Daymar 41</v>
      </c>
      <c r="B295" s="5" t="str">
        <f>IFERROR(__xludf.DUMMYFUNCTION("""COMPUTED_VALUE"""),"Daymar 52")</f>
        <v>Daymar 52</v>
      </c>
      <c r="C295" s="5" t="str">
        <f>IFERROR(__xludf.DUMMYFUNCTION("""COMPUTED_VALUE"""),"Daymar 60")</f>
        <v>Daymar 60</v>
      </c>
      <c r="D295" s="5" t="str">
        <f>IFERROR(__xludf.DUMMYFUNCTION("""COMPUTED_VALUE"""),"Sand Cave 12X")</f>
        <v>Sand Cave 12X</v>
      </c>
      <c r="E295" s="7" t="str">
        <f>IFERROR(__xludf.DUMMYFUNCTION("""COMPUTED_VALUE"""),"SCave 12X")</f>
        <v>SCave 12X</v>
      </c>
      <c r="F295" s="11">
        <f>IFERROR(__xludf.DUMMYFUNCTION("""COMPUTED_VALUE"""),-26.992544381)</f>
        <v>-26.992544381</v>
      </c>
      <c r="G295" s="11">
        <f>IFERROR(__xludf.DUMMYFUNCTION("""COMPUTED_VALUE"""),-62.409515003)</f>
        <v>-62.409515003</v>
      </c>
      <c r="H295" s="11">
        <f>IFERROR(__xludf.DUMMYFUNCTION("""COMPUTED_VALUE"""),287.804372978)</f>
        <v>287.804372978</v>
      </c>
      <c r="I295" s="15"/>
      <c r="J295" s="15"/>
      <c r="K295" s="15"/>
      <c r="L295" s="15"/>
      <c r="M295" s="7" t="b">
        <f>IFERROR(__xludf.DUMMYFUNCTION("""COMPUTED_VALUE"""),FALSE)</f>
        <v>0</v>
      </c>
      <c r="N295" s="10"/>
      <c r="O295" s="10"/>
      <c r="P295" s="8"/>
      <c r="Q295" s="7"/>
      <c r="R295" s="16"/>
      <c r="S295" s="17"/>
      <c r="T295" s="8"/>
      <c r="U295" s="8"/>
      <c r="V295" s="22"/>
      <c r="W295" s="12"/>
      <c r="X295" s="12"/>
      <c r="Y295" s="12"/>
      <c r="Z295" s="12"/>
      <c r="AA295" s="7"/>
      <c r="AB295" s="12"/>
      <c r="AC295" s="6"/>
      <c r="AD295" s="6"/>
      <c r="AE295" s="7"/>
      <c r="AF295" s="7"/>
      <c r="AG295" s="7"/>
      <c r="AH295" s="7"/>
      <c r="AI295" s="7"/>
      <c r="AJ295" s="7"/>
      <c r="AK295" s="7"/>
      <c r="AL295" s="7"/>
      <c r="AM295" s="7"/>
      <c r="AN295" s="7"/>
      <c r="AO295" s="6"/>
      <c r="AP295" s="7"/>
      <c r="AQ295" s="7"/>
      <c r="AR295" s="6"/>
      <c r="AS295" s="7"/>
      <c r="AT295" s="7"/>
      <c r="AU295" s="7"/>
      <c r="AV295" s="7"/>
      <c r="AW295" s="7"/>
      <c r="AX295" s="7"/>
      <c r="AY295" s="7"/>
      <c r="AZ295" s="7"/>
      <c r="BA295" s="7"/>
      <c r="BB295" s="7"/>
      <c r="BC295" s="7"/>
      <c r="BD295" s="7"/>
      <c r="BE295" s="7"/>
      <c r="BF295" s="7"/>
      <c r="BG295" s="7"/>
    </row>
    <row r="296" customHeight="1" spans="1:59">
      <c r="A296" s="9" t="str">
        <f>IFERROR(__xludf.DUMMYFUNCTION("""COMPUTED_VALUE"""),"Daymar 57")</f>
        <v>Daymar 57</v>
      </c>
      <c r="B296" s="5" t="str">
        <f>IFERROR(__xludf.DUMMYFUNCTION("""COMPUTED_VALUE"""),"Daymar 68")</f>
        <v>Daymar 68</v>
      </c>
      <c r="C296" s="5" t="str">
        <f>IFERROR(__xludf.DUMMYFUNCTION("""COMPUTED_VALUE"""),"Daymar 16")</f>
        <v>Daymar 16</v>
      </c>
      <c r="D296" s="5" t="str">
        <f>IFERROR(__xludf.DUMMYFUNCTION("""COMPUTED_VALUE"""),"Sand Cave 47W")</f>
        <v>Sand Cave 47W</v>
      </c>
      <c r="E296" s="7" t="str">
        <f>IFERROR(__xludf.DUMMYFUNCTION("""COMPUTED_VALUE"""),"SCave 47W")</f>
        <v>SCave 47W</v>
      </c>
      <c r="F296" s="11">
        <f>IFERROR(__xludf.DUMMYFUNCTION("""COMPUTED_VALUE"""),-11.29420767)</f>
        <v>-11.29420767</v>
      </c>
      <c r="G296" s="11">
        <f>IFERROR(__xludf.DUMMYFUNCTION("""COMPUTED_VALUE"""),95.3117616949999)</f>
        <v>95.3117616949999</v>
      </c>
      <c r="H296" s="11">
        <f>IFERROR(__xludf.DUMMYFUNCTION("""COMPUTED_VALUE"""),279.127010911)</f>
        <v>279.127010911</v>
      </c>
      <c r="I296" s="15"/>
      <c r="J296" s="15"/>
      <c r="K296" s="15"/>
      <c r="L296" s="15"/>
      <c r="M296" s="7" t="b">
        <f>IFERROR(__xludf.DUMMYFUNCTION("""COMPUTED_VALUE"""),FALSE)</f>
        <v>0</v>
      </c>
      <c r="N296" s="10"/>
      <c r="O296" s="10"/>
      <c r="P296" s="8"/>
      <c r="Q296" s="7"/>
      <c r="R296" s="16"/>
      <c r="S296" s="17"/>
      <c r="T296" s="8"/>
      <c r="U296" s="8"/>
      <c r="V296" s="22"/>
      <c r="W296" s="12"/>
      <c r="X296" s="12"/>
      <c r="Y296" s="12"/>
      <c r="Z296" s="12"/>
      <c r="AA296" s="7"/>
      <c r="AB296" s="12"/>
      <c r="AC296" s="6"/>
      <c r="AD296" s="6"/>
      <c r="AE296" s="7"/>
      <c r="AF296" s="7"/>
      <c r="AG296" s="7"/>
      <c r="AH296" s="7"/>
      <c r="AI296" s="7"/>
      <c r="AJ296" s="7"/>
      <c r="AK296" s="7"/>
      <c r="AL296" s="7"/>
      <c r="AM296" s="7"/>
      <c r="AN296" s="7"/>
      <c r="AO296" s="6"/>
      <c r="AP296" s="7"/>
      <c r="AQ296" s="7"/>
      <c r="AR296" s="6"/>
      <c r="AS296" s="7"/>
      <c r="AT296" s="7"/>
      <c r="AU296" s="7"/>
      <c r="AV296" s="7"/>
      <c r="AW296" s="7"/>
      <c r="AX296" s="7"/>
      <c r="AY296" s="7"/>
      <c r="AZ296" s="7"/>
      <c r="BA296" s="7"/>
      <c r="BB296" s="7"/>
      <c r="BC296" s="7"/>
      <c r="BD296" s="7"/>
      <c r="BE296" s="7"/>
      <c r="BF296" s="7"/>
      <c r="BG296" s="7"/>
    </row>
    <row r="297" customHeight="1" spans="1:59">
      <c r="A297" s="9" t="str">
        <f>IFERROR(__xludf.DUMMYFUNCTION("""COMPUTED_VALUE"""),"Daymar 60")</f>
        <v>Daymar 60</v>
      </c>
      <c r="B297" s="5" t="str">
        <f>IFERROR(__xludf.DUMMYFUNCTION("""COMPUTED_VALUE"""),"Daymar 71")</f>
        <v>Daymar 71</v>
      </c>
      <c r="C297" s="5" t="str">
        <f>IFERROR(__xludf.DUMMYFUNCTION("""COMPUTED_VALUE"""),"Daymar 08")</f>
        <v>Daymar 08</v>
      </c>
      <c r="D297" s="5" t="str">
        <f>IFERROR(__xludf.DUMMYFUNCTION("""COMPUTED_VALUE"""),"Sand Cave 54P")</f>
        <v>Sand Cave 54P</v>
      </c>
      <c r="E297" s="7" t="str">
        <f>IFERROR(__xludf.DUMMYFUNCTION("""COMPUTED_VALUE"""),"SCave 54P")</f>
        <v>SCave 54P</v>
      </c>
      <c r="F297" s="11">
        <f>IFERROR(__xludf.DUMMYFUNCTION("""COMPUTED_VALUE"""),-218.449170663)</f>
        <v>-218.449170663</v>
      </c>
      <c r="G297" s="11">
        <f>IFERROR(__xludf.DUMMYFUNCTION("""COMPUTED_VALUE"""),191.796701383)</f>
        <v>191.796701383</v>
      </c>
      <c r="H297" s="11">
        <f>IFERROR(__xludf.DUMMYFUNCTION("""COMPUTED_VALUE"""),50.6999874849999)</f>
        <v>50.6999874849999</v>
      </c>
      <c r="I297" s="15"/>
      <c r="J297" s="15"/>
      <c r="K297" s="15"/>
      <c r="L297" s="15"/>
      <c r="M297" s="7" t="b">
        <f>IFERROR(__xludf.DUMMYFUNCTION("""COMPUTED_VALUE"""),FALSE)</f>
        <v>0</v>
      </c>
      <c r="N297" s="10"/>
      <c r="O297" s="10"/>
      <c r="P297" s="8"/>
      <c r="Q297" s="7"/>
      <c r="R297" s="16"/>
      <c r="S297" s="17"/>
      <c r="T297" s="8"/>
      <c r="U297" s="8"/>
      <c r="V297" s="22"/>
      <c r="W297" s="12"/>
      <c r="X297" s="12"/>
      <c r="Y297" s="12"/>
      <c r="Z297" s="12"/>
      <c r="AA297" s="7"/>
      <c r="AB297" s="12"/>
      <c r="AC297" s="6"/>
      <c r="AD297" s="6"/>
      <c r="AE297" s="7"/>
      <c r="AF297" s="7"/>
      <c r="AG297" s="7"/>
      <c r="AH297" s="7"/>
      <c r="AI297" s="7"/>
      <c r="AJ297" s="7"/>
      <c r="AK297" s="7"/>
      <c r="AL297" s="7"/>
      <c r="AM297" s="7"/>
      <c r="AN297" s="7"/>
      <c r="AO297" s="6"/>
      <c r="AP297" s="7"/>
      <c r="AQ297" s="7"/>
      <c r="AR297" s="6"/>
      <c r="AS297" s="7"/>
      <c r="AT297" s="7"/>
      <c r="AU297" s="7"/>
      <c r="AV297" s="7"/>
      <c r="AW297" s="7"/>
      <c r="AX297" s="7"/>
      <c r="AY297" s="7"/>
      <c r="AZ297" s="7"/>
      <c r="BA297" s="7"/>
      <c r="BB297" s="7"/>
      <c r="BC297" s="7"/>
      <c r="BD297" s="7"/>
      <c r="BE297" s="7"/>
      <c r="BF297" s="7"/>
      <c r="BG297" s="7"/>
    </row>
    <row r="298" customHeight="1" spans="1:59">
      <c r="A298" s="9" t="str">
        <f>IFERROR(__xludf.DUMMYFUNCTION("""COMPUTED_VALUE"""),"Daymar 61")</f>
        <v>Daymar 61</v>
      </c>
      <c r="B298" s="5" t="str">
        <f>IFERROR(__xludf.DUMMYFUNCTION("""COMPUTED_VALUE"""),"Daymar 72")</f>
        <v>Daymar 72</v>
      </c>
      <c r="C298" s="5" t="str">
        <f>IFERROR(__xludf.DUMMYFUNCTION("""COMPUTED_VALUE"""),"Daymar 03")</f>
        <v>Daymar 03</v>
      </c>
      <c r="D298" s="5" t="str">
        <f>IFERROR(__xludf.DUMMYFUNCTION("""COMPUTED_VALUE"""),"Sand Cave 58G")</f>
        <v>Sand Cave 58G</v>
      </c>
      <c r="E298" s="7" t="str">
        <f>IFERROR(__xludf.DUMMYFUNCTION("""COMPUTED_VALUE"""),"SCave 58G")</f>
        <v>SCave 58G</v>
      </c>
      <c r="F298" s="11">
        <f>IFERROR(__xludf.DUMMYFUNCTION("""COMPUTED_VALUE"""),-213.400443701999)</f>
        <v>-213.400443701999</v>
      </c>
      <c r="G298" s="11">
        <f>IFERROR(__xludf.DUMMYFUNCTION("""COMPUTED_VALUE"""),53.8214768289999)</f>
        <v>53.8214768289999</v>
      </c>
      <c r="H298" s="11">
        <f>IFERROR(__xludf.DUMMYFUNCTION("""COMPUTED_VALUE"""),-196.770674222)</f>
        <v>-196.770674222</v>
      </c>
      <c r="I298" s="15"/>
      <c r="J298" s="15"/>
      <c r="K298" s="15"/>
      <c r="L298" s="15"/>
      <c r="M298" s="7" t="b">
        <f>IFERROR(__xludf.DUMMYFUNCTION("""COMPUTED_VALUE"""),FALSE)</f>
        <v>0</v>
      </c>
      <c r="N298" s="10"/>
      <c r="O298" s="10"/>
      <c r="P298" s="8"/>
      <c r="Q298" s="7"/>
      <c r="R298" s="16"/>
      <c r="S298" s="17"/>
      <c r="T298" s="8"/>
      <c r="U298" s="8"/>
      <c r="V298" s="22"/>
      <c r="W298" s="12"/>
      <c r="X298" s="12"/>
      <c r="Y298" s="12"/>
      <c r="Z298" s="12"/>
      <c r="AA298" s="7"/>
      <c r="AB298" s="12"/>
      <c r="AC298" s="6"/>
      <c r="AD298" s="6"/>
      <c r="AE298" s="7"/>
      <c r="AF298" s="7"/>
      <c r="AG298" s="7"/>
      <c r="AH298" s="7"/>
      <c r="AI298" s="7"/>
      <c r="AJ298" s="7"/>
      <c r="AK298" s="7"/>
      <c r="AL298" s="7"/>
      <c r="AM298" s="7"/>
      <c r="AN298" s="7"/>
      <c r="AO298" s="6"/>
      <c r="AP298" s="7"/>
      <c r="AQ298" s="7"/>
      <c r="AR298" s="6"/>
      <c r="AS298" s="7"/>
      <c r="AT298" s="7"/>
      <c r="AU298" s="7"/>
      <c r="AV298" s="7"/>
      <c r="AW298" s="7"/>
      <c r="AX298" s="7"/>
      <c r="AY298" s="7"/>
      <c r="AZ298" s="7"/>
      <c r="BA298" s="7"/>
      <c r="BB298" s="7"/>
      <c r="BC298" s="7"/>
      <c r="BD298" s="7"/>
      <c r="BE298" s="7"/>
      <c r="BF298" s="7"/>
      <c r="BG298" s="7"/>
    </row>
    <row r="299" customHeight="1" spans="1:59">
      <c r="A299" s="9" t="str">
        <f>IFERROR(__xludf.DUMMYFUNCTION("""COMPUTED_VALUE"""),"Daymar 36")</f>
        <v>Daymar 36</v>
      </c>
      <c r="B299" s="5" t="str">
        <f>IFERROR(__xludf.DUMMYFUNCTION("""COMPUTED_VALUE"""),"Daymar 47")</f>
        <v>Daymar 47</v>
      </c>
      <c r="C299" s="5" t="str">
        <f>IFERROR(__xludf.DUMMYFUNCTION("""COMPUTED_VALUE"""),"Daymar 68")</f>
        <v>Daymar 68</v>
      </c>
      <c r="D299" s="5" t="str">
        <f>IFERROR(__xludf.DUMMYFUNCTION("""COMPUTED_VALUE"""),"Sand Cave 05E")</f>
        <v>Sand Cave 05E</v>
      </c>
      <c r="E299" s="7" t="str">
        <f>IFERROR(__xludf.DUMMYFUNCTION("""COMPUTED_VALUE"""),"SCave 05E")</f>
        <v>SCave 05E</v>
      </c>
      <c r="F299" s="11">
        <f>IFERROR(__xludf.DUMMYFUNCTION("""COMPUTED_VALUE"""),-141.219153261)</f>
        <v>-141.219153261</v>
      </c>
      <c r="G299" s="11">
        <f>IFERROR(__xludf.DUMMYFUNCTION("""COMPUTED_VALUE"""),-73.398548334)</f>
        <v>-73.398548334</v>
      </c>
      <c r="H299" s="11">
        <f>IFERROR(__xludf.DUMMYFUNCTION("""COMPUTED_VALUE"""),-248.560479117999)</f>
        <v>-248.560479117999</v>
      </c>
      <c r="I299" s="15"/>
      <c r="J299" s="15"/>
      <c r="K299" s="15"/>
      <c r="L299" s="15"/>
      <c r="M299" s="7" t="b">
        <f>IFERROR(__xludf.DUMMYFUNCTION("""COMPUTED_VALUE"""),FALSE)</f>
        <v>0</v>
      </c>
      <c r="N299" s="10"/>
      <c r="O299" s="10"/>
      <c r="P299" s="8"/>
      <c r="Q299" s="7"/>
      <c r="R299" s="16"/>
      <c r="S299" s="17"/>
      <c r="T299" s="8"/>
      <c r="U299" s="8"/>
      <c r="V299" s="22"/>
      <c r="W299" s="12"/>
      <c r="X299" s="12"/>
      <c r="Y299" s="12"/>
      <c r="Z299" s="12"/>
      <c r="AA299" s="7"/>
      <c r="AB299" s="12"/>
      <c r="AC299" s="6"/>
      <c r="AD299" s="6"/>
      <c r="AE299" s="7"/>
      <c r="AF299" s="7"/>
      <c r="AG299" s="7"/>
      <c r="AH299" s="7"/>
      <c r="AI299" s="7"/>
      <c r="AJ299" s="7"/>
      <c r="AK299" s="7"/>
      <c r="AL299" s="7"/>
      <c r="AM299" s="7"/>
      <c r="AN299" s="7"/>
      <c r="AO299" s="6"/>
      <c r="AP299" s="7"/>
      <c r="AQ299" s="7"/>
      <c r="AR299" s="6"/>
      <c r="AS299" s="7"/>
      <c r="AT299" s="7"/>
      <c r="AU299" s="7"/>
      <c r="AV299" s="7"/>
      <c r="AW299" s="7"/>
      <c r="AX299" s="7"/>
      <c r="AY299" s="7"/>
      <c r="AZ299" s="7"/>
      <c r="BA299" s="7"/>
      <c r="BB299" s="7"/>
      <c r="BC299" s="7"/>
      <c r="BD299" s="7"/>
      <c r="BE299" s="7"/>
      <c r="BF299" s="7"/>
      <c r="BG299" s="7"/>
    </row>
    <row r="300" customHeight="1" spans="1:59">
      <c r="A300" s="9" t="str">
        <f>IFERROR(__xludf.DUMMYFUNCTION("""COMPUTED_VALUE"""),"Daymar 39")</f>
        <v>Daymar 39</v>
      </c>
      <c r="B300" s="5" t="str">
        <f>IFERROR(__xludf.DUMMYFUNCTION("""COMPUTED_VALUE"""),"Daymar 50")</f>
        <v>Daymar 50</v>
      </c>
      <c r="C300" s="5" t="str">
        <f>IFERROR(__xludf.DUMMYFUNCTION("""COMPUTED_VALUE"""),"Daymar 62")</f>
        <v>Daymar 62</v>
      </c>
      <c r="D300" s="5" t="str">
        <f>IFERROR(__xludf.DUMMYFUNCTION("""COMPUTED_VALUE"""),"Sand Cave 09G")</f>
        <v>Sand Cave 09G</v>
      </c>
      <c r="E300" s="7" t="str">
        <f>IFERROR(__xludf.DUMMYFUNCTION("""COMPUTED_VALUE"""),"SCave 09G")</f>
        <v>SCave 09G</v>
      </c>
      <c r="F300" s="11">
        <f>IFERROR(__xludf.DUMMYFUNCTION("""COMPUTED_VALUE"""),-137.603332209999)</f>
        <v>-137.603332209999</v>
      </c>
      <c r="G300" s="11">
        <f>IFERROR(__xludf.DUMMYFUNCTION("""COMPUTED_VALUE"""),-155.588942023999)</f>
        <v>-155.588942023999</v>
      </c>
      <c r="H300" s="11">
        <f>IFERROR(__xludf.DUMMYFUNCTION("""COMPUTED_VALUE"""),-210.125581460999)</f>
        <v>-210.125581460999</v>
      </c>
      <c r="I300" s="15"/>
      <c r="J300" s="15"/>
      <c r="K300" s="15"/>
      <c r="L300" s="15"/>
      <c r="M300" s="7" t="b">
        <f>IFERROR(__xludf.DUMMYFUNCTION("""COMPUTED_VALUE"""),FALSE)</f>
        <v>0</v>
      </c>
      <c r="N300" s="10"/>
      <c r="O300" s="10"/>
      <c r="P300" s="8"/>
      <c r="Q300" s="7"/>
      <c r="R300" s="16"/>
      <c r="S300" s="17"/>
      <c r="T300" s="8"/>
      <c r="U300" s="8"/>
      <c r="V300" s="22"/>
      <c r="W300" s="12"/>
      <c r="X300" s="12"/>
      <c r="Y300" s="12"/>
      <c r="Z300" s="12"/>
      <c r="AA300" s="7"/>
      <c r="AB300" s="12"/>
      <c r="AC300" s="6"/>
      <c r="AD300" s="6"/>
      <c r="AE300" s="7"/>
      <c r="AF300" s="7"/>
      <c r="AG300" s="7"/>
      <c r="AH300" s="7"/>
      <c r="AI300" s="7"/>
      <c r="AJ300" s="7"/>
      <c r="AK300" s="7"/>
      <c r="AL300" s="7"/>
      <c r="AM300" s="7"/>
      <c r="AN300" s="7"/>
      <c r="AO300" s="6"/>
      <c r="AP300" s="7"/>
      <c r="AQ300" s="7"/>
      <c r="AR300" s="6"/>
      <c r="AS300" s="7"/>
      <c r="AT300" s="7"/>
      <c r="AU300" s="7"/>
      <c r="AV300" s="7"/>
      <c r="AW300" s="7"/>
      <c r="AX300" s="7"/>
      <c r="AY300" s="7"/>
      <c r="AZ300" s="7"/>
      <c r="BA300" s="7"/>
      <c r="BB300" s="7"/>
      <c r="BC300" s="7"/>
      <c r="BD300" s="7"/>
      <c r="BE300" s="7"/>
      <c r="BF300" s="7"/>
      <c r="BG300" s="7"/>
    </row>
    <row r="301" customHeight="1" spans="1:59">
      <c r="A301" s="9" t="str">
        <f>IFERROR(__xludf.DUMMYFUNCTION("""COMPUTED_VALUE"""),"Daymar 34")</f>
        <v>Daymar 34</v>
      </c>
      <c r="B301" s="5" t="str">
        <f>IFERROR(__xludf.DUMMYFUNCTION("""COMPUTED_VALUE"""),"Daymar 45")</f>
        <v>Daymar 45</v>
      </c>
      <c r="C301" s="5" t="str">
        <f>IFERROR(__xludf.DUMMYFUNCTION("""COMPUTED_VALUE"""),"Daymar 73")</f>
        <v>Daymar 73</v>
      </c>
      <c r="D301" s="5" t="str">
        <f>IFERROR(__xludf.DUMMYFUNCTION("""COMPUTED_VALUE"""),"Sand Cave 02J")</f>
        <v>Sand Cave 02J</v>
      </c>
      <c r="E301" s="7" t="str">
        <f>IFERROR(__xludf.DUMMYFUNCTION("""COMPUTED_VALUE"""),"SCave 02J")</f>
        <v>SCave 02J</v>
      </c>
      <c r="F301" s="11">
        <f>IFERROR(__xludf.DUMMYFUNCTION("""COMPUTED_VALUE"""),-260.865534217)</f>
        <v>-260.865534217</v>
      </c>
      <c r="G301" s="11">
        <f>IFERROR(__xludf.DUMMYFUNCTION("""COMPUTED_VALUE"""),-43.31514149)</f>
        <v>-43.31514149</v>
      </c>
      <c r="H301" s="11">
        <f>IFERROR(__xludf.DUMMYFUNCTION("""COMPUTED_VALUE"""),-131.051009189)</f>
        <v>-131.051009189</v>
      </c>
      <c r="I301" s="15"/>
      <c r="J301" s="15"/>
      <c r="K301" s="15"/>
      <c r="L301" s="15"/>
      <c r="M301" s="7" t="b">
        <f>IFERROR(__xludf.DUMMYFUNCTION("""COMPUTED_VALUE"""),FALSE)</f>
        <v>0</v>
      </c>
      <c r="N301" s="10"/>
      <c r="O301" s="10"/>
      <c r="P301" s="8"/>
      <c r="Q301" s="7"/>
      <c r="R301" s="16"/>
      <c r="S301" s="17"/>
      <c r="T301" s="8"/>
      <c r="U301" s="8"/>
      <c r="V301" s="22"/>
      <c r="W301" s="12"/>
      <c r="X301" s="12"/>
      <c r="Y301" s="12"/>
      <c r="Z301" s="12"/>
      <c r="AA301" s="7"/>
      <c r="AB301" s="12"/>
      <c r="AC301" s="6"/>
      <c r="AD301" s="6"/>
      <c r="AE301" s="7"/>
      <c r="AF301" s="7"/>
      <c r="AG301" s="7"/>
      <c r="AH301" s="7"/>
      <c r="AI301" s="7"/>
      <c r="AJ301" s="7"/>
      <c r="AK301" s="7"/>
      <c r="AL301" s="7"/>
      <c r="AM301" s="7"/>
      <c r="AN301" s="7"/>
      <c r="AO301" s="6"/>
      <c r="AP301" s="7"/>
      <c r="AQ301" s="7"/>
      <c r="AR301" s="6"/>
      <c r="AS301" s="7"/>
      <c r="AT301" s="7"/>
      <c r="AU301" s="7"/>
      <c r="AV301" s="7"/>
      <c r="AW301" s="7"/>
      <c r="AX301" s="7"/>
      <c r="AY301" s="7"/>
      <c r="AZ301" s="7"/>
      <c r="BA301" s="7"/>
      <c r="BB301" s="7"/>
      <c r="BC301" s="7"/>
      <c r="BD301" s="7"/>
      <c r="BE301" s="7"/>
      <c r="BF301" s="7"/>
      <c r="BG301" s="7"/>
    </row>
    <row r="302" customHeight="1" spans="1:59">
      <c r="A302" s="9" t="str">
        <f>IFERROR(__xludf.DUMMYFUNCTION("""COMPUTED_VALUE"""),"Daymar 63")</f>
        <v>Daymar 63</v>
      </c>
      <c r="B302" s="5" t="str">
        <f>IFERROR(__xludf.DUMMYFUNCTION("""COMPUTED_VALUE"""),"Daymar 74")</f>
        <v>Daymar 74</v>
      </c>
      <c r="C302" s="5" t="str">
        <f>IFERROR(__xludf.DUMMYFUNCTION("""COMPUTED_VALUE"""),"Daymar 01")</f>
        <v>Daymar 01</v>
      </c>
      <c r="D302" s="5" t="str">
        <f>IFERROR(__xludf.DUMMYFUNCTION("""COMPUTED_VALUE"""),"Sand Cave 59P")</f>
        <v>Sand Cave 59P</v>
      </c>
      <c r="E302" s="7" t="str">
        <f>IFERROR(__xludf.DUMMYFUNCTION("""COMPUTED_VALUE"""),"SCave 59P")</f>
        <v>SCave 59P</v>
      </c>
      <c r="F302" s="11">
        <f>IFERROR(__xludf.DUMMYFUNCTION("""COMPUTED_VALUE"""),-283.240807665999)</f>
        <v>-283.240807665999</v>
      </c>
      <c r="G302" s="11">
        <f>IFERROR(__xludf.DUMMYFUNCTION("""COMPUTED_VALUE"""),53.891660141)</f>
        <v>53.891660141</v>
      </c>
      <c r="H302" s="11">
        <f>IFERROR(__xludf.DUMMYFUNCTION("""COMPUTED_VALUE"""),62.8879730429999)</f>
        <v>62.8879730429999</v>
      </c>
      <c r="I302" s="15"/>
      <c r="J302" s="15"/>
      <c r="K302" s="15"/>
      <c r="L302" s="15"/>
      <c r="M302" s="7" t="b">
        <f>IFERROR(__xludf.DUMMYFUNCTION("""COMPUTED_VALUE"""),FALSE)</f>
        <v>0</v>
      </c>
      <c r="N302" s="10"/>
      <c r="O302" s="10"/>
      <c r="P302" s="8"/>
      <c r="Q302" s="7"/>
      <c r="R302" s="16"/>
      <c r="S302" s="17"/>
      <c r="T302" s="8"/>
      <c r="U302" s="8"/>
      <c r="V302" s="22"/>
      <c r="W302" s="12"/>
      <c r="X302" s="12"/>
      <c r="Y302" s="12"/>
      <c r="Z302" s="12"/>
      <c r="AA302" s="7"/>
      <c r="AB302" s="12"/>
      <c r="AC302" s="6"/>
      <c r="AD302" s="6"/>
      <c r="AE302" s="7"/>
      <c r="AF302" s="7"/>
      <c r="AG302" s="7"/>
      <c r="AH302" s="7"/>
      <c r="AI302" s="7"/>
      <c r="AJ302" s="7"/>
      <c r="AK302" s="7"/>
      <c r="AL302" s="7"/>
      <c r="AM302" s="7"/>
      <c r="AN302" s="7"/>
      <c r="AO302" s="6"/>
      <c r="AP302" s="7"/>
      <c r="AQ302" s="7"/>
      <c r="AR302" s="6"/>
      <c r="AS302" s="7"/>
      <c r="AT302" s="7"/>
      <c r="AU302" s="7"/>
      <c r="AV302" s="7"/>
      <c r="AW302" s="7"/>
      <c r="AX302" s="7"/>
      <c r="AY302" s="7"/>
      <c r="AZ302" s="7"/>
      <c r="BA302" s="7"/>
      <c r="BB302" s="7"/>
      <c r="BC302" s="7"/>
      <c r="BD302" s="7"/>
      <c r="BE302" s="7"/>
      <c r="BF302" s="7"/>
      <c r="BG302" s="7"/>
    </row>
    <row r="303" customHeight="1" spans="1:59">
      <c r="A303" s="9" t="str">
        <f>IFERROR(__xludf.DUMMYFUNCTION("""COMPUTED_VALUE"""),"Daymar 43")</f>
        <v>Daymar 43</v>
      </c>
      <c r="B303" s="5" t="str">
        <f>IFERROR(__xludf.DUMMYFUNCTION("""COMPUTED_VALUE"""),"Daymar 54")</f>
        <v>Daymar 54</v>
      </c>
      <c r="C303" s="5" t="str">
        <f>IFERROR(__xludf.DUMMYFUNCTION("""COMPUTED_VALUE"""),"Daymar 56")</f>
        <v>Daymar 56</v>
      </c>
      <c r="D303" s="5" t="str">
        <f>IFERROR(__xludf.DUMMYFUNCTION("""COMPUTED_VALUE"""),"Sand Cave 17T")</f>
        <v>Sand Cave 17T</v>
      </c>
      <c r="E303" s="7" t="str">
        <f>IFERROR(__xludf.DUMMYFUNCTION("""COMPUTED_VALUE"""),"SCave 17T")</f>
        <v>SCave 17T</v>
      </c>
      <c r="F303" s="11">
        <f>IFERROR(__xludf.DUMMYFUNCTION("""COMPUTED_VALUE"""),22.7480766909999)</f>
        <v>22.7480766909999</v>
      </c>
      <c r="G303" s="11">
        <f>IFERROR(__xludf.DUMMYFUNCTION("""COMPUTED_VALUE"""),-203.775514082999)</f>
        <v>-203.775514082999</v>
      </c>
      <c r="H303" s="11">
        <f>IFERROR(__xludf.DUMMYFUNCTION("""COMPUTED_VALUE"""),212.299961776999)</f>
        <v>212.299961776999</v>
      </c>
      <c r="I303" s="15"/>
      <c r="J303" s="15"/>
      <c r="K303" s="15"/>
      <c r="L303" s="15"/>
      <c r="M303" s="7" t="b">
        <f>IFERROR(__xludf.DUMMYFUNCTION("""COMPUTED_VALUE"""),FALSE)</f>
        <v>0</v>
      </c>
      <c r="N303" s="10"/>
      <c r="O303" s="10"/>
      <c r="P303" s="8"/>
      <c r="Q303" s="7"/>
      <c r="R303" s="16"/>
      <c r="S303" s="17"/>
      <c r="T303" s="8"/>
      <c r="U303" s="8"/>
      <c r="V303" s="22"/>
      <c r="W303" s="12"/>
      <c r="X303" s="12"/>
      <c r="Y303" s="12"/>
      <c r="Z303" s="12"/>
      <c r="AA303" s="7"/>
      <c r="AB303" s="12"/>
      <c r="AC303" s="6"/>
      <c r="AD303" s="6"/>
      <c r="AE303" s="7"/>
      <c r="AF303" s="7"/>
      <c r="AG303" s="7"/>
      <c r="AH303" s="7"/>
      <c r="AI303" s="7"/>
      <c r="AJ303" s="7"/>
      <c r="AK303" s="7"/>
      <c r="AL303" s="7"/>
      <c r="AM303" s="7"/>
      <c r="AN303" s="7"/>
      <c r="AO303" s="6"/>
      <c r="AP303" s="7"/>
      <c r="AQ303" s="7"/>
      <c r="AR303" s="6"/>
      <c r="AS303" s="7"/>
      <c r="AT303" s="7"/>
      <c r="AU303" s="7"/>
      <c r="AV303" s="7"/>
      <c r="AW303" s="7"/>
      <c r="AX303" s="7"/>
      <c r="AY303" s="7"/>
      <c r="AZ303" s="7"/>
      <c r="BA303" s="7"/>
      <c r="BB303" s="7"/>
      <c r="BC303" s="7"/>
      <c r="BD303" s="7"/>
      <c r="BE303" s="7"/>
      <c r="BF303" s="7"/>
      <c r="BG303" s="7"/>
    </row>
    <row r="304" customHeight="1" spans="1:59">
      <c r="A304" s="9" t="str">
        <f>IFERROR(__xludf.DUMMYFUNCTION("""COMPUTED_VALUE"""),"Daymar")</f>
        <v>Daymar</v>
      </c>
      <c r="B304" s="5" t="str">
        <f>IFERROR(__xludf.DUMMYFUNCTION("""COMPUTED_VALUE"""),"Daymar 76")</f>
        <v>Daymar 76</v>
      </c>
      <c r="C304" s="5"/>
      <c r="D304" s="5" t="str">
        <f>IFERROR(__xludf.DUMMYFUNCTION("""COMPUTED_VALUE"""),"Wrecks")</f>
        <v>Wrecks</v>
      </c>
      <c r="E304" s="7"/>
      <c r="F304" s="11"/>
      <c r="G304" s="11"/>
      <c r="H304" s="11"/>
      <c r="I304" s="15"/>
      <c r="J304" s="15"/>
      <c r="K304" s="15"/>
      <c r="L304" s="15"/>
      <c r="M304" s="7"/>
      <c r="N304" s="10"/>
      <c r="O304" s="10"/>
      <c r="P304" s="8"/>
      <c r="Q304" s="7"/>
      <c r="R304" s="16"/>
      <c r="S304" s="17"/>
      <c r="T304" s="8"/>
      <c r="U304" s="8"/>
      <c r="V304" s="22"/>
      <c r="W304" s="12"/>
      <c r="X304" s="12"/>
      <c r="Y304" s="12"/>
      <c r="Z304" s="12"/>
      <c r="AA304" s="7"/>
      <c r="AB304" s="12"/>
      <c r="AC304" s="6"/>
      <c r="AD304" s="6"/>
      <c r="AE304" s="7"/>
      <c r="AF304" s="7"/>
      <c r="AG304" s="7"/>
      <c r="AH304" s="7"/>
      <c r="AI304" s="7"/>
      <c r="AJ304" s="7"/>
      <c r="AK304" s="7"/>
      <c r="AL304" s="7"/>
      <c r="AM304" s="7"/>
      <c r="AN304" s="7"/>
      <c r="AO304" s="6"/>
      <c r="AP304" s="7"/>
      <c r="AQ304" s="7"/>
      <c r="AR304" s="6"/>
      <c r="AS304" s="7"/>
      <c r="AT304" s="7"/>
      <c r="AU304" s="7"/>
      <c r="AV304" s="7"/>
      <c r="AW304" s="7"/>
      <c r="AX304" s="7"/>
      <c r="AY304" s="7"/>
      <c r="AZ304" s="7"/>
      <c r="BA304" s="7"/>
      <c r="BB304" s="7"/>
      <c r="BC304" s="7"/>
      <c r="BD304" s="7"/>
      <c r="BE304" s="7"/>
      <c r="BF304" s="7"/>
      <c r="BG304" s="7"/>
    </row>
    <row r="305" customHeight="1" spans="1:59">
      <c r="A305" s="9" t="str">
        <f>IFERROR(__xludf.DUMMYFUNCTION("""COMPUTED_VALUE"""),"Daymar 64")</f>
        <v>Daymar 64</v>
      </c>
      <c r="B305" s="5" t="str">
        <f>IFERROR(__xludf.DUMMYFUNCTION("""COMPUTED_VALUE"""),"Daymar 77")</f>
        <v>Daymar 77</v>
      </c>
      <c r="C305" s="5" t="str">
        <f>IFERROR(__xludf.DUMMYFUNCTION("""COMPUTED_VALUE"""),"Daymar 64")</f>
        <v>Daymar 64</v>
      </c>
      <c r="D305" s="5" t="str">
        <f>IFERROR(__xludf.DUMMYFUNCTION("""COMPUTED_VALUE"""),"Caterpillar Wreck")</f>
        <v>Caterpillar Wreck</v>
      </c>
      <c r="E305" s="7" t="str">
        <f>IFERROR(__xludf.DUMMYFUNCTION("""COMPUTED_VALUE"""),"Caterpillar")</f>
        <v>Caterpillar</v>
      </c>
      <c r="F305" s="11">
        <f>IFERROR(__xludf.DUMMYFUNCTION("""COMPUTED_VALUE"""),-171.449193182206)</f>
        <v>-171.449193182206</v>
      </c>
      <c r="G305" s="11">
        <f>IFERROR(__xludf.DUMMYFUNCTION("""COMPUTED_VALUE"""),-162.79850854902)</f>
        <v>-162.79850854902</v>
      </c>
      <c r="H305" s="11">
        <f>IFERROR(__xludf.DUMMYFUNCTION("""COMPUTED_VALUE"""),177.207410023949)</f>
        <v>177.207410023949</v>
      </c>
      <c r="I305" s="15"/>
      <c r="J305" s="15"/>
      <c r="K305" s="15"/>
      <c r="L305" s="15"/>
      <c r="M305" s="7" t="b">
        <f>IFERROR(__xludf.DUMMYFUNCTION("""COMPUTED_VALUE"""),FALSE)</f>
        <v>0</v>
      </c>
      <c r="N305" s="10">
        <f>IFERROR(__xludf.DUMMYFUNCTION("""COMPUTED_VALUE"""),0)</f>
        <v>0</v>
      </c>
      <c r="O305" s="10">
        <f>IFERROR(__xludf.DUMMYFUNCTION("""COMPUTED_VALUE"""),0)</f>
        <v>0</v>
      </c>
      <c r="P305" s="8"/>
      <c r="Q305" s="7"/>
      <c r="R305" s="16"/>
      <c r="S305" s="17"/>
      <c r="T305" s="8"/>
      <c r="U305" s="8"/>
      <c r="V305" s="22"/>
      <c r="W305" s="12"/>
      <c r="X305" s="12"/>
      <c r="Y305" s="12"/>
      <c r="Z305" s="12"/>
      <c r="AA305" s="7"/>
      <c r="AB305" s="12"/>
      <c r="AC305" s="6"/>
      <c r="AD305" s="6"/>
      <c r="AE305" s="7"/>
      <c r="AF305" s="7"/>
      <c r="AG305" s="7"/>
      <c r="AH305" s="7"/>
      <c r="AI305" s="7"/>
      <c r="AJ305" s="7"/>
      <c r="AK305" s="7"/>
      <c r="AL305" s="7"/>
      <c r="AM305" s="7"/>
      <c r="AN305" s="7"/>
      <c r="AO305" s="6"/>
      <c r="AP305" s="7"/>
      <c r="AQ305" s="7"/>
      <c r="AR305" s="6"/>
      <c r="AS305" s="7"/>
      <c r="AT305" s="7"/>
      <c r="AU305" s="7"/>
      <c r="AV305" s="7"/>
      <c r="AW305" s="7"/>
      <c r="AX305" s="7"/>
      <c r="AY305" s="7"/>
      <c r="AZ305" s="7"/>
      <c r="BA305" s="7"/>
      <c r="BB305" s="7"/>
      <c r="BC305" s="7"/>
      <c r="BD305" s="7"/>
      <c r="BE305" s="7"/>
      <c r="BF305" s="7"/>
      <c r="BG305" s="7"/>
    </row>
    <row r="306" customHeight="1" spans="1:59">
      <c r="A306" s="9" t="str">
        <f>IFERROR(__xludf.DUMMYFUNCTION("""COMPUTED_VALUE"""),"Daymar 65")</f>
        <v>Daymar 65</v>
      </c>
      <c r="B306" s="5" t="str">
        <f>IFERROR(__xludf.DUMMYFUNCTION("""COMPUTED_VALUE"""),"Daymar 78")</f>
        <v>Daymar 78</v>
      </c>
      <c r="C306" s="5" t="str">
        <f>IFERROR(__xludf.DUMMYFUNCTION("""COMPUTED_VALUE"""),"Daymar 35")</f>
        <v>Daymar 35</v>
      </c>
      <c r="D306" s="5" t="str">
        <f>IFERROR(__xludf.DUMMYFUNCTION("""COMPUTED_VALUE"""),"Constellation Wreck")</f>
        <v>Constellation Wreck</v>
      </c>
      <c r="E306" s="7" t="str">
        <f>IFERROR(__xludf.DUMMYFUNCTION("""COMPUTED_VALUE"""),"Constellation")</f>
        <v>Constellation</v>
      </c>
      <c r="F306" s="11">
        <f>IFERROR(__xludf.DUMMYFUNCTION("""COMPUTED_VALUE"""),283.815823740217)</f>
        <v>283.815823740217</v>
      </c>
      <c r="G306" s="11">
        <f>IFERROR(__xludf.DUMMYFUNCTION("""COMPUTED_VALUE"""),70.5627449820607)</f>
        <v>70.5627449820607</v>
      </c>
      <c r="H306" s="11">
        <f>IFERROR(__xludf.DUMMYFUNCTION("""COMPUTED_VALUE"""),-42.2865212059616)</f>
        <v>-42.2865212059616</v>
      </c>
      <c r="I306" s="15"/>
      <c r="J306" s="15"/>
      <c r="K306" s="15"/>
      <c r="L306" s="15"/>
      <c r="M306" s="7" t="b">
        <f>IFERROR(__xludf.DUMMYFUNCTION("""COMPUTED_VALUE"""),FALSE)</f>
        <v>0</v>
      </c>
      <c r="N306" s="10">
        <f>IFERROR(__xludf.DUMMYFUNCTION("""COMPUTED_VALUE"""),0)</f>
        <v>0</v>
      </c>
      <c r="O306" s="10">
        <f>IFERROR(__xludf.DUMMYFUNCTION("""COMPUTED_VALUE"""),0)</f>
        <v>0</v>
      </c>
      <c r="P306" s="8"/>
      <c r="Q306" s="7"/>
      <c r="R306" s="16"/>
      <c r="S306" s="17"/>
      <c r="T306" s="8"/>
      <c r="U306" s="8"/>
      <c r="V306" s="22"/>
      <c r="W306" s="12"/>
      <c r="X306" s="12"/>
      <c r="Y306" s="12"/>
      <c r="Z306" s="12"/>
      <c r="AA306" s="7"/>
      <c r="AB306" s="12"/>
      <c r="AC306" s="6"/>
      <c r="AD306" s="6"/>
      <c r="AE306" s="7"/>
      <c r="AF306" s="7"/>
      <c r="AG306" s="7"/>
      <c r="AH306" s="7"/>
      <c r="AI306" s="7"/>
      <c r="AJ306" s="7"/>
      <c r="AK306" s="7"/>
      <c r="AL306" s="7"/>
      <c r="AM306" s="7"/>
      <c r="AN306" s="7"/>
      <c r="AO306" s="6"/>
      <c r="AP306" s="7"/>
      <c r="AQ306" s="7"/>
      <c r="AR306" s="6"/>
      <c r="AS306" s="7"/>
      <c r="AT306" s="7"/>
      <c r="AU306" s="7"/>
      <c r="AV306" s="7"/>
      <c r="AW306" s="7"/>
      <c r="AX306" s="7"/>
      <c r="AY306" s="7"/>
      <c r="AZ306" s="7"/>
      <c r="BA306" s="7"/>
      <c r="BB306" s="7"/>
      <c r="BC306" s="7"/>
      <c r="BD306" s="7"/>
      <c r="BE306" s="7"/>
      <c r="BF306" s="7"/>
      <c r="BG306" s="7"/>
    </row>
    <row r="307" customHeight="1" spans="1:59">
      <c r="A307" s="9" t="str">
        <f>IFERROR(__xludf.DUMMYFUNCTION("""COMPUTED_VALUE"""),"Daymar 66")</f>
        <v>Daymar 66</v>
      </c>
      <c r="B307" s="5" t="str">
        <f>IFERROR(__xludf.DUMMYFUNCTION("""COMPUTED_VALUE"""),"Daymar 79")</f>
        <v>Daymar 79</v>
      </c>
      <c r="C307" s="5" t="str">
        <f>IFERROR(__xludf.DUMMYFUNCTION("""COMPUTED_VALUE"""),"Daymar 36")</f>
        <v>Daymar 36</v>
      </c>
      <c r="D307" s="5" t="str">
        <f>IFERROR(__xludf.DUMMYFUNCTION("""COMPUTED_VALUE"""),"Cutlass Wreck")</f>
        <v>Cutlass Wreck</v>
      </c>
      <c r="E307" s="7" t="str">
        <f>IFERROR(__xludf.DUMMYFUNCTION("""COMPUTED_VALUE"""),"Cutlass")</f>
        <v>Cutlass</v>
      </c>
      <c r="F307" s="11">
        <f>IFERROR(__xludf.DUMMYFUNCTION("""COMPUTED_VALUE"""),276.180136139909)</f>
        <v>276.180136139909</v>
      </c>
      <c r="G307" s="11">
        <f>IFERROR(__xludf.DUMMYFUNCTION("""COMPUTED_VALUE"""),65.7144948381378)</f>
        <v>65.7144948381378</v>
      </c>
      <c r="H307" s="11">
        <f>IFERROR(__xludf.DUMMYFUNCTION("""COMPUTED_VALUE"""),-80.3645423040571)</f>
        <v>-80.3645423040571</v>
      </c>
      <c r="I307" s="15"/>
      <c r="J307" s="15"/>
      <c r="K307" s="15"/>
      <c r="L307" s="15"/>
      <c r="M307" s="7" t="b">
        <f>IFERROR(__xludf.DUMMYFUNCTION("""COMPUTED_VALUE"""),FALSE)</f>
        <v>0</v>
      </c>
      <c r="N307" s="10">
        <f>IFERROR(__xludf.DUMMYFUNCTION("""COMPUTED_VALUE"""),0)</f>
        <v>0</v>
      </c>
      <c r="O307" s="10">
        <f>IFERROR(__xludf.DUMMYFUNCTION("""COMPUTED_VALUE"""),0)</f>
        <v>0</v>
      </c>
      <c r="P307" s="8"/>
      <c r="Q307" s="7"/>
      <c r="R307" s="16"/>
      <c r="S307" s="17"/>
      <c r="T307" s="8"/>
      <c r="U307" s="8"/>
      <c r="V307" s="22"/>
      <c r="W307" s="12"/>
      <c r="X307" s="12"/>
      <c r="Y307" s="12"/>
      <c r="Z307" s="12"/>
      <c r="AA307" s="7"/>
      <c r="AB307" s="12"/>
      <c r="AC307" s="6"/>
      <c r="AD307" s="6"/>
      <c r="AE307" s="7"/>
      <c r="AF307" s="7"/>
      <c r="AG307" s="7"/>
      <c r="AH307" s="7"/>
      <c r="AI307" s="7"/>
      <c r="AJ307" s="7"/>
      <c r="AK307" s="7"/>
      <c r="AL307" s="7"/>
      <c r="AM307" s="7"/>
      <c r="AN307" s="7"/>
      <c r="AO307" s="6"/>
      <c r="AP307" s="7"/>
      <c r="AQ307" s="7"/>
      <c r="AR307" s="6"/>
      <c r="AS307" s="7"/>
      <c r="AT307" s="7"/>
      <c r="AU307" s="7"/>
      <c r="AV307" s="7"/>
      <c r="AW307" s="7"/>
      <c r="AX307" s="7"/>
      <c r="AY307" s="7"/>
      <c r="AZ307" s="7"/>
      <c r="BA307" s="7"/>
      <c r="BB307" s="7"/>
      <c r="BC307" s="7"/>
      <c r="BD307" s="7"/>
      <c r="BE307" s="7"/>
      <c r="BF307" s="7"/>
      <c r="BG307" s="7"/>
    </row>
    <row r="308" customHeight="1" spans="1:59">
      <c r="A308" s="9" t="str">
        <f>IFERROR(__xludf.DUMMYFUNCTION("""COMPUTED_VALUE"""),"Daymar 67")</f>
        <v>Daymar 67</v>
      </c>
      <c r="B308" s="5" t="str">
        <f>IFERROR(__xludf.DUMMYFUNCTION("""COMPUTED_VALUE"""),"Daymar 80")</f>
        <v>Daymar 80</v>
      </c>
      <c r="C308" s="5" t="str">
        <f>IFERROR(__xludf.DUMMYFUNCTION("""COMPUTED_VALUE"""),"Daymar 55")</f>
        <v>Daymar 55</v>
      </c>
      <c r="D308" s="5" t="str">
        <f>IFERROR(__xludf.DUMMYFUNCTION("""COMPUTED_VALUE"""),"Freelancer Wreck")</f>
        <v>Freelancer Wreck</v>
      </c>
      <c r="E308" s="7" t="str">
        <f>IFERROR(__xludf.DUMMYFUNCTION("""COMPUTED_VALUE"""),"Freelancer")</f>
        <v>Freelancer</v>
      </c>
      <c r="F308" s="11">
        <f>IFERROR(__xludf.DUMMYFUNCTION("""COMPUTED_VALUE"""),4.770952217)</f>
        <v>4.770952217</v>
      </c>
      <c r="G308" s="11">
        <f>IFERROR(__xludf.DUMMYFUNCTION("""COMPUTED_VALUE"""),-38.4104692989999)</f>
        <v>-38.4104692989999</v>
      </c>
      <c r="H308" s="11">
        <f>IFERROR(__xludf.DUMMYFUNCTION("""COMPUTED_VALUE"""),292.843066687999)</f>
        <v>292.843066687999</v>
      </c>
      <c r="I308" s="15"/>
      <c r="J308" s="15"/>
      <c r="K308" s="15"/>
      <c r="L308" s="15"/>
      <c r="M308" s="7" t="b">
        <f>IFERROR(__xludf.DUMMYFUNCTION("""COMPUTED_VALUE"""),FALSE)</f>
        <v>0</v>
      </c>
      <c r="N308" s="10">
        <f>IFERROR(__xludf.DUMMYFUNCTION("""COMPUTED_VALUE"""),0)</f>
        <v>0</v>
      </c>
      <c r="O308" s="10">
        <f>IFERROR(__xludf.DUMMYFUNCTION("""COMPUTED_VALUE"""),0)</f>
        <v>0</v>
      </c>
      <c r="P308" s="8"/>
      <c r="Q308" s="7"/>
      <c r="R308" s="16"/>
      <c r="S308" s="17"/>
      <c r="T308" s="8"/>
      <c r="U308" s="8"/>
      <c r="V308" s="22"/>
      <c r="W308" s="12"/>
      <c r="X308" s="12"/>
      <c r="Y308" s="12"/>
      <c r="Z308" s="12"/>
      <c r="AA308" s="7"/>
      <c r="AB308" s="12"/>
      <c r="AC308" s="6"/>
      <c r="AD308" s="6"/>
      <c r="AE308" s="7"/>
      <c r="AF308" s="7"/>
      <c r="AG308" s="7"/>
      <c r="AH308" s="7"/>
      <c r="AI308" s="7"/>
      <c r="AJ308" s="7"/>
      <c r="AK308" s="7"/>
      <c r="AL308" s="7"/>
      <c r="AM308" s="7"/>
      <c r="AN308" s="7"/>
      <c r="AO308" s="6"/>
      <c r="AP308" s="7"/>
      <c r="AQ308" s="7"/>
      <c r="AR308" s="6"/>
      <c r="AS308" s="7"/>
      <c r="AT308" s="7"/>
      <c r="AU308" s="7"/>
      <c r="AV308" s="7"/>
      <c r="AW308" s="7"/>
      <c r="AX308" s="7"/>
      <c r="AY308" s="7"/>
      <c r="AZ308" s="7"/>
      <c r="BA308" s="7"/>
      <c r="BB308" s="7"/>
      <c r="BC308" s="7"/>
      <c r="BD308" s="7"/>
      <c r="BE308" s="7"/>
      <c r="BF308" s="7"/>
      <c r="BG308" s="7"/>
    </row>
    <row r="309" customHeight="1" spans="1:59">
      <c r="A309" s="9" t="str">
        <f>IFERROR(__xludf.DUMMYFUNCTION("""COMPUTED_VALUE"""),"Daymar 68")</f>
        <v>Daymar 68</v>
      </c>
      <c r="B309" s="5" t="str">
        <f>IFERROR(__xludf.DUMMYFUNCTION("""COMPUTED_VALUE"""),"Daymar 81")</f>
        <v>Daymar 81</v>
      </c>
      <c r="C309" s="5" t="str">
        <f>IFERROR(__xludf.DUMMYFUNCTION("""COMPUTED_VALUE"""),"Daymar 27")</f>
        <v>Daymar 27</v>
      </c>
      <c r="D309" s="5" t="str">
        <f>IFERROR(__xludf.DUMMYFUNCTION("""COMPUTED_VALUE"""),"Javelin Wreck")</f>
        <v>Javelin Wreck</v>
      </c>
      <c r="E309" s="7" t="str">
        <f>IFERROR(__xludf.DUMMYFUNCTION("""COMPUTED_VALUE"""),"Javelin")</f>
        <v>Javelin</v>
      </c>
      <c r="F309" s="11">
        <f>IFERROR(__xludf.DUMMYFUNCTION("""COMPUTED_VALUE"""),102.055000562717)</f>
        <v>102.055000562717</v>
      </c>
      <c r="G309" s="11">
        <f>IFERROR(__xludf.DUMMYFUNCTION("""COMPUTED_VALUE"""),267.619095225614)</f>
        <v>267.619095225614</v>
      </c>
      <c r="H309" s="11">
        <f>IFERROR(__xludf.DUMMYFUNCTION("""COMPUTED_VALUE"""),-70.8555707031878)</f>
        <v>-70.8555707031878</v>
      </c>
      <c r="I309" s="15"/>
      <c r="J309" s="15"/>
      <c r="K309" s="15"/>
      <c r="L309" s="15"/>
      <c r="M309" s="7" t="b">
        <f>IFERROR(__xludf.DUMMYFUNCTION("""COMPUTED_VALUE"""),FALSE)</f>
        <v>0</v>
      </c>
      <c r="N309" s="10">
        <f>IFERROR(__xludf.DUMMYFUNCTION("""COMPUTED_VALUE"""),0)</f>
        <v>0</v>
      </c>
      <c r="O309" s="10">
        <f>IFERROR(__xludf.DUMMYFUNCTION("""COMPUTED_VALUE"""),0)</f>
        <v>0</v>
      </c>
      <c r="P309" s="8"/>
      <c r="Q309" s="7"/>
      <c r="R309" s="16"/>
      <c r="S309" s="17"/>
      <c r="T309" s="8"/>
      <c r="U309" s="8"/>
      <c r="V309" s="22"/>
      <c r="W309" s="12"/>
      <c r="X309" s="12"/>
      <c r="Y309" s="12"/>
      <c r="Z309" s="12"/>
      <c r="AA309" s="7"/>
      <c r="AB309" s="12"/>
      <c r="AC309" s="6"/>
      <c r="AD309" s="6"/>
      <c r="AE309" s="7"/>
      <c r="AF309" s="7"/>
      <c r="AG309" s="7"/>
      <c r="AH309" s="7"/>
      <c r="AI309" s="7"/>
      <c r="AJ309" s="7"/>
      <c r="AK309" s="7"/>
      <c r="AL309" s="7"/>
      <c r="AM309" s="7"/>
      <c r="AN309" s="7"/>
      <c r="AO309" s="6"/>
      <c r="AP309" s="7"/>
      <c r="AQ309" s="7"/>
      <c r="AR309" s="6"/>
      <c r="AS309" s="7"/>
      <c r="AT309" s="7"/>
      <c r="AU309" s="7"/>
      <c r="AV309" s="7"/>
      <c r="AW309" s="7"/>
      <c r="AX309" s="7"/>
      <c r="AY309" s="7"/>
      <c r="AZ309" s="7"/>
      <c r="BA309" s="7"/>
      <c r="BB309" s="7"/>
      <c r="BC309" s="7"/>
      <c r="BD309" s="7"/>
      <c r="BE309" s="7"/>
      <c r="BF309" s="7"/>
      <c r="BG309" s="7"/>
    </row>
    <row r="310" customHeight="1" spans="1:59">
      <c r="A310" s="9" t="str">
        <f>IFERROR(__xludf.DUMMYFUNCTION("""COMPUTED_VALUE"""),"Daymar 69")</f>
        <v>Daymar 69</v>
      </c>
      <c r="B310" s="5" t="str">
        <f>IFERROR(__xludf.DUMMYFUNCTION("""COMPUTED_VALUE"""),"Daymar 82")</f>
        <v>Daymar 82</v>
      </c>
      <c r="C310" s="5" t="str">
        <f>IFERROR(__xludf.DUMMYFUNCTION("""COMPUTED_VALUE"""),"Daymar 13")</f>
        <v>Daymar 13</v>
      </c>
      <c r="D310" s="5" t="str">
        <f>IFERROR(__xludf.DUMMYFUNCTION("""COMPUTED_VALUE"""),"Starfarer Wreck")</f>
        <v>Starfarer Wreck</v>
      </c>
      <c r="E310" s="7" t="str">
        <f>IFERROR(__xludf.DUMMYFUNCTION("""COMPUTED_VALUE"""),"Starfarer")</f>
        <v>Starfarer</v>
      </c>
      <c r="F310" s="8">
        <f>IFERROR(__xludf.DUMMYFUNCTION("""COMPUTED_VALUE"""),-65.4188863955061)</f>
        <v>-65.4188863955061</v>
      </c>
      <c r="G310" s="8">
        <f>IFERROR(__xludf.DUMMYFUNCTION("""COMPUTED_VALUE"""),231.089198548902)</f>
        <v>231.089198548902</v>
      </c>
      <c r="H310" s="8">
        <f>IFERROR(__xludf.DUMMYFUNCTION("""COMPUTED_VALUE"""),172.040920936997)</f>
        <v>172.040920936997</v>
      </c>
      <c r="I310" s="14"/>
      <c r="J310" s="14"/>
      <c r="K310" s="14"/>
      <c r="L310" s="14"/>
      <c r="M310" s="7" t="b">
        <f>IFERROR(__xludf.DUMMYFUNCTION("""COMPUTED_VALUE"""),FALSE)</f>
        <v>0</v>
      </c>
      <c r="N310" s="10">
        <f>IFERROR(__xludf.DUMMYFUNCTION("""COMPUTED_VALUE"""),0)</f>
        <v>0</v>
      </c>
      <c r="O310" s="10">
        <f>IFERROR(__xludf.DUMMYFUNCTION("""COMPUTED_VALUE"""),0)</f>
        <v>0</v>
      </c>
      <c r="P310" s="8"/>
      <c r="Q310" s="7"/>
      <c r="R310" s="16"/>
      <c r="S310" s="17"/>
      <c r="T310" s="8"/>
      <c r="U310" s="8"/>
      <c r="V310" s="22"/>
      <c r="W310" s="12"/>
      <c r="X310" s="12"/>
      <c r="Y310" s="12"/>
      <c r="Z310" s="12"/>
      <c r="AA310" s="9"/>
      <c r="AB310" s="12"/>
      <c r="AC310" s="6"/>
      <c r="AD310" s="6"/>
      <c r="AE310" s="7"/>
      <c r="AF310" s="7"/>
      <c r="AG310" s="7"/>
      <c r="AH310" s="7"/>
      <c r="AI310" s="7"/>
      <c r="AJ310" s="7"/>
      <c r="AK310" s="7"/>
      <c r="AL310" s="7"/>
      <c r="AM310" s="7"/>
      <c r="AN310" s="7"/>
      <c r="AO310" s="6"/>
      <c r="AP310" s="7"/>
      <c r="AQ310" s="7"/>
      <c r="AR310" s="6"/>
      <c r="AS310" s="7"/>
      <c r="AT310" s="7"/>
      <c r="AU310" s="7"/>
      <c r="AV310" s="7"/>
      <c r="AW310" s="7"/>
      <c r="AX310" s="7"/>
      <c r="AY310" s="7"/>
      <c r="AZ310" s="7"/>
      <c r="BA310" s="7"/>
      <c r="BB310" s="7"/>
      <c r="BC310" s="7"/>
      <c r="BD310" s="7"/>
      <c r="BE310" s="7"/>
      <c r="BF310" s="7"/>
      <c r="BG310" s="7"/>
    </row>
    <row r="311" customHeight="1" spans="1:59">
      <c r="A311" s="9" t="str">
        <f>IFERROR(__xludf.DUMMYFUNCTION("""COMPUTED_VALUE"""),"Daymar")</f>
        <v>Daymar</v>
      </c>
      <c r="B311" s="5" t="str">
        <f>IFERROR(__xludf.DUMMYFUNCTION("""COMPUTED_VALUE"""),"Daymar 84")</f>
        <v>Daymar 84</v>
      </c>
      <c r="C311" s="5"/>
      <c r="D311" s="5" t="str">
        <f>IFERROR(__xludf.DUMMYFUNCTION("""COMPUTED_VALUE"""),"Comm Array")</f>
        <v>Comm Array</v>
      </c>
      <c r="E311" s="7"/>
      <c r="F311" s="8"/>
      <c r="G311" s="8"/>
      <c r="H311" s="8"/>
      <c r="I311" s="14"/>
      <c r="J311" s="14"/>
      <c r="K311" s="14"/>
      <c r="L311" s="14"/>
      <c r="M311" s="7"/>
      <c r="N311" s="10"/>
      <c r="O311" s="10"/>
      <c r="P311" s="8"/>
      <c r="Q311" s="7"/>
      <c r="R311" s="16"/>
      <c r="S311" s="17"/>
      <c r="T311" s="8"/>
      <c r="U311" s="8"/>
      <c r="V311" s="22"/>
      <c r="W311" s="12"/>
      <c r="X311" s="12"/>
      <c r="Y311" s="12"/>
      <c r="Z311" s="12"/>
      <c r="AA311" s="9"/>
      <c r="AB311" s="12"/>
      <c r="AC311" s="6"/>
      <c r="AD311" s="6"/>
      <c r="AE311" s="7"/>
      <c r="AF311" s="7"/>
      <c r="AG311" s="7"/>
      <c r="AH311" s="7"/>
      <c r="AI311" s="7"/>
      <c r="AJ311" s="7"/>
      <c r="AK311" s="7"/>
      <c r="AL311" s="7"/>
      <c r="AM311" s="7"/>
      <c r="AN311" s="7"/>
      <c r="AO311" s="6"/>
      <c r="AP311" s="7"/>
      <c r="AQ311" s="7"/>
      <c r="AR311" s="6"/>
      <c r="AS311" s="7"/>
      <c r="AT311" s="7"/>
      <c r="AU311" s="7"/>
      <c r="AV311" s="7"/>
      <c r="AW311" s="7"/>
      <c r="AX311" s="7"/>
      <c r="AY311" s="7"/>
      <c r="AZ311" s="7"/>
      <c r="BA311" s="7"/>
      <c r="BB311" s="7"/>
      <c r="BC311" s="7"/>
      <c r="BD311" s="7"/>
      <c r="BE311" s="7"/>
      <c r="BF311" s="7"/>
      <c r="BG311" s="7"/>
    </row>
    <row r="312" customHeight="1" spans="1:59">
      <c r="A312" s="9" t="str">
        <f>IFERROR(__xludf.DUMMYFUNCTION("""COMPUTED_VALUE"""),"Daymar 19")</f>
        <v>Daymar 19</v>
      </c>
      <c r="B312" s="5" t="str">
        <f>IFERROR(__xludf.DUMMYFUNCTION("""COMPUTED_VALUE"""),"Daymar 85")</f>
        <v>Daymar 85</v>
      </c>
      <c r="C312" s="5" t="str">
        <f>IFERROR(__xludf.DUMMYFUNCTION("""COMPUTED_VALUE"""),"Daymar 69")</f>
        <v>Daymar 69</v>
      </c>
      <c r="D312" s="5" t="str">
        <f>IFERROR(__xludf.DUMMYFUNCTION("""COMPUTED_VALUE"""),"Comm Array ST2-47")</f>
        <v>Comm Array ST2-47</v>
      </c>
      <c r="E312" s="7" t="str">
        <f>IFERROR(__xludf.DUMMYFUNCTION("""COMPUTED_VALUE"""),"ST2-47")</f>
        <v>ST2-47</v>
      </c>
      <c r="F312" s="8">
        <f>IFERROR(__xludf.DUMMYFUNCTION("""COMPUTED_VALUE"""),-435.617263698578)</f>
        <v>-435.617263698578</v>
      </c>
      <c r="G312" s="8">
        <f>IFERROR(__xludf.DUMMYFUNCTION("""COMPUTED_VALUE"""),-146.995807350159)</f>
        <v>-146.995807350159</v>
      </c>
      <c r="H312" s="8">
        <f>IFERROR(__xludf.DUMMYFUNCTION("""COMPUTED_VALUE"""),24)</f>
        <v>24</v>
      </c>
      <c r="I312" s="14"/>
      <c r="J312" s="14"/>
      <c r="K312" s="14"/>
      <c r="L312" s="14"/>
      <c r="M312" s="7" t="b">
        <f>IFERROR(__xludf.DUMMYFUNCTION("""COMPUTED_VALUE"""),TRUE)</f>
        <v>1</v>
      </c>
      <c r="N312" s="10">
        <f>IFERROR(__xludf.DUMMYFUNCTION("""COMPUTED_VALUE"""),0)</f>
        <v>0</v>
      </c>
      <c r="O312" s="10">
        <f>IFERROR(__xludf.DUMMYFUNCTION("""COMPUTED_VALUE"""),0)</f>
        <v>0</v>
      </c>
      <c r="P312" s="8"/>
      <c r="Q312" s="7"/>
      <c r="R312" s="16"/>
      <c r="S312" s="17"/>
      <c r="T312" s="8"/>
      <c r="U312" s="8"/>
      <c r="V312" s="22"/>
      <c r="W312" s="12"/>
      <c r="X312" s="12"/>
      <c r="Y312" s="12"/>
      <c r="Z312" s="12"/>
      <c r="AA312" s="9"/>
      <c r="AB312" s="12"/>
      <c r="AC312" s="6"/>
      <c r="AD312" s="6"/>
      <c r="AE312" s="7"/>
      <c r="AF312" s="7"/>
      <c r="AG312" s="7"/>
      <c r="AH312" s="7"/>
      <c r="AI312" s="7"/>
      <c r="AJ312" s="7"/>
      <c r="AK312" s="7"/>
      <c r="AL312" s="7"/>
      <c r="AM312" s="7"/>
      <c r="AN312" s="7"/>
      <c r="AO312" s="6"/>
      <c r="AP312" s="7"/>
      <c r="AQ312" s="7"/>
      <c r="AR312" s="6"/>
      <c r="AS312" s="7"/>
      <c r="AT312" s="7"/>
      <c r="AU312" s="7"/>
      <c r="AV312" s="7"/>
      <c r="AW312" s="7"/>
      <c r="AX312" s="7"/>
      <c r="AY312" s="7"/>
      <c r="AZ312" s="7"/>
      <c r="BA312" s="7"/>
      <c r="BB312" s="7"/>
      <c r="BC312" s="7"/>
      <c r="BD312" s="7"/>
      <c r="BE312" s="7"/>
      <c r="BF312" s="7"/>
      <c r="BG312" s="7"/>
    </row>
    <row r="313" customHeight="1" spans="1:59">
      <c r="A313" s="9"/>
      <c r="B313" s="5"/>
      <c r="C313" s="5"/>
      <c r="D313" s="5"/>
      <c r="E313" s="7"/>
      <c r="F313" s="8"/>
      <c r="G313" s="8"/>
      <c r="H313" s="8"/>
      <c r="I313" s="14"/>
      <c r="J313" s="14"/>
      <c r="K313" s="14"/>
      <c r="L313" s="14"/>
      <c r="M313" s="7"/>
      <c r="N313" s="10"/>
      <c r="O313" s="10"/>
      <c r="P313" s="8"/>
      <c r="Q313" s="7"/>
      <c r="R313" s="16"/>
      <c r="S313" s="17"/>
      <c r="T313" s="8"/>
      <c r="U313" s="8"/>
      <c r="V313" s="22"/>
      <c r="W313" s="12"/>
      <c r="X313" s="12"/>
      <c r="Y313" s="12"/>
      <c r="Z313" s="12"/>
      <c r="AA313" s="9"/>
      <c r="AB313" s="12"/>
      <c r="AC313" s="6"/>
      <c r="AD313" s="6"/>
      <c r="AE313" s="7"/>
      <c r="AF313" s="7"/>
      <c r="AG313" s="7"/>
      <c r="AH313" s="7"/>
      <c r="AI313" s="7"/>
      <c r="AJ313" s="7"/>
      <c r="AK313" s="7"/>
      <c r="AL313" s="7"/>
      <c r="AM313" s="7"/>
      <c r="AN313" s="7"/>
      <c r="AO313" s="6"/>
      <c r="AP313" s="7"/>
      <c r="AQ313" s="7"/>
      <c r="AR313" s="6"/>
      <c r="AS313" s="7"/>
      <c r="AT313" s="7"/>
      <c r="AU313" s="7"/>
      <c r="AV313" s="7"/>
      <c r="AW313" s="7"/>
      <c r="AX313" s="7"/>
      <c r="AY313" s="7"/>
      <c r="AZ313" s="7"/>
      <c r="BA313" s="7"/>
      <c r="BB313" s="7"/>
      <c r="BC313" s="7"/>
      <c r="BD313" s="7"/>
      <c r="BE313" s="7"/>
      <c r="BF313" s="7"/>
      <c r="BG313" s="7"/>
    </row>
    <row r="314" customHeight="1" spans="1:59">
      <c r="A314" s="9" t="str">
        <f>IFERROR(__xludf.DUMMYFUNCTION("""COMPUTED_VALUE"""),"Euterpe R01")</f>
        <v>Euterpe R01</v>
      </c>
      <c r="B314" s="5" t="str">
        <f>IFERROR(__xludf.DUMMYFUNCTION("""COMPUTED_VALUE"""),"Euterpe 35")</f>
        <v>Euterpe 35</v>
      </c>
      <c r="C314" s="5"/>
      <c r="D314" s="5" t="str">
        <f>IFERROR(__xludf.DUMMYFUNCTION("""COMPUTED_VALUE"""),"OM-1")</f>
        <v>OM-1</v>
      </c>
      <c r="E314" s="7" t="str">
        <f>IFERROR(__xludf.DUMMYFUNCTION("""COMPUTED_VALUE"""),"OM1")</f>
        <v>OM1</v>
      </c>
      <c r="F314" s="8">
        <f>IFERROR(__xludf.DUMMYFUNCTION("""COMPUTED_VALUE"""),0)</f>
        <v>0</v>
      </c>
      <c r="G314" s="8">
        <f>IFERROR(__xludf.DUMMYFUNCTION("""COMPUTED_VALUE"""),0)</f>
        <v>0</v>
      </c>
      <c r="H314" s="8">
        <f>IFERROR(__xludf.DUMMYFUNCTION("""COMPUTED_VALUE"""),314.031)</f>
        <v>314.031</v>
      </c>
      <c r="I314" s="14"/>
      <c r="J314" s="14"/>
      <c r="K314" s="14"/>
      <c r="L314" s="14"/>
      <c r="M314" s="7" t="b">
        <f>IFERROR(__xludf.DUMMYFUNCTION("""COMPUTED_VALUE"""),TRUE)</f>
        <v>1</v>
      </c>
      <c r="N314" s="10">
        <f>IFERROR(__xludf.DUMMYFUNCTION("""COMPUTED_VALUE"""),0)</f>
        <v>0</v>
      </c>
      <c r="O314" s="10">
        <f>IFERROR(__xludf.DUMMYFUNCTION("""COMPUTED_VALUE"""),0)</f>
        <v>0</v>
      </c>
      <c r="P314" s="8"/>
      <c r="Q314" s="7"/>
      <c r="R314" s="16"/>
      <c r="S314" s="17"/>
      <c r="T314" s="8"/>
      <c r="U314" s="8"/>
      <c r="V314" s="22"/>
      <c r="W314" s="12"/>
      <c r="X314" s="12"/>
      <c r="Y314" s="12"/>
      <c r="Z314" s="12"/>
      <c r="AA314" s="9"/>
      <c r="AB314" s="12"/>
      <c r="AC314" s="6"/>
      <c r="AD314" s="6"/>
      <c r="AE314" s="7"/>
      <c r="AF314" s="7"/>
      <c r="AG314" s="7"/>
      <c r="AH314" s="7"/>
      <c r="AI314" s="7"/>
      <c r="AJ314" s="7"/>
      <c r="AK314" s="7"/>
      <c r="AL314" s="7"/>
      <c r="AM314" s="7"/>
      <c r="AN314" s="7"/>
      <c r="AO314" s="6"/>
      <c r="AP314" s="7"/>
      <c r="AQ314" s="7"/>
      <c r="AR314" s="6"/>
      <c r="AS314" s="7"/>
      <c r="AT314" s="7"/>
      <c r="AU314" s="7"/>
      <c r="AV314" s="7"/>
      <c r="AW314" s="7"/>
      <c r="AX314" s="7"/>
      <c r="AY314" s="7"/>
      <c r="AZ314" s="7"/>
      <c r="BA314" s="7"/>
      <c r="BB314" s="7"/>
      <c r="BC314" s="7"/>
      <c r="BD314" s="7"/>
      <c r="BE314" s="7"/>
      <c r="BF314" s="7"/>
      <c r="BG314" s="7"/>
    </row>
    <row r="315" customHeight="1" spans="1:59">
      <c r="A315" s="9" t="str">
        <f>IFERROR(__xludf.DUMMYFUNCTION("""COMPUTED_VALUE"""),"Euterpe R02")</f>
        <v>Euterpe R02</v>
      </c>
      <c r="B315" s="5" t="str">
        <f>IFERROR(__xludf.DUMMYFUNCTION("""COMPUTED_VALUE"""),"Euterpe 36")</f>
        <v>Euterpe 36</v>
      </c>
      <c r="C315" s="5"/>
      <c r="D315" s="5" t="str">
        <f>IFERROR(__xludf.DUMMYFUNCTION("""COMPUTED_VALUE"""),"OM-2")</f>
        <v>OM-2</v>
      </c>
      <c r="E315" s="7" t="str">
        <f>IFERROR(__xludf.DUMMYFUNCTION("""COMPUTED_VALUE"""),"OM2")</f>
        <v>OM2</v>
      </c>
      <c r="F315" s="8">
        <f>IFERROR(__xludf.DUMMYFUNCTION("""COMPUTED_VALUE"""),0)</f>
        <v>0</v>
      </c>
      <c r="G315" s="8">
        <f>IFERROR(__xludf.DUMMYFUNCTION("""COMPUTED_VALUE"""),0)</f>
        <v>0</v>
      </c>
      <c r="H315" s="8">
        <f>IFERROR(__xludf.DUMMYFUNCTION("""COMPUTED_VALUE"""),-314.031)</f>
        <v>-314.031</v>
      </c>
      <c r="I315" s="14"/>
      <c r="J315" s="14"/>
      <c r="K315" s="14"/>
      <c r="L315" s="14"/>
      <c r="M315" s="7" t="b">
        <f>IFERROR(__xludf.DUMMYFUNCTION("""COMPUTED_VALUE"""),TRUE)</f>
        <v>1</v>
      </c>
      <c r="N315" s="10">
        <f>IFERROR(__xludf.DUMMYFUNCTION("""COMPUTED_VALUE"""),0)</f>
        <v>0</v>
      </c>
      <c r="O315" s="10">
        <f>IFERROR(__xludf.DUMMYFUNCTION("""COMPUTED_VALUE"""),0)</f>
        <v>0</v>
      </c>
      <c r="P315" s="8"/>
      <c r="Q315" s="7"/>
      <c r="R315" s="16"/>
      <c r="S315" s="17"/>
      <c r="T315" s="8"/>
      <c r="U315" s="8"/>
      <c r="V315" s="22"/>
      <c r="W315" s="12"/>
      <c r="X315" s="12"/>
      <c r="Y315" s="12"/>
      <c r="Z315" s="12"/>
      <c r="AA315" s="9"/>
      <c r="AB315" s="12"/>
      <c r="AC315" s="6"/>
      <c r="AD315" s="6"/>
      <c r="AE315" s="7"/>
      <c r="AF315" s="7"/>
      <c r="AG315" s="7"/>
      <c r="AH315" s="7"/>
      <c r="AI315" s="7"/>
      <c r="AJ315" s="7"/>
      <c r="AK315" s="7"/>
      <c r="AL315" s="7"/>
      <c r="AM315" s="7"/>
      <c r="AN315" s="7"/>
      <c r="AO315" s="6"/>
      <c r="AP315" s="7"/>
      <c r="AQ315" s="7"/>
      <c r="AR315" s="6"/>
      <c r="AS315" s="7"/>
      <c r="AT315" s="7"/>
      <c r="AU315" s="7"/>
      <c r="AV315" s="7"/>
      <c r="AW315" s="7"/>
      <c r="AX315" s="7"/>
      <c r="AY315" s="7"/>
      <c r="AZ315" s="7"/>
      <c r="BA315" s="7"/>
      <c r="BB315" s="7"/>
      <c r="BC315" s="7"/>
      <c r="BD315" s="7"/>
      <c r="BE315" s="7"/>
      <c r="BF315" s="7"/>
      <c r="BG315" s="7"/>
    </row>
    <row r="316" customHeight="1" spans="1:59">
      <c r="A316" s="9" t="str">
        <f>IFERROR(__xludf.DUMMYFUNCTION("""COMPUTED_VALUE"""),"Euterpe R03")</f>
        <v>Euterpe R03</v>
      </c>
      <c r="B316" s="5" t="str">
        <f>IFERROR(__xludf.DUMMYFUNCTION("""COMPUTED_VALUE"""),"Euterpe 37")</f>
        <v>Euterpe 37</v>
      </c>
      <c r="C316" s="5" t="str">
        <f>IFERROR(__xludf.DUMMYFUNCTION("""COMPUTED_VALUE"""),"Euterpe 03")</f>
        <v>Euterpe 03</v>
      </c>
      <c r="D316" s="5" t="str">
        <f>IFERROR(__xludf.DUMMYFUNCTION("""COMPUTED_VALUE"""),"OM-3")</f>
        <v>OM-3</v>
      </c>
      <c r="E316" s="7" t="str">
        <f>IFERROR(__xludf.DUMMYFUNCTION("""COMPUTED_VALUE"""),"OM3")</f>
        <v>OM3</v>
      </c>
      <c r="F316" s="8">
        <f>IFERROR(__xludf.DUMMYFUNCTION("""COMPUTED_VALUE"""),0)</f>
        <v>0</v>
      </c>
      <c r="G316" s="8">
        <f>IFERROR(__xludf.DUMMYFUNCTION("""COMPUTED_VALUE"""),314.031)</f>
        <v>314.031</v>
      </c>
      <c r="H316" s="8">
        <f>IFERROR(__xludf.DUMMYFUNCTION("""COMPUTED_VALUE"""),0)</f>
        <v>0</v>
      </c>
      <c r="I316" s="14"/>
      <c r="J316" s="14"/>
      <c r="K316" s="14"/>
      <c r="L316" s="14"/>
      <c r="M316" s="7" t="b">
        <f>IFERROR(__xludf.DUMMYFUNCTION("""COMPUTED_VALUE"""),TRUE)</f>
        <v>1</v>
      </c>
      <c r="N316" s="10">
        <f>IFERROR(__xludf.DUMMYFUNCTION("""COMPUTED_VALUE"""),0)</f>
        <v>0</v>
      </c>
      <c r="O316" s="10">
        <f>IFERROR(__xludf.DUMMYFUNCTION("""COMPUTED_VALUE"""),0)</f>
        <v>0</v>
      </c>
      <c r="P316" s="8"/>
      <c r="Q316" s="7"/>
      <c r="R316" s="16"/>
      <c r="S316" s="17"/>
      <c r="T316" s="8"/>
      <c r="U316" s="8"/>
      <c r="V316" s="22"/>
      <c r="W316" s="12"/>
      <c r="X316" s="12"/>
      <c r="Y316" s="12"/>
      <c r="Z316" s="12"/>
      <c r="AA316" s="9"/>
      <c r="AB316" s="12"/>
      <c r="AC316" s="6"/>
      <c r="AD316" s="6"/>
      <c r="AE316" s="7"/>
      <c r="AF316" s="7"/>
      <c r="AG316" s="7"/>
      <c r="AH316" s="7"/>
      <c r="AI316" s="7"/>
      <c r="AJ316" s="7"/>
      <c r="AK316" s="7"/>
      <c r="AL316" s="7"/>
      <c r="AM316" s="7"/>
      <c r="AN316" s="7"/>
      <c r="AO316" s="6"/>
      <c r="AP316" s="7"/>
      <c r="AQ316" s="7"/>
      <c r="AR316" s="6"/>
      <c r="AS316" s="7"/>
      <c r="AT316" s="7"/>
      <c r="AU316" s="7"/>
      <c r="AV316" s="7"/>
      <c r="AW316" s="7"/>
      <c r="AX316" s="7"/>
      <c r="AY316" s="7"/>
      <c r="AZ316" s="7"/>
      <c r="BA316" s="7"/>
      <c r="BB316" s="7"/>
      <c r="BC316" s="7"/>
      <c r="BD316" s="7"/>
      <c r="BE316" s="7"/>
      <c r="BF316" s="7"/>
      <c r="BG316" s="7"/>
    </row>
    <row r="317" customHeight="1" spans="1:59">
      <c r="A317" s="9" t="str">
        <f>IFERROR(__xludf.DUMMYFUNCTION("""COMPUTED_VALUE"""),"Euterpe R04")</f>
        <v>Euterpe R04</v>
      </c>
      <c r="B317" s="5" t="str">
        <f>IFERROR(__xludf.DUMMYFUNCTION("""COMPUTED_VALUE"""),"Euterpe 38")</f>
        <v>Euterpe 38</v>
      </c>
      <c r="C317" s="5" t="str">
        <f>IFERROR(__xludf.DUMMYFUNCTION("""COMPUTED_VALUE"""),"Euterpe 20")</f>
        <v>Euterpe 20</v>
      </c>
      <c r="D317" s="5" t="str">
        <f>IFERROR(__xludf.DUMMYFUNCTION("""COMPUTED_VALUE"""),"OM-4")</f>
        <v>OM-4</v>
      </c>
      <c r="E317" s="7" t="str">
        <f>IFERROR(__xludf.DUMMYFUNCTION("""COMPUTED_VALUE"""),"OM4")</f>
        <v>OM4</v>
      </c>
      <c r="F317" s="8">
        <f>IFERROR(__xludf.DUMMYFUNCTION("""COMPUTED_VALUE"""),0)</f>
        <v>0</v>
      </c>
      <c r="G317" s="8">
        <f>IFERROR(__xludf.DUMMYFUNCTION("""COMPUTED_VALUE"""),-314.031)</f>
        <v>-314.031</v>
      </c>
      <c r="H317" s="8">
        <f>IFERROR(__xludf.DUMMYFUNCTION("""COMPUTED_VALUE"""),0)</f>
        <v>0</v>
      </c>
      <c r="I317" s="14"/>
      <c r="J317" s="14"/>
      <c r="K317" s="14"/>
      <c r="L317" s="14"/>
      <c r="M317" s="7" t="b">
        <f>IFERROR(__xludf.DUMMYFUNCTION("""COMPUTED_VALUE"""),TRUE)</f>
        <v>1</v>
      </c>
      <c r="N317" s="10">
        <f>IFERROR(__xludf.DUMMYFUNCTION("""COMPUTED_VALUE"""),0)</f>
        <v>0</v>
      </c>
      <c r="O317" s="10">
        <f>IFERROR(__xludf.DUMMYFUNCTION("""COMPUTED_VALUE"""),0)</f>
        <v>0</v>
      </c>
      <c r="P317" s="8"/>
      <c r="Q317" s="7"/>
      <c r="R317" s="16"/>
      <c r="S317" s="17"/>
      <c r="T317" s="8"/>
      <c r="U317" s="8"/>
      <c r="V317" s="22"/>
      <c r="W317" s="12"/>
      <c r="X317" s="12"/>
      <c r="Y317" s="12"/>
      <c r="Z317" s="12"/>
      <c r="AA317" s="9"/>
      <c r="AB317" s="12"/>
      <c r="AC317" s="6"/>
      <c r="AD317" s="6"/>
      <c r="AE317" s="7"/>
      <c r="AF317" s="7"/>
      <c r="AG317" s="7"/>
      <c r="AH317" s="7"/>
      <c r="AI317" s="7"/>
      <c r="AJ317" s="7"/>
      <c r="AK317" s="7"/>
      <c r="AL317" s="7"/>
      <c r="AM317" s="7"/>
      <c r="AN317" s="7"/>
      <c r="AO317" s="6"/>
      <c r="AP317" s="7"/>
      <c r="AQ317" s="7"/>
      <c r="AR317" s="6"/>
      <c r="AS317" s="7"/>
      <c r="AT317" s="7"/>
      <c r="AU317" s="7"/>
      <c r="AV317" s="7"/>
      <c r="AW317" s="7"/>
      <c r="AX317" s="7"/>
      <c r="AY317" s="7"/>
      <c r="AZ317" s="7"/>
      <c r="BA317" s="7"/>
      <c r="BB317" s="7"/>
      <c r="BC317" s="7"/>
      <c r="BD317" s="7"/>
      <c r="BE317" s="7"/>
      <c r="BF317" s="7"/>
      <c r="BG317" s="7"/>
    </row>
    <row r="318" customHeight="1" spans="1:59">
      <c r="A318" s="9" t="str">
        <f>IFERROR(__xludf.DUMMYFUNCTION("""COMPUTED_VALUE"""),"Euterpe R05")</f>
        <v>Euterpe R05</v>
      </c>
      <c r="B318" s="5" t="str">
        <f>IFERROR(__xludf.DUMMYFUNCTION("""COMPUTED_VALUE"""),"Euterpe 39")</f>
        <v>Euterpe 39</v>
      </c>
      <c r="C318" s="5" t="str">
        <f>IFERROR(__xludf.DUMMYFUNCTION("""COMPUTED_VALUE"""),"Euterpe 12")</f>
        <v>Euterpe 12</v>
      </c>
      <c r="D318" s="5" t="str">
        <f>IFERROR(__xludf.DUMMYFUNCTION("""COMPUTED_VALUE"""),"OM-5")</f>
        <v>OM-5</v>
      </c>
      <c r="E318" s="7" t="str">
        <f>IFERROR(__xludf.DUMMYFUNCTION("""COMPUTED_VALUE"""),"OM5")</f>
        <v>OM5</v>
      </c>
      <c r="F318" s="8">
        <f>IFERROR(__xludf.DUMMYFUNCTION("""COMPUTED_VALUE"""),314.031)</f>
        <v>314.031</v>
      </c>
      <c r="G318" s="8">
        <f>IFERROR(__xludf.DUMMYFUNCTION("""COMPUTED_VALUE"""),0)</f>
        <v>0</v>
      </c>
      <c r="H318" s="8">
        <f>IFERROR(__xludf.DUMMYFUNCTION("""COMPUTED_VALUE"""),0)</f>
        <v>0</v>
      </c>
      <c r="I318" s="14"/>
      <c r="J318" s="14"/>
      <c r="K318" s="14"/>
      <c r="L318" s="14"/>
      <c r="M318" s="7" t="b">
        <f>IFERROR(__xludf.DUMMYFUNCTION("""COMPUTED_VALUE"""),TRUE)</f>
        <v>1</v>
      </c>
      <c r="N318" s="10">
        <f>IFERROR(__xludf.DUMMYFUNCTION("""COMPUTED_VALUE"""),0)</f>
        <v>0</v>
      </c>
      <c r="O318" s="10">
        <f>IFERROR(__xludf.DUMMYFUNCTION("""COMPUTED_VALUE"""),0)</f>
        <v>0</v>
      </c>
      <c r="P318" s="8"/>
      <c r="Q318" s="7"/>
      <c r="R318" s="16"/>
      <c r="S318" s="17"/>
      <c r="T318" s="8"/>
      <c r="U318" s="8"/>
      <c r="V318" s="22"/>
      <c r="W318" s="12"/>
      <c r="X318" s="12"/>
      <c r="Y318" s="12"/>
      <c r="Z318" s="12"/>
      <c r="AA318" s="9"/>
      <c r="AB318" s="12"/>
      <c r="AC318" s="6"/>
      <c r="AD318" s="6"/>
      <c r="AE318" s="7"/>
      <c r="AF318" s="7"/>
      <c r="AG318" s="7"/>
      <c r="AH318" s="7"/>
      <c r="AI318" s="7"/>
      <c r="AJ318" s="7"/>
      <c r="AK318" s="7"/>
      <c r="AL318" s="7"/>
      <c r="AM318" s="7"/>
      <c r="AN318" s="7"/>
      <c r="AO318" s="6"/>
      <c r="AP318" s="7"/>
      <c r="AQ318" s="7"/>
      <c r="AR318" s="6"/>
      <c r="AS318" s="7"/>
      <c r="AT318" s="7"/>
      <c r="AU318" s="7"/>
      <c r="AV318" s="7"/>
      <c r="AW318" s="7"/>
      <c r="AX318" s="7"/>
      <c r="AY318" s="7"/>
      <c r="AZ318" s="7"/>
      <c r="BA318" s="7"/>
      <c r="BB318" s="7"/>
      <c r="BC318" s="7"/>
      <c r="BD318" s="7"/>
      <c r="BE318" s="7"/>
      <c r="BF318" s="7"/>
      <c r="BG318" s="7"/>
    </row>
    <row r="319" customHeight="1" spans="1:59">
      <c r="A319" s="9" t="str">
        <f>IFERROR(__xludf.DUMMYFUNCTION("""COMPUTED_VALUE"""),"Euterpe R06")</f>
        <v>Euterpe R06</v>
      </c>
      <c r="B319" s="5" t="str">
        <f>IFERROR(__xludf.DUMMYFUNCTION("""COMPUTED_VALUE"""),"Euterpe 40")</f>
        <v>Euterpe 40</v>
      </c>
      <c r="C319" s="5" t="str">
        <f>IFERROR(__xludf.DUMMYFUNCTION("""COMPUTED_VALUE"""),"Euterpe 27")</f>
        <v>Euterpe 27</v>
      </c>
      <c r="D319" s="5" t="str">
        <f>IFERROR(__xludf.DUMMYFUNCTION("""COMPUTED_VALUE"""),"OM-6")</f>
        <v>OM-6</v>
      </c>
      <c r="E319" s="7" t="str">
        <f>IFERROR(__xludf.DUMMYFUNCTION("""COMPUTED_VALUE"""),"OM6")</f>
        <v>OM6</v>
      </c>
      <c r="F319" s="8">
        <f>IFERROR(__xludf.DUMMYFUNCTION("""COMPUTED_VALUE"""),-314.031)</f>
        <v>-314.031</v>
      </c>
      <c r="G319" s="8">
        <f>IFERROR(__xludf.DUMMYFUNCTION("""COMPUTED_VALUE"""),0)</f>
        <v>0</v>
      </c>
      <c r="H319" s="8">
        <f>IFERROR(__xludf.DUMMYFUNCTION("""COMPUTED_VALUE"""),0)</f>
        <v>0</v>
      </c>
      <c r="I319" s="14"/>
      <c r="J319" s="14"/>
      <c r="K319" s="14"/>
      <c r="L319" s="14"/>
      <c r="M319" s="7" t="b">
        <f>IFERROR(__xludf.DUMMYFUNCTION("""COMPUTED_VALUE"""),TRUE)</f>
        <v>1</v>
      </c>
      <c r="N319" s="10">
        <f>IFERROR(__xludf.DUMMYFUNCTION("""COMPUTED_VALUE"""),0)</f>
        <v>0</v>
      </c>
      <c r="O319" s="10">
        <f>IFERROR(__xludf.DUMMYFUNCTION("""COMPUTED_VALUE"""),0)</f>
        <v>0</v>
      </c>
      <c r="P319" s="8"/>
      <c r="Q319" s="7"/>
      <c r="R319" s="16"/>
      <c r="S319" s="17"/>
      <c r="T319" s="8"/>
      <c r="U319" s="8"/>
      <c r="V319" s="22"/>
      <c r="W319" s="12"/>
      <c r="X319" s="12"/>
      <c r="Y319" s="12"/>
      <c r="Z319" s="12"/>
      <c r="AA319" s="7"/>
      <c r="AB319" s="12"/>
      <c r="AC319" s="6"/>
      <c r="AD319" s="6"/>
      <c r="AE319" s="7"/>
      <c r="AF319" s="7"/>
      <c r="AG319" s="7"/>
      <c r="AH319" s="7"/>
      <c r="AI319" s="7"/>
      <c r="AJ319" s="7"/>
      <c r="AK319" s="7"/>
      <c r="AL319" s="7"/>
      <c r="AM319" s="7"/>
      <c r="AN319" s="7"/>
      <c r="AO319" s="6"/>
      <c r="AP319" s="7"/>
      <c r="AQ319" s="7"/>
      <c r="AR319" s="6"/>
      <c r="AS319" s="7"/>
      <c r="AT319" s="7"/>
      <c r="AU319" s="7"/>
      <c r="AV319" s="7"/>
      <c r="AW319" s="7"/>
      <c r="AX319" s="7"/>
      <c r="AY319" s="7"/>
      <c r="AZ319" s="7"/>
      <c r="BA319" s="7"/>
      <c r="BB319" s="7"/>
      <c r="BC319" s="7"/>
      <c r="BD319" s="7"/>
      <c r="BE319" s="7"/>
      <c r="BF319" s="7"/>
      <c r="BG319" s="7"/>
    </row>
    <row r="320" customHeight="1" spans="1:59">
      <c r="A320" s="9" t="str">
        <f>IFERROR(__xludf.DUMMYFUNCTION("""COMPUTED_VALUE"""),"Euterpe")</f>
        <v>Euterpe</v>
      </c>
      <c r="B320" s="5" t="str">
        <f>IFERROR(__xludf.DUMMYFUNCTION("""COMPUTED_VALUE"""),"Euterpe 00")</f>
        <v>Euterpe 00</v>
      </c>
      <c r="C320" s="5"/>
      <c r="D320" s="5" t="str">
        <f>IFERROR(__xludf.DUMMYFUNCTION("""COMPUTED_VALUE"""),"Trading Terminals")</f>
        <v>Trading Terminals</v>
      </c>
      <c r="E320" s="7"/>
      <c r="F320" s="8"/>
      <c r="G320" s="8"/>
      <c r="H320" s="8"/>
      <c r="I320" s="14"/>
      <c r="J320" s="14"/>
      <c r="K320" s="14"/>
      <c r="L320" s="14"/>
      <c r="M320" s="7"/>
      <c r="N320" s="10"/>
      <c r="O320" s="10"/>
      <c r="P320" s="8"/>
      <c r="Q320" s="7"/>
      <c r="R320" s="16"/>
      <c r="S320" s="17"/>
      <c r="T320" s="8"/>
      <c r="U320" s="8"/>
      <c r="V320" s="22"/>
      <c r="W320" s="12"/>
      <c r="X320" s="12"/>
      <c r="Y320" s="12"/>
      <c r="Z320" s="12"/>
      <c r="AA320" s="7"/>
      <c r="AB320" s="12"/>
      <c r="AC320" s="6"/>
      <c r="AD320" s="6"/>
      <c r="AE320" s="7"/>
      <c r="AF320" s="7"/>
      <c r="AG320" s="7"/>
      <c r="AH320" s="7"/>
      <c r="AI320" s="7"/>
      <c r="AJ320" s="7"/>
      <c r="AK320" s="7"/>
      <c r="AL320" s="7"/>
      <c r="AM320" s="7"/>
      <c r="AN320" s="7"/>
      <c r="AO320" s="6"/>
      <c r="AP320" s="7"/>
      <c r="AQ320" s="7"/>
      <c r="AR320" s="6"/>
      <c r="AS320" s="7"/>
      <c r="AT320" s="7"/>
      <c r="AU320" s="7"/>
      <c r="AV320" s="7"/>
      <c r="AW320" s="7"/>
      <c r="AX320" s="7"/>
      <c r="AY320" s="7"/>
      <c r="AZ320" s="7"/>
      <c r="BA320" s="7"/>
      <c r="BB320" s="7"/>
      <c r="BC320" s="7"/>
      <c r="BD320" s="7"/>
      <c r="BE320" s="7"/>
      <c r="BF320" s="7"/>
      <c r="BG320" s="7"/>
    </row>
    <row r="321" customHeight="1" spans="1:59">
      <c r="A321" s="9" t="str">
        <f>IFERROR(__xludf.DUMMYFUNCTION("""COMPUTED_VALUE"""),"Euterpe 01")</f>
        <v>Euterpe 01</v>
      </c>
      <c r="B321" s="5" t="str">
        <f>IFERROR(__xludf.DUMMYFUNCTION("""COMPUTED_VALUE"""),"Euterpe 01")</f>
        <v>Euterpe 01</v>
      </c>
      <c r="C321" s="5" t="str">
        <f>IFERROR(__xludf.DUMMYFUNCTION("""COMPUTED_VALUE"""),"Euterpe 17")</f>
        <v>Euterpe 17</v>
      </c>
      <c r="D321" s="5" t="str">
        <f>IFERROR(__xludf.DUMMYFUNCTION("""COMPUTED_VALUE"""),"Bud's Growery")</f>
        <v>Bud's Growery</v>
      </c>
      <c r="E321" s="7" t="str">
        <f>IFERROR(__xludf.DUMMYFUNCTION("""COMPUTED_VALUE"""),"Growery")</f>
        <v>Growery</v>
      </c>
      <c r="F321" s="8">
        <f>IFERROR(__xludf.DUMMYFUNCTION("""COMPUTED_VALUE"""),50.1732763619999)</f>
        <v>50.1732763619999</v>
      </c>
      <c r="G321" s="8">
        <f>IFERROR(__xludf.DUMMYFUNCTION("""COMPUTED_VALUE"""),-172.25918413)</f>
        <v>-172.25918413</v>
      </c>
      <c r="H321" s="8">
        <f>IFERROR(__xludf.DUMMYFUNCTION("""COMPUTED_VALUE"""),115.270872745)</f>
        <v>115.270872745</v>
      </c>
      <c r="I321" s="14"/>
      <c r="J321" s="14"/>
      <c r="K321" s="14"/>
      <c r="L321" s="14"/>
      <c r="M321" s="7" t="b">
        <f>IFERROR(__xludf.DUMMYFUNCTION("""COMPUTED_VALUE"""),TRUE)</f>
        <v>1</v>
      </c>
      <c r="N321" s="10">
        <f>IFERROR(__xludf.DUMMYFUNCTION("""COMPUTED_VALUE"""),0)</f>
        <v>0</v>
      </c>
      <c r="O321" s="10">
        <f>IFERROR(__xludf.DUMMYFUNCTION("""COMPUTED_VALUE"""),0)</f>
        <v>0</v>
      </c>
      <c r="P321" s="8"/>
      <c r="Q321" s="7"/>
      <c r="R321" s="16"/>
      <c r="S321" s="17"/>
      <c r="T321" s="8"/>
      <c r="U321" s="8"/>
      <c r="V321" s="22"/>
      <c r="W321" s="12"/>
      <c r="X321" s="12"/>
      <c r="Y321" s="12"/>
      <c r="Z321" s="12"/>
      <c r="AA321" s="7"/>
      <c r="AB321" s="12"/>
      <c r="AC321" s="6"/>
      <c r="AD321" s="6"/>
      <c r="AE321" s="7"/>
      <c r="AF321" s="7"/>
      <c r="AG321" s="7"/>
      <c r="AH321" s="7"/>
      <c r="AI321" s="7"/>
      <c r="AJ321" s="7"/>
      <c r="AK321" s="7"/>
      <c r="AL321" s="7"/>
      <c r="AM321" s="7"/>
      <c r="AN321" s="7"/>
      <c r="AO321" s="6"/>
      <c r="AP321" s="7"/>
      <c r="AQ321" s="7"/>
      <c r="AR321" s="6"/>
      <c r="AS321" s="7"/>
      <c r="AT321" s="7"/>
      <c r="AU321" s="7"/>
      <c r="AV321" s="7"/>
      <c r="AW321" s="7"/>
      <c r="AX321" s="7"/>
      <c r="AY321" s="7"/>
      <c r="AZ321" s="7"/>
      <c r="BA321" s="7"/>
      <c r="BB321" s="7"/>
      <c r="BC321" s="7"/>
      <c r="BD321" s="7"/>
      <c r="BE321" s="7"/>
      <c r="BF321" s="7"/>
      <c r="BG321" s="7"/>
    </row>
    <row r="322" customHeight="1" spans="1:59">
      <c r="A322" s="9" t="str">
        <f>IFERROR(__xludf.DUMMYFUNCTION("""COMPUTED_VALUE"""),"Euterpe 02")</f>
        <v>Euterpe 02</v>
      </c>
      <c r="B322" s="5" t="str">
        <f>IFERROR(__xludf.DUMMYFUNCTION("""COMPUTED_VALUE"""),"Euterpe 02")</f>
        <v>Euterpe 02</v>
      </c>
      <c r="C322" s="5" t="str">
        <f>IFERROR(__xludf.DUMMYFUNCTION("""COMPUTED_VALUE"""),"Euterpe 05")</f>
        <v>Euterpe 05</v>
      </c>
      <c r="D322" s="5" t="str">
        <f>IFERROR(__xludf.DUMMYFUNCTION("""COMPUTED_VALUE"""),"Devlin Scrap &amp; Salvage")</f>
        <v>Devlin Scrap &amp; Salvage</v>
      </c>
      <c r="E322" s="7" t="str">
        <f>IFERROR(__xludf.DUMMYFUNCTION("""COMPUTED_VALUE"""),"Devlin Scrap")</f>
        <v>Devlin Scrap</v>
      </c>
      <c r="F322" s="8">
        <f>IFERROR(__xludf.DUMMYFUNCTION("""COMPUTED_VALUE"""),14.506405919)</f>
        <v>14.506405919</v>
      </c>
      <c r="G322" s="8">
        <f>IFERROR(__xludf.DUMMYFUNCTION("""COMPUTED_VALUE"""),211.266745182999)</f>
        <v>211.266745182999</v>
      </c>
      <c r="H322" s="8">
        <f>IFERROR(__xludf.DUMMYFUNCTION("""COMPUTED_VALUE"""),25.8862611289999)</f>
        <v>25.8862611289999</v>
      </c>
      <c r="I322" s="14"/>
      <c r="J322" s="14"/>
      <c r="K322" s="14"/>
      <c r="L322" s="14"/>
      <c r="M322" s="7" t="b">
        <f>IFERROR(__xludf.DUMMYFUNCTION("""COMPUTED_VALUE"""),TRUE)</f>
        <v>1</v>
      </c>
      <c r="N322" s="10">
        <f>IFERROR(__xludf.DUMMYFUNCTION("""COMPUTED_VALUE"""),0)</f>
        <v>0</v>
      </c>
      <c r="O322" s="10">
        <f>IFERROR(__xludf.DUMMYFUNCTION("""COMPUTED_VALUE"""),0)</f>
        <v>0</v>
      </c>
      <c r="P322" s="8"/>
      <c r="Q322" s="7"/>
      <c r="R322" s="16"/>
      <c r="S322" s="17"/>
      <c r="T322" s="8"/>
      <c r="U322" s="8"/>
      <c r="V322" s="22"/>
      <c r="W322" s="12"/>
      <c r="X322" s="12"/>
      <c r="Y322" s="12"/>
      <c r="Z322" s="12"/>
      <c r="AA322" s="7"/>
      <c r="AB322" s="12"/>
      <c r="AC322" s="6"/>
      <c r="AD322" s="6"/>
      <c r="AE322" s="7"/>
      <c r="AF322" s="7"/>
      <c r="AG322" s="7"/>
      <c r="AH322" s="7"/>
      <c r="AI322" s="7"/>
      <c r="AJ322" s="7"/>
      <c r="AK322" s="7"/>
      <c r="AL322" s="7"/>
      <c r="AM322" s="7"/>
      <c r="AN322" s="7"/>
      <c r="AO322" s="6"/>
      <c r="AP322" s="7"/>
      <c r="AQ322" s="7"/>
      <c r="AR322" s="6"/>
      <c r="AS322" s="7"/>
      <c r="AT322" s="7"/>
      <c r="AU322" s="7"/>
      <c r="AV322" s="7"/>
      <c r="AW322" s="7"/>
      <c r="AX322" s="7"/>
      <c r="AY322" s="7"/>
      <c r="AZ322" s="7"/>
      <c r="BA322" s="7"/>
      <c r="BB322" s="7"/>
      <c r="BC322" s="7"/>
      <c r="BD322" s="7"/>
      <c r="BE322" s="7"/>
      <c r="BF322" s="7"/>
      <c r="BG322" s="7"/>
    </row>
    <row r="323" customHeight="1" spans="1:59">
      <c r="A323" s="9" t="str">
        <f>IFERROR(__xludf.DUMMYFUNCTION("""COMPUTED_VALUE"""),"Euterpe")</f>
        <v>Euterpe</v>
      </c>
      <c r="B323" s="5" t="str">
        <f>IFERROR(__xludf.DUMMYFUNCTION("""COMPUTED_VALUE"""),"Euterpe 04")</f>
        <v>Euterpe 04</v>
      </c>
      <c r="C323" s="5"/>
      <c r="D323" s="5" t="str">
        <f>IFERROR(__xludf.DUMMYFUNCTION("""COMPUTED_VALUE"""),"Racetracks")</f>
        <v>Racetracks</v>
      </c>
      <c r="E323" s="7"/>
      <c r="F323" s="8"/>
      <c r="G323" s="8"/>
      <c r="H323" s="8"/>
      <c r="I323" s="14"/>
      <c r="J323" s="14"/>
      <c r="K323" s="14"/>
      <c r="L323" s="14"/>
      <c r="M323" s="7"/>
      <c r="N323" s="10"/>
      <c r="O323" s="10"/>
      <c r="P323" s="8"/>
      <c r="Q323" s="7"/>
      <c r="R323" s="16"/>
      <c r="S323" s="17"/>
      <c r="T323" s="8"/>
      <c r="U323" s="8"/>
      <c r="V323" s="22"/>
      <c r="W323" s="12"/>
      <c r="X323" s="12"/>
      <c r="Y323" s="12"/>
      <c r="Z323" s="12"/>
      <c r="AA323" s="7"/>
      <c r="AB323" s="12"/>
      <c r="AC323" s="6"/>
      <c r="AD323" s="6"/>
      <c r="AE323" s="7"/>
      <c r="AF323" s="7"/>
      <c r="AG323" s="7"/>
      <c r="AH323" s="7"/>
      <c r="AI323" s="7"/>
      <c r="AJ323" s="7"/>
      <c r="AK323" s="7"/>
      <c r="AL323" s="7"/>
      <c r="AM323" s="7"/>
      <c r="AN323" s="7"/>
      <c r="AO323" s="6"/>
      <c r="AP323" s="7"/>
      <c r="AQ323" s="7"/>
      <c r="AR323" s="6"/>
      <c r="AS323" s="7"/>
      <c r="AT323" s="7"/>
      <c r="AU323" s="7"/>
      <c r="AV323" s="7"/>
      <c r="AW323" s="7"/>
      <c r="AX323" s="7"/>
      <c r="AY323" s="7"/>
      <c r="AZ323" s="7"/>
      <c r="BA323" s="7"/>
      <c r="BB323" s="7"/>
      <c r="BC323" s="7"/>
      <c r="BD323" s="7"/>
      <c r="BE323" s="7"/>
      <c r="BF323" s="7"/>
      <c r="BG323" s="7"/>
    </row>
    <row r="324" customHeight="1" spans="1:59">
      <c r="A324" s="9" t="str">
        <f>IFERROR(__xludf.DUMMYFUNCTION("""COMPUTED_VALUE"""),"Euterpe 03")</f>
        <v>Euterpe 03</v>
      </c>
      <c r="B324" s="5" t="str">
        <f>IFERROR(__xludf.DUMMYFUNCTION("""COMPUTED_VALUE"""),"Euterpe 05")</f>
        <v>Euterpe 05</v>
      </c>
      <c r="C324" s="5" t="str">
        <f>IFERROR(__xludf.DUMMYFUNCTION("""COMPUTED_VALUE"""),"Euterpe 01")</f>
        <v>Euterpe 01</v>
      </c>
      <c r="D324" s="5" t="str">
        <f>IFERROR(__xludf.DUMMYFUNCTION("""COMPUTED_VALUE"""),"The Icebreaker")</f>
        <v>The Icebreaker</v>
      </c>
      <c r="E324" s="7" t="str">
        <f>IFERROR(__xludf.DUMMYFUNCTION("""COMPUTED_VALUE"""),"Icebreaker")</f>
        <v>Icebreaker</v>
      </c>
      <c r="F324" s="8">
        <f>IFERROR(__xludf.DUMMYFUNCTION("""COMPUTED_VALUE"""),-42.103950635)</f>
        <v>-42.103950635</v>
      </c>
      <c r="G324" s="8">
        <f>IFERROR(__xludf.DUMMYFUNCTION("""COMPUTED_VALUE"""),198.137943112999)</f>
        <v>198.137943112999</v>
      </c>
      <c r="H324" s="8">
        <f>IFERROR(__xludf.DUMMYFUNCTION("""COMPUTED_VALUE"""),66.6105668359998)</f>
        <v>66.6105668359998</v>
      </c>
      <c r="I324" s="14"/>
      <c r="J324" s="14"/>
      <c r="K324" s="14"/>
      <c r="L324" s="14"/>
      <c r="M324" s="7" t="b">
        <f>IFERROR(__xludf.DUMMYFUNCTION("""COMPUTED_VALUE"""),TRUE)</f>
        <v>1</v>
      </c>
      <c r="N324" s="10">
        <f>IFERROR(__xludf.DUMMYFUNCTION("""COMPUTED_VALUE"""),0)</f>
        <v>0</v>
      </c>
      <c r="O324" s="10">
        <f>IFERROR(__xludf.DUMMYFUNCTION("""COMPUTED_VALUE"""),0)</f>
        <v>0</v>
      </c>
      <c r="P324" s="8"/>
      <c r="Q324" s="7"/>
      <c r="R324" s="16"/>
      <c r="S324" s="17"/>
      <c r="T324" s="8"/>
      <c r="U324" s="8"/>
      <c r="V324" s="22"/>
      <c r="W324" s="12"/>
      <c r="X324" s="12"/>
      <c r="Y324" s="12"/>
      <c r="Z324" s="12"/>
      <c r="AA324" s="7"/>
      <c r="AB324" s="12"/>
      <c r="AC324" s="6"/>
      <c r="AD324" s="6"/>
      <c r="AE324" s="7"/>
      <c r="AF324" s="7"/>
      <c r="AG324" s="7"/>
      <c r="AH324" s="7"/>
      <c r="AI324" s="7"/>
      <c r="AJ324" s="7"/>
      <c r="AK324" s="7"/>
      <c r="AL324" s="7"/>
      <c r="AM324" s="7"/>
      <c r="AN324" s="7"/>
      <c r="AO324" s="6"/>
      <c r="AP324" s="7"/>
      <c r="AQ324" s="7"/>
      <c r="AR324" s="6"/>
      <c r="AS324" s="7"/>
      <c r="AT324" s="7"/>
      <c r="AU324" s="7"/>
      <c r="AV324" s="7"/>
      <c r="AW324" s="7"/>
      <c r="AX324" s="7"/>
      <c r="AY324" s="7"/>
      <c r="AZ324" s="7"/>
      <c r="BA324" s="7"/>
      <c r="BB324" s="7"/>
      <c r="BC324" s="7"/>
      <c r="BD324" s="7"/>
      <c r="BE324" s="7"/>
      <c r="BF324" s="7"/>
      <c r="BG324" s="7"/>
    </row>
    <row r="325" customHeight="1" spans="1:59">
      <c r="A325" s="9" t="str">
        <f>IFERROR(__xludf.DUMMYFUNCTION("""COMPUTED_VALUE"""),"Euterpe")</f>
        <v>Euterpe</v>
      </c>
      <c r="B325" s="5" t="str">
        <f>IFERROR(__xludf.DUMMYFUNCTION("""COMPUTED_VALUE"""),"Euterpe 07")</f>
        <v>Euterpe 07</v>
      </c>
      <c r="C325" s="5"/>
      <c r="D325" s="5" t="str">
        <f>IFERROR(__xludf.DUMMYFUNCTION("""COMPUTED_VALUE"""),"Settlements")</f>
        <v>Settlements</v>
      </c>
      <c r="E325" s="7"/>
      <c r="F325" s="8"/>
      <c r="G325" s="8"/>
      <c r="H325" s="8"/>
      <c r="I325" s="14"/>
      <c r="J325" s="14"/>
      <c r="K325" s="14"/>
      <c r="L325" s="14"/>
      <c r="M325" s="7"/>
      <c r="N325" s="10"/>
      <c r="O325" s="10"/>
      <c r="P325" s="8"/>
      <c r="Q325" s="7"/>
      <c r="R325" s="16"/>
      <c r="S325" s="17"/>
      <c r="T325" s="8"/>
      <c r="U325" s="8"/>
      <c r="V325" s="22"/>
      <c r="W325" s="12"/>
      <c r="X325" s="12"/>
      <c r="Y325" s="12"/>
      <c r="Z325" s="12"/>
      <c r="AA325" s="7"/>
      <c r="AB325" s="12"/>
      <c r="AC325" s="6"/>
      <c r="AD325" s="6"/>
      <c r="AE325" s="7"/>
      <c r="AF325" s="7"/>
      <c r="AG325" s="7"/>
      <c r="AH325" s="7"/>
      <c r="AI325" s="7"/>
      <c r="AJ325" s="7"/>
      <c r="AK325" s="7"/>
      <c r="AL325" s="7"/>
      <c r="AM325" s="7"/>
      <c r="AN325" s="7"/>
      <c r="AO325" s="6"/>
      <c r="AP325" s="7"/>
      <c r="AQ325" s="7"/>
      <c r="AR325" s="6"/>
      <c r="AS325" s="7"/>
      <c r="AT325" s="7"/>
      <c r="AU325" s="7"/>
      <c r="AV325" s="7"/>
      <c r="AW325" s="7"/>
      <c r="AX325" s="7"/>
      <c r="AY325" s="7"/>
      <c r="AZ325" s="7"/>
      <c r="BA325" s="7"/>
      <c r="BB325" s="7"/>
      <c r="BC325" s="7"/>
      <c r="BD325" s="7"/>
      <c r="BE325" s="7"/>
      <c r="BF325" s="7"/>
      <c r="BG325" s="7"/>
    </row>
    <row r="326" customHeight="1" spans="1:59">
      <c r="A326" s="9" t="str">
        <f>IFERROR(__xludf.DUMMYFUNCTION("""COMPUTED_VALUE"""),"Euterpe 05")</f>
        <v>Euterpe 05</v>
      </c>
      <c r="B326" s="5" t="str">
        <f>IFERROR(__xludf.DUMMYFUNCTION("""COMPUTED_VALUE"""),"Euterpe 08")</f>
        <v>Euterpe 08</v>
      </c>
      <c r="C326" s="5" t="str">
        <f>IFERROR(__xludf.DUMMYFUNCTION("""COMPUTED_VALUE"""),"Euterpe 04")</f>
        <v>Euterpe 04</v>
      </c>
      <c r="D326" s="5" t="str">
        <f>IFERROR(__xludf.DUMMYFUNCTION("""COMPUTED_VALUE"""),"Euterpe Settlement")</f>
        <v>Euterpe Settlement</v>
      </c>
      <c r="E326" s="7" t="str">
        <f>IFERROR(__xludf.DUMMYFUNCTION("""COMPUTED_VALUE"""),"Settlement 4c")</f>
        <v>Settlement 4c</v>
      </c>
      <c r="F326" s="8">
        <f>IFERROR(__xludf.DUMMYFUNCTION("""COMPUTED_VALUE"""),0.823166850999999)</f>
        <v>0.823166850999999</v>
      </c>
      <c r="G326" s="8">
        <f>IFERROR(__xludf.DUMMYFUNCTION("""COMPUTED_VALUE"""),212.676529378)</f>
        <v>212.676529378</v>
      </c>
      <c r="H326" s="8">
        <f>IFERROR(__xludf.DUMMYFUNCTION("""COMPUTED_VALUE"""),16.431644107)</f>
        <v>16.431644107</v>
      </c>
      <c r="I326" s="14"/>
      <c r="J326" s="14"/>
      <c r="K326" s="14"/>
      <c r="L326" s="14"/>
      <c r="M326" s="7" t="b">
        <f>IFERROR(__xludf.DUMMYFUNCTION("""COMPUTED_VALUE"""),FALSE)</f>
        <v>0</v>
      </c>
      <c r="N326" s="10"/>
      <c r="O326" s="10"/>
      <c r="P326" s="8"/>
      <c r="Q326" s="7"/>
      <c r="R326" s="16"/>
      <c r="S326" s="17"/>
      <c r="T326" s="8"/>
      <c r="U326" s="8"/>
      <c r="V326" s="22"/>
      <c r="W326" s="12"/>
      <c r="X326" s="12"/>
      <c r="Y326" s="12"/>
      <c r="Z326" s="12"/>
      <c r="AA326" s="7"/>
      <c r="AB326" s="12"/>
      <c r="AC326" s="6"/>
      <c r="AD326" s="6"/>
      <c r="AE326" s="7"/>
      <c r="AF326" s="7"/>
      <c r="AG326" s="7"/>
      <c r="AH326" s="7"/>
      <c r="AI326" s="7"/>
      <c r="AJ326" s="7"/>
      <c r="AK326" s="7"/>
      <c r="AL326" s="7"/>
      <c r="AM326" s="7"/>
      <c r="AN326" s="7"/>
      <c r="AO326" s="6"/>
      <c r="AP326" s="7"/>
      <c r="AQ326" s="7"/>
      <c r="AR326" s="6"/>
      <c r="AS326" s="7"/>
      <c r="AT326" s="7"/>
      <c r="AU326" s="7"/>
      <c r="AV326" s="7"/>
      <c r="AW326" s="7"/>
      <c r="AX326" s="7"/>
      <c r="AY326" s="7"/>
      <c r="AZ326" s="7"/>
      <c r="BA326" s="7"/>
      <c r="BB326" s="7"/>
      <c r="BC326" s="7"/>
      <c r="BD326" s="7"/>
      <c r="BE326" s="7"/>
      <c r="BF326" s="7"/>
      <c r="BG326" s="7"/>
    </row>
    <row r="327" customHeight="1" spans="1:59">
      <c r="A327" s="9" t="str">
        <f>IFERROR(__xludf.DUMMYFUNCTION("""COMPUTED_VALUE"""),"Euterpe")</f>
        <v>Euterpe</v>
      </c>
      <c r="B327" s="5" t="str">
        <f>IFERROR(__xludf.DUMMYFUNCTION("""COMPUTED_VALUE"""),"Euterpe 10")</f>
        <v>Euterpe 10</v>
      </c>
      <c r="C327" s="5"/>
      <c r="D327" s="5" t="str">
        <f>IFERROR(__xludf.DUMMYFUNCTION("""COMPUTED_VALUE"""),"Caves")</f>
        <v>Caves</v>
      </c>
      <c r="E327" s="7"/>
      <c r="F327" s="11"/>
      <c r="G327" s="11"/>
      <c r="H327" s="11"/>
      <c r="I327" s="15"/>
      <c r="J327" s="15"/>
      <c r="K327" s="15"/>
      <c r="L327" s="15"/>
      <c r="M327" s="7"/>
      <c r="N327" s="10"/>
      <c r="O327" s="10"/>
      <c r="P327" s="8"/>
      <c r="Q327" s="7"/>
      <c r="R327" s="16"/>
      <c r="S327" s="17"/>
      <c r="T327" s="8"/>
      <c r="U327" s="8"/>
      <c r="V327" s="22"/>
      <c r="W327" s="12"/>
      <c r="X327" s="12"/>
      <c r="Y327" s="12"/>
      <c r="Z327" s="12"/>
      <c r="AA327" s="6"/>
      <c r="AB327" s="12"/>
      <c r="AC327" s="6"/>
      <c r="AD327" s="6"/>
      <c r="AE327" s="7"/>
      <c r="AF327" s="7"/>
      <c r="AG327" s="7"/>
      <c r="AH327" s="7"/>
      <c r="AI327" s="7"/>
      <c r="AJ327" s="7"/>
      <c r="AK327" s="7"/>
      <c r="AL327" s="7"/>
      <c r="AM327" s="7"/>
      <c r="AN327" s="7"/>
      <c r="AO327" s="6"/>
      <c r="AP327" s="7"/>
      <c r="AQ327" s="7"/>
      <c r="AR327" s="6"/>
      <c r="AS327" s="7"/>
      <c r="AT327" s="7"/>
      <c r="AU327" s="7"/>
      <c r="AV327" s="7"/>
      <c r="AW327" s="7"/>
      <c r="AX327" s="7"/>
      <c r="AY327" s="7"/>
      <c r="AZ327" s="7"/>
      <c r="BA327" s="7"/>
      <c r="BB327" s="7"/>
      <c r="BC327" s="7"/>
      <c r="BD327" s="7"/>
      <c r="BE327" s="7"/>
      <c r="BF327" s="7"/>
      <c r="BG327" s="7"/>
    </row>
    <row r="328" customHeight="1" spans="1:59">
      <c r="A328" s="9" t="str">
        <f>IFERROR(__xludf.DUMMYFUNCTION("""COMPUTED_VALUE"""),"Euterpe 09")</f>
        <v>Euterpe 09</v>
      </c>
      <c r="B328" s="5" t="str">
        <f>IFERROR(__xludf.DUMMYFUNCTION("""COMPUTED_VALUE"""),"Euterpe 14")</f>
        <v>Euterpe 14</v>
      </c>
      <c r="C328" s="5" t="str">
        <f>IFERROR(__xludf.DUMMYFUNCTION("""COMPUTED_VALUE"""),"Euterpe 07")</f>
        <v>Euterpe 07</v>
      </c>
      <c r="D328" s="5" t="str">
        <f>IFERROR(__xludf.DUMMYFUNCTION("""COMPUTED_VALUE"""),"Rock Cave 39N")</f>
        <v>Rock Cave 39N</v>
      </c>
      <c r="E328" s="7" t="str">
        <f>IFERROR(__xludf.DUMMYFUNCTION("""COMPUTED_VALUE"""),"RCave 39N")</f>
        <v>RCave 39N</v>
      </c>
      <c r="F328" s="11">
        <f>IFERROR(__xludf.DUMMYFUNCTION("""COMPUTED_VALUE"""),136.389514123)</f>
        <v>136.389514123</v>
      </c>
      <c r="G328" s="11">
        <f>IFERROR(__xludf.DUMMYFUNCTION("""COMPUTED_VALUE"""),163.643826322999)</f>
        <v>163.643826322999</v>
      </c>
      <c r="H328" s="11">
        <f>IFERROR(__xludf.DUMMYFUNCTION("""COMPUTED_VALUE"""),11.150855346)</f>
        <v>11.150855346</v>
      </c>
      <c r="I328" s="15"/>
      <c r="J328" s="15"/>
      <c r="K328" s="15"/>
      <c r="L328" s="15"/>
      <c r="M328" s="7" t="b">
        <f>IFERROR(__xludf.DUMMYFUNCTION("""COMPUTED_VALUE"""),FALSE)</f>
        <v>0</v>
      </c>
      <c r="N328" s="10">
        <f>IFERROR(__xludf.DUMMYFUNCTION("""COMPUTED_VALUE"""),0)</f>
        <v>0</v>
      </c>
      <c r="O328" s="10">
        <f>IFERROR(__xludf.DUMMYFUNCTION("""COMPUTED_VALUE"""),0)</f>
        <v>0</v>
      </c>
      <c r="P328" s="8"/>
      <c r="Q328" s="7"/>
      <c r="R328" s="16"/>
      <c r="S328" s="17"/>
      <c r="T328" s="8"/>
      <c r="U328" s="8"/>
      <c r="V328" s="22"/>
      <c r="W328" s="12"/>
      <c r="X328" s="12"/>
      <c r="Y328" s="12"/>
      <c r="Z328" s="12"/>
      <c r="AA328" s="6"/>
      <c r="AB328" s="12"/>
      <c r="AC328" s="6"/>
      <c r="AD328" s="6"/>
      <c r="AE328" s="7"/>
      <c r="AF328" s="7"/>
      <c r="AG328" s="7"/>
      <c r="AH328" s="7"/>
      <c r="AI328" s="7"/>
      <c r="AJ328" s="7"/>
      <c r="AK328" s="7"/>
      <c r="AL328" s="7"/>
      <c r="AM328" s="7"/>
      <c r="AN328" s="7"/>
      <c r="AO328" s="6"/>
      <c r="AP328" s="7"/>
      <c r="AQ328" s="7"/>
      <c r="AR328" s="6"/>
      <c r="AS328" s="7"/>
      <c r="AT328" s="7"/>
      <c r="AU328" s="7"/>
      <c r="AV328" s="7"/>
      <c r="AW328" s="7"/>
      <c r="AX328" s="7"/>
      <c r="AY328" s="7"/>
      <c r="AZ328" s="7"/>
      <c r="BA328" s="7"/>
      <c r="BB328" s="7"/>
      <c r="BC328" s="7"/>
      <c r="BD328" s="7"/>
      <c r="BE328" s="7"/>
      <c r="BF328" s="7"/>
      <c r="BG328" s="7"/>
    </row>
    <row r="329" customHeight="1" spans="1:59">
      <c r="A329" s="9" t="str">
        <f>IFERROR(__xludf.DUMMYFUNCTION("""COMPUTED_VALUE"""),"Euterpe 07")</f>
        <v>Euterpe 07</v>
      </c>
      <c r="B329" s="5" t="str">
        <f>IFERROR(__xludf.DUMMYFUNCTION("""COMPUTED_VALUE"""),"Euterpe 12")</f>
        <v>Euterpe 12</v>
      </c>
      <c r="C329" s="5" t="str">
        <f>IFERROR(__xludf.DUMMYFUNCTION("""COMPUTED_VALUE"""),"Euterpe 24")</f>
        <v>Euterpe 24</v>
      </c>
      <c r="D329" s="5" t="str">
        <f>IFERROR(__xludf.DUMMYFUNCTION("""COMPUTED_VALUE"""),"Rock Cave 04P-047")</f>
        <v>Rock Cave 04P-047</v>
      </c>
      <c r="E329" s="7" t="str">
        <f>IFERROR(__xludf.DUMMYFUNCTION("""COMPUTED_VALUE"""),"RCave 04P047")</f>
        <v>RCave 04P047</v>
      </c>
      <c r="F329" s="11">
        <f>IFERROR(__xludf.DUMMYFUNCTION("""COMPUTED_VALUE"""),-192.560988522)</f>
        <v>-192.560988522</v>
      </c>
      <c r="G329" s="11">
        <f>IFERROR(__xludf.DUMMYFUNCTION("""COMPUTED_VALUE"""),-82.292478335)</f>
        <v>-82.292478335</v>
      </c>
      <c r="H329" s="11">
        <f>IFERROR(__xludf.DUMMYFUNCTION("""COMPUTED_VALUE"""),40.530786029)</f>
        <v>40.530786029</v>
      </c>
      <c r="I329" s="15"/>
      <c r="J329" s="15"/>
      <c r="K329" s="15"/>
      <c r="L329" s="15"/>
      <c r="M329" s="7" t="b">
        <f>IFERROR(__xludf.DUMMYFUNCTION("""COMPUTED_VALUE"""),FALSE)</f>
        <v>0</v>
      </c>
      <c r="N329" s="10">
        <f>IFERROR(__xludf.DUMMYFUNCTION("""COMPUTED_VALUE"""),0)</f>
        <v>0</v>
      </c>
      <c r="O329" s="10">
        <f>IFERROR(__xludf.DUMMYFUNCTION("""COMPUTED_VALUE"""),0)</f>
        <v>0</v>
      </c>
      <c r="P329" s="8"/>
      <c r="Q329" s="7"/>
      <c r="R329" s="16"/>
      <c r="S329" s="17"/>
      <c r="T329" s="8"/>
      <c r="U329" s="8"/>
      <c r="V329" s="22"/>
      <c r="W329" s="12"/>
      <c r="X329" s="12"/>
      <c r="Y329" s="12"/>
      <c r="Z329" s="12"/>
      <c r="AA329" s="6"/>
      <c r="AB329" s="12"/>
      <c r="AC329" s="6"/>
      <c r="AD329" s="6"/>
      <c r="AE329" s="7"/>
      <c r="AF329" s="7"/>
      <c r="AG329" s="7"/>
      <c r="AH329" s="7"/>
      <c r="AI329" s="7"/>
      <c r="AJ329" s="7"/>
      <c r="AK329" s="7"/>
      <c r="AL329" s="7"/>
      <c r="AM329" s="7"/>
      <c r="AN329" s="7"/>
      <c r="AO329" s="6"/>
      <c r="AP329" s="7"/>
      <c r="AQ329" s="7"/>
      <c r="AR329" s="6"/>
      <c r="AS329" s="7"/>
      <c r="AT329" s="7"/>
      <c r="AU329" s="7"/>
      <c r="AV329" s="7"/>
      <c r="AW329" s="7"/>
      <c r="AX329" s="7"/>
      <c r="AY329" s="7"/>
      <c r="AZ329" s="7"/>
      <c r="BA329" s="7"/>
      <c r="BB329" s="7"/>
      <c r="BC329" s="7"/>
      <c r="BD329" s="7"/>
      <c r="BE329" s="7"/>
      <c r="BF329" s="7"/>
      <c r="BG329" s="7"/>
    </row>
    <row r="330" customHeight="1" spans="1:59">
      <c r="A330" s="9" t="str">
        <f>IFERROR(__xludf.DUMMYFUNCTION("""COMPUTED_VALUE"""),"Euterpe 06")</f>
        <v>Euterpe 06</v>
      </c>
      <c r="B330" s="5" t="str">
        <f>IFERROR(__xludf.DUMMYFUNCTION("""COMPUTED_VALUE"""),"Euterpe 11")</f>
        <v>Euterpe 11</v>
      </c>
      <c r="C330" s="5" t="str">
        <f>IFERROR(__xludf.DUMMYFUNCTION("""COMPUTED_VALUE"""),"Euterpe 25")</f>
        <v>Euterpe 25</v>
      </c>
      <c r="D330" s="5" t="str">
        <f>IFERROR(__xludf.DUMMYFUNCTION("""COMPUTED_VALUE"""),"Rock Cave 04P-046")</f>
        <v>Rock Cave 04P-046</v>
      </c>
      <c r="E330" s="7" t="str">
        <f>IFERROR(__xludf.DUMMYFUNCTION("""COMPUTED_VALUE"""),"RCave 04P046")</f>
        <v>RCave 04P046</v>
      </c>
      <c r="F330" s="11">
        <f>IFERROR(__xludf.DUMMYFUNCTION("""COMPUTED_VALUE"""),-192.195818735)</f>
        <v>-192.195818735</v>
      </c>
      <c r="G330" s="11">
        <f>IFERROR(__xludf.DUMMYFUNCTION("""COMPUTED_VALUE"""),-80.446791672)</f>
        <v>-80.446791672</v>
      </c>
      <c r="H330" s="11">
        <f>IFERROR(__xludf.DUMMYFUNCTION("""COMPUTED_VALUE"""),45.4366577239999)</f>
        <v>45.4366577239999</v>
      </c>
      <c r="I330" s="15"/>
      <c r="J330" s="15"/>
      <c r="K330" s="15"/>
      <c r="L330" s="15"/>
      <c r="M330" s="7" t="b">
        <f>IFERROR(__xludf.DUMMYFUNCTION("""COMPUTED_VALUE"""),FALSE)</f>
        <v>0</v>
      </c>
      <c r="N330" s="10">
        <f>IFERROR(__xludf.DUMMYFUNCTION("""COMPUTED_VALUE"""),0)</f>
        <v>0</v>
      </c>
      <c r="O330" s="10">
        <f>IFERROR(__xludf.DUMMYFUNCTION("""COMPUTED_VALUE"""),0)</f>
        <v>0</v>
      </c>
      <c r="P330" s="8"/>
      <c r="Q330" s="7"/>
      <c r="R330" s="16"/>
      <c r="S330" s="17"/>
      <c r="T330" s="8"/>
      <c r="U330" s="8"/>
      <c r="V330" s="22"/>
      <c r="W330" s="12"/>
      <c r="X330" s="12"/>
      <c r="Y330" s="12"/>
      <c r="Z330" s="12"/>
      <c r="AA330" s="7"/>
      <c r="AB330" s="12"/>
      <c r="AC330" s="6"/>
      <c r="AD330" s="6"/>
      <c r="AE330" s="7"/>
      <c r="AF330" s="7"/>
      <c r="AG330" s="7"/>
      <c r="AH330" s="7"/>
      <c r="AI330" s="7"/>
      <c r="AJ330" s="7"/>
      <c r="AK330" s="7"/>
      <c r="AL330" s="7"/>
      <c r="AM330" s="7"/>
      <c r="AN330" s="7"/>
      <c r="AO330" s="6"/>
      <c r="AP330" s="7"/>
      <c r="AQ330" s="7"/>
      <c r="AR330" s="6"/>
      <c r="AS330" s="7"/>
      <c r="AT330" s="7"/>
      <c r="AU330" s="7"/>
      <c r="AV330" s="7"/>
      <c r="AW330" s="7"/>
      <c r="AX330" s="7"/>
      <c r="AY330" s="7"/>
      <c r="AZ330" s="7"/>
      <c r="BA330" s="7"/>
      <c r="BB330" s="7"/>
      <c r="BC330" s="7"/>
      <c r="BD330" s="7"/>
      <c r="BE330" s="7"/>
      <c r="BF330" s="7"/>
      <c r="BG330" s="7"/>
    </row>
    <row r="331" customHeight="1" spans="1:59">
      <c r="A331" s="9" t="str">
        <f>IFERROR(__xludf.DUMMYFUNCTION("""COMPUTED_VALUE"""),"Euterpe 10")</f>
        <v>Euterpe 10</v>
      </c>
      <c r="B331" s="5" t="str">
        <f>IFERROR(__xludf.DUMMYFUNCTION("""COMPUTED_VALUE"""),"Euterpe 15")</f>
        <v>Euterpe 15</v>
      </c>
      <c r="C331" s="5" t="str">
        <f>IFERROR(__xludf.DUMMYFUNCTION("""COMPUTED_VALUE"""),"Euterpe 02")</f>
        <v>Euterpe 02</v>
      </c>
      <c r="D331" s="5" t="str">
        <f>IFERROR(__xludf.DUMMYFUNCTION("""COMPUTED_VALUE"""),"Rock Cave 47H")</f>
        <v>Rock Cave 47H</v>
      </c>
      <c r="E331" s="7" t="str">
        <f>IFERROR(__xludf.DUMMYFUNCTION("""COMPUTED_VALUE"""),"RCave 47H")</f>
        <v>RCave 47H</v>
      </c>
      <c r="F331" s="11">
        <f>IFERROR(__xludf.DUMMYFUNCTION("""COMPUTED_VALUE"""),-33.1990300149999)</f>
        <v>-33.1990300149999</v>
      </c>
      <c r="G331" s="11">
        <f>IFERROR(__xludf.DUMMYFUNCTION("""COMPUTED_VALUE"""),162.934056439998)</f>
        <v>162.934056439998</v>
      </c>
      <c r="H331" s="11">
        <f>IFERROR(__xludf.DUMMYFUNCTION("""COMPUTED_VALUE"""),-133.721557527)</f>
        <v>-133.721557527</v>
      </c>
      <c r="I331" s="15"/>
      <c r="J331" s="15"/>
      <c r="K331" s="15"/>
      <c r="L331" s="15"/>
      <c r="M331" s="7" t="b">
        <f>IFERROR(__xludf.DUMMYFUNCTION("""COMPUTED_VALUE"""),FALSE)</f>
        <v>0</v>
      </c>
      <c r="N331" s="10">
        <f>IFERROR(__xludf.DUMMYFUNCTION("""COMPUTED_VALUE"""),0)</f>
        <v>0</v>
      </c>
      <c r="O331" s="10">
        <f>IFERROR(__xludf.DUMMYFUNCTION("""COMPUTED_VALUE"""),0)</f>
        <v>0</v>
      </c>
      <c r="P331" s="8"/>
      <c r="Q331" s="7"/>
      <c r="R331" s="16"/>
      <c r="S331" s="17"/>
      <c r="T331" s="8"/>
      <c r="U331" s="8"/>
      <c r="V331" s="22"/>
      <c r="W331" s="12"/>
      <c r="X331" s="12"/>
      <c r="Y331" s="12"/>
      <c r="Z331" s="12"/>
      <c r="AA331" s="7"/>
      <c r="AB331" s="12"/>
      <c r="AC331" s="6"/>
      <c r="AD331" s="6"/>
      <c r="AE331" s="7"/>
      <c r="AF331" s="7"/>
      <c r="AG331" s="7"/>
      <c r="AH331" s="7"/>
      <c r="AI331" s="7"/>
      <c r="AJ331" s="7"/>
      <c r="AK331" s="7"/>
      <c r="AL331" s="7"/>
      <c r="AM331" s="7"/>
      <c r="AN331" s="7"/>
      <c r="AO331" s="6"/>
      <c r="AP331" s="7"/>
      <c r="AQ331" s="7"/>
      <c r="AR331" s="6"/>
      <c r="AS331" s="7"/>
      <c r="AT331" s="7"/>
      <c r="AU331" s="7"/>
      <c r="AV331" s="7"/>
      <c r="AW331" s="7"/>
      <c r="AX331" s="7"/>
      <c r="AY331" s="7"/>
      <c r="AZ331" s="7"/>
      <c r="BA331" s="7"/>
      <c r="BB331" s="7"/>
      <c r="BC331" s="7"/>
      <c r="BD331" s="7"/>
      <c r="BE331" s="7"/>
      <c r="BF331" s="7"/>
      <c r="BG331" s="7"/>
    </row>
    <row r="332" customHeight="1" spans="1:59">
      <c r="A332" s="9" t="str">
        <f>IFERROR(__xludf.DUMMYFUNCTION("""COMPUTED_VALUE"""),"Euterpe 08")</f>
        <v>Euterpe 08</v>
      </c>
      <c r="B332" s="5" t="str">
        <f>IFERROR(__xludf.DUMMYFUNCTION("""COMPUTED_VALUE"""),"Euterpe 13")</f>
        <v>Euterpe 13</v>
      </c>
      <c r="C332" s="5" t="str">
        <f>IFERROR(__xludf.DUMMYFUNCTION("""COMPUTED_VALUE"""),"Euterpe 14")</f>
        <v>Euterpe 14</v>
      </c>
      <c r="D332" s="5" t="str">
        <f>IFERROR(__xludf.DUMMYFUNCTION("""COMPUTED_VALUE"""),"Rock Cave 26F")</f>
        <v>Rock Cave 26F</v>
      </c>
      <c r="E332" s="7" t="str">
        <f>IFERROR(__xludf.DUMMYFUNCTION("""COMPUTED_VALUE"""),"RCave 26F")</f>
        <v>RCave 26F</v>
      </c>
      <c r="F332" s="11">
        <f>IFERROR(__xludf.DUMMYFUNCTION("""COMPUTED_VALUE"""),114.707246975)</f>
        <v>114.707246975</v>
      </c>
      <c r="G332" s="11">
        <f>IFERROR(__xludf.DUMMYFUNCTION("""COMPUTED_VALUE"""),-65.9505027529999)</f>
        <v>-65.9505027529999</v>
      </c>
      <c r="H332" s="11">
        <f>IFERROR(__xludf.DUMMYFUNCTION("""COMPUTED_VALUE"""),-167.162835102)</f>
        <v>-167.162835102</v>
      </c>
      <c r="I332" s="15"/>
      <c r="J332" s="15"/>
      <c r="K332" s="15"/>
      <c r="L332" s="15"/>
      <c r="M332" s="7" t="b">
        <f>IFERROR(__xludf.DUMMYFUNCTION("""COMPUTED_VALUE"""),FALSE)</f>
        <v>0</v>
      </c>
      <c r="N332" s="10">
        <f>IFERROR(__xludf.DUMMYFUNCTION("""COMPUTED_VALUE"""),0)</f>
        <v>0</v>
      </c>
      <c r="O332" s="10">
        <f>IFERROR(__xludf.DUMMYFUNCTION("""COMPUTED_VALUE"""),0)</f>
        <v>0</v>
      </c>
      <c r="P332" s="8"/>
      <c r="Q332" s="7"/>
      <c r="R332" s="16"/>
      <c r="S332" s="17"/>
      <c r="T332" s="8"/>
      <c r="U332" s="8"/>
      <c r="V332" s="22"/>
      <c r="W332" s="12"/>
      <c r="X332" s="12"/>
      <c r="Y332" s="12"/>
      <c r="Z332" s="12"/>
      <c r="AA332" s="7"/>
      <c r="AB332" s="12"/>
      <c r="AC332" s="6"/>
      <c r="AD332" s="6"/>
      <c r="AE332" s="7"/>
      <c r="AF332" s="7"/>
      <c r="AG332" s="7"/>
      <c r="AH332" s="7"/>
      <c r="AI332" s="7"/>
      <c r="AJ332" s="7"/>
      <c r="AK332" s="7"/>
      <c r="AL332" s="7"/>
      <c r="AM332" s="7"/>
      <c r="AN332" s="7"/>
      <c r="AO332" s="6"/>
      <c r="AP332" s="7"/>
      <c r="AQ332" s="7"/>
      <c r="AR332" s="6"/>
      <c r="AS332" s="7"/>
      <c r="AT332" s="7"/>
      <c r="AU332" s="7"/>
      <c r="AV332" s="7"/>
      <c r="AW332" s="7"/>
      <c r="AX332" s="7"/>
      <c r="AY332" s="7"/>
      <c r="AZ332" s="7"/>
      <c r="BA332" s="7"/>
      <c r="BB332" s="7"/>
      <c r="BC332" s="7"/>
      <c r="BD332" s="7"/>
      <c r="BE332" s="7"/>
      <c r="BF332" s="7"/>
      <c r="BG332" s="7"/>
    </row>
    <row r="333" customHeight="1" spans="1:59">
      <c r="A333" s="9" t="str">
        <f>IFERROR(__xludf.DUMMYFUNCTION("""COMPUTED_VALUE"""),"Euterpe")</f>
        <v>Euterpe</v>
      </c>
      <c r="B333" s="5" t="str">
        <f>IFERROR(__xludf.DUMMYFUNCTION("""COMPUTED_VALUE"""),"Euterpe 17")</f>
        <v>Euterpe 17</v>
      </c>
      <c r="C333" s="5"/>
      <c r="D333" s="5" t="str">
        <f>IFERROR(__xludf.DUMMYFUNCTION("""COMPUTED_VALUE"""),"Wrecks")</f>
        <v>Wrecks</v>
      </c>
      <c r="E333" s="7"/>
      <c r="F333" s="11"/>
      <c r="G333" s="11"/>
      <c r="H333" s="11"/>
      <c r="I333" s="15"/>
      <c r="J333" s="15"/>
      <c r="K333" s="15"/>
      <c r="L333" s="15"/>
      <c r="M333" s="7"/>
      <c r="N333" s="10"/>
      <c r="O333" s="10"/>
      <c r="P333" s="8"/>
      <c r="Q333" s="7"/>
      <c r="R333" s="16"/>
      <c r="S333" s="17"/>
      <c r="T333" s="8"/>
      <c r="U333" s="8"/>
      <c r="V333" s="22"/>
      <c r="W333" s="12"/>
      <c r="X333" s="12"/>
      <c r="Y333" s="12"/>
      <c r="Z333" s="12"/>
      <c r="AA333" s="7"/>
      <c r="AB333" s="12"/>
      <c r="AC333" s="6"/>
      <c r="AD333" s="6"/>
      <c r="AE333" s="7"/>
      <c r="AF333" s="7"/>
      <c r="AG333" s="7"/>
      <c r="AH333" s="7"/>
      <c r="AI333" s="7"/>
      <c r="AJ333" s="7"/>
      <c r="AK333" s="7"/>
      <c r="AL333" s="7"/>
      <c r="AM333" s="7"/>
      <c r="AN333" s="7"/>
      <c r="AO333" s="6"/>
      <c r="AP333" s="7"/>
      <c r="AQ333" s="7"/>
      <c r="AR333" s="6"/>
      <c r="AS333" s="7"/>
      <c r="AT333" s="7"/>
      <c r="AU333" s="7"/>
      <c r="AV333" s="7"/>
      <c r="AW333" s="7"/>
      <c r="AX333" s="7"/>
      <c r="AY333" s="7"/>
      <c r="AZ333" s="7"/>
      <c r="BA333" s="7"/>
      <c r="BB333" s="7"/>
      <c r="BC333" s="7"/>
      <c r="BD333" s="7"/>
      <c r="BE333" s="7"/>
      <c r="BF333" s="7"/>
      <c r="BG333" s="7"/>
    </row>
    <row r="334" customHeight="1" spans="1:59">
      <c r="A334" s="9" t="str">
        <f>IFERROR(__xludf.DUMMYFUNCTION("""COMPUTED_VALUE"""),"Euterpe 14")</f>
        <v>Euterpe 14</v>
      </c>
      <c r="B334" s="5" t="str">
        <f>IFERROR(__xludf.DUMMYFUNCTION("""COMPUTED_VALUE"""),"Euterpe 21")</f>
        <v>Euterpe 21</v>
      </c>
      <c r="C334" s="5" t="str">
        <f>IFERROR(__xludf.DUMMYFUNCTION("""COMPUTED_VALUE"""),"Euterpe 08")</f>
        <v>Euterpe 08</v>
      </c>
      <c r="D334" s="5" t="str">
        <f>IFERROR(__xludf.DUMMYFUNCTION("""COMPUTED_VALUE"""),"Caterpillar Wreck 38L")</f>
        <v>Caterpillar Wreck 38L</v>
      </c>
      <c r="E334" s="7" t="str">
        <f>IFERROR(__xludf.DUMMYFUNCTION("""COMPUTED_VALUE"""),"Caterpillar 38L")</f>
        <v>Caterpillar 38L</v>
      </c>
      <c r="F334" s="11">
        <f>IFERROR(__xludf.DUMMYFUNCTION("""COMPUTED_VALUE"""),145.418308879999)</f>
        <v>145.418308879999</v>
      </c>
      <c r="G334" s="11">
        <f>IFERROR(__xludf.DUMMYFUNCTION("""COMPUTED_VALUE"""),152.345449331999)</f>
        <v>152.345449331999</v>
      </c>
      <c r="H334" s="11">
        <f>IFERROR(__xludf.DUMMYFUNCTION("""COMPUTED_VALUE"""),-33.7889835339999)</f>
        <v>-33.7889835339999</v>
      </c>
      <c r="I334" s="15"/>
      <c r="J334" s="15"/>
      <c r="K334" s="15"/>
      <c r="L334" s="15"/>
      <c r="M334" s="7" t="b">
        <f>IFERROR(__xludf.DUMMYFUNCTION("""COMPUTED_VALUE"""),FALSE)</f>
        <v>0</v>
      </c>
      <c r="N334" s="10">
        <f>IFERROR(__xludf.DUMMYFUNCTION("""COMPUTED_VALUE"""),0)</f>
        <v>0</v>
      </c>
      <c r="O334" s="10">
        <f>IFERROR(__xludf.DUMMYFUNCTION("""COMPUTED_VALUE"""),0)</f>
        <v>0</v>
      </c>
      <c r="P334" s="8"/>
      <c r="Q334" s="7"/>
      <c r="R334" s="16"/>
      <c r="S334" s="17"/>
      <c r="T334" s="8"/>
      <c r="U334" s="8"/>
      <c r="V334" s="22"/>
      <c r="W334" s="12"/>
      <c r="X334" s="12"/>
      <c r="Y334" s="12"/>
      <c r="Z334" s="12"/>
      <c r="AA334" s="7"/>
      <c r="AB334" s="12"/>
      <c r="AC334" s="6"/>
      <c r="AD334" s="6"/>
      <c r="AE334" s="7"/>
      <c r="AF334" s="7"/>
      <c r="AG334" s="7"/>
      <c r="AH334" s="7"/>
      <c r="AI334" s="7"/>
      <c r="AJ334" s="7"/>
      <c r="AK334" s="7"/>
      <c r="AL334" s="7"/>
      <c r="AM334" s="7"/>
      <c r="AN334" s="7"/>
      <c r="AO334" s="6"/>
      <c r="AP334" s="7"/>
      <c r="AQ334" s="7"/>
      <c r="AR334" s="6"/>
      <c r="AS334" s="7"/>
      <c r="AT334" s="7"/>
      <c r="AU334" s="7"/>
      <c r="AV334" s="7"/>
      <c r="AW334" s="7"/>
      <c r="AX334" s="7"/>
      <c r="AY334" s="7"/>
      <c r="AZ334" s="7"/>
      <c r="BA334" s="7"/>
      <c r="BB334" s="7"/>
      <c r="BC334" s="7"/>
      <c r="BD334" s="7"/>
      <c r="BE334" s="7"/>
      <c r="BF334" s="7"/>
      <c r="BG334" s="7"/>
    </row>
    <row r="335" customHeight="1" spans="1:59">
      <c r="A335" s="9" t="str">
        <f>IFERROR(__xludf.DUMMYFUNCTION("""COMPUTED_VALUE"""),"Euterpe 15")</f>
        <v>Euterpe 15</v>
      </c>
      <c r="B335" s="5" t="str">
        <f>IFERROR(__xludf.DUMMYFUNCTION("""COMPUTED_VALUE"""),"Euterpe 22")</f>
        <v>Euterpe 22</v>
      </c>
      <c r="C335" s="5" t="str">
        <f>IFERROR(__xludf.DUMMYFUNCTION("""COMPUTED_VALUE"""),"Euterpe 06")</f>
        <v>Euterpe 06</v>
      </c>
      <c r="D335" s="5" t="str">
        <f>IFERROR(__xludf.DUMMYFUNCTION("""COMPUTED_VALUE"""),"Caterpillar Wreck 42L")</f>
        <v>Caterpillar Wreck 42L</v>
      </c>
      <c r="E335" s="7" t="str">
        <f>IFERROR(__xludf.DUMMYFUNCTION("""COMPUTED_VALUE"""),"Caterpillar 42L")</f>
        <v>Caterpillar 42L</v>
      </c>
      <c r="F335" s="11">
        <f>IFERROR(__xludf.DUMMYFUNCTION("""COMPUTED_VALUE"""),67.3678652659999)</f>
        <v>67.3678652659999</v>
      </c>
      <c r="G335" s="11">
        <f>IFERROR(__xludf.DUMMYFUNCTION("""COMPUTED_VALUE"""),196.702697515999)</f>
        <v>196.702697515999</v>
      </c>
      <c r="H335" s="11">
        <f>IFERROR(__xludf.DUMMYFUNCTION("""COMPUTED_VALUE"""),-47.2032447479999)</f>
        <v>-47.2032447479999</v>
      </c>
      <c r="I335" s="15"/>
      <c r="J335" s="15"/>
      <c r="K335" s="15"/>
      <c r="L335" s="15"/>
      <c r="M335" s="7" t="b">
        <f>IFERROR(__xludf.DUMMYFUNCTION("""COMPUTED_VALUE"""),FALSE)</f>
        <v>0</v>
      </c>
      <c r="N335" s="10">
        <f>IFERROR(__xludf.DUMMYFUNCTION("""COMPUTED_VALUE"""),0)</f>
        <v>0</v>
      </c>
      <c r="O335" s="10">
        <f>IFERROR(__xludf.DUMMYFUNCTION("""COMPUTED_VALUE"""),0)</f>
        <v>0</v>
      </c>
      <c r="P335" s="8"/>
      <c r="Q335" s="7"/>
      <c r="R335" s="16"/>
      <c r="S335" s="17"/>
      <c r="T335" s="8"/>
      <c r="U335" s="8"/>
      <c r="V335" s="22"/>
      <c r="W335" s="12"/>
      <c r="X335" s="12"/>
      <c r="Y335" s="12"/>
      <c r="Z335" s="12"/>
      <c r="AA335" s="7"/>
      <c r="AB335" s="12"/>
      <c r="AC335" s="6"/>
      <c r="AD335" s="6"/>
      <c r="AE335" s="7"/>
      <c r="AF335" s="7"/>
      <c r="AG335" s="7"/>
      <c r="AH335" s="7"/>
      <c r="AI335" s="7"/>
      <c r="AJ335" s="7"/>
      <c r="AK335" s="7"/>
      <c r="AL335" s="7"/>
      <c r="AM335" s="7"/>
      <c r="AN335" s="7"/>
      <c r="AO335" s="6"/>
      <c r="AP335" s="7"/>
      <c r="AQ335" s="7"/>
      <c r="AR335" s="6"/>
      <c r="AS335" s="7"/>
      <c r="AT335" s="7"/>
      <c r="AU335" s="7"/>
      <c r="AV335" s="7"/>
      <c r="AW335" s="7"/>
      <c r="AX335" s="7"/>
      <c r="AY335" s="7"/>
      <c r="AZ335" s="7"/>
      <c r="BA335" s="7"/>
      <c r="BB335" s="7"/>
      <c r="BC335" s="7"/>
      <c r="BD335" s="7"/>
      <c r="BE335" s="7"/>
      <c r="BF335" s="7"/>
      <c r="BG335" s="7"/>
    </row>
    <row r="336" customHeight="1" spans="1:59">
      <c r="A336" s="9" t="str">
        <f>IFERROR(__xludf.DUMMYFUNCTION("""COMPUTED_VALUE"""),"Euterpe 12")</f>
        <v>Euterpe 12</v>
      </c>
      <c r="B336" s="5" t="str">
        <f>IFERROR(__xludf.DUMMYFUNCTION("""COMPUTED_VALUE"""),"Euterpe 19")</f>
        <v>Euterpe 19</v>
      </c>
      <c r="C336" s="5" t="str">
        <f>IFERROR(__xludf.DUMMYFUNCTION("""COMPUTED_VALUE"""),"Euterpe 11")</f>
        <v>Euterpe 11</v>
      </c>
      <c r="D336" s="5" t="str">
        <f>IFERROR(__xludf.DUMMYFUNCTION("""COMPUTED_VALUE"""),"Caterpillar Wreck 32K")</f>
        <v>Caterpillar Wreck 32K</v>
      </c>
      <c r="E336" s="7" t="str">
        <f>IFERROR(__xludf.DUMMYFUNCTION("""COMPUTED_VALUE"""),"Caterpillar 32K")</f>
        <v>Caterpillar 32K</v>
      </c>
      <c r="F336" s="11">
        <f>IFERROR(__xludf.DUMMYFUNCTION("""COMPUTED_VALUE"""),200.332125857)</f>
        <v>200.332125857</v>
      </c>
      <c r="G336" s="11">
        <f>IFERROR(__xludf.DUMMYFUNCTION("""COMPUTED_VALUE"""),34.4665001469999)</f>
        <v>34.4665001469999</v>
      </c>
      <c r="H336" s="11">
        <f>IFERROR(__xludf.DUMMYFUNCTION("""COMPUTED_VALUE"""),-65.065043247)</f>
        <v>-65.065043247</v>
      </c>
      <c r="I336" s="15"/>
      <c r="J336" s="15"/>
      <c r="K336" s="15"/>
      <c r="L336" s="15"/>
      <c r="M336" s="7" t="b">
        <f>IFERROR(__xludf.DUMMYFUNCTION("""COMPUTED_VALUE"""),FALSE)</f>
        <v>0</v>
      </c>
      <c r="N336" s="10">
        <f>IFERROR(__xludf.DUMMYFUNCTION("""COMPUTED_VALUE"""),0)</f>
        <v>0</v>
      </c>
      <c r="O336" s="10">
        <f>IFERROR(__xludf.DUMMYFUNCTION("""COMPUTED_VALUE"""),0)</f>
        <v>0</v>
      </c>
      <c r="P336" s="8"/>
      <c r="Q336" s="7"/>
      <c r="R336" s="16"/>
      <c r="S336" s="17"/>
      <c r="T336" s="8"/>
      <c r="U336" s="8"/>
      <c r="V336" s="22"/>
      <c r="W336" s="12"/>
      <c r="X336" s="12"/>
      <c r="Y336" s="12"/>
      <c r="Z336" s="12"/>
      <c r="AA336" s="7"/>
      <c r="AB336" s="12"/>
      <c r="AC336" s="6"/>
      <c r="AD336" s="6"/>
      <c r="AE336" s="7"/>
      <c r="AF336" s="7"/>
      <c r="AG336" s="7"/>
      <c r="AH336" s="7"/>
      <c r="AI336" s="7"/>
      <c r="AJ336" s="7"/>
      <c r="AK336" s="7"/>
      <c r="AL336" s="7"/>
      <c r="AM336" s="7"/>
      <c r="AN336" s="7"/>
      <c r="AO336" s="6"/>
      <c r="AP336" s="7"/>
      <c r="AQ336" s="7"/>
      <c r="AR336" s="6"/>
      <c r="AS336" s="7"/>
      <c r="AT336" s="7"/>
      <c r="AU336" s="7"/>
      <c r="AV336" s="7"/>
      <c r="AW336" s="7"/>
      <c r="AX336" s="7"/>
      <c r="AY336" s="7"/>
      <c r="AZ336" s="7"/>
      <c r="BA336" s="7"/>
      <c r="BB336" s="7"/>
      <c r="BC336" s="7"/>
      <c r="BD336" s="7"/>
      <c r="BE336" s="7"/>
      <c r="BF336" s="7"/>
      <c r="BG336" s="7"/>
    </row>
    <row r="337" customHeight="1" spans="1:59">
      <c r="A337" s="9" t="str">
        <f>IFERROR(__xludf.DUMMYFUNCTION("""COMPUTED_VALUE"""),"Euterpe 13")</f>
        <v>Euterpe 13</v>
      </c>
      <c r="B337" s="5" t="str">
        <f>IFERROR(__xludf.DUMMYFUNCTION("""COMPUTED_VALUE"""),"Euterpe 20")</f>
        <v>Euterpe 20</v>
      </c>
      <c r="C337" s="5" t="str">
        <f>IFERROR(__xludf.DUMMYFUNCTION("""COMPUTED_VALUE"""),"Euterpe 10")</f>
        <v>Euterpe 10</v>
      </c>
      <c r="D337" s="5" t="str">
        <f>IFERROR(__xludf.DUMMYFUNCTION("""COMPUTED_VALUE"""),"Caterpillar Wreck 34J")</f>
        <v>Caterpillar Wreck 34J</v>
      </c>
      <c r="E337" s="7" t="str">
        <f>IFERROR(__xludf.DUMMYFUNCTION("""COMPUTED_VALUE"""),"Caterpillar 34J")</f>
        <v>Caterpillar 34J</v>
      </c>
      <c r="F337" s="11">
        <f>IFERROR(__xludf.DUMMYFUNCTION("""COMPUTED_VALUE"""),180.073769402)</f>
        <v>180.073769402</v>
      </c>
      <c r="G337" s="11">
        <f>IFERROR(__xludf.DUMMYFUNCTION("""COMPUTED_VALUE"""),69.715079587)</f>
        <v>69.715079587</v>
      </c>
      <c r="H337" s="11">
        <f>IFERROR(__xludf.DUMMYFUNCTION("""COMPUTED_VALUE"""),-90.120330015)</f>
        <v>-90.120330015</v>
      </c>
      <c r="I337" s="15"/>
      <c r="J337" s="15"/>
      <c r="K337" s="15"/>
      <c r="L337" s="15"/>
      <c r="M337" s="7" t="b">
        <f>IFERROR(__xludf.DUMMYFUNCTION("""COMPUTED_VALUE"""),FALSE)</f>
        <v>0</v>
      </c>
      <c r="N337" s="10">
        <f>IFERROR(__xludf.DUMMYFUNCTION("""COMPUTED_VALUE"""),0)</f>
        <v>0</v>
      </c>
      <c r="O337" s="10">
        <f>IFERROR(__xludf.DUMMYFUNCTION("""COMPUTED_VALUE"""),0)</f>
        <v>0</v>
      </c>
      <c r="P337" s="8"/>
      <c r="Q337" s="7"/>
      <c r="R337" s="16"/>
      <c r="S337" s="17"/>
      <c r="T337" s="8"/>
      <c r="U337" s="8"/>
      <c r="V337" s="22"/>
      <c r="W337" s="12"/>
      <c r="X337" s="12"/>
      <c r="Y337" s="12"/>
      <c r="Z337" s="12"/>
      <c r="AA337" s="7"/>
      <c r="AB337" s="12"/>
      <c r="AC337" s="6"/>
      <c r="AD337" s="6"/>
      <c r="AE337" s="7"/>
      <c r="AF337" s="7"/>
      <c r="AG337" s="7"/>
      <c r="AH337" s="7"/>
      <c r="AI337" s="7"/>
      <c r="AJ337" s="7"/>
      <c r="AK337" s="7"/>
      <c r="AL337" s="7"/>
      <c r="AM337" s="7"/>
      <c r="AN337" s="7"/>
      <c r="AO337" s="6"/>
      <c r="AP337" s="7"/>
      <c r="AQ337" s="7"/>
      <c r="AR337" s="6"/>
      <c r="AS337" s="7"/>
      <c r="AT337" s="7"/>
      <c r="AU337" s="7"/>
      <c r="AV337" s="7"/>
      <c r="AW337" s="7"/>
      <c r="AX337" s="7"/>
      <c r="AY337" s="7"/>
      <c r="AZ337" s="7"/>
      <c r="BA337" s="7"/>
      <c r="BB337" s="7"/>
      <c r="BC337" s="7"/>
      <c r="BD337" s="7"/>
      <c r="BE337" s="7"/>
      <c r="BF337" s="7"/>
      <c r="BG337" s="7"/>
    </row>
    <row r="338" customHeight="1" spans="1:59">
      <c r="A338" s="9" t="str">
        <f>IFERROR(__xludf.DUMMYFUNCTION("""COMPUTED_VALUE"""),"Euterpe 11")</f>
        <v>Euterpe 11</v>
      </c>
      <c r="B338" s="5" t="str">
        <f>IFERROR(__xludf.DUMMYFUNCTION("""COMPUTED_VALUE"""),"Euterpe 18")</f>
        <v>Euterpe 18</v>
      </c>
      <c r="C338" s="5" t="str">
        <f>IFERROR(__xludf.DUMMYFUNCTION("""COMPUTED_VALUE"""),"Euterpe 13")</f>
        <v>Euterpe 13</v>
      </c>
      <c r="D338" s="5" t="str">
        <f>IFERROR(__xludf.DUMMYFUNCTION("""COMPUTED_VALUE"""),"Caterpillar Wreck 27G")</f>
        <v>Caterpillar Wreck 27G</v>
      </c>
      <c r="E338" s="7" t="str">
        <f>IFERROR(__xludf.DUMMYFUNCTION("""COMPUTED_VALUE"""),"Caterpillar 27G")</f>
        <v>Caterpillar 27G</v>
      </c>
      <c r="F338" s="11">
        <f>IFERROR(__xludf.DUMMYFUNCTION("""COMPUTED_VALUE"""),145.497496415)</f>
        <v>145.497496415</v>
      </c>
      <c r="G338" s="11">
        <f>IFERROR(__xludf.DUMMYFUNCTION("""COMPUTED_VALUE"""),-63.948392956)</f>
        <v>-63.948392956</v>
      </c>
      <c r="H338" s="11">
        <f>IFERROR(__xludf.DUMMYFUNCTION("""COMPUTED_VALUE"""),-142.485902739999)</f>
        <v>-142.485902739999</v>
      </c>
      <c r="I338" s="15"/>
      <c r="J338" s="15"/>
      <c r="K338" s="15"/>
      <c r="L338" s="15"/>
      <c r="M338" s="7" t="b">
        <f>IFERROR(__xludf.DUMMYFUNCTION("""COMPUTED_VALUE"""),FALSE)</f>
        <v>0</v>
      </c>
      <c r="N338" s="10">
        <f>IFERROR(__xludf.DUMMYFUNCTION("""COMPUTED_VALUE"""),0)</f>
        <v>0</v>
      </c>
      <c r="O338" s="10">
        <f>IFERROR(__xludf.DUMMYFUNCTION("""COMPUTED_VALUE"""),0)</f>
        <v>0</v>
      </c>
      <c r="P338" s="8"/>
      <c r="Q338" s="7"/>
      <c r="R338" s="16"/>
      <c r="S338" s="17"/>
      <c r="T338" s="8"/>
      <c r="U338" s="8"/>
      <c r="V338" s="22"/>
      <c r="W338" s="12"/>
      <c r="X338" s="12"/>
      <c r="Y338" s="12"/>
      <c r="Z338" s="12"/>
      <c r="AA338" s="7"/>
      <c r="AB338" s="12"/>
      <c r="AC338" s="6"/>
      <c r="AD338" s="6"/>
      <c r="AE338" s="7"/>
      <c r="AF338" s="7"/>
      <c r="AG338" s="7"/>
      <c r="AH338" s="7"/>
      <c r="AI338" s="7"/>
      <c r="AJ338" s="7"/>
      <c r="AK338" s="7"/>
      <c r="AL338" s="7"/>
      <c r="AM338" s="7"/>
      <c r="AN338" s="7"/>
      <c r="AO338" s="6"/>
      <c r="AP338" s="7"/>
      <c r="AQ338" s="7"/>
      <c r="AR338" s="6"/>
      <c r="AS338" s="7"/>
      <c r="AT338" s="7"/>
      <c r="AU338" s="7"/>
      <c r="AV338" s="7"/>
      <c r="AW338" s="7"/>
      <c r="AX338" s="7"/>
      <c r="AY338" s="7"/>
      <c r="AZ338" s="7"/>
      <c r="BA338" s="7"/>
      <c r="BB338" s="7"/>
      <c r="BC338" s="7"/>
      <c r="BD338" s="7"/>
      <c r="BE338" s="7"/>
      <c r="BF338" s="7"/>
      <c r="BG338" s="7"/>
    </row>
    <row r="339" customHeight="1" spans="1:59">
      <c r="A339" s="9" t="str">
        <f>IFERROR(__xludf.DUMMYFUNCTION("""COMPUTED_VALUE"""),"Euterpe 16")</f>
        <v>Euterpe 16</v>
      </c>
      <c r="B339" s="5" t="str">
        <f>IFERROR(__xludf.DUMMYFUNCTION("""COMPUTED_VALUE"""),"Euterpe 23")</f>
        <v>Euterpe 23</v>
      </c>
      <c r="C339" s="5" t="str">
        <f>IFERROR(__xludf.DUMMYFUNCTION("""COMPUTED_VALUE"""),"Euterpe 26")</f>
        <v>Euterpe 26</v>
      </c>
      <c r="D339" s="5" t="str">
        <f>IFERROR(__xludf.DUMMYFUNCTION("""COMPUTED_VALUE"""),"Freelancer Wreck 01N")</f>
        <v>Freelancer Wreck 01N</v>
      </c>
      <c r="E339" s="7" t="str">
        <f>IFERROR(__xludf.DUMMYFUNCTION("""COMPUTED_VALUE"""),"Freelancer 01N")</f>
        <v>Freelancer 01N</v>
      </c>
      <c r="F339" s="11">
        <f>IFERROR(__xludf.DUMMYFUNCTION("""COMPUTED_VALUE"""),-213.175026501999)</f>
        <v>-213.175026501999</v>
      </c>
      <c r="G339" s="11">
        <f>IFERROR(__xludf.DUMMYFUNCTION("""COMPUTED_VALUE"""),-2.542600041)</f>
        <v>-2.542600041</v>
      </c>
      <c r="H339" s="11">
        <f>IFERROR(__xludf.DUMMYFUNCTION("""COMPUTED_VALUE"""),7.97619904099998)</f>
        <v>7.97619904099998</v>
      </c>
      <c r="I339" s="15"/>
      <c r="J339" s="15"/>
      <c r="K339" s="15"/>
      <c r="L339" s="15"/>
      <c r="M339" s="7" t="b">
        <f>IFERROR(__xludf.DUMMYFUNCTION("""COMPUTED_VALUE"""),FALSE)</f>
        <v>0</v>
      </c>
      <c r="N339" s="10">
        <f>IFERROR(__xludf.DUMMYFUNCTION("""COMPUTED_VALUE"""),0)</f>
        <v>0</v>
      </c>
      <c r="O339" s="10">
        <f>IFERROR(__xludf.DUMMYFUNCTION("""COMPUTED_VALUE"""),0)</f>
        <v>0</v>
      </c>
      <c r="P339" s="8"/>
      <c r="Q339" s="7"/>
      <c r="R339" s="16"/>
      <c r="S339" s="17"/>
      <c r="T339" s="8"/>
      <c r="U339" s="8"/>
      <c r="V339" s="22"/>
      <c r="W339" s="12"/>
      <c r="X339" s="12"/>
      <c r="Y339" s="12"/>
      <c r="Z339" s="12"/>
      <c r="AA339" s="7"/>
      <c r="AB339" s="12"/>
      <c r="AC339" s="6"/>
      <c r="AD339" s="6"/>
      <c r="AE339" s="7"/>
      <c r="AF339" s="7"/>
      <c r="AG339" s="7"/>
      <c r="AH339" s="7"/>
      <c r="AI339" s="7"/>
      <c r="AJ339" s="7"/>
      <c r="AK339" s="7"/>
      <c r="AL339" s="7"/>
      <c r="AM339" s="7"/>
      <c r="AN339" s="7"/>
      <c r="AO339" s="6"/>
      <c r="AP339" s="7"/>
      <c r="AQ339" s="7"/>
      <c r="AR339" s="6"/>
      <c r="AS339" s="7"/>
      <c r="AT339" s="7"/>
      <c r="AU339" s="7"/>
      <c r="AV339" s="7"/>
      <c r="AW339" s="7"/>
      <c r="AX339" s="7"/>
      <c r="AY339" s="7"/>
      <c r="AZ339" s="7"/>
      <c r="BA339" s="7"/>
      <c r="BB339" s="7"/>
      <c r="BC339" s="7"/>
      <c r="BD339" s="7"/>
      <c r="BE339" s="7"/>
      <c r="BF339" s="7"/>
      <c r="BG339" s="7"/>
    </row>
    <row r="340" customHeight="1" spans="1:59">
      <c r="A340" s="9" t="str">
        <f>IFERROR(__xludf.DUMMYFUNCTION("""COMPUTED_VALUE"""),"Euterpe 17")</f>
        <v>Euterpe 17</v>
      </c>
      <c r="B340" s="5" t="str">
        <f>IFERROR(__xludf.DUMMYFUNCTION("""COMPUTED_VALUE"""),"Euterpe 24")</f>
        <v>Euterpe 24</v>
      </c>
      <c r="C340" s="5" t="str">
        <f>IFERROR(__xludf.DUMMYFUNCTION("""COMPUTED_VALUE"""),"Euterpe 19")</f>
        <v>Euterpe 19</v>
      </c>
      <c r="D340" s="5" t="str">
        <f>IFERROR(__xludf.DUMMYFUNCTION("""COMPUTED_VALUE"""),"Freelancer Wreck 16K")</f>
        <v>Freelancer Wreck 16K</v>
      </c>
      <c r="E340" s="7" t="str">
        <f>IFERROR(__xludf.DUMMYFUNCTION("""COMPUTED_VALUE"""),"Freelancer 16K")</f>
        <v>Freelancer 16K</v>
      </c>
      <c r="F340" s="11">
        <f>IFERROR(__xludf.DUMMYFUNCTION("""COMPUTED_VALUE"""),4.194549629)</f>
        <v>4.194549629</v>
      </c>
      <c r="G340" s="11">
        <f>IFERROR(__xludf.DUMMYFUNCTION("""COMPUTED_VALUE"""),-200.346448605)</f>
        <v>-200.346448605</v>
      </c>
      <c r="H340" s="11">
        <f>IFERROR(__xludf.DUMMYFUNCTION("""COMPUTED_VALUE"""),-73.423679155)</f>
        <v>-73.423679155</v>
      </c>
      <c r="I340" s="15"/>
      <c r="J340" s="15"/>
      <c r="K340" s="15"/>
      <c r="L340" s="15"/>
      <c r="M340" s="7" t="b">
        <f>IFERROR(__xludf.DUMMYFUNCTION("""COMPUTED_VALUE"""),FALSE)</f>
        <v>0</v>
      </c>
      <c r="N340" s="10">
        <f>IFERROR(__xludf.DUMMYFUNCTION("""COMPUTED_VALUE"""),0)</f>
        <v>0</v>
      </c>
      <c r="O340" s="10">
        <f>IFERROR(__xludf.DUMMYFUNCTION("""COMPUTED_VALUE"""),0)</f>
        <v>0</v>
      </c>
      <c r="P340" s="8"/>
      <c r="Q340" s="7"/>
      <c r="R340" s="16"/>
      <c r="S340" s="17"/>
      <c r="T340" s="8"/>
      <c r="U340" s="8"/>
      <c r="V340" s="22"/>
      <c r="W340" s="12"/>
      <c r="X340" s="12"/>
      <c r="Y340" s="12"/>
      <c r="Z340" s="12"/>
      <c r="AA340" s="7"/>
      <c r="AB340" s="12"/>
      <c r="AC340" s="6"/>
      <c r="AD340" s="6"/>
      <c r="AE340" s="7"/>
      <c r="AF340" s="7"/>
      <c r="AG340" s="7"/>
      <c r="AH340" s="7"/>
      <c r="AI340" s="7"/>
      <c r="AJ340" s="7"/>
      <c r="AK340" s="7"/>
      <c r="AL340" s="7"/>
      <c r="AM340" s="7"/>
      <c r="AN340" s="7"/>
      <c r="AO340" s="6"/>
      <c r="AP340" s="7"/>
      <c r="AQ340" s="7"/>
      <c r="AR340" s="6"/>
      <c r="AS340" s="7"/>
      <c r="AT340" s="7"/>
      <c r="AU340" s="7"/>
      <c r="AV340" s="7"/>
      <c r="AW340" s="7"/>
      <c r="AX340" s="7"/>
      <c r="AY340" s="7"/>
      <c r="AZ340" s="7"/>
      <c r="BA340" s="7"/>
      <c r="BB340" s="7"/>
      <c r="BC340" s="7"/>
      <c r="BD340" s="7"/>
      <c r="BE340" s="7"/>
      <c r="BF340" s="7"/>
      <c r="BG340" s="7"/>
    </row>
    <row r="341" customHeight="1" spans="1:59">
      <c r="A341" s="9" t="str">
        <f>IFERROR(__xludf.DUMMYFUNCTION("""COMPUTED_VALUE"""),"Euterpe 18")</f>
        <v>Euterpe 18</v>
      </c>
      <c r="B341" s="5" t="str">
        <f>IFERROR(__xludf.DUMMYFUNCTION("""COMPUTED_VALUE"""),"Euterpe 25")</f>
        <v>Euterpe 25</v>
      </c>
      <c r="C341" s="5" t="str">
        <f>IFERROR(__xludf.DUMMYFUNCTION("""COMPUTED_VALUE"""),"Euterpe 16")</f>
        <v>Euterpe 16</v>
      </c>
      <c r="D341" s="5" t="str">
        <f>IFERROR(__xludf.DUMMYFUNCTION("""COMPUTED_VALUE"""),"Freelancer Wreck 22K")</f>
        <v>Freelancer Wreck 22K</v>
      </c>
      <c r="E341" s="7" t="str">
        <f>IFERROR(__xludf.DUMMYFUNCTION("""COMPUTED_VALUE"""),"Freelancer 22K")</f>
        <v>Freelancer 22K</v>
      </c>
      <c r="F341" s="11">
        <f>IFERROR(__xludf.DUMMYFUNCTION("""COMPUTED_VALUE"""),116.97603043)</f>
        <v>116.97603043</v>
      </c>
      <c r="G341" s="11">
        <f>IFERROR(__xludf.DUMMYFUNCTION("""COMPUTED_VALUE"""),-158.184498891)</f>
        <v>-158.184498891</v>
      </c>
      <c r="H341" s="11">
        <f>IFERROR(__xludf.DUMMYFUNCTION("""COMPUTED_VALUE"""),-82.04939005)</f>
        <v>-82.04939005</v>
      </c>
      <c r="I341" s="15"/>
      <c r="J341" s="15"/>
      <c r="K341" s="15"/>
      <c r="L341" s="15"/>
      <c r="M341" s="7" t="b">
        <f>IFERROR(__xludf.DUMMYFUNCTION("""COMPUTED_VALUE"""),FALSE)</f>
        <v>0</v>
      </c>
      <c r="N341" s="10">
        <f>IFERROR(__xludf.DUMMYFUNCTION("""COMPUTED_VALUE"""),0)</f>
        <v>0</v>
      </c>
      <c r="O341" s="10">
        <f>IFERROR(__xludf.DUMMYFUNCTION("""COMPUTED_VALUE"""),0)</f>
        <v>0</v>
      </c>
      <c r="P341" s="8"/>
      <c r="Q341" s="7"/>
      <c r="R341" s="16"/>
      <c r="S341" s="17"/>
      <c r="T341" s="8"/>
      <c r="U341" s="8"/>
      <c r="V341" s="22"/>
      <c r="W341" s="12"/>
      <c r="X341" s="12"/>
      <c r="Y341" s="12"/>
      <c r="Z341" s="12"/>
      <c r="AA341" s="7"/>
      <c r="AB341" s="12"/>
      <c r="AC341" s="6"/>
      <c r="AD341" s="6"/>
      <c r="AE341" s="7"/>
      <c r="AF341" s="7"/>
      <c r="AG341" s="7"/>
      <c r="AH341" s="7"/>
      <c r="AI341" s="7"/>
      <c r="AJ341" s="7"/>
      <c r="AK341" s="7"/>
      <c r="AL341" s="7"/>
      <c r="AM341" s="7"/>
      <c r="AN341" s="7"/>
      <c r="AO341" s="6"/>
      <c r="AP341" s="7"/>
      <c r="AQ341" s="7"/>
      <c r="AR341" s="6"/>
      <c r="AS341" s="7"/>
      <c r="AT341" s="7"/>
      <c r="AU341" s="7"/>
      <c r="AV341" s="7"/>
      <c r="AW341" s="7"/>
      <c r="AX341" s="7"/>
      <c r="AY341" s="7"/>
      <c r="AZ341" s="7"/>
      <c r="BA341" s="7"/>
      <c r="BB341" s="7"/>
      <c r="BC341" s="7"/>
      <c r="BD341" s="7"/>
      <c r="BE341" s="7"/>
      <c r="BF341" s="7"/>
      <c r="BG341" s="7"/>
    </row>
    <row r="342" customHeight="1" spans="1:59">
      <c r="A342" s="9" t="str">
        <f>IFERROR(__xludf.DUMMYFUNCTION("""COMPUTED_VALUE"""),"Euterpe 19")</f>
        <v>Euterpe 19</v>
      </c>
      <c r="B342" s="5" t="str">
        <f>IFERROR(__xludf.DUMMYFUNCTION("""COMPUTED_VALUE"""),"Euterpe 26")</f>
        <v>Euterpe 26</v>
      </c>
      <c r="C342" s="5" t="str">
        <f>IFERROR(__xludf.DUMMYFUNCTION("""COMPUTED_VALUE"""),"Euterpe 15")</f>
        <v>Euterpe 15</v>
      </c>
      <c r="D342" s="5" t="str">
        <f>IFERROR(__xludf.DUMMYFUNCTION("""COMPUTED_VALUE"""),"Freelancer Wreck 25H")</f>
        <v>Freelancer Wreck 25H</v>
      </c>
      <c r="E342" s="7" t="str">
        <f>IFERROR(__xludf.DUMMYFUNCTION("""COMPUTED_VALUE"""),"Freelancer 25H")</f>
        <v>Freelancer 25H</v>
      </c>
      <c r="F342" s="11">
        <f>IFERROR(__xludf.DUMMYFUNCTION("""COMPUTED_VALUE"""),138.738005785999)</f>
        <v>138.738005785999</v>
      </c>
      <c r="G342" s="11">
        <f>IFERROR(__xludf.DUMMYFUNCTION("""COMPUTED_VALUE"""),-91.0303397339999)</f>
        <v>-91.0303397339999</v>
      </c>
      <c r="H342" s="11">
        <f>IFERROR(__xludf.DUMMYFUNCTION("""COMPUTED_VALUE"""),-134.408943105)</f>
        <v>-134.408943105</v>
      </c>
      <c r="I342" s="15"/>
      <c r="J342" s="15"/>
      <c r="K342" s="15"/>
      <c r="L342" s="15"/>
      <c r="M342" s="7" t="b">
        <f>IFERROR(__xludf.DUMMYFUNCTION("""COMPUTED_VALUE"""),FALSE)</f>
        <v>0</v>
      </c>
      <c r="N342" s="10">
        <f>IFERROR(__xludf.DUMMYFUNCTION("""COMPUTED_VALUE"""),0)</f>
        <v>0</v>
      </c>
      <c r="O342" s="10">
        <f>IFERROR(__xludf.DUMMYFUNCTION("""COMPUTED_VALUE"""),0)</f>
        <v>0</v>
      </c>
      <c r="P342" s="8"/>
      <c r="Q342" s="7"/>
      <c r="R342" s="16"/>
      <c r="S342" s="17"/>
      <c r="T342" s="8"/>
      <c r="U342" s="8"/>
      <c r="V342" s="22"/>
      <c r="W342" s="12"/>
      <c r="X342" s="12"/>
      <c r="Y342" s="12"/>
      <c r="Z342" s="12"/>
      <c r="AA342" s="7"/>
      <c r="AB342" s="12"/>
      <c r="AC342" s="6"/>
      <c r="AD342" s="6"/>
      <c r="AE342" s="7"/>
      <c r="AF342" s="7"/>
      <c r="AG342" s="7"/>
      <c r="AH342" s="7"/>
      <c r="AI342" s="7"/>
      <c r="AJ342" s="7"/>
      <c r="AK342" s="7"/>
      <c r="AL342" s="7"/>
      <c r="AM342" s="7"/>
      <c r="AN342" s="7"/>
      <c r="AO342" s="6"/>
      <c r="AP342" s="7"/>
      <c r="AQ342" s="7"/>
      <c r="AR342" s="6"/>
      <c r="AS342" s="7"/>
      <c r="AT342" s="7"/>
      <c r="AU342" s="7"/>
      <c r="AV342" s="7"/>
      <c r="AW342" s="7"/>
      <c r="AX342" s="7"/>
      <c r="AY342" s="7"/>
      <c r="AZ342" s="7"/>
      <c r="BA342" s="7"/>
      <c r="BB342" s="7"/>
      <c r="BC342" s="7"/>
      <c r="BD342" s="7"/>
      <c r="BE342" s="7"/>
      <c r="BF342" s="7"/>
      <c r="BG342" s="7"/>
    </row>
    <row r="343" customHeight="1" spans="1:59">
      <c r="A343" s="9" t="str">
        <f>IFERROR(__xludf.DUMMYFUNCTION("""COMPUTED_VALUE"""),"Euterpe 22")</f>
        <v>Euterpe 22</v>
      </c>
      <c r="B343" s="5" t="str">
        <f>IFERROR(__xludf.DUMMYFUNCTION("""COMPUTED_VALUE"""),"Euterpe 29")</f>
        <v>Euterpe 29</v>
      </c>
      <c r="C343" s="5" t="str">
        <f>IFERROR(__xludf.DUMMYFUNCTION("""COMPUTED_VALUE"""),"Euterpe 21")</f>
        <v>Euterpe 21</v>
      </c>
      <c r="D343" s="5" t="str">
        <f>IFERROR(__xludf.DUMMYFUNCTION("""COMPUTED_VALUE"""),"Starfarer Wreck 15P")</f>
        <v>Starfarer Wreck 15P</v>
      </c>
      <c r="E343" s="7" t="str">
        <f>IFERROR(__xludf.DUMMYFUNCTION("""COMPUTED_VALUE"""),"Starfarer 15P")</f>
        <v>Starfarer 15P</v>
      </c>
      <c r="F343" s="11">
        <f>IFERROR(__xludf.DUMMYFUNCTION("""COMPUTED_VALUE"""),-12.139745413)</f>
        <v>-12.139745413</v>
      </c>
      <c r="G343" s="11">
        <f>IFERROR(__xludf.DUMMYFUNCTION("""COMPUTED_VALUE"""),-209.637661365)</f>
        <v>-209.637661365</v>
      </c>
      <c r="H343" s="11">
        <f>IFERROR(__xludf.DUMMYFUNCTION("""COMPUTED_VALUE"""),36.040274317)</f>
        <v>36.040274317</v>
      </c>
      <c r="I343" s="15"/>
      <c r="J343" s="15"/>
      <c r="K343" s="15"/>
      <c r="L343" s="15"/>
      <c r="M343" s="7" t="b">
        <f>IFERROR(__xludf.DUMMYFUNCTION("""COMPUTED_VALUE"""),FALSE)</f>
        <v>0</v>
      </c>
      <c r="N343" s="10">
        <f>IFERROR(__xludf.DUMMYFUNCTION("""COMPUTED_VALUE"""),0)</f>
        <v>0</v>
      </c>
      <c r="O343" s="10">
        <f>IFERROR(__xludf.DUMMYFUNCTION("""COMPUTED_VALUE"""),0)</f>
        <v>0</v>
      </c>
      <c r="P343" s="8"/>
      <c r="Q343" s="7"/>
      <c r="R343" s="16"/>
      <c r="S343" s="17"/>
      <c r="T343" s="8"/>
      <c r="U343" s="8"/>
      <c r="V343" s="22"/>
      <c r="W343" s="12"/>
      <c r="X343" s="12"/>
      <c r="Y343" s="12"/>
      <c r="Z343" s="12"/>
      <c r="AA343" s="7"/>
      <c r="AB343" s="12"/>
      <c r="AC343" s="6"/>
      <c r="AD343" s="6"/>
      <c r="AE343" s="7"/>
      <c r="AF343" s="7"/>
      <c r="AG343" s="7"/>
      <c r="AH343" s="7"/>
      <c r="AI343" s="7"/>
      <c r="AJ343" s="7"/>
      <c r="AK343" s="7"/>
      <c r="AL343" s="7"/>
      <c r="AM343" s="7"/>
      <c r="AN343" s="7"/>
      <c r="AO343" s="6"/>
      <c r="AP343" s="7"/>
      <c r="AQ343" s="7"/>
      <c r="AR343" s="6"/>
      <c r="AS343" s="7"/>
      <c r="AT343" s="7"/>
      <c r="AU343" s="7"/>
      <c r="AV343" s="7"/>
      <c r="AW343" s="7"/>
      <c r="AX343" s="7"/>
      <c r="AY343" s="7"/>
      <c r="AZ343" s="7"/>
      <c r="BA343" s="7"/>
      <c r="BB343" s="7"/>
      <c r="BC343" s="7"/>
      <c r="BD343" s="7"/>
      <c r="BE343" s="7"/>
      <c r="BF343" s="7"/>
      <c r="BG343" s="7"/>
    </row>
    <row r="344" customHeight="1" spans="1:59">
      <c r="A344" s="9" t="str">
        <f>IFERROR(__xludf.DUMMYFUNCTION("""COMPUTED_VALUE"""),"Euterpe 23")</f>
        <v>Euterpe 23</v>
      </c>
      <c r="B344" s="5" t="str">
        <f>IFERROR(__xludf.DUMMYFUNCTION("""COMPUTED_VALUE"""),"Euterpe 30")</f>
        <v>Euterpe 30</v>
      </c>
      <c r="C344" s="5" t="str">
        <f>IFERROR(__xludf.DUMMYFUNCTION("""COMPUTED_VALUE"""),"Euterpe 18")</f>
        <v>Euterpe 18</v>
      </c>
      <c r="D344" s="5" t="str">
        <f>IFERROR(__xludf.DUMMYFUNCTION("""COMPUTED_VALUE"""),"Starfarer Wreck 18S")</f>
        <v>Starfarer Wreck 18S</v>
      </c>
      <c r="E344" s="7" t="str">
        <f>IFERROR(__xludf.DUMMYFUNCTION("""COMPUTED_VALUE"""),"Starfarer 18S")</f>
        <v>Starfarer 18S</v>
      </c>
      <c r="F344" s="11">
        <f>IFERROR(__xludf.DUMMYFUNCTION("""COMPUTED_VALUE"""),44.457566959)</f>
        <v>44.457566959</v>
      </c>
      <c r="G344" s="11">
        <f>IFERROR(__xludf.DUMMYFUNCTION("""COMPUTED_VALUE"""),-170.185033365999)</f>
        <v>-170.185033365999</v>
      </c>
      <c r="H344" s="11">
        <f>IFERROR(__xludf.DUMMYFUNCTION("""COMPUTED_VALUE"""),120.271915557999)</f>
        <v>120.271915557999</v>
      </c>
      <c r="I344" s="15"/>
      <c r="J344" s="15"/>
      <c r="K344" s="15"/>
      <c r="L344" s="15"/>
      <c r="M344" s="7" t="b">
        <f>IFERROR(__xludf.DUMMYFUNCTION("""COMPUTED_VALUE"""),FALSE)</f>
        <v>0</v>
      </c>
      <c r="N344" s="10">
        <f>IFERROR(__xludf.DUMMYFUNCTION("""COMPUTED_VALUE"""),0)</f>
        <v>0</v>
      </c>
      <c r="O344" s="10">
        <f>IFERROR(__xludf.DUMMYFUNCTION("""COMPUTED_VALUE"""),0)</f>
        <v>0</v>
      </c>
      <c r="P344" s="8"/>
      <c r="Q344" s="7"/>
      <c r="R344" s="16"/>
      <c r="S344" s="17"/>
      <c r="T344" s="8"/>
      <c r="U344" s="8"/>
      <c r="V344" s="22"/>
      <c r="W344" s="12"/>
      <c r="X344" s="12"/>
      <c r="Y344" s="12"/>
      <c r="Z344" s="12"/>
      <c r="AA344" s="7"/>
      <c r="AB344" s="12"/>
      <c r="AC344" s="6"/>
      <c r="AD344" s="6"/>
      <c r="AE344" s="7"/>
      <c r="AF344" s="7"/>
      <c r="AG344" s="7"/>
      <c r="AH344" s="7"/>
      <c r="AI344" s="7"/>
      <c r="AJ344" s="7"/>
      <c r="AK344" s="7"/>
      <c r="AL344" s="7"/>
      <c r="AM344" s="7"/>
      <c r="AN344" s="7"/>
      <c r="AO344" s="6"/>
      <c r="AP344" s="7"/>
      <c r="AQ344" s="7"/>
      <c r="AR344" s="6"/>
      <c r="AS344" s="7"/>
      <c r="AT344" s="7"/>
      <c r="AU344" s="7"/>
      <c r="AV344" s="7"/>
      <c r="AW344" s="7"/>
      <c r="AX344" s="7"/>
      <c r="AY344" s="7"/>
      <c r="AZ344" s="7"/>
      <c r="BA344" s="7"/>
      <c r="BB344" s="7"/>
      <c r="BC344" s="7"/>
      <c r="BD344" s="7"/>
      <c r="BE344" s="7"/>
      <c r="BF344" s="7"/>
      <c r="BG344" s="7"/>
    </row>
    <row r="345" customHeight="1" spans="1:59">
      <c r="A345" s="9" t="str">
        <f>IFERROR(__xludf.DUMMYFUNCTION("""COMPUTED_VALUE"""),"Euterpe 20")</f>
        <v>Euterpe 20</v>
      </c>
      <c r="B345" s="5" t="str">
        <f>IFERROR(__xludf.DUMMYFUNCTION("""COMPUTED_VALUE"""),"Euterpe 27")</f>
        <v>Euterpe 27</v>
      </c>
      <c r="C345" s="5" t="str">
        <f>IFERROR(__xludf.DUMMYFUNCTION("""COMPUTED_VALUE"""),"Euterpe 23")</f>
        <v>Euterpe 23</v>
      </c>
      <c r="D345" s="5" t="str">
        <f>IFERROR(__xludf.DUMMYFUNCTION("""COMPUTED_VALUE"""),"Starfarer Wreck 06U")</f>
        <v>Starfarer Wreck 06U</v>
      </c>
      <c r="E345" s="7" t="str">
        <f>IFERROR(__xludf.DUMMYFUNCTION("""COMPUTED_VALUE"""),"Starfarer 06U")</f>
        <v>Starfarer 06U</v>
      </c>
      <c r="F345" s="11">
        <f>IFERROR(__xludf.DUMMYFUNCTION("""COMPUTED_VALUE"""),-119.299616574)</f>
        <v>-119.299616574</v>
      </c>
      <c r="G345" s="11">
        <f>IFERROR(__xludf.DUMMYFUNCTION("""COMPUTED_VALUE"""),-77.344163665)</f>
        <v>-77.344163665</v>
      </c>
      <c r="H345" s="11">
        <f>IFERROR(__xludf.DUMMYFUNCTION("""COMPUTED_VALUE"""),158.907717932)</f>
        <v>158.907717932</v>
      </c>
      <c r="I345" s="15"/>
      <c r="J345" s="15"/>
      <c r="K345" s="15"/>
      <c r="L345" s="15"/>
      <c r="M345" s="7" t="b">
        <f>IFERROR(__xludf.DUMMYFUNCTION("""COMPUTED_VALUE"""),FALSE)</f>
        <v>0</v>
      </c>
      <c r="N345" s="10">
        <f>IFERROR(__xludf.DUMMYFUNCTION("""COMPUTED_VALUE"""),0)</f>
        <v>0</v>
      </c>
      <c r="O345" s="10">
        <f>IFERROR(__xludf.DUMMYFUNCTION("""COMPUTED_VALUE"""),0)</f>
        <v>0</v>
      </c>
      <c r="P345" s="8"/>
      <c r="Q345" s="7"/>
      <c r="R345" s="16"/>
      <c r="S345" s="17"/>
      <c r="T345" s="8"/>
      <c r="U345" s="8"/>
      <c r="V345" s="22"/>
      <c r="W345" s="12"/>
      <c r="X345" s="12"/>
      <c r="Y345" s="12"/>
      <c r="Z345" s="12"/>
      <c r="AA345" s="7"/>
      <c r="AB345" s="12"/>
      <c r="AC345" s="6"/>
      <c r="AD345" s="6"/>
      <c r="AE345" s="7"/>
      <c r="AF345" s="7"/>
      <c r="AG345" s="7"/>
      <c r="AH345" s="7"/>
      <c r="AI345" s="7"/>
      <c r="AJ345" s="7"/>
      <c r="AK345" s="7"/>
      <c r="AL345" s="7"/>
      <c r="AM345" s="7"/>
      <c r="AN345" s="7"/>
      <c r="AO345" s="6"/>
      <c r="AP345" s="7"/>
      <c r="AQ345" s="7"/>
      <c r="AR345" s="6"/>
      <c r="AS345" s="7"/>
      <c r="AT345" s="7"/>
      <c r="AU345" s="7"/>
      <c r="AV345" s="7"/>
      <c r="AW345" s="7"/>
      <c r="AX345" s="7"/>
      <c r="AY345" s="7"/>
      <c r="AZ345" s="7"/>
      <c r="BA345" s="7"/>
      <c r="BB345" s="7"/>
      <c r="BC345" s="7"/>
      <c r="BD345" s="7"/>
      <c r="BE345" s="7"/>
      <c r="BF345" s="7"/>
      <c r="BG345" s="7"/>
    </row>
    <row r="346" customHeight="1" spans="1:59">
      <c r="A346" s="9" t="str">
        <f>IFERROR(__xludf.DUMMYFUNCTION("""COMPUTED_VALUE"""),"Euterpe 21")</f>
        <v>Euterpe 21</v>
      </c>
      <c r="B346" s="9" t="str">
        <f>IFERROR(__xludf.DUMMYFUNCTION("""COMPUTED_VALUE"""),"Euterpe 28")</f>
        <v>Euterpe 28</v>
      </c>
      <c r="C346" s="9" t="str">
        <f>IFERROR(__xludf.DUMMYFUNCTION("""COMPUTED_VALUE"""),"Euterpe 22")</f>
        <v>Euterpe 22</v>
      </c>
      <c r="D346" s="5" t="str">
        <f>IFERROR(__xludf.DUMMYFUNCTION("""COMPUTED_VALUE"""),"Starfarer Wreck 11L")</f>
        <v>Starfarer Wreck 11L</v>
      </c>
      <c r="E346" s="7" t="str">
        <f>IFERROR(__xludf.DUMMYFUNCTION("""COMPUTED_VALUE"""),"Starfarer 11L")</f>
        <v>Starfarer 11L</v>
      </c>
      <c r="F346" s="11">
        <f>IFERROR(__xludf.DUMMYFUNCTION("""COMPUTED_VALUE"""),-87.4900302229999)</f>
        <v>-87.4900302229999</v>
      </c>
      <c r="G346" s="11">
        <f>IFERROR(__xludf.DUMMYFUNCTION("""COMPUTED_VALUE"""),-187.249575927)</f>
        <v>-187.249575927</v>
      </c>
      <c r="H346" s="11">
        <f>IFERROR(__xludf.DUMMYFUNCTION("""COMPUTED_VALUE"""),-52.1533822)</f>
        <v>-52.1533822</v>
      </c>
      <c r="I346" s="15"/>
      <c r="J346" s="15"/>
      <c r="K346" s="15"/>
      <c r="L346" s="15"/>
      <c r="M346" s="7" t="b">
        <f>IFERROR(__xludf.DUMMYFUNCTION("""COMPUTED_VALUE"""),FALSE)</f>
        <v>0</v>
      </c>
      <c r="N346" s="10">
        <f>IFERROR(__xludf.DUMMYFUNCTION("""COMPUTED_VALUE"""),0)</f>
        <v>0</v>
      </c>
      <c r="O346" s="10">
        <f>IFERROR(__xludf.DUMMYFUNCTION("""COMPUTED_VALUE"""),0)</f>
        <v>0</v>
      </c>
      <c r="P346" s="8"/>
      <c r="Q346" s="7"/>
      <c r="R346" s="16"/>
      <c r="S346" s="17"/>
      <c r="T346" s="8"/>
      <c r="U346" s="8"/>
      <c r="V346" s="22"/>
      <c r="W346" s="12"/>
      <c r="X346" s="12"/>
      <c r="Y346" s="12"/>
      <c r="Z346" s="12"/>
      <c r="AA346" s="7"/>
      <c r="AB346" s="12"/>
      <c r="AC346" s="6"/>
      <c r="AD346" s="6"/>
      <c r="AE346" s="7"/>
      <c r="AF346" s="7"/>
      <c r="AG346" s="7"/>
      <c r="AH346" s="7"/>
      <c r="AI346" s="7"/>
      <c r="AJ346" s="7"/>
      <c r="AK346" s="7"/>
      <c r="AL346" s="7"/>
      <c r="AM346" s="7"/>
      <c r="AN346" s="7"/>
      <c r="AO346" s="6"/>
      <c r="AP346" s="7"/>
      <c r="AQ346" s="7"/>
      <c r="AR346" s="6"/>
      <c r="AS346" s="7"/>
      <c r="AT346" s="7"/>
      <c r="AU346" s="7"/>
      <c r="AV346" s="7"/>
      <c r="AW346" s="7"/>
      <c r="AX346" s="7"/>
      <c r="AY346" s="7"/>
      <c r="AZ346" s="7"/>
      <c r="BA346" s="7"/>
      <c r="BB346" s="7"/>
      <c r="BC346" s="7"/>
      <c r="BD346" s="7"/>
      <c r="BE346" s="7"/>
      <c r="BF346" s="7"/>
      <c r="BG346" s="7"/>
    </row>
    <row r="347" customHeight="1" spans="1:59">
      <c r="A347" s="9" t="str">
        <f>IFERROR(__xludf.DUMMYFUNCTION("""COMPUTED_VALUE"""),"Euterpe")</f>
        <v>Euterpe</v>
      </c>
      <c r="B347" s="5" t="str">
        <f>IFERROR(__xludf.DUMMYFUNCTION("""COMPUTED_VALUE"""),"Euterpe 32")</f>
        <v>Euterpe 32</v>
      </c>
      <c r="C347" s="5"/>
      <c r="D347" s="5" t="str">
        <f>IFERROR(__xludf.DUMMYFUNCTION("""COMPUTED_VALUE"""),"Comm Array")</f>
        <v>Comm Array</v>
      </c>
      <c r="E347" s="7"/>
      <c r="F347" s="11"/>
      <c r="G347" s="11"/>
      <c r="H347" s="11"/>
      <c r="I347" s="15"/>
      <c r="J347" s="15"/>
      <c r="K347" s="15"/>
      <c r="L347" s="15"/>
      <c r="M347" s="7"/>
      <c r="N347" s="10"/>
      <c r="O347" s="10"/>
      <c r="P347" s="8"/>
      <c r="Q347" s="7"/>
      <c r="R347" s="16"/>
      <c r="S347" s="17"/>
      <c r="T347" s="8"/>
      <c r="U347" s="8"/>
      <c r="V347" s="22"/>
      <c r="W347" s="12"/>
      <c r="X347" s="12"/>
      <c r="Y347" s="12"/>
      <c r="Z347" s="12"/>
      <c r="AA347" s="7"/>
      <c r="AB347" s="12"/>
      <c r="AC347" s="6"/>
      <c r="AD347" s="6"/>
      <c r="AE347" s="7"/>
      <c r="AF347" s="7"/>
      <c r="AG347" s="7"/>
      <c r="AH347" s="7"/>
      <c r="AI347" s="7"/>
      <c r="AJ347" s="7"/>
      <c r="AK347" s="7"/>
      <c r="AL347" s="7"/>
      <c r="AM347" s="7"/>
      <c r="AN347" s="7"/>
      <c r="AO347" s="6"/>
      <c r="AP347" s="7"/>
      <c r="AQ347" s="7"/>
      <c r="AR347" s="6"/>
      <c r="AS347" s="7"/>
      <c r="AT347" s="7"/>
      <c r="AU347" s="7"/>
      <c r="AV347" s="7"/>
      <c r="AW347" s="7"/>
      <c r="AX347" s="7"/>
      <c r="AY347" s="7"/>
      <c r="AZ347" s="7"/>
      <c r="BA347" s="7"/>
      <c r="BB347" s="7"/>
      <c r="BC347" s="7"/>
      <c r="BD347" s="7"/>
      <c r="BE347" s="7"/>
      <c r="BF347" s="7"/>
      <c r="BG347" s="7"/>
    </row>
    <row r="348" customHeight="1" spans="1:59">
      <c r="A348" s="9" t="str">
        <f>IFERROR(__xludf.DUMMYFUNCTION("""COMPUTED_VALUE"""),"Euterpe 04")</f>
        <v>Euterpe 04</v>
      </c>
      <c r="B348" s="5" t="str">
        <f>IFERROR(__xludf.DUMMYFUNCTION("""COMPUTED_VALUE"""),"Euterpe 33")</f>
        <v>Euterpe 33</v>
      </c>
      <c r="C348" s="5" t="str">
        <f>IFERROR(__xludf.DUMMYFUNCTION("""COMPUTED_VALUE"""),"Euterpe 09")</f>
        <v>Euterpe 09</v>
      </c>
      <c r="D348" s="5" t="str">
        <f>IFERROR(__xludf.DUMMYFUNCTION("""COMPUTED_VALUE"""),"Comm Array ST4-64")</f>
        <v>Comm Array ST4-64</v>
      </c>
      <c r="E348" s="7" t="str">
        <f>IFERROR(__xludf.DUMMYFUNCTION("""COMPUTED_VALUE"""),"ST4-64")</f>
        <v>ST4-64</v>
      </c>
      <c r="F348" s="8">
        <f>IFERROR(__xludf.DUMMYFUNCTION("""COMPUTED_VALUE"""),431.784048599243)</f>
        <v>431.784048599243</v>
      </c>
      <c r="G348" s="8">
        <f>IFERROR(__xludf.DUMMYFUNCTION("""COMPUTED_VALUE"""),208.033822898865)</f>
        <v>208.033822898865</v>
      </c>
      <c r="H348" s="8">
        <f>IFERROR(__xludf.DUMMYFUNCTION("""COMPUTED_VALUE"""),24)</f>
        <v>24</v>
      </c>
      <c r="I348" s="14"/>
      <c r="J348" s="14"/>
      <c r="K348" s="14"/>
      <c r="L348" s="14"/>
      <c r="M348" s="7" t="b">
        <f>IFERROR(__xludf.DUMMYFUNCTION("""COMPUTED_VALUE"""),TRUE)</f>
        <v>1</v>
      </c>
      <c r="N348" s="10">
        <f>IFERROR(__xludf.DUMMYFUNCTION("""COMPUTED_VALUE"""),0)</f>
        <v>0</v>
      </c>
      <c r="O348" s="10">
        <f>IFERROR(__xludf.DUMMYFUNCTION("""COMPUTED_VALUE"""),0)</f>
        <v>0</v>
      </c>
      <c r="P348" s="8"/>
      <c r="Q348" s="7"/>
      <c r="R348" s="16"/>
      <c r="S348" s="17"/>
      <c r="T348" s="8"/>
      <c r="U348" s="8"/>
      <c r="V348" s="22"/>
      <c r="W348" s="12"/>
      <c r="X348" s="12"/>
      <c r="Y348" s="12"/>
      <c r="Z348" s="12"/>
      <c r="AA348" s="9"/>
      <c r="AB348" s="12"/>
      <c r="AC348" s="6"/>
      <c r="AD348" s="6"/>
      <c r="AE348" s="7"/>
      <c r="AF348" s="7"/>
      <c r="AG348" s="7"/>
      <c r="AH348" s="7"/>
      <c r="AI348" s="7"/>
      <c r="AJ348" s="7"/>
      <c r="AK348" s="7"/>
      <c r="AL348" s="7"/>
      <c r="AM348" s="7"/>
      <c r="AN348" s="7"/>
      <c r="AO348" s="6"/>
      <c r="AP348" s="7"/>
      <c r="AQ348" s="7"/>
      <c r="AR348" s="6"/>
      <c r="AS348" s="7"/>
      <c r="AT348" s="7"/>
      <c r="AU348" s="7"/>
      <c r="AV348" s="7"/>
      <c r="AW348" s="7"/>
      <c r="AX348" s="7"/>
      <c r="AY348" s="7"/>
      <c r="AZ348" s="7"/>
      <c r="BA348" s="7"/>
      <c r="BB348" s="7"/>
      <c r="BC348" s="7"/>
      <c r="BD348" s="7"/>
      <c r="BE348" s="7"/>
      <c r="BF348" s="7"/>
      <c r="BG348" s="7"/>
    </row>
    <row r="349" customHeight="1" spans="1:59">
      <c r="A349" s="9"/>
      <c r="B349" s="5"/>
      <c r="C349" s="5"/>
      <c r="D349" s="5"/>
      <c r="E349" s="7"/>
      <c r="F349" s="8"/>
      <c r="G349" s="8"/>
      <c r="H349" s="8"/>
      <c r="I349" s="14"/>
      <c r="J349" s="14"/>
      <c r="K349" s="14"/>
      <c r="L349" s="14"/>
      <c r="M349" s="7"/>
      <c r="N349" s="10"/>
      <c r="O349" s="10"/>
      <c r="P349" s="8"/>
      <c r="Q349" s="7"/>
      <c r="R349" s="16"/>
      <c r="S349" s="17"/>
      <c r="T349" s="8"/>
      <c r="U349" s="8"/>
      <c r="V349" s="22"/>
      <c r="W349" s="12"/>
      <c r="X349" s="12"/>
      <c r="Y349" s="12"/>
      <c r="Z349" s="12"/>
      <c r="AA349" s="9"/>
      <c r="AB349" s="12"/>
      <c r="AC349" s="6"/>
      <c r="AD349" s="6"/>
      <c r="AE349" s="7"/>
      <c r="AF349" s="7"/>
      <c r="AG349" s="7"/>
      <c r="AH349" s="7"/>
      <c r="AI349" s="7"/>
      <c r="AJ349" s="7"/>
      <c r="AK349" s="7"/>
      <c r="AL349" s="7"/>
      <c r="AM349" s="7"/>
      <c r="AN349" s="7"/>
      <c r="AO349" s="6"/>
      <c r="AP349" s="7"/>
      <c r="AQ349" s="7"/>
      <c r="AR349" s="6"/>
      <c r="AS349" s="7"/>
      <c r="AT349" s="7"/>
      <c r="AU349" s="7"/>
      <c r="AV349" s="7"/>
      <c r="AW349" s="7"/>
      <c r="AX349" s="7"/>
      <c r="AY349" s="7"/>
      <c r="AZ349" s="7"/>
      <c r="BA349" s="7"/>
      <c r="BB349" s="7"/>
      <c r="BC349" s="7"/>
      <c r="BD349" s="7"/>
      <c r="BE349" s="7"/>
      <c r="BF349" s="7"/>
      <c r="BG349" s="7"/>
    </row>
    <row r="350" customHeight="1" spans="1:59">
      <c r="A350" s="9" t="str">
        <f>IFERROR(__xludf.DUMMYFUNCTION("""COMPUTED_VALUE"""),"Hurston R01")</f>
        <v>Hurston R01</v>
      </c>
      <c r="B350" s="5" t="str">
        <f>IFERROR(__xludf.DUMMYFUNCTION("""COMPUTED_VALUE"""),"Hurston 153")</f>
        <v>Hurston 153</v>
      </c>
      <c r="C350" s="5"/>
      <c r="D350" s="5" t="str">
        <f>IFERROR(__xludf.DUMMYFUNCTION("""COMPUTED_VALUE"""),"OM-1")</f>
        <v>OM-1</v>
      </c>
      <c r="E350" s="7" t="str">
        <f>IFERROR(__xludf.DUMMYFUNCTION("""COMPUTED_VALUE"""),"OM1")</f>
        <v>OM1</v>
      </c>
      <c r="F350" s="8">
        <f>IFERROR(__xludf.DUMMYFUNCTION("""COMPUTED_VALUE"""),0)</f>
        <v>0</v>
      </c>
      <c r="G350" s="8">
        <f>IFERROR(__xludf.DUMMYFUNCTION("""COMPUTED_VALUE"""),0)</f>
        <v>0</v>
      </c>
      <c r="H350" s="8">
        <f>IFERROR(__xludf.DUMMYFUNCTION("""COMPUTED_VALUE"""),1436.814)</f>
        <v>1436.814</v>
      </c>
      <c r="I350" s="14"/>
      <c r="J350" s="14"/>
      <c r="K350" s="14"/>
      <c r="L350" s="14"/>
      <c r="M350" s="7" t="b">
        <f>IFERROR(__xludf.DUMMYFUNCTION("""COMPUTED_VALUE"""),TRUE)</f>
        <v>1</v>
      </c>
      <c r="N350" s="10">
        <f>IFERROR(__xludf.DUMMYFUNCTION("""COMPUTED_VALUE"""),0)</f>
        <v>0</v>
      </c>
      <c r="O350" s="10">
        <f>IFERROR(__xludf.DUMMYFUNCTION("""COMPUTED_VALUE"""),0)</f>
        <v>0</v>
      </c>
      <c r="P350" s="8"/>
      <c r="Q350" s="7"/>
      <c r="R350" s="16"/>
      <c r="S350" s="17"/>
      <c r="T350" s="8"/>
      <c r="U350" s="8"/>
      <c r="V350" s="22"/>
      <c r="W350" s="12"/>
      <c r="X350" s="12"/>
      <c r="Y350" s="12"/>
      <c r="Z350" s="12"/>
      <c r="AA350" s="9"/>
      <c r="AB350" s="12"/>
      <c r="AC350" s="6"/>
      <c r="AD350" s="6"/>
      <c r="AE350" s="7"/>
      <c r="AF350" s="7"/>
      <c r="AG350" s="7"/>
      <c r="AH350" s="7"/>
      <c r="AI350" s="7"/>
      <c r="AJ350" s="7"/>
      <c r="AK350" s="7"/>
      <c r="AL350" s="7"/>
      <c r="AM350" s="7"/>
      <c r="AN350" s="7"/>
      <c r="AO350" s="6"/>
      <c r="AP350" s="7"/>
      <c r="AQ350" s="7"/>
      <c r="AR350" s="6"/>
      <c r="AS350" s="7"/>
      <c r="AT350" s="7"/>
      <c r="AU350" s="7"/>
      <c r="AV350" s="7"/>
      <c r="AW350" s="7"/>
      <c r="AX350" s="7"/>
      <c r="AY350" s="7"/>
      <c r="AZ350" s="7"/>
      <c r="BA350" s="7"/>
      <c r="BB350" s="7"/>
      <c r="BC350" s="7"/>
      <c r="BD350" s="7"/>
      <c r="BE350" s="7"/>
      <c r="BF350" s="7"/>
      <c r="BG350" s="7"/>
    </row>
    <row r="351" customHeight="1" spans="1:59">
      <c r="A351" s="9" t="str">
        <f>IFERROR(__xludf.DUMMYFUNCTION("""COMPUTED_VALUE"""),"Hurston R02")</f>
        <v>Hurston R02</v>
      </c>
      <c r="B351" s="5" t="str">
        <f>IFERROR(__xludf.DUMMYFUNCTION("""COMPUTED_VALUE"""),"Hurston 154")</f>
        <v>Hurston 154</v>
      </c>
      <c r="C351" s="5"/>
      <c r="D351" s="5" t="str">
        <f>IFERROR(__xludf.DUMMYFUNCTION("""COMPUTED_VALUE"""),"OM-2")</f>
        <v>OM-2</v>
      </c>
      <c r="E351" s="7" t="str">
        <f>IFERROR(__xludf.DUMMYFUNCTION("""COMPUTED_VALUE"""),"OM2")</f>
        <v>OM2</v>
      </c>
      <c r="F351" s="8">
        <f>IFERROR(__xludf.DUMMYFUNCTION("""COMPUTED_VALUE"""),0)</f>
        <v>0</v>
      </c>
      <c r="G351" s="8">
        <f>IFERROR(__xludf.DUMMYFUNCTION("""COMPUTED_VALUE"""),0)</f>
        <v>0</v>
      </c>
      <c r="H351" s="8">
        <f>IFERROR(__xludf.DUMMYFUNCTION("""COMPUTED_VALUE"""),-1436.814)</f>
        <v>-1436.814</v>
      </c>
      <c r="I351" s="14"/>
      <c r="J351" s="14"/>
      <c r="K351" s="14"/>
      <c r="L351" s="14"/>
      <c r="M351" s="7" t="b">
        <f>IFERROR(__xludf.DUMMYFUNCTION("""COMPUTED_VALUE"""),TRUE)</f>
        <v>1</v>
      </c>
      <c r="N351" s="10">
        <f>IFERROR(__xludf.DUMMYFUNCTION("""COMPUTED_VALUE"""),0)</f>
        <v>0</v>
      </c>
      <c r="O351" s="10">
        <f>IFERROR(__xludf.DUMMYFUNCTION("""COMPUTED_VALUE"""),0)</f>
        <v>0</v>
      </c>
      <c r="P351" s="8"/>
      <c r="Q351" s="7"/>
      <c r="R351" s="16"/>
      <c r="S351" s="17"/>
      <c r="T351" s="8"/>
      <c r="U351" s="8"/>
      <c r="V351" s="22"/>
      <c r="W351" s="12"/>
      <c r="X351" s="12"/>
      <c r="Y351" s="12"/>
      <c r="Z351" s="12"/>
      <c r="AA351" s="9"/>
      <c r="AB351" s="12"/>
      <c r="AC351" s="6"/>
      <c r="AD351" s="6"/>
      <c r="AE351" s="7"/>
      <c r="AF351" s="7"/>
      <c r="AG351" s="7"/>
      <c r="AH351" s="7"/>
      <c r="AI351" s="7"/>
      <c r="AJ351" s="7"/>
      <c r="AK351" s="7"/>
      <c r="AL351" s="7"/>
      <c r="AM351" s="7"/>
      <c r="AN351" s="7"/>
      <c r="AO351" s="6"/>
      <c r="AP351" s="7"/>
      <c r="AQ351" s="7"/>
      <c r="AR351" s="6"/>
      <c r="AS351" s="7"/>
      <c r="AT351" s="7"/>
      <c r="AU351" s="7"/>
      <c r="AV351" s="7"/>
      <c r="AW351" s="7"/>
      <c r="AX351" s="7"/>
      <c r="AY351" s="7"/>
      <c r="AZ351" s="7"/>
      <c r="BA351" s="7"/>
      <c r="BB351" s="7"/>
      <c r="BC351" s="7"/>
      <c r="BD351" s="7"/>
      <c r="BE351" s="7"/>
      <c r="BF351" s="7"/>
      <c r="BG351" s="7"/>
    </row>
    <row r="352" customHeight="1" spans="1:59">
      <c r="A352" s="9" t="str">
        <f>IFERROR(__xludf.DUMMYFUNCTION("""COMPUTED_VALUE"""),"Hurston R03")</f>
        <v>Hurston R03</v>
      </c>
      <c r="B352" s="5" t="str">
        <f>IFERROR(__xludf.DUMMYFUNCTION("""COMPUTED_VALUE"""),"Hurston 155")</f>
        <v>Hurston 155</v>
      </c>
      <c r="C352" s="5" t="str">
        <f>IFERROR(__xludf.DUMMYFUNCTION("""COMPUTED_VALUE"""),"Hurston 41")</f>
        <v>Hurston 41</v>
      </c>
      <c r="D352" s="5" t="str">
        <f>IFERROR(__xludf.DUMMYFUNCTION("""COMPUTED_VALUE"""),"OM-3")</f>
        <v>OM-3</v>
      </c>
      <c r="E352" s="7" t="str">
        <f>IFERROR(__xludf.DUMMYFUNCTION("""COMPUTED_VALUE"""),"OM3")</f>
        <v>OM3</v>
      </c>
      <c r="F352" s="8">
        <f>IFERROR(__xludf.DUMMYFUNCTION("""COMPUTED_VALUE"""),0)</f>
        <v>0</v>
      </c>
      <c r="G352" s="8">
        <f>IFERROR(__xludf.DUMMYFUNCTION("""COMPUTED_VALUE"""),1436.814)</f>
        <v>1436.814</v>
      </c>
      <c r="H352" s="8">
        <f>IFERROR(__xludf.DUMMYFUNCTION("""COMPUTED_VALUE"""),0)</f>
        <v>0</v>
      </c>
      <c r="I352" s="14"/>
      <c r="J352" s="14"/>
      <c r="K352" s="14"/>
      <c r="L352" s="14"/>
      <c r="M352" s="7" t="b">
        <f>IFERROR(__xludf.DUMMYFUNCTION("""COMPUTED_VALUE"""),TRUE)</f>
        <v>1</v>
      </c>
      <c r="N352" s="10">
        <f>IFERROR(__xludf.DUMMYFUNCTION("""COMPUTED_VALUE"""),0)</f>
        <v>0</v>
      </c>
      <c r="O352" s="10">
        <f>IFERROR(__xludf.DUMMYFUNCTION("""COMPUTED_VALUE"""),0)</f>
        <v>0</v>
      </c>
      <c r="P352" s="8"/>
      <c r="Q352" s="7"/>
      <c r="R352" s="16"/>
      <c r="S352" s="17"/>
      <c r="T352" s="8"/>
      <c r="U352" s="8"/>
      <c r="V352" s="22"/>
      <c r="W352" s="12"/>
      <c r="X352" s="12"/>
      <c r="Y352" s="12"/>
      <c r="Z352" s="12"/>
      <c r="AA352" s="9"/>
      <c r="AB352" s="12"/>
      <c r="AC352" s="6"/>
      <c r="AD352" s="6"/>
      <c r="AE352" s="7"/>
      <c r="AF352" s="7"/>
      <c r="AG352" s="7"/>
      <c r="AH352" s="7"/>
      <c r="AI352" s="7"/>
      <c r="AJ352" s="7"/>
      <c r="AK352" s="7"/>
      <c r="AL352" s="7"/>
      <c r="AM352" s="7"/>
      <c r="AN352" s="7"/>
      <c r="AO352" s="6"/>
      <c r="AP352" s="7"/>
      <c r="AQ352" s="7"/>
      <c r="AR352" s="6"/>
      <c r="AS352" s="7"/>
      <c r="AT352" s="7"/>
      <c r="AU352" s="7"/>
      <c r="AV352" s="7"/>
      <c r="AW352" s="7"/>
      <c r="AX352" s="7"/>
      <c r="AY352" s="7"/>
      <c r="AZ352" s="7"/>
      <c r="BA352" s="7"/>
      <c r="BB352" s="7"/>
      <c r="BC352" s="7"/>
      <c r="BD352" s="7"/>
      <c r="BE352" s="7"/>
      <c r="BF352" s="7"/>
      <c r="BG352" s="7"/>
    </row>
    <row r="353" customHeight="1" spans="1:59">
      <c r="A353" s="9" t="str">
        <f>IFERROR(__xludf.DUMMYFUNCTION("""COMPUTED_VALUE"""),"Hurston R04")</f>
        <v>Hurston R04</v>
      </c>
      <c r="B353" s="5" t="str">
        <f>IFERROR(__xludf.DUMMYFUNCTION("""COMPUTED_VALUE"""),"Hurston 156")</f>
        <v>Hurston 156</v>
      </c>
      <c r="C353" s="5" t="str">
        <f>IFERROR(__xludf.DUMMYFUNCTION("""COMPUTED_VALUE"""),"Hurston 88")</f>
        <v>Hurston 88</v>
      </c>
      <c r="D353" s="5" t="str">
        <f>IFERROR(__xludf.DUMMYFUNCTION("""COMPUTED_VALUE"""),"OM-4")</f>
        <v>OM-4</v>
      </c>
      <c r="E353" s="7" t="str">
        <f>IFERROR(__xludf.DUMMYFUNCTION("""COMPUTED_VALUE"""),"OM4")</f>
        <v>OM4</v>
      </c>
      <c r="F353" s="8">
        <f>IFERROR(__xludf.DUMMYFUNCTION("""COMPUTED_VALUE"""),0)</f>
        <v>0</v>
      </c>
      <c r="G353" s="8">
        <f>IFERROR(__xludf.DUMMYFUNCTION("""COMPUTED_VALUE"""),-1436.814)</f>
        <v>-1436.814</v>
      </c>
      <c r="H353" s="8">
        <f>IFERROR(__xludf.DUMMYFUNCTION("""COMPUTED_VALUE"""),0)</f>
        <v>0</v>
      </c>
      <c r="I353" s="14"/>
      <c r="J353" s="14"/>
      <c r="K353" s="14"/>
      <c r="L353" s="14"/>
      <c r="M353" s="7" t="b">
        <f>IFERROR(__xludf.DUMMYFUNCTION("""COMPUTED_VALUE"""),TRUE)</f>
        <v>1</v>
      </c>
      <c r="N353" s="10">
        <f>IFERROR(__xludf.DUMMYFUNCTION("""COMPUTED_VALUE"""),0)</f>
        <v>0</v>
      </c>
      <c r="O353" s="10">
        <f>IFERROR(__xludf.DUMMYFUNCTION("""COMPUTED_VALUE"""),0)</f>
        <v>0</v>
      </c>
      <c r="P353" s="8"/>
      <c r="Q353" s="7"/>
      <c r="R353" s="16"/>
      <c r="S353" s="17"/>
      <c r="T353" s="8"/>
      <c r="U353" s="8"/>
      <c r="V353" s="22"/>
      <c r="W353" s="12"/>
      <c r="X353" s="12"/>
      <c r="Y353" s="12"/>
      <c r="Z353" s="12"/>
      <c r="AA353" s="9"/>
      <c r="AB353" s="12"/>
      <c r="AC353" s="6"/>
      <c r="AD353" s="6"/>
      <c r="AE353" s="7"/>
      <c r="AF353" s="7"/>
      <c r="AG353" s="7"/>
      <c r="AH353" s="7"/>
      <c r="AI353" s="7"/>
      <c r="AJ353" s="7"/>
      <c r="AK353" s="7"/>
      <c r="AL353" s="7"/>
      <c r="AM353" s="7"/>
      <c r="AN353" s="7"/>
      <c r="AO353" s="6"/>
      <c r="AP353" s="7"/>
      <c r="AQ353" s="7"/>
      <c r="AR353" s="6"/>
      <c r="AS353" s="7"/>
      <c r="AT353" s="7"/>
      <c r="AU353" s="7"/>
      <c r="AV353" s="7"/>
      <c r="AW353" s="7"/>
      <c r="AX353" s="7"/>
      <c r="AY353" s="7"/>
      <c r="AZ353" s="7"/>
      <c r="BA353" s="7"/>
      <c r="BB353" s="7"/>
      <c r="BC353" s="7"/>
      <c r="BD353" s="7"/>
      <c r="BE353" s="7"/>
      <c r="BF353" s="7"/>
      <c r="BG353" s="7"/>
    </row>
    <row r="354" customHeight="1" spans="1:59">
      <c r="A354" s="9" t="str">
        <f>IFERROR(__xludf.DUMMYFUNCTION("""COMPUTED_VALUE"""),"Hurston R05")</f>
        <v>Hurston R05</v>
      </c>
      <c r="B354" s="5" t="str">
        <f>IFERROR(__xludf.DUMMYFUNCTION("""COMPUTED_VALUE"""),"Hurston 157")</f>
        <v>Hurston 157</v>
      </c>
      <c r="C354" s="5" t="str">
        <f>IFERROR(__xludf.DUMMYFUNCTION("""COMPUTED_VALUE"""),"Hurston 59")</f>
        <v>Hurston 59</v>
      </c>
      <c r="D354" s="5" t="str">
        <f>IFERROR(__xludf.DUMMYFUNCTION("""COMPUTED_VALUE"""),"OM-5")</f>
        <v>OM-5</v>
      </c>
      <c r="E354" s="7" t="str">
        <f>IFERROR(__xludf.DUMMYFUNCTION("""COMPUTED_VALUE"""),"OM5")</f>
        <v>OM5</v>
      </c>
      <c r="F354" s="8">
        <f>IFERROR(__xludf.DUMMYFUNCTION("""COMPUTED_VALUE"""),1436.814)</f>
        <v>1436.814</v>
      </c>
      <c r="G354" s="8">
        <f>IFERROR(__xludf.DUMMYFUNCTION("""COMPUTED_VALUE"""),0)</f>
        <v>0</v>
      </c>
      <c r="H354" s="8">
        <f>IFERROR(__xludf.DUMMYFUNCTION("""COMPUTED_VALUE"""),0)</f>
        <v>0</v>
      </c>
      <c r="I354" s="14"/>
      <c r="J354" s="14"/>
      <c r="K354" s="14"/>
      <c r="L354" s="14"/>
      <c r="M354" s="7" t="b">
        <f>IFERROR(__xludf.DUMMYFUNCTION("""COMPUTED_VALUE"""),TRUE)</f>
        <v>1</v>
      </c>
      <c r="N354" s="10">
        <f>IFERROR(__xludf.DUMMYFUNCTION("""COMPUTED_VALUE"""),0)</f>
        <v>0</v>
      </c>
      <c r="O354" s="10">
        <f>IFERROR(__xludf.DUMMYFUNCTION("""COMPUTED_VALUE"""),0)</f>
        <v>0</v>
      </c>
      <c r="P354" s="8"/>
      <c r="Q354" s="7"/>
      <c r="R354" s="16"/>
      <c r="S354" s="17"/>
      <c r="T354" s="8"/>
      <c r="U354" s="8"/>
      <c r="V354" s="22"/>
      <c r="W354" s="12"/>
      <c r="X354" s="12"/>
      <c r="Y354" s="12"/>
      <c r="Z354" s="12"/>
      <c r="AA354" s="9"/>
      <c r="AB354" s="12"/>
      <c r="AC354" s="6"/>
      <c r="AD354" s="6"/>
      <c r="AE354" s="7"/>
      <c r="AF354" s="7"/>
      <c r="AG354" s="7"/>
      <c r="AH354" s="7"/>
      <c r="AI354" s="7"/>
      <c r="AJ354" s="7"/>
      <c r="AK354" s="7"/>
      <c r="AL354" s="7"/>
      <c r="AM354" s="7"/>
      <c r="AN354" s="7"/>
      <c r="AO354" s="6"/>
      <c r="AP354" s="7"/>
      <c r="AQ354" s="7"/>
      <c r="AR354" s="6"/>
      <c r="AS354" s="7"/>
      <c r="AT354" s="7"/>
      <c r="AU354" s="7"/>
      <c r="AV354" s="7"/>
      <c r="AW354" s="7"/>
      <c r="AX354" s="7"/>
      <c r="AY354" s="7"/>
      <c r="AZ354" s="7"/>
      <c r="BA354" s="7"/>
      <c r="BB354" s="7"/>
      <c r="BC354" s="7"/>
      <c r="BD354" s="7"/>
      <c r="BE354" s="7"/>
      <c r="BF354" s="7"/>
      <c r="BG354" s="7"/>
    </row>
    <row r="355" customHeight="1" spans="1:59">
      <c r="A355" s="9" t="str">
        <f>IFERROR(__xludf.DUMMYFUNCTION("""COMPUTED_VALUE"""),"Hurston R06")</f>
        <v>Hurston R06</v>
      </c>
      <c r="B355" s="5" t="str">
        <f>IFERROR(__xludf.DUMMYFUNCTION("""COMPUTED_VALUE"""),"Hurston 158")</f>
        <v>Hurston 158</v>
      </c>
      <c r="C355" s="5" t="str">
        <f>IFERROR(__xludf.DUMMYFUNCTION("""COMPUTED_VALUE"""),"Hurston 139")</f>
        <v>Hurston 139</v>
      </c>
      <c r="D355" s="5" t="str">
        <f>IFERROR(__xludf.DUMMYFUNCTION("""COMPUTED_VALUE"""),"OM-6")</f>
        <v>OM-6</v>
      </c>
      <c r="E355" s="7" t="str">
        <f>IFERROR(__xludf.DUMMYFUNCTION("""COMPUTED_VALUE"""),"OM6")</f>
        <v>OM6</v>
      </c>
      <c r="F355" s="8">
        <f>IFERROR(__xludf.DUMMYFUNCTION("""COMPUTED_VALUE"""),-1436.814)</f>
        <v>-1436.814</v>
      </c>
      <c r="G355" s="8">
        <f>IFERROR(__xludf.DUMMYFUNCTION("""COMPUTED_VALUE"""),0)</f>
        <v>0</v>
      </c>
      <c r="H355" s="8">
        <f>IFERROR(__xludf.DUMMYFUNCTION("""COMPUTED_VALUE"""),0)</f>
        <v>0</v>
      </c>
      <c r="I355" s="14"/>
      <c r="J355" s="14"/>
      <c r="K355" s="14"/>
      <c r="L355" s="14"/>
      <c r="M355" s="7" t="b">
        <f>IFERROR(__xludf.DUMMYFUNCTION("""COMPUTED_VALUE"""),TRUE)</f>
        <v>1</v>
      </c>
      <c r="N355" s="10">
        <f>IFERROR(__xludf.DUMMYFUNCTION("""COMPUTED_VALUE"""),0)</f>
        <v>0</v>
      </c>
      <c r="O355" s="10">
        <f>IFERROR(__xludf.DUMMYFUNCTION("""COMPUTED_VALUE"""),0)</f>
        <v>0</v>
      </c>
      <c r="P355" s="8"/>
      <c r="Q355" s="7"/>
      <c r="R355" s="16"/>
      <c r="S355" s="17"/>
      <c r="T355" s="8"/>
      <c r="U355" s="8"/>
      <c r="V355" s="22"/>
      <c r="W355" s="12"/>
      <c r="X355" s="12"/>
      <c r="Y355" s="12"/>
      <c r="Z355" s="12"/>
      <c r="AA355" s="7"/>
      <c r="AB355" s="12"/>
      <c r="AC355" s="6"/>
      <c r="AD355" s="6"/>
      <c r="AE355" s="7"/>
      <c r="AF355" s="7"/>
      <c r="AG355" s="7"/>
      <c r="AH355" s="7"/>
      <c r="AI355" s="7"/>
      <c r="AJ355" s="7"/>
      <c r="AK355" s="7"/>
      <c r="AL355" s="7"/>
      <c r="AM355" s="7"/>
      <c r="AN355" s="7"/>
      <c r="AO355" s="6"/>
      <c r="AP355" s="7"/>
      <c r="AQ355" s="7"/>
      <c r="AR355" s="6"/>
      <c r="AS355" s="7"/>
      <c r="AT355" s="7"/>
      <c r="AU355" s="7"/>
      <c r="AV355" s="7"/>
      <c r="AW355" s="7"/>
      <c r="AX355" s="7"/>
      <c r="AY355" s="7"/>
      <c r="AZ355" s="7"/>
      <c r="BA355" s="7"/>
      <c r="BB355" s="7"/>
      <c r="BC355" s="7"/>
      <c r="BD355" s="7"/>
      <c r="BE355" s="7"/>
      <c r="BF355" s="7"/>
      <c r="BG355" s="7"/>
    </row>
    <row r="356" customHeight="1" spans="1:59">
      <c r="A356" s="9" t="str">
        <f>IFERROR(__xludf.DUMMYFUNCTION("""COMPUTED_VALUE"""),"Hurston")</f>
        <v>Hurston</v>
      </c>
      <c r="B356" s="5" t="str">
        <f>IFERROR(__xludf.DUMMYFUNCTION("""COMPUTED_VALUE"""),"Hurston 00")</f>
        <v>Hurston 00</v>
      </c>
      <c r="C356" s="5"/>
      <c r="D356" s="5" t="str">
        <f>IFERROR(__xludf.DUMMYFUNCTION("""COMPUTED_VALUE"""),"Landing Zone")</f>
        <v>Landing Zone</v>
      </c>
      <c r="E356" s="7"/>
      <c r="F356" s="8"/>
      <c r="G356" s="8"/>
      <c r="H356" s="8"/>
      <c r="I356" s="14"/>
      <c r="J356" s="14"/>
      <c r="K356" s="14"/>
      <c r="L356" s="14"/>
      <c r="M356" s="7"/>
      <c r="N356" s="10"/>
      <c r="O356" s="10"/>
      <c r="P356" s="8"/>
      <c r="Q356" s="7"/>
      <c r="R356" s="16"/>
      <c r="S356" s="17"/>
      <c r="T356" s="8"/>
      <c r="U356" s="8"/>
      <c r="V356" s="22"/>
      <c r="W356" s="12"/>
      <c r="X356" s="12"/>
      <c r="Y356" s="12"/>
      <c r="Z356" s="12"/>
      <c r="AA356" s="7"/>
      <c r="AB356" s="12"/>
      <c r="AC356" s="6"/>
      <c r="AD356" s="6"/>
      <c r="AE356" s="7"/>
      <c r="AF356" s="7"/>
      <c r="AG356" s="7"/>
      <c r="AH356" s="7"/>
      <c r="AI356" s="7"/>
      <c r="AJ356" s="7"/>
      <c r="AK356" s="7"/>
      <c r="AL356" s="7"/>
      <c r="AM356" s="7"/>
      <c r="AN356" s="7"/>
      <c r="AO356" s="6"/>
      <c r="AP356" s="7"/>
      <c r="AQ356" s="7"/>
      <c r="AR356" s="6"/>
      <c r="AS356" s="7"/>
      <c r="AT356" s="7"/>
      <c r="AU356" s="7"/>
      <c r="AV356" s="7"/>
      <c r="AW356" s="7"/>
      <c r="AX356" s="7"/>
      <c r="AY356" s="7"/>
      <c r="AZ356" s="7"/>
      <c r="BA356" s="7"/>
      <c r="BB356" s="7"/>
      <c r="BC356" s="7"/>
      <c r="BD356" s="7"/>
      <c r="BE356" s="7"/>
      <c r="BF356" s="7"/>
      <c r="BG356" s="7"/>
    </row>
    <row r="357" customHeight="1" spans="1:59">
      <c r="A357" s="9" t="str">
        <f>IFERROR(__xludf.DUMMYFUNCTION("""COMPUTED_VALUE"""),"Hurston 01")</f>
        <v>Hurston 01</v>
      </c>
      <c r="B357" s="5" t="str">
        <f>IFERROR(__xludf.DUMMYFUNCTION("""COMPUTED_VALUE"""),"Hurston 01")</f>
        <v>Hurston 01</v>
      </c>
      <c r="C357" s="5" t="str">
        <f>IFERROR(__xludf.DUMMYFUNCTION("""COMPUTED_VALUE"""),"Hurston 101")</f>
        <v>Hurston 101</v>
      </c>
      <c r="D357" s="5" t="str">
        <f>IFERROR(__xludf.DUMMYFUNCTION("""COMPUTED_VALUE"""),"Lorville")</f>
        <v>Lorville</v>
      </c>
      <c r="E357" s="7" t="str">
        <f>IFERROR(__xludf.DUMMYFUNCTION("""COMPUTED_VALUE"""),"Lorville")</f>
        <v>Lorville</v>
      </c>
      <c r="F357" s="8">
        <f>IFERROR(__xludf.DUMMYFUNCTION("""COMPUTED_VALUE"""),-328.989165268899)</f>
        <v>-328.989165268899</v>
      </c>
      <c r="G357" s="8">
        <f>IFERROR(__xludf.DUMMYFUNCTION("""COMPUTED_VALUE"""),-752.434615700612)</f>
        <v>-752.434615700612</v>
      </c>
      <c r="H357" s="8">
        <f>IFERROR(__xludf.DUMMYFUNCTION("""COMPUTED_VALUE"""),572.120273853484)</f>
        <v>572.120273853484</v>
      </c>
      <c r="I357" s="14"/>
      <c r="J357" s="14"/>
      <c r="K357" s="14"/>
      <c r="L357" s="14"/>
      <c r="M357" s="7" t="b">
        <f>IFERROR(__xludf.DUMMYFUNCTION("""COMPUTED_VALUE"""),TRUE)</f>
        <v>1</v>
      </c>
      <c r="N357" s="10">
        <f>IFERROR(__xludf.DUMMYFUNCTION("""COMPUTED_VALUE"""),0)</f>
        <v>0</v>
      </c>
      <c r="O357" s="10">
        <f>IFERROR(__xludf.DUMMYFUNCTION("""COMPUTED_VALUE"""),0)</f>
        <v>0</v>
      </c>
      <c r="P357" s="8"/>
      <c r="Q357" s="7"/>
      <c r="R357" s="16"/>
      <c r="S357" s="17"/>
      <c r="T357" s="8"/>
      <c r="U357" s="8"/>
      <c r="V357" s="22"/>
      <c r="W357" s="12"/>
      <c r="X357" s="12"/>
      <c r="Y357" s="12"/>
      <c r="Z357" s="12"/>
      <c r="AA357" s="7"/>
      <c r="AB357" s="12"/>
      <c r="AC357" s="6"/>
      <c r="AD357" s="6"/>
      <c r="AE357" s="7"/>
      <c r="AF357" s="7"/>
      <c r="AG357" s="7"/>
      <c r="AH357" s="7"/>
      <c r="AI357" s="7"/>
      <c r="AJ357" s="7"/>
      <c r="AK357" s="7"/>
      <c r="AL357" s="7"/>
      <c r="AM357" s="7"/>
      <c r="AN357" s="7"/>
      <c r="AO357" s="6"/>
      <c r="AP357" s="7"/>
      <c r="AQ357" s="7"/>
      <c r="AR357" s="6"/>
      <c r="AS357" s="7"/>
      <c r="AT357" s="7"/>
      <c r="AU357" s="7"/>
      <c r="AV357" s="7"/>
      <c r="AW357" s="7"/>
      <c r="AX357" s="7"/>
      <c r="AY357" s="7"/>
      <c r="AZ357" s="7"/>
      <c r="BA357" s="7"/>
      <c r="BB357" s="7"/>
      <c r="BC357" s="7"/>
      <c r="BD357" s="7"/>
      <c r="BE357" s="7"/>
      <c r="BF357" s="7"/>
      <c r="BG357" s="7"/>
    </row>
    <row r="358" customHeight="1" spans="1:59">
      <c r="A358" s="9" t="str">
        <f>IFERROR(__xludf.DUMMYFUNCTION("""COMPUTED_VALUE"""),"Hurston 30")</f>
        <v>Hurston 30</v>
      </c>
      <c r="B358" s="5" t="str">
        <f>IFERROR(__xludf.DUMMYFUNCTION("""COMPUTED_VALUE"""),"Hurston 02")</f>
        <v>Hurston 02</v>
      </c>
      <c r="C358" s="5" t="str">
        <f>IFERROR(__xludf.DUMMYFUNCTION("""COMPUTED_VALUE"""),"Hurston 100")</f>
        <v>Hurston 100</v>
      </c>
      <c r="D358" s="5" t="str">
        <f>IFERROR(__xludf.DUMMYFUNCTION("""COMPUTED_VALUE"""),"Teasa Spaceport")</f>
        <v>Teasa Spaceport</v>
      </c>
      <c r="E358" s="7" t="str">
        <f>IFERROR(__xludf.DUMMYFUNCTION("""COMPUTED_VALUE"""),"Teasa")</f>
        <v>Teasa</v>
      </c>
      <c r="F358" s="8">
        <f>IFERROR(__xludf.DUMMYFUNCTION("""COMPUTED_VALUE"""),-327.031381266253)</f>
        <v>-327.031381266253</v>
      </c>
      <c r="G358" s="8">
        <f>IFERROR(__xludf.DUMMYFUNCTION("""COMPUTED_VALUE"""),-758.51897055822)</f>
        <v>-758.51897055822</v>
      </c>
      <c r="H358" s="8">
        <f>IFERROR(__xludf.DUMMYFUNCTION("""COMPUTED_VALUE"""),565.629243210651)</f>
        <v>565.629243210651</v>
      </c>
      <c r="I358" s="14"/>
      <c r="J358" s="14"/>
      <c r="K358" s="14"/>
      <c r="L358" s="14"/>
      <c r="M358" s="7" t="b">
        <f>IFERROR(__xludf.DUMMYFUNCTION("""COMPUTED_VALUE"""),FALSE)</f>
        <v>0</v>
      </c>
      <c r="N358" s="10">
        <f>IFERROR(__xludf.DUMMYFUNCTION("""COMPUTED_VALUE"""),0)</f>
        <v>0</v>
      </c>
      <c r="O358" s="10">
        <f>IFERROR(__xludf.DUMMYFUNCTION("""COMPUTED_VALUE"""),0)</f>
        <v>0</v>
      </c>
      <c r="P358" s="8"/>
      <c r="Q358" s="7"/>
      <c r="R358" s="16"/>
      <c r="S358" s="17"/>
      <c r="T358" s="8"/>
      <c r="U358" s="8"/>
      <c r="V358" s="22"/>
      <c r="W358" s="12"/>
      <c r="X358" s="12"/>
      <c r="Y358" s="12"/>
      <c r="Z358" s="12"/>
      <c r="AA358" s="7"/>
      <c r="AB358" s="12"/>
      <c r="AC358" s="6"/>
      <c r="AD358" s="6"/>
      <c r="AE358" s="7"/>
      <c r="AF358" s="7"/>
      <c r="AG358" s="7"/>
      <c r="AH358" s="7"/>
      <c r="AI358" s="7"/>
      <c r="AJ358" s="7"/>
      <c r="AK358" s="7"/>
      <c r="AL358" s="7"/>
      <c r="AM358" s="7"/>
      <c r="AN358" s="7"/>
      <c r="AO358" s="6"/>
      <c r="AP358" s="7"/>
      <c r="AQ358" s="7"/>
      <c r="AR358" s="6"/>
      <c r="AS358" s="7"/>
      <c r="AT358" s="7"/>
      <c r="AU358" s="7"/>
      <c r="AV358" s="7"/>
      <c r="AW358" s="7"/>
      <c r="AX358" s="7"/>
      <c r="AY358" s="7"/>
      <c r="AZ358" s="7"/>
      <c r="BA358" s="7"/>
      <c r="BB358" s="7"/>
      <c r="BC358" s="7"/>
      <c r="BD358" s="7"/>
      <c r="BE358" s="7"/>
      <c r="BF358" s="7"/>
      <c r="BG358" s="7"/>
    </row>
    <row r="359" customHeight="1" spans="1:59">
      <c r="A359" s="9" t="str">
        <f>IFERROR(__xludf.DUMMYFUNCTION("""COMPUTED_VALUE"""),"Hurston 02")</f>
        <v>Hurston 02</v>
      </c>
      <c r="B359" s="5" t="str">
        <f>IFERROR(__xludf.DUMMYFUNCTION("""COMPUTED_VALUE"""),"Hurston 03")</f>
        <v>Hurston 03</v>
      </c>
      <c r="C359" s="5" t="str">
        <f>IFERROR(__xludf.DUMMYFUNCTION("""COMPUTED_VALUE"""),"Hurston 106")</f>
        <v>Hurston 106</v>
      </c>
      <c r="D359" s="5" t="str">
        <f>IFERROR(__xludf.DUMMYFUNCTION("""COMPUTED_VALUE"""),"Everus Harbor")</f>
        <v>Everus Harbor</v>
      </c>
      <c r="E359" s="7" t="str">
        <f>IFERROR(__xludf.DUMMYFUNCTION("""COMPUTED_VALUE"""),"Everus")</f>
        <v>Everus</v>
      </c>
      <c r="F359" s="8">
        <f>IFERROR(__xludf.DUMMYFUNCTION("""COMPUTED_VALUE"""),-507.7423125)</f>
        <v>-507.7423125</v>
      </c>
      <c r="G359" s="8">
        <f>IFERROR(__xludf.DUMMYFUNCTION("""COMPUTED_VALUE"""),-903.4644375)</f>
        <v>-903.4644375</v>
      </c>
      <c r="H359" s="8">
        <f>IFERROR(__xludf.DUMMYFUNCTION("""COMPUTED_VALUE"""),496.4890625)</f>
        <v>496.4890625</v>
      </c>
      <c r="I359" s="14"/>
      <c r="J359" s="14"/>
      <c r="K359" s="14"/>
      <c r="L359" s="14"/>
      <c r="M359" s="7" t="b">
        <f>IFERROR(__xludf.DUMMYFUNCTION("""COMPUTED_VALUE"""),TRUE)</f>
        <v>1</v>
      </c>
      <c r="N359" s="10">
        <f>IFERROR(__xludf.DUMMYFUNCTION("""COMPUTED_VALUE"""),0)</f>
        <v>0</v>
      </c>
      <c r="O359" s="10">
        <f>IFERROR(__xludf.DUMMYFUNCTION("""COMPUTED_VALUE"""),0)</f>
        <v>0</v>
      </c>
      <c r="P359" s="8"/>
      <c r="Q359" s="7"/>
      <c r="R359" s="16"/>
      <c r="S359" s="17"/>
      <c r="T359" s="8"/>
      <c r="U359" s="8"/>
      <c r="V359" s="22"/>
      <c r="W359" s="12"/>
      <c r="X359" s="12"/>
      <c r="Y359" s="12"/>
      <c r="Z359" s="12"/>
      <c r="AA359" s="7"/>
      <c r="AB359" s="12"/>
      <c r="AC359" s="6"/>
      <c r="AD359" s="6"/>
      <c r="AE359" s="7"/>
      <c r="AF359" s="7"/>
      <c r="AG359" s="7"/>
      <c r="AH359" s="7"/>
      <c r="AI359" s="7"/>
      <c r="AJ359" s="7"/>
      <c r="AK359" s="7"/>
      <c r="AL359" s="7"/>
      <c r="AM359" s="7"/>
      <c r="AN359" s="7"/>
      <c r="AO359" s="6"/>
      <c r="AP359" s="7"/>
      <c r="AQ359" s="7"/>
      <c r="AR359" s="6"/>
      <c r="AS359" s="7"/>
      <c r="AT359" s="7"/>
      <c r="AU359" s="7"/>
      <c r="AV359" s="7"/>
      <c r="AW359" s="7"/>
      <c r="AX359" s="7"/>
      <c r="AY359" s="7"/>
      <c r="AZ359" s="7"/>
      <c r="BA359" s="7"/>
      <c r="BB359" s="7"/>
      <c r="BC359" s="7"/>
      <c r="BD359" s="7"/>
      <c r="BE359" s="7"/>
      <c r="BF359" s="7"/>
      <c r="BG359" s="7"/>
    </row>
    <row r="360" customHeight="1" spans="1:59">
      <c r="A360" s="9" t="str">
        <f>IFERROR(__xludf.DUMMYFUNCTION("""COMPUTED_VALUE"""),"Hurston")</f>
        <v>Hurston</v>
      </c>
      <c r="B360" s="5" t="str">
        <f>IFERROR(__xludf.DUMMYFUNCTION("""COMPUTED_VALUE"""),"Hurston 05")</f>
        <v>Hurston 05</v>
      </c>
      <c r="C360" s="5"/>
      <c r="D360" s="5" t="str">
        <f>IFERROR(__xludf.DUMMYFUNCTION("""COMPUTED_VALUE"""),"Trading Terminals")</f>
        <v>Trading Terminals</v>
      </c>
      <c r="E360" s="7"/>
      <c r="F360" s="8"/>
      <c r="G360" s="8"/>
      <c r="H360" s="8"/>
      <c r="I360" s="14"/>
      <c r="J360" s="14"/>
      <c r="K360" s="14"/>
      <c r="L360" s="14"/>
      <c r="M360" s="7"/>
      <c r="N360" s="10"/>
      <c r="O360" s="10"/>
      <c r="P360" s="8"/>
      <c r="Q360" s="7"/>
      <c r="R360" s="16"/>
      <c r="S360" s="17"/>
      <c r="T360" s="8"/>
      <c r="U360" s="8"/>
      <c r="V360" s="22"/>
      <c r="W360" s="12"/>
      <c r="X360" s="12"/>
      <c r="Y360" s="12"/>
      <c r="Z360" s="12"/>
      <c r="AA360" s="7"/>
      <c r="AB360" s="12"/>
      <c r="AC360" s="6"/>
      <c r="AD360" s="6"/>
      <c r="AE360" s="7"/>
      <c r="AF360" s="7"/>
      <c r="AG360" s="7"/>
      <c r="AH360" s="7"/>
      <c r="AI360" s="7"/>
      <c r="AJ360" s="7"/>
      <c r="AK360" s="7"/>
      <c r="AL360" s="7"/>
      <c r="AM360" s="7"/>
      <c r="AN360" s="7"/>
      <c r="AO360" s="6"/>
      <c r="AP360" s="7"/>
      <c r="AQ360" s="7"/>
      <c r="AR360" s="6"/>
      <c r="AS360" s="7"/>
      <c r="AT360" s="7"/>
      <c r="AU360" s="7"/>
      <c r="AV360" s="7"/>
      <c r="AW360" s="7"/>
      <c r="AX360" s="7"/>
      <c r="AY360" s="7"/>
      <c r="AZ360" s="7"/>
      <c r="BA360" s="7"/>
      <c r="BB360" s="7"/>
      <c r="BC360" s="7"/>
      <c r="BD360" s="7"/>
      <c r="BE360" s="7"/>
      <c r="BF360" s="7"/>
      <c r="BG360" s="7"/>
    </row>
    <row r="361" customHeight="1" spans="1:59">
      <c r="A361" s="9" t="str">
        <f>IFERROR(__xludf.DUMMYFUNCTION("""COMPUTED_VALUE"""),"Hurston 03")</f>
        <v>Hurston 03</v>
      </c>
      <c r="B361" s="5" t="str">
        <f>IFERROR(__xludf.DUMMYFUNCTION("""COMPUTED_VALUE"""),"Hurston 06")</f>
        <v>Hurston 06</v>
      </c>
      <c r="C361" s="5" t="str">
        <f>IFERROR(__xludf.DUMMYFUNCTION("""COMPUTED_VALUE"""),"Hurston 98")</f>
        <v>Hurston 98</v>
      </c>
      <c r="D361" s="5" t="str">
        <f>IFERROR(__xludf.DUMMYFUNCTION("""COMPUTED_VALUE"""),"HDMS Edmond (PB)")</f>
        <v>HDMS Edmond (PB)</v>
      </c>
      <c r="E361" s="7" t="str">
        <f>IFERROR(__xludf.DUMMYFUNCTION("""COMPUTED_VALUE"""),"Edmond")</f>
        <v>Edmond</v>
      </c>
      <c r="F361" s="8">
        <f>IFERROR(__xludf.DUMMYFUNCTION("""COMPUTED_VALUE"""),-284.480126417325)</f>
        <v>-284.480126417325</v>
      </c>
      <c r="G361" s="8">
        <f>IFERROR(__xludf.DUMMYFUNCTION("""COMPUTED_VALUE"""),-730.502066139479)</f>
        <v>-730.502066139479</v>
      </c>
      <c r="H361" s="8">
        <f>IFERROR(__xludf.DUMMYFUNCTION("""COMPUTED_VALUE"""),620.924440593545)</f>
        <v>620.924440593545</v>
      </c>
      <c r="I361" s="14"/>
      <c r="J361" s="14"/>
      <c r="K361" s="14"/>
      <c r="L361" s="14"/>
      <c r="M361" s="7" t="b">
        <f>IFERROR(__xludf.DUMMYFUNCTION("""COMPUTED_VALUE"""),TRUE)</f>
        <v>1</v>
      </c>
      <c r="N361" s="10">
        <f>IFERROR(__xludf.DUMMYFUNCTION("""COMPUTED_VALUE"""),0)</f>
        <v>0</v>
      </c>
      <c r="O361" s="10">
        <f>IFERROR(__xludf.DUMMYFUNCTION("""COMPUTED_VALUE"""),0)</f>
        <v>0</v>
      </c>
      <c r="P361" s="8"/>
      <c r="Q361" s="7"/>
      <c r="R361" s="16"/>
      <c r="S361" s="17"/>
      <c r="T361" s="8"/>
      <c r="U361" s="8"/>
      <c r="V361" s="22"/>
      <c r="W361" s="12"/>
      <c r="X361" s="12"/>
      <c r="Y361" s="12"/>
      <c r="Z361" s="12"/>
      <c r="AA361" s="7"/>
      <c r="AB361" s="12"/>
      <c r="AC361" s="6"/>
      <c r="AD361" s="6"/>
      <c r="AE361" s="7"/>
      <c r="AF361" s="7"/>
      <c r="AG361" s="7"/>
      <c r="AH361" s="7"/>
      <c r="AI361" s="7"/>
      <c r="AJ361" s="7"/>
      <c r="AK361" s="7"/>
      <c r="AL361" s="7"/>
      <c r="AM361" s="7"/>
      <c r="AN361" s="7"/>
      <c r="AO361" s="6"/>
      <c r="AP361" s="7"/>
      <c r="AQ361" s="7"/>
      <c r="AR361" s="6"/>
      <c r="AS361" s="7"/>
      <c r="AT361" s="7"/>
      <c r="AU361" s="7"/>
      <c r="AV361" s="7"/>
      <c r="AW361" s="7"/>
      <c r="AX361" s="7"/>
      <c r="AY361" s="7"/>
      <c r="AZ361" s="7"/>
      <c r="BA361" s="7"/>
      <c r="BB361" s="7"/>
      <c r="BC361" s="7"/>
      <c r="BD361" s="7"/>
      <c r="BE361" s="7"/>
      <c r="BF361" s="7"/>
      <c r="BG361" s="7"/>
    </row>
    <row r="362" customHeight="1" spans="1:59">
      <c r="A362" s="9" t="str">
        <f>IFERROR(__xludf.DUMMYFUNCTION("""COMPUTED_VALUE"""),"Hurston 04")</f>
        <v>Hurston 04</v>
      </c>
      <c r="B362" s="5" t="str">
        <f>IFERROR(__xludf.DUMMYFUNCTION("""COMPUTED_VALUE"""),"Hurston 07")</f>
        <v>Hurston 07</v>
      </c>
      <c r="C362" s="5" t="str">
        <f>IFERROR(__xludf.DUMMYFUNCTION("""COMPUTED_VALUE"""),"Hurston 69")</f>
        <v>Hurston 69</v>
      </c>
      <c r="D362" s="5" t="str">
        <f>IFERROR(__xludf.DUMMYFUNCTION("""COMPUTED_VALUE"""),"HDMS Hadley (PB)")</f>
        <v>HDMS Hadley (PB)</v>
      </c>
      <c r="E362" s="7" t="str">
        <f>IFERROR(__xludf.DUMMYFUNCTION("""COMPUTED_VALUE"""),"Hadley")</f>
        <v>Hadley</v>
      </c>
      <c r="F362" s="8">
        <f>IFERROR(__xludf.DUMMYFUNCTION("""COMPUTED_VALUE"""),626.16661770448)</f>
        <v>626.16661770448</v>
      </c>
      <c r="G362" s="8">
        <f>IFERROR(__xludf.DUMMYFUNCTION("""COMPUTED_VALUE"""),-583.971055696104)</f>
        <v>-583.971055696104</v>
      </c>
      <c r="H362" s="8">
        <f>IFERROR(__xludf.DUMMYFUNCTION("""COMPUTED_VALUE"""),-518.485462709082)</f>
        <v>-518.485462709082</v>
      </c>
      <c r="I362" s="14"/>
      <c r="J362" s="14"/>
      <c r="K362" s="14"/>
      <c r="L362" s="14"/>
      <c r="M362" s="7" t="b">
        <f>IFERROR(__xludf.DUMMYFUNCTION("""COMPUTED_VALUE"""),TRUE)</f>
        <v>1</v>
      </c>
      <c r="N362" s="10">
        <f>IFERROR(__xludf.DUMMYFUNCTION("""COMPUTED_VALUE"""),0)</f>
        <v>0</v>
      </c>
      <c r="O362" s="10">
        <f>IFERROR(__xludf.DUMMYFUNCTION("""COMPUTED_VALUE"""),0)</f>
        <v>0</v>
      </c>
      <c r="P362" s="8"/>
      <c r="Q362" s="7"/>
      <c r="R362" s="16"/>
      <c r="S362" s="17"/>
      <c r="T362" s="8"/>
      <c r="U362" s="8"/>
      <c r="V362" s="22"/>
      <c r="W362" s="12"/>
      <c r="X362" s="12"/>
      <c r="Y362" s="12"/>
      <c r="Z362" s="12"/>
      <c r="AA362" s="7"/>
      <c r="AB362" s="12"/>
      <c r="AC362" s="6"/>
      <c r="AD362" s="6"/>
      <c r="AE362" s="7"/>
      <c r="AF362" s="7"/>
      <c r="AG362" s="7"/>
      <c r="AH362" s="7"/>
      <c r="AI362" s="7"/>
      <c r="AJ362" s="7"/>
      <c r="AK362" s="7"/>
      <c r="AL362" s="7"/>
      <c r="AM362" s="7"/>
      <c r="AN362" s="7"/>
      <c r="AO362" s="6"/>
      <c r="AP362" s="7"/>
      <c r="AQ362" s="7"/>
      <c r="AR362" s="6"/>
      <c r="AS362" s="7"/>
      <c r="AT362" s="7"/>
      <c r="AU362" s="7"/>
      <c r="AV362" s="7"/>
      <c r="AW362" s="7"/>
      <c r="AX362" s="7"/>
      <c r="AY362" s="7"/>
      <c r="AZ362" s="7"/>
      <c r="BA362" s="7"/>
      <c r="BB362" s="7"/>
      <c r="BC362" s="7"/>
      <c r="BD362" s="7"/>
      <c r="BE362" s="7"/>
      <c r="BF362" s="7"/>
      <c r="BG362" s="7"/>
    </row>
    <row r="363" customHeight="1" spans="1:59">
      <c r="A363" s="9" t="str">
        <f>IFERROR(__xludf.DUMMYFUNCTION("""COMPUTED_VALUE"""),"Hurston 05")</f>
        <v>Hurston 05</v>
      </c>
      <c r="B363" s="5" t="str">
        <f>IFERROR(__xludf.DUMMYFUNCTION("""COMPUTED_VALUE"""),"Hurston 08")</f>
        <v>Hurston 08</v>
      </c>
      <c r="C363" s="5" t="str">
        <f>IFERROR(__xludf.DUMMYFUNCTION("""COMPUTED_VALUE"""),"Hurston 135")</f>
        <v>Hurston 135</v>
      </c>
      <c r="D363" s="5" t="str">
        <f>IFERROR(__xludf.DUMMYFUNCTION("""COMPUTED_VALUE"""),"HDMS Oparei (PB)")</f>
        <v>HDMS Oparei (PB)</v>
      </c>
      <c r="E363" s="7" t="str">
        <f>IFERROR(__xludf.DUMMYFUNCTION("""COMPUTED_VALUE"""),"Oparei")</f>
        <v>Oparei</v>
      </c>
      <c r="F363" s="8">
        <f>IFERROR(__xludf.DUMMYFUNCTION("""COMPUTED_VALUE"""),-556.12599022094)</f>
        <v>-556.12599022094</v>
      </c>
      <c r="G363" s="8">
        <f>IFERROR(__xludf.DUMMYFUNCTION("""COMPUTED_VALUE"""),-72.590748723546)</f>
        <v>-72.590748723546</v>
      </c>
      <c r="H363" s="8">
        <f>IFERROR(__xludf.DUMMYFUNCTION("""COMPUTED_VALUE"""),-828.070672938996)</f>
        <v>-828.070672938996</v>
      </c>
      <c r="I363" s="14"/>
      <c r="J363" s="14"/>
      <c r="K363" s="14"/>
      <c r="L363" s="14"/>
      <c r="M363" s="7" t="b">
        <f>IFERROR(__xludf.DUMMYFUNCTION("""COMPUTED_VALUE"""),TRUE)</f>
        <v>1</v>
      </c>
      <c r="N363" s="10">
        <f>IFERROR(__xludf.DUMMYFUNCTION("""COMPUTED_VALUE"""),0)</f>
        <v>0</v>
      </c>
      <c r="O363" s="10">
        <f>IFERROR(__xludf.DUMMYFUNCTION("""COMPUTED_VALUE"""),0)</f>
        <v>0</v>
      </c>
      <c r="P363" s="8"/>
      <c r="Q363" s="7"/>
      <c r="R363" s="16"/>
      <c r="S363" s="17"/>
      <c r="T363" s="8"/>
      <c r="U363" s="8"/>
      <c r="V363" s="22"/>
      <c r="W363" s="12"/>
      <c r="X363" s="12"/>
      <c r="Y363" s="12"/>
      <c r="Z363" s="12"/>
      <c r="AA363" s="7"/>
      <c r="AB363" s="12"/>
      <c r="AC363" s="6"/>
      <c r="AD363" s="6"/>
      <c r="AE363" s="7"/>
      <c r="AF363" s="7"/>
      <c r="AG363" s="7"/>
      <c r="AH363" s="7"/>
      <c r="AI363" s="7"/>
      <c r="AJ363" s="7"/>
      <c r="AK363" s="7"/>
      <c r="AL363" s="7"/>
      <c r="AM363" s="7"/>
      <c r="AN363" s="7"/>
      <c r="AO363" s="6"/>
      <c r="AP363" s="7"/>
      <c r="AQ363" s="7"/>
      <c r="AR363" s="6"/>
      <c r="AS363" s="7"/>
      <c r="AT363" s="7"/>
      <c r="AU363" s="7"/>
      <c r="AV363" s="7"/>
      <c r="AW363" s="7"/>
      <c r="AX363" s="7"/>
      <c r="AY363" s="7"/>
      <c r="AZ363" s="7"/>
      <c r="BA363" s="7"/>
      <c r="BB363" s="7"/>
      <c r="BC363" s="7"/>
      <c r="BD363" s="7"/>
      <c r="BE363" s="7"/>
      <c r="BF363" s="7"/>
      <c r="BG363" s="7"/>
    </row>
    <row r="364" customHeight="1" spans="1:59">
      <c r="A364" s="9" t="str">
        <f>IFERROR(__xludf.DUMMYFUNCTION("""COMPUTED_VALUE"""),"Hurston 06")</f>
        <v>Hurston 06</v>
      </c>
      <c r="B364" s="5" t="str">
        <f>IFERROR(__xludf.DUMMYFUNCTION("""COMPUTED_VALUE"""),"Hurston 09")</f>
        <v>Hurston 09</v>
      </c>
      <c r="C364" s="5" t="str">
        <f>IFERROR(__xludf.DUMMYFUNCTION("""COMPUTED_VALUE"""),"Hurston 55")</f>
        <v>Hurston 55</v>
      </c>
      <c r="D364" s="5" t="str">
        <f>IFERROR(__xludf.DUMMYFUNCTION("""COMPUTED_VALUE"""),"HDMS Pinewood (PB)")</f>
        <v>HDMS Pinewood (PB)</v>
      </c>
      <c r="E364" s="7" t="str">
        <f>IFERROR(__xludf.DUMMYFUNCTION("""COMPUTED_VALUE"""),"Pinewood")</f>
        <v>Pinewood</v>
      </c>
      <c r="F364" s="8">
        <f>IFERROR(__xludf.DUMMYFUNCTION("""COMPUTED_VALUE"""),985.563995772686)</f>
        <v>985.563995772686</v>
      </c>
      <c r="G364" s="8">
        <f>IFERROR(__xludf.DUMMYFUNCTION("""COMPUTED_VALUE"""),90.029273051344)</f>
        <v>90.029273051344</v>
      </c>
      <c r="H364" s="8">
        <f>IFERROR(__xludf.DUMMYFUNCTION("""COMPUTED_VALUE"""),149.896296232059)</f>
        <v>149.896296232059</v>
      </c>
      <c r="I364" s="14"/>
      <c r="J364" s="14"/>
      <c r="K364" s="14"/>
      <c r="L364" s="14"/>
      <c r="M364" s="7" t="b">
        <f>IFERROR(__xludf.DUMMYFUNCTION("""COMPUTED_VALUE"""),TRUE)</f>
        <v>1</v>
      </c>
      <c r="N364" s="10">
        <f>IFERROR(__xludf.DUMMYFUNCTION("""COMPUTED_VALUE"""),0)</f>
        <v>0</v>
      </c>
      <c r="O364" s="10">
        <f>IFERROR(__xludf.DUMMYFUNCTION("""COMPUTED_VALUE"""),0)</f>
        <v>0</v>
      </c>
      <c r="P364" s="8"/>
      <c r="Q364" s="7"/>
      <c r="R364" s="16"/>
      <c r="S364" s="17"/>
      <c r="T364" s="8"/>
      <c r="U364" s="8"/>
      <c r="V364" s="22"/>
      <c r="W364" s="12"/>
      <c r="X364" s="12"/>
      <c r="Y364" s="12"/>
      <c r="Z364" s="12"/>
      <c r="AA364" s="7"/>
      <c r="AB364" s="12"/>
      <c r="AC364" s="6"/>
      <c r="AD364" s="6"/>
      <c r="AE364" s="7"/>
      <c r="AF364" s="7"/>
      <c r="AG364" s="7"/>
      <c r="AH364" s="7"/>
      <c r="AI364" s="7"/>
      <c r="AJ364" s="7"/>
      <c r="AK364" s="7"/>
      <c r="AL364" s="7"/>
      <c r="AM364" s="7"/>
      <c r="AN364" s="7"/>
      <c r="AO364" s="6"/>
      <c r="AP364" s="7"/>
      <c r="AQ364" s="7"/>
      <c r="AR364" s="6"/>
      <c r="AS364" s="7"/>
      <c r="AT364" s="7"/>
      <c r="AU364" s="7"/>
      <c r="AV364" s="7"/>
      <c r="AW364" s="7"/>
      <c r="AX364" s="7"/>
      <c r="AY364" s="7"/>
      <c r="AZ364" s="7"/>
      <c r="BA364" s="7"/>
      <c r="BB364" s="7"/>
      <c r="BC364" s="7"/>
      <c r="BD364" s="7"/>
      <c r="BE364" s="7"/>
      <c r="BF364" s="7"/>
      <c r="BG364" s="7"/>
    </row>
    <row r="365" customHeight="1" spans="1:59">
      <c r="A365" s="9" t="str">
        <f>IFERROR(__xludf.DUMMYFUNCTION("""COMPUTED_VALUE"""),"Hurston 07")</f>
        <v>Hurston 07</v>
      </c>
      <c r="B365" s="5" t="str">
        <f>IFERROR(__xludf.DUMMYFUNCTION("""COMPUTED_VALUE"""),"Hurston 10")</f>
        <v>Hurston 10</v>
      </c>
      <c r="C365" s="5" t="str">
        <f>IFERROR(__xludf.DUMMYFUNCTION("""COMPUTED_VALUE"""),"Hurston 03")</f>
        <v>Hurston 03</v>
      </c>
      <c r="D365" s="5" t="str">
        <f>IFERROR(__xludf.DUMMYFUNCTION("""COMPUTED_VALUE"""),"HDMS Stanhope (PB)")</f>
        <v>HDMS Stanhope (PB)</v>
      </c>
      <c r="E365" s="7" t="str">
        <f>IFERROR(__xludf.DUMMYFUNCTION("""COMPUTED_VALUE"""),"Stanhope")</f>
        <v>Stanhope</v>
      </c>
      <c r="F365" s="8">
        <f>IFERROR(__xludf.DUMMYFUNCTION("""COMPUTED_VALUE"""),-648.608077207036)</f>
        <v>-648.608077207036</v>
      </c>
      <c r="G365" s="8">
        <f>IFERROR(__xludf.DUMMYFUNCTION("""COMPUTED_VALUE"""),198.312645121692)</f>
        <v>198.312645121692</v>
      </c>
      <c r="H365" s="8">
        <f>IFERROR(__xludf.DUMMYFUNCTION("""COMPUTED_VALUE"""),735.120829168693)</f>
        <v>735.120829168693</v>
      </c>
      <c r="I365" s="14"/>
      <c r="J365" s="14"/>
      <c r="K365" s="14"/>
      <c r="L365" s="14"/>
      <c r="M365" s="7" t="b">
        <f>IFERROR(__xludf.DUMMYFUNCTION("""COMPUTED_VALUE"""),TRUE)</f>
        <v>1</v>
      </c>
      <c r="N365" s="10">
        <f>IFERROR(__xludf.DUMMYFUNCTION("""COMPUTED_VALUE"""),0)</f>
        <v>0</v>
      </c>
      <c r="O365" s="10">
        <f>IFERROR(__xludf.DUMMYFUNCTION("""COMPUTED_VALUE"""),0)</f>
        <v>0</v>
      </c>
      <c r="P365" s="8"/>
      <c r="Q365" s="7"/>
      <c r="R365" s="16"/>
      <c r="S365" s="17"/>
      <c r="T365" s="8"/>
      <c r="U365" s="8"/>
      <c r="V365" s="22"/>
      <c r="W365" s="12"/>
      <c r="X365" s="12"/>
      <c r="Y365" s="12"/>
      <c r="Z365" s="12"/>
      <c r="AA365" s="7"/>
      <c r="AB365" s="12"/>
      <c r="AC365" s="6"/>
      <c r="AD365" s="6"/>
      <c r="AE365" s="7"/>
      <c r="AF365" s="7"/>
      <c r="AG365" s="7"/>
      <c r="AH365" s="7"/>
      <c r="AI365" s="7"/>
      <c r="AJ365" s="7"/>
      <c r="AK365" s="7"/>
      <c r="AL365" s="7"/>
      <c r="AM365" s="7"/>
      <c r="AN365" s="7"/>
      <c r="AO365" s="6"/>
      <c r="AP365" s="7"/>
      <c r="AQ365" s="7"/>
      <c r="AR365" s="6"/>
      <c r="AS365" s="7"/>
      <c r="AT365" s="7"/>
      <c r="AU365" s="7"/>
      <c r="AV365" s="7"/>
      <c r="AW365" s="7"/>
      <c r="AX365" s="7"/>
      <c r="AY365" s="7"/>
      <c r="AZ365" s="7"/>
      <c r="BA365" s="7"/>
      <c r="BB365" s="7"/>
      <c r="BC365" s="7"/>
      <c r="BD365" s="7"/>
      <c r="BE365" s="7"/>
      <c r="BF365" s="7"/>
      <c r="BG365" s="7"/>
    </row>
    <row r="366" customHeight="1" spans="1:59">
      <c r="A366" s="9" t="str">
        <f>IFERROR(__xludf.DUMMYFUNCTION("""COMPUTED_VALUE"""),"Hurston 08")</f>
        <v>Hurston 08</v>
      </c>
      <c r="B366" s="5" t="str">
        <f>IFERROR(__xludf.DUMMYFUNCTION("""COMPUTED_VALUE"""),"Hurston 11")</f>
        <v>Hurston 11</v>
      </c>
      <c r="C366" s="5" t="str">
        <f>IFERROR(__xludf.DUMMYFUNCTION("""COMPUTED_VALUE"""),"Hurston 45")</f>
        <v>Hurston 45</v>
      </c>
      <c r="D366" s="5" t="str">
        <f>IFERROR(__xludf.DUMMYFUNCTION("""COMPUTED_VALUE"""),"HDMS Thedus (PB)")</f>
        <v>HDMS Thedus (PB)</v>
      </c>
      <c r="E366" s="7" t="str">
        <f>IFERROR(__xludf.DUMMYFUNCTION("""COMPUTED_VALUE"""),"Thedus")</f>
        <v>Thedus</v>
      </c>
      <c r="F366" s="8">
        <f>IFERROR(__xludf.DUMMYFUNCTION("""COMPUTED_VALUE"""),443.321550843625)</f>
        <v>443.321550843625</v>
      </c>
      <c r="G366" s="8">
        <f>IFERROR(__xludf.DUMMYFUNCTION("""COMPUTED_VALUE"""),891.524914058892)</f>
        <v>891.524914058892</v>
      </c>
      <c r="H366" s="8">
        <f>IFERROR(__xludf.DUMMYFUNCTION("""COMPUTED_VALUE"""),101.509036393495)</f>
        <v>101.509036393495</v>
      </c>
      <c r="I366" s="14"/>
      <c r="J366" s="14"/>
      <c r="K366" s="14"/>
      <c r="L366" s="14"/>
      <c r="M366" s="7" t="b">
        <f>IFERROR(__xludf.DUMMYFUNCTION("""COMPUTED_VALUE"""),TRUE)</f>
        <v>1</v>
      </c>
      <c r="N366" s="10">
        <f>IFERROR(__xludf.DUMMYFUNCTION("""COMPUTED_VALUE"""),0)</f>
        <v>0</v>
      </c>
      <c r="O366" s="10">
        <f>IFERROR(__xludf.DUMMYFUNCTION("""COMPUTED_VALUE"""),0)</f>
        <v>0</v>
      </c>
      <c r="P366" s="8"/>
      <c r="Q366" s="7"/>
      <c r="R366" s="16"/>
      <c r="S366" s="17"/>
      <c r="T366" s="8"/>
      <c r="U366" s="8"/>
      <c r="V366" s="22"/>
      <c r="W366" s="12"/>
      <c r="X366" s="12"/>
      <c r="Y366" s="12"/>
      <c r="Z366" s="12"/>
      <c r="AA366" s="7"/>
      <c r="AB366" s="12"/>
      <c r="AC366" s="6"/>
      <c r="AD366" s="6"/>
      <c r="AE366" s="7"/>
      <c r="AF366" s="7"/>
      <c r="AG366" s="7"/>
      <c r="AH366" s="7"/>
      <c r="AI366" s="7"/>
      <c r="AJ366" s="7"/>
      <c r="AK366" s="7"/>
      <c r="AL366" s="7"/>
      <c r="AM366" s="7"/>
      <c r="AN366" s="7"/>
      <c r="AO366" s="6"/>
      <c r="AP366" s="7"/>
      <c r="AQ366" s="7"/>
      <c r="AR366" s="6"/>
      <c r="AS366" s="7"/>
      <c r="AT366" s="7"/>
      <c r="AU366" s="7"/>
      <c r="AV366" s="7"/>
      <c r="AW366" s="7"/>
      <c r="AX366" s="7"/>
      <c r="AY366" s="7"/>
      <c r="AZ366" s="7"/>
      <c r="BA366" s="7"/>
      <c r="BB366" s="7"/>
      <c r="BC366" s="7"/>
      <c r="BD366" s="7"/>
      <c r="BE366" s="7"/>
      <c r="BF366" s="7"/>
      <c r="BG366" s="7"/>
    </row>
    <row r="367" customHeight="1" spans="1:59">
      <c r="A367" s="9" t="str">
        <f>IFERROR(__xludf.DUMMYFUNCTION("""COMPUTED_VALUE"""),"Hurston 09")</f>
        <v>Hurston 09</v>
      </c>
      <c r="B367" s="5" t="str">
        <f>IFERROR(__xludf.DUMMYFUNCTION("""COMPUTED_VALUE"""),"Hurston 12")</f>
        <v>Hurston 12</v>
      </c>
      <c r="C367" s="5" t="str">
        <f>IFERROR(__xludf.DUMMYFUNCTION("""COMPUTED_VALUE"""),"Hurston 87")</f>
        <v>Hurston 87</v>
      </c>
      <c r="D367" s="5" t="str">
        <f>IFERROR(__xludf.DUMMYFUNCTION("""COMPUTED_VALUE"""),"Reclamation &amp; Disposal Orinth")</f>
        <v>Reclamation &amp; Disposal Orinth</v>
      </c>
      <c r="E367" s="7" t="str">
        <f>IFERROR(__xludf.DUMMYFUNCTION("""COMPUTED_VALUE"""),"R&amp;D Orinth")</f>
        <v>R&amp;D Orinth</v>
      </c>
      <c r="F367" s="8">
        <f>IFERROR(__xludf.DUMMYFUNCTION("""COMPUTED_VALUE"""),1.141058743102)</f>
        <v>1.141058743102</v>
      </c>
      <c r="G367" s="8">
        <f>IFERROR(__xludf.DUMMYFUNCTION("""COMPUTED_VALUE"""),-794.27589399025)</f>
        <v>-794.27589399025</v>
      </c>
      <c r="H367" s="8">
        <f>IFERROR(__xludf.DUMMYFUNCTION("""COMPUTED_VALUE"""),607.652264528287)</f>
        <v>607.652264528287</v>
      </c>
      <c r="I367" s="14"/>
      <c r="J367" s="14"/>
      <c r="K367" s="14"/>
      <c r="L367" s="14"/>
      <c r="M367" s="7" t="b">
        <f>IFERROR(__xludf.DUMMYFUNCTION("""COMPUTED_VALUE"""),TRUE)</f>
        <v>1</v>
      </c>
      <c r="N367" s="10">
        <f>IFERROR(__xludf.DUMMYFUNCTION("""COMPUTED_VALUE"""),0)</f>
        <v>0</v>
      </c>
      <c r="O367" s="10">
        <f>IFERROR(__xludf.DUMMYFUNCTION("""COMPUTED_VALUE"""),0)</f>
        <v>0</v>
      </c>
      <c r="P367" s="8"/>
      <c r="Q367" s="7"/>
      <c r="R367" s="16"/>
      <c r="S367" s="17"/>
      <c r="T367" s="8"/>
      <c r="U367" s="8"/>
      <c r="V367" s="22"/>
      <c r="W367" s="12"/>
      <c r="X367" s="12"/>
      <c r="Y367" s="12"/>
      <c r="Z367" s="12"/>
      <c r="AA367" s="7"/>
      <c r="AB367" s="12"/>
      <c r="AC367" s="6"/>
      <c r="AD367" s="6"/>
      <c r="AE367" s="7"/>
      <c r="AF367" s="7"/>
      <c r="AG367" s="7"/>
      <c r="AH367" s="7"/>
      <c r="AI367" s="7"/>
      <c r="AJ367" s="7"/>
      <c r="AK367" s="7"/>
      <c r="AL367" s="7"/>
      <c r="AM367" s="7"/>
      <c r="AN367" s="7"/>
      <c r="AO367" s="6"/>
      <c r="AP367" s="7"/>
      <c r="AQ367" s="7"/>
      <c r="AR367" s="6"/>
      <c r="AS367" s="7"/>
      <c r="AT367" s="7"/>
      <c r="AU367" s="7"/>
      <c r="AV367" s="7"/>
      <c r="AW367" s="7"/>
      <c r="AX367" s="7"/>
      <c r="AY367" s="7"/>
      <c r="AZ367" s="7"/>
      <c r="BA367" s="7"/>
      <c r="BB367" s="7"/>
      <c r="BC367" s="7"/>
      <c r="BD367" s="7"/>
      <c r="BE367" s="7"/>
      <c r="BF367" s="7"/>
      <c r="BG367" s="7"/>
    </row>
    <row r="368" customHeight="1" spans="1:59">
      <c r="A368" s="9" t="str">
        <f>IFERROR(__xludf.DUMMYFUNCTION("""COMPUTED_VALUE"""),"Hurston 10")</f>
        <v>Hurston 10</v>
      </c>
      <c r="B368" s="5" t="str">
        <f>IFERROR(__xludf.DUMMYFUNCTION("""COMPUTED_VALUE"""),"Hurston 13")</f>
        <v>Hurston 13</v>
      </c>
      <c r="C368" s="5" t="str">
        <f>IFERROR(__xludf.DUMMYFUNCTION("""COMPUTED_VALUE"""),"Hurston 111")</f>
        <v>Hurston 111</v>
      </c>
      <c r="D368" s="5" t="str">
        <f>IFERROR(__xludf.DUMMYFUNCTION("""COMPUTED_VALUE"""),"Echo Isle")</f>
        <v>Echo Isle</v>
      </c>
      <c r="E368" s="7" t="str">
        <f>IFERROR(__xludf.DUMMYFUNCTION("""COMPUTED_VALUE"""),"Echo Isle")</f>
        <v>Echo Isle</v>
      </c>
      <c r="F368" s="8">
        <f>IFERROR(__xludf.DUMMYFUNCTION("""COMPUTED_VALUE"""),-405.104458747)</f>
        <v>-405.104458747</v>
      </c>
      <c r="G368" s="8">
        <f>IFERROR(__xludf.DUMMYFUNCTION("""COMPUTED_VALUE"""),-275.110570249999)</f>
        <v>-275.110570249999</v>
      </c>
      <c r="H368" s="8">
        <f>IFERROR(__xludf.DUMMYFUNCTION("""COMPUTED_VALUE"""),-872.195958840999)</f>
        <v>-872.195958840999</v>
      </c>
      <c r="I368" s="14"/>
      <c r="J368" s="14"/>
      <c r="K368" s="14"/>
      <c r="L368" s="14"/>
      <c r="M368" s="7" t="b">
        <f>IFERROR(__xludf.DUMMYFUNCTION("""COMPUTED_VALUE"""),FALSE)</f>
        <v>0</v>
      </c>
      <c r="N368" s="10">
        <f>IFERROR(__xludf.DUMMYFUNCTION("""COMPUTED_VALUE"""),0)</f>
        <v>0</v>
      </c>
      <c r="O368" s="10">
        <f>IFERROR(__xludf.DUMMYFUNCTION("""COMPUTED_VALUE"""),0)</f>
        <v>0</v>
      </c>
      <c r="P368" s="8"/>
      <c r="Q368" s="7"/>
      <c r="R368" s="16"/>
      <c r="S368" s="17"/>
      <c r="T368" s="8"/>
      <c r="U368" s="8"/>
      <c r="V368" s="22"/>
      <c r="W368" s="12"/>
      <c r="X368" s="12"/>
      <c r="Y368" s="12"/>
      <c r="Z368" s="12"/>
      <c r="AA368" s="7"/>
      <c r="AB368" s="12"/>
      <c r="AC368" s="6"/>
      <c r="AD368" s="6"/>
      <c r="AE368" s="7"/>
      <c r="AF368" s="7"/>
      <c r="AG368" s="7"/>
      <c r="AH368" s="7"/>
      <c r="AI368" s="7"/>
      <c r="AJ368" s="7"/>
      <c r="AK368" s="7"/>
      <c r="AL368" s="7"/>
      <c r="AM368" s="7"/>
      <c r="AN368" s="7"/>
      <c r="AO368" s="6"/>
      <c r="AP368" s="7"/>
      <c r="AQ368" s="7"/>
      <c r="AR368" s="6"/>
      <c r="AS368" s="7"/>
      <c r="AT368" s="7"/>
      <c r="AU368" s="7"/>
      <c r="AV368" s="7"/>
      <c r="AW368" s="7"/>
      <c r="AX368" s="7"/>
      <c r="AY368" s="7"/>
      <c r="AZ368" s="7"/>
      <c r="BA368" s="7"/>
      <c r="BB368" s="7"/>
      <c r="BC368" s="7"/>
      <c r="BD368" s="7"/>
      <c r="BE368" s="7"/>
      <c r="BF368" s="7"/>
      <c r="BG368" s="7"/>
    </row>
    <row r="369" customHeight="1" spans="1:59">
      <c r="A369" s="9" t="str">
        <f>IFERROR(__xludf.DUMMYFUNCTION("""COMPUTED_VALUE"""),"Hurston")</f>
        <v>Hurston</v>
      </c>
      <c r="B369" s="5" t="str">
        <f>IFERROR(__xludf.DUMMYFUNCTION("""COMPUTED_VALUE"""),"Hurston 15")</f>
        <v>Hurston 15</v>
      </c>
      <c r="C369" s="5"/>
      <c r="D369" s="5" t="str">
        <f>IFERROR(__xludf.DUMMYFUNCTION("""COMPUTED_VALUE"""),"Underground Bunker Facilities")</f>
        <v>Underground Bunker Facilities</v>
      </c>
      <c r="E369" s="7"/>
      <c r="F369" s="11"/>
      <c r="G369" s="11"/>
      <c r="H369" s="11"/>
      <c r="I369" s="15"/>
      <c r="J369" s="15"/>
      <c r="K369" s="15"/>
      <c r="L369" s="15"/>
      <c r="M369" s="7"/>
      <c r="N369" s="10"/>
      <c r="O369" s="10"/>
      <c r="P369" s="8"/>
      <c r="Q369" s="7"/>
      <c r="R369" s="16"/>
      <c r="S369" s="17"/>
      <c r="T369" s="8"/>
      <c r="U369" s="8"/>
      <c r="V369" s="22"/>
      <c r="W369" s="12"/>
      <c r="X369" s="12"/>
      <c r="Y369" s="12"/>
      <c r="Z369" s="12"/>
      <c r="AA369" s="7"/>
      <c r="AB369" s="12"/>
      <c r="AC369" s="6"/>
      <c r="AD369" s="6"/>
      <c r="AE369" s="7"/>
      <c r="AF369" s="7"/>
      <c r="AG369" s="7"/>
      <c r="AH369" s="7"/>
      <c r="AI369" s="7"/>
      <c r="AJ369" s="7"/>
      <c r="AK369" s="7"/>
      <c r="AL369" s="7"/>
      <c r="AM369" s="7"/>
      <c r="AN369" s="7"/>
      <c r="AO369" s="6"/>
      <c r="AP369" s="7"/>
      <c r="AQ369" s="7"/>
      <c r="AR369" s="6"/>
      <c r="AS369" s="7"/>
      <c r="AT369" s="7"/>
      <c r="AU369" s="7"/>
      <c r="AV369" s="7"/>
      <c r="AW369" s="7"/>
      <c r="AX369" s="7"/>
      <c r="AY369" s="7"/>
      <c r="AZ369" s="7"/>
      <c r="BA369" s="7"/>
      <c r="BB369" s="7"/>
      <c r="BC369" s="7"/>
      <c r="BD369" s="7"/>
      <c r="BE369" s="7"/>
      <c r="BF369" s="7"/>
      <c r="BG369" s="7"/>
    </row>
    <row r="370" customHeight="1" spans="1:59">
      <c r="A370" s="9" t="str">
        <f>IFERROR(__xludf.DUMMYFUNCTION("""COMPUTED_VALUE"""),"Hurston 11")</f>
        <v>Hurston 11</v>
      </c>
      <c r="B370" s="5" t="str">
        <f>IFERROR(__xludf.DUMMYFUNCTION("""COMPUTED_VALUE"""),"Hurston 16")</f>
        <v>Hurston 16</v>
      </c>
      <c r="C370" s="5" t="str">
        <f>IFERROR(__xludf.DUMMYFUNCTION("""COMPUTED_VALUE"""),"Hurston 61")</f>
        <v>Hurston 61</v>
      </c>
      <c r="D370" s="5" t="str">
        <f>IFERROR(__xludf.DUMMYFUNCTION("""COMPUTED_VALUE"""),"HDOF Palomar")</f>
        <v>HDOF Palomar</v>
      </c>
      <c r="E370" s="7" t="str">
        <f>IFERROR(__xludf.DUMMYFUNCTION("""COMPUTED_VALUE"""),"Palomar")</f>
        <v>Palomar</v>
      </c>
      <c r="F370" s="11">
        <f>IFERROR(__xludf.DUMMYFUNCTION("""COMPUTED_VALUE"""),766.533002541)</f>
        <v>766.533002541</v>
      </c>
      <c r="G370" s="11">
        <f>IFERROR(__xludf.DUMMYFUNCTION("""COMPUTED_VALUE"""),-74.214071085)</f>
        <v>-74.214071085</v>
      </c>
      <c r="H370" s="11">
        <f>IFERROR(__xludf.DUMMYFUNCTION("""COMPUTED_VALUE"""),-640.265339331)</f>
        <v>-640.265339331</v>
      </c>
      <c r="I370" s="15"/>
      <c r="J370" s="15"/>
      <c r="K370" s="15"/>
      <c r="L370" s="15"/>
      <c r="M370" s="7" t="b">
        <f>IFERROR(__xludf.DUMMYFUNCTION("""COMPUTED_VALUE"""),TRUE)</f>
        <v>1</v>
      </c>
      <c r="N370" s="10">
        <f>IFERROR(__xludf.DUMMYFUNCTION("""COMPUTED_VALUE"""),0)</f>
        <v>0</v>
      </c>
      <c r="O370" s="10">
        <f>IFERROR(__xludf.DUMMYFUNCTION("""COMPUTED_VALUE"""),0)</f>
        <v>0</v>
      </c>
      <c r="P370" s="8"/>
      <c r="Q370" s="7"/>
      <c r="R370" s="16"/>
      <c r="S370" s="17"/>
      <c r="T370" s="8"/>
      <c r="U370" s="8"/>
      <c r="V370" s="22"/>
      <c r="W370" s="12"/>
      <c r="X370" s="12"/>
      <c r="Y370" s="12"/>
      <c r="Z370" s="12"/>
      <c r="AA370" s="7"/>
      <c r="AB370" s="12"/>
      <c r="AC370" s="6"/>
      <c r="AD370" s="6"/>
      <c r="AE370" s="7"/>
      <c r="AF370" s="7"/>
      <c r="AG370" s="7"/>
      <c r="AH370" s="7"/>
      <c r="AI370" s="7"/>
      <c r="AJ370" s="7"/>
      <c r="AK370" s="7"/>
      <c r="AL370" s="7"/>
      <c r="AM370" s="7"/>
      <c r="AN370" s="7"/>
      <c r="AO370" s="6"/>
      <c r="AP370" s="7"/>
      <c r="AQ370" s="7"/>
      <c r="AR370" s="6"/>
      <c r="AS370" s="7"/>
      <c r="AT370" s="7"/>
      <c r="AU370" s="7"/>
      <c r="AV370" s="7"/>
      <c r="AW370" s="7"/>
      <c r="AX370" s="7"/>
      <c r="AY370" s="7"/>
      <c r="AZ370" s="7"/>
      <c r="BA370" s="7"/>
      <c r="BB370" s="7"/>
      <c r="BC370" s="7"/>
      <c r="BD370" s="7"/>
      <c r="BE370" s="7"/>
      <c r="BF370" s="7"/>
      <c r="BG370" s="7"/>
    </row>
    <row r="371" customHeight="1" spans="1:59">
      <c r="A371" s="9" t="str">
        <f>IFERROR(__xludf.DUMMYFUNCTION("""COMPUTED_VALUE"""),"Hurston 12")</f>
        <v>Hurston 12</v>
      </c>
      <c r="B371" s="5" t="str">
        <f>IFERROR(__xludf.DUMMYFUNCTION("""COMPUTED_VALUE"""),"Hurston 17")</f>
        <v>Hurston 17</v>
      </c>
      <c r="C371" s="5" t="str">
        <f>IFERROR(__xludf.DUMMYFUNCTION("""COMPUTED_VALUE"""),"Hurston 94")</f>
        <v>Hurston 94</v>
      </c>
      <c r="D371" s="5" t="str">
        <f>IFERROR(__xludf.DUMMYFUNCTION("""COMPUTED_VALUE"""),"HDSF Adlai")</f>
        <v>HDSF Adlai</v>
      </c>
      <c r="E371" s="7" t="str">
        <f>IFERROR(__xludf.DUMMYFUNCTION("""COMPUTED_VALUE"""),"Adlai")</f>
        <v>Adlai</v>
      </c>
      <c r="F371" s="11">
        <f>IFERROR(__xludf.DUMMYFUNCTION("""COMPUTED_VALUE"""),-237.085942297)</f>
        <v>-237.085942297</v>
      </c>
      <c r="G371" s="11">
        <f>IFERROR(__xludf.DUMMYFUNCTION("""COMPUTED_VALUE"""),-810.782031927)</f>
        <v>-810.782031927</v>
      </c>
      <c r="H371" s="11">
        <f>IFERROR(__xludf.DUMMYFUNCTION("""COMPUTED_VALUE"""),537.793486058)</f>
        <v>537.793486058</v>
      </c>
      <c r="I371" s="15"/>
      <c r="J371" s="15"/>
      <c r="K371" s="15"/>
      <c r="L371" s="15"/>
      <c r="M371" s="7" t="b">
        <f>IFERROR(__xludf.DUMMYFUNCTION("""COMPUTED_VALUE"""),TRUE)</f>
        <v>1</v>
      </c>
      <c r="N371" s="10">
        <f>IFERROR(__xludf.DUMMYFUNCTION("""COMPUTED_VALUE"""),0)</f>
        <v>0</v>
      </c>
      <c r="O371" s="10">
        <f>IFERROR(__xludf.DUMMYFUNCTION("""COMPUTED_VALUE"""),0)</f>
        <v>0</v>
      </c>
      <c r="P371" s="8"/>
      <c r="Q371" s="7"/>
      <c r="R371" s="16"/>
      <c r="S371" s="17"/>
      <c r="T371" s="8"/>
      <c r="U371" s="8"/>
      <c r="V371" s="22"/>
      <c r="W371" s="12"/>
      <c r="X371" s="12"/>
      <c r="Y371" s="12"/>
      <c r="Z371" s="12"/>
      <c r="AA371" s="7"/>
      <c r="AB371" s="12"/>
      <c r="AC371" s="6"/>
      <c r="AD371" s="6"/>
      <c r="AE371" s="7"/>
      <c r="AF371" s="7"/>
      <c r="AG371" s="7"/>
      <c r="AH371" s="7"/>
      <c r="AI371" s="7"/>
      <c r="AJ371" s="7"/>
      <c r="AK371" s="7"/>
      <c r="AL371" s="7"/>
      <c r="AM371" s="7"/>
      <c r="AN371" s="7"/>
      <c r="AO371" s="6"/>
      <c r="AP371" s="7"/>
      <c r="AQ371" s="7"/>
      <c r="AR371" s="6"/>
      <c r="AS371" s="7"/>
      <c r="AT371" s="7"/>
      <c r="AU371" s="7"/>
      <c r="AV371" s="7"/>
      <c r="AW371" s="7"/>
      <c r="AX371" s="7"/>
      <c r="AY371" s="7"/>
      <c r="AZ371" s="7"/>
      <c r="BA371" s="7"/>
      <c r="BB371" s="7"/>
      <c r="BC371" s="7"/>
      <c r="BD371" s="7"/>
      <c r="BE371" s="7"/>
      <c r="BF371" s="7"/>
      <c r="BG371" s="7"/>
    </row>
    <row r="372" customHeight="1" spans="1:59">
      <c r="A372" s="9" t="str">
        <f>IFERROR(__xludf.DUMMYFUNCTION("""COMPUTED_VALUE"""),"Hurston 13")</f>
        <v>Hurston 13</v>
      </c>
      <c r="B372" s="5" t="str">
        <f>IFERROR(__xludf.DUMMYFUNCTION("""COMPUTED_VALUE"""),"Hurston 18")</f>
        <v>Hurston 18</v>
      </c>
      <c r="C372" s="5" t="str">
        <f>IFERROR(__xludf.DUMMYFUNCTION("""COMPUTED_VALUE"""),"Hurston 11")</f>
        <v>Hurston 11</v>
      </c>
      <c r="D372" s="5" t="str">
        <f>IFERROR(__xludf.DUMMYFUNCTION("""COMPUTED_VALUE"""),"HDSF Barnabas")</f>
        <v>HDSF Barnabas</v>
      </c>
      <c r="E372" s="7" t="str">
        <f>IFERROR(__xludf.DUMMYFUNCTION("""COMPUTED_VALUE"""),"Barnabas")</f>
        <v>Barnabas</v>
      </c>
      <c r="F372" s="11">
        <f>IFERROR(__xludf.DUMMYFUNCTION("""COMPUTED_VALUE"""),-895.942714199)</f>
        <v>-895.942714199</v>
      </c>
      <c r="G372" s="11">
        <f>IFERROR(__xludf.DUMMYFUNCTION("""COMPUTED_VALUE"""),365.596510088999)</f>
        <v>365.596510088999</v>
      </c>
      <c r="H372" s="11">
        <f>IFERROR(__xludf.DUMMYFUNCTION("""COMPUTED_VALUE"""),-252.263204159999)</f>
        <v>-252.263204159999</v>
      </c>
      <c r="I372" s="15"/>
      <c r="J372" s="15"/>
      <c r="K372" s="15"/>
      <c r="L372" s="15"/>
      <c r="M372" s="7" t="b">
        <f>IFERROR(__xludf.DUMMYFUNCTION("""COMPUTED_VALUE"""),TRUE)</f>
        <v>1</v>
      </c>
      <c r="N372" s="10">
        <f>IFERROR(__xludf.DUMMYFUNCTION("""COMPUTED_VALUE"""),0)</f>
        <v>0</v>
      </c>
      <c r="O372" s="10">
        <f>IFERROR(__xludf.DUMMYFUNCTION("""COMPUTED_VALUE"""),0)</f>
        <v>0</v>
      </c>
      <c r="P372" s="8"/>
      <c r="Q372" s="7"/>
      <c r="R372" s="16"/>
      <c r="S372" s="17"/>
      <c r="T372" s="8"/>
      <c r="U372" s="8"/>
      <c r="V372" s="22"/>
      <c r="W372" s="12"/>
      <c r="X372" s="12"/>
      <c r="Y372" s="12"/>
      <c r="Z372" s="12"/>
      <c r="AA372" s="7"/>
      <c r="AB372" s="12"/>
      <c r="AC372" s="6"/>
      <c r="AD372" s="6"/>
      <c r="AE372" s="7"/>
      <c r="AF372" s="7"/>
      <c r="AG372" s="7"/>
      <c r="AH372" s="7"/>
      <c r="AI372" s="7"/>
      <c r="AJ372" s="7"/>
      <c r="AK372" s="7"/>
      <c r="AL372" s="7"/>
      <c r="AM372" s="7"/>
      <c r="AN372" s="7"/>
      <c r="AO372" s="6"/>
      <c r="AP372" s="7"/>
      <c r="AQ372" s="7"/>
      <c r="AR372" s="6"/>
      <c r="AS372" s="7"/>
      <c r="AT372" s="7"/>
      <c r="AU372" s="7"/>
      <c r="AV372" s="7"/>
      <c r="AW372" s="7"/>
      <c r="AX372" s="7"/>
      <c r="AY372" s="7"/>
      <c r="AZ372" s="7"/>
      <c r="BA372" s="7"/>
      <c r="BB372" s="7"/>
      <c r="BC372" s="7"/>
      <c r="BD372" s="7"/>
      <c r="BE372" s="7"/>
      <c r="BF372" s="7"/>
      <c r="BG372" s="7"/>
    </row>
    <row r="373" customHeight="1" spans="1:59">
      <c r="A373" s="9" t="str">
        <f>IFERROR(__xludf.DUMMYFUNCTION("""COMPUTED_VALUE"""),"Hurston 14")</f>
        <v>Hurston 14</v>
      </c>
      <c r="B373" s="5" t="str">
        <f>IFERROR(__xludf.DUMMYFUNCTION("""COMPUTED_VALUE"""),"Hurston 19")</f>
        <v>Hurston 19</v>
      </c>
      <c r="C373" s="5" t="str">
        <f>IFERROR(__xludf.DUMMYFUNCTION("""COMPUTED_VALUE"""),"Hurston 25")</f>
        <v>Hurston 25</v>
      </c>
      <c r="D373" s="5" t="str">
        <f>IFERROR(__xludf.DUMMYFUNCTION("""COMPUTED_VALUE"""),"HDSF Breckinridge")</f>
        <v>HDSF Breckinridge</v>
      </c>
      <c r="E373" s="7" t="str">
        <f>IFERROR(__xludf.DUMMYFUNCTION("""COMPUTED_VALUE"""),"Breckinridge")</f>
        <v>Breckinridge</v>
      </c>
      <c r="F373" s="11">
        <f>IFERROR(__xludf.DUMMYFUNCTION("""COMPUTED_VALUE"""),-557.687652467999)</f>
        <v>-557.687652467999</v>
      </c>
      <c r="G373" s="11">
        <f>IFERROR(__xludf.DUMMYFUNCTION("""COMPUTED_VALUE"""),680.562740695)</f>
        <v>680.562740695</v>
      </c>
      <c r="H373" s="11">
        <f>IFERROR(__xludf.DUMMYFUNCTION("""COMPUTED_VALUE"""),-477.688169684)</f>
        <v>-477.688169684</v>
      </c>
      <c r="I373" s="15"/>
      <c r="J373" s="15"/>
      <c r="K373" s="15"/>
      <c r="L373" s="15"/>
      <c r="M373" s="7" t="b">
        <f>IFERROR(__xludf.DUMMYFUNCTION("""COMPUTED_VALUE"""),TRUE)</f>
        <v>1</v>
      </c>
      <c r="N373" s="10">
        <f>IFERROR(__xludf.DUMMYFUNCTION("""COMPUTED_VALUE"""),0)</f>
        <v>0</v>
      </c>
      <c r="O373" s="10">
        <f>IFERROR(__xludf.DUMMYFUNCTION("""COMPUTED_VALUE"""),0)</f>
        <v>0</v>
      </c>
      <c r="P373" s="8"/>
      <c r="Q373" s="7"/>
      <c r="R373" s="16"/>
      <c r="S373" s="17"/>
      <c r="T373" s="8"/>
      <c r="U373" s="8"/>
      <c r="V373" s="22"/>
      <c r="W373" s="12"/>
      <c r="X373" s="12"/>
      <c r="Y373" s="12"/>
      <c r="Z373" s="12"/>
      <c r="AA373" s="7"/>
      <c r="AB373" s="12"/>
      <c r="AC373" s="6"/>
      <c r="AD373" s="6"/>
      <c r="AE373" s="7"/>
      <c r="AF373" s="7"/>
      <c r="AG373" s="7"/>
      <c r="AH373" s="7"/>
      <c r="AI373" s="7"/>
      <c r="AJ373" s="7"/>
      <c r="AK373" s="7"/>
      <c r="AL373" s="7"/>
      <c r="AM373" s="7"/>
      <c r="AN373" s="7"/>
      <c r="AO373" s="6"/>
      <c r="AP373" s="7"/>
      <c r="AQ373" s="7"/>
      <c r="AR373" s="6"/>
      <c r="AS373" s="7"/>
      <c r="AT373" s="7"/>
      <c r="AU373" s="7"/>
      <c r="AV373" s="7"/>
      <c r="AW373" s="7"/>
      <c r="AX373" s="7"/>
      <c r="AY373" s="7"/>
      <c r="AZ373" s="7"/>
      <c r="BA373" s="7"/>
      <c r="BB373" s="7"/>
      <c r="BC373" s="7"/>
      <c r="BD373" s="7"/>
      <c r="BE373" s="7"/>
      <c r="BF373" s="7"/>
      <c r="BG373" s="7"/>
    </row>
    <row r="374" customHeight="1" spans="1:59">
      <c r="A374" s="9" t="str">
        <f>IFERROR(__xludf.DUMMYFUNCTION("""COMPUTED_VALUE"""),"Hurston 15")</f>
        <v>Hurston 15</v>
      </c>
      <c r="B374" s="5" t="str">
        <f>IFERROR(__xludf.DUMMYFUNCTION("""COMPUTED_VALUE"""),"Hurston 20")</f>
        <v>Hurston 20</v>
      </c>
      <c r="C374" s="5" t="str">
        <f>IFERROR(__xludf.DUMMYFUNCTION("""COMPUTED_VALUE"""),"Hurston 52")</f>
        <v>Hurston 52</v>
      </c>
      <c r="D374" s="5" t="str">
        <f>IFERROR(__xludf.DUMMYFUNCTION("""COMPUTED_VALUE"""),"HDSF Colfax")</f>
        <v>HDSF Colfax</v>
      </c>
      <c r="E374" s="7" t="str">
        <f>IFERROR(__xludf.DUMMYFUNCTION("""COMPUTED_VALUE"""),"Colfax")</f>
        <v>Colfax</v>
      </c>
      <c r="F374" s="11">
        <f>IFERROR(__xludf.DUMMYFUNCTION("""COMPUTED_VALUE"""),902.219043824)</f>
        <v>902.219043824</v>
      </c>
      <c r="G374" s="11">
        <f>IFERROR(__xludf.DUMMYFUNCTION("""COMPUTED_VALUE"""),383.909065915999)</f>
        <v>383.909065915999</v>
      </c>
      <c r="H374" s="11">
        <f>IFERROR(__xludf.DUMMYFUNCTION("""COMPUTED_VALUE"""),-203.813808098)</f>
        <v>-203.813808098</v>
      </c>
      <c r="I374" s="15"/>
      <c r="J374" s="15"/>
      <c r="K374" s="15"/>
      <c r="L374" s="15"/>
      <c r="M374" s="7" t="b">
        <f>IFERROR(__xludf.DUMMYFUNCTION("""COMPUTED_VALUE"""),TRUE)</f>
        <v>1</v>
      </c>
      <c r="N374" s="10">
        <f>IFERROR(__xludf.DUMMYFUNCTION("""COMPUTED_VALUE"""),0)</f>
        <v>0</v>
      </c>
      <c r="O374" s="10">
        <f>IFERROR(__xludf.DUMMYFUNCTION("""COMPUTED_VALUE"""),0)</f>
        <v>0</v>
      </c>
      <c r="P374" s="8"/>
      <c r="Q374" s="7"/>
      <c r="R374" s="16"/>
      <c r="S374" s="17"/>
      <c r="T374" s="8"/>
      <c r="U374" s="8"/>
      <c r="V374" s="22"/>
      <c r="W374" s="12"/>
      <c r="X374" s="12"/>
      <c r="Y374" s="12"/>
      <c r="Z374" s="12"/>
      <c r="AA374" s="7"/>
      <c r="AB374" s="12"/>
      <c r="AC374" s="6"/>
      <c r="AD374" s="6"/>
      <c r="AE374" s="7"/>
      <c r="AF374" s="7"/>
      <c r="AG374" s="7"/>
      <c r="AH374" s="7"/>
      <c r="AI374" s="7"/>
      <c r="AJ374" s="7"/>
      <c r="AK374" s="7"/>
      <c r="AL374" s="7"/>
      <c r="AM374" s="7"/>
      <c r="AN374" s="7"/>
      <c r="AO374" s="6"/>
      <c r="AP374" s="7"/>
      <c r="AQ374" s="7"/>
      <c r="AR374" s="6"/>
      <c r="AS374" s="7"/>
      <c r="AT374" s="7"/>
      <c r="AU374" s="7"/>
      <c r="AV374" s="7"/>
      <c r="AW374" s="7"/>
      <c r="AX374" s="7"/>
      <c r="AY374" s="7"/>
      <c r="AZ374" s="7"/>
      <c r="BA374" s="7"/>
      <c r="BB374" s="7"/>
      <c r="BC374" s="7"/>
      <c r="BD374" s="7"/>
      <c r="BE374" s="7"/>
      <c r="BF374" s="7"/>
      <c r="BG374" s="7"/>
    </row>
    <row r="375" customHeight="1" spans="1:59">
      <c r="A375" s="9" t="str">
        <f>IFERROR(__xludf.DUMMYFUNCTION("""COMPUTED_VALUE"""),"Hurston 16")</f>
        <v>Hurston 16</v>
      </c>
      <c r="B375" s="5" t="str">
        <f>IFERROR(__xludf.DUMMYFUNCTION("""COMPUTED_VALUE"""),"Hurston 21")</f>
        <v>Hurston 21</v>
      </c>
      <c r="C375" s="5" t="str">
        <f>IFERROR(__xludf.DUMMYFUNCTION("""COMPUTED_VALUE"""),"Hurston 15")</f>
        <v>Hurston 15</v>
      </c>
      <c r="D375" s="5" t="str">
        <f>IFERROR(__xludf.DUMMYFUNCTION("""COMPUTED_VALUE"""),"HDSF Damaris")</f>
        <v>HDSF Damaris</v>
      </c>
      <c r="E375" s="7" t="str">
        <f>IFERROR(__xludf.DUMMYFUNCTION("""COMPUTED_VALUE"""),"Damaris")</f>
        <v>Damaris</v>
      </c>
      <c r="F375" s="11">
        <f>IFERROR(__xludf.DUMMYFUNCTION("""COMPUTED_VALUE"""),-898.569827507999)</f>
        <v>-898.569827507999</v>
      </c>
      <c r="G375" s="11">
        <f>IFERROR(__xludf.DUMMYFUNCTION("""COMPUTED_VALUE"""),420.342659296)</f>
        <v>420.342659296</v>
      </c>
      <c r="H375" s="11">
        <f>IFERROR(__xludf.DUMMYFUNCTION("""COMPUTED_VALUE"""),-142.011500043)</f>
        <v>-142.011500043</v>
      </c>
      <c r="I375" s="15"/>
      <c r="J375" s="15"/>
      <c r="K375" s="15"/>
      <c r="L375" s="15"/>
      <c r="M375" s="7" t="b">
        <f>IFERROR(__xludf.DUMMYFUNCTION("""COMPUTED_VALUE"""),TRUE)</f>
        <v>1</v>
      </c>
      <c r="N375" s="10">
        <f>IFERROR(__xludf.DUMMYFUNCTION("""COMPUTED_VALUE"""),0)</f>
        <v>0</v>
      </c>
      <c r="O375" s="10">
        <f>IFERROR(__xludf.DUMMYFUNCTION("""COMPUTED_VALUE"""),0)</f>
        <v>0</v>
      </c>
      <c r="P375" s="8"/>
      <c r="Q375" s="7"/>
      <c r="R375" s="16"/>
      <c r="S375" s="17"/>
      <c r="T375" s="8"/>
      <c r="U375" s="8"/>
      <c r="V375" s="22"/>
      <c r="W375" s="12"/>
      <c r="X375" s="12"/>
      <c r="Y375" s="12"/>
      <c r="Z375" s="12"/>
      <c r="AA375" s="7"/>
      <c r="AB375" s="12"/>
      <c r="AC375" s="6"/>
      <c r="AD375" s="6"/>
      <c r="AE375" s="7"/>
      <c r="AF375" s="7"/>
      <c r="AG375" s="7"/>
      <c r="AH375" s="7"/>
      <c r="AI375" s="7"/>
      <c r="AJ375" s="7"/>
      <c r="AK375" s="7"/>
      <c r="AL375" s="7"/>
      <c r="AM375" s="7"/>
      <c r="AN375" s="7"/>
      <c r="AO375" s="6"/>
      <c r="AP375" s="7"/>
      <c r="AQ375" s="7"/>
      <c r="AR375" s="6"/>
      <c r="AS375" s="7"/>
      <c r="AT375" s="7"/>
      <c r="AU375" s="7"/>
      <c r="AV375" s="7"/>
      <c r="AW375" s="7"/>
      <c r="AX375" s="7"/>
      <c r="AY375" s="7"/>
      <c r="AZ375" s="7"/>
      <c r="BA375" s="7"/>
      <c r="BB375" s="7"/>
      <c r="BC375" s="7"/>
      <c r="BD375" s="7"/>
      <c r="BE375" s="7"/>
      <c r="BF375" s="7"/>
      <c r="BG375" s="7"/>
    </row>
    <row r="376" customHeight="1" spans="1:59">
      <c r="A376" s="9" t="str">
        <f>IFERROR(__xludf.DUMMYFUNCTION("""COMPUTED_VALUE"""),"Hurston 17")</f>
        <v>Hurston 17</v>
      </c>
      <c r="B376" s="5" t="str">
        <f>IFERROR(__xludf.DUMMYFUNCTION("""COMPUTED_VALUE"""),"Hurston 22")</f>
        <v>Hurston 22</v>
      </c>
      <c r="C376" s="5" t="str">
        <f>IFERROR(__xludf.DUMMYFUNCTION("""COMPUTED_VALUE"""),"Hurston 49")</f>
        <v>Hurston 49</v>
      </c>
      <c r="D376" s="5" t="str">
        <f>IFERROR(__xludf.DUMMYFUNCTION("""COMPUTED_VALUE"""),"HDSF Elbridge")</f>
        <v>HDSF Elbridge</v>
      </c>
      <c r="E376" s="7" t="str">
        <f>IFERROR(__xludf.DUMMYFUNCTION("""COMPUTED_VALUE"""),"Elbridge")</f>
        <v>Elbridge</v>
      </c>
      <c r="F376" s="11">
        <f>IFERROR(__xludf.DUMMYFUNCTION("""COMPUTED_VALUE"""),449.308674648999)</f>
        <v>449.308674648999</v>
      </c>
      <c r="G376" s="11">
        <f>IFERROR(__xludf.DUMMYFUNCTION("""COMPUTED_VALUE"""),838.693225365999)</f>
        <v>838.693225365999</v>
      </c>
      <c r="H376" s="11">
        <f>IFERROR(__xludf.DUMMYFUNCTION("""COMPUTED_VALUE"""),310.715060245)</f>
        <v>310.715060245</v>
      </c>
      <c r="I376" s="15"/>
      <c r="J376" s="15"/>
      <c r="K376" s="15"/>
      <c r="L376" s="15"/>
      <c r="M376" s="7" t="b">
        <f>IFERROR(__xludf.DUMMYFUNCTION("""COMPUTED_VALUE"""),TRUE)</f>
        <v>1</v>
      </c>
      <c r="N376" s="10">
        <f>IFERROR(__xludf.DUMMYFUNCTION("""COMPUTED_VALUE"""),0)</f>
        <v>0</v>
      </c>
      <c r="O376" s="10">
        <f>IFERROR(__xludf.DUMMYFUNCTION("""COMPUTED_VALUE"""),0)</f>
        <v>0</v>
      </c>
      <c r="P376" s="8"/>
      <c r="Q376" s="7"/>
      <c r="R376" s="16"/>
      <c r="S376" s="17"/>
      <c r="T376" s="8"/>
      <c r="U376" s="8"/>
      <c r="V376" s="22"/>
      <c r="W376" s="12"/>
      <c r="X376" s="12"/>
      <c r="Y376" s="12"/>
      <c r="Z376" s="12"/>
      <c r="AA376" s="7"/>
      <c r="AB376" s="12"/>
      <c r="AC376" s="6"/>
      <c r="AD376" s="6"/>
      <c r="AE376" s="7"/>
      <c r="AF376" s="7"/>
      <c r="AG376" s="7"/>
      <c r="AH376" s="7"/>
      <c r="AI376" s="7"/>
      <c r="AJ376" s="7"/>
      <c r="AK376" s="7"/>
      <c r="AL376" s="7"/>
      <c r="AM376" s="7"/>
      <c r="AN376" s="7"/>
      <c r="AO376" s="6"/>
      <c r="AP376" s="7"/>
      <c r="AQ376" s="7"/>
      <c r="AR376" s="6"/>
      <c r="AS376" s="7"/>
      <c r="AT376" s="7"/>
      <c r="AU376" s="7"/>
      <c r="AV376" s="7"/>
      <c r="AW376" s="7"/>
      <c r="AX376" s="7"/>
      <c r="AY376" s="7"/>
      <c r="AZ376" s="7"/>
      <c r="BA376" s="7"/>
      <c r="BB376" s="7"/>
      <c r="BC376" s="7"/>
      <c r="BD376" s="7"/>
      <c r="BE376" s="7"/>
      <c r="BF376" s="7"/>
      <c r="BG376" s="7"/>
    </row>
    <row r="377" customHeight="1" spans="1:59">
      <c r="A377" s="9" t="str">
        <f>IFERROR(__xludf.DUMMYFUNCTION("""COMPUTED_VALUE"""),"Hurston 18")</f>
        <v>Hurston 18</v>
      </c>
      <c r="B377" s="5" t="str">
        <f>IFERROR(__xludf.DUMMYFUNCTION("""COMPUTED_VALUE"""),"Hurston 23")</f>
        <v>Hurston 23</v>
      </c>
      <c r="C377" s="5" t="str">
        <f>IFERROR(__xludf.DUMMYFUNCTION("""COMPUTED_VALUE"""),"Hurston 85")</f>
        <v>Hurston 85</v>
      </c>
      <c r="D377" s="5" t="str">
        <f>IFERROR(__xludf.DUMMYFUNCTION("""COMPUTED_VALUE"""),"HDSF Hendricks")</f>
        <v>HDSF Hendricks</v>
      </c>
      <c r="E377" s="7" t="str">
        <f>IFERROR(__xludf.DUMMYFUNCTION("""COMPUTED_VALUE"""),"Hendricks")</f>
        <v>Hendricks</v>
      </c>
      <c r="F377" s="11">
        <f>IFERROR(__xludf.DUMMYFUNCTION("""COMPUTED_VALUE"""),63.6344680769999)</f>
        <v>63.6344680769999</v>
      </c>
      <c r="G377" s="11">
        <f>IFERROR(__xludf.DUMMYFUNCTION("""COMPUTED_VALUE"""),-969.032517166999)</f>
        <v>-969.032517166999</v>
      </c>
      <c r="H377" s="11">
        <f>IFERROR(__xludf.DUMMYFUNCTION("""COMPUTED_VALUE"""),-242.667407004)</f>
        <v>-242.667407004</v>
      </c>
      <c r="I377" s="15"/>
      <c r="J377" s="15"/>
      <c r="K377" s="15"/>
      <c r="L377" s="15"/>
      <c r="M377" s="7" t="b">
        <f>IFERROR(__xludf.DUMMYFUNCTION("""COMPUTED_VALUE"""),TRUE)</f>
        <v>1</v>
      </c>
      <c r="N377" s="10">
        <f>IFERROR(__xludf.DUMMYFUNCTION("""COMPUTED_VALUE"""),0)</f>
        <v>0</v>
      </c>
      <c r="O377" s="10">
        <f>IFERROR(__xludf.DUMMYFUNCTION("""COMPUTED_VALUE"""),0)</f>
        <v>0</v>
      </c>
      <c r="P377" s="8"/>
      <c r="Q377" s="7"/>
      <c r="R377" s="16"/>
      <c r="S377" s="17"/>
      <c r="T377" s="8"/>
      <c r="U377" s="8"/>
      <c r="V377" s="22"/>
      <c r="W377" s="12"/>
      <c r="X377" s="12"/>
      <c r="Y377" s="12"/>
      <c r="Z377" s="12"/>
      <c r="AA377" s="7"/>
      <c r="AB377" s="12"/>
      <c r="AC377" s="6"/>
      <c r="AD377" s="6"/>
      <c r="AE377" s="7"/>
      <c r="AF377" s="7"/>
      <c r="AG377" s="7"/>
      <c r="AH377" s="7"/>
      <c r="AI377" s="7"/>
      <c r="AJ377" s="7"/>
      <c r="AK377" s="7"/>
      <c r="AL377" s="7"/>
      <c r="AM377" s="7"/>
      <c r="AN377" s="7"/>
      <c r="AO377" s="6"/>
      <c r="AP377" s="7"/>
      <c r="AQ377" s="7"/>
      <c r="AR377" s="6"/>
      <c r="AS377" s="7"/>
      <c r="AT377" s="7"/>
      <c r="AU377" s="7"/>
      <c r="AV377" s="7"/>
      <c r="AW377" s="7"/>
      <c r="AX377" s="7"/>
      <c r="AY377" s="7"/>
      <c r="AZ377" s="7"/>
      <c r="BA377" s="7"/>
      <c r="BB377" s="7"/>
      <c r="BC377" s="7"/>
      <c r="BD377" s="7"/>
      <c r="BE377" s="7"/>
      <c r="BF377" s="7"/>
      <c r="BG377" s="7"/>
    </row>
    <row r="378" customHeight="1" spans="1:59">
      <c r="A378" s="9" t="str">
        <f>IFERROR(__xludf.DUMMYFUNCTION("""COMPUTED_VALUE"""),"Hurston 19")</f>
        <v>Hurston 19</v>
      </c>
      <c r="B378" s="5" t="str">
        <f>IFERROR(__xludf.DUMMYFUNCTION("""COMPUTED_VALUE"""),"Hurston 24")</f>
        <v>Hurston 24</v>
      </c>
      <c r="C378" s="5" t="str">
        <f>IFERROR(__xludf.DUMMYFUNCTION("""COMPUTED_VALUE"""),"Hurston 129")</f>
        <v>Hurston 129</v>
      </c>
      <c r="D378" s="5" t="str">
        <f>IFERROR(__xludf.DUMMYFUNCTION("""COMPUTED_VALUE"""),"HDSF Hiram")</f>
        <v>HDSF Hiram</v>
      </c>
      <c r="E378" s="7" t="str">
        <f>IFERROR(__xludf.DUMMYFUNCTION("""COMPUTED_VALUE"""),"Hiram")</f>
        <v>Hiram</v>
      </c>
      <c r="F378" s="11">
        <f>IFERROR(__xludf.DUMMYFUNCTION("""COMPUTED_VALUE"""),-942.50480078)</f>
        <v>-942.50480078</v>
      </c>
      <c r="G378" s="11">
        <f>IFERROR(__xludf.DUMMYFUNCTION("""COMPUTED_VALUE"""),-317.019990258999)</f>
        <v>-317.019990258999</v>
      </c>
      <c r="H378" s="11">
        <f>IFERROR(__xludf.DUMMYFUNCTION("""COMPUTED_VALUE"""),122.604948322)</f>
        <v>122.604948322</v>
      </c>
      <c r="I378" s="15"/>
      <c r="J378" s="15"/>
      <c r="K378" s="15"/>
      <c r="L378" s="15"/>
      <c r="M378" s="7" t="b">
        <f>IFERROR(__xludf.DUMMYFUNCTION("""COMPUTED_VALUE"""),TRUE)</f>
        <v>1</v>
      </c>
      <c r="N378" s="10">
        <f>IFERROR(__xludf.DUMMYFUNCTION("""COMPUTED_VALUE"""),0)</f>
        <v>0</v>
      </c>
      <c r="O378" s="10">
        <f>IFERROR(__xludf.DUMMYFUNCTION("""COMPUTED_VALUE"""),0)</f>
        <v>0</v>
      </c>
      <c r="P378" s="8"/>
      <c r="Q378" s="7"/>
      <c r="R378" s="16"/>
      <c r="S378" s="17"/>
      <c r="T378" s="8"/>
      <c r="U378" s="8"/>
      <c r="V378" s="22"/>
      <c r="W378" s="12"/>
      <c r="X378" s="12"/>
      <c r="Y378" s="12"/>
      <c r="Z378" s="12"/>
      <c r="AA378" s="7"/>
      <c r="AB378" s="12"/>
      <c r="AC378" s="6"/>
      <c r="AD378" s="6"/>
      <c r="AE378" s="7"/>
      <c r="AF378" s="7"/>
      <c r="AG378" s="7"/>
      <c r="AH378" s="7"/>
      <c r="AI378" s="7"/>
      <c r="AJ378" s="7"/>
      <c r="AK378" s="7"/>
      <c r="AL378" s="7"/>
      <c r="AM378" s="7"/>
      <c r="AN378" s="7"/>
      <c r="AO378" s="6"/>
      <c r="AP378" s="7"/>
      <c r="AQ378" s="7"/>
      <c r="AR378" s="6"/>
      <c r="AS378" s="7"/>
      <c r="AT378" s="7"/>
      <c r="AU378" s="7"/>
      <c r="AV378" s="7"/>
      <c r="AW378" s="7"/>
      <c r="AX378" s="7"/>
      <c r="AY378" s="7"/>
      <c r="AZ378" s="7"/>
      <c r="BA378" s="7"/>
      <c r="BB378" s="7"/>
      <c r="BC378" s="7"/>
      <c r="BD378" s="7"/>
      <c r="BE378" s="7"/>
      <c r="BF378" s="7"/>
      <c r="BG378" s="7"/>
    </row>
    <row r="379" customHeight="1" spans="1:59">
      <c r="A379" s="9" t="str">
        <f>IFERROR(__xludf.DUMMYFUNCTION("""COMPUTED_VALUE"""),"Hurston 20")</f>
        <v>Hurston 20</v>
      </c>
      <c r="B379" s="5" t="str">
        <f>IFERROR(__xludf.DUMMYFUNCTION("""COMPUTED_VALUE"""),"Hurston 25")</f>
        <v>Hurston 25</v>
      </c>
      <c r="C379" s="5" t="str">
        <f>IFERROR(__xludf.DUMMYFUNCTION("""COMPUTED_VALUE"""),"Hurston 29")</f>
        <v>Hurston 29</v>
      </c>
      <c r="D379" s="5" t="str">
        <f>IFERROR(__xludf.DUMMYFUNCTION("""COMPUTED_VALUE"""),"HDSF Hobart")</f>
        <v>HDSF Hobart</v>
      </c>
      <c r="E379" s="7" t="str">
        <f>IFERROR(__xludf.DUMMYFUNCTION("""COMPUTED_VALUE"""),"Hobart")</f>
        <v>Hobart</v>
      </c>
      <c r="F379" s="11">
        <f>IFERROR(__xludf.DUMMYFUNCTION("""COMPUTED_VALUE"""),-492.333174256)</f>
        <v>-492.333174256</v>
      </c>
      <c r="G379" s="11">
        <f>IFERROR(__xludf.DUMMYFUNCTION("""COMPUTED_VALUE"""),768.276004987)</f>
        <v>768.276004987</v>
      </c>
      <c r="H379" s="11">
        <f>IFERROR(__xludf.DUMMYFUNCTION("""COMPUTED_VALUE"""),410.872614675)</f>
        <v>410.872614675</v>
      </c>
      <c r="I379" s="15"/>
      <c r="J379" s="15"/>
      <c r="K379" s="15"/>
      <c r="L379" s="15"/>
      <c r="M379" s="7" t="b">
        <f>IFERROR(__xludf.DUMMYFUNCTION("""COMPUTED_VALUE"""),TRUE)</f>
        <v>1</v>
      </c>
      <c r="N379" s="10">
        <f>IFERROR(__xludf.DUMMYFUNCTION("""COMPUTED_VALUE"""),0)</f>
        <v>0</v>
      </c>
      <c r="O379" s="10">
        <f>IFERROR(__xludf.DUMMYFUNCTION("""COMPUTED_VALUE"""),0)</f>
        <v>0</v>
      </c>
      <c r="P379" s="8"/>
      <c r="Q379" s="7"/>
      <c r="R379" s="16"/>
      <c r="S379" s="17"/>
      <c r="T379" s="8"/>
      <c r="U379" s="8"/>
      <c r="V379" s="22"/>
      <c r="W379" s="12"/>
      <c r="X379" s="12"/>
      <c r="Y379" s="12"/>
      <c r="Z379" s="12"/>
      <c r="AA379" s="7"/>
      <c r="AB379" s="12"/>
      <c r="AC379" s="6"/>
      <c r="AD379" s="6"/>
      <c r="AE379" s="7"/>
      <c r="AF379" s="7"/>
      <c r="AG379" s="7"/>
      <c r="AH379" s="7"/>
      <c r="AI379" s="7"/>
      <c r="AJ379" s="7"/>
      <c r="AK379" s="7"/>
      <c r="AL379" s="7"/>
      <c r="AM379" s="7"/>
      <c r="AN379" s="7"/>
      <c r="AO379" s="6"/>
      <c r="AP379" s="7"/>
      <c r="AQ379" s="7"/>
      <c r="AR379" s="6"/>
      <c r="AS379" s="7"/>
      <c r="AT379" s="7"/>
      <c r="AU379" s="7"/>
      <c r="AV379" s="7"/>
      <c r="AW379" s="7"/>
      <c r="AX379" s="7"/>
      <c r="AY379" s="7"/>
      <c r="AZ379" s="7"/>
      <c r="BA379" s="7"/>
      <c r="BB379" s="7"/>
      <c r="BC379" s="7"/>
      <c r="BD379" s="7"/>
      <c r="BE379" s="7"/>
      <c r="BF379" s="7"/>
      <c r="BG379" s="7"/>
    </row>
    <row r="380" customHeight="1" spans="1:59">
      <c r="A380" s="9" t="str">
        <f>IFERROR(__xludf.DUMMYFUNCTION("""COMPUTED_VALUE"""),"Hurston 21")</f>
        <v>Hurston 21</v>
      </c>
      <c r="B380" s="5" t="str">
        <f>IFERROR(__xludf.DUMMYFUNCTION("""COMPUTED_VALUE"""),"Hurston 26")</f>
        <v>Hurston 26</v>
      </c>
      <c r="C380" s="5" t="str">
        <f>IFERROR(__xludf.DUMMYFUNCTION("""COMPUTED_VALUE"""),"Hurston 114")</f>
        <v>Hurston 114</v>
      </c>
      <c r="D380" s="5" t="str">
        <f>IFERROR(__xludf.DUMMYFUNCTION("""COMPUTED_VALUE"""),"HDSF Ishmael")</f>
        <v>HDSF Ishmael</v>
      </c>
      <c r="E380" s="7" t="str">
        <f>IFERROR(__xludf.DUMMYFUNCTION("""COMPUTED_VALUE"""),"Ishmael")</f>
        <v>Ishmael</v>
      </c>
      <c r="F380" s="11">
        <f>IFERROR(__xludf.DUMMYFUNCTION("""COMPUTED_VALUE"""),-266.782918798)</f>
        <v>-266.782918798</v>
      </c>
      <c r="G380" s="11">
        <f>IFERROR(__xludf.DUMMYFUNCTION("""COMPUTED_VALUE"""),-158.616318066998)</f>
        <v>-158.616318066998</v>
      </c>
      <c r="H380" s="11">
        <f>IFERROR(__xludf.DUMMYFUNCTION("""COMPUTED_VALUE"""),952.317890261)</f>
        <v>952.317890261</v>
      </c>
      <c r="I380" s="15"/>
      <c r="J380" s="15"/>
      <c r="K380" s="15"/>
      <c r="L380" s="15"/>
      <c r="M380" s="7" t="b">
        <f>IFERROR(__xludf.DUMMYFUNCTION("""COMPUTED_VALUE"""),TRUE)</f>
        <v>1</v>
      </c>
      <c r="N380" s="10">
        <f>IFERROR(__xludf.DUMMYFUNCTION("""COMPUTED_VALUE"""),0)</f>
        <v>0</v>
      </c>
      <c r="O380" s="10">
        <f>IFERROR(__xludf.DUMMYFUNCTION("""COMPUTED_VALUE"""),0)</f>
        <v>0</v>
      </c>
      <c r="P380" s="8"/>
      <c r="Q380" s="7"/>
      <c r="R380" s="16"/>
      <c r="S380" s="17"/>
      <c r="T380" s="8"/>
      <c r="U380" s="8"/>
      <c r="V380" s="22"/>
      <c r="W380" s="12"/>
      <c r="X380" s="12"/>
      <c r="Y380" s="12"/>
      <c r="Z380" s="12"/>
      <c r="AA380" s="7"/>
      <c r="AB380" s="12"/>
      <c r="AC380" s="6"/>
      <c r="AD380" s="6"/>
      <c r="AE380" s="7"/>
      <c r="AF380" s="7"/>
      <c r="AG380" s="7"/>
      <c r="AH380" s="7"/>
      <c r="AI380" s="7"/>
      <c r="AJ380" s="7"/>
      <c r="AK380" s="7"/>
      <c r="AL380" s="7"/>
      <c r="AM380" s="7"/>
      <c r="AN380" s="7"/>
      <c r="AO380" s="6"/>
      <c r="AP380" s="7"/>
      <c r="AQ380" s="7"/>
      <c r="AR380" s="6"/>
      <c r="AS380" s="7"/>
      <c r="AT380" s="7"/>
      <c r="AU380" s="7"/>
      <c r="AV380" s="7"/>
      <c r="AW380" s="7"/>
      <c r="AX380" s="7"/>
      <c r="AY380" s="7"/>
      <c r="AZ380" s="7"/>
      <c r="BA380" s="7"/>
      <c r="BB380" s="7"/>
      <c r="BC380" s="7"/>
      <c r="BD380" s="7"/>
      <c r="BE380" s="7"/>
      <c r="BF380" s="7"/>
      <c r="BG380" s="7"/>
    </row>
    <row r="381" customHeight="1" spans="1:59">
      <c r="A381" s="9" t="str">
        <f>IFERROR(__xludf.DUMMYFUNCTION("""COMPUTED_VALUE"""),"Hurston 22")</f>
        <v>Hurston 22</v>
      </c>
      <c r="B381" s="5" t="str">
        <f>IFERROR(__xludf.DUMMYFUNCTION("""COMPUTED_VALUE"""),"Hurston 27")</f>
        <v>Hurston 27</v>
      </c>
      <c r="C381" s="5" t="str">
        <f>IFERROR(__xludf.DUMMYFUNCTION("""COMPUTED_VALUE"""),"Hurston 19")</f>
        <v>Hurston 19</v>
      </c>
      <c r="D381" s="5" t="str">
        <f>IFERROR(__xludf.DUMMYFUNCTION("""COMPUTED_VALUE"""),"HDSF Millerand")</f>
        <v>HDSF Millerand</v>
      </c>
      <c r="E381" s="7" t="str">
        <f>IFERROR(__xludf.DUMMYFUNCTION("""COMPUTED_VALUE"""),"Millerand")</f>
        <v>Millerand</v>
      </c>
      <c r="F381" s="11">
        <f>IFERROR(__xludf.DUMMYFUNCTION("""COMPUTED_VALUE"""),-847.548727122999)</f>
        <v>-847.548727122999</v>
      </c>
      <c r="G381" s="11">
        <f>IFERROR(__xludf.DUMMYFUNCTION("""COMPUTED_VALUE"""),517.449033126)</f>
        <v>517.449033126</v>
      </c>
      <c r="H381" s="11">
        <f>IFERROR(__xludf.DUMMYFUNCTION("""COMPUTED_VALUE"""),127.617361477)</f>
        <v>127.617361477</v>
      </c>
      <c r="I381" s="15"/>
      <c r="J381" s="15"/>
      <c r="K381" s="15"/>
      <c r="L381" s="15"/>
      <c r="M381" s="7" t="b">
        <f>IFERROR(__xludf.DUMMYFUNCTION("""COMPUTED_VALUE"""),TRUE)</f>
        <v>1</v>
      </c>
      <c r="N381" s="10">
        <f>IFERROR(__xludf.DUMMYFUNCTION("""COMPUTED_VALUE"""),0)</f>
        <v>0</v>
      </c>
      <c r="O381" s="10">
        <f>IFERROR(__xludf.DUMMYFUNCTION("""COMPUTED_VALUE"""),0)</f>
        <v>0</v>
      </c>
      <c r="P381" s="8"/>
      <c r="Q381" s="7"/>
      <c r="R381" s="16"/>
      <c r="S381" s="17"/>
      <c r="T381" s="8"/>
      <c r="U381" s="8"/>
      <c r="V381" s="22"/>
      <c r="W381" s="12"/>
      <c r="X381" s="12"/>
      <c r="Y381" s="12"/>
      <c r="Z381" s="12"/>
      <c r="AA381" s="7"/>
      <c r="AB381" s="12"/>
      <c r="AC381" s="6"/>
      <c r="AD381" s="6"/>
      <c r="AE381" s="7"/>
      <c r="AF381" s="7"/>
      <c r="AG381" s="7"/>
      <c r="AH381" s="7"/>
      <c r="AI381" s="7"/>
      <c r="AJ381" s="7"/>
      <c r="AK381" s="7"/>
      <c r="AL381" s="7"/>
      <c r="AM381" s="7"/>
      <c r="AN381" s="7"/>
      <c r="AO381" s="6"/>
      <c r="AP381" s="7"/>
      <c r="AQ381" s="7"/>
      <c r="AR381" s="6"/>
      <c r="AS381" s="7"/>
      <c r="AT381" s="7"/>
      <c r="AU381" s="7"/>
      <c r="AV381" s="7"/>
      <c r="AW381" s="7"/>
      <c r="AX381" s="7"/>
      <c r="AY381" s="7"/>
      <c r="AZ381" s="7"/>
      <c r="BA381" s="7"/>
      <c r="BB381" s="7"/>
      <c r="BC381" s="7"/>
      <c r="BD381" s="7"/>
      <c r="BE381" s="7"/>
      <c r="BF381" s="7"/>
      <c r="BG381" s="7"/>
    </row>
    <row r="382" customHeight="1" spans="1:59">
      <c r="A382" s="9" t="str">
        <f>IFERROR(__xludf.DUMMYFUNCTION("""COMPUTED_VALUE"""),"Hurston 23")</f>
        <v>Hurston 23</v>
      </c>
      <c r="B382" s="5" t="str">
        <f>IFERROR(__xludf.DUMMYFUNCTION("""COMPUTED_VALUE"""),"Hurston 28")</f>
        <v>Hurston 28</v>
      </c>
      <c r="C382" s="5" t="str">
        <f>IFERROR(__xludf.DUMMYFUNCTION("""COMPUTED_VALUE"""),"Hurston 01")</f>
        <v>Hurston 01</v>
      </c>
      <c r="D382" s="5" t="str">
        <f>IFERROR(__xludf.DUMMYFUNCTION("""COMPUTED_VALUE"""),"HDSF Rufus")</f>
        <v>HDSF Rufus</v>
      </c>
      <c r="E382" s="7" t="str">
        <f>IFERROR(__xludf.DUMMYFUNCTION("""COMPUTED_VALUE"""),"Rufus")</f>
        <v>Rufus</v>
      </c>
      <c r="F382" s="11">
        <f>IFERROR(__xludf.DUMMYFUNCTION("""COMPUTED_VALUE"""),-64.679481473)</f>
        <v>-64.679481473</v>
      </c>
      <c r="G382" s="11">
        <f>IFERROR(__xludf.DUMMYFUNCTION("""COMPUTED_VALUE"""),11.412885198)</f>
        <v>11.412885198</v>
      </c>
      <c r="H382" s="11">
        <f>IFERROR(__xludf.DUMMYFUNCTION("""COMPUTED_VALUE"""),-998.439679103999)</f>
        <v>-998.439679103999</v>
      </c>
      <c r="I382" s="15"/>
      <c r="J382" s="15"/>
      <c r="K382" s="15"/>
      <c r="L382" s="15"/>
      <c r="M382" s="7" t="b">
        <f>IFERROR(__xludf.DUMMYFUNCTION("""COMPUTED_VALUE"""),TRUE)</f>
        <v>1</v>
      </c>
      <c r="N382" s="10">
        <f>IFERROR(__xludf.DUMMYFUNCTION("""COMPUTED_VALUE"""),0)</f>
        <v>0</v>
      </c>
      <c r="O382" s="10">
        <f>IFERROR(__xludf.DUMMYFUNCTION("""COMPUTED_VALUE"""),0)</f>
        <v>0</v>
      </c>
      <c r="P382" s="8"/>
      <c r="Q382" s="7"/>
      <c r="R382" s="16"/>
      <c r="S382" s="17"/>
      <c r="T382" s="8"/>
      <c r="U382" s="8"/>
      <c r="V382" s="22"/>
      <c r="W382" s="12"/>
      <c r="X382" s="12"/>
      <c r="Y382" s="12"/>
      <c r="Z382" s="12"/>
      <c r="AA382" s="7"/>
      <c r="AB382" s="12"/>
      <c r="AC382" s="6"/>
      <c r="AD382" s="6"/>
      <c r="AE382" s="7"/>
      <c r="AF382" s="7"/>
      <c r="AG382" s="7"/>
      <c r="AH382" s="7"/>
      <c r="AI382" s="7"/>
      <c r="AJ382" s="7"/>
      <c r="AK382" s="7"/>
      <c r="AL382" s="7"/>
      <c r="AM382" s="7"/>
      <c r="AN382" s="7"/>
      <c r="AO382" s="6"/>
      <c r="AP382" s="7"/>
      <c r="AQ382" s="7"/>
      <c r="AR382" s="6"/>
      <c r="AS382" s="7"/>
      <c r="AT382" s="7"/>
      <c r="AU382" s="7"/>
      <c r="AV382" s="7"/>
      <c r="AW382" s="7"/>
      <c r="AX382" s="7"/>
      <c r="AY382" s="7"/>
      <c r="AZ382" s="7"/>
      <c r="BA382" s="7"/>
      <c r="BB382" s="7"/>
      <c r="BC382" s="7"/>
      <c r="BD382" s="7"/>
      <c r="BE382" s="7"/>
      <c r="BF382" s="7"/>
      <c r="BG382" s="7"/>
    </row>
    <row r="383" customHeight="1" spans="1:59">
      <c r="A383" s="9" t="str">
        <f>IFERROR(__xludf.DUMMYFUNCTION("""COMPUTED_VALUE"""),"Hurston 24")</f>
        <v>Hurston 24</v>
      </c>
      <c r="B383" s="5" t="str">
        <f>IFERROR(__xludf.DUMMYFUNCTION("""COMPUTED_VALUE"""),"Hurston 29")</f>
        <v>Hurston 29</v>
      </c>
      <c r="C383" s="5" t="str">
        <f>IFERROR(__xludf.DUMMYFUNCTION("""COMPUTED_VALUE"""),"Hurston 65")</f>
        <v>Hurston 65</v>
      </c>
      <c r="D383" s="5" t="str">
        <f>IFERROR(__xludf.DUMMYFUNCTION("""COMPUTED_VALUE"""),"HDSF Sherman")</f>
        <v>HDSF Sherman</v>
      </c>
      <c r="E383" s="7" t="str">
        <f>IFERROR(__xludf.DUMMYFUNCTION("""COMPUTED_VALUE"""),"Sherman")</f>
        <v>Sherman</v>
      </c>
      <c r="F383" s="11">
        <f>IFERROR(__xludf.DUMMYFUNCTION("""COMPUTED_VALUE"""),899.436124451)</f>
        <v>899.436124451</v>
      </c>
      <c r="G383" s="11">
        <f>IFERROR(__xludf.DUMMYFUNCTION("""COMPUTED_VALUE"""),-406.041092470999)</f>
        <v>-406.041092470999</v>
      </c>
      <c r="H383" s="11">
        <f>IFERROR(__xludf.DUMMYFUNCTION("""COMPUTED_VALUE"""),168.242993457)</f>
        <v>168.242993457</v>
      </c>
      <c r="I383" s="15"/>
      <c r="J383" s="15"/>
      <c r="K383" s="15"/>
      <c r="L383" s="15"/>
      <c r="M383" s="7" t="b">
        <f>IFERROR(__xludf.DUMMYFUNCTION("""COMPUTED_VALUE"""),TRUE)</f>
        <v>1</v>
      </c>
      <c r="N383" s="10">
        <f>IFERROR(__xludf.DUMMYFUNCTION("""COMPUTED_VALUE"""),0)</f>
        <v>0</v>
      </c>
      <c r="O383" s="10">
        <f>IFERROR(__xludf.DUMMYFUNCTION("""COMPUTED_VALUE"""),0)</f>
        <v>0</v>
      </c>
      <c r="P383" s="8"/>
      <c r="Q383" s="7"/>
      <c r="R383" s="16"/>
      <c r="S383" s="17"/>
      <c r="T383" s="8"/>
      <c r="U383" s="8"/>
      <c r="V383" s="22"/>
      <c r="W383" s="12"/>
      <c r="X383" s="12"/>
      <c r="Y383" s="12"/>
      <c r="Z383" s="12"/>
      <c r="AA383" s="7"/>
      <c r="AB383" s="12"/>
      <c r="AC383" s="6"/>
      <c r="AD383" s="6"/>
      <c r="AE383" s="7"/>
      <c r="AF383" s="7"/>
      <c r="AG383" s="7"/>
      <c r="AH383" s="7"/>
      <c r="AI383" s="7"/>
      <c r="AJ383" s="7"/>
      <c r="AK383" s="7"/>
      <c r="AL383" s="7"/>
      <c r="AM383" s="7"/>
      <c r="AN383" s="7"/>
      <c r="AO383" s="6"/>
      <c r="AP383" s="7"/>
      <c r="AQ383" s="7"/>
      <c r="AR383" s="6"/>
      <c r="AS383" s="7"/>
      <c r="AT383" s="7"/>
      <c r="AU383" s="7"/>
      <c r="AV383" s="7"/>
      <c r="AW383" s="7"/>
      <c r="AX383" s="7"/>
      <c r="AY383" s="7"/>
      <c r="AZ383" s="7"/>
      <c r="BA383" s="7"/>
      <c r="BB383" s="7"/>
      <c r="BC383" s="7"/>
      <c r="BD383" s="7"/>
      <c r="BE383" s="7"/>
      <c r="BF383" s="7"/>
      <c r="BG383" s="7"/>
    </row>
    <row r="384" customHeight="1" spans="1:59">
      <c r="A384" s="9" t="str">
        <f>IFERROR(__xludf.DUMMYFUNCTION("""COMPUTED_VALUE"""),"Hurston 25")</f>
        <v>Hurston 25</v>
      </c>
      <c r="B384" s="5" t="str">
        <f>IFERROR(__xludf.DUMMYFUNCTION("""COMPUTED_VALUE"""),"Hurston 30")</f>
        <v>Hurston 30</v>
      </c>
      <c r="C384" s="5" t="str">
        <f>IFERROR(__xludf.DUMMYFUNCTION("""COMPUTED_VALUE"""),"Hurston 83")</f>
        <v>Hurston 83</v>
      </c>
      <c r="D384" s="5" t="str">
        <f>IFERROR(__xludf.DUMMYFUNCTION("""COMPUTED_VALUE"""),"HDSF Tamar")</f>
        <v>HDSF Tamar</v>
      </c>
      <c r="E384" s="7" t="str">
        <f>IFERROR(__xludf.DUMMYFUNCTION("""COMPUTED_VALUE"""),"Tamar")</f>
        <v>Tamar</v>
      </c>
      <c r="F384" s="8">
        <f>IFERROR(__xludf.DUMMYFUNCTION("""COMPUTED_VALUE"""),121.291929324)</f>
        <v>121.291929324</v>
      </c>
      <c r="G384" s="8">
        <f>IFERROR(__xludf.DUMMYFUNCTION("""COMPUTED_VALUE"""),-810.947790906999)</f>
        <v>-810.947790906999</v>
      </c>
      <c r="H384" s="8">
        <f>IFERROR(__xludf.DUMMYFUNCTION("""COMPUTED_VALUE"""),-573.513272242999)</f>
        <v>-573.513272242999</v>
      </c>
      <c r="I384" s="14"/>
      <c r="J384" s="14"/>
      <c r="K384" s="14"/>
      <c r="L384" s="14"/>
      <c r="M384" s="7" t="b">
        <f>IFERROR(__xludf.DUMMYFUNCTION("""COMPUTED_VALUE"""),TRUE)</f>
        <v>1</v>
      </c>
      <c r="N384" s="10">
        <f>IFERROR(__xludf.DUMMYFUNCTION("""COMPUTED_VALUE"""),0)</f>
        <v>0</v>
      </c>
      <c r="O384" s="10">
        <f>IFERROR(__xludf.DUMMYFUNCTION("""COMPUTED_VALUE"""),0)</f>
        <v>0</v>
      </c>
      <c r="P384" s="8"/>
      <c r="Q384" s="7"/>
      <c r="R384" s="16"/>
      <c r="S384" s="17"/>
      <c r="T384" s="8"/>
      <c r="U384" s="8"/>
      <c r="V384" s="22"/>
      <c r="W384" s="12"/>
      <c r="X384" s="12"/>
      <c r="Y384" s="12"/>
      <c r="Z384" s="12"/>
      <c r="AA384" s="9"/>
      <c r="AB384" s="12"/>
      <c r="AC384" s="6"/>
      <c r="AD384" s="6"/>
      <c r="AE384" s="7"/>
      <c r="AF384" s="7"/>
      <c r="AG384" s="7"/>
      <c r="AH384" s="7"/>
      <c r="AI384" s="7"/>
      <c r="AJ384" s="7"/>
      <c r="AK384" s="7"/>
      <c r="AL384" s="7"/>
      <c r="AM384" s="7"/>
      <c r="AN384" s="7"/>
      <c r="AO384" s="6"/>
      <c r="AP384" s="7"/>
      <c r="AQ384" s="7"/>
      <c r="AR384" s="6"/>
      <c r="AS384" s="7"/>
      <c r="AT384" s="7"/>
      <c r="AU384" s="7"/>
      <c r="AV384" s="7"/>
      <c r="AW384" s="7"/>
      <c r="AX384" s="7"/>
      <c r="AY384" s="7"/>
      <c r="AZ384" s="7"/>
      <c r="BA384" s="7"/>
      <c r="BB384" s="7"/>
      <c r="BC384" s="7"/>
      <c r="BD384" s="7"/>
      <c r="BE384" s="7"/>
      <c r="BF384" s="7"/>
      <c r="BG384" s="7"/>
    </row>
    <row r="385" customHeight="1" spans="1:59">
      <c r="A385" s="9" t="str">
        <f>IFERROR(__xludf.DUMMYFUNCTION("""COMPUTED_VALUE"""),"Hurston 26")</f>
        <v>Hurston 26</v>
      </c>
      <c r="B385" s="5" t="str">
        <f>IFERROR(__xludf.DUMMYFUNCTION("""COMPUTED_VALUE"""),"Hurston 31")</f>
        <v>Hurston 31</v>
      </c>
      <c r="C385" s="5" t="str">
        <f>IFERROR(__xludf.DUMMYFUNCTION("""COMPUTED_VALUE"""),"Hurston 47")</f>
        <v>Hurston 47</v>
      </c>
      <c r="D385" s="5" t="str">
        <f>IFERROR(__xludf.DUMMYFUNCTION("""COMPUTED_VALUE"""),"HDSF Tompkins")</f>
        <v>HDSF Tompkins</v>
      </c>
      <c r="E385" s="7" t="str">
        <f>IFERROR(__xludf.DUMMYFUNCTION("""COMPUTED_VALUE"""),"Tompkins")</f>
        <v>Tompkins</v>
      </c>
      <c r="F385" s="8">
        <f>IFERROR(__xludf.DUMMYFUNCTION("""COMPUTED_VALUE"""),374.81964019)</f>
        <v>374.81964019</v>
      </c>
      <c r="G385" s="8">
        <f>IFERROR(__xludf.DUMMYFUNCTION("""COMPUTED_VALUE"""),724.628067004999)</f>
        <v>724.628067004999</v>
      </c>
      <c r="H385" s="8">
        <f>IFERROR(__xludf.DUMMYFUNCTION("""COMPUTED_VALUE"""),579.686381474999)</f>
        <v>579.686381474999</v>
      </c>
      <c r="I385" s="14"/>
      <c r="J385" s="14"/>
      <c r="K385" s="14"/>
      <c r="L385" s="14"/>
      <c r="M385" s="7" t="b">
        <f>IFERROR(__xludf.DUMMYFUNCTION("""COMPUTED_VALUE"""),TRUE)</f>
        <v>1</v>
      </c>
      <c r="N385" s="10">
        <f>IFERROR(__xludf.DUMMYFUNCTION("""COMPUTED_VALUE"""),0)</f>
        <v>0</v>
      </c>
      <c r="O385" s="10">
        <f>IFERROR(__xludf.DUMMYFUNCTION("""COMPUTED_VALUE"""),0)</f>
        <v>0</v>
      </c>
      <c r="P385" s="8"/>
      <c r="Q385" s="7"/>
      <c r="R385" s="16"/>
      <c r="S385" s="17"/>
      <c r="T385" s="8"/>
      <c r="U385" s="8"/>
      <c r="V385" s="22"/>
      <c r="W385" s="12"/>
      <c r="X385" s="12"/>
      <c r="Y385" s="12"/>
      <c r="Z385" s="12"/>
      <c r="AA385" s="9"/>
      <c r="AB385" s="12"/>
      <c r="AC385" s="6"/>
      <c r="AD385" s="6"/>
      <c r="AE385" s="7"/>
      <c r="AF385" s="7"/>
      <c r="AG385" s="7"/>
      <c r="AH385" s="7"/>
      <c r="AI385" s="7"/>
      <c r="AJ385" s="7"/>
      <c r="AK385" s="7"/>
      <c r="AL385" s="7"/>
      <c r="AM385" s="7"/>
      <c r="AN385" s="7"/>
      <c r="AO385" s="6"/>
      <c r="AP385" s="7"/>
      <c r="AQ385" s="7"/>
      <c r="AR385" s="6"/>
      <c r="AS385" s="7"/>
      <c r="AT385" s="7"/>
      <c r="AU385" s="7"/>
      <c r="AV385" s="7"/>
      <c r="AW385" s="7"/>
      <c r="AX385" s="7"/>
      <c r="AY385" s="7"/>
      <c r="AZ385" s="7"/>
      <c r="BA385" s="7"/>
      <c r="BB385" s="7"/>
      <c r="BC385" s="7"/>
      <c r="BD385" s="7"/>
      <c r="BE385" s="7"/>
      <c r="BF385" s="7"/>
      <c r="BG385" s="7"/>
    </row>
    <row r="386" customHeight="1" spans="1:59">
      <c r="A386" s="9" t="str">
        <f>IFERROR(__xludf.DUMMYFUNCTION("""COMPUTED_VALUE"""),"Hurston 27")</f>
        <v>Hurston 27</v>
      </c>
      <c r="B386" s="5" t="str">
        <f>IFERROR(__xludf.DUMMYFUNCTION("""COMPUTED_VALUE"""),"Hurston 32")</f>
        <v>Hurston 32</v>
      </c>
      <c r="C386" s="5" t="str">
        <f>IFERROR(__xludf.DUMMYFUNCTION("""COMPUTED_VALUE"""),"Hurston 50")</f>
        <v>Hurston 50</v>
      </c>
      <c r="D386" s="5" t="str">
        <f>IFERROR(__xludf.DUMMYFUNCTION("""COMPUTED_VALUE"""),"HDSF Zacharias")</f>
        <v>HDSF Zacharias</v>
      </c>
      <c r="E386" s="7" t="str">
        <f>IFERROR(__xludf.DUMMYFUNCTION("""COMPUTED_VALUE"""),"Zacharias")</f>
        <v>Zacharias</v>
      </c>
      <c r="F386" s="8">
        <f>IFERROR(__xludf.DUMMYFUNCTION("""COMPUTED_VALUE"""),249.461995597)</f>
        <v>249.461995597</v>
      </c>
      <c r="G386" s="8">
        <f>IFERROR(__xludf.DUMMYFUNCTION("""COMPUTED_VALUE"""),398.476580305)</f>
        <v>398.476580305</v>
      </c>
      <c r="H386" s="8">
        <f>IFERROR(__xludf.DUMMYFUNCTION("""COMPUTED_VALUE"""),-884.879397192999)</f>
        <v>-884.879397192999</v>
      </c>
      <c r="I386" s="14"/>
      <c r="J386" s="14"/>
      <c r="K386" s="14"/>
      <c r="L386" s="14"/>
      <c r="M386" s="7" t="b">
        <f>IFERROR(__xludf.DUMMYFUNCTION("""COMPUTED_VALUE"""),TRUE)</f>
        <v>1</v>
      </c>
      <c r="N386" s="10">
        <f>IFERROR(__xludf.DUMMYFUNCTION("""COMPUTED_VALUE"""),0)</f>
        <v>0</v>
      </c>
      <c r="O386" s="10">
        <f>IFERROR(__xludf.DUMMYFUNCTION("""COMPUTED_VALUE"""),0)</f>
        <v>0</v>
      </c>
      <c r="P386" s="8"/>
      <c r="Q386" s="7"/>
      <c r="R386" s="16"/>
      <c r="S386" s="17"/>
      <c r="T386" s="8"/>
      <c r="U386" s="8"/>
      <c r="V386" s="22"/>
      <c r="W386" s="12"/>
      <c r="X386" s="12"/>
      <c r="Y386" s="12"/>
      <c r="Z386" s="12"/>
      <c r="AA386" s="9"/>
      <c r="AB386" s="12"/>
      <c r="AC386" s="6"/>
      <c r="AD386" s="6"/>
      <c r="AE386" s="7"/>
      <c r="AF386" s="7"/>
      <c r="AG386" s="7"/>
      <c r="AH386" s="7"/>
      <c r="AI386" s="7"/>
      <c r="AJ386" s="7"/>
      <c r="AK386" s="7"/>
      <c r="AL386" s="7"/>
      <c r="AM386" s="7"/>
      <c r="AN386" s="7"/>
      <c r="AO386" s="6"/>
      <c r="AP386" s="7"/>
      <c r="AQ386" s="7"/>
      <c r="AR386" s="6"/>
      <c r="AS386" s="7"/>
      <c r="AT386" s="7"/>
      <c r="AU386" s="7"/>
      <c r="AV386" s="7"/>
      <c r="AW386" s="7"/>
      <c r="AX386" s="7"/>
      <c r="AY386" s="7"/>
      <c r="AZ386" s="7"/>
      <c r="BA386" s="7"/>
      <c r="BB386" s="7"/>
      <c r="BC386" s="7"/>
      <c r="BD386" s="7"/>
      <c r="BE386" s="7"/>
      <c r="BF386" s="7"/>
      <c r="BG386" s="7"/>
    </row>
    <row r="387" customHeight="1" spans="1:59">
      <c r="A387" s="9" t="str">
        <f>IFERROR(__xludf.DUMMYFUNCTION("""COMPUTED_VALUE"""),"Hurston")</f>
        <v>Hurston</v>
      </c>
      <c r="B387" s="5" t="str">
        <f>IFERROR(__xludf.DUMMYFUNCTION("""COMPUTED_VALUE"""),"Hurston 34")</f>
        <v>Hurston 34</v>
      </c>
      <c r="C387" s="5"/>
      <c r="D387" s="5" t="str">
        <f>IFERROR(__xludf.DUMMYFUNCTION("""COMPUTED_VALUE"""),"Racetracks")</f>
        <v>Racetracks</v>
      </c>
      <c r="E387" s="7"/>
      <c r="F387" s="8"/>
      <c r="G387" s="8"/>
      <c r="H387" s="8"/>
      <c r="I387" s="14"/>
      <c r="J387" s="14"/>
      <c r="K387" s="14"/>
      <c r="L387" s="14"/>
      <c r="M387" s="7"/>
      <c r="N387" s="10"/>
      <c r="O387" s="10"/>
      <c r="P387" s="8"/>
      <c r="Q387" s="7"/>
      <c r="R387" s="16"/>
      <c r="S387" s="17"/>
      <c r="T387" s="8"/>
      <c r="U387" s="8"/>
      <c r="V387" s="22"/>
      <c r="W387" s="12"/>
      <c r="X387" s="12"/>
      <c r="Y387" s="12"/>
      <c r="Z387" s="12"/>
      <c r="AA387" s="9"/>
      <c r="AB387" s="12"/>
      <c r="AC387" s="6"/>
      <c r="AD387" s="6"/>
      <c r="AE387" s="7"/>
      <c r="AF387" s="7"/>
      <c r="AG387" s="7"/>
      <c r="AH387" s="7"/>
      <c r="AI387" s="7"/>
      <c r="AJ387" s="7"/>
      <c r="AK387" s="7"/>
      <c r="AL387" s="7"/>
      <c r="AM387" s="7"/>
      <c r="AN387" s="7"/>
      <c r="AO387" s="6"/>
      <c r="AP387" s="7"/>
      <c r="AQ387" s="7"/>
      <c r="AR387" s="6"/>
      <c r="AS387" s="7"/>
      <c r="AT387" s="7"/>
      <c r="AU387" s="7"/>
      <c r="AV387" s="7"/>
      <c r="AW387" s="7"/>
      <c r="AX387" s="7"/>
      <c r="AY387" s="7"/>
      <c r="AZ387" s="7"/>
      <c r="BA387" s="7"/>
      <c r="BB387" s="7"/>
      <c r="BC387" s="7"/>
      <c r="BD387" s="7"/>
      <c r="BE387" s="7"/>
      <c r="BF387" s="7"/>
      <c r="BG387" s="7"/>
    </row>
    <row r="388" customHeight="1" spans="1:59">
      <c r="A388" s="9" t="str">
        <f>IFERROR(__xludf.DUMMYFUNCTION("""COMPUTED_VALUE"""),"Hurston 31")</f>
        <v>Hurston 31</v>
      </c>
      <c r="B388" s="5" t="str">
        <f>IFERROR(__xludf.DUMMYFUNCTION("""COMPUTED_VALUE"""),"Hurston 35")</f>
        <v>Hurston 35</v>
      </c>
      <c r="C388" s="5" t="str">
        <f>IFERROR(__xludf.DUMMYFUNCTION("""COMPUTED_VALUE"""),"Hurston 102")</f>
        <v>Hurston 102</v>
      </c>
      <c r="D388" s="5" t="str">
        <f>IFERROR(__xludf.DUMMYFUNCTION("""COMPUTED_VALUE"""),"Lorville Outskirts")</f>
        <v>Lorville Outskirts</v>
      </c>
      <c r="E388" s="7" t="str">
        <f>IFERROR(__xludf.DUMMYFUNCTION("""COMPUTED_VALUE"""),"Outskirts")</f>
        <v>Outskirts</v>
      </c>
      <c r="F388" s="8">
        <f>IFERROR(__xludf.DUMMYFUNCTION("""COMPUTED_VALUE"""),-333.544)</f>
        <v>-333.544</v>
      </c>
      <c r="G388" s="8">
        <f>IFERROR(__xludf.DUMMYFUNCTION("""COMPUTED_VALUE"""),-748.656)</f>
        <v>-748.656</v>
      </c>
      <c r="H388" s="8">
        <f>IFERROR(__xludf.DUMMYFUNCTION("""COMPUTED_VALUE"""),574.408)</f>
        <v>574.408</v>
      </c>
      <c r="I388" s="14"/>
      <c r="J388" s="14"/>
      <c r="K388" s="14"/>
      <c r="L388" s="14"/>
      <c r="M388" s="7" t="b">
        <f>IFERROR(__xludf.DUMMYFUNCTION("""COMPUTED_VALUE"""),FALSE)</f>
        <v>0</v>
      </c>
      <c r="N388" s="10">
        <f>IFERROR(__xludf.DUMMYFUNCTION("""COMPUTED_VALUE"""),0)</f>
        <v>0</v>
      </c>
      <c r="O388" s="10">
        <f>IFERROR(__xludf.DUMMYFUNCTION("""COMPUTED_VALUE"""),0)</f>
        <v>0</v>
      </c>
      <c r="P388" s="8"/>
      <c r="Q388" s="7"/>
      <c r="R388" s="16"/>
      <c r="S388" s="17"/>
      <c r="T388" s="8"/>
      <c r="U388" s="8"/>
      <c r="V388" s="22"/>
      <c r="W388" s="12"/>
      <c r="X388" s="12"/>
      <c r="Y388" s="12"/>
      <c r="Z388" s="12"/>
      <c r="AA388" s="9"/>
      <c r="AB388" s="12"/>
      <c r="AC388" s="6"/>
      <c r="AD388" s="6"/>
      <c r="AE388" s="7"/>
      <c r="AF388" s="7"/>
      <c r="AG388" s="7"/>
      <c r="AH388" s="7"/>
      <c r="AI388" s="7"/>
      <c r="AJ388" s="7"/>
      <c r="AK388" s="7"/>
      <c r="AL388" s="7"/>
      <c r="AM388" s="7"/>
      <c r="AN388" s="7"/>
      <c r="AO388" s="6"/>
      <c r="AP388" s="7"/>
      <c r="AQ388" s="7"/>
      <c r="AR388" s="6"/>
      <c r="AS388" s="7"/>
      <c r="AT388" s="7"/>
      <c r="AU388" s="7"/>
      <c r="AV388" s="7"/>
      <c r="AW388" s="7"/>
      <c r="AX388" s="7"/>
      <c r="AY388" s="7"/>
      <c r="AZ388" s="7"/>
      <c r="BA388" s="7"/>
      <c r="BB388" s="7"/>
      <c r="BC388" s="7"/>
      <c r="BD388" s="7"/>
      <c r="BE388" s="7"/>
      <c r="BF388" s="7"/>
      <c r="BG388" s="7"/>
    </row>
    <row r="389" customHeight="1" spans="1:59">
      <c r="A389" s="9" t="str">
        <f>IFERROR(__xludf.DUMMYFUNCTION("""COMPUTED_VALUE"""),"Hurston")</f>
        <v>Hurston</v>
      </c>
      <c r="B389" s="5" t="str">
        <f>IFERROR(__xludf.DUMMYFUNCTION("""COMPUTED_VALUE"""),"Hurston 37")</f>
        <v>Hurston 37</v>
      </c>
      <c r="C389" s="5"/>
      <c r="D389" s="5" t="str">
        <f>IFERROR(__xludf.DUMMYFUNCTION("""COMPUTED_VALUE"""),"Settlements")</f>
        <v>Settlements</v>
      </c>
      <c r="E389" s="7"/>
      <c r="F389" s="8"/>
      <c r="G389" s="8"/>
      <c r="H389" s="8"/>
      <c r="I389" s="14"/>
      <c r="J389" s="14"/>
      <c r="K389" s="14"/>
      <c r="L389" s="14"/>
      <c r="M389" s="7"/>
      <c r="N389" s="10"/>
      <c r="O389" s="10"/>
      <c r="P389" s="8"/>
      <c r="Q389" s="7"/>
      <c r="R389" s="16"/>
      <c r="S389" s="17"/>
      <c r="T389" s="8"/>
      <c r="U389" s="8"/>
      <c r="V389" s="22"/>
      <c r="W389" s="12"/>
      <c r="X389" s="12"/>
      <c r="Y389" s="12"/>
      <c r="Z389" s="12"/>
      <c r="AA389" s="9"/>
      <c r="AB389" s="12"/>
      <c r="AC389" s="6"/>
      <c r="AD389" s="6"/>
      <c r="AE389" s="7"/>
      <c r="AF389" s="7"/>
      <c r="AG389" s="7"/>
      <c r="AH389" s="7"/>
      <c r="AI389" s="7"/>
      <c r="AJ389" s="7"/>
      <c r="AK389" s="7"/>
      <c r="AL389" s="7"/>
      <c r="AM389" s="7"/>
      <c r="AN389" s="7"/>
      <c r="AO389" s="6"/>
      <c r="AP389" s="7"/>
      <c r="AQ389" s="7"/>
      <c r="AR389" s="6"/>
      <c r="AS389" s="7"/>
      <c r="AT389" s="7"/>
      <c r="AU389" s="7"/>
      <c r="AV389" s="7"/>
      <c r="AW389" s="7"/>
      <c r="AX389" s="7"/>
      <c r="AY389" s="7"/>
      <c r="AZ389" s="7"/>
      <c r="BA389" s="7"/>
      <c r="BB389" s="7"/>
      <c r="BC389" s="7"/>
      <c r="BD389" s="7"/>
      <c r="BE389" s="7"/>
      <c r="BF389" s="7"/>
      <c r="BG389" s="7"/>
    </row>
    <row r="390" customHeight="1" spans="1:59">
      <c r="A390" s="9" t="str">
        <f>IFERROR(__xludf.DUMMYFUNCTION("""COMPUTED_VALUE"""),"Hurston 34")</f>
        <v>Hurston 34</v>
      </c>
      <c r="B390" s="5" t="str">
        <f>IFERROR(__xludf.DUMMYFUNCTION("""COMPUTED_VALUE"""),"Hurston 40")</f>
        <v>Hurston 40</v>
      </c>
      <c r="C390" s="5" t="str">
        <f>IFERROR(__xludf.DUMMYFUNCTION("""COMPUTED_VALUE"""),"Hurston 116")</f>
        <v>Hurston 116</v>
      </c>
      <c r="D390" s="5" t="str">
        <f>IFERROR(__xludf.DUMMYFUNCTION("""COMPUTED_VALUE"""),"Ludlow (Garage Town)")</f>
        <v>Ludlow (Garage Town)</v>
      </c>
      <c r="E390" s="7" t="str">
        <f>IFERROR(__xludf.DUMMYFUNCTION("""COMPUTED_VALUE"""),"Ludlow")</f>
        <v>Ludlow</v>
      </c>
      <c r="F390" s="8">
        <f>IFERROR(__xludf.DUMMYFUNCTION("""COMPUTED_VALUE"""),-878.668126952999)</f>
        <v>-878.668126952999</v>
      </c>
      <c r="G390" s="8">
        <f>IFERROR(__xludf.DUMMYFUNCTION("""COMPUTED_VALUE"""),-467.858016385999)</f>
        <v>-467.858016385999</v>
      </c>
      <c r="H390" s="8">
        <f>IFERROR(__xludf.DUMMYFUNCTION("""COMPUTED_VALUE"""),111.09062672)</f>
        <v>111.09062672</v>
      </c>
      <c r="I390" s="14"/>
      <c r="J390" s="14"/>
      <c r="K390" s="14"/>
      <c r="L390" s="14"/>
      <c r="M390" s="7" t="b">
        <f>IFERROR(__xludf.DUMMYFUNCTION("""COMPUTED_VALUE"""),FALSE)</f>
        <v>0</v>
      </c>
      <c r="N390" s="10">
        <f>IFERROR(__xludf.DUMMYFUNCTION("""COMPUTED_VALUE"""),0)</f>
        <v>0</v>
      </c>
      <c r="O390" s="10">
        <f>IFERROR(__xludf.DUMMYFUNCTION("""COMPUTED_VALUE"""),0)</f>
        <v>0</v>
      </c>
      <c r="P390" s="8"/>
      <c r="Q390" s="7"/>
      <c r="R390" s="16"/>
      <c r="S390" s="17"/>
      <c r="T390" s="8"/>
      <c r="U390" s="8"/>
      <c r="V390" s="22"/>
      <c r="W390" s="12"/>
      <c r="X390" s="12"/>
      <c r="Y390" s="12"/>
      <c r="Z390" s="12"/>
      <c r="AA390" s="9"/>
      <c r="AB390" s="12"/>
      <c r="AC390" s="6"/>
      <c r="AD390" s="6"/>
      <c r="AE390" s="7"/>
      <c r="AF390" s="7"/>
      <c r="AG390" s="7"/>
      <c r="AH390" s="7"/>
      <c r="AI390" s="7"/>
      <c r="AJ390" s="7"/>
      <c r="AK390" s="7"/>
      <c r="AL390" s="7"/>
      <c r="AM390" s="7"/>
      <c r="AN390" s="7"/>
      <c r="AO390" s="6"/>
      <c r="AP390" s="7"/>
      <c r="AQ390" s="7"/>
      <c r="AR390" s="6"/>
      <c r="AS390" s="7"/>
      <c r="AT390" s="7"/>
      <c r="AU390" s="7"/>
      <c r="AV390" s="7"/>
      <c r="AW390" s="7"/>
      <c r="AX390" s="7"/>
      <c r="AY390" s="7"/>
      <c r="AZ390" s="7"/>
      <c r="BA390" s="7"/>
      <c r="BB390" s="7"/>
      <c r="BC390" s="7"/>
      <c r="BD390" s="7"/>
      <c r="BE390" s="7"/>
      <c r="BF390" s="7"/>
      <c r="BG390" s="7"/>
    </row>
    <row r="391" customHeight="1" spans="1:59">
      <c r="A391" s="9" t="str">
        <f>IFERROR(__xludf.DUMMYFUNCTION("""COMPUTED_VALUE"""),"Hurston 33")</f>
        <v>Hurston 33</v>
      </c>
      <c r="B391" s="9" t="str">
        <f>IFERROR(__xludf.DUMMYFUNCTION("""COMPUTED_VALUE"""),"Hurston 39")</f>
        <v>Hurston 39</v>
      </c>
      <c r="C391" s="9" t="str">
        <f>IFERROR(__xludf.DUMMYFUNCTION("""COMPUTED_VALUE"""),"Hurston 110")</f>
        <v>Hurston 110</v>
      </c>
      <c r="D391" s="5" t="str">
        <f>IFERROR(__xludf.DUMMYFUNCTION("""COMPUTED_VALUE"""),"Finn's Folly (Hydrona Farm)")</f>
        <v>Finn's Folly (Hydrona Farm)</v>
      </c>
      <c r="E391" s="7" t="str">
        <f>IFERROR(__xludf.DUMMYFUNCTION("""COMPUTED_VALUE"""),"Finn's")</f>
        <v>Finn's</v>
      </c>
      <c r="F391" s="11">
        <f>IFERROR(__xludf.DUMMYFUNCTION("""COMPUTED_VALUE"""),-196.592317898999)</f>
        <v>-196.592317898999</v>
      </c>
      <c r="G391" s="11">
        <f>IFERROR(__xludf.DUMMYFUNCTION("""COMPUTED_VALUE"""),-197.870934748)</f>
        <v>-197.870934748</v>
      </c>
      <c r="H391" s="11">
        <f>IFERROR(__xludf.DUMMYFUNCTION("""COMPUTED_VALUE"""),961.998923773)</f>
        <v>961.998923773</v>
      </c>
      <c r="I391" s="15"/>
      <c r="J391" s="15"/>
      <c r="K391" s="15"/>
      <c r="L391" s="15"/>
      <c r="M391" s="7" t="b">
        <f>IFERROR(__xludf.DUMMYFUNCTION("""COMPUTED_VALUE"""),FALSE)</f>
        <v>0</v>
      </c>
      <c r="N391" s="10">
        <f>IFERROR(__xludf.DUMMYFUNCTION("""COMPUTED_VALUE"""),0)</f>
        <v>0</v>
      </c>
      <c r="O391" s="10">
        <f>IFERROR(__xludf.DUMMYFUNCTION("""COMPUTED_VALUE"""),0)</f>
        <v>0</v>
      </c>
      <c r="P391" s="8"/>
      <c r="Q391" s="7"/>
      <c r="R391" s="16"/>
      <c r="S391" s="17"/>
      <c r="T391" s="8"/>
      <c r="U391" s="8"/>
      <c r="V391" s="22"/>
      <c r="W391" s="12"/>
      <c r="X391" s="12"/>
      <c r="Y391" s="12"/>
      <c r="Z391" s="12"/>
      <c r="AA391" s="7"/>
      <c r="AB391" s="12"/>
      <c r="AC391" s="6"/>
      <c r="AD391" s="6"/>
      <c r="AE391" s="7"/>
      <c r="AF391" s="7"/>
      <c r="AG391" s="7"/>
      <c r="AH391" s="7"/>
      <c r="AI391" s="7"/>
      <c r="AJ391" s="7"/>
      <c r="AK391" s="7"/>
      <c r="AL391" s="7"/>
      <c r="AM391" s="7"/>
      <c r="AN391" s="7"/>
      <c r="AO391" s="6"/>
      <c r="AP391" s="7"/>
      <c r="AQ391" s="7"/>
      <c r="AR391" s="6"/>
      <c r="AS391" s="7"/>
      <c r="AT391" s="7"/>
      <c r="AU391" s="7"/>
      <c r="AV391" s="7"/>
      <c r="AW391" s="7"/>
      <c r="AX391" s="7"/>
      <c r="AY391" s="7"/>
      <c r="AZ391" s="7"/>
      <c r="BA391" s="7"/>
      <c r="BB391" s="7"/>
      <c r="BC391" s="7"/>
      <c r="BD391" s="7"/>
      <c r="BE391" s="7"/>
      <c r="BF391" s="7"/>
      <c r="BG391" s="7"/>
    </row>
    <row r="392" customHeight="1" spans="1:59">
      <c r="A392" s="9" t="str">
        <f>IFERROR(__xludf.DUMMYFUNCTION("""COMPUTED_VALUE"""),"Hurston 36")</f>
        <v>Hurston 36</v>
      </c>
      <c r="B392" s="9" t="str">
        <f>IFERROR(__xludf.DUMMYFUNCTION("""COMPUTED_VALUE"""),"Hurston 42")</f>
        <v>Hurston 42</v>
      </c>
      <c r="C392" s="9" t="str">
        <f>IFERROR(__xludf.DUMMYFUNCTION("""COMPUTED_VALUE"""),"Hurston 09")</f>
        <v>Hurston 09</v>
      </c>
      <c r="D392" s="5" t="str">
        <f>IFERROR(__xludf.DUMMYFUNCTION("""COMPUTED_VALUE"""),"Picker's Field")</f>
        <v>Picker's Field</v>
      </c>
      <c r="E392" s="7" t="str">
        <f>IFERROR(__xludf.DUMMYFUNCTION("""COMPUTED_VALUE"""),"Picker's")</f>
        <v>Picker's</v>
      </c>
      <c r="F392" s="11">
        <f>IFERROR(__xludf.DUMMYFUNCTION("""COMPUTED_VALUE"""),-679.766214981)</f>
        <v>-679.766214981</v>
      </c>
      <c r="G392" s="11">
        <f>IFERROR(__xludf.DUMMYFUNCTION("""COMPUTED_VALUE"""),262.265674172999)</f>
        <v>262.265674172999</v>
      </c>
      <c r="H392" s="11">
        <f>IFERROR(__xludf.DUMMYFUNCTION("""COMPUTED_VALUE"""),-686.080061534999)</f>
        <v>-686.080061534999</v>
      </c>
      <c r="I392" s="15"/>
      <c r="J392" s="15"/>
      <c r="K392" s="15"/>
      <c r="L392" s="15"/>
      <c r="M392" s="7" t="b">
        <f>IFERROR(__xludf.DUMMYFUNCTION("""COMPUTED_VALUE"""),FALSE)</f>
        <v>0</v>
      </c>
      <c r="N392" s="10">
        <f>IFERROR(__xludf.DUMMYFUNCTION("""COMPUTED_VALUE"""),0)</f>
        <v>0</v>
      </c>
      <c r="O392" s="10">
        <f>IFERROR(__xludf.DUMMYFUNCTION("""COMPUTED_VALUE"""),0)</f>
        <v>0</v>
      </c>
      <c r="P392" s="8"/>
      <c r="Q392" s="7"/>
      <c r="R392" s="16"/>
      <c r="S392" s="17"/>
      <c r="T392" s="8"/>
      <c r="U392" s="8"/>
      <c r="V392" s="22"/>
      <c r="W392" s="12"/>
      <c r="X392" s="12"/>
      <c r="Y392" s="12"/>
      <c r="Z392" s="12"/>
      <c r="AA392" s="7"/>
      <c r="AB392" s="12"/>
      <c r="AC392" s="6"/>
      <c r="AD392" s="6"/>
      <c r="AE392" s="7"/>
      <c r="AF392" s="7"/>
      <c r="AG392" s="7"/>
      <c r="AH392" s="7"/>
      <c r="AI392" s="7"/>
      <c r="AJ392" s="7"/>
      <c r="AK392" s="7"/>
      <c r="AL392" s="7"/>
      <c r="AM392" s="7"/>
      <c r="AN392" s="7"/>
      <c r="AO392" s="6"/>
      <c r="AP392" s="7"/>
      <c r="AQ392" s="7"/>
      <c r="AR392" s="6"/>
      <c r="AS392" s="7"/>
      <c r="AT392" s="7"/>
      <c r="AU392" s="7"/>
      <c r="AV392" s="7"/>
      <c r="AW392" s="7"/>
      <c r="AX392" s="7"/>
      <c r="AY392" s="7"/>
      <c r="AZ392" s="7"/>
      <c r="BA392" s="7"/>
      <c r="BB392" s="7"/>
      <c r="BC392" s="7"/>
      <c r="BD392" s="7"/>
      <c r="BE392" s="7"/>
      <c r="BF392" s="7"/>
      <c r="BG392" s="7"/>
    </row>
    <row r="393" customHeight="1" spans="1:59">
      <c r="A393" s="9" t="str">
        <f>IFERROR(__xludf.DUMMYFUNCTION("""COMPUTED_VALUE"""),"Hurston 35")</f>
        <v>Hurston 35</v>
      </c>
      <c r="B393" s="9" t="str">
        <f>IFERROR(__xludf.DUMMYFUNCTION("""COMPUTED_VALUE"""),"Hurston 41")</f>
        <v>Hurston 41</v>
      </c>
      <c r="C393" s="9" t="str">
        <f>IFERROR(__xludf.DUMMYFUNCTION("""COMPUTED_VALUE"""),"Hurston 21")</f>
        <v>Hurston 21</v>
      </c>
      <c r="D393" s="5" t="str">
        <f>IFERROR(__xludf.DUMMYFUNCTION("""COMPUTED_VALUE"""),"Maker's Point (Wire City)")</f>
        <v>Maker's Point (Wire City)</v>
      </c>
      <c r="E393" s="7" t="str">
        <f>IFERROR(__xludf.DUMMYFUNCTION("""COMPUTED_VALUE"""),"Maker's")</f>
        <v>Maker's</v>
      </c>
      <c r="F393" s="11">
        <f>IFERROR(__xludf.DUMMYFUNCTION("""COMPUTED_VALUE"""),-154.007217781)</f>
        <v>-154.007217781</v>
      </c>
      <c r="G393" s="11">
        <f>IFERROR(__xludf.DUMMYFUNCTION("""COMPUTED_VALUE"""),128.324546170999)</f>
        <v>128.324546170999</v>
      </c>
      <c r="H393" s="11">
        <f>IFERROR(__xludf.DUMMYFUNCTION("""COMPUTED_VALUE"""),979.766026532)</f>
        <v>979.766026532</v>
      </c>
      <c r="I393" s="15"/>
      <c r="J393" s="15"/>
      <c r="K393" s="15"/>
      <c r="L393" s="15"/>
      <c r="M393" s="7" t="b">
        <f>IFERROR(__xludf.DUMMYFUNCTION("""COMPUTED_VALUE"""),FALSE)</f>
        <v>0</v>
      </c>
      <c r="N393" s="10">
        <f>IFERROR(__xludf.DUMMYFUNCTION("""COMPUTED_VALUE"""),0)</f>
        <v>0</v>
      </c>
      <c r="O393" s="10">
        <f>IFERROR(__xludf.DUMMYFUNCTION("""COMPUTED_VALUE"""),0)</f>
        <v>0</v>
      </c>
      <c r="P393" s="8"/>
      <c r="Q393" s="7"/>
      <c r="R393" s="16"/>
      <c r="S393" s="17"/>
      <c r="T393" s="8"/>
      <c r="U393" s="8"/>
      <c r="V393" s="22"/>
      <c r="W393" s="12"/>
      <c r="X393" s="12"/>
      <c r="Y393" s="12"/>
      <c r="Z393" s="12"/>
      <c r="AA393" s="7"/>
      <c r="AB393" s="12"/>
      <c r="AC393" s="6"/>
      <c r="AD393" s="6"/>
      <c r="AE393" s="7"/>
      <c r="AF393" s="7"/>
      <c r="AG393" s="7"/>
      <c r="AH393" s="7"/>
      <c r="AI393" s="7"/>
      <c r="AJ393" s="7"/>
      <c r="AK393" s="7"/>
      <c r="AL393" s="7"/>
      <c r="AM393" s="7"/>
      <c r="AN393" s="7"/>
      <c r="AO393" s="6"/>
      <c r="AP393" s="7"/>
      <c r="AQ393" s="7"/>
      <c r="AR393" s="6"/>
      <c r="AS393" s="7"/>
      <c r="AT393" s="7"/>
      <c r="AU393" s="7"/>
      <c r="AV393" s="7"/>
      <c r="AW393" s="7"/>
      <c r="AX393" s="7"/>
      <c r="AY393" s="7"/>
      <c r="AZ393" s="7"/>
      <c r="BA393" s="7"/>
      <c r="BB393" s="7"/>
      <c r="BC393" s="7"/>
      <c r="BD393" s="7"/>
      <c r="BE393" s="7"/>
      <c r="BF393" s="7"/>
      <c r="BG393" s="7"/>
    </row>
    <row r="394" customHeight="1" spans="1:59">
      <c r="A394" s="9" t="str">
        <f>IFERROR(__xludf.DUMMYFUNCTION("""COMPUTED_VALUE"""),"Hurston 39")</f>
        <v>Hurston 39</v>
      </c>
      <c r="B394" s="9" t="str">
        <f>IFERROR(__xludf.DUMMYFUNCTION("""COMPUTED_VALUE"""),"Hurston 45")</f>
        <v>Hurston 45</v>
      </c>
      <c r="C394" s="9" t="str">
        <f>IFERROR(__xludf.DUMMYFUNCTION("""COMPUTED_VALUE"""),"Hurston 74")</f>
        <v>Hurston 74</v>
      </c>
      <c r="D394" s="5" t="str">
        <f>IFERROR(__xludf.DUMMYFUNCTION("""COMPUTED_VALUE"""),"Zephyr (Windmill)")</f>
        <v>Zephyr (Windmill)</v>
      </c>
      <c r="E394" s="7" t="str">
        <f>IFERROR(__xludf.DUMMYFUNCTION("""COMPUTED_VALUE"""),"Zephyr")</f>
        <v>Zephyr</v>
      </c>
      <c r="F394" s="11">
        <f>IFERROR(__xludf.DUMMYFUNCTION("""COMPUTED_VALUE"""),108.159996413)</f>
        <v>108.159996413</v>
      </c>
      <c r="G394" s="11">
        <f>IFERROR(__xludf.DUMMYFUNCTION("""COMPUTED_VALUE"""),-133.661614184)</f>
        <v>-133.661614184</v>
      </c>
      <c r="H394" s="11">
        <f>IFERROR(__xludf.DUMMYFUNCTION("""COMPUTED_VALUE"""),986.694257507)</f>
        <v>986.694257507</v>
      </c>
      <c r="I394" s="15"/>
      <c r="J394" s="15"/>
      <c r="K394" s="15"/>
      <c r="L394" s="15"/>
      <c r="M394" s="7" t="b">
        <f>IFERROR(__xludf.DUMMYFUNCTION("""COMPUTED_VALUE"""),FALSE)</f>
        <v>0</v>
      </c>
      <c r="N394" s="10">
        <f>IFERROR(__xludf.DUMMYFUNCTION("""COMPUTED_VALUE"""),0)</f>
        <v>0</v>
      </c>
      <c r="O394" s="10">
        <f>IFERROR(__xludf.DUMMYFUNCTION("""COMPUTED_VALUE"""),0)</f>
        <v>0</v>
      </c>
      <c r="P394" s="8"/>
      <c r="Q394" s="7"/>
      <c r="R394" s="16"/>
      <c r="S394" s="17"/>
      <c r="T394" s="8"/>
      <c r="U394" s="8"/>
      <c r="V394" s="22"/>
      <c r="W394" s="12"/>
      <c r="X394" s="12"/>
      <c r="Y394" s="12"/>
      <c r="Z394" s="12"/>
      <c r="AA394" s="7"/>
      <c r="AB394" s="12"/>
      <c r="AC394" s="6"/>
      <c r="AD394" s="6"/>
      <c r="AE394" s="7"/>
      <c r="AF394" s="7"/>
      <c r="AG394" s="7"/>
      <c r="AH394" s="7"/>
      <c r="AI394" s="7"/>
      <c r="AJ394" s="7"/>
      <c r="AK394" s="7"/>
      <c r="AL394" s="7"/>
      <c r="AM394" s="7"/>
      <c r="AN394" s="7"/>
      <c r="AO394" s="6"/>
      <c r="AP394" s="7"/>
      <c r="AQ394" s="7"/>
      <c r="AR394" s="6"/>
      <c r="AS394" s="7"/>
      <c r="AT394" s="7"/>
      <c r="AU394" s="7"/>
      <c r="AV394" s="7"/>
      <c r="AW394" s="7"/>
      <c r="AX394" s="7"/>
      <c r="AY394" s="7"/>
      <c r="AZ394" s="7"/>
      <c r="BA394" s="7"/>
      <c r="BB394" s="7"/>
      <c r="BC394" s="7"/>
      <c r="BD394" s="7"/>
      <c r="BE394" s="7"/>
      <c r="BF394" s="7"/>
      <c r="BG394" s="7"/>
    </row>
    <row r="395" customHeight="1" spans="1:59">
      <c r="A395" s="9" t="str">
        <f>IFERROR(__xludf.DUMMYFUNCTION("""COMPUTED_VALUE"""),"Hurston 37")</f>
        <v>Hurston 37</v>
      </c>
      <c r="B395" s="9" t="str">
        <f>IFERROR(__xludf.DUMMYFUNCTION("""COMPUTED_VALUE"""),"Hurston 43")</f>
        <v>Hurston 43</v>
      </c>
      <c r="C395" s="9" t="str">
        <f>IFERROR(__xludf.DUMMYFUNCTION("""COMPUTED_VALUE"""),"Hurston 76")</f>
        <v>Hurston 76</v>
      </c>
      <c r="D395" s="5" t="str">
        <f>IFERROR(__xludf.DUMMYFUNCTION("""COMPUTED_VALUE"""),"Rappel")</f>
        <v>Rappel</v>
      </c>
      <c r="E395" s="7" t="str">
        <f>IFERROR(__xludf.DUMMYFUNCTION("""COMPUTED_VALUE"""),"Rappel")</f>
        <v>Rappel</v>
      </c>
      <c r="F395" s="11">
        <f>IFERROR(__xludf.DUMMYFUNCTION("""COMPUTED_VALUE"""),352.952127274999)</f>
        <v>352.952127274999</v>
      </c>
      <c r="G395" s="11">
        <f>IFERROR(__xludf.DUMMYFUNCTION("""COMPUTED_VALUE"""),-661.889742396999)</f>
        <v>-661.889742396999</v>
      </c>
      <c r="H395" s="11">
        <f>IFERROR(__xludf.DUMMYFUNCTION("""COMPUTED_VALUE"""),663.889093976999)</f>
        <v>663.889093976999</v>
      </c>
      <c r="I395" s="15"/>
      <c r="J395" s="15"/>
      <c r="K395" s="15"/>
      <c r="L395" s="15"/>
      <c r="M395" s="7" t="b">
        <f>IFERROR(__xludf.DUMMYFUNCTION("""COMPUTED_VALUE"""),FALSE)</f>
        <v>0</v>
      </c>
      <c r="N395" s="10">
        <f>IFERROR(__xludf.DUMMYFUNCTION("""COMPUTED_VALUE"""),0)</f>
        <v>0</v>
      </c>
      <c r="O395" s="10">
        <f>IFERROR(__xludf.DUMMYFUNCTION("""COMPUTED_VALUE"""),0)</f>
        <v>0</v>
      </c>
      <c r="P395" s="8"/>
      <c r="Q395" s="7"/>
      <c r="R395" s="16"/>
      <c r="S395" s="17"/>
      <c r="T395" s="8"/>
      <c r="U395" s="8"/>
      <c r="V395" s="22"/>
      <c r="W395" s="12"/>
      <c r="X395" s="12"/>
      <c r="Y395" s="12"/>
      <c r="Z395" s="12"/>
      <c r="AA395" s="7"/>
      <c r="AB395" s="12"/>
      <c r="AC395" s="6"/>
      <c r="AD395" s="6"/>
      <c r="AE395" s="7"/>
      <c r="AF395" s="7"/>
      <c r="AG395" s="7"/>
      <c r="AH395" s="7"/>
      <c r="AI395" s="7"/>
      <c r="AJ395" s="7"/>
      <c r="AK395" s="7"/>
      <c r="AL395" s="7"/>
      <c r="AM395" s="7"/>
      <c r="AN395" s="7"/>
      <c r="AO395" s="6"/>
      <c r="AP395" s="7"/>
      <c r="AQ395" s="7"/>
      <c r="AR395" s="6"/>
      <c r="AS395" s="7"/>
      <c r="AT395" s="7"/>
      <c r="AU395" s="7"/>
      <c r="AV395" s="7"/>
      <c r="AW395" s="7"/>
      <c r="AX395" s="7"/>
      <c r="AY395" s="7"/>
      <c r="AZ395" s="7"/>
      <c r="BA395" s="7"/>
      <c r="BB395" s="7"/>
      <c r="BC395" s="7"/>
      <c r="BD395" s="7"/>
      <c r="BE395" s="7"/>
      <c r="BF395" s="7"/>
      <c r="BG395" s="7"/>
    </row>
    <row r="396" customHeight="1" spans="1:59">
      <c r="A396" s="9" t="str">
        <f>IFERROR(__xludf.DUMMYFUNCTION("""COMPUTED_VALUE"""),"Hurston 32")</f>
        <v>Hurston 32</v>
      </c>
      <c r="B396" s="9" t="str">
        <f>IFERROR(__xludf.DUMMYFUNCTION("""COMPUTED_VALUE"""),"Hurston 38")</f>
        <v>Hurston 38</v>
      </c>
      <c r="C396" s="9" t="str">
        <f>IFERROR(__xludf.DUMMYFUNCTION("""COMPUTED_VALUE"""),"Hurston 123")</f>
        <v>Hurston 123</v>
      </c>
      <c r="D396" s="5" t="str">
        <f>IFERROR(__xludf.DUMMYFUNCTION("""COMPUTED_VALUE"""),"Cutter's Rig (Ocean Forge)")</f>
        <v>Cutter's Rig (Ocean Forge)</v>
      </c>
      <c r="E396" s="7" t="str">
        <f>IFERROR(__xludf.DUMMYFUNCTION("""COMPUTED_VALUE"""),"Cutter's")</f>
        <v>Cutter's</v>
      </c>
      <c r="F396" s="11">
        <f>IFERROR(__xludf.DUMMYFUNCTION("""COMPUTED_VALUE"""),-455.118837038)</f>
        <v>-455.118837038</v>
      </c>
      <c r="G396" s="11">
        <f>IFERROR(__xludf.DUMMYFUNCTION("""COMPUTED_VALUE"""),-200.496928163)</f>
        <v>-200.496928163</v>
      </c>
      <c r="H396" s="11">
        <f>IFERROR(__xludf.DUMMYFUNCTION("""COMPUTED_VALUE"""),867.564004635)</f>
        <v>867.564004635</v>
      </c>
      <c r="I396" s="15"/>
      <c r="J396" s="15"/>
      <c r="K396" s="15"/>
      <c r="L396" s="15"/>
      <c r="M396" s="7" t="b">
        <f>IFERROR(__xludf.DUMMYFUNCTION("""COMPUTED_VALUE"""),FALSE)</f>
        <v>0</v>
      </c>
      <c r="N396" s="10">
        <f>IFERROR(__xludf.DUMMYFUNCTION("""COMPUTED_VALUE"""),0)</f>
        <v>0</v>
      </c>
      <c r="O396" s="10">
        <f>IFERROR(__xludf.DUMMYFUNCTION("""COMPUTED_VALUE"""),0)</f>
        <v>0</v>
      </c>
      <c r="P396" s="8"/>
      <c r="Q396" s="7"/>
      <c r="R396" s="16"/>
      <c r="S396" s="17"/>
      <c r="T396" s="8"/>
      <c r="U396" s="8"/>
      <c r="V396" s="22"/>
      <c r="W396" s="12"/>
      <c r="X396" s="12"/>
      <c r="Y396" s="12"/>
      <c r="Z396" s="12"/>
      <c r="AA396" s="7"/>
      <c r="AB396" s="12"/>
      <c r="AC396" s="6"/>
      <c r="AD396" s="6"/>
      <c r="AE396" s="7"/>
      <c r="AF396" s="7"/>
      <c r="AG396" s="7"/>
      <c r="AH396" s="7"/>
      <c r="AI396" s="7"/>
      <c r="AJ396" s="7"/>
      <c r="AK396" s="7"/>
      <c r="AL396" s="7"/>
      <c r="AM396" s="7"/>
      <c r="AN396" s="7"/>
      <c r="AO396" s="6"/>
      <c r="AP396" s="7"/>
      <c r="AQ396" s="7"/>
      <c r="AR396" s="6"/>
      <c r="AS396" s="7"/>
      <c r="AT396" s="7"/>
      <c r="AU396" s="7"/>
      <c r="AV396" s="7"/>
      <c r="AW396" s="7"/>
      <c r="AX396" s="7"/>
      <c r="AY396" s="7"/>
      <c r="AZ396" s="7"/>
      <c r="BA396" s="7"/>
      <c r="BB396" s="7"/>
      <c r="BC396" s="7"/>
      <c r="BD396" s="7"/>
      <c r="BE396" s="7"/>
      <c r="BF396" s="7"/>
      <c r="BG396" s="7"/>
    </row>
    <row r="397" customHeight="1" spans="1:59">
      <c r="A397" s="9" t="str">
        <f>IFERROR(__xludf.DUMMYFUNCTION("""COMPUTED_VALUE"""),"Hurston 38")</f>
        <v>Hurston 38</v>
      </c>
      <c r="B397" s="9" t="str">
        <f>IFERROR(__xludf.DUMMYFUNCTION("""COMPUTED_VALUE"""),"Hurston 44")</f>
        <v>Hurston 44</v>
      </c>
      <c r="C397" s="9" t="str">
        <f>IFERROR(__xludf.DUMMYFUNCTION("""COMPUTED_VALUE"""),"Hurston 121")</f>
        <v>Hurston 121</v>
      </c>
      <c r="D397" s="5" t="str">
        <f>IFERROR(__xludf.DUMMYFUNCTION("""COMPUTED_VALUE"""),"Weeping Cove (Calypso Island)")</f>
        <v>Weeping Cove (Calypso Island)</v>
      </c>
      <c r="E397" s="7" t="str">
        <f>IFERROR(__xludf.DUMMYFUNCTION("""COMPUTED_VALUE"""),"Weeping")</f>
        <v>Weeping</v>
      </c>
      <c r="F397" s="11">
        <f>IFERROR(__xludf.DUMMYFUNCTION("""COMPUTED_VALUE"""),-455.402779451999)</f>
        <v>-455.402779451999</v>
      </c>
      <c r="G397" s="11">
        <f>IFERROR(__xludf.DUMMYFUNCTION("""COMPUTED_VALUE"""),-202.816335427)</f>
        <v>-202.816335427</v>
      </c>
      <c r="H397" s="11">
        <f>IFERROR(__xludf.DUMMYFUNCTION("""COMPUTED_VALUE"""),866.880872573)</f>
        <v>866.880872573</v>
      </c>
      <c r="I397" s="15"/>
      <c r="J397" s="15"/>
      <c r="K397" s="15"/>
      <c r="L397" s="15"/>
      <c r="M397" s="7" t="b">
        <f>IFERROR(__xludf.DUMMYFUNCTION("""COMPUTED_VALUE"""),FALSE)</f>
        <v>0</v>
      </c>
      <c r="N397" s="10">
        <f>IFERROR(__xludf.DUMMYFUNCTION("""COMPUTED_VALUE"""),0)</f>
        <v>0</v>
      </c>
      <c r="O397" s="10">
        <f>IFERROR(__xludf.DUMMYFUNCTION("""COMPUTED_VALUE"""),0)</f>
        <v>0</v>
      </c>
      <c r="P397" s="8"/>
      <c r="Q397" s="7"/>
      <c r="R397" s="16"/>
      <c r="S397" s="17"/>
      <c r="T397" s="8"/>
      <c r="U397" s="8"/>
      <c r="V397" s="22"/>
      <c r="W397" s="12"/>
      <c r="X397" s="12"/>
      <c r="Y397" s="12"/>
      <c r="Z397" s="12"/>
      <c r="AA397" s="7"/>
      <c r="AB397" s="12"/>
      <c r="AC397" s="6"/>
      <c r="AD397" s="6"/>
      <c r="AE397" s="7"/>
      <c r="AF397" s="7"/>
      <c r="AG397" s="7"/>
      <c r="AH397" s="7"/>
      <c r="AI397" s="7"/>
      <c r="AJ397" s="7"/>
      <c r="AK397" s="7"/>
      <c r="AL397" s="7"/>
      <c r="AM397" s="7"/>
      <c r="AN397" s="7"/>
      <c r="AO397" s="6"/>
      <c r="AP397" s="7"/>
      <c r="AQ397" s="7"/>
      <c r="AR397" s="6"/>
      <c r="AS397" s="7"/>
      <c r="AT397" s="7"/>
      <c r="AU397" s="7"/>
      <c r="AV397" s="7"/>
      <c r="AW397" s="7"/>
      <c r="AX397" s="7"/>
      <c r="AY397" s="7"/>
      <c r="AZ397" s="7"/>
      <c r="BA397" s="7"/>
      <c r="BB397" s="7"/>
      <c r="BC397" s="7"/>
      <c r="BD397" s="7"/>
      <c r="BE397" s="7"/>
      <c r="BF397" s="7"/>
      <c r="BG397" s="7"/>
    </row>
    <row r="398" customHeight="1" spans="1:59">
      <c r="A398" s="9" t="str">
        <f>IFERROR(__xludf.DUMMYFUNCTION("""COMPUTED_VALUE"""),"Hurston 42")</f>
        <v>Hurston 42</v>
      </c>
      <c r="B398" s="9" t="str">
        <f>IFERROR(__xludf.DUMMYFUNCTION("""COMPUTED_VALUE"""),"Hurston 48")</f>
        <v>Hurston 48</v>
      </c>
      <c r="C398" s="9" t="str">
        <f>IFERROR(__xludf.DUMMYFUNCTION("""COMPUTED_VALUE"""),"Hurston 99")</f>
        <v>Hurston 99</v>
      </c>
      <c r="D398" s="5" t="str">
        <f>IFERROR(__xludf.DUMMYFUNCTION("""COMPUTED_VALUE"""),"Settlement 12M")</f>
        <v>Settlement 12M</v>
      </c>
      <c r="E398" s="7" t="str">
        <f>IFERROR(__xludf.DUMMYFUNCTION("""COMPUTED_VALUE"""),"Settlement 12M")</f>
        <v>Settlement 12M</v>
      </c>
      <c r="F398" s="11">
        <f>IFERROR(__xludf.DUMMYFUNCTION("""COMPUTED_VALUE"""),-376.125298255999)</f>
        <v>-376.125298255999</v>
      </c>
      <c r="G398" s="11">
        <f>IFERROR(__xludf.DUMMYFUNCTION("""COMPUTED_VALUE"""),-926.123112576)</f>
        <v>-926.123112576</v>
      </c>
      <c r="H398" s="11">
        <f>IFERROR(__xludf.DUMMYFUNCTION("""COMPUTED_VALUE"""),-28.807383935)</f>
        <v>-28.807383935</v>
      </c>
      <c r="I398" s="15"/>
      <c r="J398" s="15"/>
      <c r="K398" s="15"/>
      <c r="L398" s="15"/>
      <c r="M398" s="7" t="b">
        <f>IFERROR(__xludf.DUMMYFUNCTION("""COMPUTED_VALUE"""),FALSE)</f>
        <v>0</v>
      </c>
      <c r="N398" s="10">
        <f>IFERROR(__xludf.DUMMYFUNCTION("""COMPUTED_VALUE"""),0)</f>
        <v>0</v>
      </c>
      <c r="O398" s="10">
        <f>IFERROR(__xludf.DUMMYFUNCTION("""COMPUTED_VALUE"""),0)</f>
        <v>0</v>
      </c>
      <c r="P398" s="8"/>
      <c r="Q398" s="7"/>
      <c r="R398" s="16"/>
      <c r="S398" s="17"/>
      <c r="T398" s="8"/>
      <c r="U398" s="8"/>
      <c r="V398" s="22"/>
      <c r="W398" s="12"/>
      <c r="X398" s="12"/>
      <c r="Y398" s="12"/>
      <c r="Z398" s="12"/>
      <c r="AA398" s="7"/>
      <c r="AB398" s="12"/>
      <c r="AC398" s="6"/>
      <c r="AD398" s="6"/>
      <c r="AE398" s="7"/>
      <c r="AF398" s="7"/>
      <c r="AG398" s="7"/>
      <c r="AH398" s="7"/>
      <c r="AI398" s="7"/>
      <c r="AJ398" s="7"/>
      <c r="AK398" s="7"/>
      <c r="AL398" s="7"/>
      <c r="AM398" s="7"/>
      <c r="AN398" s="7"/>
      <c r="AO398" s="6"/>
      <c r="AP398" s="7"/>
      <c r="AQ398" s="7"/>
      <c r="AR398" s="6"/>
      <c r="AS398" s="7"/>
      <c r="AT398" s="7"/>
      <c r="AU398" s="7"/>
      <c r="AV398" s="7"/>
      <c r="AW398" s="7"/>
      <c r="AX398" s="7"/>
      <c r="AY398" s="7"/>
      <c r="AZ398" s="7"/>
      <c r="BA398" s="7"/>
      <c r="BB398" s="7"/>
      <c r="BC398" s="7"/>
      <c r="BD398" s="7"/>
      <c r="BE398" s="7"/>
      <c r="BF398" s="7"/>
      <c r="BG398" s="7"/>
    </row>
    <row r="399" customHeight="1" spans="1:59">
      <c r="A399" s="9" t="str">
        <f>IFERROR(__xludf.DUMMYFUNCTION("""COMPUTED_VALUE"""),"Hurston 40")</f>
        <v>Hurston 40</v>
      </c>
      <c r="B399" s="9" t="str">
        <f>IFERROR(__xludf.DUMMYFUNCTION("""COMPUTED_VALUE"""),"Hurston 46")</f>
        <v>Hurston 46</v>
      </c>
      <c r="C399" s="9" t="str">
        <f>IFERROR(__xludf.DUMMYFUNCTION("""COMPUTED_VALUE"""),"Hurston 103")</f>
        <v>Hurston 103</v>
      </c>
      <c r="D399" s="5" t="str">
        <f>IFERROR(__xludf.DUMMYFUNCTION("""COMPUTED_VALUE"""),"Settlement 11S")</f>
        <v>Settlement 11S</v>
      </c>
      <c r="E399" s="7" t="str">
        <f>IFERROR(__xludf.DUMMYFUNCTION("""COMPUTED_VALUE"""),"Settlement 11S")</f>
        <v>Settlement 11S</v>
      </c>
      <c r="F399" s="11">
        <f>IFERROR(__xludf.DUMMYFUNCTION("""COMPUTED_VALUE"""),-344.067370539999)</f>
        <v>-344.067370539999</v>
      </c>
      <c r="G399" s="11">
        <f>IFERROR(__xludf.DUMMYFUNCTION("""COMPUTED_VALUE"""),-740.903740990999)</f>
        <v>-740.903740990999</v>
      </c>
      <c r="H399" s="11">
        <f>IFERROR(__xludf.DUMMYFUNCTION("""COMPUTED_VALUE"""),578.997345137999)</f>
        <v>578.997345137999</v>
      </c>
      <c r="I399" s="15"/>
      <c r="J399" s="15"/>
      <c r="K399" s="15"/>
      <c r="L399" s="15"/>
      <c r="M399" s="7" t="b">
        <f>IFERROR(__xludf.DUMMYFUNCTION("""COMPUTED_VALUE"""),FALSE)</f>
        <v>0</v>
      </c>
      <c r="N399" s="10">
        <f>IFERROR(__xludf.DUMMYFUNCTION("""COMPUTED_VALUE"""),0)</f>
        <v>0</v>
      </c>
      <c r="O399" s="10">
        <f>IFERROR(__xludf.DUMMYFUNCTION("""COMPUTED_VALUE"""),0)</f>
        <v>0</v>
      </c>
      <c r="P399" s="8"/>
      <c r="Q399" s="7"/>
      <c r="R399" s="16"/>
      <c r="S399" s="17"/>
      <c r="T399" s="8"/>
      <c r="U399" s="8"/>
      <c r="V399" s="22"/>
      <c r="W399" s="12"/>
      <c r="X399" s="12"/>
      <c r="Y399" s="12"/>
      <c r="Z399" s="12"/>
      <c r="AA399" s="7"/>
      <c r="AB399" s="12"/>
      <c r="AC399" s="6"/>
      <c r="AD399" s="6"/>
      <c r="AE399" s="7"/>
      <c r="AF399" s="7"/>
      <c r="AG399" s="7"/>
      <c r="AH399" s="7"/>
      <c r="AI399" s="7"/>
      <c r="AJ399" s="7"/>
      <c r="AK399" s="7"/>
      <c r="AL399" s="7"/>
      <c r="AM399" s="7"/>
      <c r="AN399" s="7"/>
      <c r="AO399" s="6"/>
      <c r="AP399" s="7"/>
      <c r="AQ399" s="7"/>
      <c r="AR399" s="6"/>
      <c r="AS399" s="7"/>
      <c r="AT399" s="7"/>
      <c r="AU399" s="7"/>
      <c r="AV399" s="7"/>
      <c r="AW399" s="7"/>
      <c r="AX399" s="7"/>
      <c r="AY399" s="7"/>
      <c r="AZ399" s="7"/>
      <c r="BA399" s="7"/>
      <c r="BB399" s="7"/>
      <c r="BC399" s="7"/>
      <c r="BD399" s="7"/>
      <c r="BE399" s="7"/>
      <c r="BF399" s="7"/>
      <c r="BG399" s="7"/>
    </row>
    <row r="400" customHeight="1" spans="1:59">
      <c r="A400" s="9" t="str">
        <f>IFERROR(__xludf.DUMMYFUNCTION("""COMPUTED_VALUE"""),"Hurston 49")</f>
        <v>Hurston 49</v>
      </c>
      <c r="B400" s="9" t="str">
        <f>IFERROR(__xludf.DUMMYFUNCTION("""COMPUTED_VALUE"""),"Hurston 55")</f>
        <v>Hurston 55</v>
      </c>
      <c r="C400" s="9" t="str">
        <f>IFERROR(__xludf.DUMMYFUNCTION("""COMPUTED_VALUE"""),"Hurston 117")</f>
        <v>Hurston 117</v>
      </c>
      <c r="D400" s="5" t="str">
        <f>IFERROR(__xludf.DUMMYFUNCTION("""COMPUTED_VALUE"""),"Settlement YZJ")</f>
        <v>Settlement YZJ</v>
      </c>
      <c r="E400" s="7" t="str">
        <f>IFERROR(__xludf.DUMMYFUNCTION("""COMPUTED_VALUE"""),"Settlement YZJ")</f>
        <v>Settlement YZJ</v>
      </c>
      <c r="F400" s="11">
        <f>IFERROR(__xludf.DUMMYFUNCTION("""COMPUTED_VALUE"""),-144.837925752)</f>
        <v>-144.837925752</v>
      </c>
      <c r="G400" s="11">
        <f>IFERROR(__xludf.DUMMYFUNCTION("""COMPUTED_VALUE"""),-72.704227957)</f>
        <v>-72.704227957</v>
      </c>
      <c r="H400" s="11">
        <f>IFERROR(__xludf.DUMMYFUNCTION("""COMPUTED_VALUE"""),987.322571282)</f>
        <v>987.322571282</v>
      </c>
      <c r="I400" s="15"/>
      <c r="J400" s="15"/>
      <c r="K400" s="15"/>
      <c r="L400" s="15"/>
      <c r="M400" s="7" t="b">
        <f>IFERROR(__xludf.DUMMYFUNCTION("""COMPUTED_VALUE"""),FALSE)</f>
        <v>0</v>
      </c>
      <c r="N400" s="10">
        <f>IFERROR(__xludf.DUMMYFUNCTION("""COMPUTED_VALUE"""),0)</f>
        <v>0</v>
      </c>
      <c r="O400" s="10">
        <f>IFERROR(__xludf.DUMMYFUNCTION("""COMPUTED_VALUE"""),0)</f>
        <v>0</v>
      </c>
      <c r="P400" s="8"/>
      <c r="Q400" s="7"/>
      <c r="R400" s="16"/>
      <c r="S400" s="17"/>
      <c r="T400" s="8"/>
      <c r="U400" s="8"/>
      <c r="V400" s="22"/>
      <c r="W400" s="12"/>
      <c r="X400" s="12"/>
      <c r="Y400" s="12"/>
      <c r="Z400" s="12"/>
      <c r="AA400" s="7"/>
      <c r="AB400" s="12"/>
      <c r="AC400" s="6"/>
      <c r="AD400" s="6"/>
      <c r="AE400" s="7"/>
      <c r="AF400" s="7"/>
      <c r="AG400" s="7"/>
      <c r="AH400" s="7"/>
      <c r="AI400" s="7"/>
      <c r="AJ400" s="7"/>
      <c r="AK400" s="7"/>
      <c r="AL400" s="7"/>
      <c r="AM400" s="7"/>
      <c r="AN400" s="7"/>
      <c r="AO400" s="6"/>
      <c r="AP400" s="7"/>
      <c r="AQ400" s="7"/>
      <c r="AR400" s="6"/>
      <c r="AS400" s="7"/>
      <c r="AT400" s="7"/>
      <c r="AU400" s="7"/>
      <c r="AV400" s="7"/>
      <c r="AW400" s="7"/>
      <c r="AX400" s="7"/>
      <c r="AY400" s="7"/>
      <c r="AZ400" s="7"/>
      <c r="BA400" s="7"/>
      <c r="BB400" s="7"/>
      <c r="BC400" s="7"/>
      <c r="BD400" s="7"/>
      <c r="BE400" s="7"/>
      <c r="BF400" s="7"/>
      <c r="BG400" s="7"/>
    </row>
    <row r="401" customHeight="1" spans="1:59">
      <c r="A401" s="9" t="str">
        <f>IFERROR(__xludf.DUMMYFUNCTION("""COMPUTED_VALUE"""),"Hurston 47")</f>
        <v>Hurston 47</v>
      </c>
      <c r="B401" s="9" t="str">
        <f>IFERROR(__xludf.DUMMYFUNCTION("""COMPUTED_VALUE"""),"Hurston 53")</f>
        <v>Hurston 53</v>
      </c>
      <c r="C401" s="9" t="str">
        <f>IFERROR(__xludf.DUMMYFUNCTION("""COMPUTED_VALUE"""),"Hurston 33")</f>
        <v>Hurston 33</v>
      </c>
      <c r="D401" s="5" t="str">
        <f>IFERROR(__xludf.DUMMYFUNCTION("""COMPUTED_VALUE"""),"Settlement 49U")</f>
        <v>Settlement 49U</v>
      </c>
      <c r="E401" s="7" t="str">
        <f>IFERROR(__xludf.DUMMYFUNCTION("""COMPUTED_VALUE"""),"Settlement 49U")</f>
        <v>Settlement 49U</v>
      </c>
      <c r="F401" s="11">
        <f>IFERROR(__xludf.DUMMYFUNCTION("""COMPUTED_VALUE"""),-229.885843969)</f>
        <v>-229.885843969</v>
      </c>
      <c r="G401" s="11">
        <f>IFERROR(__xludf.DUMMYFUNCTION("""COMPUTED_VALUE"""),577.236715269)</f>
        <v>577.236715269</v>
      </c>
      <c r="H401" s="11">
        <f>IFERROR(__xludf.DUMMYFUNCTION("""COMPUTED_VALUE"""),785.122629446999)</f>
        <v>785.122629446999</v>
      </c>
      <c r="I401" s="15"/>
      <c r="J401" s="15"/>
      <c r="K401" s="15"/>
      <c r="L401" s="15"/>
      <c r="M401" s="7" t="b">
        <f>IFERROR(__xludf.DUMMYFUNCTION("""COMPUTED_VALUE"""),FALSE)</f>
        <v>0</v>
      </c>
      <c r="N401" s="10">
        <f>IFERROR(__xludf.DUMMYFUNCTION("""COMPUTED_VALUE"""),0)</f>
        <v>0</v>
      </c>
      <c r="O401" s="10">
        <f>IFERROR(__xludf.DUMMYFUNCTION("""COMPUTED_VALUE"""),0)</f>
        <v>0</v>
      </c>
      <c r="P401" s="8"/>
      <c r="Q401" s="7"/>
      <c r="R401" s="16"/>
      <c r="S401" s="17"/>
      <c r="T401" s="8"/>
      <c r="U401" s="8"/>
      <c r="V401" s="22"/>
      <c r="W401" s="12"/>
      <c r="X401" s="12"/>
      <c r="Y401" s="12"/>
      <c r="Z401" s="12"/>
      <c r="AA401" s="7"/>
      <c r="AB401" s="12"/>
      <c r="AC401" s="6"/>
      <c r="AD401" s="6"/>
      <c r="AE401" s="7"/>
      <c r="AF401" s="7"/>
      <c r="AG401" s="7"/>
      <c r="AH401" s="7"/>
      <c r="AI401" s="7"/>
      <c r="AJ401" s="7"/>
      <c r="AK401" s="7"/>
      <c r="AL401" s="7"/>
      <c r="AM401" s="7"/>
      <c r="AN401" s="7"/>
      <c r="AO401" s="6"/>
      <c r="AP401" s="7"/>
      <c r="AQ401" s="7"/>
      <c r="AR401" s="6"/>
      <c r="AS401" s="7"/>
      <c r="AT401" s="7"/>
      <c r="AU401" s="7"/>
      <c r="AV401" s="7"/>
      <c r="AW401" s="7"/>
      <c r="AX401" s="7"/>
      <c r="AY401" s="7"/>
      <c r="AZ401" s="7"/>
      <c r="BA401" s="7"/>
      <c r="BB401" s="7"/>
      <c r="BC401" s="7"/>
      <c r="BD401" s="7"/>
      <c r="BE401" s="7"/>
      <c r="BF401" s="7"/>
      <c r="BG401" s="7"/>
    </row>
    <row r="402" customHeight="1" spans="1:59">
      <c r="A402" s="9" t="str">
        <f>IFERROR(__xludf.DUMMYFUNCTION("""COMPUTED_VALUE"""),"Hurston 45")</f>
        <v>Hurston 45</v>
      </c>
      <c r="B402" s="9" t="str">
        <f>IFERROR(__xludf.DUMMYFUNCTION("""COMPUTED_VALUE"""),"Hurston 51")</f>
        <v>Hurston 51</v>
      </c>
      <c r="C402" s="9" t="str">
        <f>IFERROR(__xludf.DUMMYFUNCTION("""COMPUTED_VALUE"""),"Hurston 36")</f>
        <v>Hurston 36</v>
      </c>
      <c r="D402" s="5" t="str">
        <f>IFERROR(__xludf.DUMMYFUNCTION("""COMPUTED_VALUE"""),"Settlement 48M")</f>
        <v>Settlement 48M</v>
      </c>
      <c r="E402" s="7" t="str">
        <f>IFERROR(__xludf.DUMMYFUNCTION("""COMPUTED_VALUE"""),"Settlement 48M")</f>
        <v>Settlement 48M</v>
      </c>
      <c r="F402" s="8">
        <f>IFERROR(__xludf.DUMMYFUNCTION("""COMPUTED_VALUE"""),-260.957335614999)</f>
        <v>-260.957335614999</v>
      </c>
      <c r="G402" s="8">
        <f>IFERROR(__xludf.DUMMYFUNCTION("""COMPUTED_VALUE"""),965.66159417)</f>
        <v>965.66159417</v>
      </c>
      <c r="H402" s="8">
        <f>IFERROR(__xludf.DUMMYFUNCTION("""COMPUTED_VALUE"""),-51.847418499)</f>
        <v>-51.847418499</v>
      </c>
      <c r="I402" s="14"/>
      <c r="J402" s="14"/>
      <c r="K402" s="14"/>
      <c r="L402" s="14"/>
      <c r="M402" s="7" t="b">
        <f>IFERROR(__xludf.DUMMYFUNCTION("""COMPUTED_VALUE"""),FALSE)</f>
        <v>0</v>
      </c>
      <c r="N402" s="10">
        <f>IFERROR(__xludf.DUMMYFUNCTION("""COMPUTED_VALUE"""),0)</f>
        <v>0</v>
      </c>
      <c r="O402" s="10">
        <f>IFERROR(__xludf.DUMMYFUNCTION("""COMPUTED_VALUE"""),0)</f>
        <v>0</v>
      </c>
      <c r="P402" s="8"/>
      <c r="Q402" s="7"/>
      <c r="R402" s="16"/>
      <c r="S402" s="17"/>
      <c r="T402" s="8"/>
      <c r="U402" s="8"/>
      <c r="V402" s="22"/>
      <c r="W402" s="12"/>
      <c r="X402" s="12"/>
      <c r="Y402" s="12"/>
      <c r="Z402" s="12"/>
      <c r="AA402" s="7"/>
      <c r="AB402" s="12"/>
      <c r="AC402" s="6"/>
      <c r="AD402" s="6"/>
      <c r="AE402" s="7"/>
      <c r="AF402" s="7"/>
      <c r="AG402" s="7"/>
      <c r="AH402" s="7"/>
      <c r="AI402" s="7"/>
      <c r="AJ402" s="7"/>
      <c r="AK402" s="7"/>
      <c r="AL402" s="7"/>
      <c r="AM402" s="7"/>
      <c r="AN402" s="7"/>
      <c r="AO402" s="6"/>
      <c r="AP402" s="7"/>
      <c r="AQ402" s="7"/>
      <c r="AR402" s="6"/>
      <c r="AS402" s="7"/>
      <c r="AT402" s="7"/>
      <c r="AU402" s="7"/>
      <c r="AV402" s="7"/>
      <c r="AW402" s="7"/>
      <c r="AX402" s="7"/>
      <c r="AY402" s="7"/>
      <c r="AZ402" s="7"/>
      <c r="BA402" s="7"/>
      <c r="BB402" s="7"/>
      <c r="BC402" s="7"/>
      <c r="BD402" s="7"/>
      <c r="BE402" s="7"/>
      <c r="BF402" s="7"/>
      <c r="BG402" s="7"/>
    </row>
    <row r="403" customHeight="1" spans="1:59">
      <c r="A403" s="9" t="str">
        <f>IFERROR(__xludf.DUMMYFUNCTION("""COMPUTED_VALUE"""),"Hurston 46")</f>
        <v>Hurston 46</v>
      </c>
      <c r="B403" s="9" t="str">
        <f>IFERROR(__xludf.DUMMYFUNCTION("""COMPUTED_VALUE"""),"Hurston 52")</f>
        <v>Hurston 52</v>
      </c>
      <c r="C403" s="9" t="str">
        <f>IFERROR(__xludf.DUMMYFUNCTION("""COMPUTED_VALUE"""),"Hurston 34")</f>
        <v>Hurston 34</v>
      </c>
      <c r="D403" s="5" t="str">
        <f>IFERROR(__xludf.DUMMYFUNCTION("""COMPUTED_VALUE"""),"Settlement 49L")</f>
        <v>Settlement 49L</v>
      </c>
      <c r="E403" s="7" t="str">
        <f>IFERROR(__xludf.DUMMYFUNCTION("""COMPUTED_VALUE"""),"Settlement 49L")</f>
        <v>Settlement 49L</v>
      </c>
      <c r="F403" s="8">
        <f>IFERROR(__xludf.DUMMYFUNCTION("""COMPUTED_VALUE"""),-346.936093791)</f>
        <v>-346.936093791</v>
      </c>
      <c r="G403" s="8">
        <f>IFERROR(__xludf.DUMMYFUNCTION("""COMPUTED_VALUE"""),913.507725299)</f>
        <v>913.507725299</v>
      </c>
      <c r="H403" s="8">
        <f>IFERROR(__xludf.DUMMYFUNCTION("""COMPUTED_VALUE"""),-213.325494582)</f>
        <v>-213.325494582</v>
      </c>
      <c r="I403" s="14"/>
      <c r="J403" s="14"/>
      <c r="K403" s="14"/>
      <c r="L403" s="14"/>
      <c r="M403" s="7" t="b">
        <f>IFERROR(__xludf.DUMMYFUNCTION("""COMPUTED_VALUE"""),FALSE)</f>
        <v>0</v>
      </c>
      <c r="N403" s="10">
        <f>IFERROR(__xludf.DUMMYFUNCTION("""COMPUTED_VALUE"""),0)</f>
        <v>0</v>
      </c>
      <c r="O403" s="10">
        <f>IFERROR(__xludf.DUMMYFUNCTION("""COMPUTED_VALUE"""),0)</f>
        <v>0</v>
      </c>
      <c r="P403" s="8"/>
      <c r="Q403" s="7"/>
      <c r="R403" s="16"/>
      <c r="S403" s="17"/>
      <c r="T403" s="8"/>
      <c r="U403" s="8"/>
      <c r="V403" s="22"/>
      <c r="W403" s="12"/>
      <c r="X403" s="12"/>
      <c r="Y403" s="12"/>
      <c r="Z403" s="12"/>
      <c r="AA403" s="7"/>
      <c r="AB403" s="12"/>
      <c r="AC403" s="6"/>
      <c r="AD403" s="6"/>
      <c r="AE403" s="7"/>
      <c r="AF403" s="7"/>
      <c r="AG403" s="7"/>
      <c r="AH403" s="7"/>
      <c r="AI403" s="7"/>
      <c r="AJ403" s="7"/>
      <c r="AK403" s="7"/>
      <c r="AL403" s="7"/>
      <c r="AM403" s="7"/>
      <c r="AN403" s="7"/>
      <c r="AO403" s="6"/>
      <c r="AP403" s="7"/>
      <c r="AQ403" s="7"/>
      <c r="AR403" s="6"/>
      <c r="AS403" s="7"/>
      <c r="AT403" s="7"/>
      <c r="AU403" s="7"/>
      <c r="AV403" s="7"/>
      <c r="AW403" s="7"/>
      <c r="AX403" s="7"/>
      <c r="AY403" s="7"/>
      <c r="AZ403" s="7"/>
      <c r="BA403" s="7"/>
      <c r="BB403" s="7"/>
      <c r="BC403" s="7"/>
      <c r="BD403" s="7"/>
      <c r="BE403" s="7"/>
      <c r="BF403" s="7"/>
      <c r="BG403" s="7"/>
    </row>
    <row r="404" customHeight="1" spans="1:59">
      <c r="A404" s="9" t="str">
        <f>IFERROR(__xludf.DUMMYFUNCTION("""COMPUTED_VALUE"""),"Hurston 43")</f>
        <v>Hurston 43</v>
      </c>
      <c r="B404" s="9" t="str">
        <f>IFERROR(__xludf.DUMMYFUNCTION("""COMPUTED_VALUE"""),"Hurston 49")</f>
        <v>Hurston 49</v>
      </c>
      <c r="C404" s="9" t="str">
        <f>IFERROR(__xludf.DUMMYFUNCTION("""COMPUTED_VALUE"""),"Hurston 96")</f>
        <v>Hurston 96</v>
      </c>
      <c r="D404" s="5" t="str">
        <f>IFERROR(__xludf.DUMMYFUNCTION("""COMPUTED_VALUE"""),"Settlement 12S")</f>
        <v>Settlement 12S</v>
      </c>
      <c r="E404" s="7" t="str">
        <f>IFERROR(__xludf.DUMMYFUNCTION("""COMPUTED_VALUE"""),"Settlement 12S")</f>
        <v>Settlement 12S</v>
      </c>
      <c r="F404" s="8">
        <f>IFERROR(__xludf.DUMMYFUNCTION("""COMPUTED_VALUE"""),-278.801491893)</f>
        <v>-278.801491893</v>
      </c>
      <c r="G404" s="8">
        <f>IFERROR(__xludf.DUMMYFUNCTION("""COMPUTED_VALUE"""),-767.755981969999)</f>
        <v>-767.755981969999</v>
      </c>
      <c r="H404" s="8">
        <f>IFERROR(__xludf.DUMMYFUNCTION("""COMPUTED_VALUE"""),576.913754636)</f>
        <v>576.913754636</v>
      </c>
      <c r="I404" s="14"/>
      <c r="J404" s="14"/>
      <c r="K404" s="14"/>
      <c r="L404" s="14"/>
      <c r="M404" s="7" t="b">
        <f>IFERROR(__xludf.DUMMYFUNCTION("""COMPUTED_VALUE"""),FALSE)</f>
        <v>0</v>
      </c>
      <c r="N404" s="10">
        <f>IFERROR(__xludf.DUMMYFUNCTION("""COMPUTED_VALUE"""),0)</f>
        <v>0</v>
      </c>
      <c r="O404" s="10">
        <f>IFERROR(__xludf.DUMMYFUNCTION("""COMPUTED_VALUE"""),0)</f>
        <v>0</v>
      </c>
      <c r="P404" s="8"/>
      <c r="Q404" s="7"/>
      <c r="R404" s="16"/>
      <c r="S404" s="17"/>
      <c r="T404" s="8"/>
      <c r="U404" s="8"/>
      <c r="V404" s="22"/>
      <c r="W404" s="12"/>
      <c r="X404" s="12"/>
      <c r="Y404" s="12"/>
      <c r="Z404" s="12"/>
      <c r="AA404" s="7"/>
      <c r="AB404" s="12"/>
      <c r="AC404" s="6"/>
      <c r="AD404" s="6"/>
      <c r="AE404" s="7"/>
      <c r="AF404" s="7"/>
      <c r="AG404" s="7"/>
      <c r="AH404" s="7"/>
      <c r="AI404" s="7"/>
      <c r="AJ404" s="7"/>
      <c r="AK404" s="7"/>
      <c r="AL404" s="7"/>
      <c r="AM404" s="7"/>
      <c r="AN404" s="7"/>
      <c r="AO404" s="6"/>
      <c r="AP404" s="7"/>
      <c r="AQ404" s="7"/>
      <c r="AR404" s="6"/>
      <c r="AS404" s="7"/>
      <c r="AT404" s="7"/>
      <c r="AU404" s="7"/>
      <c r="AV404" s="7"/>
      <c r="AW404" s="7"/>
      <c r="AX404" s="7"/>
      <c r="AY404" s="7"/>
      <c r="AZ404" s="7"/>
      <c r="BA404" s="7"/>
      <c r="BB404" s="7"/>
      <c r="BC404" s="7"/>
      <c r="BD404" s="7"/>
      <c r="BE404" s="7"/>
      <c r="BF404" s="7"/>
      <c r="BG404" s="7"/>
    </row>
    <row r="405" customHeight="1" spans="1:59">
      <c r="A405" s="9" t="str">
        <f>IFERROR(__xludf.DUMMYFUNCTION("""COMPUTED_VALUE"""),"Hurston 41")</f>
        <v>Hurston 41</v>
      </c>
      <c r="B405" s="9" t="str">
        <f>IFERROR(__xludf.DUMMYFUNCTION("""COMPUTED_VALUE"""),"Hurston 47")</f>
        <v>Hurston 47</v>
      </c>
      <c r="C405" s="9" t="str">
        <f>IFERROR(__xludf.DUMMYFUNCTION("""COMPUTED_VALUE"""),"Hurston 105")</f>
        <v>Hurston 105</v>
      </c>
      <c r="D405" s="5" t="str">
        <f>IFERROR(__xludf.DUMMYFUNCTION("""COMPUTED_VALUE"""),"Settlement 11T")</f>
        <v>Settlement 11T</v>
      </c>
      <c r="E405" s="7" t="str">
        <f>IFERROR(__xludf.DUMMYFUNCTION("""COMPUTED_VALUE"""),"Settlement 11T")</f>
        <v>Settlement 11T</v>
      </c>
      <c r="F405" s="11">
        <f>IFERROR(__xludf.DUMMYFUNCTION("""COMPUTED_VALUE"""),-336.118238292999)</f>
        <v>-336.118238292999</v>
      </c>
      <c r="G405" s="11">
        <f>IFERROR(__xludf.DUMMYFUNCTION("""COMPUTED_VALUE"""),-656.521948713)</f>
        <v>-656.521948713</v>
      </c>
      <c r="H405" s="11">
        <f>IFERROR(__xludf.DUMMYFUNCTION("""COMPUTED_VALUE"""),675.284818246999)</f>
        <v>675.284818246999</v>
      </c>
      <c r="I405" s="15"/>
      <c r="J405" s="15"/>
      <c r="K405" s="15"/>
      <c r="L405" s="15"/>
      <c r="M405" s="7" t="b">
        <f>IFERROR(__xludf.DUMMYFUNCTION("""COMPUTED_VALUE"""),FALSE)</f>
        <v>0</v>
      </c>
      <c r="N405" s="10">
        <f>IFERROR(__xludf.DUMMYFUNCTION("""COMPUTED_VALUE"""),0)</f>
        <v>0</v>
      </c>
      <c r="O405" s="10">
        <f>IFERROR(__xludf.DUMMYFUNCTION("""COMPUTED_VALUE"""),0)</f>
        <v>0</v>
      </c>
      <c r="P405" s="8"/>
      <c r="Q405" s="7"/>
      <c r="R405" s="16"/>
      <c r="S405" s="17"/>
      <c r="T405" s="8"/>
      <c r="U405" s="8"/>
      <c r="V405" s="22"/>
      <c r="W405" s="12"/>
      <c r="X405" s="12"/>
      <c r="Y405" s="12"/>
      <c r="Z405" s="12"/>
      <c r="AA405" s="7"/>
      <c r="AB405" s="12"/>
      <c r="AC405" s="6"/>
      <c r="AD405" s="6"/>
      <c r="AE405" s="7"/>
      <c r="AF405" s="7"/>
      <c r="AG405" s="7"/>
      <c r="AH405" s="7"/>
      <c r="AI405" s="7"/>
      <c r="AJ405" s="7"/>
      <c r="AK405" s="7"/>
      <c r="AL405" s="7"/>
      <c r="AM405" s="7"/>
      <c r="AN405" s="7"/>
      <c r="AO405" s="6"/>
      <c r="AP405" s="7"/>
      <c r="AQ405" s="7"/>
      <c r="AR405" s="6"/>
      <c r="AS405" s="7"/>
      <c r="AT405" s="7"/>
      <c r="AU405" s="7"/>
      <c r="AV405" s="7"/>
      <c r="AW405" s="7"/>
      <c r="AX405" s="7"/>
      <c r="AY405" s="7"/>
      <c r="AZ405" s="7"/>
      <c r="BA405" s="7"/>
      <c r="BB405" s="7"/>
      <c r="BC405" s="7"/>
      <c r="BD405" s="7"/>
      <c r="BE405" s="7"/>
      <c r="BF405" s="7"/>
      <c r="BG405" s="7"/>
    </row>
    <row r="406" customHeight="1" spans="1:59">
      <c r="A406" s="9" t="str">
        <f>IFERROR(__xludf.DUMMYFUNCTION("""COMPUTED_VALUE"""),"Hurston 48")</f>
        <v>Hurston 48</v>
      </c>
      <c r="B406" s="9" t="str">
        <f>IFERROR(__xludf.DUMMYFUNCTION("""COMPUTED_VALUE"""),"Hurston 54")</f>
        <v>Hurston 54</v>
      </c>
      <c r="C406" s="9" t="str">
        <f>IFERROR(__xludf.DUMMYFUNCTION("""COMPUTED_VALUE"""),"Hurston 93")</f>
        <v>Hurston 93</v>
      </c>
      <c r="D406" s="5" t="str">
        <f>IFERROR(__xludf.DUMMYFUNCTION("""COMPUTED_VALUE"""),"Settlement YZH")</f>
        <v>Settlement YZH</v>
      </c>
      <c r="E406" s="7" t="str">
        <f>IFERROR(__xludf.DUMMYFUNCTION("""COMPUTED_VALUE"""),"Settlement YZH")</f>
        <v>Settlement YZH</v>
      </c>
      <c r="F406" s="11">
        <f>IFERROR(__xludf.DUMMYFUNCTION("""COMPUTED_VALUE"""),-15.838245482)</f>
        <v>-15.838245482</v>
      </c>
      <c r="G406" s="11">
        <f>IFERROR(__xludf.DUMMYFUNCTION("""COMPUTED_VALUE"""),-58.197017392)</f>
        <v>-58.197017392</v>
      </c>
      <c r="H406" s="11">
        <f>IFERROR(__xludf.DUMMYFUNCTION("""COMPUTED_VALUE"""),998.864905909999)</f>
        <v>998.864905909999</v>
      </c>
      <c r="I406" s="15"/>
      <c r="J406" s="15"/>
      <c r="K406" s="15"/>
      <c r="L406" s="15"/>
      <c r="M406" s="7" t="b">
        <f>IFERROR(__xludf.DUMMYFUNCTION("""COMPUTED_VALUE"""),FALSE)</f>
        <v>0</v>
      </c>
      <c r="N406" s="10">
        <f>IFERROR(__xludf.DUMMYFUNCTION("""COMPUTED_VALUE"""),0)</f>
        <v>0</v>
      </c>
      <c r="O406" s="10">
        <f>IFERROR(__xludf.DUMMYFUNCTION("""COMPUTED_VALUE"""),0)</f>
        <v>0</v>
      </c>
      <c r="P406" s="8"/>
      <c r="Q406" s="7"/>
      <c r="R406" s="16"/>
      <c r="S406" s="17"/>
      <c r="T406" s="8"/>
      <c r="U406" s="8"/>
      <c r="V406" s="22"/>
      <c r="W406" s="12"/>
      <c r="X406" s="12"/>
      <c r="Y406" s="12"/>
      <c r="Z406" s="12"/>
      <c r="AA406" s="7"/>
      <c r="AB406" s="12"/>
      <c r="AC406" s="6"/>
      <c r="AD406" s="6"/>
      <c r="AE406" s="7"/>
      <c r="AF406" s="7"/>
      <c r="AG406" s="7"/>
      <c r="AH406" s="7"/>
      <c r="AI406" s="7"/>
      <c r="AJ406" s="7"/>
      <c r="AK406" s="7"/>
      <c r="AL406" s="7"/>
      <c r="AM406" s="7"/>
      <c r="AN406" s="7"/>
      <c r="AO406" s="6"/>
      <c r="AP406" s="7"/>
      <c r="AQ406" s="7"/>
      <c r="AR406" s="6"/>
      <c r="AS406" s="7"/>
      <c r="AT406" s="7"/>
      <c r="AU406" s="7"/>
      <c r="AV406" s="7"/>
      <c r="AW406" s="7"/>
      <c r="AX406" s="7"/>
      <c r="AY406" s="7"/>
      <c r="AZ406" s="7"/>
      <c r="BA406" s="7"/>
      <c r="BB406" s="7"/>
      <c r="BC406" s="7"/>
      <c r="BD406" s="7"/>
      <c r="BE406" s="7"/>
      <c r="BF406" s="7"/>
      <c r="BG406" s="7"/>
    </row>
    <row r="407" customHeight="1" spans="1:59">
      <c r="A407" s="9" t="str">
        <f>IFERROR(__xludf.DUMMYFUNCTION("""COMPUTED_VALUE"""),"Hurston 44")</f>
        <v>Hurston 44</v>
      </c>
      <c r="B407" s="9" t="str">
        <f>IFERROR(__xludf.DUMMYFUNCTION("""COMPUTED_VALUE"""),"Hurston 50")</f>
        <v>Hurston 50</v>
      </c>
      <c r="C407" s="9" t="str">
        <f>IFERROR(__xludf.DUMMYFUNCTION("""COMPUTED_VALUE"""),"Hurston 73")</f>
        <v>Hurston 73</v>
      </c>
      <c r="D407" s="5" t="str">
        <f>IFERROR(__xludf.DUMMYFUNCTION("""COMPUTED_VALUE"""),"Settlement 22W")</f>
        <v>Settlement 22W</v>
      </c>
      <c r="E407" s="7" t="str">
        <f>IFERROR(__xludf.DUMMYFUNCTION("""COMPUTED_VALUE"""),"Settlement 22W")</f>
        <v>Settlement 22W</v>
      </c>
      <c r="F407" s="11">
        <f>IFERROR(__xludf.DUMMYFUNCTION("""COMPUTED_VALUE"""),253.237282275)</f>
        <v>253.237282275</v>
      </c>
      <c r="G407" s="11">
        <f>IFERROR(__xludf.DUMMYFUNCTION("""COMPUTED_VALUE"""),-308.347106473)</f>
        <v>-308.347106473</v>
      </c>
      <c r="H407" s="11">
        <f>IFERROR(__xludf.DUMMYFUNCTION("""COMPUTED_VALUE"""),918.208869798999)</f>
        <v>918.208869798999</v>
      </c>
      <c r="I407" s="15"/>
      <c r="J407" s="15"/>
      <c r="K407" s="15"/>
      <c r="L407" s="15"/>
      <c r="M407" s="7" t="b">
        <f>IFERROR(__xludf.DUMMYFUNCTION("""COMPUTED_VALUE"""),FALSE)</f>
        <v>0</v>
      </c>
      <c r="N407" s="10">
        <f>IFERROR(__xludf.DUMMYFUNCTION("""COMPUTED_VALUE"""),0)</f>
        <v>0</v>
      </c>
      <c r="O407" s="10">
        <f>IFERROR(__xludf.DUMMYFUNCTION("""COMPUTED_VALUE"""),0)</f>
        <v>0</v>
      </c>
      <c r="P407" s="8"/>
      <c r="Q407" s="7"/>
      <c r="R407" s="16"/>
      <c r="S407" s="17"/>
      <c r="T407" s="8"/>
      <c r="U407" s="8"/>
      <c r="V407" s="22"/>
      <c r="W407" s="12"/>
      <c r="X407" s="12"/>
      <c r="Y407" s="12"/>
      <c r="Z407" s="12"/>
      <c r="AA407" s="7"/>
      <c r="AB407" s="12"/>
      <c r="AC407" s="6"/>
      <c r="AD407" s="6"/>
      <c r="AE407" s="7"/>
      <c r="AF407" s="7"/>
      <c r="AG407" s="7"/>
      <c r="AH407" s="7"/>
      <c r="AI407" s="7"/>
      <c r="AJ407" s="7"/>
      <c r="AK407" s="7"/>
      <c r="AL407" s="7"/>
      <c r="AM407" s="7"/>
      <c r="AN407" s="7"/>
      <c r="AO407" s="6"/>
      <c r="AP407" s="7"/>
      <c r="AQ407" s="7"/>
      <c r="AR407" s="6"/>
      <c r="AS407" s="7"/>
      <c r="AT407" s="7"/>
      <c r="AU407" s="7"/>
      <c r="AV407" s="7"/>
      <c r="AW407" s="7"/>
      <c r="AX407" s="7"/>
      <c r="AY407" s="7"/>
      <c r="AZ407" s="7"/>
      <c r="BA407" s="7"/>
      <c r="BB407" s="7"/>
      <c r="BC407" s="7"/>
      <c r="BD407" s="7"/>
      <c r="BE407" s="7"/>
      <c r="BF407" s="7"/>
      <c r="BG407" s="7"/>
    </row>
    <row r="408" customHeight="1" spans="1:59">
      <c r="A408" s="9" t="str">
        <f>IFERROR(__xludf.DUMMYFUNCTION("""COMPUTED_VALUE"""),"Hurston")</f>
        <v>Hurston</v>
      </c>
      <c r="B408" s="9" t="str">
        <f>IFERROR(__xludf.DUMMYFUNCTION("""COMPUTED_VALUE"""),"Hurston 57")</f>
        <v>Hurston 57</v>
      </c>
      <c r="C408" s="9"/>
      <c r="D408" s="5" t="str">
        <f>IFERROR(__xludf.DUMMYFUNCTION("""COMPUTED_VALUE"""),"Caves")</f>
        <v>Caves</v>
      </c>
      <c r="E408" s="7"/>
      <c r="F408" s="11"/>
      <c r="G408" s="11"/>
      <c r="H408" s="11"/>
      <c r="I408" s="15"/>
      <c r="J408" s="15"/>
      <c r="K408" s="15"/>
      <c r="L408" s="15"/>
      <c r="M408" s="7"/>
      <c r="N408" s="10"/>
      <c r="O408" s="10"/>
      <c r="P408" s="8"/>
      <c r="Q408" s="7"/>
      <c r="R408" s="16"/>
      <c r="S408" s="17"/>
      <c r="T408" s="8"/>
      <c r="U408" s="8"/>
      <c r="V408" s="22"/>
      <c r="W408" s="12"/>
      <c r="X408" s="12"/>
      <c r="Y408" s="12"/>
      <c r="Z408" s="12"/>
      <c r="AA408" s="7"/>
      <c r="AB408" s="12"/>
      <c r="AC408" s="6"/>
      <c r="AD408" s="6"/>
      <c r="AE408" s="7"/>
      <c r="AF408" s="7"/>
      <c r="AG408" s="7"/>
      <c r="AH408" s="7"/>
      <c r="AI408" s="7"/>
      <c r="AJ408" s="7"/>
      <c r="AK408" s="7"/>
      <c r="AL408" s="7"/>
      <c r="AM408" s="7"/>
      <c r="AN408" s="7"/>
      <c r="AO408" s="6"/>
      <c r="AP408" s="7"/>
      <c r="AQ408" s="7"/>
      <c r="AR408" s="6"/>
      <c r="AS408" s="7"/>
      <c r="AT408" s="7"/>
      <c r="AU408" s="7"/>
      <c r="AV408" s="7"/>
      <c r="AW408" s="7"/>
      <c r="AX408" s="7"/>
      <c r="AY408" s="7"/>
      <c r="AZ408" s="7"/>
      <c r="BA408" s="7"/>
      <c r="BB408" s="7"/>
      <c r="BC408" s="7"/>
      <c r="BD408" s="7"/>
      <c r="BE408" s="7"/>
      <c r="BF408" s="7"/>
      <c r="BG408" s="7"/>
    </row>
    <row r="409" customHeight="1" spans="1:59">
      <c r="A409" s="9" t="str">
        <f>IFERROR(__xludf.DUMMYFUNCTION("""COMPUTED_VALUE"""),"Hurston 28")</f>
        <v>Hurston 28</v>
      </c>
      <c r="B409" s="9" t="str">
        <f>IFERROR(__xludf.DUMMYFUNCTION("""COMPUTED_VALUE"""),"Hurston 58")</f>
        <v>Hurston 58</v>
      </c>
      <c r="C409" s="9" t="str">
        <f>IFERROR(__xludf.DUMMYFUNCTION("""COMPUTED_VALUE"""),"Hurston 92")</f>
        <v>Hurston 92</v>
      </c>
      <c r="D409" s="5" t="str">
        <f>IFERROR(__xludf.DUMMYFUNCTION("""COMPUTED_VALUE"""),"HDES Calthrope (NA)")</f>
        <v>HDES Calthrope (NA)</v>
      </c>
      <c r="E409" s="7" t="str">
        <f>IFERROR(__xludf.DUMMYFUNCTION("""COMPUTED_VALUE"""),"Calthrope")</f>
        <v>Calthrope</v>
      </c>
      <c r="F409" s="11">
        <f>IFERROR(__xludf.DUMMYFUNCTION("""COMPUTED_VALUE"""),-203.375715764643)</f>
        <v>-203.375715764643</v>
      </c>
      <c r="G409" s="11">
        <f>IFERROR(__xludf.DUMMYFUNCTION("""COMPUTED_VALUE"""),-806.580488160186)</f>
        <v>-806.580488160186</v>
      </c>
      <c r="H409" s="11">
        <f>IFERROR(__xludf.DUMMYFUNCTION("""COMPUTED_VALUE"""),557.779366812343)</f>
        <v>557.779366812343</v>
      </c>
      <c r="I409" s="15"/>
      <c r="J409" s="15"/>
      <c r="K409" s="15"/>
      <c r="L409" s="15"/>
      <c r="M409" s="7" t="b">
        <f>IFERROR(__xludf.DUMMYFUNCTION("""COMPUTED_VALUE"""),TRUE)</f>
        <v>1</v>
      </c>
      <c r="N409" s="10">
        <f>IFERROR(__xludf.DUMMYFUNCTION("""COMPUTED_VALUE"""),0)</f>
        <v>0</v>
      </c>
      <c r="O409" s="10">
        <f>IFERROR(__xludf.DUMMYFUNCTION("""COMPUTED_VALUE"""),0)</f>
        <v>0</v>
      </c>
      <c r="P409" s="8"/>
      <c r="Q409" s="7"/>
      <c r="R409" s="16"/>
      <c r="S409" s="17"/>
      <c r="T409" s="8"/>
      <c r="U409" s="8"/>
      <c r="V409" s="22"/>
      <c r="W409" s="12"/>
      <c r="X409" s="12"/>
      <c r="Y409" s="12"/>
      <c r="Z409" s="12"/>
      <c r="AA409" s="7"/>
      <c r="AB409" s="12"/>
      <c r="AC409" s="6"/>
      <c r="AD409" s="6"/>
      <c r="AE409" s="7"/>
      <c r="AF409" s="7"/>
      <c r="AG409" s="7"/>
      <c r="AH409" s="7"/>
      <c r="AI409" s="7"/>
      <c r="AJ409" s="7"/>
      <c r="AK409" s="7"/>
      <c r="AL409" s="7"/>
      <c r="AM409" s="7"/>
      <c r="AN409" s="7"/>
      <c r="AO409" s="6"/>
      <c r="AP409" s="7"/>
      <c r="AQ409" s="7"/>
      <c r="AR409" s="6"/>
      <c r="AS409" s="7"/>
      <c r="AT409" s="7"/>
      <c r="AU409" s="7"/>
      <c r="AV409" s="7"/>
      <c r="AW409" s="7"/>
      <c r="AX409" s="7"/>
      <c r="AY409" s="7"/>
      <c r="AZ409" s="7"/>
      <c r="BA409" s="7"/>
      <c r="BB409" s="7"/>
      <c r="BC409" s="7"/>
      <c r="BD409" s="7"/>
      <c r="BE409" s="7"/>
      <c r="BF409" s="7"/>
      <c r="BG409" s="7"/>
    </row>
    <row r="410" customHeight="1" spans="1:59">
      <c r="A410" s="9" t="str">
        <f>IFERROR(__xludf.DUMMYFUNCTION("""COMPUTED_VALUE"""),"Hurston 51")</f>
        <v>Hurston 51</v>
      </c>
      <c r="B410" s="9" t="str">
        <f>IFERROR(__xludf.DUMMYFUNCTION("""COMPUTED_VALUE"""),"Hurston 60")</f>
        <v>Hurston 60</v>
      </c>
      <c r="C410" s="9" t="str">
        <f>IFERROR(__xludf.DUMMYFUNCTION("""COMPUTED_VALUE"""),"Hurston 97")</f>
        <v>Hurston 97</v>
      </c>
      <c r="D410" s="5" t="str">
        <f>IFERROR(__xludf.DUMMYFUNCTION("""COMPUTED_VALUE"""),"Rock Cave 12R")</f>
        <v>Rock Cave 12R</v>
      </c>
      <c r="E410" s="7" t="str">
        <f>IFERROR(__xludf.DUMMYFUNCTION("""COMPUTED_VALUE"""),"RCave 12R")</f>
        <v>RCave 12R</v>
      </c>
      <c r="F410" s="11">
        <f>IFERROR(__xludf.DUMMYFUNCTION("""COMPUTED_VALUE"""),-303.624473397106)</f>
        <v>-303.624473397106</v>
      </c>
      <c r="G410" s="11">
        <f>IFERROR(__xludf.DUMMYFUNCTION("""COMPUTED_VALUE"""),-801.386262265569)</f>
        <v>-801.386262265569</v>
      </c>
      <c r="H410" s="11">
        <f>IFERROR(__xludf.DUMMYFUNCTION("""COMPUTED_VALUE"""),518.049476678975)</f>
        <v>518.049476678975</v>
      </c>
      <c r="I410" s="15"/>
      <c r="J410" s="15"/>
      <c r="K410" s="15"/>
      <c r="L410" s="15"/>
      <c r="M410" s="7" t="b">
        <f>IFERROR(__xludf.DUMMYFUNCTION("""COMPUTED_VALUE"""),FALSE)</f>
        <v>0</v>
      </c>
      <c r="N410" s="10">
        <f>IFERROR(__xludf.DUMMYFUNCTION("""COMPUTED_VALUE"""),0)</f>
        <v>0</v>
      </c>
      <c r="O410" s="10">
        <f>IFERROR(__xludf.DUMMYFUNCTION("""COMPUTED_VALUE"""),0)</f>
        <v>0</v>
      </c>
      <c r="P410" s="8"/>
      <c r="Q410" s="7"/>
      <c r="R410" s="16"/>
      <c r="S410" s="17"/>
      <c r="T410" s="8"/>
      <c r="U410" s="8"/>
      <c r="V410" s="22"/>
      <c r="W410" s="12"/>
      <c r="X410" s="12"/>
      <c r="Y410" s="12"/>
      <c r="Z410" s="12"/>
      <c r="AA410" s="7"/>
      <c r="AB410" s="12"/>
      <c r="AC410" s="6"/>
      <c r="AD410" s="6"/>
      <c r="AE410" s="7"/>
      <c r="AF410" s="7"/>
      <c r="AG410" s="7"/>
      <c r="AH410" s="7"/>
      <c r="AI410" s="7"/>
      <c r="AJ410" s="7"/>
      <c r="AK410" s="7"/>
      <c r="AL410" s="7"/>
      <c r="AM410" s="7"/>
      <c r="AN410" s="7"/>
      <c r="AO410" s="6"/>
      <c r="AP410" s="7"/>
      <c r="AQ410" s="7"/>
      <c r="AR410" s="6"/>
      <c r="AS410" s="7"/>
      <c r="AT410" s="7"/>
      <c r="AU410" s="7"/>
      <c r="AV410" s="7"/>
      <c r="AW410" s="7"/>
      <c r="AX410" s="7"/>
      <c r="AY410" s="7"/>
      <c r="AZ410" s="7"/>
      <c r="BA410" s="7"/>
      <c r="BB410" s="7"/>
      <c r="BC410" s="7"/>
      <c r="BD410" s="7"/>
      <c r="BE410" s="7"/>
      <c r="BF410" s="7"/>
      <c r="BG410" s="7"/>
    </row>
    <row r="411" customHeight="1" spans="1:59">
      <c r="A411" s="9" t="str">
        <f>IFERROR(__xludf.DUMMYFUNCTION("""COMPUTED_VALUE"""),"Hurston 50")</f>
        <v>Hurston 50</v>
      </c>
      <c r="B411" s="9" t="str">
        <f>IFERROR(__xludf.DUMMYFUNCTION("""COMPUTED_VALUE"""),"Hurston 59")</f>
        <v>Hurston 59</v>
      </c>
      <c r="C411" s="9" t="str">
        <f>IFERROR(__xludf.DUMMYFUNCTION("""COMPUTED_VALUE"""),"Hurston 104")</f>
        <v>Hurston 104</v>
      </c>
      <c r="D411" s="5" t="str">
        <f>IFERROR(__xludf.DUMMYFUNCTION("""COMPUTED_VALUE"""),"Rock Cave 11S")</f>
        <v>Rock Cave 11S</v>
      </c>
      <c r="E411" s="7" t="str">
        <f>IFERROR(__xludf.DUMMYFUNCTION("""COMPUTED_VALUE"""),"RCave 11S")</f>
        <v>RCave 11S</v>
      </c>
      <c r="F411" s="11">
        <f>IFERROR(__xludf.DUMMYFUNCTION("""COMPUTED_VALUE"""),-357.90625459)</f>
        <v>-357.90625459</v>
      </c>
      <c r="G411" s="11">
        <f>IFERROR(__xludf.DUMMYFUNCTION("""COMPUTED_VALUE"""),-743.793261158999)</f>
        <v>-743.793261158999</v>
      </c>
      <c r="H411" s="11">
        <f>IFERROR(__xludf.DUMMYFUNCTION("""COMPUTED_VALUE"""),565.642281711)</f>
        <v>565.642281711</v>
      </c>
      <c r="I411" s="15"/>
      <c r="J411" s="15"/>
      <c r="K411" s="15"/>
      <c r="L411" s="15"/>
      <c r="M411" s="7" t="b">
        <f>IFERROR(__xludf.DUMMYFUNCTION("""COMPUTED_VALUE"""),FALSE)</f>
        <v>0</v>
      </c>
      <c r="N411" s="10">
        <f>IFERROR(__xludf.DUMMYFUNCTION("""COMPUTED_VALUE"""),0)</f>
        <v>0</v>
      </c>
      <c r="O411" s="10">
        <f>IFERROR(__xludf.DUMMYFUNCTION("""COMPUTED_VALUE"""),0)</f>
        <v>0</v>
      </c>
      <c r="P411" s="8"/>
      <c r="Q411" s="7"/>
      <c r="R411" s="16"/>
      <c r="S411" s="17"/>
      <c r="T411" s="8"/>
      <c r="U411" s="8"/>
      <c r="V411" s="22"/>
      <c r="W411" s="12"/>
      <c r="X411" s="12"/>
      <c r="Y411" s="12"/>
      <c r="Z411" s="12"/>
      <c r="AA411" s="7"/>
      <c r="AB411" s="12"/>
      <c r="AC411" s="6"/>
      <c r="AD411" s="6"/>
      <c r="AE411" s="7"/>
      <c r="AF411" s="7"/>
      <c r="AG411" s="7"/>
      <c r="AH411" s="7"/>
      <c r="AI411" s="7"/>
      <c r="AJ411" s="7"/>
      <c r="AK411" s="7"/>
      <c r="AL411" s="7"/>
      <c r="AM411" s="7"/>
      <c r="AN411" s="7"/>
      <c r="AO411" s="6"/>
      <c r="AP411" s="7"/>
      <c r="AQ411" s="7"/>
      <c r="AR411" s="6"/>
      <c r="AS411" s="7"/>
      <c r="AT411" s="7"/>
      <c r="AU411" s="7"/>
      <c r="AV411" s="7"/>
      <c r="AW411" s="7"/>
      <c r="AX411" s="7"/>
      <c r="AY411" s="7"/>
      <c r="AZ411" s="7"/>
      <c r="BA411" s="7"/>
      <c r="BB411" s="7"/>
      <c r="BC411" s="7"/>
      <c r="BD411" s="7"/>
      <c r="BE411" s="7"/>
      <c r="BF411" s="7"/>
      <c r="BG411" s="7"/>
    </row>
    <row r="412" customHeight="1" spans="1:59">
      <c r="A412" s="9" t="str">
        <f>IFERROR(__xludf.DUMMYFUNCTION("""COMPUTED_VALUE"""),"Hurston 54")</f>
        <v>Hurston 54</v>
      </c>
      <c r="B412" s="9" t="str">
        <f>IFERROR(__xludf.DUMMYFUNCTION("""COMPUTED_VALUE"""),"Hurston 63")</f>
        <v>Hurston 63</v>
      </c>
      <c r="C412" s="9" t="str">
        <f>IFERROR(__xludf.DUMMYFUNCTION("""COMPUTED_VALUE"""),"Hurston 125")</f>
        <v>Hurston 125</v>
      </c>
      <c r="D412" s="5" t="str">
        <f>IFERROR(__xludf.DUMMYFUNCTION("""COMPUTED_VALUE"""),"Rock Cave YZJ")</f>
        <v>Rock Cave YZJ</v>
      </c>
      <c r="E412" s="7" t="str">
        <f>IFERROR(__xludf.DUMMYFUNCTION("""COMPUTED_VALUE"""),"RCave YZJ")</f>
        <v>RCave YZJ</v>
      </c>
      <c r="F412" s="11">
        <f>IFERROR(__xludf.DUMMYFUNCTION("""COMPUTED_VALUE"""),-160.052543673265)</f>
        <v>-160.052543673265</v>
      </c>
      <c r="G412" s="11">
        <f>IFERROR(__xludf.DUMMYFUNCTION("""COMPUTED_VALUE"""),-65.455377596863)</f>
        <v>-65.455377596863</v>
      </c>
      <c r="H412" s="11">
        <f>IFERROR(__xludf.DUMMYFUNCTION("""COMPUTED_VALUE"""),985.626167783267)</f>
        <v>985.626167783267</v>
      </c>
      <c r="I412" s="15"/>
      <c r="J412" s="15"/>
      <c r="K412" s="15"/>
      <c r="L412" s="15"/>
      <c r="M412" s="7" t="b">
        <f>IFERROR(__xludf.DUMMYFUNCTION("""COMPUTED_VALUE"""),FALSE)</f>
        <v>0</v>
      </c>
      <c r="N412" s="10">
        <f>IFERROR(__xludf.DUMMYFUNCTION("""COMPUTED_VALUE"""),0)</f>
        <v>0</v>
      </c>
      <c r="O412" s="10">
        <f>IFERROR(__xludf.DUMMYFUNCTION("""COMPUTED_VALUE"""),0)</f>
        <v>0</v>
      </c>
      <c r="P412" s="8"/>
      <c r="Q412" s="7"/>
      <c r="R412" s="16"/>
      <c r="S412" s="17"/>
      <c r="T412" s="8"/>
      <c r="U412" s="8"/>
      <c r="V412" s="22"/>
      <c r="W412" s="12"/>
      <c r="X412" s="12"/>
      <c r="Y412" s="12"/>
      <c r="Z412" s="12"/>
      <c r="AA412" s="7"/>
      <c r="AB412" s="12"/>
      <c r="AC412" s="6"/>
      <c r="AD412" s="6"/>
      <c r="AE412" s="7"/>
      <c r="AF412" s="7"/>
      <c r="AG412" s="7"/>
      <c r="AH412" s="7"/>
      <c r="AI412" s="7"/>
      <c r="AJ412" s="7"/>
      <c r="AK412" s="7"/>
      <c r="AL412" s="7"/>
      <c r="AM412" s="7"/>
      <c r="AN412" s="7"/>
      <c r="AO412" s="6"/>
      <c r="AP412" s="7"/>
      <c r="AQ412" s="7"/>
      <c r="AR412" s="6"/>
      <c r="AS412" s="7"/>
      <c r="AT412" s="7"/>
      <c r="AU412" s="7"/>
      <c r="AV412" s="7"/>
      <c r="AW412" s="7"/>
      <c r="AX412" s="7"/>
      <c r="AY412" s="7"/>
      <c r="AZ412" s="7"/>
      <c r="BA412" s="7"/>
      <c r="BB412" s="7"/>
      <c r="BC412" s="7"/>
      <c r="BD412" s="7"/>
      <c r="BE412" s="7"/>
      <c r="BF412" s="7"/>
      <c r="BG412" s="7"/>
    </row>
    <row r="413" customHeight="1" spans="1:59">
      <c r="A413" s="9" t="str">
        <f>IFERROR(__xludf.DUMMYFUNCTION("""COMPUTED_VALUE"""),"Hurston 53")</f>
        <v>Hurston 53</v>
      </c>
      <c r="B413" s="9" t="str">
        <f>IFERROR(__xludf.DUMMYFUNCTION("""COMPUTED_VALUE"""),"Hurston 62")</f>
        <v>Hurston 62</v>
      </c>
      <c r="C413" s="9" t="str">
        <f>IFERROR(__xludf.DUMMYFUNCTION("""COMPUTED_VALUE"""),"Hurston 04")</f>
        <v>Hurston 04</v>
      </c>
      <c r="D413" s="5" t="str">
        <f>IFERROR(__xludf.DUMMYFUNCTION("""COMPUTED_VALUE"""),"Rock Cave 57L")</f>
        <v>Rock Cave 57L</v>
      </c>
      <c r="E413" s="7" t="str">
        <f>IFERROR(__xludf.DUMMYFUNCTION("""COMPUTED_VALUE"""),"RCave 57L")</f>
        <v>RCave 57L</v>
      </c>
      <c r="F413" s="8">
        <f>IFERROR(__xludf.DUMMYFUNCTION("""COMPUTED_VALUE"""),-928.267806341676)</f>
        <v>-928.267806341676</v>
      </c>
      <c r="G413" s="8">
        <f>IFERROR(__xludf.DUMMYFUNCTION("""COMPUTED_VALUE"""),318.894747884385)</f>
        <v>318.894747884385</v>
      </c>
      <c r="H413" s="8">
        <f>IFERROR(__xludf.DUMMYFUNCTION("""COMPUTED_VALUE"""),-203.465686150165)</f>
        <v>-203.465686150165</v>
      </c>
      <c r="I413" s="14"/>
      <c r="J413" s="14"/>
      <c r="K413" s="14"/>
      <c r="L413" s="14"/>
      <c r="M413" s="7" t="b">
        <f>IFERROR(__xludf.DUMMYFUNCTION("""COMPUTED_VALUE"""),FALSE)</f>
        <v>0</v>
      </c>
      <c r="N413" s="10">
        <f>IFERROR(__xludf.DUMMYFUNCTION("""COMPUTED_VALUE"""),0)</f>
        <v>0</v>
      </c>
      <c r="O413" s="10">
        <f>IFERROR(__xludf.DUMMYFUNCTION("""COMPUTED_VALUE"""),0)</f>
        <v>0</v>
      </c>
      <c r="P413" s="8"/>
      <c r="Q413" s="7"/>
      <c r="R413" s="16"/>
      <c r="S413" s="17"/>
      <c r="T413" s="8"/>
      <c r="U413" s="8"/>
      <c r="V413" s="22"/>
      <c r="W413" s="12"/>
      <c r="X413" s="12"/>
      <c r="Y413" s="12"/>
      <c r="Z413" s="12"/>
      <c r="AA413" s="7"/>
      <c r="AB413" s="12"/>
      <c r="AC413" s="6"/>
      <c r="AD413" s="6"/>
      <c r="AE413" s="7"/>
      <c r="AF413" s="7"/>
      <c r="AG413" s="7"/>
      <c r="AH413" s="7"/>
      <c r="AI413" s="7"/>
      <c r="AJ413" s="7"/>
      <c r="AK413" s="7"/>
      <c r="AL413" s="7"/>
      <c r="AM413" s="7"/>
      <c r="AN413" s="7"/>
      <c r="AO413" s="6"/>
      <c r="AP413" s="7"/>
      <c r="AQ413" s="7"/>
      <c r="AR413" s="6"/>
      <c r="AS413" s="7"/>
      <c r="AT413" s="7"/>
      <c r="AU413" s="7"/>
      <c r="AV413" s="7"/>
      <c r="AW413" s="7"/>
      <c r="AX413" s="7"/>
      <c r="AY413" s="7"/>
      <c r="AZ413" s="7"/>
      <c r="BA413" s="7"/>
      <c r="BB413" s="7"/>
      <c r="BC413" s="7"/>
      <c r="BD413" s="7"/>
      <c r="BE413" s="7"/>
      <c r="BF413" s="7"/>
      <c r="BG413" s="7"/>
    </row>
    <row r="414" customHeight="1" spans="1:59">
      <c r="A414" s="9" t="str">
        <f>IFERROR(__xludf.DUMMYFUNCTION("""COMPUTED_VALUE"""),"Hurston 52")</f>
        <v>Hurston 52</v>
      </c>
      <c r="B414" s="9" t="str">
        <f>IFERROR(__xludf.DUMMYFUNCTION("""COMPUTED_VALUE"""),"Hurston 61")</f>
        <v>Hurston 61</v>
      </c>
      <c r="C414" s="9" t="str">
        <f>IFERROR(__xludf.DUMMYFUNCTION("""COMPUTED_VALUE"""),"Hurston 10")</f>
        <v>Hurston 10</v>
      </c>
      <c r="D414" s="5" t="str">
        <f>IFERROR(__xludf.DUMMYFUNCTION("""COMPUTED_VALUE"""),"Rock Cave 47K")</f>
        <v>Rock Cave 47K</v>
      </c>
      <c r="E414" s="7" t="str">
        <f>IFERROR(__xludf.DUMMYFUNCTION("""COMPUTED_VALUE"""),"RCave 47K")</f>
        <v>RCave 47K</v>
      </c>
      <c r="F414" s="8">
        <f>IFERROR(__xludf.DUMMYFUNCTION("""COMPUTED_VALUE"""),-869.987709621116)</f>
        <v>-869.987709621116</v>
      </c>
      <c r="G414" s="8">
        <f>IFERROR(__xludf.DUMMYFUNCTION("""COMPUTED_VALUE"""),336.529071056901)</f>
        <v>336.529071056901</v>
      </c>
      <c r="H414" s="8">
        <f>IFERROR(__xludf.DUMMYFUNCTION("""COMPUTED_VALUE"""),-360.42535291451)</f>
        <v>-360.42535291451</v>
      </c>
      <c r="I414" s="14"/>
      <c r="J414" s="14"/>
      <c r="K414" s="14"/>
      <c r="L414" s="14"/>
      <c r="M414" s="7" t="b">
        <f>IFERROR(__xludf.DUMMYFUNCTION("""COMPUTED_VALUE"""),FALSE)</f>
        <v>0</v>
      </c>
      <c r="N414" s="10">
        <f>IFERROR(__xludf.DUMMYFUNCTION("""COMPUTED_VALUE"""),0)</f>
        <v>0</v>
      </c>
      <c r="O414" s="10">
        <f>IFERROR(__xludf.DUMMYFUNCTION("""COMPUTED_VALUE"""),0)</f>
        <v>0</v>
      </c>
      <c r="P414" s="8"/>
      <c r="Q414" s="7"/>
      <c r="R414" s="16"/>
      <c r="S414" s="17"/>
      <c r="T414" s="8"/>
      <c r="U414" s="8"/>
      <c r="V414" s="22"/>
      <c r="W414" s="12"/>
      <c r="X414" s="12"/>
      <c r="Y414" s="12"/>
      <c r="Z414" s="12"/>
      <c r="AA414" s="7"/>
      <c r="AB414" s="12"/>
      <c r="AC414" s="6"/>
      <c r="AD414" s="6"/>
      <c r="AE414" s="7"/>
      <c r="AF414" s="7"/>
      <c r="AG414" s="7"/>
      <c r="AH414" s="7"/>
      <c r="AI414" s="7"/>
      <c r="AJ414" s="7"/>
      <c r="AK414" s="7"/>
      <c r="AL414" s="7"/>
      <c r="AM414" s="7"/>
      <c r="AN414" s="7"/>
      <c r="AO414" s="6"/>
      <c r="AP414" s="7"/>
      <c r="AQ414" s="7"/>
      <c r="AR414" s="6"/>
      <c r="AS414" s="7"/>
      <c r="AT414" s="7"/>
      <c r="AU414" s="7"/>
      <c r="AV414" s="7"/>
      <c r="AW414" s="7"/>
      <c r="AX414" s="7"/>
      <c r="AY414" s="7"/>
      <c r="AZ414" s="7"/>
      <c r="BA414" s="7"/>
      <c r="BB414" s="7"/>
      <c r="BC414" s="7"/>
      <c r="BD414" s="7"/>
      <c r="BE414" s="7"/>
      <c r="BF414" s="7"/>
      <c r="BG414" s="7"/>
    </row>
    <row r="415" customHeight="1" spans="1:59">
      <c r="A415" s="9" t="str">
        <f>IFERROR(__xludf.DUMMYFUNCTION("""COMPUTED_VALUE"""),"Hurston 77")</f>
        <v>Hurston 77</v>
      </c>
      <c r="B415" s="9" t="str">
        <f>IFERROR(__xludf.DUMMYFUNCTION("""COMPUTED_VALUE"""),"Hurston 86")</f>
        <v>Hurston 86</v>
      </c>
      <c r="C415" s="9" t="str">
        <f>IFERROR(__xludf.DUMMYFUNCTION("""COMPUTED_VALUE"""),"Hurston 30")</f>
        <v>Hurston 30</v>
      </c>
      <c r="D415" s="5" t="str">
        <f>IFERROR(__xludf.DUMMYFUNCTION("""COMPUTED_VALUE"""),"Sand Cave 49X-A45")</f>
        <v>Sand Cave 49X-A45</v>
      </c>
      <c r="E415" s="7" t="str">
        <f>IFERROR(__xludf.DUMMYFUNCTION("""COMPUTED_VALUE"""),"SCave 49XA45")</f>
        <v>SCave 49XA45</v>
      </c>
      <c r="F415" s="11">
        <f>IFERROR(__xludf.DUMMYFUNCTION("""COMPUTED_VALUE"""),-79.938672851)</f>
        <v>-79.938672851</v>
      </c>
      <c r="G415" s="11">
        <f>IFERROR(__xludf.DUMMYFUNCTION("""COMPUTED_VALUE"""),189.230195991999)</f>
        <v>189.230195991999</v>
      </c>
      <c r="H415" s="11">
        <f>IFERROR(__xludf.DUMMYFUNCTION("""COMPUTED_VALUE"""),979.794018777)</f>
        <v>979.794018777</v>
      </c>
      <c r="I415" s="15"/>
      <c r="J415" s="15"/>
      <c r="K415" s="15"/>
      <c r="L415" s="15"/>
      <c r="M415" s="7" t="b">
        <f>IFERROR(__xludf.DUMMYFUNCTION("""COMPUTED_VALUE"""),FALSE)</f>
        <v>0</v>
      </c>
      <c r="N415" s="10">
        <f>IFERROR(__xludf.DUMMYFUNCTION("""COMPUTED_VALUE"""),0)</f>
        <v>0</v>
      </c>
      <c r="O415" s="10">
        <f>IFERROR(__xludf.DUMMYFUNCTION("""COMPUTED_VALUE"""),0)</f>
        <v>0</v>
      </c>
      <c r="P415" s="8"/>
      <c r="Q415" s="7"/>
      <c r="R415" s="16"/>
      <c r="S415" s="17"/>
      <c r="T415" s="8"/>
      <c r="U415" s="8"/>
      <c r="V415" s="22"/>
      <c r="W415" s="12"/>
      <c r="X415" s="12"/>
      <c r="Y415" s="12"/>
      <c r="Z415" s="12"/>
      <c r="AA415" s="7"/>
      <c r="AB415" s="12"/>
      <c r="AC415" s="6"/>
      <c r="AD415" s="6"/>
      <c r="AE415" s="7"/>
      <c r="AF415" s="7"/>
      <c r="AG415" s="7"/>
      <c r="AH415" s="7"/>
      <c r="AI415" s="7"/>
      <c r="AJ415" s="7"/>
      <c r="AK415" s="7"/>
      <c r="AL415" s="7"/>
      <c r="AM415" s="7"/>
      <c r="AN415" s="7"/>
      <c r="AO415" s="6"/>
      <c r="AP415" s="7"/>
      <c r="AQ415" s="7"/>
      <c r="AR415" s="6"/>
      <c r="AS415" s="7"/>
      <c r="AT415" s="7"/>
      <c r="AU415" s="7"/>
      <c r="AV415" s="7"/>
      <c r="AW415" s="7"/>
      <c r="AX415" s="7"/>
      <c r="AY415" s="7"/>
      <c r="AZ415" s="7"/>
      <c r="BA415" s="7"/>
      <c r="BB415" s="7"/>
      <c r="BC415" s="7"/>
      <c r="BD415" s="7"/>
      <c r="BE415" s="7"/>
      <c r="BF415" s="7"/>
      <c r="BG415" s="7"/>
    </row>
    <row r="416" customHeight="1" spans="1:59">
      <c r="A416" s="9" t="str">
        <f>IFERROR(__xludf.DUMMYFUNCTION("""COMPUTED_VALUE"""),"Hurston 76")</f>
        <v>Hurston 76</v>
      </c>
      <c r="B416" s="9" t="str">
        <f>IFERROR(__xludf.DUMMYFUNCTION("""COMPUTED_VALUE"""),"Hurston 85")</f>
        <v>Hurston 85</v>
      </c>
      <c r="C416" s="9" t="str">
        <f>IFERROR(__xludf.DUMMYFUNCTION("""COMPUTED_VALUE"""),"Hurston 31")</f>
        <v>Hurston 31</v>
      </c>
      <c r="D416" s="5" t="str">
        <f>IFERROR(__xludf.DUMMYFUNCTION("""COMPUTED_VALUE"""),"Sand Cave 49X-A32")</f>
        <v>Sand Cave 49X-A32</v>
      </c>
      <c r="E416" s="7" t="str">
        <f>IFERROR(__xludf.DUMMYFUNCTION("""COMPUTED_VALUE"""),"SCave 49XA32")</f>
        <v>SCave 49XA32</v>
      </c>
      <c r="F416" s="8">
        <f>IFERROR(__xludf.DUMMYFUNCTION("""COMPUTED_VALUE"""),-78.77868374)</f>
        <v>-78.77868374</v>
      </c>
      <c r="G416" s="8">
        <f>IFERROR(__xludf.DUMMYFUNCTION("""COMPUTED_VALUE"""),188.725818445999)</f>
        <v>188.725818445999</v>
      </c>
      <c r="H416" s="8">
        <f>IFERROR(__xludf.DUMMYFUNCTION("""COMPUTED_VALUE"""),980.013852102)</f>
        <v>980.013852102</v>
      </c>
      <c r="I416" s="14"/>
      <c r="J416" s="14"/>
      <c r="K416" s="14"/>
      <c r="L416" s="14"/>
      <c r="M416" s="7" t="b">
        <f>IFERROR(__xludf.DUMMYFUNCTION("""COMPUTED_VALUE"""),FALSE)</f>
        <v>0</v>
      </c>
      <c r="N416" s="10">
        <f>IFERROR(__xludf.DUMMYFUNCTION("""COMPUTED_VALUE"""),0)</f>
        <v>0</v>
      </c>
      <c r="O416" s="10">
        <f>IFERROR(__xludf.DUMMYFUNCTION("""COMPUTED_VALUE"""),0)</f>
        <v>0</v>
      </c>
      <c r="P416" s="8"/>
      <c r="Q416" s="7"/>
      <c r="R416" s="16"/>
      <c r="S416" s="17"/>
      <c r="T416" s="8"/>
      <c r="U416" s="8"/>
      <c r="V416" s="22"/>
      <c r="W416" s="12"/>
      <c r="X416" s="12"/>
      <c r="Y416" s="12"/>
      <c r="Z416" s="12"/>
      <c r="AA416" s="7"/>
      <c r="AB416" s="12"/>
      <c r="AC416" s="6"/>
      <c r="AD416" s="6"/>
      <c r="AE416" s="7"/>
      <c r="AF416" s="7"/>
      <c r="AG416" s="7"/>
      <c r="AH416" s="7"/>
      <c r="AI416" s="7"/>
      <c r="AJ416" s="7"/>
      <c r="AK416" s="7"/>
      <c r="AL416" s="7"/>
      <c r="AM416" s="7"/>
      <c r="AN416" s="7"/>
      <c r="AO416" s="6"/>
      <c r="AP416" s="7"/>
      <c r="AQ416" s="7"/>
      <c r="AR416" s="6"/>
      <c r="AS416" s="7"/>
      <c r="AT416" s="7"/>
      <c r="AU416" s="7"/>
      <c r="AV416" s="7"/>
      <c r="AW416" s="7"/>
      <c r="AX416" s="7"/>
      <c r="AY416" s="7"/>
      <c r="AZ416" s="7"/>
      <c r="BA416" s="7"/>
      <c r="BB416" s="7"/>
      <c r="BC416" s="7"/>
      <c r="BD416" s="7"/>
      <c r="BE416" s="7"/>
      <c r="BF416" s="7"/>
      <c r="BG416" s="7"/>
    </row>
    <row r="417" customHeight="1" spans="1:59">
      <c r="A417" s="9" t="str">
        <f>IFERROR(__xludf.DUMMYFUNCTION("""COMPUTED_VALUE"""),"Hurston 81")</f>
        <v>Hurston 81</v>
      </c>
      <c r="B417" s="9" t="str">
        <f>IFERROR(__xludf.DUMMYFUNCTION("""COMPUTED_VALUE"""),"Hurston 90")</f>
        <v>Hurston 90</v>
      </c>
      <c r="C417" s="9" t="str">
        <f>IFERROR(__xludf.DUMMYFUNCTION("""COMPUTED_VALUE"""),"Hurston 22")</f>
        <v>Hurston 22</v>
      </c>
      <c r="D417" s="5" t="str">
        <f>IFERROR(__xludf.DUMMYFUNCTION("""COMPUTED_VALUE"""),"Sand Cave 54U")</f>
        <v>Sand Cave 54U</v>
      </c>
      <c r="E417" s="7" t="str">
        <f>IFERROR(__xludf.DUMMYFUNCTION("""COMPUTED_VALUE"""),"SCave 54U")</f>
        <v>SCave 54U</v>
      </c>
      <c r="F417" s="8">
        <f>IFERROR(__xludf.DUMMYFUNCTION("""COMPUTED_VALUE"""),-441.716375540999)</f>
        <v>-441.716375540999</v>
      </c>
      <c r="G417" s="8">
        <f>IFERROR(__xludf.DUMMYFUNCTION("""COMPUTED_VALUE"""),371.455504676999)</f>
        <v>371.455504676999</v>
      </c>
      <c r="H417" s="8">
        <f>IFERROR(__xludf.DUMMYFUNCTION("""COMPUTED_VALUE"""),820.406932059)</f>
        <v>820.406932059</v>
      </c>
      <c r="I417" s="14"/>
      <c r="J417" s="14"/>
      <c r="K417" s="14"/>
      <c r="L417" s="14"/>
      <c r="M417" s="7" t="b">
        <f>IFERROR(__xludf.DUMMYFUNCTION("""COMPUTED_VALUE"""),FALSE)</f>
        <v>0</v>
      </c>
      <c r="N417" s="10">
        <f>IFERROR(__xludf.DUMMYFUNCTION("""COMPUTED_VALUE"""),0)</f>
        <v>0</v>
      </c>
      <c r="O417" s="10">
        <f>IFERROR(__xludf.DUMMYFUNCTION("""COMPUTED_VALUE"""),0)</f>
        <v>0</v>
      </c>
      <c r="P417" s="8"/>
      <c r="Q417" s="7"/>
      <c r="R417" s="16"/>
      <c r="S417" s="17"/>
      <c r="T417" s="8"/>
      <c r="U417" s="8"/>
      <c r="V417" s="22"/>
      <c r="W417" s="12"/>
      <c r="X417" s="12"/>
      <c r="Y417" s="12"/>
      <c r="Z417" s="12"/>
      <c r="AA417" s="7"/>
      <c r="AB417" s="12"/>
      <c r="AC417" s="6"/>
      <c r="AD417" s="6"/>
      <c r="AE417" s="7"/>
      <c r="AF417" s="7"/>
      <c r="AG417" s="7"/>
      <c r="AH417" s="7"/>
      <c r="AI417" s="7"/>
      <c r="AJ417" s="7"/>
      <c r="AK417" s="7"/>
      <c r="AL417" s="7"/>
      <c r="AM417" s="7"/>
      <c r="AN417" s="7"/>
      <c r="AO417" s="6"/>
      <c r="AP417" s="7"/>
      <c r="AQ417" s="7"/>
      <c r="AR417" s="6"/>
      <c r="AS417" s="7"/>
      <c r="AT417" s="7"/>
      <c r="AU417" s="7"/>
      <c r="AV417" s="7"/>
      <c r="AW417" s="7"/>
      <c r="AX417" s="7"/>
      <c r="AY417" s="7"/>
      <c r="AZ417" s="7"/>
      <c r="BA417" s="7"/>
      <c r="BB417" s="7"/>
      <c r="BC417" s="7"/>
      <c r="BD417" s="7"/>
      <c r="BE417" s="7"/>
      <c r="BF417" s="7"/>
      <c r="BG417" s="7"/>
    </row>
    <row r="418" customHeight="1" spans="1:59">
      <c r="A418" s="9" t="str">
        <f>IFERROR(__xludf.DUMMYFUNCTION("""COMPUTED_VALUE"""),"Hurston 79")</f>
        <v>Hurston 79</v>
      </c>
      <c r="B418" s="9" t="str">
        <f>IFERROR(__xludf.DUMMYFUNCTION("""COMPUTED_VALUE"""),"Hurston 88")</f>
        <v>Hurston 88</v>
      </c>
      <c r="C418" s="9" t="str">
        <f>IFERROR(__xludf.DUMMYFUNCTION("""COMPUTED_VALUE"""),"Hurston 24")</f>
        <v>Hurston 24</v>
      </c>
      <c r="D418" s="5" t="str">
        <f>IFERROR(__xludf.DUMMYFUNCTION("""COMPUTED_VALUE"""),"Sand Cave 53U-626")</f>
        <v>Sand Cave 53U-626</v>
      </c>
      <c r="E418" s="7" t="str">
        <f>IFERROR(__xludf.DUMMYFUNCTION("""COMPUTED_VALUE"""),"SCave 53U626")</f>
        <v>SCave 53U626</v>
      </c>
      <c r="F418" s="11">
        <f>IFERROR(__xludf.DUMMYFUNCTION("""COMPUTED_VALUE"""),-406.401612001999)</f>
        <v>-406.401612001999</v>
      </c>
      <c r="G418" s="11">
        <f>IFERROR(__xludf.DUMMYFUNCTION("""COMPUTED_VALUE"""),437.568293760999)</f>
        <v>437.568293760999</v>
      </c>
      <c r="H418" s="11">
        <f>IFERROR(__xludf.DUMMYFUNCTION("""COMPUTED_VALUE"""),805.355942028)</f>
        <v>805.355942028</v>
      </c>
      <c r="I418" s="15"/>
      <c r="J418" s="15"/>
      <c r="K418" s="15"/>
      <c r="L418" s="15"/>
      <c r="M418" s="7" t="b">
        <f>IFERROR(__xludf.DUMMYFUNCTION("""COMPUTED_VALUE"""),FALSE)</f>
        <v>0</v>
      </c>
      <c r="N418" s="10">
        <f>IFERROR(__xludf.DUMMYFUNCTION("""COMPUTED_VALUE"""),0)</f>
        <v>0</v>
      </c>
      <c r="O418" s="10">
        <f>IFERROR(__xludf.DUMMYFUNCTION("""COMPUTED_VALUE"""),0)</f>
        <v>0</v>
      </c>
      <c r="P418" s="8"/>
      <c r="Q418" s="7"/>
      <c r="R418" s="16"/>
      <c r="S418" s="17"/>
      <c r="T418" s="8"/>
      <c r="U418" s="8"/>
      <c r="V418" s="22"/>
      <c r="W418" s="12"/>
      <c r="X418" s="12"/>
      <c r="Y418" s="12"/>
      <c r="Z418" s="12"/>
      <c r="AA418" s="7"/>
      <c r="AB418" s="12"/>
      <c r="AC418" s="6"/>
      <c r="AD418" s="6"/>
      <c r="AE418" s="7"/>
      <c r="AF418" s="7"/>
      <c r="AG418" s="7"/>
      <c r="AH418" s="7"/>
      <c r="AI418" s="7"/>
      <c r="AJ418" s="7"/>
      <c r="AK418" s="7"/>
      <c r="AL418" s="7"/>
      <c r="AM418" s="7"/>
      <c r="AN418" s="7"/>
      <c r="AO418" s="6"/>
      <c r="AP418" s="7"/>
      <c r="AQ418" s="7"/>
      <c r="AR418" s="6"/>
      <c r="AS418" s="7"/>
      <c r="AT418" s="7"/>
      <c r="AU418" s="7"/>
      <c r="AV418" s="7"/>
      <c r="AW418" s="7"/>
      <c r="AX418" s="7"/>
      <c r="AY418" s="7"/>
      <c r="AZ418" s="7"/>
      <c r="BA418" s="7"/>
      <c r="BB418" s="7"/>
      <c r="BC418" s="7"/>
      <c r="BD418" s="7"/>
      <c r="BE418" s="7"/>
      <c r="BF418" s="7"/>
      <c r="BG418" s="7"/>
    </row>
    <row r="419" customHeight="1" spans="1:59">
      <c r="A419" s="9" t="str">
        <f>IFERROR(__xludf.DUMMYFUNCTION("""COMPUTED_VALUE"""),"Hurston 78")</f>
        <v>Hurston 78</v>
      </c>
      <c r="B419" s="9" t="str">
        <f>IFERROR(__xludf.DUMMYFUNCTION("""COMPUTED_VALUE"""),"Hurston 87")</f>
        <v>Hurston 87</v>
      </c>
      <c r="C419" s="9" t="str">
        <f>IFERROR(__xludf.DUMMYFUNCTION("""COMPUTED_VALUE"""),"Hurston 26")</f>
        <v>Hurston 26</v>
      </c>
      <c r="D419" s="5" t="str">
        <f>IFERROR(__xludf.DUMMYFUNCTION("""COMPUTED_VALUE"""),"Sand Cave 52U")</f>
        <v>Sand Cave 52U</v>
      </c>
      <c r="E419" s="7" t="str">
        <f>IFERROR(__xludf.DUMMYFUNCTION("""COMPUTED_VALUE"""),"SCave52U")</f>
        <v>SCave52U</v>
      </c>
      <c r="F419" s="11">
        <f>IFERROR(__xludf.DUMMYFUNCTION("""COMPUTED_VALUE"""),-366.14367517)</f>
        <v>-366.14367517</v>
      </c>
      <c r="G419" s="11">
        <f>IFERROR(__xludf.DUMMYFUNCTION("""COMPUTED_VALUE"""),458.664253)</f>
        <v>458.664253</v>
      </c>
      <c r="H419" s="11">
        <f>IFERROR(__xludf.DUMMYFUNCTION("""COMPUTED_VALUE"""),812.630320905999)</f>
        <v>812.630320905999</v>
      </c>
      <c r="I419" s="15"/>
      <c r="J419" s="15"/>
      <c r="K419" s="15"/>
      <c r="L419" s="15"/>
      <c r="M419" s="7" t="b">
        <f>IFERROR(__xludf.DUMMYFUNCTION("""COMPUTED_VALUE"""),FALSE)</f>
        <v>0</v>
      </c>
      <c r="N419" s="10">
        <f>IFERROR(__xludf.DUMMYFUNCTION("""COMPUTED_VALUE"""),0)</f>
        <v>0</v>
      </c>
      <c r="O419" s="10">
        <f>IFERROR(__xludf.DUMMYFUNCTION("""COMPUTED_VALUE"""),0)</f>
        <v>0</v>
      </c>
      <c r="P419" s="8"/>
      <c r="Q419" s="7"/>
      <c r="R419" s="16"/>
      <c r="S419" s="17"/>
      <c r="T419" s="8"/>
      <c r="U419" s="8"/>
      <c r="V419" s="22"/>
      <c r="W419" s="12"/>
      <c r="X419" s="12"/>
      <c r="Y419" s="12"/>
      <c r="Z419" s="12"/>
      <c r="AA419" s="7"/>
      <c r="AB419" s="12"/>
      <c r="AC419" s="6"/>
      <c r="AD419" s="6"/>
      <c r="AE419" s="7"/>
      <c r="AF419" s="7"/>
      <c r="AG419" s="7"/>
      <c r="AH419" s="7"/>
      <c r="AI419" s="7"/>
      <c r="AJ419" s="7"/>
      <c r="AK419" s="7"/>
      <c r="AL419" s="7"/>
      <c r="AM419" s="7"/>
      <c r="AN419" s="7"/>
      <c r="AO419" s="6"/>
      <c r="AP419" s="7"/>
      <c r="AQ419" s="7"/>
      <c r="AR419" s="6"/>
      <c r="AS419" s="7"/>
      <c r="AT419" s="7"/>
      <c r="AU419" s="7"/>
      <c r="AV419" s="7"/>
      <c r="AW419" s="7"/>
      <c r="AX419" s="7"/>
      <c r="AY419" s="7"/>
      <c r="AZ419" s="7"/>
      <c r="BA419" s="7"/>
      <c r="BB419" s="7"/>
      <c r="BC419" s="7"/>
      <c r="BD419" s="7"/>
      <c r="BE419" s="7"/>
      <c r="BF419" s="7"/>
      <c r="BG419" s="7"/>
    </row>
    <row r="420" customHeight="1" spans="1:59">
      <c r="A420" s="9" t="str">
        <f>IFERROR(__xludf.DUMMYFUNCTION("""COMPUTED_VALUE"""),"Hurston 80")</f>
        <v>Hurston 80</v>
      </c>
      <c r="B420" s="9" t="str">
        <f>IFERROR(__xludf.DUMMYFUNCTION("""COMPUTED_VALUE"""),"Hurston 89")</f>
        <v>Hurston 89</v>
      </c>
      <c r="C420" s="9" t="str">
        <f>IFERROR(__xludf.DUMMYFUNCTION("""COMPUTED_VALUE"""),"Hurston 23")</f>
        <v>Hurston 23</v>
      </c>
      <c r="D420" s="5" t="str">
        <f>IFERROR(__xludf.DUMMYFUNCTION("""COMPUTED_VALUE"""),"Sand Cave 53U-628")</f>
        <v>Sand Cave 53U-628</v>
      </c>
      <c r="E420" s="7" t="str">
        <f>IFERROR(__xludf.DUMMYFUNCTION("""COMPUTED_VALUE"""),"SCave 53U628")</f>
        <v>SCave 53U628</v>
      </c>
      <c r="F420" s="11">
        <f>IFERROR(__xludf.DUMMYFUNCTION("""COMPUTED_VALUE"""),-396.852967305)</f>
        <v>-396.852967305</v>
      </c>
      <c r="G420" s="11">
        <f>IFERROR(__xludf.DUMMYFUNCTION("""COMPUTED_VALUE"""),413.032028465999)</f>
        <v>413.032028465999</v>
      </c>
      <c r="H420" s="11">
        <f>IFERROR(__xludf.DUMMYFUNCTION("""COMPUTED_VALUE"""),823.481253126999)</f>
        <v>823.481253126999</v>
      </c>
      <c r="I420" s="15"/>
      <c r="J420" s="15"/>
      <c r="K420" s="15"/>
      <c r="L420" s="15"/>
      <c r="M420" s="7" t="b">
        <f>IFERROR(__xludf.DUMMYFUNCTION("""COMPUTED_VALUE"""),FALSE)</f>
        <v>0</v>
      </c>
      <c r="N420" s="10">
        <f>IFERROR(__xludf.DUMMYFUNCTION("""COMPUTED_VALUE"""),0)</f>
        <v>0</v>
      </c>
      <c r="O420" s="10">
        <f>IFERROR(__xludf.DUMMYFUNCTION("""COMPUTED_VALUE"""),0)</f>
        <v>0</v>
      </c>
      <c r="P420" s="8"/>
      <c r="Q420" s="7"/>
      <c r="R420" s="16"/>
      <c r="S420" s="17"/>
      <c r="T420" s="8"/>
      <c r="U420" s="8"/>
      <c r="V420" s="22"/>
      <c r="W420" s="12"/>
      <c r="X420" s="12"/>
      <c r="Y420" s="12"/>
      <c r="Z420" s="12"/>
      <c r="AA420" s="7"/>
      <c r="AB420" s="12"/>
      <c r="AC420" s="6"/>
      <c r="AD420" s="6"/>
      <c r="AE420" s="7"/>
      <c r="AF420" s="7"/>
      <c r="AG420" s="7"/>
      <c r="AH420" s="7"/>
      <c r="AI420" s="7"/>
      <c r="AJ420" s="7"/>
      <c r="AK420" s="7"/>
      <c r="AL420" s="7"/>
      <c r="AM420" s="7"/>
      <c r="AN420" s="7"/>
      <c r="AO420" s="6"/>
      <c r="AP420" s="7"/>
      <c r="AQ420" s="7"/>
      <c r="AR420" s="6"/>
      <c r="AS420" s="7"/>
      <c r="AT420" s="7"/>
      <c r="AU420" s="7"/>
      <c r="AV420" s="7"/>
      <c r="AW420" s="7"/>
      <c r="AX420" s="7"/>
      <c r="AY420" s="7"/>
      <c r="AZ420" s="7"/>
      <c r="BA420" s="7"/>
      <c r="BB420" s="7"/>
      <c r="BC420" s="7"/>
      <c r="BD420" s="7"/>
      <c r="BE420" s="7"/>
      <c r="BF420" s="7"/>
      <c r="BG420" s="7"/>
    </row>
    <row r="421" customHeight="1" spans="1:59">
      <c r="A421" s="9" t="str">
        <f>IFERROR(__xludf.DUMMYFUNCTION("""COMPUTED_VALUE"""),"Hurston 73")</f>
        <v>Hurston 73</v>
      </c>
      <c r="B421" s="9" t="str">
        <f>IFERROR(__xludf.DUMMYFUNCTION("""COMPUTED_VALUE"""),"Hurston 82")</f>
        <v>Hurston 82</v>
      </c>
      <c r="C421" s="9" t="str">
        <f>IFERROR(__xludf.DUMMYFUNCTION("""COMPUTED_VALUE"""),"Hurston 40")</f>
        <v>Hurston 40</v>
      </c>
      <c r="D421" s="5" t="str">
        <f>IFERROR(__xludf.DUMMYFUNCTION("""COMPUTED_VALUE"""),"Sand Cave 46X")</f>
        <v>Sand Cave 46X</v>
      </c>
      <c r="E421" s="7" t="str">
        <f>IFERROR(__xludf.DUMMYFUNCTION("""COMPUTED_VALUE"""),"SCave 46X")</f>
        <v>SCave 46X</v>
      </c>
      <c r="F421" s="11">
        <f>IFERROR(__xludf.DUMMYFUNCTION("""COMPUTED_VALUE"""),-9.459687717)</f>
        <v>-9.459687717</v>
      </c>
      <c r="G421" s="11">
        <f>IFERROR(__xludf.DUMMYFUNCTION("""COMPUTED_VALUE"""),241.671366906)</f>
        <v>241.671366906</v>
      </c>
      <c r="H421" s="11">
        <f>IFERROR(__xludf.DUMMYFUNCTION("""COMPUTED_VALUE"""),971.777101883)</f>
        <v>971.777101883</v>
      </c>
      <c r="I421" s="15"/>
      <c r="J421" s="15"/>
      <c r="K421" s="15"/>
      <c r="L421" s="15"/>
      <c r="M421" s="7" t="b">
        <f>IFERROR(__xludf.DUMMYFUNCTION("""COMPUTED_VALUE"""),FALSE)</f>
        <v>0</v>
      </c>
      <c r="N421" s="10">
        <f>IFERROR(__xludf.DUMMYFUNCTION("""COMPUTED_VALUE"""),0)</f>
        <v>0</v>
      </c>
      <c r="O421" s="10">
        <f>IFERROR(__xludf.DUMMYFUNCTION("""COMPUTED_VALUE"""),0)</f>
        <v>0</v>
      </c>
      <c r="P421" s="8"/>
      <c r="Q421" s="7"/>
      <c r="R421" s="16"/>
      <c r="S421" s="17"/>
      <c r="T421" s="8"/>
      <c r="U421" s="8"/>
      <c r="V421" s="22"/>
      <c r="W421" s="12"/>
      <c r="X421" s="12"/>
      <c r="Y421" s="12"/>
      <c r="Z421" s="12"/>
      <c r="AA421" s="7"/>
      <c r="AB421" s="12"/>
      <c r="AC421" s="6"/>
      <c r="AD421" s="6"/>
      <c r="AE421" s="7"/>
      <c r="AF421" s="7"/>
      <c r="AG421" s="7"/>
      <c r="AH421" s="7"/>
      <c r="AI421" s="7"/>
      <c r="AJ421" s="7"/>
      <c r="AK421" s="7"/>
      <c r="AL421" s="7"/>
      <c r="AM421" s="7"/>
      <c r="AN421" s="7"/>
      <c r="AO421" s="6"/>
      <c r="AP421" s="7"/>
      <c r="AQ421" s="7"/>
      <c r="AR421" s="6"/>
      <c r="AS421" s="7"/>
      <c r="AT421" s="7"/>
      <c r="AU421" s="7"/>
      <c r="AV421" s="7"/>
      <c r="AW421" s="7"/>
      <c r="AX421" s="7"/>
      <c r="AY421" s="7"/>
      <c r="AZ421" s="7"/>
      <c r="BA421" s="7"/>
      <c r="BB421" s="7"/>
      <c r="BC421" s="7"/>
      <c r="BD421" s="7"/>
      <c r="BE421" s="7"/>
      <c r="BF421" s="7"/>
      <c r="BG421" s="7"/>
    </row>
    <row r="422" customHeight="1" spans="1:59">
      <c r="A422" s="9" t="str">
        <f>IFERROR(__xludf.DUMMYFUNCTION("""COMPUTED_VALUE"""),"Hurston 71")</f>
        <v>Hurston 71</v>
      </c>
      <c r="B422" s="9" t="str">
        <f>IFERROR(__xludf.DUMMYFUNCTION("""COMPUTED_VALUE"""),"Hurston 80")</f>
        <v>Hurston 80</v>
      </c>
      <c r="C422" s="9" t="str">
        <f>IFERROR(__xludf.DUMMYFUNCTION("""COMPUTED_VALUE"""),"Hurston 44")</f>
        <v>Hurston 44</v>
      </c>
      <c r="D422" s="5" t="str">
        <f>IFERROR(__xludf.DUMMYFUNCTION("""COMPUTED_VALUE"""),"Sand Cave 43X")</f>
        <v>Sand Cave 43X</v>
      </c>
      <c r="E422" s="7" t="str">
        <f>IFERROR(__xludf.DUMMYFUNCTION("""COMPUTED_VALUE"""),"SCave 43X")</f>
        <v>SCave 43X</v>
      </c>
      <c r="F422" s="11">
        <f>IFERROR(__xludf.DUMMYFUNCTION("""COMPUTED_VALUE"""),70.552605949)</f>
        <v>70.552605949</v>
      </c>
      <c r="G422" s="11">
        <f>IFERROR(__xludf.DUMMYFUNCTION("""COMPUTED_VALUE"""),293.567991793999)</f>
        <v>293.567991793999</v>
      </c>
      <c r="H422" s="11">
        <f>IFERROR(__xludf.DUMMYFUNCTION("""COMPUTED_VALUE"""),954.973817405999)</f>
        <v>954.973817405999</v>
      </c>
      <c r="I422" s="15"/>
      <c r="J422" s="15"/>
      <c r="K422" s="15"/>
      <c r="L422" s="15"/>
      <c r="M422" s="7" t="b">
        <f>IFERROR(__xludf.DUMMYFUNCTION("""COMPUTED_VALUE"""),FALSE)</f>
        <v>0</v>
      </c>
      <c r="N422" s="10">
        <f>IFERROR(__xludf.DUMMYFUNCTION("""COMPUTED_VALUE"""),0)</f>
        <v>0</v>
      </c>
      <c r="O422" s="10">
        <f>IFERROR(__xludf.DUMMYFUNCTION("""COMPUTED_VALUE"""),0)</f>
        <v>0</v>
      </c>
      <c r="P422" s="8"/>
      <c r="Q422" s="7"/>
      <c r="R422" s="16"/>
      <c r="S422" s="17"/>
      <c r="T422" s="8"/>
      <c r="U422" s="8"/>
      <c r="V422" s="22"/>
      <c r="W422" s="12"/>
      <c r="X422" s="12"/>
      <c r="Y422" s="12"/>
      <c r="Z422" s="12"/>
      <c r="AA422" s="7"/>
      <c r="AB422" s="12"/>
      <c r="AC422" s="6"/>
      <c r="AD422" s="6"/>
      <c r="AE422" s="7"/>
      <c r="AF422" s="7"/>
      <c r="AG422" s="7"/>
      <c r="AH422" s="7"/>
      <c r="AI422" s="7"/>
      <c r="AJ422" s="7"/>
      <c r="AK422" s="7"/>
      <c r="AL422" s="7"/>
      <c r="AM422" s="7"/>
      <c r="AN422" s="7"/>
      <c r="AO422" s="6"/>
      <c r="AP422" s="7"/>
      <c r="AQ422" s="7"/>
      <c r="AR422" s="6"/>
      <c r="AS422" s="7"/>
      <c r="AT422" s="7"/>
      <c r="AU422" s="7"/>
      <c r="AV422" s="7"/>
      <c r="AW422" s="7"/>
      <c r="AX422" s="7"/>
      <c r="AY422" s="7"/>
      <c r="AZ422" s="7"/>
      <c r="BA422" s="7"/>
      <c r="BB422" s="7"/>
      <c r="BC422" s="7"/>
      <c r="BD422" s="7"/>
      <c r="BE422" s="7"/>
      <c r="BF422" s="7"/>
      <c r="BG422" s="7"/>
    </row>
    <row r="423" customHeight="1" spans="1:59">
      <c r="A423" s="9" t="str">
        <f>IFERROR(__xludf.DUMMYFUNCTION("""COMPUTED_VALUE"""),"Hurston 70")</f>
        <v>Hurston 70</v>
      </c>
      <c r="B423" s="9" t="str">
        <f>IFERROR(__xludf.DUMMYFUNCTION("""COMPUTED_VALUE"""),"Hurston 79")</f>
        <v>Hurston 79</v>
      </c>
      <c r="C423" s="9" t="str">
        <f>IFERROR(__xludf.DUMMYFUNCTION("""COMPUTED_VALUE"""),"Hurston 46")</f>
        <v>Hurston 46</v>
      </c>
      <c r="D423" s="5" t="str">
        <f>IFERROR(__xludf.DUMMYFUNCTION("""COMPUTED_VALUE"""),"Sand Cave 41X")</f>
        <v>Sand Cave 41X</v>
      </c>
      <c r="E423" s="7" t="str">
        <f>IFERROR(__xludf.DUMMYFUNCTION("""COMPUTED_VALUE"""),"SCave 41X")</f>
        <v>SCave 41X</v>
      </c>
      <c r="F423" s="11">
        <f>IFERROR(__xludf.DUMMYFUNCTION("""COMPUTED_VALUE"""),120.337904209)</f>
        <v>120.337904209</v>
      </c>
      <c r="G423" s="11">
        <f>IFERROR(__xludf.DUMMYFUNCTION("""COMPUTED_VALUE"""),238.563777850999)</f>
        <v>238.563777850999</v>
      </c>
      <c r="H423" s="11">
        <f>IFERROR(__xludf.DUMMYFUNCTION("""COMPUTED_VALUE"""),965.219300428)</f>
        <v>965.219300428</v>
      </c>
      <c r="I423" s="15"/>
      <c r="J423" s="15"/>
      <c r="K423" s="15"/>
      <c r="L423" s="15"/>
      <c r="M423" s="7" t="b">
        <f>IFERROR(__xludf.DUMMYFUNCTION("""COMPUTED_VALUE"""),FALSE)</f>
        <v>0</v>
      </c>
      <c r="N423" s="10">
        <f>IFERROR(__xludf.DUMMYFUNCTION("""COMPUTED_VALUE"""),0)</f>
        <v>0</v>
      </c>
      <c r="O423" s="10">
        <f>IFERROR(__xludf.DUMMYFUNCTION("""COMPUTED_VALUE"""),0)</f>
        <v>0</v>
      </c>
      <c r="P423" s="8"/>
      <c r="Q423" s="7"/>
      <c r="R423" s="16"/>
      <c r="S423" s="17"/>
      <c r="T423" s="8"/>
      <c r="U423" s="8"/>
      <c r="V423" s="22"/>
      <c r="W423" s="12"/>
      <c r="X423" s="12"/>
      <c r="Y423" s="12"/>
      <c r="Z423" s="12"/>
      <c r="AA423" s="7"/>
      <c r="AB423" s="12"/>
      <c r="AC423" s="6"/>
      <c r="AD423" s="6"/>
      <c r="AE423" s="7"/>
      <c r="AF423" s="7"/>
      <c r="AG423" s="7"/>
      <c r="AH423" s="7"/>
      <c r="AI423" s="7"/>
      <c r="AJ423" s="7"/>
      <c r="AK423" s="7"/>
      <c r="AL423" s="7"/>
      <c r="AM423" s="7"/>
      <c r="AN423" s="7"/>
      <c r="AO423" s="6"/>
      <c r="AP423" s="7"/>
      <c r="AQ423" s="7"/>
      <c r="AR423" s="6"/>
      <c r="AS423" s="7"/>
      <c r="AT423" s="7"/>
      <c r="AU423" s="7"/>
      <c r="AV423" s="7"/>
      <c r="AW423" s="7"/>
      <c r="AX423" s="7"/>
      <c r="AY423" s="7"/>
      <c r="AZ423" s="7"/>
      <c r="BA423" s="7"/>
      <c r="BB423" s="7"/>
      <c r="BC423" s="7"/>
      <c r="BD423" s="7"/>
      <c r="BE423" s="7"/>
      <c r="BF423" s="7"/>
      <c r="BG423" s="7"/>
    </row>
    <row r="424" customHeight="1" spans="1:59">
      <c r="A424" s="9" t="str">
        <f>IFERROR(__xludf.DUMMYFUNCTION("""COMPUTED_VALUE"""),"Hurston 74")</f>
        <v>Hurston 74</v>
      </c>
      <c r="B424" s="9" t="str">
        <f>IFERROR(__xludf.DUMMYFUNCTION("""COMPUTED_VALUE"""),"Hurston 83")</f>
        <v>Hurston 83</v>
      </c>
      <c r="C424" s="9" t="str">
        <f>IFERROR(__xludf.DUMMYFUNCTION("""COMPUTED_VALUE"""),"Hurston 35")</f>
        <v>Hurston 35</v>
      </c>
      <c r="D424" s="5" t="str">
        <f>IFERROR(__xludf.DUMMYFUNCTION("""COMPUTED_VALUE"""),"Sand Cave 48X")</f>
        <v>Sand Cave 48X</v>
      </c>
      <c r="E424" s="7" t="str">
        <f>IFERROR(__xludf.DUMMYFUNCTION("""COMPUTED_VALUE"""),"SCave 48X")</f>
        <v>SCave 48X</v>
      </c>
      <c r="F424" s="11">
        <f>IFERROR(__xludf.DUMMYFUNCTION("""COMPUTED_VALUE"""),-87.599420411)</f>
        <v>-87.599420411</v>
      </c>
      <c r="G424" s="11">
        <f>IFERROR(__xludf.DUMMYFUNCTION("""COMPUTED_VALUE"""),293.723277944999)</f>
        <v>293.723277944999</v>
      </c>
      <c r="H424" s="11">
        <f>IFERROR(__xludf.DUMMYFUNCTION("""COMPUTED_VALUE"""),952.970791394)</f>
        <v>952.970791394</v>
      </c>
      <c r="I424" s="15"/>
      <c r="J424" s="15"/>
      <c r="K424" s="15"/>
      <c r="L424" s="15"/>
      <c r="M424" s="7" t="b">
        <f>IFERROR(__xludf.DUMMYFUNCTION("""COMPUTED_VALUE"""),FALSE)</f>
        <v>0</v>
      </c>
      <c r="N424" s="10">
        <f>IFERROR(__xludf.DUMMYFUNCTION("""COMPUTED_VALUE"""),0)</f>
        <v>0</v>
      </c>
      <c r="O424" s="10">
        <f>IFERROR(__xludf.DUMMYFUNCTION("""COMPUTED_VALUE"""),0)</f>
        <v>0</v>
      </c>
      <c r="P424" s="8"/>
      <c r="Q424" s="7"/>
      <c r="R424" s="16"/>
      <c r="S424" s="17"/>
      <c r="T424" s="8"/>
      <c r="U424" s="8"/>
      <c r="V424" s="22"/>
      <c r="W424" s="12"/>
      <c r="X424" s="12"/>
      <c r="Y424" s="12"/>
      <c r="Z424" s="12"/>
      <c r="AA424" s="7"/>
      <c r="AB424" s="12"/>
      <c r="AC424" s="6"/>
      <c r="AD424" s="6"/>
      <c r="AE424" s="7"/>
      <c r="AF424" s="7"/>
      <c r="AG424" s="7"/>
      <c r="AH424" s="7"/>
      <c r="AI424" s="7"/>
      <c r="AJ424" s="7"/>
      <c r="AK424" s="7"/>
      <c r="AL424" s="7"/>
      <c r="AM424" s="7"/>
      <c r="AN424" s="7"/>
      <c r="AO424" s="6"/>
      <c r="AP424" s="7"/>
      <c r="AQ424" s="7"/>
      <c r="AR424" s="6"/>
      <c r="AS424" s="7"/>
      <c r="AT424" s="7"/>
      <c r="AU424" s="7"/>
      <c r="AV424" s="7"/>
      <c r="AW424" s="7"/>
      <c r="AX424" s="7"/>
      <c r="AY424" s="7"/>
      <c r="AZ424" s="7"/>
      <c r="BA424" s="7"/>
      <c r="BB424" s="7"/>
      <c r="BC424" s="7"/>
      <c r="BD424" s="7"/>
      <c r="BE424" s="7"/>
      <c r="BF424" s="7"/>
      <c r="BG424" s="7"/>
    </row>
    <row r="425" customHeight="1" spans="1:59">
      <c r="A425" s="9" t="str">
        <f>IFERROR(__xludf.DUMMYFUNCTION("""COMPUTED_VALUE"""),"Hurston 84")</f>
        <v>Hurston 84</v>
      </c>
      <c r="B425" s="9" t="str">
        <f>IFERROR(__xludf.DUMMYFUNCTION("""COMPUTED_VALUE"""),"Hurston 93")</f>
        <v>Hurston 93</v>
      </c>
      <c r="C425" s="9" t="str">
        <f>IFERROR(__xludf.DUMMYFUNCTION("""COMPUTED_VALUE"""),"Hurston 12")</f>
        <v>Hurston 12</v>
      </c>
      <c r="D425" s="5" t="str">
        <f>IFERROR(__xludf.DUMMYFUNCTION("""COMPUTED_VALUE"""),"Sand Cave 57W")</f>
        <v>Sand Cave 57W</v>
      </c>
      <c r="E425" s="7" t="str">
        <f>IFERROR(__xludf.DUMMYFUNCTION("""COMPUTED_VALUE"""),"SCave 57W")</f>
        <v>SCave 57W</v>
      </c>
      <c r="F425" s="11">
        <f>IFERROR(__xludf.DUMMYFUNCTION("""COMPUTED_VALUE"""),-287.103006337)</f>
        <v>-287.103006337</v>
      </c>
      <c r="G425" s="11">
        <f>IFERROR(__xludf.DUMMYFUNCTION("""COMPUTED_VALUE"""),123.925804508)</f>
        <v>123.925804508</v>
      </c>
      <c r="H425" s="11">
        <f>IFERROR(__xludf.DUMMYFUNCTION("""COMPUTED_VALUE"""),951.130505877)</f>
        <v>951.130505877</v>
      </c>
      <c r="I425" s="15"/>
      <c r="J425" s="15"/>
      <c r="K425" s="15"/>
      <c r="L425" s="15"/>
      <c r="M425" s="7" t="b">
        <f>IFERROR(__xludf.DUMMYFUNCTION("""COMPUTED_VALUE"""),FALSE)</f>
        <v>0</v>
      </c>
      <c r="N425" s="10">
        <f>IFERROR(__xludf.DUMMYFUNCTION("""COMPUTED_VALUE"""),0)</f>
        <v>0</v>
      </c>
      <c r="O425" s="10">
        <f>IFERROR(__xludf.DUMMYFUNCTION("""COMPUTED_VALUE"""),0)</f>
        <v>0</v>
      </c>
      <c r="P425" s="8"/>
      <c r="Q425" s="7"/>
      <c r="R425" s="16"/>
      <c r="S425" s="17"/>
      <c r="T425" s="8"/>
      <c r="U425" s="8"/>
      <c r="V425" s="22"/>
      <c r="W425" s="12"/>
      <c r="X425" s="12"/>
      <c r="Y425" s="12"/>
      <c r="Z425" s="12"/>
      <c r="AA425" s="7"/>
      <c r="AB425" s="12"/>
      <c r="AC425" s="6"/>
      <c r="AD425" s="6"/>
      <c r="AE425" s="7"/>
      <c r="AF425" s="7"/>
      <c r="AG425" s="7"/>
      <c r="AH425" s="7"/>
      <c r="AI425" s="7"/>
      <c r="AJ425" s="7"/>
      <c r="AK425" s="7"/>
      <c r="AL425" s="7"/>
      <c r="AM425" s="7"/>
      <c r="AN425" s="7"/>
      <c r="AO425" s="6"/>
      <c r="AP425" s="7"/>
      <c r="AQ425" s="7"/>
      <c r="AR425" s="6"/>
      <c r="AS425" s="7"/>
      <c r="AT425" s="7"/>
      <c r="AU425" s="7"/>
      <c r="AV425" s="7"/>
      <c r="AW425" s="7"/>
      <c r="AX425" s="7"/>
      <c r="AY425" s="7"/>
      <c r="AZ425" s="7"/>
      <c r="BA425" s="7"/>
      <c r="BB425" s="7"/>
      <c r="BC425" s="7"/>
      <c r="BD425" s="7"/>
      <c r="BE425" s="7"/>
      <c r="BF425" s="7"/>
      <c r="BG425" s="7"/>
    </row>
    <row r="426" customHeight="1" spans="1:59">
      <c r="A426" s="9" t="str">
        <f>IFERROR(__xludf.DUMMYFUNCTION("""COMPUTED_VALUE"""),"Hurston 58")</f>
        <v>Hurston 58</v>
      </c>
      <c r="B426" s="9" t="str">
        <f>IFERROR(__xludf.DUMMYFUNCTION("""COMPUTED_VALUE"""),"Hurston 67")</f>
        <v>Hurston 67</v>
      </c>
      <c r="C426" s="9" t="str">
        <f>IFERROR(__xludf.DUMMYFUNCTION("""COMPUTED_VALUE"""),"Hurston 131")</f>
        <v>Hurston 131</v>
      </c>
      <c r="D426" s="5" t="str">
        <f>IFERROR(__xludf.DUMMYFUNCTION("""COMPUTED_VALUE"""),"Sand Cave 03X")</f>
        <v>Sand Cave 03X</v>
      </c>
      <c r="E426" s="7" t="str">
        <f>IFERROR(__xludf.DUMMYFUNCTION("""COMPUTED_VALUE"""),"SCave 03X")</f>
        <v>SCave 03X</v>
      </c>
      <c r="F426" s="11">
        <f>IFERROR(__xludf.DUMMYFUNCTION("""COMPUTED_VALUE"""),-265.775056288)</f>
        <v>-265.775056288</v>
      </c>
      <c r="G426" s="11">
        <f>IFERROR(__xludf.DUMMYFUNCTION("""COMPUTED_VALUE"""),-62.213743923)</f>
        <v>-62.213743923</v>
      </c>
      <c r="H426" s="11">
        <f>IFERROR(__xludf.DUMMYFUNCTION("""COMPUTED_VALUE"""),963.270862750999)</f>
        <v>963.270862750999</v>
      </c>
      <c r="I426" s="15"/>
      <c r="J426" s="15"/>
      <c r="K426" s="15"/>
      <c r="L426" s="15"/>
      <c r="M426" s="7" t="b">
        <f>IFERROR(__xludf.DUMMYFUNCTION("""COMPUTED_VALUE"""),FALSE)</f>
        <v>0</v>
      </c>
      <c r="N426" s="10">
        <f>IFERROR(__xludf.DUMMYFUNCTION("""COMPUTED_VALUE"""),0)</f>
        <v>0</v>
      </c>
      <c r="O426" s="10">
        <f>IFERROR(__xludf.DUMMYFUNCTION("""COMPUTED_VALUE"""),0)</f>
        <v>0</v>
      </c>
      <c r="P426" s="8"/>
      <c r="Q426" s="7"/>
      <c r="R426" s="16"/>
      <c r="S426" s="17"/>
      <c r="T426" s="8"/>
      <c r="U426" s="8"/>
      <c r="V426" s="22"/>
      <c r="W426" s="12"/>
      <c r="X426" s="12"/>
      <c r="Y426" s="12"/>
      <c r="Z426" s="12"/>
      <c r="AA426" s="7"/>
      <c r="AB426" s="12"/>
      <c r="AC426" s="6"/>
      <c r="AD426" s="6"/>
      <c r="AE426" s="7"/>
      <c r="AF426" s="7"/>
      <c r="AG426" s="7"/>
      <c r="AH426" s="7"/>
      <c r="AI426" s="7"/>
      <c r="AJ426" s="7"/>
      <c r="AK426" s="7"/>
      <c r="AL426" s="7"/>
      <c r="AM426" s="7"/>
      <c r="AN426" s="7"/>
      <c r="AO426" s="6"/>
      <c r="AP426" s="7"/>
      <c r="AQ426" s="7"/>
      <c r="AR426" s="6"/>
      <c r="AS426" s="7"/>
      <c r="AT426" s="7"/>
      <c r="AU426" s="7"/>
      <c r="AV426" s="7"/>
      <c r="AW426" s="7"/>
      <c r="AX426" s="7"/>
      <c r="AY426" s="7"/>
      <c r="AZ426" s="7"/>
      <c r="BA426" s="7"/>
      <c r="BB426" s="7"/>
      <c r="BC426" s="7"/>
      <c r="BD426" s="7"/>
      <c r="BE426" s="7"/>
      <c r="BF426" s="7"/>
      <c r="BG426" s="7"/>
    </row>
    <row r="427" customHeight="1" spans="1:59">
      <c r="A427" s="9" t="str">
        <f>IFERROR(__xludf.DUMMYFUNCTION("""COMPUTED_VALUE"""),"Hurston 59")</f>
        <v>Hurston 59</v>
      </c>
      <c r="B427" s="9" t="str">
        <f>IFERROR(__xludf.DUMMYFUNCTION("""COMPUTED_VALUE"""),"Hurston 68")</f>
        <v>Hurston 68</v>
      </c>
      <c r="C427" s="5" t="str">
        <f>IFERROR(__xludf.DUMMYFUNCTION("""COMPUTED_VALUE"""),"Hurston 90")</f>
        <v>Hurston 90</v>
      </c>
      <c r="D427" s="5" t="str">
        <f>IFERROR(__xludf.DUMMYFUNCTION("""COMPUTED_VALUE"""),"Sand Cave 15W")</f>
        <v>Sand Cave 15W</v>
      </c>
      <c r="E427" s="7" t="str">
        <f>IFERROR(__xludf.DUMMYFUNCTION("""COMPUTED_VALUE"""),"SCave 15W")</f>
        <v>SCave 15W</v>
      </c>
      <c r="F427" s="8">
        <f>IFERROR(__xludf.DUMMYFUNCTION("""COMPUTED_VALUE"""),-28.933841547)</f>
        <v>-28.933841547</v>
      </c>
      <c r="G427" s="8">
        <f>IFERROR(__xludf.DUMMYFUNCTION("""COMPUTED_VALUE"""),-339.176690449999)</f>
        <v>-339.176690449999</v>
      </c>
      <c r="H427" s="8">
        <f>IFERROR(__xludf.DUMMYFUNCTION("""COMPUTED_VALUE"""),941.984584319)</f>
        <v>941.984584319</v>
      </c>
      <c r="I427" s="14"/>
      <c r="J427" s="14"/>
      <c r="K427" s="14"/>
      <c r="L427" s="14"/>
      <c r="M427" s="7" t="b">
        <f>IFERROR(__xludf.DUMMYFUNCTION("""COMPUTED_VALUE"""),FALSE)</f>
        <v>0</v>
      </c>
      <c r="N427" s="10">
        <f>IFERROR(__xludf.DUMMYFUNCTION("""COMPUTED_VALUE"""),0)</f>
        <v>0</v>
      </c>
      <c r="O427" s="10">
        <f>IFERROR(__xludf.DUMMYFUNCTION("""COMPUTED_VALUE"""),0)</f>
        <v>0</v>
      </c>
      <c r="P427" s="8"/>
      <c r="Q427" s="7"/>
      <c r="R427" s="16"/>
      <c r="S427" s="17"/>
      <c r="T427" s="8"/>
      <c r="U427" s="8"/>
      <c r="V427" s="22"/>
      <c r="W427" s="12"/>
      <c r="X427" s="12"/>
      <c r="Y427" s="12"/>
      <c r="Z427" s="12"/>
      <c r="AA427" s="7"/>
      <c r="AB427" s="12"/>
      <c r="AC427" s="6"/>
      <c r="AD427" s="6"/>
      <c r="AE427" s="7"/>
      <c r="AF427" s="7"/>
      <c r="AG427" s="7"/>
      <c r="AH427" s="7"/>
      <c r="AI427" s="7"/>
      <c r="AJ427" s="7"/>
      <c r="AK427" s="7"/>
      <c r="AL427" s="7"/>
      <c r="AM427" s="7"/>
      <c r="AN427" s="7"/>
      <c r="AO427" s="6"/>
      <c r="AP427" s="7"/>
      <c r="AQ427" s="7"/>
      <c r="AR427" s="6"/>
      <c r="AS427" s="7"/>
      <c r="AT427" s="7"/>
      <c r="AU427" s="7"/>
      <c r="AV427" s="7"/>
      <c r="AW427" s="7"/>
      <c r="AX427" s="7"/>
      <c r="AY427" s="7"/>
      <c r="AZ427" s="7"/>
      <c r="BA427" s="7"/>
      <c r="BB427" s="7"/>
      <c r="BC427" s="7"/>
      <c r="BD427" s="7"/>
      <c r="BE427" s="7"/>
      <c r="BF427" s="7"/>
      <c r="BG427" s="7"/>
    </row>
    <row r="428" customHeight="1" spans="1:59">
      <c r="A428" s="9" t="str">
        <f>IFERROR(__xludf.DUMMYFUNCTION("""COMPUTED_VALUE"""),"Hurston 62")</f>
        <v>Hurston 62</v>
      </c>
      <c r="B428" s="9" t="str">
        <f>IFERROR(__xludf.DUMMYFUNCTION("""COMPUTED_VALUE"""),"Hurston 71")</f>
        <v>Hurston 71</v>
      </c>
      <c r="C428" s="5" t="str">
        <f>IFERROR(__xludf.DUMMYFUNCTION("""COMPUTED_VALUE"""),"Hurston 77")</f>
        <v>Hurston 77</v>
      </c>
      <c r="D428" s="5" t="str">
        <f>IFERROR(__xludf.DUMMYFUNCTION("""COMPUTED_VALUE"""),"Sand Cave 19X")</f>
        <v>Sand Cave 19X</v>
      </c>
      <c r="E428" s="7" t="str">
        <f>IFERROR(__xludf.DUMMYFUNCTION("""COMPUTED_VALUE"""),"SCave 19X")</f>
        <v>SCave 19X</v>
      </c>
      <c r="F428" s="8">
        <f>IFERROR(__xludf.DUMMYFUNCTION("""COMPUTED_VALUE"""),82.106039072)</f>
        <v>82.106039072</v>
      </c>
      <c r="G428" s="8">
        <f>IFERROR(__xludf.DUMMYFUNCTION("""COMPUTED_VALUE"""),-199.090526111)</f>
        <v>-199.090526111</v>
      </c>
      <c r="H428" s="8">
        <f>IFERROR(__xludf.DUMMYFUNCTION("""COMPUTED_VALUE"""),977.406854823)</f>
        <v>977.406854823</v>
      </c>
      <c r="I428" s="14"/>
      <c r="J428" s="14"/>
      <c r="K428" s="14"/>
      <c r="L428" s="14"/>
      <c r="M428" s="7" t="b">
        <f>IFERROR(__xludf.DUMMYFUNCTION("""COMPUTED_VALUE"""),FALSE)</f>
        <v>0</v>
      </c>
      <c r="N428" s="10">
        <f>IFERROR(__xludf.DUMMYFUNCTION("""COMPUTED_VALUE"""),0)</f>
        <v>0</v>
      </c>
      <c r="O428" s="10">
        <f>IFERROR(__xludf.DUMMYFUNCTION("""COMPUTED_VALUE"""),0)</f>
        <v>0</v>
      </c>
      <c r="P428" s="8"/>
      <c r="Q428" s="7"/>
      <c r="R428" s="16"/>
      <c r="S428" s="17"/>
      <c r="T428" s="8"/>
      <c r="U428" s="8"/>
      <c r="V428" s="22"/>
      <c r="W428" s="12"/>
      <c r="X428" s="12"/>
      <c r="Y428" s="12"/>
      <c r="Z428" s="12"/>
      <c r="AA428" s="7"/>
      <c r="AB428" s="12"/>
      <c r="AC428" s="6"/>
      <c r="AD428" s="6"/>
      <c r="AE428" s="7"/>
      <c r="AF428" s="7"/>
      <c r="AG428" s="7"/>
      <c r="AH428" s="7"/>
      <c r="AI428" s="7"/>
      <c r="AJ428" s="7"/>
      <c r="AK428" s="7"/>
      <c r="AL428" s="7"/>
      <c r="AM428" s="7"/>
      <c r="AN428" s="7"/>
      <c r="AO428" s="6"/>
      <c r="AP428" s="7"/>
      <c r="AQ428" s="7"/>
      <c r="AR428" s="6"/>
      <c r="AS428" s="7"/>
      <c r="AT428" s="7"/>
      <c r="AU428" s="7"/>
      <c r="AV428" s="7"/>
      <c r="AW428" s="7"/>
      <c r="AX428" s="7"/>
      <c r="AY428" s="7"/>
      <c r="AZ428" s="7"/>
      <c r="BA428" s="7"/>
      <c r="BB428" s="7"/>
      <c r="BC428" s="7"/>
      <c r="BD428" s="7"/>
      <c r="BE428" s="7"/>
      <c r="BF428" s="7"/>
      <c r="BG428" s="7"/>
    </row>
    <row r="429" customHeight="1" spans="1:59">
      <c r="A429" s="9" t="str">
        <f>IFERROR(__xludf.DUMMYFUNCTION("""COMPUTED_VALUE"""),"Hurston 92")</f>
        <v>Hurston 92</v>
      </c>
      <c r="B429" s="9" t="str">
        <f>IFERROR(__xludf.DUMMYFUNCTION("""COMPUTED_VALUE"""),"Hurston 101")</f>
        <v>Hurston 101</v>
      </c>
      <c r="C429" s="5" t="str">
        <f>IFERROR(__xludf.DUMMYFUNCTION("""COMPUTED_VALUE"""),"Hurston 62")</f>
        <v>Hurston 62</v>
      </c>
      <c r="D429" s="5" t="str">
        <f>IFERROR(__xludf.DUMMYFUNCTION("""COMPUTED_VALUE"""),"Sand Cave YZG")</f>
        <v>Sand Cave YZG</v>
      </c>
      <c r="E429" s="7" t="str">
        <f>IFERROR(__xludf.DUMMYFUNCTION("""COMPUTED_VALUE"""),"SCave YZG")</f>
        <v>SCave YZG</v>
      </c>
      <c r="F429" s="8">
        <f>IFERROR(__xludf.DUMMYFUNCTION("""COMPUTED_VALUE"""),16.622661212)</f>
        <v>16.622661212</v>
      </c>
      <c r="G429" s="8">
        <f>IFERROR(__xludf.DUMMYFUNCTION("""COMPUTED_VALUE"""),-3.800833878)</f>
        <v>-3.800833878</v>
      </c>
      <c r="H429" s="8">
        <f>IFERROR(__xludf.DUMMYFUNCTION("""COMPUTED_VALUE"""),1000.353432317)</f>
        <v>1000.353432317</v>
      </c>
      <c r="I429" s="14"/>
      <c r="J429" s="14"/>
      <c r="K429" s="14"/>
      <c r="L429" s="14"/>
      <c r="M429" s="7" t="b">
        <f>IFERROR(__xludf.DUMMYFUNCTION("""COMPUTED_VALUE"""),FALSE)</f>
        <v>0</v>
      </c>
      <c r="N429" s="10">
        <f>IFERROR(__xludf.DUMMYFUNCTION("""COMPUTED_VALUE"""),0)</f>
        <v>0</v>
      </c>
      <c r="O429" s="10">
        <f>IFERROR(__xludf.DUMMYFUNCTION("""COMPUTED_VALUE"""),0)</f>
        <v>0</v>
      </c>
      <c r="P429" s="8"/>
      <c r="Q429" s="7"/>
      <c r="R429" s="16"/>
      <c r="S429" s="17"/>
      <c r="T429" s="8"/>
      <c r="U429" s="8"/>
      <c r="V429" s="22"/>
      <c r="W429" s="12"/>
      <c r="X429" s="12"/>
      <c r="Y429" s="12"/>
      <c r="Z429" s="12"/>
      <c r="AA429" s="7"/>
      <c r="AB429" s="12"/>
      <c r="AC429" s="6"/>
      <c r="AD429" s="6"/>
      <c r="AE429" s="7"/>
      <c r="AF429" s="7"/>
      <c r="AG429" s="7"/>
      <c r="AH429" s="7"/>
      <c r="AI429" s="7"/>
      <c r="AJ429" s="7"/>
      <c r="AK429" s="7"/>
      <c r="AL429" s="7"/>
      <c r="AM429" s="7"/>
      <c r="AN429" s="7"/>
      <c r="AO429" s="6"/>
      <c r="AP429" s="7"/>
      <c r="AQ429" s="7"/>
      <c r="AR429" s="6"/>
      <c r="AS429" s="7"/>
      <c r="AT429" s="7"/>
      <c r="AU429" s="7"/>
      <c r="AV429" s="7"/>
      <c r="AW429" s="7"/>
      <c r="AX429" s="7"/>
      <c r="AY429" s="7"/>
      <c r="AZ429" s="7"/>
      <c r="BA429" s="7"/>
      <c r="BB429" s="7"/>
      <c r="BC429" s="7"/>
      <c r="BD429" s="7"/>
      <c r="BE429" s="7"/>
      <c r="BF429" s="7"/>
      <c r="BG429" s="7"/>
    </row>
    <row r="430" customHeight="1" spans="1:59">
      <c r="A430" s="9" t="str">
        <f>IFERROR(__xludf.DUMMYFUNCTION("""COMPUTED_VALUE"""),"Hurston 66")</f>
        <v>Hurston 66</v>
      </c>
      <c r="B430" s="5" t="str">
        <f>IFERROR(__xludf.DUMMYFUNCTION("""COMPUTED_VALUE"""),"Hurston 75")</f>
        <v>Hurston 75</v>
      </c>
      <c r="C430" s="5" t="str">
        <f>IFERROR(__xludf.DUMMYFUNCTION("""COMPUTED_VALUE"""),"Hurston 64")</f>
        <v>Hurston 64</v>
      </c>
      <c r="D430" s="5" t="str">
        <f>IFERROR(__xludf.DUMMYFUNCTION("""COMPUTED_VALUE"""),"Sand Cave 27W-313")</f>
        <v>Sand Cave 27W-313</v>
      </c>
      <c r="E430" s="7" t="str">
        <f>IFERROR(__xludf.DUMMYFUNCTION("""COMPUTED_VALUE"""),"SCave 27W313")</f>
        <v>SCave 27W313</v>
      </c>
      <c r="F430" s="8">
        <f>IFERROR(__xludf.DUMMYFUNCTION("""COMPUTED_VALUE"""),386.884924296999)</f>
        <v>386.884924296999</v>
      </c>
      <c r="G430" s="8">
        <f>IFERROR(__xludf.DUMMYFUNCTION("""COMPUTED_VALUE"""),-171.16821919)</f>
        <v>-171.16821919</v>
      </c>
      <c r="H430" s="8">
        <f>IFERROR(__xludf.DUMMYFUNCTION("""COMPUTED_VALUE"""),906.751049966)</f>
        <v>906.751049966</v>
      </c>
      <c r="I430" s="14"/>
      <c r="J430" s="14"/>
      <c r="K430" s="14"/>
      <c r="L430" s="14"/>
      <c r="M430" s="7" t="b">
        <f>IFERROR(__xludf.DUMMYFUNCTION("""COMPUTED_VALUE"""),FALSE)</f>
        <v>0</v>
      </c>
      <c r="N430" s="10">
        <f>IFERROR(__xludf.DUMMYFUNCTION("""COMPUTED_VALUE"""),0)</f>
        <v>0</v>
      </c>
      <c r="O430" s="10">
        <f>IFERROR(__xludf.DUMMYFUNCTION("""COMPUTED_VALUE"""),0)</f>
        <v>0</v>
      </c>
      <c r="P430" s="8"/>
      <c r="Q430" s="7"/>
      <c r="R430" s="16"/>
      <c r="S430" s="17"/>
      <c r="T430" s="8"/>
      <c r="U430" s="8"/>
      <c r="V430" s="22"/>
      <c r="W430" s="12"/>
      <c r="X430" s="12"/>
      <c r="Y430" s="12"/>
      <c r="Z430" s="12"/>
      <c r="AA430" s="7"/>
      <c r="AB430" s="12"/>
      <c r="AC430" s="6"/>
      <c r="AD430" s="6"/>
      <c r="AE430" s="7"/>
      <c r="AF430" s="7"/>
      <c r="AG430" s="7"/>
      <c r="AH430" s="7"/>
      <c r="AI430" s="7"/>
      <c r="AJ430" s="7"/>
      <c r="AK430" s="7"/>
      <c r="AL430" s="7"/>
      <c r="AM430" s="7"/>
      <c r="AN430" s="7"/>
      <c r="AO430" s="6"/>
      <c r="AP430" s="7"/>
      <c r="AQ430" s="7"/>
      <c r="AR430" s="6"/>
      <c r="AS430" s="7"/>
      <c r="AT430" s="7"/>
      <c r="AU430" s="7"/>
      <c r="AV430" s="7"/>
      <c r="AW430" s="7"/>
      <c r="AX430" s="7"/>
      <c r="AY430" s="7"/>
      <c r="AZ430" s="7"/>
      <c r="BA430" s="7"/>
      <c r="BB430" s="7"/>
      <c r="BC430" s="7"/>
      <c r="BD430" s="7"/>
      <c r="BE430" s="7"/>
      <c r="BF430" s="7"/>
      <c r="BG430" s="7"/>
    </row>
    <row r="431" customHeight="1" spans="1:59">
      <c r="A431" s="9" t="str">
        <f>IFERROR(__xludf.DUMMYFUNCTION("""COMPUTED_VALUE"""),"Hurston 67")</f>
        <v>Hurston 67</v>
      </c>
      <c r="B431" s="5" t="str">
        <f>IFERROR(__xludf.DUMMYFUNCTION("""COMPUTED_VALUE"""),"Hurston 76")</f>
        <v>Hurston 76</v>
      </c>
      <c r="C431" s="5" t="str">
        <f>IFERROR(__xludf.DUMMYFUNCTION("""COMPUTED_VALUE"""),"Hurston 63")</f>
        <v>Hurston 63</v>
      </c>
      <c r="D431" s="5" t="str">
        <f>IFERROR(__xludf.DUMMYFUNCTION("""COMPUTED_VALUE"""),"Sand Cave 27W-321")</f>
        <v>Sand Cave 27W-321</v>
      </c>
      <c r="E431" s="7" t="str">
        <f>IFERROR(__xludf.DUMMYFUNCTION("""COMPUTED_VALUE"""),"SCave 27W321")</f>
        <v>SCave 27W321</v>
      </c>
      <c r="F431" s="8">
        <f>IFERROR(__xludf.DUMMYFUNCTION("""COMPUTED_VALUE"""),329.14290133)</f>
        <v>329.14290133</v>
      </c>
      <c r="G431" s="8">
        <f>IFERROR(__xludf.DUMMYFUNCTION("""COMPUTED_VALUE"""),-119.73823564)</f>
        <v>-119.73823564</v>
      </c>
      <c r="H431" s="8">
        <f>IFERROR(__xludf.DUMMYFUNCTION("""COMPUTED_VALUE"""),937.285202529)</f>
        <v>937.285202529</v>
      </c>
      <c r="I431" s="14"/>
      <c r="J431" s="14"/>
      <c r="K431" s="14"/>
      <c r="L431" s="14"/>
      <c r="M431" s="7" t="b">
        <f>IFERROR(__xludf.DUMMYFUNCTION("""COMPUTED_VALUE"""),FALSE)</f>
        <v>0</v>
      </c>
      <c r="N431" s="10">
        <f>IFERROR(__xludf.DUMMYFUNCTION("""COMPUTED_VALUE"""),0)</f>
        <v>0</v>
      </c>
      <c r="O431" s="10">
        <f>IFERROR(__xludf.DUMMYFUNCTION("""COMPUTED_VALUE"""),0)</f>
        <v>0</v>
      </c>
      <c r="P431" s="8"/>
      <c r="Q431" s="7"/>
      <c r="R431" s="16"/>
      <c r="S431" s="17"/>
      <c r="T431" s="8"/>
      <c r="U431" s="8"/>
      <c r="V431" s="22"/>
      <c r="W431" s="12"/>
      <c r="X431" s="12"/>
      <c r="Y431" s="12"/>
      <c r="Z431" s="12"/>
      <c r="AA431" s="7"/>
      <c r="AB431" s="12"/>
      <c r="AC431" s="6"/>
      <c r="AD431" s="6"/>
      <c r="AE431" s="7"/>
      <c r="AF431" s="7"/>
      <c r="AG431" s="7"/>
      <c r="AH431" s="7"/>
      <c r="AI431" s="7"/>
      <c r="AJ431" s="7"/>
      <c r="AK431" s="7"/>
      <c r="AL431" s="7"/>
      <c r="AM431" s="7"/>
      <c r="AN431" s="7"/>
      <c r="AO431" s="6"/>
      <c r="AP431" s="7"/>
      <c r="AQ431" s="7"/>
      <c r="AR431" s="6"/>
      <c r="AS431" s="7"/>
      <c r="AT431" s="7"/>
      <c r="AU431" s="7"/>
      <c r="AV431" s="7"/>
      <c r="AW431" s="7"/>
      <c r="AX431" s="7"/>
      <c r="AY431" s="7"/>
      <c r="AZ431" s="7"/>
      <c r="BA431" s="7"/>
      <c r="BB431" s="7"/>
      <c r="BC431" s="7"/>
      <c r="BD431" s="7"/>
      <c r="BE431" s="7"/>
      <c r="BF431" s="7"/>
      <c r="BG431" s="7"/>
    </row>
    <row r="432" customHeight="1" spans="1:59">
      <c r="A432" s="9" t="str">
        <f>IFERROR(__xludf.DUMMYFUNCTION("""COMPUTED_VALUE"""),"Hurston 69")</f>
        <v>Hurston 69</v>
      </c>
      <c r="B432" s="5" t="str">
        <f>IFERROR(__xludf.DUMMYFUNCTION("""COMPUTED_VALUE"""),"Hurston 78")</f>
        <v>Hurston 78</v>
      </c>
      <c r="C432" s="5" t="str">
        <f>IFERROR(__xludf.DUMMYFUNCTION("""COMPUTED_VALUE"""),"Hurston 53")</f>
        <v>Hurston 53</v>
      </c>
      <c r="D432" s="5" t="str">
        <f>IFERROR(__xludf.DUMMYFUNCTION("""COMPUTED_VALUE"""),"Sand Cave 33W")</f>
        <v>Sand Cave 33W</v>
      </c>
      <c r="E432" s="7" t="str">
        <f>IFERROR(__xludf.DUMMYFUNCTION("""COMPUTED_VALUE"""),"SCave 33W")</f>
        <v>SCave 33W</v>
      </c>
      <c r="F432" s="8">
        <f>IFERROR(__xludf.DUMMYFUNCTION("""COMPUTED_VALUE"""),348.136810870999)</f>
        <v>348.136810870999</v>
      </c>
      <c r="G432" s="8">
        <f>IFERROR(__xludf.DUMMYFUNCTION("""COMPUTED_VALUE"""),109.396246604)</f>
        <v>109.396246604</v>
      </c>
      <c r="H432" s="8">
        <f>IFERROR(__xludf.DUMMYFUNCTION("""COMPUTED_VALUE"""),931.296088543)</f>
        <v>931.296088543</v>
      </c>
      <c r="I432" s="14"/>
      <c r="J432" s="14"/>
      <c r="K432" s="14"/>
      <c r="L432" s="14"/>
      <c r="M432" s="7" t="b">
        <f>IFERROR(__xludf.DUMMYFUNCTION("""COMPUTED_VALUE"""),FALSE)</f>
        <v>0</v>
      </c>
      <c r="N432" s="10">
        <f>IFERROR(__xludf.DUMMYFUNCTION("""COMPUTED_VALUE"""),0)</f>
        <v>0</v>
      </c>
      <c r="O432" s="10">
        <f>IFERROR(__xludf.DUMMYFUNCTION("""COMPUTED_VALUE"""),0)</f>
        <v>0</v>
      </c>
      <c r="P432" s="8"/>
      <c r="Q432" s="7"/>
      <c r="R432" s="16"/>
      <c r="S432" s="17"/>
      <c r="T432" s="8"/>
      <c r="U432" s="8"/>
      <c r="V432" s="22"/>
      <c r="W432" s="12"/>
      <c r="X432" s="12"/>
      <c r="Y432" s="12"/>
      <c r="Z432" s="12"/>
      <c r="AA432" s="7"/>
      <c r="AB432" s="12"/>
      <c r="AC432" s="6"/>
      <c r="AD432" s="6"/>
      <c r="AE432" s="7"/>
      <c r="AF432" s="7"/>
      <c r="AG432" s="7"/>
      <c r="AH432" s="7"/>
      <c r="AI432" s="7"/>
      <c r="AJ432" s="7"/>
      <c r="AK432" s="7"/>
      <c r="AL432" s="7"/>
      <c r="AM432" s="7"/>
      <c r="AN432" s="7"/>
      <c r="AO432" s="6"/>
      <c r="AP432" s="7"/>
      <c r="AQ432" s="7"/>
      <c r="AR432" s="6"/>
      <c r="AS432" s="7"/>
      <c r="AT432" s="7"/>
      <c r="AU432" s="7"/>
      <c r="AV432" s="7"/>
      <c r="AW432" s="7"/>
      <c r="AX432" s="7"/>
      <c r="AY432" s="7"/>
      <c r="AZ432" s="7"/>
      <c r="BA432" s="7"/>
      <c r="BB432" s="7"/>
      <c r="BC432" s="7"/>
      <c r="BD432" s="7"/>
      <c r="BE432" s="7"/>
      <c r="BF432" s="7"/>
      <c r="BG432" s="7"/>
    </row>
    <row r="433" customHeight="1" spans="1:59">
      <c r="A433" s="9" t="str">
        <f>IFERROR(__xludf.DUMMYFUNCTION("""COMPUTED_VALUE"""),"Hurston 68")</f>
        <v>Hurston 68</v>
      </c>
      <c r="B433" s="5" t="str">
        <f>IFERROR(__xludf.DUMMYFUNCTION("""COMPUTED_VALUE"""),"Hurston 77")</f>
        <v>Hurston 77</v>
      </c>
      <c r="C433" s="5" t="str">
        <f>IFERROR(__xludf.DUMMYFUNCTION("""COMPUTED_VALUE"""),"Hurston 57")</f>
        <v>Hurston 57</v>
      </c>
      <c r="D433" s="5" t="str">
        <f>IFERROR(__xludf.DUMMYFUNCTION("""COMPUTED_VALUE"""),"Sand Cave 31V")</f>
        <v>Sand Cave 31V</v>
      </c>
      <c r="E433" s="7" t="str">
        <f>IFERROR(__xludf.DUMMYFUNCTION("""COMPUTED_VALUE"""),"SCave 31V")</f>
        <v>SCave 31V</v>
      </c>
      <c r="F433" s="8">
        <f>IFERROR(__xludf.DUMMYFUNCTION("""COMPUTED_VALUE"""),536.059921703999)</f>
        <v>536.059921703999</v>
      </c>
      <c r="G433" s="8">
        <f>IFERROR(__xludf.DUMMYFUNCTION("""COMPUTED_VALUE"""),28.137676132)</f>
        <v>28.137676132</v>
      </c>
      <c r="H433" s="8">
        <f>IFERROR(__xludf.DUMMYFUNCTION("""COMPUTED_VALUE"""),846.224206118999)</f>
        <v>846.224206118999</v>
      </c>
      <c r="I433" s="14"/>
      <c r="J433" s="14"/>
      <c r="K433" s="14"/>
      <c r="L433" s="14"/>
      <c r="M433" s="7" t="b">
        <f>IFERROR(__xludf.DUMMYFUNCTION("""COMPUTED_VALUE"""),FALSE)</f>
        <v>0</v>
      </c>
      <c r="N433" s="10">
        <f>IFERROR(__xludf.DUMMYFUNCTION("""COMPUTED_VALUE"""),0)</f>
        <v>0</v>
      </c>
      <c r="O433" s="10">
        <f>IFERROR(__xludf.DUMMYFUNCTION("""COMPUTED_VALUE"""),0)</f>
        <v>0</v>
      </c>
      <c r="P433" s="8"/>
      <c r="Q433" s="7"/>
      <c r="R433" s="16"/>
      <c r="S433" s="17"/>
      <c r="T433" s="8"/>
      <c r="U433" s="8"/>
      <c r="V433" s="22"/>
      <c r="W433" s="12"/>
      <c r="X433" s="12"/>
      <c r="Y433" s="12"/>
      <c r="Z433" s="12"/>
      <c r="AA433" s="7"/>
      <c r="AB433" s="12"/>
      <c r="AC433" s="6"/>
      <c r="AD433" s="6"/>
      <c r="AE433" s="7"/>
      <c r="AF433" s="7"/>
      <c r="AG433" s="7"/>
      <c r="AH433" s="7"/>
      <c r="AI433" s="7"/>
      <c r="AJ433" s="7"/>
      <c r="AK433" s="7"/>
      <c r="AL433" s="7"/>
      <c r="AM433" s="7"/>
      <c r="AN433" s="7"/>
      <c r="AO433" s="6"/>
      <c r="AP433" s="7"/>
      <c r="AQ433" s="7"/>
      <c r="AR433" s="6"/>
      <c r="AS433" s="7"/>
      <c r="AT433" s="7"/>
      <c r="AU433" s="7"/>
      <c r="AV433" s="7"/>
      <c r="AW433" s="7"/>
      <c r="AX433" s="7"/>
      <c r="AY433" s="7"/>
      <c r="AZ433" s="7"/>
      <c r="BA433" s="7"/>
      <c r="BB433" s="7"/>
      <c r="BC433" s="7"/>
      <c r="BD433" s="7"/>
      <c r="BE433" s="7"/>
      <c r="BF433" s="7"/>
      <c r="BG433" s="7"/>
    </row>
    <row r="434" customHeight="1" spans="1:59">
      <c r="A434" s="9" t="str">
        <f>IFERROR(__xludf.DUMMYFUNCTION("""COMPUTED_VALUE"""),"Hurston 55")</f>
        <v>Hurston 55</v>
      </c>
      <c r="B434" s="5" t="str">
        <f>IFERROR(__xludf.DUMMYFUNCTION("""COMPUTED_VALUE"""),"Hurston 64")</f>
        <v>Hurston 64</v>
      </c>
      <c r="C434" s="5" t="str">
        <f>IFERROR(__xludf.DUMMYFUNCTION("""COMPUTED_VALUE"""),"Hurston 138")</f>
        <v>Hurston 138</v>
      </c>
      <c r="D434" s="5" t="str">
        <f>IFERROR(__xludf.DUMMYFUNCTION("""COMPUTED_VALUE"""),"Sand Cave 01E")</f>
        <v>Sand Cave 01E</v>
      </c>
      <c r="E434" s="7" t="str">
        <f>IFERROR(__xludf.DUMMYFUNCTION("""COMPUTED_VALUE"""),"SCave 01E")</f>
        <v>SCave 01E</v>
      </c>
      <c r="F434" s="8">
        <f>IFERROR(__xludf.DUMMYFUNCTION("""COMPUTED_VALUE"""),-532.079143725999)</f>
        <v>-532.079143725999</v>
      </c>
      <c r="G434" s="8">
        <f>IFERROR(__xludf.DUMMYFUNCTION("""COMPUTED_VALUE"""),-12.082034834)</f>
        <v>-12.082034834</v>
      </c>
      <c r="H434" s="8">
        <f>IFERROR(__xludf.DUMMYFUNCTION("""COMPUTED_VALUE"""),-847.177765661)</f>
        <v>-847.177765661</v>
      </c>
      <c r="I434" s="14"/>
      <c r="J434" s="14"/>
      <c r="K434" s="14"/>
      <c r="L434" s="14"/>
      <c r="M434" s="7" t="b">
        <f>IFERROR(__xludf.DUMMYFUNCTION("""COMPUTED_VALUE"""),FALSE)</f>
        <v>0</v>
      </c>
      <c r="N434" s="10">
        <f>IFERROR(__xludf.DUMMYFUNCTION("""COMPUTED_VALUE"""),0)</f>
        <v>0</v>
      </c>
      <c r="O434" s="10">
        <f>IFERROR(__xludf.DUMMYFUNCTION("""COMPUTED_VALUE"""),0)</f>
        <v>0</v>
      </c>
      <c r="P434" s="8"/>
      <c r="Q434" s="7"/>
      <c r="R434" s="16"/>
      <c r="S434" s="17"/>
      <c r="T434" s="8"/>
      <c r="U434" s="8"/>
      <c r="V434" s="22"/>
      <c r="W434" s="12"/>
      <c r="X434" s="12"/>
      <c r="Y434" s="12"/>
      <c r="Z434" s="12"/>
      <c r="AA434" s="7"/>
      <c r="AB434" s="12"/>
      <c r="AC434" s="6"/>
      <c r="AD434" s="6"/>
      <c r="AE434" s="7"/>
      <c r="AF434" s="7"/>
      <c r="AG434" s="7"/>
      <c r="AH434" s="7"/>
      <c r="AI434" s="7"/>
      <c r="AJ434" s="7"/>
      <c r="AK434" s="7"/>
      <c r="AL434" s="7"/>
      <c r="AM434" s="7"/>
      <c r="AN434" s="7"/>
      <c r="AO434" s="6"/>
      <c r="AP434" s="7"/>
      <c r="AQ434" s="7"/>
      <c r="AR434" s="6"/>
      <c r="AS434" s="7"/>
      <c r="AT434" s="7"/>
      <c r="AU434" s="7"/>
      <c r="AV434" s="7"/>
      <c r="AW434" s="7"/>
      <c r="AX434" s="7"/>
      <c r="AY434" s="7"/>
      <c r="AZ434" s="7"/>
      <c r="BA434" s="7"/>
      <c r="BB434" s="7"/>
      <c r="BC434" s="7"/>
      <c r="BD434" s="7"/>
      <c r="BE434" s="7"/>
      <c r="BF434" s="7"/>
      <c r="BG434" s="7"/>
    </row>
    <row r="435" customHeight="1" spans="1:59">
      <c r="A435" s="9" t="str">
        <f>IFERROR(__xludf.DUMMYFUNCTION("""COMPUTED_VALUE"""),"Hurston 56")</f>
        <v>Hurston 56</v>
      </c>
      <c r="B435" s="5" t="str">
        <f>IFERROR(__xludf.DUMMYFUNCTION("""COMPUTED_VALUE"""),"Hurston 65")</f>
        <v>Hurston 65</v>
      </c>
      <c r="C435" s="5" t="str">
        <f>IFERROR(__xludf.DUMMYFUNCTION("""COMPUTED_VALUE"""),"Hurston 133")</f>
        <v>Hurston 133</v>
      </c>
      <c r="D435" s="5" t="str">
        <f>IFERROR(__xludf.DUMMYFUNCTION("""COMPUTED_VALUE"""),"Sand Cave 02F")</f>
        <v>Sand Cave 02F</v>
      </c>
      <c r="E435" s="7" t="str">
        <f>IFERROR(__xludf.DUMMYFUNCTION("""COMPUTED_VALUE"""),"SCave 02F")</f>
        <v>SCave 02F</v>
      </c>
      <c r="F435" s="8">
        <f>IFERROR(__xludf.DUMMYFUNCTION("""COMPUTED_VALUE"""),-555.732503435999)</f>
        <v>-555.732503435999</v>
      </c>
      <c r="G435" s="8">
        <f>IFERROR(__xludf.DUMMYFUNCTION("""COMPUTED_VALUE"""),-85.987056638)</f>
        <v>-85.987056638</v>
      </c>
      <c r="H435" s="8">
        <f>IFERROR(__xludf.DUMMYFUNCTION("""COMPUTED_VALUE"""),-827.053505721)</f>
        <v>-827.053505721</v>
      </c>
      <c r="I435" s="14"/>
      <c r="J435" s="14"/>
      <c r="K435" s="14"/>
      <c r="L435" s="14"/>
      <c r="M435" s="7" t="b">
        <f>IFERROR(__xludf.DUMMYFUNCTION("""COMPUTED_VALUE"""),FALSE)</f>
        <v>0</v>
      </c>
      <c r="N435" s="10">
        <f>IFERROR(__xludf.DUMMYFUNCTION("""COMPUTED_VALUE"""),0)</f>
        <v>0</v>
      </c>
      <c r="O435" s="10">
        <f>IFERROR(__xludf.DUMMYFUNCTION("""COMPUTED_VALUE"""),0)</f>
        <v>0</v>
      </c>
      <c r="P435" s="8"/>
      <c r="Q435" s="7"/>
      <c r="R435" s="16"/>
      <c r="S435" s="17"/>
      <c r="T435" s="8"/>
      <c r="U435" s="8"/>
      <c r="V435" s="22"/>
      <c r="W435" s="12"/>
      <c r="X435" s="12"/>
      <c r="Y435" s="12"/>
      <c r="Z435" s="12"/>
      <c r="AA435" s="7"/>
      <c r="AB435" s="12"/>
      <c r="AC435" s="6"/>
      <c r="AD435" s="6"/>
      <c r="AE435" s="7"/>
      <c r="AF435" s="7"/>
      <c r="AG435" s="7"/>
      <c r="AH435" s="7"/>
      <c r="AI435" s="7"/>
      <c r="AJ435" s="7"/>
      <c r="AK435" s="7"/>
      <c r="AL435" s="7"/>
      <c r="AM435" s="7"/>
      <c r="AN435" s="7"/>
      <c r="AO435" s="6"/>
      <c r="AP435" s="7"/>
      <c r="AQ435" s="7"/>
      <c r="AR435" s="6"/>
      <c r="AS435" s="7"/>
      <c r="AT435" s="7"/>
      <c r="AU435" s="7"/>
      <c r="AV435" s="7"/>
      <c r="AW435" s="7"/>
      <c r="AX435" s="7"/>
      <c r="AY435" s="7"/>
      <c r="AZ435" s="7"/>
      <c r="BA435" s="7"/>
      <c r="BB435" s="7"/>
      <c r="BC435" s="7"/>
      <c r="BD435" s="7"/>
      <c r="BE435" s="7"/>
      <c r="BF435" s="7"/>
      <c r="BG435" s="7"/>
    </row>
    <row r="436" customHeight="1" spans="1:59">
      <c r="A436" s="9" t="str">
        <f>IFERROR(__xludf.DUMMYFUNCTION("""COMPUTED_VALUE"""),"Hurston 57")</f>
        <v>Hurston 57</v>
      </c>
      <c r="B436" s="5" t="str">
        <f>IFERROR(__xludf.DUMMYFUNCTION("""COMPUTED_VALUE"""),"Hurston 66")</f>
        <v>Hurston 66</v>
      </c>
      <c r="C436" s="5" t="str">
        <f>IFERROR(__xludf.DUMMYFUNCTION("""COMPUTED_VALUE"""),"Hurston 130")</f>
        <v>Hurston 130</v>
      </c>
      <c r="D436" s="5" t="str">
        <f>IFERROR(__xludf.DUMMYFUNCTION("""COMPUTED_VALUE"""),"Sand Cave 03E")</f>
        <v>Sand Cave 03E</v>
      </c>
      <c r="E436" s="7" t="str">
        <f>IFERROR(__xludf.DUMMYFUNCTION("""COMPUTED_VALUE"""),"SCave 03E")</f>
        <v>SCave 03E</v>
      </c>
      <c r="F436" s="11">
        <f>IFERROR(__xludf.DUMMYFUNCTION("""COMPUTED_VALUE"""),-514.419831155)</f>
        <v>-514.419831155</v>
      </c>
      <c r="G436" s="11">
        <f>IFERROR(__xludf.DUMMYFUNCTION("""COMPUTED_VALUE"""),-161.129671272)</f>
        <v>-161.129671272</v>
      </c>
      <c r="H436" s="11">
        <f>IFERROR(__xludf.DUMMYFUNCTION("""COMPUTED_VALUE"""),-843.348712338999)</f>
        <v>-843.348712338999</v>
      </c>
      <c r="I436" s="15"/>
      <c r="J436" s="15"/>
      <c r="K436" s="15"/>
      <c r="L436" s="15"/>
      <c r="M436" s="7" t="b">
        <f>IFERROR(__xludf.DUMMYFUNCTION("""COMPUTED_VALUE"""),FALSE)</f>
        <v>0</v>
      </c>
      <c r="N436" s="10">
        <f>IFERROR(__xludf.DUMMYFUNCTION("""COMPUTED_VALUE"""),0)</f>
        <v>0</v>
      </c>
      <c r="O436" s="10">
        <f>IFERROR(__xludf.DUMMYFUNCTION("""COMPUTED_VALUE"""),0)</f>
        <v>0</v>
      </c>
      <c r="P436" s="8"/>
      <c r="Q436" s="7"/>
      <c r="R436" s="16"/>
      <c r="S436" s="17"/>
      <c r="T436" s="8"/>
      <c r="U436" s="8"/>
      <c r="V436" s="22"/>
      <c r="W436" s="12"/>
      <c r="X436" s="12"/>
      <c r="Y436" s="12"/>
      <c r="Z436" s="12"/>
      <c r="AA436" s="7"/>
      <c r="AB436" s="12"/>
      <c r="AC436" s="6"/>
      <c r="AD436" s="6"/>
      <c r="AE436" s="7"/>
      <c r="AF436" s="7"/>
      <c r="AG436" s="7"/>
      <c r="AH436" s="7"/>
      <c r="AI436" s="7"/>
      <c r="AJ436" s="7"/>
      <c r="AK436" s="7"/>
      <c r="AL436" s="7"/>
      <c r="AM436" s="7"/>
      <c r="AN436" s="7"/>
      <c r="AO436" s="6"/>
      <c r="AP436" s="7"/>
      <c r="AQ436" s="7"/>
      <c r="AR436" s="6"/>
      <c r="AS436" s="7"/>
      <c r="AT436" s="7"/>
      <c r="AU436" s="7"/>
      <c r="AV436" s="7"/>
      <c r="AW436" s="7"/>
      <c r="AX436" s="7"/>
      <c r="AY436" s="7"/>
      <c r="AZ436" s="7"/>
      <c r="BA436" s="7"/>
      <c r="BB436" s="7"/>
      <c r="BC436" s="7"/>
      <c r="BD436" s="7"/>
      <c r="BE436" s="7"/>
      <c r="BF436" s="7"/>
      <c r="BG436" s="7"/>
    </row>
    <row r="437" customHeight="1" spans="1:59">
      <c r="A437" s="9" t="str">
        <f>IFERROR(__xludf.DUMMYFUNCTION("""COMPUTED_VALUE"""),"Hurston 63")</f>
        <v>Hurston 63</v>
      </c>
      <c r="B437" s="5" t="str">
        <f>IFERROR(__xludf.DUMMYFUNCTION("""COMPUTED_VALUE"""),"Hurston 72")</f>
        <v>Hurston 72</v>
      </c>
      <c r="C437" s="5" t="str">
        <f>IFERROR(__xludf.DUMMYFUNCTION("""COMPUTED_VALUE"""),"Hurston 75")</f>
        <v>Hurston 75</v>
      </c>
      <c r="D437" s="5" t="str">
        <f>IFERROR(__xludf.DUMMYFUNCTION("""COMPUTED_VALUE"""),"Sand Cave 21C")</f>
        <v>Sand Cave 21C</v>
      </c>
      <c r="E437" s="7" t="str">
        <f>IFERROR(__xludf.DUMMYFUNCTION("""COMPUTED_VALUE"""),"SCave 21C")</f>
        <v>SCave 21C</v>
      </c>
      <c r="F437" s="11">
        <f>IFERROR(__xludf.DUMMYFUNCTION("""COMPUTED_VALUE"""),113.787649588)</f>
        <v>113.787649588</v>
      </c>
      <c r="G437" s="11">
        <f>IFERROR(__xludf.DUMMYFUNCTION("""COMPUTED_VALUE"""),-189.120526909)</f>
        <v>-189.120526909</v>
      </c>
      <c r="H437" s="11">
        <f>IFERROR(__xludf.DUMMYFUNCTION("""COMPUTED_VALUE"""),-975.768721535)</f>
        <v>-975.768721535</v>
      </c>
      <c r="I437" s="15"/>
      <c r="J437" s="15"/>
      <c r="K437" s="15"/>
      <c r="L437" s="15"/>
      <c r="M437" s="7" t="b">
        <f>IFERROR(__xludf.DUMMYFUNCTION("""COMPUTED_VALUE"""),FALSE)</f>
        <v>0</v>
      </c>
      <c r="N437" s="10">
        <f>IFERROR(__xludf.DUMMYFUNCTION("""COMPUTED_VALUE"""),0)</f>
        <v>0</v>
      </c>
      <c r="O437" s="10">
        <f>IFERROR(__xludf.DUMMYFUNCTION("""COMPUTED_VALUE"""),0)</f>
        <v>0</v>
      </c>
      <c r="P437" s="8"/>
      <c r="Q437" s="7"/>
      <c r="R437" s="16"/>
      <c r="S437" s="17"/>
      <c r="T437" s="8"/>
      <c r="U437" s="8"/>
      <c r="V437" s="22"/>
      <c r="W437" s="12"/>
      <c r="X437" s="12"/>
      <c r="Y437" s="12"/>
      <c r="Z437" s="12"/>
      <c r="AA437" s="7"/>
      <c r="AB437" s="12"/>
      <c r="AC437" s="6"/>
      <c r="AD437" s="6"/>
      <c r="AE437" s="7"/>
      <c r="AF437" s="7"/>
      <c r="AG437" s="7"/>
      <c r="AH437" s="7"/>
      <c r="AI437" s="7"/>
      <c r="AJ437" s="7"/>
      <c r="AK437" s="7"/>
      <c r="AL437" s="7"/>
      <c r="AM437" s="7"/>
      <c r="AN437" s="7"/>
      <c r="AO437" s="6"/>
      <c r="AP437" s="7"/>
      <c r="AQ437" s="7"/>
      <c r="AR437" s="6"/>
      <c r="AS437" s="7"/>
      <c r="AT437" s="7"/>
      <c r="AU437" s="7"/>
      <c r="AV437" s="7"/>
      <c r="AW437" s="7"/>
      <c r="AX437" s="7"/>
      <c r="AY437" s="7"/>
      <c r="AZ437" s="7"/>
      <c r="BA437" s="7"/>
      <c r="BB437" s="7"/>
      <c r="BC437" s="7"/>
      <c r="BD437" s="7"/>
      <c r="BE437" s="7"/>
      <c r="BF437" s="7"/>
      <c r="BG437" s="7"/>
    </row>
    <row r="438" customHeight="1" spans="1:59">
      <c r="A438" s="9" t="str">
        <f>IFERROR(__xludf.DUMMYFUNCTION("""COMPUTED_VALUE"""),"Hurston 88")</f>
        <v>Hurston 88</v>
      </c>
      <c r="B438" s="5" t="str">
        <f>IFERROR(__xludf.DUMMYFUNCTION("""COMPUTED_VALUE"""),"Hurston 97")</f>
        <v>Hurston 97</v>
      </c>
      <c r="C438" s="5" t="str">
        <f>IFERROR(__xludf.DUMMYFUNCTION("""COMPUTED_VALUE"""),"Hurston 79")</f>
        <v>Hurston 79</v>
      </c>
      <c r="D438" s="5" t="str">
        <f>IFERROR(__xludf.DUMMYFUNCTION("""COMPUTED_VALUE"""),"Sand Cave AZN-222")</f>
        <v>Sand Cave AZN-222</v>
      </c>
      <c r="E438" s="7" t="str">
        <f>IFERROR(__xludf.DUMMYFUNCTION("""COMPUTED_VALUE"""),"SCave AZN222")</f>
        <v>SCave AZN222</v>
      </c>
      <c r="F438" s="8">
        <f>IFERROR(__xludf.DUMMYFUNCTION("""COMPUTED_VALUE"""),33.033586149)</f>
        <v>33.033586149</v>
      </c>
      <c r="G438" s="8">
        <f>IFERROR(__xludf.DUMMYFUNCTION("""COMPUTED_VALUE"""),-87.20907589)</f>
        <v>-87.20907589</v>
      </c>
      <c r="H438" s="8">
        <f>IFERROR(__xludf.DUMMYFUNCTION("""COMPUTED_VALUE"""),-996.452588091999)</f>
        <v>-996.452588091999</v>
      </c>
      <c r="I438" s="14"/>
      <c r="J438" s="14"/>
      <c r="K438" s="14"/>
      <c r="L438" s="14"/>
      <c r="M438" s="7" t="b">
        <f>IFERROR(__xludf.DUMMYFUNCTION("""COMPUTED_VALUE"""),FALSE)</f>
        <v>0</v>
      </c>
      <c r="N438" s="10">
        <f>IFERROR(__xludf.DUMMYFUNCTION("""COMPUTED_VALUE"""),0)</f>
        <v>0</v>
      </c>
      <c r="O438" s="10">
        <f>IFERROR(__xludf.DUMMYFUNCTION("""COMPUTED_VALUE"""),0)</f>
        <v>0</v>
      </c>
      <c r="P438" s="8"/>
      <c r="Q438" s="7"/>
      <c r="R438" s="16"/>
      <c r="S438" s="17"/>
      <c r="T438" s="8"/>
      <c r="U438" s="8"/>
      <c r="V438" s="22"/>
      <c r="W438" s="12"/>
      <c r="X438" s="12"/>
      <c r="Y438" s="12"/>
      <c r="Z438" s="12"/>
      <c r="AA438" s="9"/>
      <c r="AB438" s="12"/>
      <c r="AC438" s="6"/>
      <c r="AD438" s="6"/>
      <c r="AE438" s="7"/>
      <c r="AF438" s="7"/>
      <c r="AG438" s="7"/>
      <c r="AH438" s="7"/>
      <c r="AI438" s="7"/>
      <c r="AJ438" s="7"/>
      <c r="AK438" s="7"/>
      <c r="AL438" s="7"/>
      <c r="AM438" s="7"/>
      <c r="AN438" s="7"/>
      <c r="AO438" s="6"/>
      <c r="AP438" s="7"/>
      <c r="AQ438" s="7"/>
      <c r="AR438" s="6"/>
      <c r="AS438" s="7"/>
      <c r="AT438" s="7"/>
      <c r="AU438" s="7"/>
      <c r="AV438" s="7"/>
      <c r="AW438" s="7"/>
      <c r="AX438" s="7"/>
      <c r="AY438" s="7"/>
      <c r="AZ438" s="7"/>
      <c r="BA438" s="7"/>
      <c r="BB438" s="7"/>
      <c r="BC438" s="7"/>
      <c r="BD438" s="7"/>
      <c r="BE438" s="7"/>
      <c r="BF438" s="7"/>
      <c r="BG438" s="7"/>
    </row>
    <row r="439" customHeight="1" spans="1:59">
      <c r="A439" s="9" t="str">
        <f>IFERROR(__xludf.DUMMYFUNCTION("""COMPUTED_VALUE"""),"Hurston 60")</f>
        <v>Hurston 60</v>
      </c>
      <c r="B439" s="5" t="str">
        <f>IFERROR(__xludf.DUMMYFUNCTION("""COMPUTED_VALUE"""),"Hurston 69")</f>
        <v>Hurston 69</v>
      </c>
      <c r="C439" s="5" t="str">
        <f>IFERROR(__xludf.DUMMYFUNCTION("""COMPUTED_VALUE"""),"Hurston 84")</f>
        <v>Hurston 84</v>
      </c>
      <c r="D439" s="5" t="str">
        <f>IFERROR(__xludf.DUMMYFUNCTION("""COMPUTED_VALUE"""),"Sand Cave 17D")</f>
        <v>Sand Cave 17D</v>
      </c>
      <c r="E439" s="7" t="str">
        <f>IFERROR(__xludf.DUMMYFUNCTION("""COMPUTED_VALUE"""),"SCave 17D")</f>
        <v>SCave 17D</v>
      </c>
      <c r="F439" s="8">
        <f>IFERROR(__xludf.DUMMYFUNCTION("""COMPUTED_VALUE"""),56.011697258)</f>
        <v>56.011697258</v>
      </c>
      <c r="G439" s="8">
        <f>IFERROR(__xludf.DUMMYFUNCTION("""COMPUTED_VALUE"""),-419.681120143999)</f>
        <v>-419.681120143999</v>
      </c>
      <c r="H439" s="8">
        <f>IFERROR(__xludf.DUMMYFUNCTION("""COMPUTED_VALUE"""),-906.073720212999)</f>
        <v>-906.073720212999</v>
      </c>
      <c r="I439" s="14"/>
      <c r="J439" s="14"/>
      <c r="K439" s="14"/>
      <c r="L439" s="14"/>
      <c r="M439" s="7" t="b">
        <f>IFERROR(__xludf.DUMMYFUNCTION("""COMPUTED_VALUE"""),FALSE)</f>
        <v>0</v>
      </c>
      <c r="N439" s="10">
        <f>IFERROR(__xludf.DUMMYFUNCTION("""COMPUTED_VALUE"""),0)</f>
        <v>0</v>
      </c>
      <c r="O439" s="10">
        <f>IFERROR(__xludf.DUMMYFUNCTION("""COMPUTED_VALUE"""),0)</f>
        <v>0</v>
      </c>
      <c r="P439" s="8"/>
      <c r="Q439" s="7"/>
      <c r="R439" s="16"/>
      <c r="S439" s="17"/>
      <c r="T439" s="8"/>
      <c r="U439" s="8"/>
      <c r="V439" s="22"/>
      <c r="W439" s="12"/>
      <c r="X439" s="12"/>
      <c r="Y439" s="12"/>
      <c r="Z439" s="12"/>
      <c r="AA439" s="9"/>
      <c r="AB439" s="12"/>
      <c r="AC439" s="6"/>
      <c r="AD439" s="6"/>
      <c r="AE439" s="7"/>
      <c r="AF439" s="7"/>
      <c r="AG439" s="7"/>
      <c r="AH439" s="7"/>
      <c r="AI439" s="7"/>
      <c r="AJ439" s="7"/>
      <c r="AK439" s="7"/>
      <c r="AL439" s="7"/>
      <c r="AM439" s="7"/>
      <c r="AN439" s="7"/>
      <c r="AO439" s="6"/>
      <c r="AP439" s="7"/>
      <c r="AQ439" s="7"/>
      <c r="AR439" s="6"/>
      <c r="AS439" s="7"/>
      <c r="AT439" s="7"/>
      <c r="AU439" s="7"/>
      <c r="AV439" s="7"/>
      <c r="AW439" s="7"/>
      <c r="AX439" s="7"/>
      <c r="AY439" s="7"/>
      <c r="AZ439" s="7"/>
      <c r="BA439" s="7"/>
      <c r="BB439" s="7"/>
      <c r="BC439" s="7"/>
      <c r="BD439" s="7"/>
      <c r="BE439" s="7"/>
      <c r="BF439" s="7"/>
      <c r="BG439" s="7"/>
    </row>
    <row r="440" customHeight="1" spans="1:59">
      <c r="A440" s="9" t="str">
        <f>IFERROR(__xludf.DUMMYFUNCTION("""COMPUTED_VALUE"""),"Hurston 64")</f>
        <v>Hurston 64</v>
      </c>
      <c r="B440" s="5" t="str">
        <f>IFERROR(__xludf.DUMMYFUNCTION("""COMPUTED_VALUE"""),"Hurston 73")</f>
        <v>Hurston 73</v>
      </c>
      <c r="C440" s="5" t="str">
        <f>IFERROR(__xludf.DUMMYFUNCTION("""COMPUTED_VALUE"""),"Hurston 72")</f>
        <v>Hurston 72</v>
      </c>
      <c r="D440" s="5" t="str">
        <f>IFERROR(__xludf.DUMMYFUNCTION("""COMPUTED_VALUE"""),"Sand Cave 22C")</f>
        <v>Sand Cave 22C</v>
      </c>
      <c r="E440" s="7" t="str">
        <f>IFERROR(__xludf.DUMMYFUNCTION("""COMPUTED_VALUE"""),"SCave 22C")</f>
        <v>SCave 22C</v>
      </c>
      <c r="F440" s="8">
        <f>IFERROR(__xludf.DUMMYFUNCTION("""COMPUTED_VALUE"""),177.789736452)</f>
        <v>177.789736452</v>
      </c>
      <c r="G440" s="8">
        <f>IFERROR(__xludf.DUMMYFUNCTION("""COMPUTED_VALUE"""),-197.562773141999)</f>
        <v>-197.562773141999</v>
      </c>
      <c r="H440" s="8">
        <f>IFERROR(__xludf.DUMMYFUNCTION("""COMPUTED_VALUE"""),-964.301017320999)</f>
        <v>-964.301017320999</v>
      </c>
      <c r="I440" s="14"/>
      <c r="J440" s="14"/>
      <c r="K440" s="14"/>
      <c r="L440" s="14"/>
      <c r="M440" s="7" t="b">
        <f>IFERROR(__xludf.DUMMYFUNCTION("""COMPUTED_VALUE"""),FALSE)</f>
        <v>0</v>
      </c>
      <c r="N440" s="10">
        <f>IFERROR(__xludf.DUMMYFUNCTION("""COMPUTED_VALUE"""),0)</f>
        <v>0</v>
      </c>
      <c r="O440" s="10">
        <f>IFERROR(__xludf.DUMMYFUNCTION("""COMPUTED_VALUE"""),0)</f>
        <v>0</v>
      </c>
      <c r="P440" s="8"/>
      <c r="Q440" s="7"/>
      <c r="R440" s="16"/>
      <c r="S440" s="17"/>
      <c r="T440" s="8"/>
      <c r="U440" s="8"/>
      <c r="V440" s="22"/>
      <c r="W440" s="12"/>
      <c r="X440" s="12"/>
      <c r="Y440" s="12"/>
      <c r="Z440" s="12"/>
      <c r="AA440" s="9"/>
      <c r="AB440" s="12"/>
      <c r="AC440" s="6"/>
      <c r="AD440" s="6"/>
      <c r="AE440" s="7"/>
      <c r="AF440" s="7"/>
      <c r="AG440" s="7"/>
      <c r="AH440" s="7"/>
      <c r="AI440" s="7"/>
      <c r="AJ440" s="7"/>
      <c r="AK440" s="7"/>
      <c r="AL440" s="7"/>
      <c r="AM440" s="7"/>
      <c r="AN440" s="7"/>
      <c r="AO440" s="6"/>
      <c r="AP440" s="7"/>
      <c r="AQ440" s="7"/>
      <c r="AR440" s="6"/>
      <c r="AS440" s="7"/>
      <c r="AT440" s="7"/>
      <c r="AU440" s="7"/>
      <c r="AV440" s="7"/>
      <c r="AW440" s="7"/>
      <c r="AX440" s="7"/>
      <c r="AY440" s="7"/>
      <c r="AZ440" s="7"/>
      <c r="BA440" s="7"/>
      <c r="BB440" s="7"/>
      <c r="BC440" s="7"/>
      <c r="BD440" s="7"/>
      <c r="BE440" s="7"/>
      <c r="BF440" s="7"/>
      <c r="BG440" s="7"/>
    </row>
    <row r="441" customHeight="1" spans="1:59">
      <c r="A441" s="9" t="str">
        <f>IFERROR(__xludf.DUMMYFUNCTION("""COMPUTED_VALUE"""),"Hurston 72")</f>
        <v>Hurston 72</v>
      </c>
      <c r="B441" s="5" t="str">
        <f>IFERROR(__xludf.DUMMYFUNCTION("""COMPUTED_VALUE"""),"Hurston 81")</f>
        <v>Hurston 81</v>
      </c>
      <c r="C441" s="5" t="str">
        <f>IFERROR(__xludf.DUMMYFUNCTION("""COMPUTED_VALUE"""),"Hurston 43")</f>
        <v>Hurston 43</v>
      </c>
      <c r="D441" s="5" t="str">
        <f>IFERROR(__xludf.DUMMYFUNCTION("""COMPUTED_VALUE"""),"Sand Cave 44C")</f>
        <v>Sand Cave 44C</v>
      </c>
      <c r="E441" s="7" t="str">
        <f>IFERROR(__xludf.DUMMYFUNCTION("""COMPUTED_VALUE"""),"SCave 44C")</f>
        <v>SCave 44C</v>
      </c>
      <c r="F441" s="8">
        <f>IFERROR(__xludf.DUMMYFUNCTION("""COMPUTED_VALUE"""),36.134929091)</f>
        <v>36.134929091</v>
      </c>
      <c r="G441" s="8">
        <f>IFERROR(__xludf.DUMMYFUNCTION("""COMPUTED_VALUE"""),218.316956689999)</f>
        <v>218.316956689999</v>
      </c>
      <c r="H441" s="8">
        <f>IFERROR(__xludf.DUMMYFUNCTION("""COMPUTED_VALUE"""),-976.071235063)</f>
        <v>-976.071235063</v>
      </c>
      <c r="I441" s="14"/>
      <c r="J441" s="14"/>
      <c r="K441" s="14"/>
      <c r="L441" s="14"/>
      <c r="M441" s="7" t="b">
        <f>IFERROR(__xludf.DUMMYFUNCTION("""COMPUTED_VALUE"""),FALSE)</f>
        <v>0</v>
      </c>
      <c r="N441" s="10">
        <f>IFERROR(__xludf.DUMMYFUNCTION("""COMPUTED_VALUE"""),0)</f>
        <v>0</v>
      </c>
      <c r="O441" s="10">
        <f>IFERROR(__xludf.DUMMYFUNCTION("""COMPUTED_VALUE"""),0)</f>
        <v>0</v>
      </c>
      <c r="P441" s="8"/>
      <c r="Q441" s="7"/>
      <c r="R441" s="16"/>
      <c r="S441" s="17"/>
      <c r="T441" s="8"/>
      <c r="U441" s="8"/>
      <c r="V441" s="22"/>
      <c r="W441" s="12"/>
      <c r="X441" s="12"/>
      <c r="Y441" s="12"/>
      <c r="Z441" s="12"/>
      <c r="AA441" s="9"/>
      <c r="AB441" s="12"/>
      <c r="AC441" s="6"/>
      <c r="AD441" s="6"/>
      <c r="AE441" s="7"/>
      <c r="AF441" s="7"/>
      <c r="AG441" s="7"/>
      <c r="AH441" s="7"/>
      <c r="AI441" s="7"/>
      <c r="AJ441" s="7"/>
      <c r="AK441" s="7"/>
      <c r="AL441" s="7"/>
      <c r="AM441" s="7"/>
      <c r="AN441" s="7"/>
      <c r="AO441" s="6"/>
      <c r="AP441" s="7"/>
      <c r="AQ441" s="7"/>
      <c r="AR441" s="6"/>
      <c r="AS441" s="7"/>
      <c r="AT441" s="7"/>
      <c r="AU441" s="7"/>
      <c r="AV441" s="7"/>
      <c r="AW441" s="7"/>
      <c r="AX441" s="7"/>
      <c r="AY441" s="7"/>
      <c r="AZ441" s="7"/>
      <c r="BA441" s="7"/>
      <c r="BB441" s="7"/>
      <c r="BC441" s="7"/>
      <c r="BD441" s="7"/>
      <c r="BE441" s="7"/>
      <c r="BF441" s="7"/>
      <c r="BG441" s="7"/>
    </row>
    <row r="442" customHeight="1" spans="1:59">
      <c r="A442" s="9" t="str">
        <f>IFERROR(__xludf.DUMMYFUNCTION("""COMPUTED_VALUE"""),"Hurston 85")</f>
        <v>Hurston 85</v>
      </c>
      <c r="B442" s="5" t="str">
        <f>IFERROR(__xludf.DUMMYFUNCTION("""COMPUTED_VALUE"""),"Hurston 94")</f>
        <v>Hurston 94</v>
      </c>
      <c r="C442" s="5" t="str">
        <f>IFERROR(__xludf.DUMMYFUNCTION("""COMPUTED_VALUE"""),"Hurston 108")</f>
        <v>Hurston 108</v>
      </c>
      <c r="D442" s="5" t="str">
        <f>IFERROR(__xludf.DUMMYFUNCTION("""COMPUTED_VALUE"""),"Sand Cave AZM")</f>
        <v>Sand Cave AZM</v>
      </c>
      <c r="E442" s="7" t="str">
        <f>IFERROR(__xludf.DUMMYFUNCTION("""COMPUTED_VALUE"""),"SCave AZM")</f>
        <v>SCave AZM</v>
      </c>
      <c r="F442" s="8">
        <f>IFERROR(__xludf.DUMMYFUNCTION("""COMPUTED_VALUE"""),-68.344524743)</f>
        <v>-68.344524743</v>
      </c>
      <c r="G442" s="8">
        <f>IFERROR(__xludf.DUMMYFUNCTION("""COMPUTED_VALUE"""),-78.164666191)</f>
        <v>-78.164666191</v>
      </c>
      <c r="H442" s="8">
        <f>IFERROR(__xludf.DUMMYFUNCTION("""COMPUTED_VALUE"""),-996.640330847)</f>
        <v>-996.640330847</v>
      </c>
      <c r="I442" s="14"/>
      <c r="J442" s="14"/>
      <c r="K442" s="14"/>
      <c r="L442" s="14"/>
      <c r="M442" s="7" t="b">
        <f>IFERROR(__xludf.DUMMYFUNCTION("""COMPUTED_VALUE"""),FALSE)</f>
        <v>0</v>
      </c>
      <c r="N442" s="10">
        <f>IFERROR(__xludf.DUMMYFUNCTION("""COMPUTED_VALUE"""),0)</f>
        <v>0</v>
      </c>
      <c r="O442" s="10">
        <f>IFERROR(__xludf.DUMMYFUNCTION("""COMPUTED_VALUE"""),0)</f>
        <v>0</v>
      </c>
      <c r="P442" s="8"/>
      <c r="Q442" s="7"/>
      <c r="R442" s="16"/>
      <c r="S442" s="17"/>
      <c r="T442" s="8"/>
      <c r="U442" s="8"/>
      <c r="V442" s="22"/>
      <c r="W442" s="12"/>
      <c r="X442" s="12"/>
      <c r="Y442" s="12"/>
      <c r="Z442" s="12"/>
      <c r="AA442" s="9"/>
      <c r="AB442" s="12"/>
      <c r="AC442" s="6"/>
      <c r="AD442" s="6"/>
      <c r="AE442" s="7"/>
      <c r="AF442" s="7"/>
      <c r="AG442" s="7"/>
      <c r="AH442" s="7"/>
      <c r="AI442" s="7"/>
      <c r="AJ442" s="7"/>
      <c r="AK442" s="7"/>
      <c r="AL442" s="7"/>
      <c r="AM442" s="7"/>
      <c r="AN442" s="7"/>
      <c r="AO442" s="6"/>
      <c r="AP442" s="7"/>
      <c r="AQ442" s="7"/>
      <c r="AR442" s="6"/>
      <c r="AS442" s="7"/>
      <c r="AT442" s="7"/>
      <c r="AU442" s="7"/>
      <c r="AV442" s="7"/>
      <c r="AW442" s="7"/>
      <c r="AX442" s="7"/>
      <c r="AY442" s="7"/>
      <c r="AZ442" s="7"/>
      <c r="BA442" s="7"/>
      <c r="BB442" s="7"/>
      <c r="BC442" s="7"/>
      <c r="BD442" s="7"/>
      <c r="BE442" s="7"/>
      <c r="BF442" s="7"/>
      <c r="BG442" s="7"/>
    </row>
    <row r="443" customHeight="1" spans="1:59">
      <c r="A443" s="9" t="str">
        <f>IFERROR(__xludf.DUMMYFUNCTION("""COMPUTED_VALUE"""),"Hurston 83")</f>
        <v>Hurston 83</v>
      </c>
      <c r="B443" s="5" t="str">
        <f>IFERROR(__xludf.DUMMYFUNCTION("""COMPUTED_VALUE"""),"Hurston 92")</f>
        <v>Hurston 92</v>
      </c>
      <c r="C443" s="5" t="str">
        <f>IFERROR(__xludf.DUMMYFUNCTION("""COMPUTED_VALUE"""),"Hurston 17")</f>
        <v>Hurston 17</v>
      </c>
      <c r="D443" s="5" t="str">
        <f>IFERROR(__xludf.DUMMYFUNCTION("""COMPUTED_VALUE"""),"Sand Cave 56D")</f>
        <v>Sand Cave 56D</v>
      </c>
      <c r="E443" s="7" t="str">
        <f>IFERROR(__xludf.DUMMYFUNCTION("""COMPUTED_VALUE"""),"SCave 56D")</f>
        <v>SCave 56D</v>
      </c>
      <c r="F443" s="8">
        <f>IFERROR(__xludf.DUMMYFUNCTION("""COMPUTED_VALUE"""),-360.868465495)</f>
        <v>-360.868465495</v>
      </c>
      <c r="G443" s="8">
        <f>IFERROR(__xludf.DUMMYFUNCTION("""COMPUTED_VALUE"""),201.304712765)</f>
        <v>201.304712765</v>
      </c>
      <c r="H443" s="8">
        <f>IFERROR(__xludf.DUMMYFUNCTION("""COMPUTED_VALUE"""),-912.248201083999)</f>
        <v>-912.248201083999</v>
      </c>
      <c r="I443" s="14"/>
      <c r="J443" s="14"/>
      <c r="K443" s="14"/>
      <c r="L443" s="14"/>
      <c r="M443" s="7" t="b">
        <f>IFERROR(__xludf.DUMMYFUNCTION("""COMPUTED_VALUE"""),FALSE)</f>
        <v>0</v>
      </c>
      <c r="N443" s="10">
        <f>IFERROR(__xludf.DUMMYFUNCTION("""COMPUTED_VALUE"""),0)</f>
        <v>0</v>
      </c>
      <c r="O443" s="10">
        <f>IFERROR(__xludf.DUMMYFUNCTION("""COMPUTED_VALUE"""),0)</f>
        <v>0</v>
      </c>
      <c r="P443" s="8"/>
      <c r="Q443" s="7"/>
      <c r="R443" s="16"/>
      <c r="S443" s="17"/>
      <c r="T443" s="8"/>
      <c r="U443" s="8"/>
      <c r="V443" s="22"/>
      <c r="W443" s="12"/>
      <c r="X443" s="12"/>
      <c r="Y443" s="12"/>
      <c r="Z443" s="12"/>
      <c r="AA443" s="9"/>
      <c r="AB443" s="12"/>
      <c r="AC443" s="6"/>
      <c r="AD443" s="6"/>
      <c r="AE443" s="7"/>
      <c r="AF443" s="7"/>
      <c r="AG443" s="7"/>
      <c r="AH443" s="7"/>
      <c r="AI443" s="7"/>
      <c r="AJ443" s="7"/>
      <c r="AK443" s="7"/>
      <c r="AL443" s="7"/>
      <c r="AM443" s="7"/>
      <c r="AN443" s="7"/>
      <c r="AO443" s="6"/>
      <c r="AP443" s="7"/>
      <c r="AQ443" s="7"/>
      <c r="AR443" s="6"/>
      <c r="AS443" s="7"/>
      <c r="AT443" s="7"/>
      <c r="AU443" s="7"/>
      <c r="AV443" s="7"/>
      <c r="AW443" s="7"/>
      <c r="AX443" s="7"/>
      <c r="AY443" s="7"/>
      <c r="AZ443" s="7"/>
      <c r="BA443" s="7"/>
      <c r="BB443" s="7"/>
      <c r="BC443" s="7"/>
      <c r="BD443" s="7"/>
      <c r="BE443" s="7"/>
      <c r="BF443" s="7"/>
      <c r="BG443" s="7"/>
    </row>
    <row r="444" customHeight="1" spans="1:59">
      <c r="A444" s="9" t="str">
        <f>IFERROR(__xludf.DUMMYFUNCTION("""COMPUTED_VALUE"""),"Hurston 82")</f>
        <v>Hurston 82</v>
      </c>
      <c r="B444" s="5" t="str">
        <f>IFERROR(__xludf.DUMMYFUNCTION("""COMPUTED_VALUE"""),"Hurston 91")</f>
        <v>Hurston 91</v>
      </c>
      <c r="C444" s="5" t="str">
        <f>IFERROR(__xludf.DUMMYFUNCTION("""COMPUTED_VALUE"""),"Hurston 20")</f>
        <v>Hurston 20</v>
      </c>
      <c r="D444" s="5" t="str">
        <f>IFERROR(__xludf.DUMMYFUNCTION("""COMPUTED_VALUE"""),"Sand Cave 55D")</f>
        <v>Sand Cave 55D</v>
      </c>
      <c r="E444" s="7" t="str">
        <f>IFERROR(__xludf.DUMMYFUNCTION("""COMPUTED_VALUE"""),"SCave 55D")</f>
        <v>SCave 55D</v>
      </c>
      <c r="F444" s="10">
        <f>IFERROR(__xludf.DUMMYFUNCTION("""COMPUTED_VALUE"""),-354.400339344999)</f>
        <v>-354.400339344999</v>
      </c>
      <c r="G444" s="10">
        <f>IFERROR(__xludf.DUMMYFUNCTION("""COMPUTED_VALUE"""),230.589646842999)</f>
        <v>230.589646842999</v>
      </c>
      <c r="H444" s="10">
        <f>IFERROR(__xludf.DUMMYFUNCTION("""COMPUTED_VALUE"""),-907.316955919999)</f>
        <v>-907.316955919999</v>
      </c>
      <c r="I444" s="13"/>
      <c r="J444" s="13"/>
      <c r="K444" s="13"/>
      <c r="L444" s="13"/>
      <c r="M444" s="7" t="b">
        <f>IFERROR(__xludf.DUMMYFUNCTION("""COMPUTED_VALUE"""),FALSE)</f>
        <v>0</v>
      </c>
      <c r="N444" s="10">
        <f>IFERROR(__xludf.DUMMYFUNCTION("""COMPUTED_VALUE"""),0)</f>
        <v>0</v>
      </c>
      <c r="O444" s="10">
        <f>IFERROR(__xludf.DUMMYFUNCTION("""COMPUTED_VALUE"""),0)</f>
        <v>0</v>
      </c>
      <c r="P444" s="10"/>
      <c r="Q444" s="6"/>
      <c r="R444" s="16"/>
      <c r="S444" s="17"/>
      <c r="T444" s="10"/>
      <c r="U444" s="10"/>
      <c r="V444" s="22"/>
      <c r="W444" s="12"/>
      <c r="X444" s="12"/>
      <c r="Y444" s="12"/>
      <c r="Z444" s="12"/>
      <c r="AA444" s="6"/>
      <c r="AB444" s="12"/>
      <c r="AC444" s="6"/>
      <c r="AD444" s="6"/>
      <c r="AE444" s="7"/>
      <c r="AF444" s="7"/>
      <c r="AG444" s="7"/>
      <c r="AH444" s="7"/>
      <c r="AI444" s="7"/>
      <c r="AJ444" s="7"/>
      <c r="AK444" s="7"/>
      <c r="AL444" s="7"/>
      <c r="AM444" s="7"/>
      <c r="AN444" s="7"/>
      <c r="AO444" s="6"/>
      <c r="AP444" s="7"/>
      <c r="AQ444" s="7"/>
      <c r="AR444" s="6"/>
      <c r="AS444" s="6"/>
      <c r="AT444" s="6"/>
      <c r="AU444" s="6"/>
      <c r="AV444" s="6"/>
      <c r="AW444" s="6"/>
      <c r="AX444" s="6"/>
      <c r="AY444" s="6"/>
      <c r="AZ444" s="6"/>
      <c r="BA444" s="6"/>
      <c r="BB444" s="6"/>
      <c r="BC444" s="6"/>
      <c r="BD444" s="6"/>
      <c r="BE444" s="6"/>
      <c r="BF444" s="6"/>
      <c r="BG444" s="6"/>
    </row>
    <row r="445" customHeight="1" spans="1:59">
      <c r="A445" s="9" t="str">
        <f>IFERROR(__xludf.DUMMYFUNCTION("""COMPUTED_VALUE"""),"Hurston 75")</f>
        <v>Hurston 75</v>
      </c>
      <c r="B445" s="5" t="str">
        <f>IFERROR(__xludf.DUMMYFUNCTION("""COMPUTED_VALUE"""),"Hurston 84")</f>
        <v>Hurston 84</v>
      </c>
      <c r="C445" s="5" t="str">
        <f>IFERROR(__xludf.DUMMYFUNCTION("""COMPUTED_VALUE"""),"Hurston 32")</f>
        <v>Hurston 32</v>
      </c>
      <c r="D445" s="5" t="str">
        <f>IFERROR(__xludf.DUMMYFUNCTION("""COMPUTED_VALUE"""),"Sand Cave 49D")</f>
        <v>Sand Cave 49D</v>
      </c>
      <c r="E445" s="7" t="str">
        <f>IFERROR(__xludf.DUMMYFUNCTION("""COMPUTED_VALUE"""),"SCave 49D")</f>
        <v>SCave 49D</v>
      </c>
      <c r="F445" s="8">
        <f>IFERROR(__xludf.DUMMYFUNCTION("""COMPUTED_VALUE"""),-119.644923536)</f>
        <v>-119.644923536</v>
      </c>
      <c r="G445" s="8">
        <f>IFERROR(__xludf.DUMMYFUNCTION("""COMPUTED_VALUE"""),293.534638668)</f>
        <v>293.534638668</v>
      </c>
      <c r="H445" s="8">
        <f>IFERROR(__xludf.DUMMYFUNCTION("""COMPUTED_VALUE"""),-949.420487929999)</f>
        <v>-949.420487929999</v>
      </c>
      <c r="I445" s="14"/>
      <c r="J445" s="14"/>
      <c r="K445" s="14"/>
      <c r="L445" s="14"/>
      <c r="M445" s="7" t="b">
        <f>IFERROR(__xludf.DUMMYFUNCTION("""COMPUTED_VALUE"""),FALSE)</f>
        <v>0</v>
      </c>
      <c r="N445" s="10">
        <f>IFERROR(__xludf.DUMMYFUNCTION("""COMPUTED_VALUE"""),0)</f>
        <v>0</v>
      </c>
      <c r="O445" s="10">
        <f>IFERROR(__xludf.DUMMYFUNCTION("""COMPUTED_VALUE"""),0)</f>
        <v>0</v>
      </c>
      <c r="P445" s="8"/>
      <c r="Q445" s="7"/>
      <c r="R445" s="16"/>
      <c r="S445" s="17"/>
      <c r="T445" s="8"/>
      <c r="U445" s="8"/>
      <c r="V445" s="22"/>
      <c r="W445" s="12"/>
      <c r="X445" s="12"/>
      <c r="Y445" s="12"/>
      <c r="Z445" s="12"/>
      <c r="AA445" s="6"/>
      <c r="AB445" s="12"/>
      <c r="AC445" s="6"/>
      <c r="AD445" s="6"/>
      <c r="AE445" s="7"/>
      <c r="AF445" s="7"/>
      <c r="AG445" s="7"/>
      <c r="AH445" s="7"/>
      <c r="AI445" s="7"/>
      <c r="AJ445" s="7"/>
      <c r="AK445" s="7"/>
      <c r="AL445" s="7"/>
      <c r="AM445" s="7"/>
      <c r="AN445" s="7"/>
      <c r="AO445" s="6"/>
      <c r="AP445" s="7"/>
      <c r="AQ445" s="7"/>
      <c r="AR445" s="6"/>
      <c r="AS445" s="6"/>
      <c r="AT445" s="6"/>
      <c r="AU445" s="6"/>
      <c r="AV445" s="6"/>
      <c r="AW445" s="6"/>
      <c r="AX445" s="6"/>
      <c r="AY445" s="6"/>
      <c r="AZ445" s="6"/>
      <c r="BA445" s="6"/>
      <c r="BB445" s="6"/>
      <c r="BC445" s="6"/>
      <c r="BD445" s="6"/>
      <c r="BE445" s="6"/>
      <c r="BF445" s="6"/>
      <c r="BG445" s="6"/>
    </row>
    <row r="446" customHeight="1" spans="1:59">
      <c r="A446" s="9" t="str">
        <f>IFERROR(__xludf.DUMMYFUNCTION("""COMPUTED_VALUE"""),"Hurston 65")</f>
        <v>Hurston 65</v>
      </c>
      <c r="B446" s="5" t="str">
        <f>IFERROR(__xludf.DUMMYFUNCTION("""COMPUTED_VALUE"""),"Hurston 74")</f>
        <v>Hurston 74</v>
      </c>
      <c r="C446" s="5" t="str">
        <f>IFERROR(__xludf.DUMMYFUNCTION("""COMPUTED_VALUE"""),"Hurston 67")</f>
        <v>Hurston 67</v>
      </c>
      <c r="D446" s="5" t="str">
        <f>IFERROR(__xludf.DUMMYFUNCTION("""COMPUTED_VALUE"""),"Sand Cave 26C")</f>
        <v>Sand Cave 26C</v>
      </c>
      <c r="E446" s="7" t="str">
        <f>IFERROR(__xludf.DUMMYFUNCTION("""COMPUTED_VALUE"""),"SCave 26C")</f>
        <v>SCave 26C</v>
      </c>
      <c r="F446" s="8">
        <f>IFERROR(__xludf.DUMMYFUNCTION("""COMPUTED_VALUE"""),153.296024222999)</f>
        <v>153.296024222999</v>
      </c>
      <c r="G446" s="8">
        <f>IFERROR(__xludf.DUMMYFUNCTION("""COMPUTED_VALUE"""),-86.865282051)</f>
        <v>-86.865282051</v>
      </c>
      <c r="H446" s="8">
        <f>IFERROR(__xludf.DUMMYFUNCTION("""COMPUTED_VALUE"""),-985.508011107)</f>
        <v>-985.508011107</v>
      </c>
      <c r="I446" s="14"/>
      <c r="J446" s="14"/>
      <c r="K446" s="14"/>
      <c r="L446" s="14"/>
      <c r="M446" s="7" t="b">
        <f>IFERROR(__xludf.DUMMYFUNCTION("""COMPUTED_VALUE"""),FALSE)</f>
        <v>0</v>
      </c>
      <c r="N446" s="10">
        <f>IFERROR(__xludf.DUMMYFUNCTION("""COMPUTED_VALUE"""),0)</f>
        <v>0</v>
      </c>
      <c r="O446" s="10">
        <f>IFERROR(__xludf.DUMMYFUNCTION("""COMPUTED_VALUE"""),0)</f>
        <v>0</v>
      </c>
      <c r="P446" s="8"/>
      <c r="Q446" s="7"/>
      <c r="R446" s="16"/>
      <c r="S446" s="17"/>
      <c r="T446" s="8"/>
      <c r="U446" s="8"/>
      <c r="V446" s="22"/>
      <c r="W446" s="12"/>
      <c r="X446" s="12"/>
      <c r="Y446" s="12"/>
      <c r="Z446" s="12"/>
      <c r="AA446" s="6"/>
      <c r="AB446" s="12"/>
      <c r="AC446" s="6"/>
      <c r="AD446" s="6"/>
      <c r="AE446" s="7"/>
      <c r="AF446" s="7"/>
      <c r="AG446" s="7"/>
      <c r="AH446" s="7"/>
      <c r="AI446" s="7"/>
      <c r="AJ446" s="7"/>
      <c r="AK446" s="7"/>
      <c r="AL446" s="7"/>
      <c r="AM446" s="7"/>
      <c r="AN446" s="7"/>
      <c r="AO446" s="6"/>
      <c r="AP446" s="7"/>
      <c r="AQ446" s="7"/>
      <c r="AR446" s="6"/>
      <c r="AS446" s="6"/>
      <c r="AT446" s="6"/>
      <c r="AU446" s="6"/>
      <c r="AV446" s="6"/>
      <c r="AW446" s="6"/>
      <c r="AX446" s="6"/>
      <c r="AY446" s="6"/>
      <c r="AZ446" s="6"/>
      <c r="BA446" s="6"/>
      <c r="BB446" s="6"/>
      <c r="BC446" s="6"/>
      <c r="BD446" s="6"/>
      <c r="BE446" s="6"/>
      <c r="BF446" s="6"/>
      <c r="BG446" s="6"/>
    </row>
    <row r="447" customHeight="1" spans="1:59">
      <c r="A447" s="9" t="str">
        <f>IFERROR(__xludf.DUMMYFUNCTION("""COMPUTED_VALUE"""),"Hurston 86")</f>
        <v>Hurston 86</v>
      </c>
      <c r="B447" s="5" t="str">
        <f>IFERROR(__xludf.DUMMYFUNCTION("""COMPUTED_VALUE"""),"Hurston 95")</f>
        <v>Hurston 95</v>
      </c>
      <c r="C447" s="5" t="str">
        <f>IFERROR(__xludf.DUMMYFUNCTION("""COMPUTED_VALUE"""),"Hurston 82")</f>
        <v>Hurston 82</v>
      </c>
      <c r="D447" s="5" t="str">
        <f>IFERROR(__xludf.DUMMYFUNCTION("""COMPUTED_VALUE"""),"Sand Cave AZN-200")</f>
        <v>Sand Cave AZN-200</v>
      </c>
      <c r="E447" s="7" t="str">
        <f>IFERROR(__xludf.DUMMYFUNCTION("""COMPUTED_VALUE"""),"SCave AZN200")</f>
        <v>SCave AZN200</v>
      </c>
      <c r="F447" s="8">
        <f>IFERROR(__xludf.DUMMYFUNCTION("""COMPUTED_VALUE"""),3.396660426)</f>
        <v>3.396660426</v>
      </c>
      <c r="G447" s="8">
        <f>IFERROR(__xludf.DUMMYFUNCTION("""COMPUTED_VALUE"""),-20.294459174)</f>
        <v>-20.294459174</v>
      </c>
      <c r="H447" s="8">
        <f>IFERROR(__xludf.DUMMYFUNCTION("""COMPUTED_VALUE"""),-1000.285944215)</f>
        <v>-1000.285944215</v>
      </c>
      <c r="I447" s="14"/>
      <c r="J447" s="14"/>
      <c r="K447" s="14"/>
      <c r="L447" s="14"/>
      <c r="M447" s="7" t="b">
        <f>IFERROR(__xludf.DUMMYFUNCTION("""COMPUTED_VALUE"""),FALSE)</f>
        <v>0</v>
      </c>
      <c r="N447" s="10">
        <f>IFERROR(__xludf.DUMMYFUNCTION("""COMPUTED_VALUE"""),0)</f>
        <v>0</v>
      </c>
      <c r="O447" s="10">
        <f>IFERROR(__xludf.DUMMYFUNCTION("""COMPUTED_VALUE"""),0)</f>
        <v>0</v>
      </c>
      <c r="P447" s="8"/>
      <c r="Q447" s="7"/>
      <c r="R447" s="16"/>
      <c r="S447" s="17"/>
      <c r="T447" s="8"/>
      <c r="U447" s="8"/>
      <c r="V447" s="22"/>
      <c r="W447" s="12"/>
      <c r="X447" s="12"/>
      <c r="Y447" s="12"/>
      <c r="Z447" s="12"/>
      <c r="AA447" s="6"/>
      <c r="AB447" s="12"/>
      <c r="AC447" s="6"/>
      <c r="AD447" s="6"/>
      <c r="AE447" s="7"/>
      <c r="AF447" s="7"/>
      <c r="AG447" s="7"/>
      <c r="AH447" s="7"/>
      <c r="AI447" s="7"/>
      <c r="AJ447" s="7"/>
      <c r="AK447" s="7"/>
      <c r="AL447" s="7"/>
      <c r="AM447" s="7"/>
      <c r="AN447" s="7"/>
      <c r="AO447" s="6"/>
      <c r="AP447" s="7"/>
      <c r="AQ447" s="7"/>
      <c r="AR447" s="6"/>
      <c r="AS447" s="6"/>
      <c r="AT447" s="6"/>
      <c r="AU447" s="6"/>
      <c r="AV447" s="6"/>
      <c r="AW447" s="6"/>
      <c r="AX447" s="6"/>
      <c r="AY447" s="6"/>
      <c r="AZ447" s="6"/>
      <c r="BA447" s="6"/>
      <c r="BB447" s="6"/>
      <c r="BC447" s="6"/>
      <c r="BD447" s="6"/>
      <c r="BE447" s="6"/>
      <c r="BF447" s="6"/>
      <c r="BG447" s="6"/>
    </row>
    <row r="448" customHeight="1" spans="1:59">
      <c r="A448" s="9" t="str">
        <f>IFERROR(__xludf.DUMMYFUNCTION("""COMPUTED_VALUE"""),"Hurston 87")</f>
        <v>Hurston 87</v>
      </c>
      <c r="B448" s="5" t="str">
        <f>IFERROR(__xludf.DUMMYFUNCTION("""COMPUTED_VALUE"""),"Hurston 96")</f>
        <v>Hurston 96</v>
      </c>
      <c r="C448" s="5" t="str">
        <f>IFERROR(__xludf.DUMMYFUNCTION("""COMPUTED_VALUE"""),"Hurston 81")</f>
        <v>Hurston 81</v>
      </c>
      <c r="D448" s="5" t="str">
        <f>IFERROR(__xludf.DUMMYFUNCTION("""COMPUTED_VALUE"""),"Sand Cave AZN-208")</f>
        <v>Sand Cave AZN-208</v>
      </c>
      <c r="E448" s="7" t="str">
        <f>IFERROR(__xludf.DUMMYFUNCTION("""COMPUTED_VALUE"""),"SCave AZN208")</f>
        <v>SCave AZN208</v>
      </c>
      <c r="F448" s="8">
        <f>IFERROR(__xludf.DUMMYFUNCTION("""COMPUTED_VALUE"""),9.327399858)</f>
        <v>9.327399858</v>
      </c>
      <c r="G448" s="8">
        <f>IFERROR(__xludf.DUMMYFUNCTION("""COMPUTED_VALUE"""),-38.798153614)</f>
        <v>-38.798153614</v>
      </c>
      <c r="H448" s="8">
        <f>IFERROR(__xludf.DUMMYFUNCTION("""COMPUTED_VALUE"""),-999.704683212999)</f>
        <v>-999.704683212999</v>
      </c>
      <c r="I448" s="14"/>
      <c r="J448" s="14"/>
      <c r="K448" s="14"/>
      <c r="L448" s="14"/>
      <c r="M448" s="7" t="b">
        <f>IFERROR(__xludf.DUMMYFUNCTION("""COMPUTED_VALUE"""),FALSE)</f>
        <v>0</v>
      </c>
      <c r="N448" s="10">
        <f>IFERROR(__xludf.DUMMYFUNCTION("""COMPUTED_VALUE"""),0)</f>
        <v>0</v>
      </c>
      <c r="O448" s="10">
        <f>IFERROR(__xludf.DUMMYFUNCTION("""COMPUTED_VALUE"""),0)</f>
        <v>0</v>
      </c>
      <c r="P448" s="8"/>
      <c r="Q448" s="7"/>
      <c r="R448" s="16"/>
      <c r="S448" s="17"/>
      <c r="T448" s="8"/>
      <c r="U448" s="8"/>
      <c r="V448" s="22"/>
      <c r="W448" s="12"/>
      <c r="X448" s="12"/>
      <c r="Y448" s="12"/>
      <c r="Z448" s="12"/>
      <c r="AA448" s="6"/>
      <c r="AB448" s="12"/>
      <c r="AC448" s="6"/>
      <c r="AD448" s="6"/>
      <c r="AE448" s="7"/>
      <c r="AF448" s="7"/>
      <c r="AG448" s="7"/>
      <c r="AH448" s="7"/>
      <c r="AI448" s="7"/>
      <c r="AJ448" s="7"/>
      <c r="AK448" s="7"/>
      <c r="AL448" s="7"/>
      <c r="AM448" s="7"/>
      <c r="AN448" s="7"/>
      <c r="AO448" s="6"/>
      <c r="AP448" s="7"/>
      <c r="AQ448" s="7"/>
      <c r="AR448" s="6"/>
      <c r="AS448" s="6"/>
      <c r="AT448" s="6"/>
      <c r="AU448" s="6"/>
      <c r="AV448" s="6"/>
      <c r="AW448" s="6"/>
      <c r="AX448" s="6"/>
      <c r="AY448" s="6"/>
      <c r="AZ448" s="6"/>
      <c r="BA448" s="6"/>
      <c r="BB448" s="6"/>
      <c r="BC448" s="6"/>
      <c r="BD448" s="6"/>
      <c r="BE448" s="6"/>
      <c r="BF448" s="6"/>
      <c r="BG448" s="6"/>
    </row>
    <row r="449" customHeight="1" spans="1:59">
      <c r="A449" s="9" t="str">
        <f>IFERROR(__xludf.DUMMYFUNCTION("""COMPUTED_VALUE"""),"Hurston 90")</f>
        <v>Hurston 90</v>
      </c>
      <c r="B449" s="5" t="str">
        <f>IFERROR(__xludf.DUMMYFUNCTION("""COMPUTED_VALUE"""),"Hurston 99")</f>
        <v>Hurston 99</v>
      </c>
      <c r="C449" s="5" t="str">
        <f>IFERROR(__xludf.DUMMYFUNCTION("""COMPUTED_VALUE"""),"Hurston 37")</f>
        <v>Hurston 37</v>
      </c>
      <c r="D449" s="5" t="str">
        <f>IFERROR(__xludf.DUMMYFUNCTION("""COMPUTED_VALUE"""),"Sand Cave BAM")</f>
        <v>Sand Cave BAM</v>
      </c>
      <c r="E449" s="7" t="str">
        <f>IFERROR(__xludf.DUMMYFUNCTION("""COMPUTED_VALUE"""),"SCave BAM")</f>
        <v>SCave BAM</v>
      </c>
      <c r="F449" s="8">
        <f>IFERROR(__xludf.DUMMYFUNCTION("""COMPUTED_VALUE"""),-6.55264179)</f>
        <v>-6.55264179</v>
      </c>
      <c r="G449" s="8">
        <f>IFERROR(__xludf.DUMMYFUNCTION("""COMPUTED_VALUE"""),62.506591939)</f>
        <v>62.506591939</v>
      </c>
      <c r="H449" s="8">
        <f>IFERROR(__xludf.DUMMYFUNCTION("""COMPUTED_VALUE"""),-998.502425011)</f>
        <v>-998.502425011</v>
      </c>
      <c r="I449" s="14"/>
      <c r="J449" s="14"/>
      <c r="K449" s="14"/>
      <c r="L449" s="14"/>
      <c r="M449" s="7" t="b">
        <f>IFERROR(__xludf.DUMMYFUNCTION("""COMPUTED_VALUE"""),FALSE)</f>
        <v>0</v>
      </c>
      <c r="N449" s="10">
        <f>IFERROR(__xludf.DUMMYFUNCTION("""COMPUTED_VALUE"""),0)</f>
        <v>0</v>
      </c>
      <c r="O449" s="10">
        <f>IFERROR(__xludf.DUMMYFUNCTION("""COMPUTED_VALUE"""),0)</f>
        <v>0</v>
      </c>
      <c r="P449" s="8"/>
      <c r="Q449" s="7"/>
      <c r="R449" s="16"/>
      <c r="S449" s="17"/>
      <c r="T449" s="8"/>
      <c r="U449" s="8"/>
      <c r="V449" s="22"/>
      <c r="W449" s="12"/>
      <c r="X449" s="12"/>
      <c r="Y449" s="12"/>
      <c r="Z449" s="12"/>
      <c r="AA449" s="6"/>
      <c r="AB449" s="12"/>
      <c r="AC449" s="6"/>
      <c r="AD449" s="6"/>
      <c r="AE449" s="7"/>
      <c r="AF449" s="7"/>
      <c r="AG449" s="7"/>
      <c r="AH449" s="7"/>
      <c r="AI449" s="7"/>
      <c r="AJ449" s="7"/>
      <c r="AK449" s="7"/>
      <c r="AL449" s="7"/>
      <c r="AM449" s="7"/>
      <c r="AN449" s="7"/>
      <c r="AO449" s="6"/>
      <c r="AP449" s="7"/>
      <c r="AQ449" s="7"/>
      <c r="AR449" s="6"/>
      <c r="AS449" s="6"/>
      <c r="AT449" s="6"/>
      <c r="AU449" s="6"/>
      <c r="AV449" s="6"/>
      <c r="AW449" s="6"/>
      <c r="AX449" s="6"/>
      <c r="AY449" s="6"/>
      <c r="AZ449" s="6"/>
      <c r="BA449" s="6"/>
      <c r="BB449" s="6"/>
      <c r="BC449" s="6"/>
      <c r="BD449" s="6"/>
      <c r="BE449" s="6"/>
      <c r="BF449" s="6"/>
      <c r="BG449" s="6"/>
    </row>
    <row r="450" customHeight="1" spans="1:59">
      <c r="A450" s="9" t="str">
        <f>IFERROR(__xludf.DUMMYFUNCTION("""COMPUTED_VALUE"""),"Hurston 91")</f>
        <v>Hurston 91</v>
      </c>
      <c r="B450" s="5" t="str">
        <f>IFERROR(__xludf.DUMMYFUNCTION("""COMPUTED_VALUE"""),"Hurston 100")</f>
        <v>Hurston 100</v>
      </c>
      <c r="C450" s="5" t="str">
        <f>IFERROR(__xludf.DUMMYFUNCTION("""COMPUTED_VALUE"""),"Hurston 56")</f>
        <v>Hurston 56</v>
      </c>
      <c r="D450" s="5" t="str">
        <f>IFERROR(__xludf.DUMMYFUNCTION("""COMPUTED_VALUE"""),"Sand Cave BAN")</f>
        <v>Sand Cave BAN</v>
      </c>
      <c r="E450" s="7" t="str">
        <f>IFERROR(__xludf.DUMMYFUNCTION("""COMPUTED_VALUE"""),"SCave BAN")</f>
        <v>SCave BAN</v>
      </c>
      <c r="F450" s="8">
        <f>IFERROR(__xludf.DUMMYFUNCTION("""COMPUTED_VALUE"""),100.201785122999)</f>
        <v>100.201785122999</v>
      </c>
      <c r="G450" s="8">
        <f>IFERROR(__xludf.DUMMYFUNCTION("""COMPUTED_VALUE"""),8.47903302)</f>
        <v>8.47903302</v>
      </c>
      <c r="H450" s="8">
        <f>IFERROR(__xludf.DUMMYFUNCTION("""COMPUTED_VALUE"""),-995.842686381999)</f>
        <v>-995.842686381999</v>
      </c>
      <c r="I450" s="14"/>
      <c r="J450" s="14"/>
      <c r="K450" s="14"/>
      <c r="L450" s="14"/>
      <c r="M450" s="7" t="b">
        <f>IFERROR(__xludf.DUMMYFUNCTION("""COMPUTED_VALUE"""),FALSE)</f>
        <v>0</v>
      </c>
      <c r="N450" s="10">
        <f>IFERROR(__xludf.DUMMYFUNCTION("""COMPUTED_VALUE"""),0)</f>
        <v>0</v>
      </c>
      <c r="O450" s="10">
        <f>IFERROR(__xludf.DUMMYFUNCTION("""COMPUTED_VALUE"""),0)</f>
        <v>0</v>
      </c>
      <c r="P450" s="8"/>
      <c r="Q450" s="7"/>
      <c r="R450" s="16"/>
      <c r="S450" s="17"/>
      <c r="T450" s="8"/>
      <c r="U450" s="8"/>
      <c r="V450" s="22"/>
      <c r="W450" s="12"/>
      <c r="X450" s="12"/>
      <c r="Y450" s="12"/>
      <c r="Z450" s="12"/>
      <c r="AA450" s="6"/>
      <c r="AB450" s="12"/>
      <c r="AC450" s="6"/>
      <c r="AD450" s="6"/>
      <c r="AE450" s="7"/>
      <c r="AF450" s="7"/>
      <c r="AG450" s="7"/>
      <c r="AH450" s="7"/>
      <c r="AI450" s="7"/>
      <c r="AJ450" s="7"/>
      <c r="AK450" s="7"/>
      <c r="AL450" s="7"/>
      <c r="AM450" s="7"/>
      <c r="AN450" s="7"/>
      <c r="AO450" s="6"/>
      <c r="AP450" s="7"/>
      <c r="AQ450" s="7"/>
      <c r="AR450" s="6"/>
      <c r="AS450" s="6"/>
      <c r="AT450" s="6"/>
      <c r="AU450" s="6"/>
      <c r="AV450" s="6"/>
      <c r="AW450" s="6"/>
      <c r="AX450" s="6"/>
      <c r="AY450" s="6"/>
      <c r="AZ450" s="6"/>
      <c r="BA450" s="6"/>
      <c r="BB450" s="6"/>
      <c r="BC450" s="6"/>
      <c r="BD450" s="6"/>
      <c r="BE450" s="6"/>
      <c r="BF450" s="6"/>
      <c r="BG450" s="6"/>
    </row>
    <row r="451" customHeight="1" spans="1:59">
      <c r="A451" s="9" t="str">
        <f>IFERROR(__xludf.DUMMYFUNCTION("""COMPUTED_VALUE"""),"Hurston 89")</f>
        <v>Hurston 89</v>
      </c>
      <c r="B451" s="5" t="str">
        <f>IFERROR(__xludf.DUMMYFUNCTION("""COMPUTED_VALUE"""),"Hurston 98")</f>
        <v>Hurston 98</v>
      </c>
      <c r="C451" s="5" t="str">
        <f>IFERROR(__xludf.DUMMYFUNCTION("""COMPUTED_VALUE"""),"Hurston 66")</f>
        <v>Hurston 66</v>
      </c>
      <c r="D451" s="5" t="str">
        <f>IFERROR(__xludf.DUMMYFUNCTION("""COMPUTED_VALUE"""),"Sand Cave AZN-307")</f>
        <v>Sand Cave AZN-307</v>
      </c>
      <c r="E451" s="7" t="str">
        <f>IFERROR(__xludf.DUMMYFUNCTION("""COMPUTED_VALUE"""),"SCave AZN-307")</f>
        <v>SCave AZN-307</v>
      </c>
      <c r="F451" s="8">
        <f>IFERROR(__xludf.DUMMYFUNCTION("""COMPUTED_VALUE"""),87.843186725)</f>
        <v>87.843186725</v>
      </c>
      <c r="G451" s="8">
        <f>IFERROR(__xludf.DUMMYFUNCTION("""COMPUTED_VALUE"""),-43.81691266)</f>
        <v>-43.81691266</v>
      </c>
      <c r="H451" s="8">
        <f>IFERROR(__xludf.DUMMYFUNCTION("""COMPUTED_VALUE"""),-996.015868871)</f>
        <v>-996.015868871</v>
      </c>
      <c r="I451" s="14"/>
      <c r="J451" s="14"/>
      <c r="K451" s="14"/>
      <c r="L451" s="14"/>
      <c r="M451" s="7" t="b">
        <f>IFERROR(__xludf.DUMMYFUNCTION("""COMPUTED_VALUE"""),FALSE)</f>
        <v>0</v>
      </c>
      <c r="N451" s="10">
        <f>IFERROR(__xludf.DUMMYFUNCTION("""COMPUTED_VALUE"""),0)</f>
        <v>0</v>
      </c>
      <c r="O451" s="10">
        <f>IFERROR(__xludf.DUMMYFUNCTION("""COMPUTED_VALUE"""),0)</f>
        <v>0</v>
      </c>
      <c r="P451" s="8"/>
      <c r="Q451" s="7"/>
      <c r="R451" s="16"/>
      <c r="S451" s="17"/>
      <c r="T451" s="8"/>
      <c r="U451" s="8"/>
      <c r="V451" s="22"/>
      <c r="W451" s="12"/>
      <c r="X451" s="12"/>
      <c r="Y451" s="12"/>
      <c r="Z451" s="12"/>
      <c r="AA451" s="6"/>
      <c r="AB451" s="12"/>
      <c r="AC451" s="6"/>
      <c r="AD451" s="6"/>
      <c r="AE451" s="7"/>
      <c r="AF451" s="7"/>
      <c r="AG451" s="7"/>
      <c r="AH451" s="7"/>
      <c r="AI451" s="7"/>
      <c r="AJ451" s="7"/>
      <c r="AK451" s="7"/>
      <c r="AL451" s="7"/>
      <c r="AM451" s="7"/>
      <c r="AN451" s="7"/>
      <c r="AO451" s="6"/>
      <c r="AP451" s="7"/>
      <c r="AQ451" s="7"/>
      <c r="AR451" s="6"/>
      <c r="AS451" s="6"/>
      <c r="AT451" s="6"/>
      <c r="AU451" s="6"/>
      <c r="AV451" s="6"/>
      <c r="AW451" s="6"/>
      <c r="AX451" s="6"/>
      <c r="AY451" s="6"/>
      <c r="AZ451" s="6"/>
      <c r="BA451" s="6"/>
      <c r="BB451" s="6"/>
      <c r="BC451" s="6"/>
      <c r="BD451" s="6"/>
      <c r="BE451" s="6"/>
      <c r="BF451" s="6"/>
      <c r="BG451" s="6"/>
    </row>
    <row r="452" customHeight="1" spans="1:59">
      <c r="A452" s="9" t="str">
        <f>IFERROR(__xludf.DUMMYFUNCTION("""COMPUTED_VALUE"""),"Hurston 61")</f>
        <v>Hurston 61</v>
      </c>
      <c r="B452" s="5" t="str">
        <f>IFERROR(__xludf.DUMMYFUNCTION("""COMPUTED_VALUE"""),"Hurston 70")</f>
        <v>Hurston 70</v>
      </c>
      <c r="C452" s="5" t="str">
        <f>IFERROR(__xludf.DUMMYFUNCTION("""COMPUTED_VALUE"""),"Hurston 80")</f>
        <v>Hurston 80</v>
      </c>
      <c r="D452" s="5" t="str">
        <f>IFERROR(__xludf.DUMMYFUNCTION("""COMPUTED_VALUE"""),"Sand Cave 19C")</f>
        <v>Sand Cave 19C</v>
      </c>
      <c r="E452" s="7" t="str">
        <f>IFERROR(__xludf.DUMMYFUNCTION("""COMPUTED_VALUE"""),"SCave 19C")</f>
        <v>SCave 19C</v>
      </c>
      <c r="F452" s="8">
        <f>IFERROR(__xludf.DUMMYFUNCTION("""COMPUTED_VALUE"""),68.700863505)</f>
        <v>68.700863505</v>
      </c>
      <c r="G452" s="8">
        <f>IFERROR(__xludf.DUMMYFUNCTION("""COMPUTED_VALUE"""),-207.762859078999)</f>
        <v>-207.762859078999</v>
      </c>
      <c r="H452" s="8">
        <f>IFERROR(__xludf.DUMMYFUNCTION("""COMPUTED_VALUE"""),-976.382750581)</f>
        <v>-976.382750581</v>
      </c>
      <c r="I452" s="14"/>
      <c r="J452" s="14"/>
      <c r="K452" s="14"/>
      <c r="L452" s="14"/>
      <c r="M452" s="7" t="b">
        <f>IFERROR(__xludf.DUMMYFUNCTION("""COMPUTED_VALUE"""),FALSE)</f>
        <v>0</v>
      </c>
      <c r="N452" s="10">
        <f>IFERROR(__xludf.DUMMYFUNCTION("""COMPUTED_VALUE"""),0)</f>
        <v>0</v>
      </c>
      <c r="O452" s="10">
        <f>IFERROR(__xludf.DUMMYFUNCTION("""COMPUTED_VALUE"""),0)</f>
        <v>0</v>
      </c>
      <c r="P452" s="8"/>
      <c r="Q452" s="7"/>
      <c r="R452" s="16"/>
      <c r="S452" s="17"/>
      <c r="T452" s="8"/>
      <c r="U452" s="8"/>
      <c r="V452" s="22"/>
      <c r="W452" s="12"/>
      <c r="X452" s="12"/>
      <c r="Y452" s="12"/>
      <c r="Z452" s="12"/>
      <c r="AA452" s="6"/>
      <c r="AB452" s="12"/>
      <c r="AC452" s="6"/>
      <c r="AD452" s="6"/>
      <c r="AE452" s="7"/>
      <c r="AF452" s="7"/>
      <c r="AG452" s="7"/>
      <c r="AH452" s="7"/>
      <c r="AI452" s="7"/>
      <c r="AJ452" s="7"/>
      <c r="AK452" s="7"/>
      <c r="AL452" s="7"/>
      <c r="AM452" s="7"/>
      <c r="AN452" s="7"/>
      <c r="AO452" s="6"/>
      <c r="AP452" s="7"/>
      <c r="AQ452" s="7"/>
      <c r="AR452" s="6"/>
      <c r="AS452" s="6"/>
      <c r="AT452" s="6"/>
      <c r="AU452" s="6"/>
      <c r="AV452" s="6"/>
      <c r="AW452" s="6"/>
      <c r="AX452" s="6"/>
      <c r="AY452" s="6"/>
      <c r="AZ452" s="6"/>
      <c r="BA452" s="6"/>
      <c r="BB452" s="6"/>
      <c r="BC452" s="6"/>
      <c r="BD452" s="6"/>
      <c r="BE452" s="6"/>
      <c r="BF452" s="6"/>
      <c r="BG452" s="6"/>
    </row>
    <row r="453" customHeight="1" spans="1:59">
      <c r="A453" s="9" t="str">
        <f>IFERROR(__xludf.DUMMYFUNCTION("""COMPUTED_VALUE"""),"Hurston")</f>
        <v>Hurston</v>
      </c>
      <c r="B453" s="5" t="str">
        <f>IFERROR(__xludf.DUMMYFUNCTION("""COMPUTED_VALUE"""),"Hurston 103")</f>
        <v>Hurston 103</v>
      </c>
      <c r="C453" s="5"/>
      <c r="D453" s="5" t="str">
        <f>IFERROR(__xludf.DUMMYFUNCTION("""COMPUTED_VALUE"""),"Wrecks")</f>
        <v>Wrecks</v>
      </c>
      <c r="E453" s="7"/>
      <c r="F453" s="8"/>
      <c r="G453" s="8"/>
      <c r="H453" s="8"/>
      <c r="I453" s="14"/>
      <c r="J453" s="14"/>
      <c r="K453" s="14"/>
      <c r="L453" s="14"/>
      <c r="M453" s="7"/>
      <c r="N453" s="10"/>
      <c r="O453" s="10"/>
      <c r="P453" s="8"/>
      <c r="Q453" s="7"/>
      <c r="R453" s="16"/>
      <c r="S453" s="17"/>
      <c r="T453" s="8"/>
      <c r="U453" s="8"/>
      <c r="V453" s="22"/>
      <c r="W453" s="12"/>
      <c r="X453" s="12"/>
      <c r="Y453" s="12"/>
      <c r="Z453" s="12"/>
      <c r="AA453" s="6"/>
      <c r="AB453" s="12"/>
      <c r="AC453" s="6"/>
      <c r="AD453" s="6"/>
      <c r="AE453" s="7"/>
      <c r="AF453" s="7"/>
      <c r="AG453" s="7"/>
      <c r="AH453" s="7"/>
      <c r="AI453" s="7"/>
      <c r="AJ453" s="7"/>
      <c r="AK453" s="7"/>
      <c r="AL453" s="7"/>
      <c r="AM453" s="7"/>
      <c r="AN453" s="7"/>
      <c r="AO453" s="6"/>
      <c r="AP453" s="7"/>
      <c r="AQ453" s="7"/>
      <c r="AR453" s="6"/>
      <c r="AS453" s="6"/>
      <c r="AT453" s="6"/>
      <c r="AU453" s="6"/>
      <c r="AV453" s="6"/>
      <c r="AW453" s="6"/>
      <c r="AX453" s="6"/>
      <c r="AY453" s="6"/>
      <c r="AZ453" s="6"/>
      <c r="BA453" s="6"/>
      <c r="BB453" s="6"/>
      <c r="BC453" s="6"/>
      <c r="BD453" s="6"/>
      <c r="BE453" s="6"/>
      <c r="BF453" s="6"/>
      <c r="BG453" s="6"/>
    </row>
    <row r="454" customHeight="1" spans="1:59">
      <c r="A454" s="9" t="str">
        <f>IFERROR(__xludf.DUMMYFUNCTION("""COMPUTED_VALUE"""),"Hurston 95")</f>
        <v>Hurston 95</v>
      </c>
      <c r="B454" s="5" t="str">
        <f>IFERROR(__xludf.DUMMYFUNCTION("""COMPUTED_VALUE"""),"Hurston 106")</f>
        <v>Hurston 106</v>
      </c>
      <c r="C454" s="5" t="str">
        <f>IFERROR(__xludf.DUMMYFUNCTION("""COMPUTED_VALUE"""),"Hurston 89")</f>
        <v>Hurston 89</v>
      </c>
      <c r="D454" s="5" t="str">
        <f>IFERROR(__xludf.DUMMYFUNCTION("""COMPUTED_VALUE"""),"Caterpillar Wreck 15P")</f>
        <v>Caterpillar Wreck 15P</v>
      </c>
      <c r="E454" s="7" t="str">
        <f>IFERROR(__xludf.DUMMYFUNCTION("""COMPUTED_VALUE"""),"Caterpillar 15P")</f>
        <v>Caterpillar 15P</v>
      </c>
      <c r="F454" s="8">
        <f>IFERROR(__xludf.DUMMYFUNCTION("""COMPUTED_VALUE"""),-44.66930563068)</f>
        <v>-44.66930563068</v>
      </c>
      <c r="G454" s="8">
        <f>IFERROR(__xludf.DUMMYFUNCTION("""COMPUTED_VALUE"""),-971.5736455145)</f>
        <v>-971.5736455145</v>
      </c>
      <c r="H454" s="8">
        <f>IFERROR(__xludf.DUMMYFUNCTION("""COMPUTED_VALUE"""),232.540911160035)</f>
        <v>232.540911160035</v>
      </c>
      <c r="I454" s="14"/>
      <c r="J454" s="14"/>
      <c r="K454" s="14"/>
      <c r="L454" s="14"/>
      <c r="M454" s="7" t="b">
        <f>IFERROR(__xludf.DUMMYFUNCTION("""COMPUTED_VALUE"""),FALSE)</f>
        <v>0</v>
      </c>
      <c r="N454" s="10">
        <f>IFERROR(__xludf.DUMMYFUNCTION("""COMPUTED_VALUE"""),0)</f>
        <v>0</v>
      </c>
      <c r="O454" s="10">
        <f>IFERROR(__xludf.DUMMYFUNCTION("""COMPUTED_VALUE"""),0)</f>
        <v>0</v>
      </c>
      <c r="P454" s="8"/>
      <c r="Q454" s="7"/>
      <c r="R454" s="16"/>
      <c r="S454" s="17"/>
      <c r="T454" s="8"/>
      <c r="U454" s="8"/>
      <c r="V454" s="22"/>
      <c r="W454" s="12"/>
      <c r="X454" s="12"/>
      <c r="Y454" s="12"/>
      <c r="Z454" s="12"/>
      <c r="AA454" s="6"/>
      <c r="AB454" s="12"/>
      <c r="AC454" s="6"/>
      <c r="AD454" s="6"/>
      <c r="AE454" s="7"/>
      <c r="AF454" s="7"/>
      <c r="AG454" s="7"/>
      <c r="AH454" s="7"/>
      <c r="AI454" s="7"/>
      <c r="AJ454" s="7"/>
      <c r="AK454" s="7"/>
      <c r="AL454" s="7"/>
      <c r="AM454" s="7"/>
      <c r="AN454" s="7"/>
      <c r="AO454" s="6"/>
      <c r="AP454" s="7"/>
      <c r="AQ454" s="7"/>
      <c r="AR454" s="6"/>
      <c r="AS454" s="6"/>
      <c r="AT454" s="6"/>
      <c r="AU454" s="6"/>
      <c r="AV454" s="6"/>
      <c r="AW454" s="6"/>
      <c r="AX454" s="6"/>
      <c r="AY454" s="6"/>
      <c r="AZ454" s="6"/>
      <c r="BA454" s="6"/>
      <c r="BB454" s="6"/>
      <c r="BC454" s="6"/>
      <c r="BD454" s="6"/>
      <c r="BE454" s="6"/>
      <c r="BF454" s="6"/>
      <c r="BG454" s="6"/>
    </row>
    <row r="455" customHeight="1" spans="1:59">
      <c r="A455" s="9" t="str">
        <f>IFERROR(__xludf.DUMMYFUNCTION("""COMPUTED_VALUE"""),"Hurston 94")</f>
        <v>Hurston 94</v>
      </c>
      <c r="B455" s="5" t="str">
        <f>IFERROR(__xludf.DUMMYFUNCTION("""COMPUTED_VALUE"""),"Hurston 105")</f>
        <v>Hurston 105</v>
      </c>
      <c r="C455" s="5" t="str">
        <f>IFERROR(__xludf.DUMMYFUNCTION("""COMPUTED_VALUE"""),"Hurston 109")</f>
        <v>Hurston 109</v>
      </c>
      <c r="D455" s="5" t="str">
        <f>IFERROR(__xludf.DUMMYFUNCTION("""COMPUTED_VALUE"""),"Caterpillar Wreck 08L")</f>
        <v>Caterpillar Wreck 08L</v>
      </c>
      <c r="E455" s="7" t="str">
        <f>IFERROR(__xludf.DUMMYFUNCTION("""COMPUTED_VALUE"""),"Caterpillar 08L")</f>
        <v>Caterpillar 08L</v>
      </c>
      <c r="F455" s="8">
        <f>IFERROR(__xludf.DUMMYFUNCTION("""COMPUTED_VALUE"""),-653.836064629597)</f>
        <v>-653.836064629597</v>
      </c>
      <c r="G455" s="8">
        <f>IFERROR(__xludf.DUMMYFUNCTION("""COMPUTED_VALUE"""),-717.664502337491)</f>
        <v>-717.664502337491</v>
      </c>
      <c r="H455" s="8">
        <f>IFERROR(__xludf.DUMMYFUNCTION("""COMPUTED_VALUE"""),-245.715641425315)</f>
        <v>-245.715641425315</v>
      </c>
      <c r="I455" s="14"/>
      <c r="J455" s="14"/>
      <c r="K455" s="14"/>
      <c r="L455" s="14"/>
      <c r="M455" s="7" t="b">
        <f>IFERROR(__xludf.DUMMYFUNCTION("""COMPUTED_VALUE"""),FALSE)</f>
        <v>0</v>
      </c>
      <c r="N455" s="10">
        <f>IFERROR(__xludf.DUMMYFUNCTION("""COMPUTED_VALUE"""),0)</f>
        <v>0</v>
      </c>
      <c r="O455" s="10">
        <f>IFERROR(__xludf.DUMMYFUNCTION("""COMPUTED_VALUE"""),0)</f>
        <v>0</v>
      </c>
      <c r="P455" s="8"/>
      <c r="Q455" s="7"/>
      <c r="R455" s="16"/>
      <c r="S455" s="17"/>
      <c r="T455" s="8"/>
      <c r="U455" s="8"/>
      <c r="V455" s="22"/>
      <c r="W455" s="12"/>
      <c r="X455" s="12"/>
      <c r="Y455" s="12"/>
      <c r="Z455" s="12"/>
      <c r="AA455" s="6"/>
      <c r="AB455" s="12"/>
      <c r="AC455" s="6"/>
      <c r="AD455" s="6"/>
      <c r="AE455" s="7"/>
      <c r="AF455" s="7"/>
      <c r="AG455" s="7"/>
      <c r="AH455" s="7"/>
      <c r="AI455" s="7"/>
      <c r="AJ455" s="7"/>
      <c r="AK455" s="7"/>
      <c r="AL455" s="7"/>
      <c r="AM455" s="7"/>
      <c r="AN455" s="7"/>
      <c r="AO455" s="6"/>
      <c r="AP455" s="7"/>
      <c r="AQ455" s="7"/>
      <c r="AR455" s="6"/>
      <c r="AS455" s="6"/>
      <c r="AT455" s="6"/>
      <c r="AU455" s="6"/>
      <c r="AV455" s="6"/>
      <c r="AW455" s="6"/>
      <c r="AX455" s="6"/>
      <c r="AY455" s="6"/>
      <c r="AZ455" s="6"/>
      <c r="BA455" s="6"/>
      <c r="BB455" s="6"/>
      <c r="BC455" s="6"/>
      <c r="BD455" s="6"/>
      <c r="BE455" s="6"/>
      <c r="BF455" s="6"/>
      <c r="BG455" s="6"/>
    </row>
    <row r="456" customHeight="1" spans="1:59">
      <c r="A456" s="9" t="str">
        <f>IFERROR(__xludf.DUMMYFUNCTION("""COMPUTED_VALUE"""),"Hurston 96")</f>
        <v>Hurston 96</v>
      </c>
      <c r="B456" s="5" t="str">
        <f>IFERROR(__xludf.DUMMYFUNCTION("""COMPUTED_VALUE"""),"Hurston 107")</f>
        <v>Hurston 107</v>
      </c>
      <c r="C456" s="5" t="str">
        <f>IFERROR(__xludf.DUMMYFUNCTION("""COMPUTED_VALUE"""),"Hurston 51")</f>
        <v>Hurston 51</v>
      </c>
      <c r="D456" s="5" t="str">
        <f>IFERROR(__xludf.DUMMYFUNCTION("""COMPUTED_VALUE"""),"Caterpillar Wreck 38K")</f>
        <v>Caterpillar Wreck 38K</v>
      </c>
      <c r="E456" s="7" t="str">
        <f>IFERROR(__xludf.DUMMYFUNCTION("""COMPUTED_VALUE"""),"Caterpillar 38K")</f>
        <v>Caterpillar 38K</v>
      </c>
      <c r="F456" s="8">
        <f>IFERROR(__xludf.DUMMYFUNCTION("""COMPUTED_VALUE"""),646.06156703725)</f>
        <v>646.06156703725</v>
      </c>
      <c r="G456" s="8">
        <f>IFERROR(__xludf.DUMMYFUNCTION("""COMPUTED_VALUE"""),649.616754562218)</f>
        <v>649.616754562218</v>
      </c>
      <c r="H456" s="8">
        <f>IFERROR(__xludf.DUMMYFUNCTION("""COMPUTED_VALUE"""),-404.153627838346)</f>
        <v>-404.153627838346</v>
      </c>
      <c r="I456" s="14"/>
      <c r="J456" s="14"/>
      <c r="K456" s="14"/>
      <c r="L456" s="14"/>
      <c r="M456" s="7" t="b">
        <f>IFERROR(__xludf.DUMMYFUNCTION("""COMPUTED_VALUE"""),FALSE)</f>
        <v>0</v>
      </c>
      <c r="N456" s="10">
        <f>IFERROR(__xludf.DUMMYFUNCTION("""COMPUTED_VALUE"""),0)</f>
        <v>0</v>
      </c>
      <c r="O456" s="10">
        <f>IFERROR(__xludf.DUMMYFUNCTION("""COMPUTED_VALUE"""),0)</f>
        <v>0</v>
      </c>
      <c r="P456" s="8"/>
      <c r="Q456" s="7"/>
      <c r="R456" s="16"/>
      <c r="S456" s="17"/>
      <c r="T456" s="8"/>
      <c r="U456" s="8"/>
      <c r="V456" s="22"/>
      <c r="W456" s="12"/>
      <c r="X456" s="12"/>
      <c r="Y456" s="12"/>
      <c r="Z456" s="12"/>
      <c r="AA456" s="6"/>
      <c r="AB456" s="12"/>
      <c r="AC456" s="6"/>
      <c r="AD456" s="6"/>
      <c r="AE456" s="7"/>
      <c r="AF456" s="7"/>
      <c r="AG456" s="7"/>
      <c r="AH456" s="7"/>
      <c r="AI456" s="7"/>
      <c r="AJ456" s="7"/>
      <c r="AK456" s="7"/>
      <c r="AL456" s="7"/>
      <c r="AM456" s="7"/>
      <c r="AN456" s="7"/>
      <c r="AO456" s="6"/>
      <c r="AP456" s="7"/>
      <c r="AQ456" s="7"/>
      <c r="AR456" s="6"/>
      <c r="AS456" s="6"/>
      <c r="AT456" s="6"/>
      <c r="AU456" s="6"/>
      <c r="AV456" s="6"/>
      <c r="AW456" s="6"/>
      <c r="AX456" s="6"/>
      <c r="AY456" s="6"/>
      <c r="AZ456" s="6"/>
      <c r="BA456" s="6"/>
      <c r="BB456" s="6"/>
      <c r="BC456" s="6"/>
      <c r="BD456" s="6"/>
      <c r="BE456" s="6"/>
      <c r="BF456" s="6"/>
      <c r="BG456" s="6"/>
    </row>
    <row r="457" customHeight="1" spans="1:59">
      <c r="A457" s="9" t="str">
        <f>IFERROR(__xludf.DUMMYFUNCTION("""COMPUTED_VALUE"""),"Hurston 93")</f>
        <v>Hurston 93</v>
      </c>
      <c r="B457" s="5" t="str">
        <f>IFERROR(__xludf.DUMMYFUNCTION("""COMPUTED_VALUE"""),"Hurston 104")</f>
        <v>Hurston 104</v>
      </c>
      <c r="C457" s="5" t="str">
        <f>IFERROR(__xludf.DUMMYFUNCTION("""COMPUTED_VALUE"""),"Hurston 127")</f>
        <v>Hurston 127</v>
      </c>
      <c r="D457" s="5" t="str">
        <f>IFERROR(__xludf.DUMMYFUNCTION("""COMPUTED_VALUE"""),"Caterpillar Wreck 04J")</f>
        <v>Caterpillar Wreck 04J</v>
      </c>
      <c r="E457" s="7" t="str">
        <f>IFERROR(__xludf.DUMMYFUNCTION("""COMPUTED_VALUE"""),"Caterpillar 04J")</f>
        <v>Caterpillar 04J</v>
      </c>
      <c r="F457" s="8">
        <f>IFERROR(__xludf.DUMMYFUNCTION("""COMPUTED_VALUE"""),-815.733205656471)</f>
        <v>-815.733205656471</v>
      </c>
      <c r="G457" s="8">
        <f>IFERROR(__xludf.DUMMYFUNCTION("""COMPUTED_VALUE"""),-287.103725140313)</f>
        <v>-287.103725140313</v>
      </c>
      <c r="H457" s="8">
        <f>IFERROR(__xludf.DUMMYFUNCTION("""COMPUTED_VALUE"""),-503.888823715484)</f>
        <v>-503.888823715484</v>
      </c>
      <c r="I457" s="14"/>
      <c r="J457" s="14"/>
      <c r="K457" s="14"/>
      <c r="L457" s="14"/>
      <c r="M457" s="7" t="b">
        <f>IFERROR(__xludf.DUMMYFUNCTION("""COMPUTED_VALUE"""),FALSE)</f>
        <v>0</v>
      </c>
      <c r="N457" s="10">
        <f>IFERROR(__xludf.DUMMYFUNCTION("""COMPUTED_VALUE"""),0)</f>
        <v>0</v>
      </c>
      <c r="O457" s="10">
        <f>IFERROR(__xludf.DUMMYFUNCTION("""COMPUTED_VALUE"""),0)</f>
        <v>0</v>
      </c>
      <c r="P457" s="8"/>
      <c r="Q457" s="7"/>
      <c r="R457" s="16"/>
      <c r="S457" s="17"/>
      <c r="T457" s="8"/>
      <c r="U457" s="8"/>
      <c r="V457" s="22"/>
      <c r="W457" s="12"/>
      <c r="X457" s="12"/>
      <c r="Y457" s="12"/>
      <c r="Z457" s="12"/>
      <c r="AA457" s="6"/>
      <c r="AB457" s="12"/>
      <c r="AC457" s="6"/>
      <c r="AD457" s="6"/>
      <c r="AE457" s="7"/>
      <c r="AF457" s="7"/>
      <c r="AG457" s="7"/>
      <c r="AH457" s="7"/>
      <c r="AI457" s="7"/>
      <c r="AJ457" s="7"/>
      <c r="AK457" s="7"/>
      <c r="AL457" s="7"/>
      <c r="AM457" s="7"/>
      <c r="AN457" s="7"/>
      <c r="AO457" s="6"/>
      <c r="AP457" s="7"/>
      <c r="AQ457" s="7"/>
      <c r="AR457" s="6"/>
      <c r="AS457" s="6"/>
      <c r="AT457" s="6"/>
      <c r="AU457" s="6"/>
      <c r="AV457" s="6"/>
      <c r="AW457" s="6"/>
      <c r="AX457" s="6"/>
      <c r="AY457" s="6"/>
      <c r="AZ457" s="6"/>
      <c r="BA457" s="6"/>
      <c r="BB457" s="6"/>
      <c r="BC457" s="6"/>
      <c r="BD457" s="6"/>
      <c r="BE457" s="6"/>
      <c r="BF457" s="6"/>
      <c r="BG457" s="6"/>
    </row>
    <row r="458" customHeight="1" spans="1:59">
      <c r="A458" s="9" t="str">
        <f>IFERROR(__xludf.DUMMYFUNCTION("""COMPUTED_VALUE"""),"Hurston 100")</f>
        <v>Hurston 100</v>
      </c>
      <c r="B458" s="5" t="str">
        <f>IFERROR(__xludf.DUMMYFUNCTION("""COMPUTED_VALUE"""),"Hurston 111")</f>
        <v>Hurston 111</v>
      </c>
      <c r="C458" s="5" t="str">
        <f>IFERROR(__xludf.DUMMYFUNCTION("""COMPUTED_VALUE"""),"Hurston 08")</f>
        <v>Hurston 08</v>
      </c>
      <c r="D458" s="5" t="str">
        <f>IFERROR(__xludf.DUMMYFUNCTION("""COMPUTED_VALUE"""),"Constellation Wreck 57T")</f>
        <v>Constellation Wreck 57T</v>
      </c>
      <c r="E458" s="7" t="str">
        <f>IFERROR(__xludf.DUMMYFUNCTION("""COMPUTED_VALUE"""),"Constellation 57T")</f>
        <v>Constellation 57T</v>
      </c>
      <c r="F458" s="8">
        <f>IFERROR(__xludf.DUMMYFUNCTION("""COMPUTED_VALUE"""),-699.893436651905)</f>
        <v>-699.893436651905</v>
      </c>
      <c r="G458" s="8">
        <f>IFERROR(__xludf.DUMMYFUNCTION("""COMPUTED_VALUE"""),264.863687179051)</f>
        <v>264.863687179051</v>
      </c>
      <c r="H458" s="8">
        <f>IFERROR(__xludf.DUMMYFUNCTION("""COMPUTED_VALUE"""),663.971311695433)</f>
        <v>663.971311695433</v>
      </c>
      <c r="I458" s="14"/>
      <c r="J458" s="14"/>
      <c r="K458" s="14"/>
      <c r="L458" s="14"/>
      <c r="M458" s="7" t="b">
        <f>IFERROR(__xludf.DUMMYFUNCTION("""COMPUTED_VALUE"""),FALSE)</f>
        <v>0</v>
      </c>
      <c r="N458" s="10">
        <f>IFERROR(__xludf.DUMMYFUNCTION("""COMPUTED_VALUE"""),0)</f>
        <v>0</v>
      </c>
      <c r="O458" s="10">
        <f>IFERROR(__xludf.DUMMYFUNCTION("""COMPUTED_VALUE"""),0)</f>
        <v>0</v>
      </c>
      <c r="P458" s="8"/>
      <c r="Q458" s="7"/>
      <c r="R458" s="16"/>
      <c r="S458" s="17"/>
      <c r="T458" s="8"/>
      <c r="U458" s="8"/>
      <c r="V458" s="22"/>
      <c r="W458" s="12"/>
      <c r="X458" s="12"/>
      <c r="Y458" s="12"/>
      <c r="Z458" s="12"/>
      <c r="AA458" s="6"/>
      <c r="AB458" s="12"/>
      <c r="AC458" s="6"/>
      <c r="AD458" s="6"/>
      <c r="AE458" s="7"/>
      <c r="AF458" s="7"/>
      <c r="AG458" s="7"/>
      <c r="AH458" s="7"/>
      <c r="AI458" s="7"/>
      <c r="AJ458" s="7"/>
      <c r="AK458" s="7"/>
      <c r="AL458" s="7"/>
      <c r="AM458" s="7"/>
      <c r="AN458" s="7"/>
      <c r="AO458" s="6"/>
      <c r="AP458" s="7"/>
      <c r="AQ458" s="7"/>
      <c r="AR458" s="6"/>
      <c r="AS458" s="6"/>
      <c r="AT458" s="6"/>
      <c r="AU458" s="6"/>
      <c r="AV458" s="6"/>
      <c r="AW458" s="6"/>
      <c r="AX458" s="6"/>
      <c r="AY458" s="6"/>
      <c r="AZ458" s="6"/>
      <c r="BA458" s="6"/>
      <c r="BB458" s="6"/>
      <c r="BC458" s="6"/>
      <c r="BD458" s="6"/>
      <c r="BE458" s="6"/>
      <c r="BF458" s="6"/>
      <c r="BG458" s="6"/>
    </row>
    <row r="459" customHeight="1" spans="1:59">
      <c r="A459" s="9" t="str">
        <f>IFERROR(__xludf.DUMMYFUNCTION("""COMPUTED_VALUE"""),"Hurston 98")</f>
        <v>Hurston 98</v>
      </c>
      <c r="B459" s="5" t="str">
        <f>IFERROR(__xludf.DUMMYFUNCTION("""COMPUTED_VALUE"""),"Hurston 109")</f>
        <v>Hurston 109</v>
      </c>
      <c r="C459" s="5" t="str">
        <f>IFERROR(__xludf.DUMMYFUNCTION("""COMPUTED_VALUE"""),"Hurston 78")</f>
        <v>Hurston 78</v>
      </c>
      <c r="D459" s="5" t="str">
        <f>IFERROR(__xludf.DUMMYFUNCTION("""COMPUTED_VALUE"""),"Constellation Wreck 19K")</f>
        <v>Constellation Wreck 19K</v>
      </c>
      <c r="E459" s="7" t="str">
        <f>IFERROR(__xludf.DUMMYFUNCTION("""COMPUTED_VALUE"""),"Constellation 19K")</f>
        <v>Constellation 19K</v>
      </c>
      <c r="F459" s="8">
        <f>IFERROR(__xludf.DUMMYFUNCTION("""COMPUTED_VALUE"""),359.032124048129)</f>
        <v>359.032124048129</v>
      </c>
      <c r="G459" s="8">
        <f>IFERROR(__xludf.DUMMYFUNCTION("""COMPUTED_VALUE"""),-881.816060162119)</f>
        <v>-881.816060162119</v>
      </c>
      <c r="H459" s="8">
        <f>IFERROR(__xludf.DUMMYFUNCTION("""COMPUTED_VALUE"""),-308.451999182228)</f>
        <v>-308.451999182228</v>
      </c>
      <c r="I459" s="14"/>
      <c r="J459" s="14"/>
      <c r="K459" s="14"/>
      <c r="L459" s="14"/>
      <c r="M459" s="7" t="b">
        <f>IFERROR(__xludf.DUMMYFUNCTION("""COMPUTED_VALUE"""),FALSE)</f>
        <v>0</v>
      </c>
      <c r="N459" s="10">
        <f>IFERROR(__xludf.DUMMYFUNCTION("""COMPUTED_VALUE"""),0)</f>
        <v>0</v>
      </c>
      <c r="O459" s="10">
        <f>IFERROR(__xludf.DUMMYFUNCTION("""COMPUTED_VALUE"""),0)</f>
        <v>0</v>
      </c>
      <c r="P459" s="8"/>
      <c r="Q459" s="7"/>
      <c r="R459" s="16"/>
      <c r="S459" s="17"/>
      <c r="T459" s="8"/>
      <c r="U459" s="8"/>
      <c r="V459" s="22"/>
      <c r="W459" s="12"/>
      <c r="X459" s="12"/>
      <c r="Y459" s="12"/>
      <c r="Z459" s="12"/>
      <c r="AA459" s="7"/>
      <c r="AB459" s="12"/>
      <c r="AC459" s="6"/>
      <c r="AD459" s="6"/>
      <c r="AE459" s="7"/>
      <c r="AF459" s="7"/>
      <c r="AG459" s="7"/>
      <c r="AH459" s="7"/>
      <c r="AI459" s="7"/>
      <c r="AJ459" s="7"/>
      <c r="AK459" s="7"/>
      <c r="AL459" s="7"/>
      <c r="AM459" s="7"/>
      <c r="AN459" s="7"/>
      <c r="AO459" s="6"/>
      <c r="AP459" s="7"/>
      <c r="AQ459" s="7"/>
      <c r="AR459" s="6"/>
      <c r="AS459" s="7"/>
      <c r="AT459" s="7"/>
      <c r="AU459" s="7"/>
      <c r="AV459" s="7"/>
      <c r="AW459" s="7"/>
      <c r="AX459" s="7"/>
      <c r="AY459" s="7"/>
      <c r="AZ459" s="7"/>
      <c r="BA459" s="7"/>
      <c r="BB459" s="7"/>
      <c r="BC459" s="7"/>
      <c r="BD459" s="7"/>
      <c r="BE459" s="7"/>
      <c r="BF459" s="7"/>
      <c r="BG459" s="7"/>
    </row>
    <row r="460" customHeight="1" spans="1:59">
      <c r="A460" s="9" t="str">
        <f>IFERROR(__xludf.DUMMYFUNCTION("""COMPUTED_VALUE"""),"Hurston 97")</f>
        <v>Hurston 97</v>
      </c>
      <c r="B460" s="5" t="str">
        <f>IFERROR(__xludf.DUMMYFUNCTION("""COMPUTED_VALUE"""),"Hurston 108")</f>
        <v>Hurston 108</v>
      </c>
      <c r="C460" s="5" t="str">
        <f>IFERROR(__xludf.DUMMYFUNCTION("""COMPUTED_VALUE"""),"Hurston 91")</f>
        <v>Hurston 91</v>
      </c>
      <c r="D460" s="5" t="str">
        <f>IFERROR(__xludf.DUMMYFUNCTION("""COMPUTED_VALUE"""),"Constellation Wreck 14J")</f>
        <v>Constellation Wreck 14J</v>
      </c>
      <c r="E460" s="7" t="str">
        <f>IFERROR(__xludf.DUMMYFUNCTION("""COMPUTED_VALUE"""),"Constellation 14J")</f>
        <v>Constellation 14J</v>
      </c>
      <c r="F460" s="8">
        <f>IFERROR(__xludf.DUMMYFUNCTION("""COMPUTED_VALUE"""),-131.882323481838)</f>
        <v>-131.882323481838</v>
      </c>
      <c r="G460" s="8">
        <f>IFERROR(__xludf.DUMMYFUNCTION("""COMPUTED_VALUE"""),-882.095406444197)</f>
        <v>-882.095406444197</v>
      </c>
      <c r="H460" s="8">
        <f>IFERROR(__xludf.DUMMYFUNCTION("""COMPUTED_VALUE"""),-452.240015328052)</f>
        <v>-452.240015328052</v>
      </c>
      <c r="I460" s="14"/>
      <c r="J460" s="14"/>
      <c r="K460" s="14"/>
      <c r="L460" s="14"/>
      <c r="M460" s="7" t="b">
        <f>IFERROR(__xludf.DUMMYFUNCTION("""COMPUTED_VALUE"""),FALSE)</f>
        <v>0</v>
      </c>
      <c r="N460" s="10">
        <f>IFERROR(__xludf.DUMMYFUNCTION("""COMPUTED_VALUE"""),0)</f>
        <v>0</v>
      </c>
      <c r="O460" s="10">
        <f>IFERROR(__xludf.DUMMYFUNCTION("""COMPUTED_VALUE"""),0)</f>
        <v>0</v>
      </c>
      <c r="P460" s="8"/>
      <c r="Q460" s="7"/>
      <c r="R460" s="16"/>
      <c r="S460" s="17"/>
      <c r="T460" s="8"/>
      <c r="U460" s="8"/>
      <c r="V460" s="22"/>
      <c r="W460" s="12"/>
      <c r="X460" s="12"/>
      <c r="Y460" s="12"/>
      <c r="Z460" s="12"/>
      <c r="AA460" s="7"/>
      <c r="AB460" s="12"/>
      <c r="AC460" s="6"/>
      <c r="AD460" s="6"/>
      <c r="AE460" s="7"/>
      <c r="AF460" s="7"/>
      <c r="AG460" s="7"/>
      <c r="AH460" s="7"/>
      <c r="AI460" s="7"/>
      <c r="AJ460" s="7"/>
      <c r="AK460" s="7"/>
      <c r="AL460" s="7"/>
      <c r="AM460" s="7"/>
      <c r="AN460" s="7"/>
      <c r="AO460" s="6"/>
      <c r="AP460" s="7"/>
      <c r="AQ460" s="7"/>
      <c r="AR460" s="6"/>
      <c r="AS460" s="7"/>
      <c r="AT460" s="7"/>
      <c r="AU460" s="7"/>
      <c r="AV460" s="7"/>
      <c r="AW460" s="7"/>
      <c r="AX460" s="7"/>
      <c r="AY460" s="7"/>
      <c r="AZ460" s="7"/>
      <c r="BA460" s="7"/>
      <c r="BB460" s="7"/>
      <c r="BC460" s="7"/>
      <c r="BD460" s="7"/>
      <c r="BE460" s="7"/>
      <c r="BF460" s="7"/>
      <c r="BG460" s="7"/>
    </row>
    <row r="461" customHeight="1" spans="1:59">
      <c r="A461" s="9" t="str">
        <f>IFERROR(__xludf.DUMMYFUNCTION("""COMPUTED_VALUE"""),"Hurston 99")</f>
        <v>Hurston 99</v>
      </c>
      <c r="B461" s="5" t="str">
        <f>IFERROR(__xludf.DUMMYFUNCTION("""COMPUTED_VALUE"""),"Hurston 110")</f>
        <v>Hurston 110</v>
      </c>
      <c r="C461" s="5" t="str">
        <f>IFERROR(__xludf.DUMMYFUNCTION("""COMPUTED_VALUE"""),"Hurston 38")</f>
        <v>Hurston 38</v>
      </c>
      <c r="D461" s="5" t="str">
        <f>IFERROR(__xludf.DUMMYFUNCTION("""COMPUTED_VALUE"""),"Constellation Wreck 46J")</f>
        <v>Constellation Wreck 46J</v>
      </c>
      <c r="E461" s="7" t="str">
        <f>IFERROR(__xludf.DUMMYFUNCTION("""COMPUTED_VALUE"""),"Constellation 46J")</f>
        <v>Constellation 46J</v>
      </c>
      <c r="F461" s="8">
        <f>IFERROR(__xludf.DUMMYFUNCTION("""COMPUTED_VALUE"""),-63.743360739971)</f>
        <v>-63.743360739971</v>
      </c>
      <c r="G461" s="8">
        <f>IFERROR(__xludf.DUMMYFUNCTION("""COMPUTED_VALUE"""),873.126143696719)</f>
        <v>873.126143696719</v>
      </c>
      <c r="H461" s="8">
        <f>IFERROR(__xludf.DUMMYFUNCTION("""COMPUTED_VALUE"""),-486.42035416598)</f>
        <v>-486.42035416598</v>
      </c>
      <c r="I461" s="14"/>
      <c r="J461" s="14"/>
      <c r="K461" s="14"/>
      <c r="L461" s="14"/>
      <c r="M461" s="7" t="b">
        <f>IFERROR(__xludf.DUMMYFUNCTION("""COMPUTED_VALUE"""),FALSE)</f>
        <v>0</v>
      </c>
      <c r="N461" s="10">
        <f>IFERROR(__xludf.DUMMYFUNCTION("""COMPUTED_VALUE"""),0)</f>
        <v>0</v>
      </c>
      <c r="O461" s="10">
        <f>IFERROR(__xludf.DUMMYFUNCTION("""COMPUTED_VALUE"""),0)</f>
        <v>0</v>
      </c>
      <c r="P461" s="8"/>
      <c r="Q461" s="7"/>
      <c r="R461" s="16"/>
      <c r="S461" s="17"/>
      <c r="T461" s="8"/>
      <c r="U461" s="8"/>
      <c r="V461" s="22"/>
      <c r="W461" s="12"/>
      <c r="X461" s="12"/>
      <c r="Y461" s="12"/>
      <c r="Z461" s="12"/>
      <c r="AA461" s="7"/>
      <c r="AB461" s="12"/>
      <c r="AC461" s="6"/>
      <c r="AD461" s="6"/>
      <c r="AE461" s="7"/>
      <c r="AF461" s="7"/>
      <c r="AG461" s="7"/>
      <c r="AH461" s="7"/>
      <c r="AI461" s="7"/>
      <c r="AJ461" s="7"/>
      <c r="AK461" s="7"/>
      <c r="AL461" s="7"/>
      <c r="AM461" s="7"/>
      <c r="AN461" s="7"/>
      <c r="AO461" s="6"/>
      <c r="AP461" s="7"/>
      <c r="AQ461" s="7"/>
      <c r="AR461" s="6"/>
      <c r="AS461" s="7"/>
      <c r="AT461" s="7"/>
      <c r="AU461" s="7"/>
      <c r="AV461" s="7"/>
      <c r="AW461" s="7"/>
      <c r="AX461" s="7"/>
      <c r="AY461" s="7"/>
      <c r="AZ461" s="7"/>
      <c r="BA461" s="7"/>
      <c r="BB461" s="7"/>
      <c r="BC461" s="7"/>
      <c r="BD461" s="7"/>
      <c r="BE461" s="7"/>
      <c r="BF461" s="7"/>
      <c r="BG461" s="7"/>
    </row>
    <row r="462" customHeight="1" spans="1:59">
      <c r="A462" s="9" t="str">
        <f>IFERROR(__xludf.DUMMYFUNCTION("""COMPUTED_VALUE"""),"Hurston 102")</f>
        <v>Hurston 102</v>
      </c>
      <c r="B462" s="5" t="str">
        <f>IFERROR(__xludf.DUMMYFUNCTION("""COMPUTED_VALUE"""),"Hurston 113")</f>
        <v>Hurston 113</v>
      </c>
      <c r="C462" s="5" t="str">
        <f>IFERROR(__xludf.DUMMYFUNCTION("""COMPUTED_VALUE"""),"Hurston 126")</f>
        <v>Hurston 126</v>
      </c>
      <c r="D462" s="5" t="str">
        <f>IFERROR(__xludf.DUMMYFUNCTION("""COMPUTED_VALUE"""),"Cutlass Wreck 04T")</f>
        <v>Cutlass Wreck 04T</v>
      </c>
      <c r="E462" s="7" t="str">
        <f>IFERROR(__xludf.DUMMYFUNCTION("""COMPUTED_VALUE"""),"Cutlass 04T")</f>
        <v>Cutlass 04T</v>
      </c>
      <c r="F462" s="8">
        <f>IFERROR(__xludf.DUMMYFUNCTION("""COMPUTED_VALUE"""),-667.749930954357)</f>
        <v>-667.749930954357</v>
      </c>
      <c r="G462" s="8">
        <f>IFERROR(__xludf.DUMMYFUNCTION("""COMPUTED_VALUE"""),-271.843434835245)</f>
        <v>-271.843434835245</v>
      </c>
      <c r="H462" s="8">
        <f>IFERROR(__xludf.DUMMYFUNCTION("""COMPUTED_VALUE"""),694.431805692807)</f>
        <v>694.431805692807</v>
      </c>
      <c r="I462" s="14"/>
      <c r="J462" s="14"/>
      <c r="K462" s="14"/>
      <c r="L462" s="14"/>
      <c r="M462" s="7" t="b">
        <f>IFERROR(__xludf.DUMMYFUNCTION("""COMPUTED_VALUE"""),FALSE)</f>
        <v>0</v>
      </c>
      <c r="N462" s="10">
        <f>IFERROR(__xludf.DUMMYFUNCTION("""COMPUTED_VALUE"""),0)</f>
        <v>0</v>
      </c>
      <c r="O462" s="10">
        <f>IFERROR(__xludf.DUMMYFUNCTION("""COMPUTED_VALUE"""),0)</f>
        <v>0</v>
      </c>
      <c r="P462" s="8"/>
      <c r="Q462" s="7"/>
      <c r="R462" s="16"/>
      <c r="S462" s="17"/>
      <c r="T462" s="8"/>
      <c r="U462" s="8"/>
      <c r="V462" s="22"/>
      <c r="W462" s="12"/>
      <c r="X462" s="12"/>
      <c r="Y462" s="12"/>
      <c r="Z462" s="12"/>
      <c r="AA462" s="7"/>
      <c r="AB462" s="12"/>
      <c r="AC462" s="6"/>
      <c r="AD462" s="6"/>
      <c r="AE462" s="7"/>
      <c r="AF462" s="7"/>
      <c r="AG462" s="7"/>
      <c r="AH462" s="7"/>
      <c r="AI462" s="7"/>
      <c r="AJ462" s="7"/>
      <c r="AK462" s="7"/>
      <c r="AL462" s="7"/>
      <c r="AM462" s="7"/>
      <c r="AN462" s="7"/>
      <c r="AO462" s="6"/>
      <c r="AP462" s="7"/>
      <c r="AQ462" s="7"/>
      <c r="AR462" s="6"/>
      <c r="AS462" s="7"/>
      <c r="AT462" s="7"/>
      <c r="AU462" s="7"/>
      <c r="AV462" s="7"/>
      <c r="AW462" s="7"/>
      <c r="AX462" s="7"/>
      <c r="AY462" s="7"/>
      <c r="AZ462" s="7"/>
      <c r="BA462" s="7"/>
      <c r="BB462" s="7"/>
      <c r="BC462" s="7"/>
      <c r="BD462" s="7"/>
      <c r="BE462" s="7"/>
      <c r="BF462" s="7"/>
      <c r="BG462" s="7"/>
    </row>
    <row r="463" customHeight="1" spans="1:59">
      <c r="A463" s="9" t="str">
        <f>IFERROR(__xludf.DUMMYFUNCTION("""COMPUTED_VALUE"""),"Hurston 101")</f>
        <v>Hurston 101</v>
      </c>
      <c r="B463" s="5" t="str">
        <f>IFERROR(__xludf.DUMMYFUNCTION("""COMPUTED_VALUE"""),"Hurston 112")</f>
        <v>Hurston 112</v>
      </c>
      <c r="C463" s="5" t="str">
        <f>IFERROR(__xludf.DUMMYFUNCTION("""COMPUTED_VALUE"""),"Hurston 137")</f>
        <v>Hurston 137</v>
      </c>
      <c r="D463" s="5" t="str">
        <f>IFERROR(__xludf.DUMMYFUNCTION("""COMPUTED_VALUE"""),"Cutlass Wreck 01H")</f>
        <v>Cutlass Wreck 01H</v>
      </c>
      <c r="E463" s="7" t="str">
        <f>IFERROR(__xludf.DUMMYFUNCTION("""COMPUTED_VALUE"""),"Cutlass 01H")</f>
        <v>Cutlass 01H</v>
      </c>
      <c r="F463" s="8">
        <f>IFERROR(__xludf.DUMMYFUNCTION("""COMPUTED_VALUE"""),-833.060995850064)</f>
        <v>-833.060995850064</v>
      </c>
      <c r="G463" s="8">
        <f>IFERROR(__xludf.DUMMYFUNCTION("""COMPUTED_VALUE"""),-68.423523096645)</f>
        <v>-68.423523096645</v>
      </c>
      <c r="H463" s="8">
        <f>IFERROR(__xludf.DUMMYFUNCTION("""COMPUTED_VALUE"""),-550.783434756244)</f>
        <v>-550.783434756244</v>
      </c>
      <c r="I463" s="14"/>
      <c r="J463" s="14"/>
      <c r="K463" s="14"/>
      <c r="L463" s="14"/>
      <c r="M463" s="7" t="b">
        <f>IFERROR(__xludf.DUMMYFUNCTION("""COMPUTED_VALUE"""),FALSE)</f>
        <v>0</v>
      </c>
      <c r="N463" s="10">
        <f>IFERROR(__xludf.DUMMYFUNCTION("""COMPUTED_VALUE"""),0)</f>
        <v>0</v>
      </c>
      <c r="O463" s="10">
        <f>IFERROR(__xludf.DUMMYFUNCTION("""COMPUTED_VALUE"""),0)</f>
        <v>0</v>
      </c>
      <c r="P463" s="8"/>
      <c r="Q463" s="7"/>
      <c r="R463" s="16"/>
      <c r="S463" s="17"/>
      <c r="T463" s="8"/>
      <c r="U463" s="8"/>
      <c r="V463" s="22"/>
      <c r="W463" s="12"/>
      <c r="X463" s="12"/>
      <c r="Y463" s="12"/>
      <c r="Z463" s="12"/>
      <c r="AA463" s="7"/>
      <c r="AB463" s="12"/>
      <c r="AC463" s="6"/>
      <c r="AD463" s="6"/>
      <c r="AE463" s="7"/>
      <c r="AF463" s="7"/>
      <c r="AG463" s="7"/>
      <c r="AH463" s="7"/>
      <c r="AI463" s="7"/>
      <c r="AJ463" s="7"/>
      <c r="AK463" s="7"/>
      <c r="AL463" s="7"/>
      <c r="AM463" s="7"/>
      <c r="AN463" s="7"/>
      <c r="AO463" s="6"/>
      <c r="AP463" s="7"/>
      <c r="AQ463" s="7"/>
      <c r="AR463" s="6"/>
      <c r="AS463" s="7"/>
      <c r="AT463" s="7"/>
      <c r="AU463" s="7"/>
      <c r="AV463" s="7"/>
      <c r="AW463" s="7"/>
      <c r="AX463" s="7"/>
      <c r="AY463" s="7"/>
      <c r="AZ463" s="7"/>
      <c r="BA463" s="7"/>
      <c r="BB463" s="7"/>
      <c r="BC463" s="7"/>
      <c r="BD463" s="7"/>
      <c r="BE463" s="7"/>
      <c r="BF463" s="7"/>
      <c r="BG463" s="7"/>
    </row>
    <row r="464" customHeight="1" spans="1:59">
      <c r="A464" s="9" t="str">
        <f>IFERROR(__xludf.DUMMYFUNCTION("""COMPUTED_VALUE"""),"Hurston 104")</f>
        <v>Hurston 104</v>
      </c>
      <c r="B464" s="5" t="str">
        <f>IFERROR(__xludf.DUMMYFUNCTION("""COMPUTED_VALUE"""),"Hurston 115")</f>
        <v>Hurston 115</v>
      </c>
      <c r="C464" s="5" t="str">
        <f>IFERROR(__xludf.DUMMYFUNCTION("""COMPUTED_VALUE"""),"Hurston 16")</f>
        <v>Hurston 16</v>
      </c>
      <c r="D464" s="5" t="str">
        <f>IFERROR(__xludf.DUMMYFUNCTION("""COMPUTED_VALUE"""),"Cutlass Wreck 56F")</f>
        <v>Cutlass Wreck 56F</v>
      </c>
      <c r="E464" s="7" t="str">
        <f>IFERROR(__xludf.DUMMYFUNCTION("""COMPUTED_VALUE"""),"Cutlass 56F")</f>
        <v>Cutlass 56F</v>
      </c>
      <c r="F464" s="11">
        <f>IFERROR(__xludf.DUMMYFUNCTION("""COMPUTED_VALUE"""),-569.720995957476)</f>
        <v>-569.720995957476</v>
      </c>
      <c r="G464" s="11">
        <f>IFERROR(__xludf.DUMMYFUNCTION("""COMPUTED_VALUE"""),306.214935327215)</f>
        <v>306.214935327215</v>
      </c>
      <c r="H464" s="11">
        <f>IFERROR(__xludf.DUMMYFUNCTION("""COMPUTED_VALUE"""),-764.709744573911)</f>
        <v>-764.709744573911</v>
      </c>
      <c r="I464" s="15"/>
      <c r="J464" s="15"/>
      <c r="K464" s="15"/>
      <c r="L464" s="15"/>
      <c r="M464" s="7" t="b">
        <f>IFERROR(__xludf.DUMMYFUNCTION("""COMPUTED_VALUE"""),FALSE)</f>
        <v>0</v>
      </c>
      <c r="N464" s="10">
        <f>IFERROR(__xludf.DUMMYFUNCTION("""COMPUTED_VALUE"""),0)</f>
        <v>0</v>
      </c>
      <c r="O464" s="10">
        <f>IFERROR(__xludf.DUMMYFUNCTION("""COMPUTED_VALUE"""),0)</f>
        <v>0</v>
      </c>
      <c r="P464" s="8"/>
      <c r="Q464" s="7"/>
      <c r="R464" s="16"/>
      <c r="S464" s="17"/>
      <c r="T464" s="8"/>
      <c r="U464" s="8"/>
      <c r="V464" s="22"/>
      <c r="W464" s="12"/>
      <c r="X464" s="12"/>
      <c r="Y464" s="12"/>
      <c r="Z464" s="12"/>
      <c r="AA464" s="7"/>
      <c r="AB464" s="12"/>
      <c r="AC464" s="6"/>
      <c r="AD464" s="6"/>
      <c r="AE464" s="7"/>
      <c r="AF464" s="7"/>
      <c r="AG464" s="7"/>
      <c r="AH464" s="7"/>
      <c r="AI464" s="7"/>
      <c r="AJ464" s="7"/>
      <c r="AK464" s="7"/>
      <c r="AL464" s="7"/>
      <c r="AM464" s="7"/>
      <c r="AN464" s="7"/>
      <c r="AO464" s="6"/>
      <c r="AP464" s="7"/>
      <c r="AQ464" s="7"/>
      <c r="AR464" s="6"/>
      <c r="AS464" s="7"/>
      <c r="AT464" s="7"/>
      <c r="AU464" s="7"/>
      <c r="AV464" s="7"/>
      <c r="AW464" s="7"/>
      <c r="AX464" s="7"/>
      <c r="AY464" s="7"/>
      <c r="AZ464" s="7"/>
      <c r="BA464" s="7"/>
      <c r="BB464" s="7"/>
      <c r="BC464" s="7"/>
      <c r="BD464" s="7"/>
      <c r="BE464" s="7"/>
      <c r="BF464" s="7"/>
      <c r="BG464" s="7"/>
    </row>
    <row r="465" customHeight="1" spans="1:59">
      <c r="A465" s="9" t="str">
        <f>IFERROR(__xludf.DUMMYFUNCTION("""COMPUTED_VALUE"""),"Hurston 103")</f>
        <v>Hurston 103</v>
      </c>
      <c r="B465" s="5" t="str">
        <f>IFERROR(__xludf.DUMMYFUNCTION("""COMPUTED_VALUE"""),"Hurston 114")</f>
        <v>Hurston 114</v>
      </c>
      <c r="C465" s="5" t="str">
        <f>IFERROR(__xludf.DUMMYFUNCTION("""COMPUTED_VALUE"""),"Hurston 70")</f>
        <v>Hurston 70</v>
      </c>
      <c r="D465" s="5" t="str">
        <f>IFERROR(__xludf.DUMMYFUNCTION("""COMPUTED_VALUE"""),"Cutlass Wreck 23D")</f>
        <v>Cutlass Wreck 23D</v>
      </c>
      <c r="E465" s="7" t="str">
        <f>IFERROR(__xludf.DUMMYFUNCTION("""COMPUTED_VALUE"""),"Cutlass 23D")</f>
        <v>Cutlass 23D</v>
      </c>
      <c r="F465" s="11">
        <f>IFERROR(__xludf.DUMMYFUNCTION("""COMPUTED_VALUE"""),261.157210994944)</f>
        <v>261.157210994944</v>
      </c>
      <c r="G465" s="11">
        <f>IFERROR(__xludf.DUMMYFUNCTION("""COMPUTED_VALUE"""),-269.430429499271)</f>
        <v>-269.430429499271</v>
      </c>
      <c r="H465" s="11">
        <f>IFERROR(__xludf.DUMMYFUNCTION("""COMPUTED_VALUE"""),-928.880347416925)</f>
        <v>-928.880347416925</v>
      </c>
      <c r="I465" s="15"/>
      <c r="J465" s="15"/>
      <c r="K465" s="15"/>
      <c r="L465" s="15"/>
      <c r="M465" s="7" t="b">
        <f>IFERROR(__xludf.DUMMYFUNCTION("""COMPUTED_VALUE"""),FALSE)</f>
        <v>0</v>
      </c>
      <c r="N465" s="10">
        <f>IFERROR(__xludf.DUMMYFUNCTION("""COMPUTED_VALUE"""),0)</f>
        <v>0</v>
      </c>
      <c r="O465" s="10">
        <f>IFERROR(__xludf.DUMMYFUNCTION("""COMPUTED_VALUE"""),0)</f>
        <v>0</v>
      </c>
      <c r="P465" s="8"/>
      <c r="Q465" s="7"/>
      <c r="R465" s="16"/>
      <c r="S465" s="17"/>
      <c r="T465" s="8"/>
      <c r="U465" s="8"/>
      <c r="V465" s="22"/>
      <c r="W465" s="12"/>
      <c r="X465" s="12"/>
      <c r="Y465" s="12"/>
      <c r="Z465" s="12"/>
      <c r="AA465" s="7"/>
      <c r="AB465" s="12"/>
      <c r="AC465" s="6"/>
      <c r="AD465" s="6"/>
      <c r="AE465" s="7"/>
      <c r="AF465" s="7"/>
      <c r="AG465" s="7"/>
      <c r="AH465" s="7"/>
      <c r="AI465" s="7"/>
      <c r="AJ465" s="7"/>
      <c r="AK465" s="7"/>
      <c r="AL465" s="7"/>
      <c r="AM465" s="7"/>
      <c r="AN465" s="7"/>
      <c r="AO465" s="6"/>
      <c r="AP465" s="7"/>
      <c r="AQ465" s="7"/>
      <c r="AR465" s="6"/>
      <c r="AS465" s="7"/>
      <c r="AT465" s="7"/>
      <c r="AU465" s="7"/>
      <c r="AV465" s="7"/>
      <c r="AW465" s="7"/>
      <c r="AX465" s="7"/>
      <c r="AY465" s="7"/>
      <c r="AZ465" s="7"/>
      <c r="BA465" s="7"/>
      <c r="BB465" s="7"/>
      <c r="BC465" s="7"/>
      <c r="BD465" s="7"/>
      <c r="BE465" s="7"/>
      <c r="BF465" s="7"/>
      <c r="BG465" s="7"/>
    </row>
    <row r="466" customHeight="1" spans="1:59">
      <c r="A466" s="9" t="str">
        <f>IFERROR(__xludf.DUMMYFUNCTION("""COMPUTED_VALUE"""),"Hurston 105")</f>
        <v>Hurston 105</v>
      </c>
      <c r="B466" s="5" t="str">
        <f>IFERROR(__xludf.DUMMYFUNCTION("""COMPUTED_VALUE"""),"Hurston 116")</f>
        <v>Hurston 116</v>
      </c>
      <c r="C466" s="5" t="str">
        <f>IFERROR(__xludf.DUMMYFUNCTION("""COMPUTED_VALUE"""),"Hurston 71")</f>
        <v>Hurston 71</v>
      </c>
      <c r="D466" s="5" t="str">
        <f>IFERROR(__xludf.DUMMYFUNCTION("""COMPUTED_VALUE"""),"Freelancer Wreck 23N")</f>
        <v>Freelancer Wreck 23N</v>
      </c>
      <c r="E466" s="7" t="str">
        <f>IFERROR(__xludf.DUMMYFUNCTION("""COMPUTED_VALUE"""),"Freelancer 23N")</f>
        <v>Freelancer 23N</v>
      </c>
      <c r="F466" s="11">
        <f>IFERROR(__xludf.DUMMYFUNCTION("""COMPUTED_VALUE"""),674.898444088304)</f>
        <v>674.898444088304</v>
      </c>
      <c r="G466" s="11">
        <f>IFERROR(__xludf.DUMMYFUNCTION("""COMPUTED_VALUE"""),-737.051382195036)</f>
        <v>-737.051382195036</v>
      </c>
      <c r="H466" s="11">
        <f>IFERROR(__xludf.DUMMYFUNCTION("""COMPUTED_VALUE"""),45.595855913853)</f>
        <v>45.595855913853</v>
      </c>
      <c r="I466" s="15"/>
      <c r="J466" s="15"/>
      <c r="K466" s="15"/>
      <c r="L466" s="15"/>
      <c r="M466" s="7" t="b">
        <f>IFERROR(__xludf.DUMMYFUNCTION("""COMPUTED_VALUE"""),FALSE)</f>
        <v>0</v>
      </c>
      <c r="N466" s="10">
        <f>IFERROR(__xludf.DUMMYFUNCTION("""COMPUTED_VALUE"""),0)</f>
        <v>0</v>
      </c>
      <c r="O466" s="10">
        <f>IFERROR(__xludf.DUMMYFUNCTION("""COMPUTED_VALUE"""),0)</f>
        <v>0</v>
      </c>
      <c r="P466" s="8"/>
      <c r="Q466" s="7"/>
      <c r="R466" s="16"/>
      <c r="S466" s="17"/>
      <c r="T466" s="8"/>
      <c r="U466" s="8"/>
      <c r="V466" s="22"/>
      <c r="W466" s="12"/>
      <c r="X466" s="12"/>
      <c r="Y466" s="12"/>
      <c r="Z466" s="12"/>
      <c r="AA466" s="7"/>
      <c r="AB466" s="12"/>
      <c r="AC466" s="6"/>
      <c r="AD466" s="6"/>
      <c r="AE466" s="7"/>
      <c r="AF466" s="7"/>
      <c r="AG466" s="7"/>
      <c r="AH466" s="7"/>
      <c r="AI466" s="7"/>
      <c r="AJ466" s="7"/>
      <c r="AK466" s="7"/>
      <c r="AL466" s="7"/>
      <c r="AM466" s="7"/>
      <c r="AN466" s="7"/>
      <c r="AO466" s="6"/>
      <c r="AP466" s="7"/>
      <c r="AQ466" s="7"/>
      <c r="AR466" s="6"/>
      <c r="AS466" s="7"/>
      <c r="AT466" s="7"/>
      <c r="AU466" s="7"/>
      <c r="AV466" s="7"/>
      <c r="AW466" s="7"/>
      <c r="AX466" s="7"/>
      <c r="AY466" s="7"/>
      <c r="AZ466" s="7"/>
      <c r="BA466" s="7"/>
      <c r="BB466" s="7"/>
      <c r="BC466" s="7"/>
      <c r="BD466" s="7"/>
      <c r="BE466" s="7"/>
      <c r="BF466" s="7"/>
      <c r="BG466" s="7"/>
    </row>
    <row r="467" customHeight="1" spans="1:59">
      <c r="A467" s="9" t="str">
        <f>IFERROR(__xludf.DUMMYFUNCTION("""COMPUTED_VALUE"""),"Hurston 106")</f>
        <v>Hurston 106</v>
      </c>
      <c r="B467" s="5" t="str">
        <f>IFERROR(__xludf.DUMMYFUNCTION("""COMPUTED_VALUE"""),"Hurston 117")</f>
        <v>Hurston 117</v>
      </c>
      <c r="C467" s="5" t="str">
        <f>IFERROR(__xludf.DUMMYFUNCTION("""COMPUTED_VALUE"""),"Hurston 54")</f>
        <v>Hurston 54</v>
      </c>
      <c r="D467" s="5" t="str">
        <f>IFERROR(__xludf.DUMMYFUNCTION("""COMPUTED_VALUE"""),"Freelancer Wreck 31P")</f>
        <v>Freelancer Wreck 31P</v>
      </c>
      <c r="E467" s="7" t="str">
        <f>IFERROR(__xludf.DUMMYFUNCTION("""COMPUTED_VALUE"""),"Freelancer 31P")</f>
        <v>Freelancer 31P</v>
      </c>
      <c r="F467" s="11">
        <f>IFERROR(__xludf.DUMMYFUNCTION("""COMPUTED_VALUE"""),977.427298894356)</f>
        <v>977.427298894356</v>
      </c>
      <c r="G467" s="11">
        <f>IFERROR(__xludf.DUMMYFUNCTION("""COMPUTED_VALUE"""),90.199903316372)</f>
        <v>90.199903316372</v>
      </c>
      <c r="H467" s="11">
        <f>IFERROR(__xludf.DUMMYFUNCTION("""COMPUTED_VALUE"""),197.997584262001)</f>
        <v>197.997584262001</v>
      </c>
      <c r="I467" s="15"/>
      <c r="J467" s="15"/>
      <c r="K467" s="15"/>
      <c r="L467" s="15"/>
      <c r="M467" s="7" t="b">
        <f>IFERROR(__xludf.DUMMYFUNCTION("""COMPUTED_VALUE"""),FALSE)</f>
        <v>0</v>
      </c>
      <c r="N467" s="10">
        <f>IFERROR(__xludf.DUMMYFUNCTION("""COMPUTED_VALUE"""),0)</f>
        <v>0</v>
      </c>
      <c r="O467" s="10">
        <f>IFERROR(__xludf.DUMMYFUNCTION("""COMPUTED_VALUE"""),0)</f>
        <v>0</v>
      </c>
      <c r="P467" s="8"/>
      <c r="Q467" s="7"/>
      <c r="R467" s="16"/>
      <c r="S467" s="17"/>
      <c r="T467" s="8"/>
      <c r="U467" s="8"/>
      <c r="V467" s="22"/>
      <c r="W467" s="12"/>
      <c r="X467" s="12"/>
      <c r="Y467" s="12"/>
      <c r="Z467" s="12"/>
      <c r="AA467" s="7"/>
      <c r="AB467" s="12"/>
      <c r="AC467" s="6"/>
      <c r="AD467" s="6"/>
      <c r="AE467" s="7"/>
      <c r="AF467" s="7"/>
      <c r="AG467" s="7"/>
      <c r="AH467" s="7"/>
      <c r="AI467" s="7"/>
      <c r="AJ467" s="7"/>
      <c r="AK467" s="7"/>
      <c r="AL467" s="7"/>
      <c r="AM467" s="7"/>
      <c r="AN467" s="7"/>
      <c r="AO467" s="6"/>
      <c r="AP467" s="7"/>
      <c r="AQ467" s="7"/>
      <c r="AR467" s="6"/>
      <c r="AS467" s="7"/>
      <c r="AT467" s="7"/>
      <c r="AU467" s="7"/>
      <c r="AV467" s="7"/>
      <c r="AW467" s="7"/>
      <c r="AX467" s="7"/>
      <c r="AY467" s="7"/>
      <c r="AZ467" s="7"/>
      <c r="BA467" s="7"/>
      <c r="BB467" s="7"/>
      <c r="BC467" s="7"/>
      <c r="BD467" s="7"/>
      <c r="BE467" s="7"/>
      <c r="BF467" s="7"/>
      <c r="BG467" s="7"/>
    </row>
    <row r="468" customHeight="1" spans="1:59">
      <c r="A468" s="9" t="str">
        <f>IFERROR(__xludf.DUMMYFUNCTION("""COMPUTED_VALUE"""),"Hurston 107")</f>
        <v>Hurston 107</v>
      </c>
      <c r="B468" s="5" t="str">
        <f>IFERROR(__xludf.DUMMYFUNCTION("""COMPUTED_VALUE"""),"Hurston 118")</f>
        <v>Hurston 118</v>
      </c>
      <c r="C468" s="5" t="str">
        <f>IFERROR(__xludf.DUMMYFUNCTION("""COMPUTED_VALUE"""),"Hurston 27")</f>
        <v>Hurston 27</v>
      </c>
      <c r="D468" s="5" t="str">
        <f>IFERROR(__xludf.DUMMYFUNCTION("""COMPUTED_VALUE"""),"Freelancer Wreck 52J")</f>
        <v>Freelancer Wreck 52J</v>
      </c>
      <c r="E468" s="7" t="str">
        <f>IFERROR(__xludf.DUMMYFUNCTION("""COMPUTED_VALUE"""),"Freelancer 52J")</f>
        <v>Freelancer 52J</v>
      </c>
      <c r="F468" s="11">
        <f>IFERROR(__xludf.DUMMYFUNCTION("""COMPUTED_VALUE"""),-550.09605621299)</f>
        <v>-550.09605621299</v>
      </c>
      <c r="G468" s="11">
        <f>IFERROR(__xludf.DUMMYFUNCTION("""COMPUTED_VALUE"""),706.821054421791)</f>
        <v>706.821054421791</v>
      </c>
      <c r="H468" s="11">
        <f>IFERROR(__xludf.DUMMYFUNCTION("""COMPUTED_VALUE"""),-446.533994896594)</f>
        <v>-446.533994896594</v>
      </c>
      <c r="I468" s="15"/>
      <c r="J468" s="15"/>
      <c r="K468" s="15"/>
      <c r="L468" s="15"/>
      <c r="M468" s="7" t="b">
        <f>IFERROR(__xludf.DUMMYFUNCTION("""COMPUTED_VALUE"""),FALSE)</f>
        <v>0</v>
      </c>
      <c r="N468" s="10">
        <f>IFERROR(__xludf.DUMMYFUNCTION("""COMPUTED_VALUE"""),0)</f>
        <v>0</v>
      </c>
      <c r="O468" s="10">
        <f>IFERROR(__xludf.DUMMYFUNCTION("""COMPUTED_VALUE"""),0)</f>
        <v>0</v>
      </c>
      <c r="P468" s="8"/>
      <c r="Q468" s="7"/>
      <c r="R468" s="16"/>
      <c r="S468" s="17"/>
      <c r="T468" s="8"/>
      <c r="U468" s="8"/>
      <c r="V468" s="22"/>
      <c r="W468" s="12"/>
      <c r="X468" s="12"/>
      <c r="Y468" s="12"/>
      <c r="Z468" s="12"/>
      <c r="AA468" s="7"/>
      <c r="AB468" s="12"/>
      <c r="AC468" s="6"/>
      <c r="AD468" s="6"/>
      <c r="AE468" s="7"/>
      <c r="AF468" s="7"/>
      <c r="AG468" s="7"/>
      <c r="AH468" s="7"/>
      <c r="AI468" s="7"/>
      <c r="AJ468" s="7"/>
      <c r="AK468" s="7"/>
      <c r="AL468" s="7"/>
      <c r="AM468" s="7"/>
      <c r="AN468" s="7"/>
      <c r="AO468" s="6"/>
      <c r="AP468" s="7"/>
      <c r="AQ468" s="7"/>
      <c r="AR468" s="6"/>
      <c r="AS468" s="7"/>
      <c r="AT468" s="7"/>
      <c r="AU468" s="7"/>
      <c r="AV468" s="7"/>
      <c r="AW468" s="7"/>
      <c r="AX468" s="7"/>
      <c r="AY468" s="7"/>
      <c r="AZ468" s="7"/>
      <c r="BA468" s="7"/>
      <c r="BB468" s="7"/>
      <c r="BC468" s="7"/>
      <c r="BD468" s="7"/>
      <c r="BE468" s="7"/>
      <c r="BF468" s="7"/>
      <c r="BG468" s="7"/>
    </row>
    <row r="469" customHeight="1" spans="1:59">
      <c r="A469" s="9" t="str">
        <f>IFERROR(__xludf.DUMMYFUNCTION("""COMPUTED_VALUE"""),"Hurston 108")</f>
        <v>Hurston 108</v>
      </c>
      <c r="B469" s="5" t="str">
        <f>IFERROR(__xludf.DUMMYFUNCTION("""COMPUTED_VALUE"""),"Hurston 119")</f>
        <v>Hurston 119</v>
      </c>
      <c r="C469" s="5" t="str">
        <f>IFERROR(__xludf.DUMMYFUNCTION("""COMPUTED_VALUE"""),"Hurston 05")</f>
        <v>Hurston 05</v>
      </c>
      <c r="D469" s="5" t="str">
        <f>IFERROR(__xludf.DUMMYFUNCTION("""COMPUTED_VALUE"""),"Freelancer Wreck 57J")</f>
        <v>Freelancer Wreck 57J</v>
      </c>
      <c r="E469" s="7" t="str">
        <f>IFERROR(__xludf.DUMMYFUNCTION("""COMPUTED_VALUE"""),"Freelancer 57J")</f>
        <v>Freelancer 57J</v>
      </c>
      <c r="F469" s="11">
        <f>IFERROR(__xludf.DUMMYFUNCTION("""COMPUTED_VALUE"""),-832.045659655999)</f>
        <v>-832.045659655999</v>
      </c>
      <c r="G469" s="11">
        <f>IFERROR(__xludf.DUMMYFUNCTION("""COMPUTED_VALUE"""),293.107272149)</f>
        <v>293.107272149</v>
      </c>
      <c r="H469" s="11">
        <f>IFERROR(__xludf.DUMMYFUNCTION("""COMPUTED_VALUE"""),-471.019837445)</f>
        <v>-471.019837445</v>
      </c>
      <c r="I469" s="15"/>
      <c r="J469" s="15"/>
      <c r="K469" s="15"/>
      <c r="L469" s="15"/>
      <c r="M469" s="7" t="b">
        <f>IFERROR(__xludf.DUMMYFUNCTION("""COMPUTED_VALUE"""),FALSE)</f>
        <v>0</v>
      </c>
      <c r="N469" s="10">
        <f>IFERROR(__xludf.DUMMYFUNCTION("""COMPUTED_VALUE"""),0)</f>
        <v>0</v>
      </c>
      <c r="O469" s="10">
        <f>IFERROR(__xludf.DUMMYFUNCTION("""COMPUTED_VALUE"""),0)</f>
        <v>0</v>
      </c>
      <c r="P469" s="8"/>
      <c r="Q469" s="7"/>
      <c r="R469" s="16"/>
      <c r="S469" s="17"/>
      <c r="T469" s="8"/>
      <c r="U469" s="8"/>
      <c r="V469" s="22"/>
      <c r="W469" s="12"/>
      <c r="X469" s="12"/>
      <c r="Y469" s="12"/>
      <c r="Z469" s="12"/>
      <c r="AA469" s="7"/>
      <c r="AB469" s="12"/>
      <c r="AC469" s="6"/>
      <c r="AD469" s="6"/>
      <c r="AE469" s="7"/>
      <c r="AF469" s="7"/>
      <c r="AG469" s="7"/>
      <c r="AH469" s="7"/>
      <c r="AI469" s="7"/>
      <c r="AJ469" s="7"/>
      <c r="AK469" s="7"/>
      <c r="AL469" s="7"/>
      <c r="AM469" s="7"/>
      <c r="AN469" s="7"/>
      <c r="AO469" s="6"/>
      <c r="AP469" s="7"/>
      <c r="AQ469" s="7"/>
      <c r="AR469" s="6"/>
      <c r="AS469" s="7"/>
      <c r="AT469" s="7"/>
      <c r="AU469" s="7"/>
      <c r="AV469" s="7"/>
      <c r="AW469" s="7"/>
      <c r="AX469" s="7"/>
      <c r="AY469" s="7"/>
      <c r="AZ469" s="7"/>
      <c r="BA469" s="7"/>
      <c r="BB469" s="7"/>
      <c r="BC469" s="7"/>
      <c r="BD469" s="7"/>
      <c r="BE469" s="7"/>
      <c r="BF469" s="7"/>
      <c r="BG469" s="7"/>
    </row>
    <row r="470" customHeight="1" spans="1:59">
      <c r="A470" s="9" t="str">
        <f>IFERROR(__xludf.DUMMYFUNCTION("""COMPUTED_VALUE"""),"Hurston 111")</f>
        <v>Hurston 111</v>
      </c>
      <c r="B470" s="5" t="str">
        <f>IFERROR(__xludf.DUMMYFUNCTION("""COMPUTED_VALUE"""),"Hurston 122")</f>
        <v>Hurston 122</v>
      </c>
      <c r="C470" s="5" t="str">
        <f>IFERROR(__xludf.DUMMYFUNCTION("""COMPUTED_VALUE"""),"Hurston 48")</f>
        <v>Hurston 48</v>
      </c>
      <c r="D470" s="5" t="str">
        <f>IFERROR(__xludf.DUMMYFUNCTION("""COMPUTED_VALUE"""),"Satellite Wreck 41P")</f>
        <v>Satellite Wreck 41P</v>
      </c>
      <c r="E470" s="7" t="str">
        <f>IFERROR(__xludf.DUMMYFUNCTION("""COMPUTED_VALUE"""),"Satellite 41P")</f>
        <v>Satellite 41P</v>
      </c>
      <c r="F470" s="11">
        <f>IFERROR(__xludf.DUMMYFUNCTION("""COMPUTED_VALUE"""),457.265069843448)</f>
        <v>457.265069843448</v>
      </c>
      <c r="G470" s="11">
        <f>IFERROR(__xludf.DUMMYFUNCTION("""COMPUTED_VALUE"""),876.042326568802)</f>
        <v>876.042326568802</v>
      </c>
      <c r="H470" s="11">
        <f>IFERROR(__xludf.DUMMYFUNCTION("""COMPUTED_VALUE"""),158.397096293778)</f>
        <v>158.397096293778</v>
      </c>
      <c r="I470" s="15"/>
      <c r="J470" s="15"/>
      <c r="K470" s="15"/>
      <c r="L470" s="15"/>
      <c r="M470" s="7" t="b">
        <f>IFERROR(__xludf.DUMMYFUNCTION("""COMPUTED_VALUE"""),FALSE)</f>
        <v>0</v>
      </c>
      <c r="N470" s="10">
        <f>IFERROR(__xludf.DUMMYFUNCTION("""COMPUTED_VALUE"""),0)</f>
        <v>0</v>
      </c>
      <c r="O470" s="10">
        <f>IFERROR(__xludf.DUMMYFUNCTION("""COMPUTED_VALUE"""),0)</f>
        <v>0</v>
      </c>
      <c r="P470" s="8"/>
      <c r="Q470" s="7"/>
      <c r="R470" s="16"/>
      <c r="S470" s="17"/>
      <c r="T470" s="8"/>
      <c r="U470" s="8"/>
      <c r="V470" s="22"/>
      <c r="W470" s="12"/>
      <c r="X470" s="12"/>
      <c r="Y470" s="12"/>
      <c r="Z470" s="12"/>
      <c r="AA470" s="7"/>
      <c r="AB470" s="12"/>
      <c r="AC470" s="6"/>
      <c r="AD470" s="6"/>
      <c r="AE470" s="7"/>
      <c r="AF470" s="7"/>
      <c r="AG470" s="7"/>
      <c r="AH470" s="7"/>
      <c r="AI470" s="7"/>
      <c r="AJ470" s="7"/>
      <c r="AK470" s="7"/>
      <c r="AL470" s="7"/>
      <c r="AM470" s="7"/>
      <c r="AN470" s="7"/>
      <c r="AO470" s="6"/>
      <c r="AP470" s="7"/>
      <c r="AQ470" s="7"/>
      <c r="AR470" s="6"/>
      <c r="AS470" s="7"/>
      <c r="AT470" s="7"/>
      <c r="AU470" s="7"/>
      <c r="AV470" s="7"/>
      <c r="AW470" s="7"/>
      <c r="AX470" s="7"/>
      <c r="AY470" s="7"/>
      <c r="AZ470" s="7"/>
      <c r="BA470" s="7"/>
      <c r="BB470" s="7"/>
      <c r="BC470" s="7"/>
      <c r="BD470" s="7"/>
      <c r="BE470" s="7"/>
      <c r="BF470" s="7"/>
      <c r="BG470" s="7"/>
    </row>
    <row r="471" customHeight="1" spans="1:59">
      <c r="A471" s="9" t="str">
        <f>IFERROR(__xludf.DUMMYFUNCTION("""COMPUTED_VALUE"""),"Hurston 109")</f>
        <v>Hurston 109</v>
      </c>
      <c r="B471" s="5" t="str">
        <f>IFERROR(__xludf.DUMMYFUNCTION("""COMPUTED_VALUE"""),"Hurston 120")</f>
        <v>Hurston 120</v>
      </c>
      <c r="C471" s="5" t="str">
        <f>IFERROR(__xludf.DUMMYFUNCTION("""COMPUTED_VALUE"""),"Hurston 95")</f>
        <v>Hurston 95</v>
      </c>
      <c r="D471" s="5" t="str">
        <f>IFERROR(__xludf.DUMMYFUNCTION("""COMPUTED_VALUE"""),"Satellite Wreck 13S")</f>
        <v>Satellite Wreck 13S</v>
      </c>
      <c r="E471" s="7" t="str">
        <f>IFERROR(__xludf.DUMMYFUNCTION("""COMPUTED_VALUE"""),"Satellite 13S")</f>
        <v>Satellite 13S</v>
      </c>
      <c r="F471" s="11">
        <f>IFERROR(__xludf.DUMMYFUNCTION("""COMPUTED_VALUE"""),-237.426758431438)</f>
        <v>-237.426758431438</v>
      </c>
      <c r="G471" s="11">
        <f>IFERROR(__xludf.DUMMYFUNCTION("""COMPUTED_VALUE"""),-782.590601289051)</f>
        <v>-782.590601289051</v>
      </c>
      <c r="H471" s="11">
        <f>IFERROR(__xludf.DUMMYFUNCTION("""COMPUTED_VALUE"""),577.771982494651)</f>
        <v>577.771982494651</v>
      </c>
      <c r="I471" s="15"/>
      <c r="J471" s="15"/>
      <c r="K471" s="15"/>
      <c r="L471" s="15"/>
      <c r="M471" s="7" t="b">
        <f>IFERROR(__xludf.DUMMYFUNCTION("""COMPUTED_VALUE"""),FALSE)</f>
        <v>0</v>
      </c>
      <c r="N471" s="10">
        <f>IFERROR(__xludf.DUMMYFUNCTION("""COMPUTED_VALUE"""),0)</f>
        <v>0</v>
      </c>
      <c r="O471" s="10">
        <f>IFERROR(__xludf.DUMMYFUNCTION("""COMPUTED_VALUE"""),0)</f>
        <v>0</v>
      </c>
      <c r="P471" s="8"/>
      <c r="Q471" s="7"/>
      <c r="R471" s="16"/>
      <c r="S471" s="17"/>
      <c r="T471" s="8"/>
      <c r="U471" s="8"/>
      <c r="V471" s="22"/>
      <c r="W471" s="12"/>
      <c r="X471" s="12"/>
      <c r="Y471" s="12"/>
      <c r="Z471" s="12"/>
      <c r="AA471" s="7"/>
      <c r="AB471" s="12"/>
      <c r="AC471" s="6"/>
      <c r="AD471" s="6"/>
      <c r="AE471" s="7"/>
      <c r="AF471" s="7"/>
      <c r="AG471" s="7"/>
      <c r="AH471" s="7"/>
      <c r="AI471" s="7"/>
      <c r="AJ471" s="7"/>
      <c r="AK471" s="7"/>
      <c r="AL471" s="7"/>
      <c r="AM471" s="7"/>
      <c r="AN471" s="7"/>
      <c r="AO471" s="6"/>
      <c r="AP471" s="7"/>
      <c r="AQ471" s="7"/>
      <c r="AR471" s="6"/>
      <c r="AS471" s="7"/>
      <c r="AT471" s="7"/>
      <c r="AU471" s="7"/>
      <c r="AV471" s="7"/>
      <c r="AW471" s="7"/>
      <c r="AX471" s="7"/>
      <c r="AY471" s="7"/>
      <c r="AZ471" s="7"/>
      <c r="BA471" s="7"/>
      <c r="BB471" s="7"/>
      <c r="BC471" s="7"/>
      <c r="BD471" s="7"/>
      <c r="BE471" s="7"/>
      <c r="BF471" s="7"/>
      <c r="BG471" s="7"/>
    </row>
    <row r="472" customHeight="1" spans="1:59">
      <c r="A472" s="9" t="str">
        <f>IFERROR(__xludf.DUMMYFUNCTION("""COMPUTED_VALUE"""),"Hurston 110")</f>
        <v>Hurston 110</v>
      </c>
      <c r="B472" s="5" t="str">
        <f>IFERROR(__xludf.DUMMYFUNCTION("""COMPUTED_VALUE"""),"Hurston 121")</f>
        <v>Hurston 121</v>
      </c>
      <c r="C472" s="5" t="str">
        <f>IFERROR(__xludf.DUMMYFUNCTION("""COMPUTED_VALUE"""),"Hurston 86")</f>
        <v>Hurston 86</v>
      </c>
      <c r="D472" s="5" t="str">
        <f>IFERROR(__xludf.DUMMYFUNCTION("""COMPUTED_VALUE"""),"Satellite Wreck 16T")</f>
        <v>Satellite Wreck 16T</v>
      </c>
      <c r="E472" s="7" t="str">
        <f>IFERROR(__xludf.DUMMYFUNCTION("""COMPUTED_VALUE"""),"Satellite 16T")</f>
        <v>Satellite 16T</v>
      </c>
      <c r="F472" s="11">
        <f>IFERROR(__xludf.DUMMYFUNCTION("""COMPUTED_VALUE"""),26.262546407085)</f>
        <v>26.262546407085</v>
      </c>
      <c r="G472" s="11">
        <f>IFERROR(__xludf.DUMMYFUNCTION("""COMPUTED_VALUE"""),-763.129423903463)</f>
        <v>-763.129423903463</v>
      </c>
      <c r="H472" s="11">
        <f>IFERROR(__xludf.DUMMYFUNCTION("""COMPUTED_VALUE"""),646.047925989482)</f>
        <v>646.047925989482</v>
      </c>
      <c r="I472" s="15"/>
      <c r="J472" s="15"/>
      <c r="K472" s="15"/>
      <c r="L472" s="15"/>
      <c r="M472" s="7" t="b">
        <f>IFERROR(__xludf.DUMMYFUNCTION("""COMPUTED_VALUE"""),FALSE)</f>
        <v>0</v>
      </c>
      <c r="N472" s="10">
        <f>IFERROR(__xludf.DUMMYFUNCTION("""COMPUTED_VALUE"""),0)</f>
        <v>0</v>
      </c>
      <c r="O472" s="10">
        <f>IFERROR(__xludf.DUMMYFUNCTION("""COMPUTED_VALUE"""),0)</f>
        <v>0</v>
      </c>
      <c r="P472" s="8"/>
      <c r="Q472" s="7"/>
      <c r="R472" s="16"/>
      <c r="S472" s="17"/>
      <c r="T472" s="8"/>
      <c r="U472" s="8"/>
      <c r="V472" s="22"/>
      <c r="W472" s="12"/>
      <c r="X472" s="12"/>
      <c r="Y472" s="12"/>
      <c r="Z472" s="12"/>
      <c r="AA472" s="7"/>
      <c r="AB472" s="12"/>
      <c r="AC472" s="6"/>
      <c r="AD472" s="6"/>
      <c r="AE472" s="7"/>
      <c r="AF472" s="7"/>
      <c r="AG472" s="7"/>
      <c r="AH472" s="7"/>
      <c r="AI472" s="7"/>
      <c r="AJ472" s="7"/>
      <c r="AK472" s="7"/>
      <c r="AL472" s="7"/>
      <c r="AM472" s="7"/>
      <c r="AN472" s="7"/>
      <c r="AO472" s="6"/>
      <c r="AP472" s="7"/>
      <c r="AQ472" s="7"/>
      <c r="AR472" s="6"/>
      <c r="AS472" s="7"/>
      <c r="AT472" s="7"/>
      <c r="AU472" s="7"/>
      <c r="AV472" s="7"/>
      <c r="AW472" s="7"/>
      <c r="AX472" s="7"/>
      <c r="AY472" s="7"/>
      <c r="AZ472" s="7"/>
      <c r="BA472" s="7"/>
      <c r="BB472" s="7"/>
      <c r="BC472" s="7"/>
      <c r="BD472" s="7"/>
      <c r="BE472" s="7"/>
      <c r="BF472" s="7"/>
      <c r="BG472" s="7"/>
    </row>
    <row r="473" customHeight="1" spans="1:59">
      <c r="A473" s="9" t="str">
        <f>IFERROR(__xludf.DUMMYFUNCTION("""COMPUTED_VALUE"""),"Hurston 112")</f>
        <v>Hurston 112</v>
      </c>
      <c r="B473" s="5" t="str">
        <f>IFERROR(__xludf.DUMMYFUNCTION("""COMPUTED_VALUE"""),"Hurston 123")</f>
        <v>Hurston 123</v>
      </c>
      <c r="C473" s="5" t="str">
        <f>IFERROR(__xludf.DUMMYFUNCTION("""COMPUTED_VALUE"""),"Hurston 18")</f>
        <v>Hurston 18</v>
      </c>
      <c r="D473" s="5" t="str">
        <f>IFERROR(__xludf.DUMMYFUNCTION("""COMPUTED_VALUE"""),"Satellite Wreck 55L")</f>
        <v>Satellite Wreck 55L</v>
      </c>
      <c r="E473" s="7" t="str">
        <f>IFERROR(__xludf.DUMMYFUNCTION("""COMPUTED_VALUE"""),"Satellite 55L")</f>
        <v>Satellite 55L</v>
      </c>
      <c r="F473" s="11">
        <f>IFERROR(__xludf.DUMMYFUNCTION("""COMPUTED_VALUE"""),-846.764854496787)</f>
        <v>-846.764854496787</v>
      </c>
      <c r="G473" s="11">
        <f>IFERROR(__xludf.DUMMYFUNCTION("""COMPUTED_VALUE"""),501.396269109399)</f>
        <v>501.396269109399</v>
      </c>
      <c r="H473" s="11">
        <f>IFERROR(__xludf.DUMMYFUNCTION("""COMPUTED_VALUE"""),-178.919526917716)</f>
        <v>-178.919526917716</v>
      </c>
      <c r="I473" s="15"/>
      <c r="J473" s="15"/>
      <c r="K473" s="15"/>
      <c r="L473" s="15"/>
      <c r="M473" s="7" t="b">
        <f>IFERROR(__xludf.DUMMYFUNCTION("""COMPUTED_VALUE"""),FALSE)</f>
        <v>0</v>
      </c>
      <c r="N473" s="10">
        <f>IFERROR(__xludf.DUMMYFUNCTION("""COMPUTED_VALUE"""),0)</f>
        <v>0</v>
      </c>
      <c r="O473" s="10">
        <f>IFERROR(__xludf.DUMMYFUNCTION("""COMPUTED_VALUE"""),0)</f>
        <v>0</v>
      </c>
      <c r="P473" s="8"/>
      <c r="Q473" s="7"/>
      <c r="R473" s="16"/>
      <c r="S473" s="17"/>
      <c r="T473" s="8"/>
      <c r="U473" s="8"/>
      <c r="V473" s="22"/>
      <c r="W473" s="12"/>
      <c r="X473" s="12"/>
      <c r="Y473" s="12"/>
      <c r="Z473" s="12"/>
      <c r="AA473" s="7"/>
      <c r="AB473" s="12"/>
      <c r="AC473" s="6"/>
      <c r="AD473" s="6"/>
      <c r="AE473" s="7"/>
      <c r="AF473" s="7"/>
      <c r="AG473" s="7"/>
      <c r="AH473" s="7"/>
      <c r="AI473" s="7"/>
      <c r="AJ473" s="7"/>
      <c r="AK473" s="7"/>
      <c r="AL473" s="7"/>
      <c r="AM473" s="7"/>
      <c r="AN473" s="7"/>
      <c r="AO473" s="6"/>
      <c r="AP473" s="7"/>
      <c r="AQ473" s="7"/>
      <c r="AR473" s="6"/>
      <c r="AS473" s="7"/>
      <c r="AT473" s="7"/>
      <c r="AU473" s="7"/>
      <c r="AV473" s="7"/>
      <c r="AW473" s="7"/>
      <c r="AX473" s="7"/>
      <c r="AY473" s="7"/>
      <c r="AZ473" s="7"/>
      <c r="BA473" s="7"/>
      <c r="BB473" s="7"/>
      <c r="BC473" s="7"/>
      <c r="BD473" s="7"/>
      <c r="BE473" s="7"/>
      <c r="BF473" s="7"/>
      <c r="BG473" s="7"/>
    </row>
    <row r="474" customHeight="1" spans="1:59">
      <c r="A474" s="9" t="str">
        <f>IFERROR(__xludf.DUMMYFUNCTION("""COMPUTED_VALUE"""),"Hurston 115")</f>
        <v>Hurston 115</v>
      </c>
      <c r="B474" s="5" t="str">
        <f>IFERROR(__xludf.DUMMYFUNCTION("""COMPUTED_VALUE"""),"Hurston 126")</f>
        <v>Hurston 126</v>
      </c>
      <c r="C474" s="5" t="str">
        <f>IFERROR(__xludf.DUMMYFUNCTION("""COMPUTED_VALUE"""),"Hurston 28")</f>
        <v>Hurston 28</v>
      </c>
      <c r="D474" s="5" t="str">
        <f>IFERROR(__xludf.DUMMYFUNCTION("""COMPUTED_VALUE"""),"Starfarer Wreck 52P")</f>
        <v>Starfarer Wreck 52P</v>
      </c>
      <c r="E474" s="7" t="str">
        <f>IFERROR(__xludf.DUMMYFUNCTION("""COMPUTED_VALUE"""),"Starfarer 52P")</f>
        <v>Starfarer 52P</v>
      </c>
      <c r="F474" s="11">
        <f>IFERROR(__xludf.DUMMYFUNCTION("""COMPUTED_VALUE"""),-591.697059325445)</f>
        <v>-591.697059325445</v>
      </c>
      <c r="G474" s="11">
        <f>IFERROR(__xludf.DUMMYFUNCTION("""COMPUTED_VALUE"""),779.84299581601)</f>
        <v>779.84299581601</v>
      </c>
      <c r="H474" s="11">
        <f>IFERROR(__xludf.DUMMYFUNCTION("""COMPUTED_VALUE"""),210.275498871836)</f>
        <v>210.275498871836</v>
      </c>
      <c r="I474" s="15"/>
      <c r="J474" s="15"/>
      <c r="K474" s="15"/>
      <c r="L474" s="15"/>
      <c r="M474" s="7" t="b">
        <f>IFERROR(__xludf.DUMMYFUNCTION("""COMPUTED_VALUE"""),FALSE)</f>
        <v>0</v>
      </c>
      <c r="N474" s="10">
        <f>IFERROR(__xludf.DUMMYFUNCTION("""COMPUTED_VALUE"""),0)</f>
        <v>0</v>
      </c>
      <c r="O474" s="10">
        <f>IFERROR(__xludf.DUMMYFUNCTION("""COMPUTED_VALUE"""),0)</f>
        <v>0</v>
      </c>
      <c r="P474" s="8"/>
      <c r="Q474" s="7"/>
      <c r="R474" s="16"/>
      <c r="S474" s="17"/>
      <c r="T474" s="8"/>
      <c r="U474" s="8"/>
      <c r="V474" s="22"/>
      <c r="W474" s="12"/>
      <c r="X474" s="12"/>
      <c r="Y474" s="12"/>
      <c r="Z474" s="12"/>
      <c r="AA474" s="7"/>
      <c r="AB474" s="12"/>
      <c r="AC474" s="6"/>
      <c r="AD474" s="6"/>
      <c r="AE474" s="7"/>
      <c r="AF474" s="7"/>
      <c r="AG474" s="7"/>
      <c r="AH474" s="7"/>
      <c r="AI474" s="7"/>
      <c r="AJ474" s="7"/>
      <c r="AK474" s="7"/>
      <c r="AL474" s="7"/>
      <c r="AM474" s="7"/>
      <c r="AN474" s="7"/>
      <c r="AO474" s="6"/>
      <c r="AP474" s="7"/>
      <c r="AQ474" s="7"/>
      <c r="AR474" s="6"/>
      <c r="AS474" s="7"/>
      <c r="AT474" s="7"/>
      <c r="AU474" s="7"/>
      <c r="AV474" s="7"/>
      <c r="AW474" s="7"/>
      <c r="AX474" s="7"/>
      <c r="AY474" s="7"/>
      <c r="AZ474" s="7"/>
      <c r="BA474" s="7"/>
      <c r="BB474" s="7"/>
      <c r="BC474" s="7"/>
      <c r="BD474" s="7"/>
      <c r="BE474" s="7"/>
      <c r="BF474" s="7"/>
      <c r="BG474" s="7"/>
    </row>
    <row r="475" customHeight="1" spans="1:59">
      <c r="A475" s="23" t="str">
        <f>IFERROR(__xludf.DUMMYFUNCTION("""COMPUTED_VALUE"""),"Hurston 114")</f>
        <v>Hurston 114</v>
      </c>
      <c r="B475" s="23" t="str">
        <f>IFERROR(__xludf.DUMMYFUNCTION("""COMPUTED_VALUE"""),"Hurston 125")</f>
        <v>Hurston 125</v>
      </c>
      <c r="C475" s="23" t="str">
        <f>IFERROR(__xludf.DUMMYFUNCTION("""COMPUTED_VALUE"""),"Hurston 58")</f>
        <v>Hurston 58</v>
      </c>
      <c r="D475" s="23" t="str">
        <f>IFERROR(__xludf.DUMMYFUNCTION("""COMPUTED_VALUE"""),"Starfarer Wreck 31S")</f>
        <v>Starfarer Wreck 31S</v>
      </c>
      <c r="E475" s="23" t="str">
        <f>IFERROR(__xludf.DUMMYFUNCTION("""COMPUTED_VALUE"""),"Starfarer 31S")</f>
        <v>Starfarer 31S</v>
      </c>
      <c r="F475" s="11">
        <f>IFERROR(__xludf.DUMMYFUNCTION("""COMPUTED_VALUE"""),774.787931697828)</f>
        <v>774.787931697828</v>
      </c>
      <c r="G475" s="11">
        <f>IFERROR(__xludf.DUMMYFUNCTION("""COMPUTED_VALUE"""),8.140294372633)</f>
        <v>8.140294372633</v>
      </c>
      <c r="H475" s="11">
        <f>IFERROR(__xludf.DUMMYFUNCTION("""COMPUTED_VALUE"""),633.956307752477)</f>
        <v>633.956307752477</v>
      </c>
      <c r="I475" s="15"/>
      <c r="J475" s="15"/>
      <c r="K475" s="15"/>
      <c r="L475" s="15"/>
      <c r="M475" s="23" t="b">
        <f>IFERROR(__xludf.DUMMYFUNCTION("""COMPUTED_VALUE"""),FALSE)</f>
        <v>0</v>
      </c>
      <c r="N475" s="10">
        <f>IFERROR(__xludf.DUMMYFUNCTION("""COMPUTED_VALUE"""),0)</f>
        <v>0</v>
      </c>
      <c r="O475" s="10">
        <f>IFERROR(__xludf.DUMMYFUNCTION("""COMPUTED_VALUE"""),0)</f>
        <v>0</v>
      </c>
      <c r="P475" s="24"/>
      <c r="Q475" s="23"/>
      <c r="R475" s="25"/>
      <c r="S475" s="26"/>
      <c r="T475" s="24"/>
      <c r="U475" s="24"/>
      <c r="V475" s="22"/>
      <c r="W475" s="12"/>
      <c r="X475" s="12"/>
      <c r="Y475" s="12"/>
      <c r="Z475" s="12"/>
      <c r="AA475" s="23"/>
      <c r="AB475" s="12"/>
      <c r="AC475" s="6"/>
      <c r="AD475" s="6"/>
      <c r="AE475" s="7"/>
      <c r="AF475" s="7"/>
      <c r="AG475" s="7"/>
      <c r="AH475" s="7"/>
      <c r="AI475" s="7"/>
      <c r="AJ475" s="7"/>
      <c r="AK475" s="7"/>
      <c r="AL475" s="7"/>
      <c r="AM475" s="7"/>
      <c r="AN475" s="7"/>
      <c r="AO475" s="6"/>
      <c r="AP475" s="7"/>
      <c r="AQ475" s="7"/>
      <c r="AR475" s="6"/>
      <c r="AS475" s="23"/>
      <c r="AT475" s="23"/>
      <c r="AU475" s="23"/>
      <c r="AV475" s="23"/>
      <c r="AW475" s="23"/>
      <c r="AX475" s="23"/>
      <c r="AY475" s="23"/>
      <c r="AZ475" s="23"/>
      <c r="BA475" s="23"/>
      <c r="BB475" s="23"/>
      <c r="BC475" s="23"/>
      <c r="BD475" s="23"/>
      <c r="BE475" s="23"/>
      <c r="BF475" s="23"/>
      <c r="BG475" s="23"/>
    </row>
    <row r="476" customHeight="1" spans="1:59">
      <c r="A476" s="23" t="str">
        <f>IFERROR(__xludf.DUMMYFUNCTION("""COMPUTED_VALUE"""),"Hurston 116")</f>
        <v>Hurston 116</v>
      </c>
      <c r="B476" s="23" t="str">
        <f>IFERROR(__xludf.DUMMYFUNCTION("""COMPUTED_VALUE"""),"Hurston 127")</f>
        <v>Hurston 127</v>
      </c>
      <c r="C476" s="23" t="str">
        <f>IFERROR(__xludf.DUMMYFUNCTION("""COMPUTED_VALUE"""),"Hurston 02")</f>
        <v>Hurston 02</v>
      </c>
      <c r="D476" s="23" t="str">
        <f>IFERROR(__xludf.DUMMYFUNCTION("""COMPUTED_VALUE"""),"Starfarer Wreck 58L")</f>
        <v>Starfarer Wreck 58L</v>
      </c>
      <c r="E476" s="23" t="str">
        <f>IFERROR(__xludf.DUMMYFUNCTION("""COMPUTED_VALUE"""),"Starfarer 58L")</f>
        <v>Starfarer 58L</v>
      </c>
      <c r="F476" s="11">
        <f>IFERROR(__xludf.DUMMYFUNCTION("""COMPUTED_VALUE"""),-950.244058998478)</f>
        <v>-950.244058998478</v>
      </c>
      <c r="G476" s="11">
        <f>IFERROR(__xludf.DUMMYFUNCTION("""COMPUTED_VALUE"""),276.429530231394)</f>
        <v>276.429530231394</v>
      </c>
      <c r="H476" s="11">
        <f>IFERROR(__xludf.DUMMYFUNCTION("""COMPUTED_VALUE"""),-152.586921312737)</f>
        <v>-152.586921312737</v>
      </c>
      <c r="I476" s="15"/>
      <c r="J476" s="15"/>
      <c r="K476" s="15"/>
      <c r="L476" s="15"/>
      <c r="M476" s="23" t="b">
        <f>IFERROR(__xludf.DUMMYFUNCTION("""COMPUTED_VALUE"""),FALSE)</f>
        <v>0</v>
      </c>
      <c r="N476" s="10">
        <f>IFERROR(__xludf.DUMMYFUNCTION("""COMPUTED_VALUE"""),0)</f>
        <v>0</v>
      </c>
      <c r="O476" s="10">
        <f>IFERROR(__xludf.DUMMYFUNCTION("""COMPUTED_VALUE"""),0)</f>
        <v>0</v>
      </c>
      <c r="P476" s="24"/>
      <c r="Q476" s="23"/>
      <c r="R476" s="25"/>
      <c r="S476" s="26"/>
      <c r="T476" s="24"/>
      <c r="U476" s="24"/>
      <c r="V476" s="22"/>
      <c r="W476" s="12"/>
      <c r="X476" s="12"/>
      <c r="Y476" s="12"/>
      <c r="Z476" s="12"/>
      <c r="AA476" s="23"/>
      <c r="AB476" s="12"/>
      <c r="AC476" s="6"/>
      <c r="AD476" s="6"/>
      <c r="AE476" s="7"/>
      <c r="AF476" s="7"/>
      <c r="AG476" s="7"/>
      <c r="AH476" s="7"/>
      <c r="AI476" s="7"/>
      <c r="AJ476" s="7"/>
      <c r="AK476" s="7"/>
      <c r="AL476" s="7"/>
      <c r="AM476" s="7"/>
      <c r="AN476" s="7"/>
      <c r="AO476" s="6"/>
      <c r="AP476" s="7"/>
      <c r="AQ476" s="7"/>
      <c r="AR476" s="6"/>
      <c r="AS476" s="23"/>
      <c r="AT476" s="23"/>
      <c r="AU476" s="23"/>
      <c r="AV476" s="23"/>
      <c r="AW476" s="23"/>
      <c r="AX476" s="23"/>
      <c r="AY476" s="23"/>
      <c r="AZ476" s="23"/>
      <c r="BA476" s="23"/>
      <c r="BB476" s="23"/>
      <c r="BC476" s="23"/>
      <c r="BD476" s="23"/>
      <c r="BE476" s="23"/>
      <c r="BF476" s="23"/>
      <c r="BG476" s="23"/>
    </row>
    <row r="477" customHeight="1" spans="1:59">
      <c r="A477" s="9" t="str">
        <f>IFERROR(__xludf.DUMMYFUNCTION("""COMPUTED_VALUE"""),"Hurston 113")</f>
        <v>Hurston 113</v>
      </c>
      <c r="B477" s="5" t="str">
        <f>IFERROR(__xludf.DUMMYFUNCTION("""COMPUTED_VALUE"""),"Hurston 124")</f>
        <v>Hurston 124</v>
      </c>
      <c r="C477" s="5" t="str">
        <f>IFERROR(__xludf.DUMMYFUNCTION("""COMPUTED_VALUE"""),"Hurston 60")</f>
        <v>Hurston 60</v>
      </c>
      <c r="D477" s="5" t="str">
        <f>IFERROR(__xludf.DUMMYFUNCTION("""COMPUTED_VALUE"""),"Starfarer Wreck 30L")</f>
        <v>Starfarer Wreck 30L</v>
      </c>
      <c r="E477" s="7" t="str">
        <f>IFERROR(__xludf.DUMMYFUNCTION("""COMPUTED_VALUE"""),"Starfarer 30L")</f>
        <v>Starfarer 30L</v>
      </c>
      <c r="F477" s="11">
        <f>IFERROR(__xludf.DUMMYFUNCTION("""COMPUTED_VALUE"""),979.863794954941)</f>
        <v>979.863794954941</v>
      </c>
      <c r="G477" s="11">
        <f>IFERROR(__xludf.DUMMYFUNCTION("""COMPUTED_VALUE"""),-47.468799931292)</f>
        <v>-47.468799931292</v>
      </c>
      <c r="H477" s="11">
        <f>IFERROR(__xludf.DUMMYFUNCTION("""COMPUTED_VALUE"""),-193.947371527254)</f>
        <v>-193.947371527254</v>
      </c>
      <c r="I477" s="15"/>
      <c r="J477" s="15"/>
      <c r="K477" s="15"/>
      <c r="L477" s="15"/>
      <c r="M477" s="7" t="b">
        <f>IFERROR(__xludf.DUMMYFUNCTION("""COMPUTED_VALUE"""),FALSE)</f>
        <v>0</v>
      </c>
      <c r="N477" s="10">
        <f>IFERROR(__xludf.DUMMYFUNCTION("""COMPUTED_VALUE"""),0)</f>
        <v>0</v>
      </c>
      <c r="O477" s="10">
        <f>IFERROR(__xludf.DUMMYFUNCTION("""COMPUTED_VALUE"""),0)</f>
        <v>0</v>
      </c>
      <c r="P477" s="8"/>
      <c r="Q477" s="7"/>
      <c r="R477" s="16"/>
      <c r="S477" s="17"/>
      <c r="T477" s="8"/>
      <c r="U477" s="8"/>
      <c r="V477" s="22"/>
      <c r="W477" s="12"/>
      <c r="X477" s="12"/>
      <c r="Y477" s="12"/>
      <c r="Z477" s="12"/>
      <c r="AA477" s="7"/>
      <c r="AB477" s="12"/>
      <c r="AC477" s="6"/>
      <c r="AD477" s="6"/>
      <c r="AE477" s="7"/>
      <c r="AF477" s="7"/>
      <c r="AG477" s="7"/>
      <c r="AH477" s="7"/>
      <c r="AI477" s="7"/>
      <c r="AJ477" s="7"/>
      <c r="AK477" s="7"/>
      <c r="AL477" s="7"/>
      <c r="AM477" s="7"/>
      <c r="AN477" s="7"/>
      <c r="AO477" s="6"/>
      <c r="AP477" s="7"/>
      <c r="AQ477" s="7"/>
      <c r="AR477" s="6"/>
      <c r="AS477" s="7"/>
      <c r="AT477" s="7"/>
      <c r="AU477" s="7"/>
      <c r="AV477" s="7"/>
      <c r="AW477" s="7"/>
      <c r="AX477" s="7"/>
      <c r="AY477" s="7"/>
      <c r="AZ477" s="7"/>
      <c r="BA477" s="7"/>
      <c r="BB477" s="7"/>
      <c r="BC477" s="7"/>
      <c r="BD477" s="7"/>
      <c r="BE477" s="7"/>
      <c r="BF477" s="7"/>
      <c r="BG477" s="7"/>
    </row>
    <row r="478" customHeight="1" spans="1:59">
      <c r="A478" s="9" t="str">
        <f>IFERROR(__xludf.DUMMYFUNCTION("""COMPUTED_VALUE"""),"Hurston")</f>
        <v>Hurston</v>
      </c>
      <c r="B478" s="5" t="str">
        <f>IFERROR(__xludf.DUMMYFUNCTION("""COMPUTED_VALUE"""),"Hurston 129")</f>
        <v>Hurston 129</v>
      </c>
      <c r="C478" s="5"/>
      <c r="D478" s="5" t="str">
        <f>IFERROR(__xludf.DUMMYFUNCTION("""COMPUTED_VALUE"""),"Comm Array")</f>
        <v>Comm Array</v>
      </c>
      <c r="E478" s="7"/>
      <c r="F478" s="11"/>
      <c r="G478" s="11"/>
      <c r="H478" s="11"/>
      <c r="I478" s="15"/>
      <c r="J478" s="15"/>
      <c r="K478" s="15"/>
      <c r="L478" s="15"/>
      <c r="M478" s="7"/>
      <c r="N478" s="10"/>
      <c r="O478" s="10"/>
      <c r="P478" s="8"/>
      <c r="Q478" s="7"/>
      <c r="R478" s="16"/>
      <c r="S478" s="17"/>
      <c r="T478" s="8"/>
      <c r="U478" s="8"/>
      <c r="V478" s="22"/>
      <c r="W478" s="12"/>
      <c r="X478" s="12"/>
      <c r="Y478" s="12"/>
      <c r="Z478" s="12"/>
      <c r="AA478" s="7"/>
      <c r="AB478" s="12"/>
      <c r="AC478" s="6"/>
      <c r="AD478" s="6"/>
      <c r="AE478" s="7"/>
      <c r="AF478" s="7"/>
      <c r="AG478" s="7"/>
      <c r="AH478" s="7"/>
      <c r="AI478" s="7"/>
      <c r="AJ478" s="7"/>
      <c r="AK478" s="7"/>
      <c r="AL478" s="7"/>
      <c r="AM478" s="7"/>
      <c r="AN478" s="7"/>
      <c r="AO478" s="6"/>
      <c r="AP478" s="7"/>
      <c r="AQ478" s="7"/>
      <c r="AR478" s="6"/>
      <c r="AS478" s="7"/>
      <c r="AT478" s="7"/>
      <c r="AU478" s="7"/>
      <c r="AV478" s="7"/>
      <c r="AW478" s="7"/>
      <c r="AX478" s="7"/>
      <c r="AY478" s="7"/>
      <c r="AZ478" s="7"/>
      <c r="BA478" s="7"/>
      <c r="BB478" s="7"/>
      <c r="BC478" s="7"/>
      <c r="BD478" s="7"/>
      <c r="BE478" s="7"/>
      <c r="BF478" s="7"/>
      <c r="BG478" s="7"/>
    </row>
    <row r="479" customHeight="1" spans="1:59">
      <c r="A479" s="9" t="str">
        <f>IFERROR(__xludf.DUMMYFUNCTION("""COMPUTED_VALUE"""),"Hurston 29")</f>
        <v>Hurston 29</v>
      </c>
      <c r="B479" s="5" t="str">
        <f>IFERROR(__xludf.DUMMYFUNCTION("""COMPUTED_VALUE"""),"Hurston 130")</f>
        <v>Hurston 130</v>
      </c>
      <c r="C479" s="5" t="str">
        <f>IFERROR(__xludf.DUMMYFUNCTION("""COMPUTED_VALUE"""),"Hurston 68")</f>
        <v>Hurston 68</v>
      </c>
      <c r="D479" s="5" t="str">
        <f>IFERROR(__xludf.DUMMYFUNCTION("""COMPUTED_VALUE"""),"Comm Array ST1-61")</f>
        <v>Comm Array ST1-61</v>
      </c>
      <c r="E479" s="7" t="str">
        <f>IFERROR(__xludf.DUMMYFUNCTION("""COMPUTED_VALUE"""),"ST1-61")</f>
        <v>ST1-61</v>
      </c>
      <c r="F479" s="11">
        <f>IFERROR(__xludf.DUMMYFUNCTION("""COMPUTED_VALUE"""),919.253447999954)</f>
        <v>919.253447999954</v>
      </c>
      <c r="G479" s="11">
        <f>IFERROR(__xludf.DUMMYFUNCTION("""COMPUTED_VALUE"""),-771.345408289)</f>
        <v>-771.345408289</v>
      </c>
      <c r="H479" s="11">
        <f>IFERROR(__xludf.DUMMYFUNCTION("""COMPUTED_VALUE"""),24)</f>
        <v>24</v>
      </c>
      <c r="I479" s="15"/>
      <c r="J479" s="15"/>
      <c r="K479" s="15"/>
      <c r="L479" s="15"/>
      <c r="M479" s="7" t="b">
        <f>IFERROR(__xludf.DUMMYFUNCTION("""COMPUTED_VALUE"""),TRUE)</f>
        <v>1</v>
      </c>
      <c r="N479" s="10">
        <f>IFERROR(__xludf.DUMMYFUNCTION("""COMPUTED_VALUE"""),0)</f>
        <v>0</v>
      </c>
      <c r="O479" s="10">
        <f>IFERROR(__xludf.DUMMYFUNCTION("""COMPUTED_VALUE"""),0)</f>
        <v>0</v>
      </c>
      <c r="P479" s="8"/>
      <c r="Q479" s="7"/>
      <c r="R479" s="16"/>
      <c r="S479" s="17"/>
      <c r="T479" s="8"/>
      <c r="U479" s="8"/>
      <c r="V479" s="22"/>
      <c r="W479" s="12"/>
      <c r="X479" s="12"/>
      <c r="Y479" s="12"/>
      <c r="Z479" s="12"/>
      <c r="AA479" s="7"/>
      <c r="AB479" s="12"/>
      <c r="AC479" s="6"/>
      <c r="AD479" s="6"/>
      <c r="AE479" s="7"/>
      <c r="AF479" s="7"/>
      <c r="AG479" s="7"/>
      <c r="AH479" s="7"/>
      <c r="AI479" s="7"/>
      <c r="AJ479" s="7"/>
      <c r="AK479" s="7"/>
      <c r="AL479" s="7"/>
      <c r="AM479" s="7"/>
      <c r="AN479" s="7"/>
      <c r="AO479" s="6"/>
      <c r="AP479" s="7"/>
      <c r="AQ479" s="7"/>
      <c r="AR479" s="6"/>
      <c r="AS479" s="7"/>
      <c r="AT479" s="7"/>
      <c r="AU479" s="7"/>
      <c r="AV479" s="7"/>
      <c r="AW479" s="7"/>
      <c r="AX479" s="7"/>
      <c r="AY479" s="7"/>
      <c r="AZ479" s="7"/>
      <c r="BA479" s="7"/>
      <c r="BB479" s="7"/>
      <c r="BC479" s="7"/>
      <c r="BD479" s="7"/>
      <c r="BE479" s="7"/>
      <c r="BF479" s="7"/>
      <c r="BG479" s="7"/>
    </row>
    <row r="480" customHeight="1" spans="1:59">
      <c r="A480" s="9" t="str">
        <f>IFERROR(__xludf.DUMMYFUNCTION("""COMPUTED_VALUE"""),"Hurston")</f>
        <v>Hurston</v>
      </c>
      <c r="B480" s="5" t="str">
        <f>IFERROR(__xludf.DUMMYFUNCTION("""COMPUTED_VALUE"""),"Hurston 132")</f>
        <v>Hurston 132</v>
      </c>
      <c r="C480" s="5"/>
      <c r="D480" s="5" t="str">
        <f>IFERROR(__xludf.DUMMYFUNCTION("""COMPUTED_VALUE"""),"Rivers")</f>
        <v>Rivers</v>
      </c>
      <c r="E480" s="7"/>
      <c r="F480" s="11"/>
      <c r="G480" s="11"/>
      <c r="H480" s="11"/>
      <c r="I480" s="15"/>
      <c r="J480" s="15"/>
      <c r="K480" s="15"/>
      <c r="L480" s="15"/>
      <c r="M480" s="7"/>
      <c r="N480" s="10"/>
      <c r="O480" s="10"/>
      <c r="P480" s="8"/>
      <c r="Q480" s="7"/>
      <c r="R480" s="16"/>
      <c r="S480" s="17"/>
      <c r="T480" s="8"/>
      <c r="U480" s="8"/>
      <c r="V480" s="22"/>
      <c r="W480" s="12"/>
      <c r="X480" s="12"/>
      <c r="Y480" s="12"/>
      <c r="Z480" s="12"/>
      <c r="AA480" s="7"/>
      <c r="AB480" s="12"/>
      <c r="AC480" s="6"/>
      <c r="AD480" s="6"/>
      <c r="AE480" s="7"/>
      <c r="AF480" s="7"/>
      <c r="AG480" s="7"/>
      <c r="AH480" s="7"/>
      <c r="AI480" s="7"/>
      <c r="AJ480" s="7"/>
      <c r="AK480" s="7"/>
      <c r="AL480" s="7"/>
      <c r="AM480" s="7"/>
      <c r="AN480" s="7"/>
      <c r="AO480" s="6"/>
      <c r="AP480" s="7"/>
      <c r="AQ480" s="7"/>
      <c r="AR480" s="6"/>
      <c r="AS480" s="7"/>
      <c r="AT480" s="7"/>
      <c r="AU480" s="7"/>
      <c r="AV480" s="7"/>
      <c r="AW480" s="7"/>
      <c r="AX480" s="7"/>
      <c r="AY480" s="7"/>
      <c r="AZ480" s="7"/>
      <c r="BA480" s="7"/>
      <c r="BB480" s="7"/>
      <c r="BC480" s="7"/>
      <c r="BD480" s="7"/>
      <c r="BE480" s="7"/>
      <c r="BF480" s="7"/>
      <c r="BG480" s="7"/>
    </row>
    <row r="481" customHeight="1" spans="1:59">
      <c r="A481" s="9" t="str">
        <f>IFERROR(__xludf.DUMMYFUNCTION("""COMPUTED_VALUE"""),"Hurston 133")</f>
        <v>Hurston 133</v>
      </c>
      <c r="B481" s="5" t="str">
        <f>IFERROR(__xludf.DUMMYFUNCTION("""COMPUTED_VALUE"""),"Hurston 149")</f>
        <v>Hurston 149</v>
      </c>
      <c r="C481" s="5" t="str">
        <f>IFERROR(__xludf.DUMMYFUNCTION("""COMPUTED_VALUE"""),"Hurston 06")</f>
        <v>Hurston 06</v>
      </c>
      <c r="D481" s="5" t="str">
        <f>IFERROR(__xludf.DUMMYFUNCTION("""COMPUTED_VALUE"""),"River 57M")</f>
        <v>River 57M</v>
      </c>
      <c r="E481" s="7" t="str">
        <f>IFERROR(__xludf.DUMMYFUNCTION("""COMPUTED_VALUE"""),"River 57M")</f>
        <v>River 57M</v>
      </c>
      <c r="F481" s="11">
        <f>IFERROR(__xludf.DUMMYFUNCTION("""COMPUTED_VALUE"""),-941.47293753583)</f>
        <v>-941.47293753583</v>
      </c>
      <c r="G481" s="11">
        <f>IFERROR(__xludf.DUMMYFUNCTION("""COMPUTED_VALUE"""),339.55637006903)</f>
        <v>339.55637006903</v>
      </c>
      <c r="H481" s="11">
        <f>IFERROR(__xludf.DUMMYFUNCTION("""COMPUTED_VALUE"""),-37.63138641525)</f>
        <v>-37.63138641525</v>
      </c>
      <c r="I481" s="15"/>
      <c r="J481" s="15"/>
      <c r="K481" s="15"/>
      <c r="L481" s="15"/>
      <c r="M481" s="7" t="b">
        <f>IFERROR(__xludf.DUMMYFUNCTION("""COMPUTED_VALUE"""),FALSE)</f>
        <v>0</v>
      </c>
      <c r="N481" s="10">
        <f>IFERROR(__xludf.DUMMYFUNCTION("""COMPUTED_VALUE"""),0)</f>
        <v>0</v>
      </c>
      <c r="O481" s="10">
        <f>IFERROR(__xludf.DUMMYFUNCTION("""COMPUTED_VALUE"""),0)</f>
        <v>0</v>
      </c>
      <c r="P481" s="8"/>
      <c r="Q481" s="7"/>
      <c r="R481" s="16"/>
      <c r="S481" s="17"/>
      <c r="T481" s="8"/>
      <c r="U481" s="8"/>
      <c r="V481" s="22"/>
      <c r="W481" s="12"/>
      <c r="X481" s="12"/>
      <c r="Y481" s="12"/>
      <c r="Z481" s="12"/>
      <c r="AA481" s="7"/>
      <c r="AB481" s="12"/>
      <c r="AC481" s="6"/>
      <c r="AD481" s="6"/>
      <c r="AE481" s="7"/>
      <c r="AF481" s="7"/>
      <c r="AG481" s="7"/>
      <c r="AH481" s="7"/>
      <c r="AI481" s="7"/>
      <c r="AJ481" s="7"/>
      <c r="AK481" s="7"/>
      <c r="AL481" s="7"/>
      <c r="AM481" s="7"/>
      <c r="AN481" s="7"/>
      <c r="AO481" s="6"/>
      <c r="AP481" s="7"/>
      <c r="AQ481" s="7"/>
      <c r="AR481" s="6"/>
      <c r="AS481" s="7"/>
      <c r="AT481" s="7"/>
      <c r="AU481" s="7"/>
      <c r="AV481" s="7"/>
      <c r="AW481" s="7"/>
      <c r="AX481" s="7"/>
      <c r="AY481" s="7"/>
      <c r="AZ481" s="7"/>
      <c r="BA481" s="7"/>
      <c r="BB481" s="7"/>
      <c r="BC481" s="7"/>
      <c r="BD481" s="7"/>
      <c r="BE481" s="7"/>
      <c r="BF481" s="7"/>
      <c r="BG481" s="7"/>
    </row>
    <row r="482" customHeight="1" spans="1:59">
      <c r="A482" s="9" t="str">
        <f>IFERROR(__xludf.DUMMYFUNCTION("""COMPUTED_VALUE"""),"Hurston 122")</f>
        <v>Hurston 122</v>
      </c>
      <c r="B482" s="5" t="str">
        <f>IFERROR(__xludf.DUMMYFUNCTION("""COMPUTED_VALUE"""),"Hurston 138")</f>
        <v>Hurston 138</v>
      </c>
      <c r="C482" s="5" t="str">
        <f>IFERROR(__xludf.DUMMYFUNCTION("""COMPUTED_VALUE"""),"Hurston 122")</f>
        <v>Hurston 122</v>
      </c>
      <c r="D482" s="5" t="str">
        <f>IFERROR(__xludf.DUMMYFUNCTION("""COMPUTED_VALUE"""),"River 04S-048")</f>
        <v>River 04S-048</v>
      </c>
      <c r="E482" s="7" t="str">
        <f>IFERROR(__xludf.DUMMYFUNCTION("""COMPUTED_VALUE"""),"River 04S048")</f>
        <v>River 04S048</v>
      </c>
      <c r="F482" s="11">
        <f>IFERROR(__xludf.DUMMYFUNCTION("""COMPUTED_VALUE"""),-717.81877367865)</f>
        <v>-717.81877367865</v>
      </c>
      <c r="G482" s="11">
        <f>IFERROR(__xludf.DUMMYFUNCTION("""COMPUTED_VALUE"""),-316.37633065235)</f>
        <v>-316.37633065235</v>
      </c>
      <c r="H482" s="11">
        <f>IFERROR(__xludf.DUMMYFUNCTION("""COMPUTED_VALUE"""),623.82253638437)</f>
        <v>623.82253638437</v>
      </c>
      <c r="I482" s="15"/>
      <c r="J482" s="15"/>
      <c r="K482" s="15"/>
      <c r="L482" s="15"/>
      <c r="M482" s="7" t="b">
        <f>IFERROR(__xludf.DUMMYFUNCTION("""COMPUTED_VALUE"""),FALSE)</f>
        <v>0</v>
      </c>
      <c r="N482" s="10">
        <f>IFERROR(__xludf.DUMMYFUNCTION("""COMPUTED_VALUE"""),0)</f>
        <v>0</v>
      </c>
      <c r="O482" s="10">
        <f>IFERROR(__xludf.DUMMYFUNCTION("""COMPUTED_VALUE"""),0)</f>
        <v>0</v>
      </c>
      <c r="P482" s="8"/>
      <c r="Q482" s="7"/>
      <c r="R482" s="16"/>
      <c r="S482" s="17"/>
      <c r="T482" s="8"/>
      <c r="U482" s="8"/>
      <c r="V482" s="22"/>
      <c r="W482" s="12"/>
      <c r="X482" s="12"/>
      <c r="Y482" s="12"/>
      <c r="Z482" s="12"/>
      <c r="AA482" s="7"/>
      <c r="AB482" s="12"/>
      <c r="AC482" s="6"/>
      <c r="AD482" s="6"/>
      <c r="AE482" s="7"/>
      <c r="AF482" s="7"/>
      <c r="AG482" s="7"/>
      <c r="AH482" s="7"/>
      <c r="AI482" s="7"/>
      <c r="AJ482" s="7"/>
      <c r="AK482" s="7"/>
      <c r="AL482" s="7"/>
      <c r="AM482" s="7"/>
      <c r="AN482" s="7"/>
      <c r="AO482" s="6"/>
      <c r="AP482" s="7"/>
      <c r="AQ482" s="7"/>
      <c r="AR482" s="6"/>
      <c r="AS482" s="7"/>
      <c r="AT482" s="7"/>
      <c r="AU482" s="7"/>
      <c r="AV482" s="7"/>
      <c r="AW482" s="7"/>
      <c r="AX482" s="7"/>
      <c r="AY482" s="7"/>
      <c r="AZ482" s="7"/>
      <c r="BA482" s="7"/>
      <c r="BB482" s="7"/>
      <c r="BC482" s="7"/>
      <c r="BD482" s="7"/>
      <c r="BE482" s="7"/>
      <c r="BF482" s="7"/>
      <c r="BG482" s="7"/>
    </row>
    <row r="483" customHeight="1" spans="1:59">
      <c r="A483" s="9" t="str">
        <f>IFERROR(__xludf.DUMMYFUNCTION("""COMPUTED_VALUE"""),"Hurston 134")</f>
        <v>Hurston 134</v>
      </c>
      <c r="B483" s="5" t="str">
        <f>IFERROR(__xludf.DUMMYFUNCTION("""COMPUTED_VALUE"""),"Hurston 150")</f>
        <v>Hurston 150</v>
      </c>
      <c r="C483" s="5" t="str">
        <f>IFERROR(__xludf.DUMMYFUNCTION("""COMPUTED_VALUE"""),"Hurston 39")</f>
        <v>Hurston 39</v>
      </c>
      <c r="D483" s="5" t="str">
        <f>IFERROR(__xludf.DUMMYFUNCTION("""COMPUTED_VALUE"""),"River BBM")</f>
        <v>River BBM</v>
      </c>
      <c r="E483" s="7" t="str">
        <f>IFERROR(__xludf.DUMMYFUNCTION("""COMPUTED_VALUE"""),"River BBM")</f>
        <v>River BBM</v>
      </c>
      <c r="F483" s="11">
        <f>IFERROR(__xludf.DUMMYFUNCTION("""COMPUTED_VALUE"""),-5.16045343899)</f>
        <v>-5.16045343899</v>
      </c>
      <c r="G483" s="11">
        <f>IFERROR(__xludf.DUMMYFUNCTION("""COMPUTED_VALUE"""),109.53625856982)</f>
        <v>109.53625856982</v>
      </c>
      <c r="H483" s="11">
        <f>IFERROR(__xludf.DUMMYFUNCTION("""COMPUTED_VALUE"""),-995.07984405911)</f>
        <v>-995.07984405911</v>
      </c>
      <c r="I483" s="15"/>
      <c r="J483" s="15"/>
      <c r="K483" s="15"/>
      <c r="L483" s="15"/>
      <c r="M483" s="7" t="b">
        <f>IFERROR(__xludf.DUMMYFUNCTION("""COMPUTED_VALUE"""),FALSE)</f>
        <v>0</v>
      </c>
      <c r="N483" s="10">
        <f>IFERROR(__xludf.DUMMYFUNCTION("""COMPUTED_VALUE"""),0)</f>
        <v>0</v>
      </c>
      <c r="O483" s="10">
        <f>IFERROR(__xludf.DUMMYFUNCTION("""COMPUTED_VALUE"""),0)</f>
        <v>0</v>
      </c>
      <c r="P483" s="8"/>
      <c r="Q483" s="7"/>
      <c r="R483" s="16"/>
      <c r="S483" s="17"/>
      <c r="T483" s="8"/>
      <c r="U483" s="8"/>
      <c r="V483" s="22"/>
      <c r="W483" s="12"/>
      <c r="X483" s="12"/>
      <c r="Y483" s="12"/>
      <c r="Z483" s="12"/>
      <c r="AA483" s="7"/>
      <c r="AB483" s="12"/>
      <c r="AC483" s="6"/>
      <c r="AD483" s="6"/>
      <c r="AE483" s="7"/>
      <c r="AF483" s="7"/>
      <c r="AG483" s="7"/>
      <c r="AH483" s="7"/>
      <c r="AI483" s="7"/>
      <c r="AJ483" s="7"/>
      <c r="AK483" s="7"/>
      <c r="AL483" s="7"/>
      <c r="AM483" s="7"/>
      <c r="AN483" s="7"/>
      <c r="AO483" s="6"/>
      <c r="AP483" s="7"/>
      <c r="AQ483" s="7"/>
      <c r="AR483" s="6"/>
      <c r="AS483" s="7"/>
      <c r="AT483" s="7"/>
      <c r="AU483" s="7"/>
      <c r="AV483" s="7"/>
      <c r="AW483" s="7"/>
      <c r="AX483" s="7"/>
      <c r="AY483" s="7"/>
      <c r="AZ483" s="7"/>
      <c r="BA483" s="7"/>
      <c r="BB483" s="7"/>
      <c r="BC483" s="7"/>
      <c r="BD483" s="7"/>
      <c r="BE483" s="7"/>
      <c r="BF483" s="7"/>
      <c r="BG483" s="7"/>
    </row>
    <row r="484" customHeight="1" spans="1:59">
      <c r="A484" s="9" t="str">
        <f>IFERROR(__xludf.DUMMYFUNCTION("""COMPUTED_VALUE"""),"Hurston 126")</f>
        <v>Hurston 126</v>
      </c>
      <c r="B484" s="5" t="str">
        <f>IFERROR(__xludf.DUMMYFUNCTION("""COMPUTED_VALUE"""),"Hurston 142")</f>
        <v>Hurston 142</v>
      </c>
      <c r="C484" s="5" t="str">
        <f>IFERROR(__xludf.DUMMYFUNCTION("""COMPUTED_VALUE"""),"Hurston 118")</f>
        <v>Hurston 118</v>
      </c>
      <c r="D484" s="5" t="str">
        <f>IFERROR(__xludf.DUMMYFUNCTION("""COMPUTED_VALUE"""),"River 05T-X38")</f>
        <v>River 05T-X38</v>
      </c>
      <c r="E484" s="7" t="str">
        <f>IFERROR(__xludf.DUMMYFUNCTION("""COMPUTED_VALUE"""),"River 05TX38")</f>
        <v>River 05TX38</v>
      </c>
      <c r="F484" s="11">
        <f>IFERROR(__xludf.DUMMYFUNCTION("""COMPUTED_VALUE"""),-691.89278591302)</f>
        <v>-691.89278591302</v>
      </c>
      <c r="G484" s="11">
        <f>IFERROR(__xludf.DUMMYFUNCTION("""COMPUTED_VALUE"""),-317.43024486443)</f>
        <v>-317.43024486443</v>
      </c>
      <c r="H484" s="11">
        <f>IFERROR(__xludf.DUMMYFUNCTION("""COMPUTED_VALUE"""),651.23329915021)</f>
        <v>651.23329915021</v>
      </c>
      <c r="I484" s="15"/>
      <c r="J484" s="15"/>
      <c r="K484" s="15"/>
      <c r="L484" s="15"/>
      <c r="M484" s="7" t="b">
        <f>IFERROR(__xludf.DUMMYFUNCTION("""COMPUTED_VALUE"""),FALSE)</f>
        <v>0</v>
      </c>
      <c r="N484" s="10">
        <f>IFERROR(__xludf.DUMMYFUNCTION("""COMPUTED_VALUE"""),0)</f>
        <v>0</v>
      </c>
      <c r="O484" s="10">
        <f>IFERROR(__xludf.DUMMYFUNCTION("""COMPUTED_VALUE"""),0)</f>
        <v>0</v>
      </c>
      <c r="P484" s="8"/>
      <c r="Q484" s="7"/>
      <c r="R484" s="16"/>
      <c r="S484" s="17"/>
      <c r="T484" s="8"/>
      <c r="U484" s="8"/>
      <c r="V484" s="22"/>
      <c r="W484" s="12"/>
      <c r="X484" s="12"/>
      <c r="Y484" s="12"/>
      <c r="Z484" s="12"/>
      <c r="AA484" s="7"/>
      <c r="AB484" s="12"/>
      <c r="AC484" s="6"/>
      <c r="AD484" s="6"/>
      <c r="AE484" s="7"/>
      <c r="AF484" s="7"/>
      <c r="AG484" s="7"/>
      <c r="AH484" s="7"/>
      <c r="AI484" s="7"/>
      <c r="AJ484" s="7"/>
      <c r="AK484" s="7"/>
      <c r="AL484" s="7"/>
      <c r="AM484" s="7"/>
      <c r="AN484" s="7"/>
      <c r="AO484" s="6"/>
      <c r="AP484" s="7"/>
      <c r="AQ484" s="7"/>
      <c r="AR484" s="6"/>
      <c r="AS484" s="7"/>
      <c r="AT484" s="7"/>
      <c r="AU484" s="7"/>
      <c r="AV484" s="7"/>
      <c r="AW484" s="7"/>
      <c r="AX484" s="7"/>
      <c r="AY484" s="7"/>
      <c r="AZ484" s="7"/>
      <c r="BA484" s="7"/>
      <c r="BB484" s="7"/>
      <c r="BC484" s="7"/>
      <c r="BD484" s="7"/>
      <c r="BE484" s="7"/>
      <c r="BF484" s="7"/>
      <c r="BG484" s="7"/>
    </row>
    <row r="485" customHeight="1" spans="1:59">
      <c r="A485" s="9" t="str">
        <f>IFERROR(__xludf.DUMMYFUNCTION("""COMPUTED_VALUE"""),"Hurston 124")</f>
        <v>Hurston 124</v>
      </c>
      <c r="B485" s="9" t="str">
        <f>IFERROR(__xludf.DUMMYFUNCTION("""COMPUTED_VALUE"""),"Hurston 140")</f>
        <v>Hurston 140</v>
      </c>
      <c r="C485" s="5" t="str">
        <f>IFERROR(__xludf.DUMMYFUNCTION("""COMPUTED_VALUE"""),"Hurston 120")</f>
        <v>Hurston 120</v>
      </c>
      <c r="D485" s="5" t="str">
        <f>IFERROR(__xludf.DUMMYFUNCTION("""COMPUTED_VALUE"""),"River 05T-X12")</f>
        <v>River 05T-X12</v>
      </c>
      <c r="E485" s="7" t="str">
        <f>IFERROR(__xludf.DUMMYFUNCTION("""COMPUTED_VALUE"""),"River 05TX12")</f>
        <v>River 05TX12</v>
      </c>
      <c r="F485" s="11">
        <f>IFERROR(__xludf.DUMMYFUNCTION("""COMPUTED_VALUE"""),-690.41717867546)</f>
        <v>-690.41717867546</v>
      </c>
      <c r="G485" s="11">
        <f>IFERROR(__xludf.DUMMYFUNCTION("""COMPUTED_VALUE"""),-309.05756747468)</f>
        <v>-309.05756747468</v>
      </c>
      <c r="H485" s="11">
        <f>IFERROR(__xludf.DUMMYFUNCTION("""COMPUTED_VALUE"""),656.78379003294)</f>
        <v>656.78379003294</v>
      </c>
      <c r="I485" s="15"/>
      <c r="J485" s="15"/>
      <c r="K485" s="15"/>
      <c r="L485" s="15"/>
      <c r="M485" s="7" t="b">
        <f>IFERROR(__xludf.DUMMYFUNCTION("""COMPUTED_VALUE"""),FALSE)</f>
        <v>0</v>
      </c>
      <c r="N485" s="10">
        <f>IFERROR(__xludf.DUMMYFUNCTION("""COMPUTED_VALUE"""),0)</f>
        <v>0</v>
      </c>
      <c r="O485" s="10">
        <f>IFERROR(__xludf.DUMMYFUNCTION("""COMPUTED_VALUE"""),0)</f>
        <v>0</v>
      </c>
      <c r="P485" s="8"/>
      <c r="Q485" s="7"/>
      <c r="R485" s="16"/>
      <c r="S485" s="17"/>
      <c r="T485" s="8"/>
      <c r="U485" s="8"/>
      <c r="V485" s="22"/>
      <c r="W485" s="12"/>
      <c r="X485" s="12"/>
      <c r="Y485" s="12"/>
      <c r="Z485" s="12"/>
      <c r="AA485" s="7"/>
      <c r="AB485" s="12"/>
      <c r="AC485" s="6"/>
      <c r="AD485" s="6"/>
      <c r="AE485" s="7"/>
      <c r="AF485" s="7"/>
      <c r="AG485" s="7"/>
      <c r="AH485" s="7"/>
      <c r="AI485" s="7"/>
      <c r="AJ485" s="7"/>
      <c r="AK485" s="7"/>
      <c r="AL485" s="7"/>
      <c r="AM485" s="7"/>
      <c r="AN485" s="7"/>
      <c r="AO485" s="6"/>
      <c r="AP485" s="7"/>
      <c r="AQ485" s="7"/>
      <c r="AR485" s="6"/>
      <c r="AS485" s="7"/>
      <c r="AT485" s="7"/>
      <c r="AU485" s="7"/>
      <c r="AV485" s="7"/>
      <c r="AW485" s="7"/>
      <c r="AX485" s="7"/>
      <c r="AY485" s="7"/>
      <c r="AZ485" s="7"/>
      <c r="BA485" s="7"/>
      <c r="BB485" s="7"/>
      <c r="BC485" s="7"/>
      <c r="BD485" s="7"/>
      <c r="BE485" s="7"/>
      <c r="BF485" s="7"/>
      <c r="BG485" s="7"/>
    </row>
    <row r="486" customHeight="1" spans="1:59">
      <c r="A486" s="9" t="str">
        <f>IFERROR(__xludf.DUMMYFUNCTION("""COMPUTED_VALUE"""),"Hurston 123")</f>
        <v>Hurston 123</v>
      </c>
      <c r="B486" s="5" t="str">
        <f>IFERROR(__xludf.DUMMYFUNCTION("""COMPUTED_VALUE"""),"Hurston 139")</f>
        <v>Hurston 139</v>
      </c>
      <c r="C486" s="5" t="str">
        <f>IFERROR(__xludf.DUMMYFUNCTION("""COMPUTED_VALUE"""),"Hurston 115")</f>
        <v>Hurston 115</v>
      </c>
      <c r="D486" s="5" t="str">
        <f>IFERROR(__xludf.DUMMYFUNCTION("""COMPUTED_VALUE"""),"River 05D")</f>
        <v>River 05D</v>
      </c>
      <c r="E486" s="7" t="str">
        <f>IFERROR(__xludf.DUMMYFUNCTION("""COMPUTED_VALUE"""),"River 05D")</f>
        <v>River 05D</v>
      </c>
      <c r="F486" s="11">
        <f>IFERROR(__xludf.DUMMYFUNCTION("""COMPUTED_VALUE"""),-348.26626342389)</f>
        <v>-348.26626342389</v>
      </c>
      <c r="G486" s="11">
        <f>IFERROR(__xludf.DUMMYFUNCTION("""COMPUTED_VALUE"""),-192.23136411692)</f>
        <v>-192.23136411692</v>
      </c>
      <c r="H486" s="11">
        <f>IFERROR(__xludf.DUMMYFUNCTION("""COMPUTED_VALUE"""),-919.82639126899)</f>
        <v>-919.82639126899</v>
      </c>
      <c r="I486" s="15"/>
      <c r="J486" s="15"/>
      <c r="K486" s="15"/>
      <c r="L486" s="15"/>
      <c r="M486" s="7" t="b">
        <f>IFERROR(__xludf.DUMMYFUNCTION("""COMPUTED_VALUE"""),FALSE)</f>
        <v>0</v>
      </c>
      <c r="N486" s="10">
        <f>IFERROR(__xludf.DUMMYFUNCTION("""COMPUTED_VALUE"""),0)</f>
        <v>0</v>
      </c>
      <c r="O486" s="10">
        <f>IFERROR(__xludf.DUMMYFUNCTION("""COMPUTED_VALUE"""),0)</f>
        <v>0</v>
      </c>
      <c r="P486" s="8"/>
      <c r="Q486" s="7"/>
      <c r="R486" s="16"/>
      <c r="S486" s="17"/>
      <c r="T486" s="8"/>
      <c r="U486" s="8"/>
      <c r="V486" s="22"/>
      <c r="W486" s="12"/>
      <c r="X486" s="12"/>
      <c r="Y486" s="12"/>
      <c r="Z486" s="12"/>
      <c r="AA486" s="7"/>
      <c r="AB486" s="12"/>
      <c r="AC486" s="6"/>
      <c r="AD486" s="6"/>
      <c r="AE486" s="7"/>
      <c r="AF486" s="7"/>
      <c r="AG486" s="7"/>
      <c r="AH486" s="7"/>
      <c r="AI486" s="7"/>
      <c r="AJ486" s="7"/>
      <c r="AK486" s="7"/>
      <c r="AL486" s="7"/>
      <c r="AM486" s="7"/>
      <c r="AN486" s="7"/>
      <c r="AO486" s="6"/>
      <c r="AP486" s="7"/>
      <c r="AQ486" s="7"/>
      <c r="AR486" s="6"/>
      <c r="AS486" s="7"/>
      <c r="AT486" s="7"/>
      <c r="AU486" s="7"/>
      <c r="AV486" s="7"/>
      <c r="AW486" s="7"/>
      <c r="AX486" s="7"/>
      <c r="AY486" s="7"/>
      <c r="AZ486" s="7"/>
      <c r="BA486" s="7"/>
      <c r="BB486" s="7"/>
      <c r="BC486" s="7"/>
      <c r="BD486" s="7"/>
      <c r="BE486" s="7"/>
      <c r="BF486" s="7"/>
      <c r="BG486" s="7"/>
    </row>
    <row r="487" customHeight="1" spans="1:59">
      <c r="A487" s="9" t="str">
        <f>IFERROR(__xludf.DUMMYFUNCTION("""COMPUTED_VALUE"""),"Hurston 128")</f>
        <v>Hurston 128</v>
      </c>
      <c r="B487" s="9" t="str">
        <f>IFERROR(__xludf.DUMMYFUNCTION("""COMPUTED_VALUE"""),"Hurston 144")</f>
        <v>Hurston 144</v>
      </c>
      <c r="C487" s="5" t="str">
        <f>IFERROR(__xludf.DUMMYFUNCTION("""COMPUTED_VALUE"""),"Hurston 112")</f>
        <v>Hurston 112</v>
      </c>
      <c r="D487" s="5" t="str">
        <f>IFERROR(__xludf.DUMMYFUNCTION("""COMPUTED_VALUE"""),"River 06D-064")</f>
        <v>River 06D-064</v>
      </c>
      <c r="E487" s="7" t="str">
        <f>IFERROR(__xludf.DUMMYFUNCTION("""COMPUTED_VALUE"""),"River 06D064")</f>
        <v>River 06D064</v>
      </c>
      <c r="F487" s="11">
        <f>IFERROR(__xludf.DUMMYFUNCTION("""COMPUTED_VALUE"""),-299.12194214148)</f>
        <v>-299.12194214148</v>
      </c>
      <c r="G487" s="11">
        <f>IFERROR(__xludf.DUMMYFUNCTION("""COMPUTED_VALUE"""),-185.31368634153)</f>
        <v>-185.31368634153</v>
      </c>
      <c r="H487" s="11">
        <f>IFERROR(__xludf.DUMMYFUNCTION("""COMPUTED_VALUE"""),-938.22955846523)</f>
        <v>-938.22955846523</v>
      </c>
      <c r="I487" s="15"/>
      <c r="J487" s="15"/>
      <c r="K487" s="15"/>
      <c r="L487" s="15"/>
      <c r="M487" s="7" t="b">
        <f>IFERROR(__xludf.DUMMYFUNCTION("""COMPUTED_VALUE"""),FALSE)</f>
        <v>0</v>
      </c>
      <c r="N487" s="10">
        <f>IFERROR(__xludf.DUMMYFUNCTION("""COMPUTED_VALUE"""),0)</f>
        <v>0</v>
      </c>
      <c r="O487" s="10">
        <f>IFERROR(__xludf.DUMMYFUNCTION("""COMPUTED_VALUE"""),0)</f>
        <v>0</v>
      </c>
      <c r="P487" s="8"/>
      <c r="Q487" s="7"/>
      <c r="R487" s="16"/>
      <c r="S487" s="17"/>
      <c r="T487" s="8"/>
      <c r="U487" s="8"/>
      <c r="V487" s="22"/>
      <c r="W487" s="12"/>
      <c r="X487" s="12"/>
      <c r="Y487" s="12"/>
      <c r="Z487" s="12"/>
      <c r="AA487" s="7"/>
      <c r="AB487" s="12"/>
      <c r="AC487" s="6"/>
      <c r="AD487" s="6"/>
      <c r="AE487" s="7"/>
      <c r="AF487" s="7"/>
      <c r="AG487" s="7"/>
      <c r="AH487" s="7"/>
      <c r="AI487" s="7"/>
      <c r="AJ487" s="7"/>
      <c r="AK487" s="7"/>
      <c r="AL487" s="7"/>
      <c r="AM487" s="7"/>
      <c r="AN487" s="7"/>
      <c r="AO487" s="6"/>
      <c r="AP487" s="7"/>
      <c r="AQ487" s="7"/>
      <c r="AR487" s="6"/>
      <c r="AS487" s="7"/>
      <c r="AT487" s="7"/>
      <c r="AU487" s="7"/>
      <c r="AV487" s="7"/>
      <c r="AW487" s="7"/>
      <c r="AX487" s="7"/>
      <c r="AY487" s="7"/>
      <c r="AZ487" s="7"/>
      <c r="BA487" s="7"/>
      <c r="BB487" s="7"/>
      <c r="BC487" s="7"/>
      <c r="BD487" s="7"/>
      <c r="BE487" s="7"/>
      <c r="BF487" s="7"/>
      <c r="BG487" s="7"/>
    </row>
    <row r="488" customHeight="1" spans="1:59">
      <c r="A488" s="9" t="str">
        <f>IFERROR(__xludf.DUMMYFUNCTION("""COMPUTED_VALUE"""),"Hurston 132")</f>
        <v>Hurston 132</v>
      </c>
      <c r="B488" s="5" t="str">
        <f>IFERROR(__xludf.DUMMYFUNCTION("""COMPUTED_VALUE"""),"Hurston 148")</f>
        <v>Hurston 148</v>
      </c>
      <c r="C488" s="5" t="str">
        <f>IFERROR(__xludf.DUMMYFUNCTION("""COMPUTED_VALUE"""),"Hurston 07")</f>
        <v>Hurston 07</v>
      </c>
      <c r="D488" s="5" t="str">
        <f>IFERROR(__xludf.DUMMYFUNCTION("""COMPUTED_VALUE"""),"River 57D-680")</f>
        <v>River 57D-680</v>
      </c>
      <c r="E488" s="7" t="str">
        <f>IFERROR(__xludf.DUMMYFUNCTION("""COMPUTED_VALUE"""),"River 57D680")</f>
        <v>River 57D680</v>
      </c>
      <c r="F488" s="11">
        <f>IFERROR(__xludf.DUMMYFUNCTION("""COMPUTED_VALUE"""),-343.94534272749)</f>
        <v>-343.94534272749</v>
      </c>
      <c r="G488" s="11">
        <f>IFERROR(__xludf.DUMMYFUNCTION("""COMPUTED_VALUE"""),127.72060999936)</f>
        <v>127.72060999936</v>
      </c>
      <c r="H488" s="11">
        <f>IFERROR(__xludf.DUMMYFUNCTION("""COMPUTED_VALUE"""),-931.20093209457)</f>
        <v>-931.20093209457</v>
      </c>
      <c r="I488" s="15"/>
      <c r="J488" s="15"/>
      <c r="K488" s="15"/>
      <c r="L488" s="15"/>
      <c r="M488" s="7" t="b">
        <f>IFERROR(__xludf.DUMMYFUNCTION("""COMPUTED_VALUE"""),FALSE)</f>
        <v>0</v>
      </c>
      <c r="N488" s="10">
        <f>IFERROR(__xludf.DUMMYFUNCTION("""COMPUTED_VALUE"""),0)</f>
        <v>0</v>
      </c>
      <c r="O488" s="10">
        <f>IFERROR(__xludf.DUMMYFUNCTION("""COMPUTED_VALUE"""),0)</f>
        <v>0</v>
      </c>
      <c r="P488" s="8"/>
      <c r="Q488" s="7"/>
      <c r="R488" s="16"/>
      <c r="S488" s="17"/>
      <c r="T488" s="8"/>
      <c r="U488" s="8"/>
      <c r="V488" s="22"/>
      <c r="W488" s="12"/>
      <c r="X488" s="12"/>
      <c r="Y488" s="12"/>
      <c r="Z488" s="12"/>
      <c r="AA488" s="7"/>
      <c r="AB488" s="12"/>
      <c r="AC488" s="6"/>
      <c r="AD488" s="6"/>
      <c r="AE488" s="7"/>
      <c r="AF488" s="7"/>
      <c r="AG488" s="7"/>
      <c r="AH488" s="7"/>
      <c r="AI488" s="7"/>
      <c r="AJ488" s="7"/>
      <c r="AK488" s="7"/>
      <c r="AL488" s="7"/>
      <c r="AM488" s="7"/>
      <c r="AN488" s="7"/>
      <c r="AO488" s="6"/>
      <c r="AP488" s="7"/>
      <c r="AQ488" s="7"/>
      <c r="AR488" s="6"/>
      <c r="AS488" s="7"/>
      <c r="AT488" s="7"/>
      <c r="AU488" s="7"/>
      <c r="AV488" s="7"/>
      <c r="AW488" s="7"/>
      <c r="AX488" s="7"/>
      <c r="AY488" s="7"/>
      <c r="AZ488" s="7"/>
      <c r="BA488" s="7"/>
      <c r="BB488" s="7"/>
      <c r="BC488" s="7"/>
      <c r="BD488" s="7"/>
      <c r="BE488" s="7"/>
      <c r="BF488" s="7"/>
      <c r="BG488" s="7"/>
    </row>
    <row r="489" customHeight="1" spans="1:59">
      <c r="A489" s="9" t="str">
        <f>IFERROR(__xludf.DUMMYFUNCTION("""COMPUTED_VALUE"""),"Hurston 117")</f>
        <v>Hurston 117</v>
      </c>
      <c r="B489" s="5" t="str">
        <f>IFERROR(__xludf.DUMMYFUNCTION("""COMPUTED_VALUE"""),"Hurston 133")</f>
        <v>Hurston 133</v>
      </c>
      <c r="C489" s="5" t="str">
        <f>IFERROR(__xludf.DUMMYFUNCTION("""COMPUTED_VALUE"""),"Hurston 136")</f>
        <v>Hurston 136</v>
      </c>
      <c r="D489" s="5" t="str">
        <f>IFERROR(__xludf.DUMMYFUNCTION("""COMPUTED_VALUE"""),"River 01T")</f>
        <v>River 01T</v>
      </c>
      <c r="E489" s="7" t="str">
        <f>IFERROR(__xludf.DUMMYFUNCTION("""COMPUTED_VALUE"""),"River 01T")</f>
        <v>River 01T</v>
      </c>
      <c r="F489" s="11">
        <f>IFERROR(__xludf.DUMMYFUNCTION("""COMPUTED_VALUE"""),-687.51928250028)</f>
        <v>-687.51928250028</v>
      </c>
      <c r="G489" s="11">
        <f>IFERROR(__xludf.DUMMYFUNCTION("""COMPUTED_VALUE"""),-71.67352933962)</f>
        <v>-71.67352933962</v>
      </c>
      <c r="H489" s="11">
        <f>IFERROR(__xludf.DUMMYFUNCTION("""COMPUTED_VALUE"""),725.63312271877)</f>
        <v>725.63312271877</v>
      </c>
      <c r="I489" s="15"/>
      <c r="J489" s="15"/>
      <c r="K489" s="15"/>
      <c r="L489" s="15"/>
      <c r="M489" s="7" t="b">
        <f>IFERROR(__xludf.DUMMYFUNCTION("""COMPUTED_VALUE"""),FALSE)</f>
        <v>0</v>
      </c>
      <c r="N489" s="10">
        <f>IFERROR(__xludf.DUMMYFUNCTION("""COMPUTED_VALUE"""),0)</f>
        <v>0</v>
      </c>
      <c r="O489" s="10">
        <f>IFERROR(__xludf.DUMMYFUNCTION("""COMPUTED_VALUE"""),0)</f>
        <v>0</v>
      </c>
      <c r="P489" s="8"/>
      <c r="Q489" s="7"/>
      <c r="R489" s="16"/>
      <c r="S489" s="17"/>
      <c r="T489" s="8"/>
      <c r="U489" s="8"/>
      <c r="V489" s="22"/>
      <c r="W489" s="12"/>
      <c r="X489" s="12"/>
      <c r="Y489" s="12"/>
      <c r="Z489" s="12"/>
      <c r="AA489" s="7"/>
      <c r="AB489" s="12"/>
      <c r="AC489" s="6"/>
      <c r="AD489" s="6"/>
      <c r="AE489" s="7"/>
      <c r="AF489" s="7"/>
      <c r="AG489" s="7"/>
      <c r="AH489" s="7"/>
      <c r="AI489" s="7"/>
      <c r="AJ489" s="7"/>
      <c r="AK489" s="7"/>
      <c r="AL489" s="7"/>
      <c r="AM489" s="7"/>
      <c r="AN489" s="7"/>
      <c r="AO489" s="6"/>
      <c r="AP489" s="7"/>
      <c r="AQ489" s="7"/>
      <c r="AR489" s="6"/>
      <c r="AS489" s="7"/>
      <c r="AT489" s="7"/>
      <c r="AU489" s="7"/>
      <c r="AV489" s="7"/>
      <c r="AW489" s="7"/>
      <c r="AX489" s="7"/>
      <c r="AY489" s="7"/>
      <c r="AZ489" s="7"/>
      <c r="BA489" s="7"/>
      <c r="BB489" s="7"/>
      <c r="BC489" s="7"/>
      <c r="BD489" s="7"/>
      <c r="BE489" s="7"/>
      <c r="BF489" s="7"/>
      <c r="BG489" s="7"/>
    </row>
    <row r="490" customHeight="1" spans="1:59">
      <c r="A490" s="9" t="str">
        <f>IFERROR(__xludf.DUMMYFUNCTION("""COMPUTED_VALUE"""),"Hurston 121")</f>
        <v>Hurston 121</v>
      </c>
      <c r="B490" s="5" t="str">
        <f>IFERROR(__xludf.DUMMYFUNCTION("""COMPUTED_VALUE"""),"Hurston 137")</f>
        <v>Hurston 137</v>
      </c>
      <c r="C490" s="5" t="str">
        <f>IFERROR(__xludf.DUMMYFUNCTION("""COMPUTED_VALUE"""),"Hurston 124")</f>
        <v>Hurston 124</v>
      </c>
      <c r="D490" s="5" t="str">
        <f>IFERROR(__xludf.DUMMYFUNCTION("""COMPUTED_VALUE"""),"River 04S-047")</f>
        <v>River 04S-047</v>
      </c>
      <c r="E490" s="7" t="str">
        <f>IFERROR(__xludf.DUMMYFUNCTION("""COMPUTED_VALUE"""),"River 04S047")</f>
        <v>River 04S047</v>
      </c>
      <c r="F490" s="11">
        <f>IFERROR(__xludf.DUMMYFUNCTION("""COMPUTED_VALUE"""),-722.53990148704)</f>
        <v>-722.53990148704</v>
      </c>
      <c r="G490" s="11">
        <f>IFERROR(__xludf.DUMMYFUNCTION("""COMPUTED_VALUE"""),-314.01957170128)</f>
        <v>-314.01957170128</v>
      </c>
      <c r="H490" s="11">
        <f>IFERROR(__xludf.DUMMYFUNCTION("""COMPUTED_VALUE"""),619.75417366004)</f>
        <v>619.75417366004</v>
      </c>
      <c r="I490" s="15"/>
      <c r="J490" s="15"/>
      <c r="K490" s="15"/>
      <c r="L490" s="15"/>
      <c r="M490" s="7" t="b">
        <f>IFERROR(__xludf.DUMMYFUNCTION("""COMPUTED_VALUE"""),FALSE)</f>
        <v>0</v>
      </c>
      <c r="N490" s="10">
        <f>IFERROR(__xludf.DUMMYFUNCTION("""COMPUTED_VALUE"""),0)</f>
        <v>0</v>
      </c>
      <c r="O490" s="10">
        <f>IFERROR(__xludf.DUMMYFUNCTION("""COMPUTED_VALUE"""),0)</f>
        <v>0</v>
      </c>
      <c r="P490" s="8"/>
      <c r="Q490" s="7"/>
      <c r="R490" s="16"/>
      <c r="S490" s="17"/>
      <c r="T490" s="8"/>
      <c r="U490" s="8"/>
      <c r="V490" s="22"/>
      <c r="W490" s="12"/>
      <c r="X490" s="12"/>
      <c r="Y490" s="12"/>
      <c r="Z490" s="12"/>
      <c r="AA490" s="7"/>
      <c r="AB490" s="12"/>
      <c r="AC490" s="6"/>
      <c r="AD490" s="6"/>
      <c r="AE490" s="7"/>
      <c r="AF490" s="7"/>
      <c r="AG490" s="7"/>
      <c r="AH490" s="7"/>
      <c r="AI490" s="7"/>
      <c r="AJ490" s="7"/>
      <c r="AK490" s="7"/>
      <c r="AL490" s="7"/>
      <c r="AM490" s="7"/>
      <c r="AN490" s="7"/>
      <c r="AO490" s="6"/>
      <c r="AP490" s="7"/>
      <c r="AQ490" s="7"/>
      <c r="AR490" s="6"/>
      <c r="AS490" s="7"/>
      <c r="AT490" s="7"/>
      <c r="AU490" s="7"/>
      <c r="AV490" s="7"/>
      <c r="AW490" s="7"/>
      <c r="AX490" s="7"/>
      <c r="AY490" s="7"/>
      <c r="AZ490" s="7"/>
      <c r="BA490" s="7"/>
      <c r="BB490" s="7"/>
      <c r="BC490" s="7"/>
      <c r="BD490" s="7"/>
      <c r="BE490" s="7"/>
      <c r="BF490" s="7"/>
      <c r="BG490" s="7"/>
    </row>
    <row r="491" customHeight="1" spans="1:59">
      <c r="A491" s="9" t="str">
        <f>IFERROR(__xludf.DUMMYFUNCTION("""COMPUTED_VALUE"""),"Hurston 130")</f>
        <v>Hurston 130</v>
      </c>
      <c r="B491" s="5" t="str">
        <f>IFERROR(__xludf.DUMMYFUNCTION("""COMPUTED_VALUE"""),"Hurston 146")</f>
        <v>Hurston 146</v>
      </c>
      <c r="C491" s="5" t="str">
        <f>IFERROR(__xludf.DUMMYFUNCTION("""COMPUTED_VALUE"""),"Hurston 14")</f>
        <v>Hurston 14</v>
      </c>
      <c r="D491" s="5" t="str">
        <f>IFERROR(__xludf.DUMMYFUNCTION("""COMPUTED_VALUE"""),"River 56D")</f>
        <v>River 56D</v>
      </c>
      <c r="E491" s="7" t="str">
        <f>IFERROR(__xludf.DUMMYFUNCTION("""COMPUTED_VALUE"""),"River 56D")</f>
        <v>River 56D</v>
      </c>
      <c r="F491" s="11">
        <f>IFERROR(__xludf.DUMMYFUNCTION("""COMPUTED_VALUE"""),-303.93518536825)</f>
        <v>-303.93518536825</v>
      </c>
      <c r="G491" s="11">
        <f>IFERROR(__xludf.DUMMYFUNCTION("""COMPUTED_VALUE"""),141.44256091804)</f>
        <v>141.44256091804</v>
      </c>
      <c r="H491" s="11">
        <f>IFERROR(__xludf.DUMMYFUNCTION("""COMPUTED_VALUE"""),-943.31009946233)</f>
        <v>-943.31009946233</v>
      </c>
      <c r="I491" s="15"/>
      <c r="J491" s="15"/>
      <c r="K491" s="15"/>
      <c r="L491" s="15"/>
      <c r="M491" s="7" t="b">
        <f>IFERROR(__xludf.DUMMYFUNCTION("""COMPUTED_VALUE"""),FALSE)</f>
        <v>0</v>
      </c>
      <c r="N491" s="10">
        <f>IFERROR(__xludf.DUMMYFUNCTION("""COMPUTED_VALUE"""),0)</f>
        <v>0</v>
      </c>
      <c r="O491" s="10">
        <f>IFERROR(__xludf.DUMMYFUNCTION("""COMPUTED_VALUE"""),0)</f>
        <v>0</v>
      </c>
      <c r="P491" s="8"/>
      <c r="Q491" s="7"/>
      <c r="R491" s="16"/>
      <c r="S491" s="17"/>
      <c r="T491" s="8"/>
      <c r="U491" s="8"/>
      <c r="V491" s="22"/>
      <c r="W491" s="12"/>
      <c r="X491" s="12"/>
      <c r="Y491" s="12"/>
      <c r="Z491" s="12"/>
      <c r="AA491" s="7"/>
      <c r="AB491" s="12"/>
      <c r="AC491" s="6"/>
      <c r="AD491" s="6"/>
      <c r="AE491" s="7"/>
      <c r="AF491" s="7"/>
      <c r="AG491" s="7"/>
      <c r="AH491" s="7"/>
      <c r="AI491" s="7"/>
      <c r="AJ491" s="7"/>
      <c r="AK491" s="7"/>
      <c r="AL491" s="7"/>
      <c r="AM491" s="7"/>
      <c r="AN491" s="7"/>
      <c r="AO491" s="6"/>
      <c r="AP491" s="7"/>
      <c r="AQ491" s="7"/>
      <c r="AR491" s="6"/>
      <c r="AS491" s="7"/>
      <c r="AT491" s="7"/>
      <c r="AU491" s="7"/>
      <c r="AV491" s="7"/>
      <c r="AW491" s="7"/>
      <c r="AX491" s="7"/>
      <c r="AY491" s="7"/>
      <c r="AZ491" s="7"/>
      <c r="BA491" s="7"/>
      <c r="BB491" s="7"/>
      <c r="BC491" s="7"/>
      <c r="BD491" s="7"/>
      <c r="BE491" s="7"/>
      <c r="BF491" s="7"/>
      <c r="BG491" s="7"/>
    </row>
    <row r="492" customHeight="1" spans="1:59">
      <c r="A492" s="9" t="str">
        <f>IFERROR(__xludf.DUMMYFUNCTION("""COMPUTED_VALUE"""),"Hurston 125")</f>
        <v>Hurston 125</v>
      </c>
      <c r="B492" s="5" t="str">
        <f>IFERROR(__xludf.DUMMYFUNCTION("""COMPUTED_VALUE"""),"Hurston 141")</f>
        <v>Hurston 141</v>
      </c>
      <c r="C492" s="5" t="str">
        <f>IFERROR(__xludf.DUMMYFUNCTION("""COMPUTED_VALUE"""),"Hurston 119")</f>
        <v>Hurston 119</v>
      </c>
      <c r="D492" s="5" t="str">
        <f>IFERROR(__xludf.DUMMYFUNCTION("""COMPUTED_VALUE"""),"River 05T-X32")</f>
        <v>River 05T-X32</v>
      </c>
      <c r="E492" s="7" t="str">
        <f>IFERROR(__xludf.DUMMYFUNCTION("""COMPUTED_VALUE"""),"River 05TX32")</f>
        <v>River 05TX32</v>
      </c>
      <c r="F492" s="8">
        <f>IFERROR(__xludf.DUMMYFUNCTION("""COMPUTED_VALUE"""),-690.16878529147)</f>
        <v>-690.16878529147</v>
      </c>
      <c r="G492" s="8">
        <f>IFERROR(__xludf.DUMMYFUNCTION("""COMPUTED_VALUE"""),-316.5462889275)</f>
        <v>-316.5462889275</v>
      </c>
      <c r="H492" s="8">
        <f>IFERROR(__xludf.DUMMYFUNCTION("""COMPUTED_VALUE"""),653.87139276595)</f>
        <v>653.87139276595</v>
      </c>
      <c r="I492" s="14"/>
      <c r="J492" s="14"/>
      <c r="K492" s="14"/>
      <c r="L492" s="14"/>
      <c r="M492" s="7" t="b">
        <f>IFERROR(__xludf.DUMMYFUNCTION("""COMPUTED_VALUE"""),FALSE)</f>
        <v>0</v>
      </c>
      <c r="N492" s="10">
        <f>IFERROR(__xludf.DUMMYFUNCTION("""COMPUTED_VALUE"""),0)</f>
        <v>0</v>
      </c>
      <c r="O492" s="10">
        <f>IFERROR(__xludf.DUMMYFUNCTION("""COMPUTED_VALUE"""),0)</f>
        <v>0</v>
      </c>
      <c r="P492" s="8"/>
      <c r="Q492" s="7"/>
      <c r="R492" s="16"/>
      <c r="S492" s="17"/>
      <c r="T492" s="8"/>
      <c r="U492" s="8"/>
      <c r="V492" s="22"/>
      <c r="W492" s="12"/>
      <c r="X492" s="12"/>
      <c r="Y492" s="12"/>
      <c r="Z492" s="12"/>
      <c r="AA492" s="9"/>
      <c r="AB492" s="12"/>
      <c r="AC492" s="6"/>
      <c r="AD492" s="6"/>
      <c r="AE492" s="7"/>
      <c r="AF492" s="7"/>
      <c r="AG492" s="7"/>
      <c r="AH492" s="7"/>
      <c r="AI492" s="7"/>
      <c r="AJ492" s="7"/>
      <c r="AK492" s="7"/>
      <c r="AL492" s="7"/>
      <c r="AM492" s="7"/>
      <c r="AN492" s="7"/>
      <c r="AO492" s="6"/>
      <c r="AP492" s="7"/>
      <c r="AQ492" s="7"/>
      <c r="AR492" s="6"/>
      <c r="AS492" s="7"/>
      <c r="AT492" s="7"/>
      <c r="AU492" s="7"/>
      <c r="AV492" s="7"/>
      <c r="AW492" s="7"/>
      <c r="AX492" s="7"/>
      <c r="AY492" s="7"/>
      <c r="AZ492" s="7"/>
      <c r="BA492" s="7"/>
      <c r="BB492" s="7"/>
      <c r="BC492" s="7"/>
      <c r="BD492" s="7"/>
      <c r="BE492" s="7"/>
      <c r="BF492" s="7"/>
      <c r="BG492" s="7"/>
    </row>
    <row r="493" customHeight="1" spans="1:59">
      <c r="A493" s="9" t="str">
        <f>IFERROR(__xludf.DUMMYFUNCTION("""COMPUTED_VALUE"""),"Hurston 118")</f>
        <v>Hurston 118</v>
      </c>
      <c r="B493" s="5" t="str">
        <f>IFERROR(__xludf.DUMMYFUNCTION("""COMPUTED_VALUE"""),"Hurston 134")</f>
        <v>Hurston 134</v>
      </c>
      <c r="C493" s="5" t="str">
        <f>IFERROR(__xludf.DUMMYFUNCTION("""COMPUTED_VALUE"""),"Hurston 134")</f>
        <v>Hurston 134</v>
      </c>
      <c r="D493" s="5" t="str">
        <f>IFERROR(__xludf.DUMMYFUNCTION("""COMPUTED_VALUE"""),"River 02T-016")</f>
        <v>River 02T-016</v>
      </c>
      <c r="E493" s="7" t="str">
        <f>IFERROR(__xludf.DUMMYFUNCTION("""COMPUTED_VALUE"""),"River 02T016")</f>
        <v>River 02T016</v>
      </c>
      <c r="F493" s="8">
        <f>IFERROR(__xludf.DUMMYFUNCTION("""COMPUTED_VALUE"""),-680.96031327602)</f>
        <v>-680.96031327602</v>
      </c>
      <c r="G493" s="8">
        <f>IFERROR(__xludf.DUMMYFUNCTION("""COMPUTED_VALUE"""),-92.07736753096)</f>
        <v>-92.07736753096</v>
      </c>
      <c r="H493" s="8">
        <f>IFERROR(__xludf.DUMMYFUNCTION("""COMPUTED_VALUE"""),728.45129729673)</f>
        <v>728.45129729673</v>
      </c>
      <c r="I493" s="14"/>
      <c r="J493" s="14"/>
      <c r="K493" s="14"/>
      <c r="L493" s="14"/>
      <c r="M493" s="7" t="b">
        <f>IFERROR(__xludf.DUMMYFUNCTION("""COMPUTED_VALUE"""),FALSE)</f>
        <v>0</v>
      </c>
      <c r="N493" s="10">
        <f>IFERROR(__xludf.DUMMYFUNCTION("""COMPUTED_VALUE"""),0)</f>
        <v>0</v>
      </c>
      <c r="O493" s="10">
        <f>IFERROR(__xludf.DUMMYFUNCTION("""COMPUTED_VALUE"""),0)</f>
        <v>0</v>
      </c>
      <c r="P493" s="8"/>
      <c r="Q493" s="7"/>
      <c r="R493" s="16"/>
      <c r="S493" s="17"/>
      <c r="T493" s="8"/>
      <c r="U493" s="8"/>
      <c r="V493" s="22"/>
      <c r="W493" s="12"/>
      <c r="X493" s="12"/>
      <c r="Y493" s="12"/>
      <c r="Z493" s="12"/>
      <c r="AA493" s="9"/>
      <c r="AB493" s="12"/>
      <c r="AC493" s="6"/>
      <c r="AD493" s="6"/>
      <c r="AE493" s="7"/>
      <c r="AF493" s="7"/>
      <c r="AG493" s="7"/>
      <c r="AH493" s="7"/>
      <c r="AI493" s="7"/>
      <c r="AJ493" s="7"/>
      <c r="AK493" s="7"/>
      <c r="AL493" s="7"/>
      <c r="AM493" s="7"/>
      <c r="AN493" s="7"/>
      <c r="AO493" s="6"/>
      <c r="AP493" s="7"/>
      <c r="AQ493" s="7"/>
      <c r="AR493" s="6"/>
      <c r="AS493" s="7"/>
      <c r="AT493" s="7"/>
      <c r="AU493" s="7"/>
      <c r="AV493" s="7"/>
      <c r="AW493" s="7"/>
      <c r="AX493" s="7"/>
      <c r="AY493" s="7"/>
      <c r="AZ493" s="7"/>
      <c r="BA493" s="7"/>
      <c r="BB493" s="7"/>
      <c r="BC493" s="7"/>
      <c r="BD493" s="7"/>
      <c r="BE493" s="7"/>
      <c r="BF493" s="7"/>
      <c r="BG493" s="7"/>
    </row>
    <row r="494" customHeight="1" spans="1:59">
      <c r="A494" s="9" t="str">
        <f>IFERROR(__xludf.DUMMYFUNCTION("""COMPUTED_VALUE"""),"Hurston 131")</f>
        <v>Hurston 131</v>
      </c>
      <c r="B494" s="5" t="str">
        <f>IFERROR(__xludf.DUMMYFUNCTION("""COMPUTED_VALUE"""),"Hurston 147")</f>
        <v>Hurston 147</v>
      </c>
      <c r="C494" s="5" t="str">
        <f>IFERROR(__xludf.DUMMYFUNCTION("""COMPUTED_VALUE"""),"Hurston 13")</f>
        <v>Hurston 13</v>
      </c>
      <c r="D494" s="5" t="str">
        <f>IFERROR(__xludf.DUMMYFUNCTION("""COMPUTED_VALUE"""),"River 57D-673")</f>
        <v>River 57D-673</v>
      </c>
      <c r="E494" s="7" t="str">
        <f>IFERROR(__xludf.DUMMYFUNCTION("""COMPUTED_VALUE"""),"River 57D673")</f>
        <v>River 57D673</v>
      </c>
      <c r="F494" s="8">
        <f>IFERROR(__xludf.DUMMYFUNCTION("""COMPUTED_VALUE"""),-314.89171776403)</f>
        <v>-314.89171776403</v>
      </c>
      <c r="G494" s="8">
        <f>IFERROR(__xludf.DUMMYFUNCTION("""COMPUTED_VALUE"""),137.10777615271)</f>
        <v>137.10777615271</v>
      </c>
      <c r="H494" s="8">
        <f>IFERROR(__xludf.DUMMYFUNCTION("""COMPUTED_VALUE"""),-940.44037338477)</f>
        <v>-940.44037338477</v>
      </c>
      <c r="I494" s="14"/>
      <c r="J494" s="14"/>
      <c r="K494" s="14"/>
      <c r="L494" s="14"/>
      <c r="M494" s="7" t="b">
        <f>IFERROR(__xludf.DUMMYFUNCTION("""COMPUTED_VALUE"""),FALSE)</f>
        <v>0</v>
      </c>
      <c r="N494" s="10">
        <f>IFERROR(__xludf.DUMMYFUNCTION("""COMPUTED_VALUE"""),0)</f>
        <v>0</v>
      </c>
      <c r="O494" s="10">
        <f>IFERROR(__xludf.DUMMYFUNCTION("""COMPUTED_VALUE"""),0)</f>
        <v>0</v>
      </c>
      <c r="P494" s="8"/>
      <c r="Q494" s="7"/>
      <c r="R494" s="16"/>
      <c r="S494" s="17"/>
      <c r="T494" s="8"/>
      <c r="U494" s="8"/>
      <c r="V494" s="22"/>
      <c r="W494" s="12"/>
      <c r="X494" s="12"/>
      <c r="Y494" s="12"/>
      <c r="Z494" s="12"/>
      <c r="AA494" s="9"/>
      <c r="AB494" s="12"/>
      <c r="AC494" s="6"/>
      <c r="AD494" s="6"/>
      <c r="AE494" s="7"/>
      <c r="AF494" s="7"/>
      <c r="AG494" s="7"/>
      <c r="AH494" s="7"/>
      <c r="AI494" s="7"/>
      <c r="AJ494" s="7"/>
      <c r="AK494" s="7"/>
      <c r="AL494" s="7"/>
      <c r="AM494" s="7"/>
      <c r="AN494" s="7"/>
      <c r="AO494" s="6"/>
      <c r="AP494" s="7"/>
      <c r="AQ494" s="7"/>
      <c r="AR494" s="6"/>
      <c r="AS494" s="7"/>
      <c r="AT494" s="7"/>
      <c r="AU494" s="7"/>
      <c r="AV494" s="7"/>
      <c r="AW494" s="7"/>
      <c r="AX494" s="7"/>
      <c r="AY494" s="7"/>
      <c r="AZ494" s="7"/>
      <c r="BA494" s="7"/>
      <c r="BB494" s="7"/>
      <c r="BC494" s="7"/>
      <c r="BD494" s="7"/>
      <c r="BE494" s="7"/>
      <c r="BF494" s="7"/>
      <c r="BG494" s="7"/>
    </row>
    <row r="495" customHeight="1" spans="1:59">
      <c r="A495" s="9" t="str">
        <f>IFERROR(__xludf.DUMMYFUNCTION("""COMPUTED_VALUE"""),"Hurston 129")</f>
        <v>Hurston 129</v>
      </c>
      <c r="B495" s="5" t="str">
        <f>IFERROR(__xludf.DUMMYFUNCTION("""COMPUTED_VALUE"""),"Hurston 145")</f>
        <v>Hurston 145</v>
      </c>
      <c r="C495" s="5" t="str">
        <f>IFERROR(__xludf.DUMMYFUNCTION("""COMPUTED_VALUE"""),"Hurston 107")</f>
        <v>Hurston 107</v>
      </c>
      <c r="D495" s="5" t="str">
        <f>IFERROR(__xludf.DUMMYFUNCTION("""COMPUTED_VALUE"""),"River 09C")</f>
        <v>River 09C</v>
      </c>
      <c r="E495" s="7" t="str">
        <f>IFERROR(__xludf.DUMMYFUNCTION("""COMPUTED_VALUE"""),"River 09C")</f>
        <v>River 09C</v>
      </c>
      <c r="F495" s="8">
        <f>IFERROR(__xludf.DUMMYFUNCTION("""COMPUTED_VALUE"""),-126.82639095234)</f>
        <v>-126.82639095234</v>
      </c>
      <c r="G495" s="8">
        <f>IFERROR(__xludf.DUMMYFUNCTION("""COMPUTED_VALUE"""),-156.79135320686)</f>
        <v>-156.79135320686</v>
      </c>
      <c r="H495" s="8">
        <f>IFERROR(__xludf.DUMMYFUNCTION("""COMPUTED_VALUE"""),-981.60257898767)</f>
        <v>-981.60257898767</v>
      </c>
      <c r="I495" s="14"/>
      <c r="J495" s="14"/>
      <c r="K495" s="14"/>
      <c r="L495" s="14"/>
      <c r="M495" s="7" t="b">
        <f>IFERROR(__xludf.DUMMYFUNCTION("""COMPUTED_VALUE"""),FALSE)</f>
        <v>0</v>
      </c>
      <c r="N495" s="10">
        <f>IFERROR(__xludf.DUMMYFUNCTION("""COMPUTED_VALUE"""),0)</f>
        <v>0</v>
      </c>
      <c r="O495" s="10">
        <f>IFERROR(__xludf.DUMMYFUNCTION("""COMPUTED_VALUE"""),0)</f>
        <v>0</v>
      </c>
      <c r="P495" s="8"/>
      <c r="Q495" s="7"/>
      <c r="R495" s="16"/>
      <c r="S495" s="17"/>
      <c r="T495" s="8"/>
      <c r="U495" s="8"/>
      <c r="V495" s="22"/>
      <c r="W495" s="12"/>
      <c r="X495" s="12"/>
      <c r="Y495" s="12"/>
      <c r="Z495" s="12"/>
      <c r="AA495" s="9"/>
      <c r="AB495" s="12"/>
      <c r="AC495" s="6"/>
      <c r="AD495" s="6"/>
      <c r="AE495" s="7"/>
      <c r="AF495" s="7"/>
      <c r="AG495" s="7"/>
      <c r="AH495" s="7"/>
      <c r="AI495" s="7"/>
      <c r="AJ495" s="7"/>
      <c r="AK495" s="7"/>
      <c r="AL495" s="7"/>
      <c r="AM495" s="7"/>
      <c r="AN495" s="7"/>
      <c r="AO495" s="6"/>
      <c r="AP495" s="7"/>
      <c r="AQ495" s="7"/>
      <c r="AR495" s="6"/>
      <c r="AS495" s="7"/>
      <c r="AT495" s="7"/>
      <c r="AU495" s="7"/>
      <c r="AV495" s="7"/>
      <c r="AW495" s="7"/>
      <c r="AX495" s="7"/>
      <c r="AY495" s="7"/>
      <c r="AZ495" s="7"/>
      <c r="BA495" s="7"/>
      <c r="BB495" s="7"/>
      <c r="BC495" s="7"/>
      <c r="BD495" s="7"/>
      <c r="BE495" s="7"/>
      <c r="BF495" s="7"/>
      <c r="BG495" s="7"/>
    </row>
    <row r="496" customHeight="1" spans="1:59">
      <c r="A496" s="9" t="str">
        <f>IFERROR(__xludf.DUMMYFUNCTION("""COMPUTED_VALUE"""),"Hurston 127")</f>
        <v>Hurston 127</v>
      </c>
      <c r="B496" s="5" t="str">
        <f>IFERROR(__xludf.DUMMYFUNCTION("""COMPUTED_VALUE"""),"Hurston 143")</f>
        <v>Hurston 143</v>
      </c>
      <c r="C496" s="5" t="str">
        <f>IFERROR(__xludf.DUMMYFUNCTION("""COMPUTED_VALUE"""),"Hurston 113")</f>
        <v>Hurston 113</v>
      </c>
      <c r="D496" s="5" t="str">
        <f>IFERROR(__xludf.DUMMYFUNCTION("""COMPUTED_VALUE"""),"River 06D-062")</f>
        <v>River 06D-062</v>
      </c>
      <c r="E496" s="7" t="str">
        <f>IFERROR(__xludf.DUMMYFUNCTION("""COMPUTED_VALUE"""),"River 06D062")</f>
        <v>River 06D062</v>
      </c>
      <c r="F496" s="8">
        <f>IFERROR(__xludf.DUMMYFUNCTION("""COMPUTED_VALUE"""),-350.60060990951)</f>
        <v>-350.60060990951</v>
      </c>
      <c r="G496" s="8">
        <f>IFERROR(__xludf.DUMMYFUNCTION("""COMPUTED_VALUE"""),-210.51961560391)</f>
        <v>-210.51961560391</v>
      </c>
      <c r="H496" s="8">
        <f>IFERROR(__xludf.DUMMYFUNCTION("""COMPUTED_VALUE"""),-913.86932924728)</f>
        <v>-913.86932924728</v>
      </c>
      <c r="I496" s="14"/>
      <c r="J496" s="14"/>
      <c r="K496" s="14"/>
      <c r="L496" s="14"/>
      <c r="M496" s="7" t="b">
        <f>IFERROR(__xludf.DUMMYFUNCTION("""COMPUTED_VALUE"""),FALSE)</f>
        <v>0</v>
      </c>
      <c r="N496" s="10">
        <f>IFERROR(__xludf.DUMMYFUNCTION("""COMPUTED_VALUE"""),0)</f>
        <v>0</v>
      </c>
      <c r="O496" s="10">
        <f>IFERROR(__xludf.DUMMYFUNCTION("""COMPUTED_VALUE"""),0)</f>
        <v>0</v>
      </c>
      <c r="P496" s="8"/>
      <c r="Q496" s="7"/>
      <c r="R496" s="16"/>
      <c r="S496" s="17"/>
      <c r="T496" s="8"/>
      <c r="U496" s="8"/>
      <c r="V496" s="22"/>
      <c r="W496" s="12"/>
      <c r="X496" s="12"/>
      <c r="Y496" s="12"/>
      <c r="Z496" s="12"/>
      <c r="AA496" s="9"/>
      <c r="AB496" s="12"/>
      <c r="AC496" s="6"/>
      <c r="AD496" s="6"/>
      <c r="AE496" s="7"/>
      <c r="AF496" s="7"/>
      <c r="AG496" s="7"/>
      <c r="AH496" s="7"/>
      <c r="AI496" s="7"/>
      <c r="AJ496" s="7"/>
      <c r="AK496" s="7"/>
      <c r="AL496" s="7"/>
      <c r="AM496" s="7"/>
      <c r="AN496" s="7"/>
      <c r="AO496" s="6"/>
      <c r="AP496" s="7"/>
      <c r="AQ496" s="7"/>
      <c r="AR496" s="6"/>
      <c r="AS496" s="7"/>
      <c r="AT496" s="7"/>
      <c r="AU496" s="7"/>
      <c r="AV496" s="7"/>
      <c r="AW496" s="7"/>
      <c r="AX496" s="7"/>
      <c r="AY496" s="7"/>
      <c r="AZ496" s="7"/>
      <c r="BA496" s="7"/>
      <c r="BB496" s="7"/>
      <c r="BC496" s="7"/>
      <c r="BD496" s="7"/>
      <c r="BE496" s="7"/>
      <c r="BF496" s="7"/>
      <c r="BG496" s="7"/>
    </row>
    <row r="497" customHeight="1" spans="1:59">
      <c r="A497" s="9" t="str">
        <f>IFERROR(__xludf.DUMMYFUNCTION("""COMPUTED_VALUE"""),"Hurston 135")</f>
        <v>Hurston 135</v>
      </c>
      <c r="B497" s="5" t="str">
        <f>IFERROR(__xludf.DUMMYFUNCTION("""COMPUTED_VALUE"""),"Hurston 151")</f>
        <v>Hurston 151</v>
      </c>
      <c r="C497" s="5" t="str">
        <f>IFERROR(__xludf.DUMMYFUNCTION("""COMPUTED_VALUE"""),"Hurston 42")</f>
        <v>Hurston 42</v>
      </c>
      <c r="D497" s="5" t="str">
        <f>IFERROR(__xludf.DUMMYFUNCTION("""COMPUTED_VALUE"""),"River BBN")</f>
        <v>River BBN</v>
      </c>
      <c r="E497" s="7" t="str">
        <f>IFERROR(__xludf.DUMMYFUNCTION("""COMPUTED_VALUE"""),"River BBN")</f>
        <v>River BBN</v>
      </c>
      <c r="F497" s="8">
        <f>IFERROR(__xludf.DUMMYFUNCTION("""COMPUTED_VALUE"""),9.53069568841)</f>
        <v>9.53069568841</v>
      </c>
      <c r="G497" s="8">
        <f>IFERROR(__xludf.DUMMYFUNCTION("""COMPUTED_VALUE"""),105.96113200714)</f>
        <v>105.96113200714</v>
      </c>
      <c r="H497" s="8">
        <f>IFERROR(__xludf.DUMMYFUNCTION("""COMPUTED_VALUE"""),-995.354769734889)</f>
        <v>-995.354769734889</v>
      </c>
      <c r="I497" s="14"/>
      <c r="J497" s="14"/>
      <c r="K497" s="14"/>
      <c r="L497" s="14"/>
      <c r="M497" s="7" t="b">
        <f>IFERROR(__xludf.DUMMYFUNCTION("""COMPUTED_VALUE"""),FALSE)</f>
        <v>0</v>
      </c>
      <c r="N497" s="10">
        <f>IFERROR(__xludf.DUMMYFUNCTION("""COMPUTED_VALUE"""),0)</f>
        <v>0</v>
      </c>
      <c r="O497" s="10">
        <f>IFERROR(__xludf.DUMMYFUNCTION("""COMPUTED_VALUE"""),0)</f>
        <v>0</v>
      </c>
      <c r="P497" s="8"/>
      <c r="Q497" s="7"/>
      <c r="R497" s="16"/>
      <c r="S497" s="17"/>
      <c r="T497" s="8"/>
      <c r="U497" s="8"/>
      <c r="V497" s="22"/>
      <c r="W497" s="12"/>
      <c r="X497" s="12"/>
      <c r="Y497" s="12"/>
      <c r="Z497" s="12"/>
      <c r="AA497" s="9"/>
      <c r="AB497" s="12"/>
      <c r="AC497" s="6"/>
      <c r="AD497" s="6"/>
      <c r="AE497" s="7"/>
      <c r="AF497" s="7"/>
      <c r="AG497" s="7"/>
      <c r="AH497" s="7"/>
      <c r="AI497" s="7"/>
      <c r="AJ497" s="7"/>
      <c r="AK497" s="7"/>
      <c r="AL497" s="7"/>
      <c r="AM497" s="7"/>
      <c r="AN497" s="7"/>
      <c r="AO497" s="6"/>
      <c r="AP497" s="7"/>
      <c r="AQ497" s="7"/>
      <c r="AR497" s="6"/>
      <c r="AS497" s="7"/>
      <c r="AT497" s="7"/>
      <c r="AU497" s="7"/>
      <c r="AV497" s="7"/>
      <c r="AW497" s="7"/>
      <c r="AX497" s="7"/>
      <c r="AY497" s="7"/>
      <c r="AZ497" s="7"/>
      <c r="BA497" s="7"/>
      <c r="BB497" s="7"/>
      <c r="BC497" s="7"/>
      <c r="BD497" s="7"/>
      <c r="BE497" s="7"/>
      <c r="BF497" s="7"/>
      <c r="BG497" s="7"/>
    </row>
    <row r="498" customHeight="1" spans="1:59">
      <c r="A498" s="9" t="str">
        <f>IFERROR(__xludf.DUMMYFUNCTION("""COMPUTED_VALUE"""),"Hurston 120")</f>
        <v>Hurston 120</v>
      </c>
      <c r="B498" s="5" t="str">
        <f>IFERROR(__xludf.DUMMYFUNCTION("""COMPUTED_VALUE"""),"Hurston 136")</f>
        <v>Hurston 136</v>
      </c>
      <c r="C498" s="5" t="str">
        <f>IFERROR(__xludf.DUMMYFUNCTION("""COMPUTED_VALUE"""),"Hurston 128")</f>
        <v>Hurston 128</v>
      </c>
      <c r="D498" s="5" t="str">
        <f>IFERROR(__xludf.DUMMYFUNCTION("""COMPUTED_VALUE"""),"River 04F")</f>
        <v>River 04F</v>
      </c>
      <c r="E498" s="7" t="str">
        <f>IFERROR(__xludf.DUMMYFUNCTION("""COMPUTED_VALUE"""),"River 04F")</f>
        <v>River 04F</v>
      </c>
      <c r="F498" s="8">
        <f>IFERROR(__xludf.DUMMYFUNCTION("""COMPUTED_VALUE"""),-567.53198209808)</f>
        <v>-567.53198209808</v>
      </c>
      <c r="G498" s="8">
        <f>IFERROR(__xludf.DUMMYFUNCTION("""COMPUTED_VALUE"""),-197.87379302837)</f>
        <v>-197.87379302837</v>
      </c>
      <c r="H498" s="8">
        <f>IFERROR(__xludf.DUMMYFUNCTION("""COMPUTED_VALUE"""),-799.84755264195)</f>
        <v>-799.84755264195</v>
      </c>
      <c r="I498" s="14"/>
      <c r="J498" s="14"/>
      <c r="K498" s="14"/>
      <c r="L498" s="14"/>
      <c r="M498" s="7" t="b">
        <f>IFERROR(__xludf.DUMMYFUNCTION("""COMPUTED_VALUE"""),FALSE)</f>
        <v>0</v>
      </c>
      <c r="N498" s="10">
        <f>IFERROR(__xludf.DUMMYFUNCTION("""COMPUTED_VALUE"""),0)</f>
        <v>0</v>
      </c>
      <c r="O498" s="10">
        <f>IFERROR(__xludf.DUMMYFUNCTION("""COMPUTED_VALUE"""),0)</f>
        <v>0</v>
      </c>
      <c r="P498" s="8"/>
      <c r="Q498" s="7"/>
      <c r="R498" s="16"/>
      <c r="S498" s="17"/>
      <c r="T498" s="8"/>
      <c r="U498" s="8"/>
      <c r="V498" s="22"/>
      <c r="W498" s="12"/>
      <c r="X498" s="12"/>
      <c r="Y498" s="12"/>
      <c r="Z498" s="12"/>
      <c r="AA498" s="9"/>
      <c r="AB498" s="12"/>
      <c r="AC498" s="6"/>
      <c r="AD498" s="6"/>
      <c r="AE498" s="7"/>
      <c r="AF498" s="7"/>
      <c r="AG498" s="7"/>
      <c r="AH498" s="7"/>
      <c r="AI498" s="7"/>
      <c r="AJ498" s="7"/>
      <c r="AK498" s="7"/>
      <c r="AL498" s="7"/>
      <c r="AM498" s="7"/>
      <c r="AN498" s="7"/>
      <c r="AO498" s="6"/>
      <c r="AP498" s="7"/>
      <c r="AQ498" s="7"/>
      <c r="AR498" s="6"/>
      <c r="AS498" s="7"/>
      <c r="AT498" s="7"/>
      <c r="AU498" s="7"/>
      <c r="AV498" s="7"/>
      <c r="AW498" s="7"/>
      <c r="AX498" s="7"/>
      <c r="AY498" s="7"/>
      <c r="AZ498" s="7"/>
      <c r="BA498" s="7"/>
      <c r="BB498" s="7"/>
      <c r="BC498" s="7"/>
      <c r="BD498" s="7"/>
      <c r="BE498" s="7"/>
      <c r="BF498" s="7"/>
      <c r="BG498" s="7"/>
    </row>
    <row r="499" customHeight="1" spans="1:59">
      <c r="A499" s="9" t="str">
        <f>IFERROR(__xludf.DUMMYFUNCTION("""COMPUTED_VALUE"""),"Hurston 119")</f>
        <v>Hurston 119</v>
      </c>
      <c r="B499" s="5" t="str">
        <f>IFERROR(__xludf.DUMMYFUNCTION("""COMPUTED_VALUE"""),"Hurston 135")</f>
        <v>Hurston 135</v>
      </c>
      <c r="C499" s="5" t="str">
        <f>IFERROR(__xludf.DUMMYFUNCTION("""COMPUTED_VALUE"""),"Hurston 132")</f>
        <v>Hurston 132</v>
      </c>
      <c r="D499" s="5" t="str">
        <f>IFERROR(__xludf.DUMMYFUNCTION("""COMPUTED_VALUE"""),"River 02T-024")</f>
        <v>River 02T-024</v>
      </c>
      <c r="E499" s="7" t="str">
        <f>IFERROR(__xludf.DUMMYFUNCTION("""COMPUTED_VALUE"""),"River 02T024")</f>
        <v>River 02T024</v>
      </c>
      <c r="F499" s="8">
        <f>IFERROR(__xludf.DUMMYFUNCTION("""COMPUTED_VALUE"""),-711.7388356347)</f>
        <v>-711.7388356347</v>
      </c>
      <c r="G499" s="8">
        <f>IFERROR(__xludf.DUMMYFUNCTION("""COMPUTED_VALUE"""),-150.11837209745)</f>
        <v>-150.11837209745</v>
      </c>
      <c r="H499" s="8">
        <f>IFERROR(__xludf.DUMMYFUNCTION("""COMPUTED_VALUE"""),689.39730382809)</f>
        <v>689.39730382809</v>
      </c>
      <c r="I499" s="14"/>
      <c r="J499" s="14"/>
      <c r="K499" s="14"/>
      <c r="L499" s="14"/>
      <c r="M499" s="7" t="b">
        <f>IFERROR(__xludf.DUMMYFUNCTION("""COMPUTED_VALUE"""),FALSE)</f>
        <v>0</v>
      </c>
      <c r="N499" s="10">
        <f>IFERROR(__xludf.DUMMYFUNCTION("""COMPUTED_VALUE"""),0)</f>
        <v>0</v>
      </c>
      <c r="O499" s="10">
        <f>IFERROR(__xludf.DUMMYFUNCTION("""COMPUTED_VALUE"""),0)</f>
        <v>0</v>
      </c>
      <c r="P499" s="8"/>
      <c r="Q499" s="7"/>
      <c r="R499" s="16"/>
      <c r="S499" s="17"/>
      <c r="T499" s="8"/>
      <c r="U499" s="8"/>
      <c r="V499" s="22"/>
      <c r="W499" s="12"/>
      <c r="X499" s="12"/>
      <c r="Y499" s="12"/>
      <c r="Z499" s="12"/>
      <c r="AA499" s="7"/>
      <c r="AB499" s="12"/>
      <c r="AC499" s="6"/>
      <c r="AD499" s="6"/>
      <c r="AE499" s="7"/>
      <c r="AF499" s="7"/>
      <c r="AG499" s="7"/>
      <c r="AH499" s="7"/>
      <c r="AI499" s="7"/>
      <c r="AJ499" s="7"/>
      <c r="AK499" s="7"/>
      <c r="AL499" s="7"/>
      <c r="AM499" s="7"/>
      <c r="AN499" s="7"/>
      <c r="AO499" s="6"/>
      <c r="AP499" s="7"/>
      <c r="AQ499" s="7"/>
      <c r="AR499" s="6"/>
      <c r="AS499" s="7"/>
      <c r="AT499" s="7"/>
      <c r="AU499" s="7"/>
      <c r="AV499" s="7"/>
      <c r="AW499" s="7"/>
      <c r="AX499" s="7"/>
      <c r="AY499" s="7"/>
      <c r="AZ499" s="7"/>
      <c r="BA499" s="7"/>
      <c r="BB499" s="7"/>
      <c r="BC499" s="7"/>
      <c r="BD499" s="7"/>
      <c r="BE499" s="7"/>
      <c r="BF499" s="7"/>
      <c r="BG499" s="7"/>
    </row>
    <row r="500" customHeight="1" spans="1:59">
      <c r="A500" s="9"/>
      <c r="B500" s="5"/>
      <c r="C500" s="5"/>
      <c r="D500" s="5"/>
      <c r="E500" s="7"/>
      <c r="F500" s="8"/>
      <c r="G500" s="8"/>
      <c r="H500" s="8"/>
      <c r="I500" s="14"/>
      <c r="J500" s="14"/>
      <c r="K500" s="14"/>
      <c r="L500" s="14"/>
      <c r="M500" s="7"/>
      <c r="N500" s="10"/>
      <c r="O500" s="10"/>
      <c r="P500" s="8"/>
      <c r="Q500" s="7"/>
      <c r="R500" s="16"/>
      <c r="S500" s="17"/>
      <c r="T500" s="8"/>
      <c r="U500" s="8"/>
      <c r="V500" s="22"/>
      <c r="W500" s="12"/>
      <c r="X500" s="12"/>
      <c r="Y500" s="12"/>
      <c r="Z500" s="12"/>
      <c r="AA500" s="7"/>
      <c r="AB500" s="12"/>
      <c r="AC500" s="6"/>
      <c r="AD500" s="6"/>
      <c r="AE500" s="7"/>
      <c r="AF500" s="7"/>
      <c r="AG500" s="7"/>
      <c r="AH500" s="7"/>
      <c r="AI500" s="7"/>
      <c r="AJ500" s="7"/>
      <c r="AK500" s="7"/>
      <c r="AL500" s="7"/>
      <c r="AM500" s="7"/>
      <c r="AN500" s="7"/>
      <c r="AO500" s="6"/>
      <c r="AP500" s="7"/>
      <c r="AQ500" s="7"/>
      <c r="AR500" s="6"/>
      <c r="AS500" s="7"/>
      <c r="AT500" s="7"/>
      <c r="AU500" s="7"/>
      <c r="AV500" s="7"/>
      <c r="AW500" s="7"/>
      <c r="AX500" s="7"/>
      <c r="AY500" s="7"/>
      <c r="AZ500" s="7"/>
      <c r="BA500" s="7"/>
      <c r="BB500" s="7"/>
      <c r="BC500" s="7"/>
      <c r="BD500" s="7"/>
      <c r="BE500" s="7"/>
      <c r="BF500" s="7"/>
      <c r="BG500" s="7"/>
    </row>
    <row r="501" customHeight="1" spans="1:59">
      <c r="A501" s="9" t="str">
        <f>IFERROR(__xludf.DUMMYFUNCTION("""COMPUTED_VALUE"""),"Ita R01")</f>
        <v>Ita R01</v>
      </c>
      <c r="B501" s="5" t="str">
        <f>IFERROR(__xludf.DUMMYFUNCTION("""COMPUTED_VALUE"""),"Ita 50")</f>
        <v>Ita 50</v>
      </c>
      <c r="C501" s="5"/>
      <c r="D501" s="5" t="str">
        <f>IFERROR(__xludf.DUMMYFUNCTION("""COMPUTED_VALUE"""),"OM-1")</f>
        <v>OM-1</v>
      </c>
      <c r="E501" s="7" t="str">
        <f>IFERROR(__xludf.DUMMYFUNCTION("""COMPUTED_VALUE"""),"OM1")</f>
        <v>OM1</v>
      </c>
      <c r="F501" s="8">
        <f>IFERROR(__xludf.DUMMYFUNCTION("""COMPUTED_VALUE"""),0)</f>
        <v>0</v>
      </c>
      <c r="G501" s="8">
        <f>IFERROR(__xludf.DUMMYFUNCTION("""COMPUTED_VALUE"""),0)</f>
        <v>0</v>
      </c>
      <c r="H501" s="8">
        <f>IFERROR(__xludf.DUMMYFUNCTION("""COMPUTED_VALUE"""),472.453)</f>
        <v>472.453</v>
      </c>
      <c r="I501" s="14"/>
      <c r="J501" s="14"/>
      <c r="K501" s="14"/>
      <c r="L501" s="14"/>
      <c r="M501" s="7" t="b">
        <f>IFERROR(__xludf.DUMMYFUNCTION("""COMPUTED_VALUE"""),TRUE)</f>
        <v>1</v>
      </c>
      <c r="N501" s="10">
        <f>IFERROR(__xludf.DUMMYFUNCTION("""COMPUTED_VALUE"""),0)</f>
        <v>0</v>
      </c>
      <c r="O501" s="10">
        <f>IFERROR(__xludf.DUMMYFUNCTION("""COMPUTED_VALUE"""),0)</f>
        <v>0</v>
      </c>
      <c r="P501" s="8"/>
      <c r="Q501" s="7"/>
      <c r="R501" s="16"/>
      <c r="S501" s="17"/>
      <c r="T501" s="8"/>
      <c r="U501" s="8"/>
      <c r="V501" s="22"/>
      <c r="W501" s="12"/>
      <c r="X501" s="12"/>
      <c r="Y501" s="12"/>
      <c r="Z501" s="12"/>
      <c r="AA501" s="7"/>
      <c r="AB501" s="12"/>
      <c r="AC501" s="6"/>
      <c r="AD501" s="6"/>
      <c r="AE501" s="7"/>
      <c r="AF501" s="7"/>
      <c r="AG501" s="7"/>
      <c r="AH501" s="7"/>
      <c r="AI501" s="7"/>
      <c r="AJ501" s="7"/>
      <c r="AK501" s="7"/>
      <c r="AL501" s="7"/>
      <c r="AM501" s="7"/>
      <c r="AN501" s="7"/>
      <c r="AO501" s="6"/>
      <c r="AP501" s="7"/>
      <c r="AQ501" s="7"/>
      <c r="AR501" s="6"/>
      <c r="AS501" s="7"/>
      <c r="AT501" s="7"/>
      <c r="AU501" s="7"/>
      <c r="AV501" s="7"/>
      <c r="AW501" s="7"/>
      <c r="AX501" s="7"/>
      <c r="AY501" s="7"/>
      <c r="AZ501" s="7"/>
      <c r="BA501" s="7"/>
      <c r="BB501" s="7"/>
      <c r="BC501" s="7"/>
      <c r="BD501" s="7"/>
      <c r="BE501" s="7"/>
      <c r="BF501" s="7"/>
      <c r="BG501" s="7"/>
    </row>
    <row r="502" customHeight="1" spans="1:59">
      <c r="A502" s="9" t="str">
        <f>IFERROR(__xludf.DUMMYFUNCTION("""COMPUTED_VALUE"""),"Ita R02")</f>
        <v>Ita R02</v>
      </c>
      <c r="B502" s="5" t="str">
        <f>IFERROR(__xludf.DUMMYFUNCTION("""COMPUTED_VALUE"""),"Ita 51")</f>
        <v>Ita 51</v>
      </c>
      <c r="C502" s="5"/>
      <c r="D502" s="5" t="str">
        <f>IFERROR(__xludf.DUMMYFUNCTION("""COMPUTED_VALUE"""),"OM-2")</f>
        <v>OM-2</v>
      </c>
      <c r="E502" s="7" t="str">
        <f>IFERROR(__xludf.DUMMYFUNCTION("""COMPUTED_VALUE"""),"OM2")</f>
        <v>OM2</v>
      </c>
      <c r="F502" s="8">
        <f>IFERROR(__xludf.DUMMYFUNCTION("""COMPUTED_VALUE"""),0)</f>
        <v>0</v>
      </c>
      <c r="G502" s="8">
        <f>IFERROR(__xludf.DUMMYFUNCTION("""COMPUTED_VALUE"""),0)</f>
        <v>0</v>
      </c>
      <c r="H502" s="8">
        <f>IFERROR(__xludf.DUMMYFUNCTION("""COMPUTED_VALUE"""),-472.453)</f>
        <v>-472.453</v>
      </c>
      <c r="I502" s="14"/>
      <c r="J502" s="14"/>
      <c r="K502" s="14"/>
      <c r="L502" s="14"/>
      <c r="M502" s="7" t="b">
        <f>IFERROR(__xludf.DUMMYFUNCTION("""COMPUTED_VALUE"""),TRUE)</f>
        <v>1</v>
      </c>
      <c r="N502" s="10">
        <f>IFERROR(__xludf.DUMMYFUNCTION("""COMPUTED_VALUE"""),0)</f>
        <v>0</v>
      </c>
      <c r="O502" s="10">
        <f>IFERROR(__xludf.DUMMYFUNCTION("""COMPUTED_VALUE"""),0)</f>
        <v>0</v>
      </c>
      <c r="P502" s="8"/>
      <c r="Q502" s="7"/>
      <c r="R502" s="16"/>
      <c r="S502" s="17"/>
      <c r="T502" s="8"/>
      <c r="U502" s="8"/>
      <c r="V502" s="22"/>
      <c r="W502" s="12"/>
      <c r="X502" s="12"/>
      <c r="Y502" s="12"/>
      <c r="Z502" s="12"/>
      <c r="AA502" s="7"/>
      <c r="AB502" s="12"/>
      <c r="AC502" s="6"/>
      <c r="AD502" s="6"/>
      <c r="AE502" s="7"/>
      <c r="AF502" s="7"/>
      <c r="AG502" s="7"/>
      <c r="AH502" s="7"/>
      <c r="AI502" s="7"/>
      <c r="AJ502" s="7"/>
      <c r="AK502" s="7"/>
      <c r="AL502" s="7"/>
      <c r="AM502" s="7"/>
      <c r="AN502" s="7"/>
      <c r="AO502" s="6"/>
      <c r="AP502" s="7"/>
      <c r="AQ502" s="7"/>
      <c r="AR502" s="6"/>
      <c r="AS502" s="7"/>
      <c r="AT502" s="7"/>
      <c r="AU502" s="7"/>
      <c r="AV502" s="7"/>
      <c r="AW502" s="7"/>
      <c r="AX502" s="7"/>
      <c r="AY502" s="7"/>
      <c r="AZ502" s="7"/>
      <c r="BA502" s="7"/>
      <c r="BB502" s="7"/>
      <c r="BC502" s="7"/>
      <c r="BD502" s="7"/>
      <c r="BE502" s="7"/>
      <c r="BF502" s="7"/>
      <c r="BG502" s="7"/>
    </row>
    <row r="503" customHeight="1" spans="1:59">
      <c r="A503" s="9" t="str">
        <f>IFERROR(__xludf.DUMMYFUNCTION("""COMPUTED_VALUE"""),"Ita R03")</f>
        <v>Ita R03</v>
      </c>
      <c r="B503" s="5" t="str">
        <f>IFERROR(__xludf.DUMMYFUNCTION("""COMPUTED_VALUE"""),"Ita 52")</f>
        <v>Ita 52</v>
      </c>
      <c r="C503" s="5" t="str">
        <f>IFERROR(__xludf.DUMMYFUNCTION("""COMPUTED_VALUE"""),"Ita 09")</f>
        <v>Ita 09</v>
      </c>
      <c r="D503" s="5" t="str">
        <f>IFERROR(__xludf.DUMMYFUNCTION("""COMPUTED_VALUE"""),"OM-3")</f>
        <v>OM-3</v>
      </c>
      <c r="E503" s="7" t="str">
        <f>IFERROR(__xludf.DUMMYFUNCTION("""COMPUTED_VALUE"""),"OM3")</f>
        <v>OM3</v>
      </c>
      <c r="F503" s="8">
        <f>IFERROR(__xludf.DUMMYFUNCTION("""COMPUTED_VALUE"""),0)</f>
        <v>0</v>
      </c>
      <c r="G503" s="8">
        <f>IFERROR(__xludf.DUMMYFUNCTION("""COMPUTED_VALUE"""),472.453)</f>
        <v>472.453</v>
      </c>
      <c r="H503" s="8">
        <f>IFERROR(__xludf.DUMMYFUNCTION("""COMPUTED_VALUE"""),0)</f>
        <v>0</v>
      </c>
      <c r="I503" s="14"/>
      <c r="J503" s="14"/>
      <c r="K503" s="14"/>
      <c r="L503" s="14"/>
      <c r="M503" s="7" t="b">
        <f>IFERROR(__xludf.DUMMYFUNCTION("""COMPUTED_VALUE"""),TRUE)</f>
        <v>1</v>
      </c>
      <c r="N503" s="10">
        <f>IFERROR(__xludf.DUMMYFUNCTION("""COMPUTED_VALUE"""),0)</f>
        <v>0</v>
      </c>
      <c r="O503" s="10">
        <f>IFERROR(__xludf.DUMMYFUNCTION("""COMPUTED_VALUE"""),0)</f>
        <v>0</v>
      </c>
      <c r="P503" s="8"/>
      <c r="Q503" s="7"/>
      <c r="R503" s="16"/>
      <c r="S503" s="17"/>
      <c r="T503" s="8"/>
      <c r="U503" s="8"/>
      <c r="V503" s="22"/>
      <c r="W503" s="12"/>
      <c r="X503" s="12"/>
      <c r="Y503" s="12"/>
      <c r="Z503" s="12"/>
      <c r="AA503" s="7"/>
      <c r="AB503" s="12"/>
      <c r="AC503" s="6"/>
      <c r="AD503" s="6"/>
      <c r="AE503" s="7"/>
      <c r="AF503" s="7"/>
      <c r="AG503" s="7"/>
      <c r="AH503" s="7"/>
      <c r="AI503" s="7"/>
      <c r="AJ503" s="7"/>
      <c r="AK503" s="7"/>
      <c r="AL503" s="7"/>
      <c r="AM503" s="7"/>
      <c r="AN503" s="7"/>
      <c r="AO503" s="6"/>
      <c r="AP503" s="7"/>
      <c r="AQ503" s="7"/>
      <c r="AR503" s="6"/>
      <c r="AS503" s="7"/>
      <c r="AT503" s="7"/>
      <c r="AU503" s="7"/>
      <c r="AV503" s="7"/>
      <c r="AW503" s="7"/>
      <c r="AX503" s="7"/>
      <c r="AY503" s="7"/>
      <c r="AZ503" s="7"/>
      <c r="BA503" s="7"/>
      <c r="BB503" s="7"/>
      <c r="BC503" s="7"/>
      <c r="BD503" s="7"/>
      <c r="BE503" s="7"/>
      <c r="BF503" s="7"/>
      <c r="BG503" s="7"/>
    </row>
    <row r="504" customHeight="1" spans="1:59">
      <c r="A504" s="9" t="str">
        <f>IFERROR(__xludf.DUMMYFUNCTION("""COMPUTED_VALUE"""),"Ita R04")</f>
        <v>Ita R04</v>
      </c>
      <c r="B504" s="5" t="str">
        <f>IFERROR(__xludf.DUMMYFUNCTION("""COMPUTED_VALUE"""),"Ita 53")</f>
        <v>Ita 53</v>
      </c>
      <c r="C504" s="5" t="str">
        <f>IFERROR(__xludf.DUMMYFUNCTION("""COMPUTED_VALUE"""),"Ita 31")</f>
        <v>Ita 31</v>
      </c>
      <c r="D504" s="5" t="str">
        <f>IFERROR(__xludf.DUMMYFUNCTION("""COMPUTED_VALUE"""),"OM-4")</f>
        <v>OM-4</v>
      </c>
      <c r="E504" s="7" t="str">
        <f>IFERROR(__xludf.DUMMYFUNCTION("""COMPUTED_VALUE"""),"OM4")</f>
        <v>OM4</v>
      </c>
      <c r="F504" s="8">
        <f>IFERROR(__xludf.DUMMYFUNCTION("""COMPUTED_VALUE"""),0)</f>
        <v>0</v>
      </c>
      <c r="G504" s="8">
        <f>IFERROR(__xludf.DUMMYFUNCTION("""COMPUTED_VALUE"""),-472.453)</f>
        <v>-472.453</v>
      </c>
      <c r="H504" s="8">
        <f>IFERROR(__xludf.DUMMYFUNCTION("""COMPUTED_VALUE"""),0)</f>
        <v>0</v>
      </c>
      <c r="I504" s="14"/>
      <c r="J504" s="14"/>
      <c r="K504" s="14"/>
      <c r="L504" s="14"/>
      <c r="M504" s="7" t="b">
        <f>IFERROR(__xludf.DUMMYFUNCTION("""COMPUTED_VALUE"""),TRUE)</f>
        <v>1</v>
      </c>
      <c r="N504" s="10">
        <f>IFERROR(__xludf.DUMMYFUNCTION("""COMPUTED_VALUE"""),0)</f>
        <v>0</v>
      </c>
      <c r="O504" s="10">
        <f>IFERROR(__xludf.DUMMYFUNCTION("""COMPUTED_VALUE"""),0)</f>
        <v>0</v>
      </c>
      <c r="P504" s="8"/>
      <c r="Q504" s="7"/>
      <c r="R504" s="16"/>
      <c r="S504" s="17"/>
      <c r="T504" s="8"/>
      <c r="U504" s="8"/>
      <c r="V504" s="22"/>
      <c r="W504" s="12"/>
      <c r="X504" s="12"/>
      <c r="Y504" s="12"/>
      <c r="Z504" s="12"/>
      <c r="AA504" s="7"/>
      <c r="AB504" s="12"/>
      <c r="AC504" s="6"/>
      <c r="AD504" s="6"/>
      <c r="AE504" s="7"/>
      <c r="AF504" s="7"/>
      <c r="AG504" s="7"/>
      <c r="AH504" s="7"/>
      <c r="AI504" s="7"/>
      <c r="AJ504" s="7"/>
      <c r="AK504" s="7"/>
      <c r="AL504" s="7"/>
      <c r="AM504" s="7"/>
      <c r="AN504" s="7"/>
      <c r="AO504" s="6"/>
      <c r="AP504" s="7"/>
      <c r="AQ504" s="7"/>
      <c r="AR504" s="6"/>
      <c r="AS504" s="7"/>
      <c r="AT504" s="7"/>
      <c r="AU504" s="7"/>
      <c r="AV504" s="7"/>
      <c r="AW504" s="7"/>
      <c r="AX504" s="7"/>
      <c r="AY504" s="7"/>
      <c r="AZ504" s="7"/>
      <c r="BA504" s="7"/>
      <c r="BB504" s="7"/>
      <c r="BC504" s="7"/>
      <c r="BD504" s="7"/>
      <c r="BE504" s="7"/>
      <c r="BF504" s="7"/>
      <c r="BG504" s="7"/>
    </row>
    <row r="505" customHeight="1" spans="1:59">
      <c r="A505" s="9" t="str">
        <f>IFERROR(__xludf.DUMMYFUNCTION("""COMPUTED_VALUE"""),"Ita R05")</f>
        <v>Ita R05</v>
      </c>
      <c r="B505" s="5" t="str">
        <f>IFERROR(__xludf.DUMMYFUNCTION("""COMPUTED_VALUE"""),"Ita 54")</f>
        <v>Ita 54</v>
      </c>
      <c r="C505" s="5" t="str">
        <f>IFERROR(__xludf.DUMMYFUNCTION("""COMPUTED_VALUE"""),"Ita 18")</f>
        <v>Ita 18</v>
      </c>
      <c r="D505" s="5" t="str">
        <f>IFERROR(__xludf.DUMMYFUNCTION("""COMPUTED_VALUE"""),"OM-5")</f>
        <v>OM-5</v>
      </c>
      <c r="E505" s="7" t="str">
        <f>IFERROR(__xludf.DUMMYFUNCTION("""COMPUTED_VALUE"""),"OM5")</f>
        <v>OM5</v>
      </c>
      <c r="F505" s="8">
        <f>IFERROR(__xludf.DUMMYFUNCTION("""COMPUTED_VALUE"""),472.453)</f>
        <v>472.453</v>
      </c>
      <c r="G505" s="8">
        <f>IFERROR(__xludf.DUMMYFUNCTION("""COMPUTED_VALUE"""),0)</f>
        <v>0</v>
      </c>
      <c r="H505" s="8">
        <f>IFERROR(__xludf.DUMMYFUNCTION("""COMPUTED_VALUE"""),0)</f>
        <v>0</v>
      </c>
      <c r="I505" s="14"/>
      <c r="J505" s="14"/>
      <c r="K505" s="14"/>
      <c r="L505" s="14"/>
      <c r="M505" s="7" t="b">
        <f>IFERROR(__xludf.DUMMYFUNCTION("""COMPUTED_VALUE"""),TRUE)</f>
        <v>1</v>
      </c>
      <c r="N505" s="10">
        <f>IFERROR(__xludf.DUMMYFUNCTION("""COMPUTED_VALUE"""),0)</f>
        <v>0</v>
      </c>
      <c r="O505" s="10">
        <f>IFERROR(__xludf.DUMMYFUNCTION("""COMPUTED_VALUE"""),0)</f>
        <v>0</v>
      </c>
      <c r="P505" s="8"/>
      <c r="Q505" s="7"/>
      <c r="R505" s="16"/>
      <c r="S505" s="17"/>
      <c r="T505" s="8"/>
      <c r="U505" s="8"/>
      <c r="V505" s="22"/>
      <c r="W505" s="12"/>
      <c r="X505" s="12"/>
      <c r="Y505" s="12"/>
      <c r="Z505" s="12"/>
      <c r="AA505" s="7"/>
      <c r="AB505" s="12"/>
      <c r="AC505" s="6"/>
      <c r="AD505" s="6"/>
      <c r="AE505" s="7"/>
      <c r="AF505" s="7"/>
      <c r="AG505" s="7"/>
      <c r="AH505" s="7"/>
      <c r="AI505" s="7"/>
      <c r="AJ505" s="7"/>
      <c r="AK505" s="7"/>
      <c r="AL505" s="7"/>
      <c r="AM505" s="7"/>
      <c r="AN505" s="7"/>
      <c r="AO505" s="6"/>
      <c r="AP505" s="7"/>
      <c r="AQ505" s="7"/>
      <c r="AR505" s="6"/>
      <c r="AS505" s="7"/>
      <c r="AT505" s="7"/>
      <c r="AU505" s="7"/>
      <c r="AV505" s="7"/>
      <c r="AW505" s="7"/>
      <c r="AX505" s="7"/>
      <c r="AY505" s="7"/>
      <c r="AZ505" s="7"/>
      <c r="BA505" s="7"/>
      <c r="BB505" s="7"/>
      <c r="BC505" s="7"/>
      <c r="BD505" s="7"/>
      <c r="BE505" s="7"/>
      <c r="BF505" s="7"/>
      <c r="BG505" s="7"/>
    </row>
    <row r="506" customHeight="1" spans="1:59">
      <c r="A506" s="9" t="str">
        <f>IFERROR(__xludf.DUMMYFUNCTION("""COMPUTED_VALUE"""),"Ita R06")</f>
        <v>Ita R06</v>
      </c>
      <c r="B506" s="5" t="str">
        <f>IFERROR(__xludf.DUMMYFUNCTION("""COMPUTED_VALUE"""),"Ita 55")</f>
        <v>Ita 55</v>
      </c>
      <c r="C506" s="5" t="str">
        <f>IFERROR(__xludf.DUMMYFUNCTION("""COMPUTED_VALUE"""),"Ita 44")</f>
        <v>Ita 44</v>
      </c>
      <c r="D506" s="5" t="str">
        <f>IFERROR(__xludf.DUMMYFUNCTION("""COMPUTED_VALUE"""),"OM-6")</f>
        <v>OM-6</v>
      </c>
      <c r="E506" s="7" t="str">
        <f>IFERROR(__xludf.DUMMYFUNCTION("""COMPUTED_VALUE"""),"OM6")</f>
        <v>OM6</v>
      </c>
      <c r="F506" s="8">
        <f>IFERROR(__xludf.DUMMYFUNCTION("""COMPUTED_VALUE"""),-472.453)</f>
        <v>-472.453</v>
      </c>
      <c r="G506" s="8">
        <f>IFERROR(__xludf.DUMMYFUNCTION("""COMPUTED_VALUE"""),0)</f>
        <v>0</v>
      </c>
      <c r="H506" s="8">
        <f>IFERROR(__xludf.DUMMYFUNCTION("""COMPUTED_VALUE"""),0)</f>
        <v>0</v>
      </c>
      <c r="I506" s="14"/>
      <c r="J506" s="14"/>
      <c r="K506" s="14"/>
      <c r="L506" s="14"/>
      <c r="M506" s="7" t="b">
        <f>IFERROR(__xludf.DUMMYFUNCTION("""COMPUTED_VALUE"""),TRUE)</f>
        <v>1</v>
      </c>
      <c r="N506" s="10">
        <f>IFERROR(__xludf.DUMMYFUNCTION("""COMPUTED_VALUE"""),0)</f>
        <v>0</v>
      </c>
      <c r="O506" s="10">
        <f>IFERROR(__xludf.DUMMYFUNCTION("""COMPUTED_VALUE"""),0)</f>
        <v>0</v>
      </c>
      <c r="P506" s="8"/>
      <c r="Q506" s="7"/>
      <c r="R506" s="16"/>
      <c r="S506" s="17"/>
      <c r="T506" s="8"/>
      <c r="U506" s="8"/>
      <c r="V506" s="22"/>
      <c r="W506" s="12"/>
      <c r="X506" s="12"/>
      <c r="Y506" s="12"/>
      <c r="Z506" s="12"/>
      <c r="AA506" s="7"/>
      <c r="AB506" s="12"/>
      <c r="AC506" s="6"/>
      <c r="AD506" s="6"/>
      <c r="AE506" s="7"/>
      <c r="AF506" s="7"/>
      <c r="AG506" s="7"/>
      <c r="AH506" s="7"/>
      <c r="AI506" s="7"/>
      <c r="AJ506" s="7"/>
      <c r="AK506" s="7"/>
      <c r="AL506" s="7"/>
      <c r="AM506" s="7"/>
      <c r="AN506" s="7"/>
      <c r="AO506" s="6"/>
      <c r="AP506" s="7"/>
      <c r="AQ506" s="7"/>
      <c r="AR506" s="6"/>
      <c r="AS506" s="7"/>
      <c r="AT506" s="7"/>
      <c r="AU506" s="7"/>
      <c r="AV506" s="7"/>
      <c r="AW506" s="7"/>
      <c r="AX506" s="7"/>
      <c r="AY506" s="7"/>
      <c r="AZ506" s="7"/>
      <c r="BA506" s="7"/>
      <c r="BB506" s="7"/>
      <c r="BC506" s="7"/>
      <c r="BD506" s="7"/>
      <c r="BE506" s="7"/>
      <c r="BF506" s="7"/>
      <c r="BG506" s="7"/>
    </row>
    <row r="507" customHeight="1" spans="1:59">
      <c r="A507" s="9" t="str">
        <f>IFERROR(__xludf.DUMMYFUNCTION("""COMPUTED_VALUE"""),"Ita")</f>
        <v>Ita</v>
      </c>
      <c r="B507" s="5" t="str">
        <f>IFERROR(__xludf.DUMMYFUNCTION("""COMPUTED_VALUE"""),"Ita 00")</f>
        <v>Ita 00</v>
      </c>
      <c r="C507" s="5"/>
      <c r="D507" s="5" t="str">
        <f>IFERROR(__xludf.DUMMYFUNCTION("""COMPUTED_VALUE"""),"Trading Terminals")</f>
        <v>Trading Terminals</v>
      </c>
      <c r="E507" s="7"/>
      <c r="F507" s="8"/>
      <c r="G507" s="8"/>
      <c r="H507" s="8"/>
      <c r="I507" s="14"/>
      <c r="J507" s="14"/>
      <c r="K507" s="14"/>
      <c r="L507" s="14"/>
      <c r="M507" s="7"/>
      <c r="N507" s="10"/>
      <c r="O507" s="10"/>
      <c r="P507" s="8"/>
      <c r="Q507" s="7"/>
      <c r="R507" s="16"/>
      <c r="S507" s="17"/>
      <c r="T507" s="8"/>
      <c r="U507" s="8"/>
      <c r="V507" s="22"/>
      <c r="W507" s="12"/>
      <c r="X507" s="12"/>
      <c r="Y507" s="12"/>
      <c r="Z507" s="12"/>
      <c r="AA507" s="7"/>
      <c r="AB507" s="12"/>
      <c r="AC507" s="6"/>
      <c r="AD507" s="6"/>
      <c r="AE507" s="7"/>
      <c r="AF507" s="7"/>
      <c r="AG507" s="7"/>
      <c r="AH507" s="7"/>
      <c r="AI507" s="7"/>
      <c r="AJ507" s="7"/>
      <c r="AK507" s="7"/>
      <c r="AL507" s="7"/>
      <c r="AM507" s="7"/>
      <c r="AN507" s="7"/>
      <c r="AO507" s="6"/>
      <c r="AP507" s="7"/>
      <c r="AQ507" s="7"/>
      <c r="AR507" s="6"/>
      <c r="AS507" s="7"/>
      <c r="AT507" s="7"/>
      <c r="AU507" s="7"/>
      <c r="AV507" s="7"/>
      <c r="AW507" s="7"/>
      <c r="AX507" s="7"/>
      <c r="AY507" s="7"/>
      <c r="AZ507" s="7"/>
      <c r="BA507" s="7"/>
      <c r="BB507" s="7"/>
      <c r="BC507" s="7"/>
      <c r="BD507" s="7"/>
      <c r="BE507" s="7"/>
      <c r="BF507" s="7"/>
      <c r="BG507" s="7"/>
    </row>
    <row r="508" customHeight="1" spans="1:59">
      <c r="A508" s="9" t="str">
        <f>IFERROR(__xludf.DUMMYFUNCTION("""COMPUTED_VALUE"""),"Ita 01")</f>
        <v>Ita 01</v>
      </c>
      <c r="B508" s="5" t="str">
        <f>IFERROR(__xludf.DUMMYFUNCTION("""COMPUTED_VALUE"""),"Ita 01")</f>
        <v>Ita 01</v>
      </c>
      <c r="C508" s="5" t="str">
        <f>IFERROR(__xludf.DUMMYFUNCTION("""COMPUTED_VALUE"""),"Ita 34")</f>
        <v>Ita 34</v>
      </c>
      <c r="D508" s="5" t="str">
        <f>IFERROR(__xludf.DUMMYFUNCTION("""COMPUTED_VALUE"""),"HDMS Ryder (PB)")</f>
        <v>HDMS Ryder (PB)</v>
      </c>
      <c r="E508" s="7" t="str">
        <f>IFERROR(__xludf.DUMMYFUNCTION("""COMPUTED_VALUE"""),"Ryder")</f>
        <v>Ryder</v>
      </c>
      <c r="F508" s="8">
        <f>IFERROR(__xludf.DUMMYFUNCTION("""COMPUTED_VALUE"""),-175.874206865999)</f>
        <v>-175.874206865999</v>
      </c>
      <c r="G508" s="8">
        <f>IFERROR(__xludf.DUMMYFUNCTION("""COMPUTED_VALUE"""),-263.381380754999)</f>
        <v>-263.381380754999</v>
      </c>
      <c r="H508" s="8">
        <f>IFERROR(__xludf.DUMMYFUNCTION("""COMPUTED_VALUE"""),73.709287874)</f>
        <v>73.709287874</v>
      </c>
      <c r="I508" s="14"/>
      <c r="J508" s="14"/>
      <c r="K508" s="14"/>
      <c r="L508" s="14"/>
      <c r="M508" s="7" t="b">
        <f>IFERROR(__xludf.DUMMYFUNCTION("""COMPUTED_VALUE"""),TRUE)</f>
        <v>1</v>
      </c>
      <c r="N508" s="10">
        <f>IFERROR(__xludf.DUMMYFUNCTION("""COMPUTED_VALUE"""),0)</f>
        <v>0</v>
      </c>
      <c r="O508" s="10">
        <f>IFERROR(__xludf.DUMMYFUNCTION("""COMPUTED_VALUE"""),0)</f>
        <v>0</v>
      </c>
      <c r="P508" s="8"/>
      <c r="Q508" s="7"/>
      <c r="R508" s="16"/>
      <c r="S508" s="17"/>
      <c r="T508" s="8"/>
      <c r="U508" s="8"/>
      <c r="V508" s="22"/>
      <c r="W508" s="12"/>
      <c r="X508" s="12"/>
      <c r="Y508" s="12"/>
      <c r="Z508" s="12"/>
      <c r="AA508" s="7"/>
      <c r="AB508" s="12"/>
      <c r="AC508" s="6"/>
      <c r="AD508" s="6"/>
      <c r="AE508" s="7"/>
      <c r="AF508" s="7"/>
      <c r="AG508" s="7"/>
      <c r="AH508" s="7"/>
      <c r="AI508" s="7"/>
      <c r="AJ508" s="7"/>
      <c r="AK508" s="7"/>
      <c r="AL508" s="7"/>
      <c r="AM508" s="7"/>
      <c r="AN508" s="7"/>
      <c r="AO508" s="6"/>
      <c r="AP508" s="7"/>
      <c r="AQ508" s="7"/>
      <c r="AR508" s="6"/>
      <c r="AS508" s="7"/>
      <c r="AT508" s="7"/>
      <c r="AU508" s="7"/>
      <c r="AV508" s="7"/>
      <c r="AW508" s="7"/>
      <c r="AX508" s="7"/>
      <c r="AY508" s="7"/>
      <c r="AZ508" s="7"/>
      <c r="BA508" s="7"/>
      <c r="BB508" s="7"/>
      <c r="BC508" s="7"/>
      <c r="BD508" s="7"/>
      <c r="BE508" s="7"/>
      <c r="BF508" s="7"/>
      <c r="BG508" s="7"/>
    </row>
    <row r="509" customHeight="1" spans="1:59">
      <c r="A509" s="9" t="str">
        <f>IFERROR(__xludf.DUMMYFUNCTION("""COMPUTED_VALUE"""),"Ita 02")</f>
        <v>Ita 02</v>
      </c>
      <c r="B509" s="5" t="str">
        <f>IFERROR(__xludf.DUMMYFUNCTION("""COMPUTED_VALUE"""),"Ita 02")</f>
        <v>Ita 02</v>
      </c>
      <c r="C509" s="5" t="str">
        <f>IFERROR(__xludf.DUMMYFUNCTION("""COMPUTED_VALUE"""),"Ita 12")</f>
        <v>Ita 12</v>
      </c>
      <c r="D509" s="5" t="str">
        <f>IFERROR(__xludf.DUMMYFUNCTION("""COMPUTED_VALUE"""),"HDMS Woodruff (PB)")</f>
        <v>HDMS Woodruff (PB)</v>
      </c>
      <c r="E509" s="7" t="str">
        <f>IFERROR(__xludf.DUMMYFUNCTION("""COMPUTED_VALUE"""),"Woodruff")</f>
        <v>Woodruff</v>
      </c>
      <c r="F509" s="8">
        <f>IFERROR(__xludf.DUMMYFUNCTION("""COMPUTED_VALUE"""),114.791994557)</f>
        <v>114.791994557</v>
      </c>
      <c r="G509" s="8">
        <f>IFERROR(__xludf.DUMMYFUNCTION("""COMPUTED_VALUE"""),219.661083335)</f>
        <v>219.661083335</v>
      </c>
      <c r="H509" s="8">
        <f>IFERROR(__xludf.DUMMYFUNCTION("""COMPUTED_VALUE"""),210.466568146)</f>
        <v>210.466568146</v>
      </c>
      <c r="I509" s="14"/>
      <c r="J509" s="14"/>
      <c r="K509" s="14"/>
      <c r="L509" s="14"/>
      <c r="M509" s="7" t="b">
        <f>IFERROR(__xludf.DUMMYFUNCTION("""COMPUTED_VALUE"""),TRUE)</f>
        <v>1</v>
      </c>
      <c r="N509" s="10">
        <f>IFERROR(__xludf.DUMMYFUNCTION("""COMPUTED_VALUE"""),0)</f>
        <v>0</v>
      </c>
      <c r="O509" s="10">
        <f>IFERROR(__xludf.DUMMYFUNCTION("""COMPUTED_VALUE"""),0)</f>
        <v>0</v>
      </c>
      <c r="P509" s="8"/>
      <c r="Q509" s="7"/>
      <c r="R509" s="16"/>
      <c r="S509" s="17"/>
      <c r="T509" s="8"/>
      <c r="U509" s="8"/>
      <c r="V509" s="22"/>
      <c r="W509" s="12"/>
      <c r="X509" s="12"/>
      <c r="Y509" s="12"/>
      <c r="Z509" s="12"/>
      <c r="AA509" s="7"/>
      <c r="AB509" s="12"/>
      <c r="AC509" s="6"/>
      <c r="AD509" s="6"/>
      <c r="AE509" s="7"/>
      <c r="AF509" s="7"/>
      <c r="AG509" s="7"/>
      <c r="AH509" s="7"/>
      <c r="AI509" s="7"/>
      <c r="AJ509" s="7"/>
      <c r="AK509" s="7"/>
      <c r="AL509" s="7"/>
      <c r="AM509" s="7"/>
      <c r="AN509" s="7"/>
      <c r="AO509" s="6"/>
      <c r="AP509" s="7"/>
      <c r="AQ509" s="7"/>
      <c r="AR509" s="6"/>
      <c r="AS509" s="7"/>
      <c r="AT509" s="7"/>
      <c r="AU509" s="7"/>
      <c r="AV509" s="7"/>
      <c r="AW509" s="7"/>
      <c r="AX509" s="7"/>
      <c r="AY509" s="7"/>
      <c r="AZ509" s="7"/>
      <c r="BA509" s="7"/>
      <c r="BB509" s="7"/>
      <c r="BC509" s="7"/>
      <c r="BD509" s="7"/>
      <c r="BE509" s="7"/>
      <c r="BF509" s="7"/>
      <c r="BG509" s="7"/>
    </row>
    <row r="510" customHeight="1" spans="1:59">
      <c r="A510" s="9" t="str">
        <f>IFERROR(__xludf.DUMMYFUNCTION("""COMPUTED_VALUE"""),"Ita")</f>
        <v>Ita</v>
      </c>
      <c r="B510" s="5" t="str">
        <f>IFERROR(__xludf.DUMMYFUNCTION("""COMPUTED_VALUE"""),"Ita 04")</f>
        <v>Ita 04</v>
      </c>
      <c r="C510" s="5"/>
      <c r="D510" s="5" t="str">
        <f>IFERROR(__xludf.DUMMYFUNCTION("""COMPUTED_VALUE"""),"Settlements")</f>
        <v>Settlements</v>
      </c>
      <c r="E510" s="7"/>
      <c r="F510" s="8"/>
      <c r="G510" s="8"/>
      <c r="H510" s="8"/>
      <c r="I510" s="14"/>
      <c r="J510" s="14"/>
      <c r="K510" s="14"/>
      <c r="L510" s="14"/>
      <c r="M510" s="7"/>
      <c r="N510" s="10"/>
      <c r="O510" s="10"/>
      <c r="P510" s="8"/>
      <c r="Q510" s="7"/>
      <c r="R510" s="16"/>
      <c r="S510" s="17"/>
      <c r="T510" s="8"/>
      <c r="U510" s="8"/>
      <c r="V510" s="22"/>
      <c r="W510" s="12"/>
      <c r="X510" s="12"/>
      <c r="Y510" s="12"/>
      <c r="Z510" s="12"/>
      <c r="AA510" s="7"/>
      <c r="AB510" s="12"/>
      <c r="AC510" s="6"/>
      <c r="AD510" s="6"/>
      <c r="AE510" s="7"/>
      <c r="AF510" s="7"/>
      <c r="AG510" s="7"/>
      <c r="AH510" s="7"/>
      <c r="AI510" s="7"/>
      <c r="AJ510" s="7"/>
      <c r="AK510" s="7"/>
      <c r="AL510" s="7"/>
      <c r="AM510" s="7"/>
      <c r="AN510" s="7"/>
      <c r="AO510" s="6"/>
      <c r="AP510" s="7"/>
      <c r="AQ510" s="7"/>
      <c r="AR510" s="6"/>
      <c r="AS510" s="7"/>
      <c r="AT510" s="7"/>
      <c r="AU510" s="7"/>
      <c r="AV510" s="7"/>
      <c r="AW510" s="7"/>
      <c r="AX510" s="7"/>
      <c r="AY510" s="7"/>
      <c r="AZ510" s="7"/>
      <c r="BA510" s="7"/>
      <c r="BB510" s="7"/>
      <c r="BC510" s="7"/>
      <c r="BD510" s="7"/>
      <c r="BE510" s="7"/>
      <c r="BF510" s="7"/>
      <c r="BG510" s="7"/>
    </row>
    <row r="511" customHeight="1" spans="1:59">
      <c r="A511" s="9" t="str">
        <f>IFERROR(__xludf.DUMMYFUNCTION("""COMPUTED_VALUE"""),"Ita 04")</f>
        <v>Ita 04</v>
      </c>
      <c r="B511" s="5" t="str">
        <f>IFERROR(__xludf.DUMMYFUNCTION("""COMPUTED_VALUE"""),"Ita 05")</f>
        <v>Ita 05</v>
      </c>
      <c r="C511" s="5" t="str">
        <f>IFERROR(__xludf.DUMMYFUNCTION("""COMPUTED_VALUE"""),"Ita 35")</f>
        <v>Ita 35</v>
      </c>
      <c r="D511" s="5" t="str">
        <f>IFERROR(__xludf.DUMMYFUNCTION("""COMPUTED_VALUE"""),"Settlement 10P")</f>
        <v>Settlement 10P</v>
      </c>
      <c r="E511" s="7" t="str">
        <f>IFERROR(__xludf.DUMMYFUNCTION("""COMPUTED_VALUE"""),"Settlement 10P")</f>
        <v>Settlement 10P</v>
      </c>
      <c r="F511" s="8">
        <f>IFERROR(__xludf.DUMMYFUNCTION("""COMPUTED_VALUE"""),-178.058424067)</f>
        <v>-178.058424067</v>
      </c>
      <c r="G511" s="8">
        <f>IFERROR(__xludf.DUMMYFUNCTION("""COMPUTED_VALUE"""),-260.61607295)</f>
        <v>-260.61607295</v>
      </c>
      <c r="H511" s="8">
        <f>IFERROR(__xludf.DUMMYFUNCTION("""COMPUTED_VALUE"""),78.4016437819999)</f>
        <v>78.4016437819999</v>
      </c>
      <c r="I511" s="14"/>
      <c r="J511" s="14"/>
      <c r="K511" s="14"/>
      <c r="L511" s="14"/>
      <c r="M511" s="7" t="b">
        <f>IFERROR(__xludf.DUMMYFUNCTION("""COMPUTED_VALUE"""),FALSE)</f>
        <v>0</v>
      </c>
      <c r="N511" s="10">
        <f>IFERROR(__xludf.DUMMYFUNCTION("""COMPUTED_VALUE"""),0)</f>
        <v>0</v>
      </c>
      <c r="O511" s="10">
        <f>IFERROR(__xludf.DUMMYFUNCTION("""COMPUTED_VALUE"""),0)</f>
        <v>0</v>
      </c>
      <c r="P511" s="8"/>
      <c r="Q511" s="7"/>
      <c r="R511" s="16"/>
      <c r="S511" s="17"/>
      <c r="T511" s="8"/>
      <c r="U511" s="8"/>
      <c r="V511" s="22"/>
      <c r="W511" s="12"/>
      <c r="X511" s="12"/>
      <c r="Y511" s="12"/>
      <c r="Z511" s="12"/>
      <c r="AA511" s="7"/>
      <c r="AB511" s="12"/>
      <c r="AC511" s="6"/>
      <c r="AD511" s="6"/>
      <c r="AE511" s="7"/>
      <c r="AF511" s="7"/>
      <c r="AG511" s="7"/>
      <c r="AH511" s="7"/>
      <c r="AI511" s="7"/>
      <c r="AJ511" s="7"/>
      <c r="AK511" s="7"/>
      <c r="AL511" s="7"/>
      <c r="AM511" s="7"/>
      <c r="AN511" s="7"/>
      <c r="AO511" s="6"/>
      <c r="AP511" s="7"/>
      <c r="AQ511" s="7"/>
      <c r="AR511" s="6"/>
      <c r="AS511" s="7"/>
      <c r="AT511" s="7"/>
      <c r="AU511" s="7"/>
      <c r="AV511" s="7"/>
      <c r="AW511" s="7"/>
      <c r="AX511" s="7"/>
      <c r="AY511" s="7"/>
      <c r="AZ511" s="7"/>
      <c r="BA511" s="7"/>
      <c r="BB511" s="7"/>
      <c r="BC511" s="7"/>
      <c r="BD511" s="7"/>
      <c r="BE511" s="7"/>
      <c r="BF511" s="7"/>
      <c r="BG511" s="7"/>
    </row>
    <row r="512" customHeight="1" spans="1:59">
      <c r="A512" s="9" t="str">
        <f>IFERROR(__xludf.DUMMYFUNCTION("""COMPUTED_VALUE"""),"Ita 05")</f>
        <v>Ita 05</v>
      </c>
      <c r="B512" s="5" t="str">
        <f>IFERROR(__xludf.DUMMYFUNCTION("""COMPUTED_VALUE"""),"Ita 06")</f>
        <v>Ita 06</v>
      </c>
      <c r="C512" s="5" t="str">
        <f>IFERROR(__xludf.DUMMYFUNCTION("""COMPUTED_VALUE"""),"Ita 11")</f>
        <v>Ita 11</v>
      </c>
      <c r="D512" s="5" t="str">
        <f>IFERROR(__xludf.DUMMYFUNCTION("""COMPUTED_VALUE"""),"Settlement 43R")</f>
        <v>Settlement 43R</v>
      </c>
      <c r="E512" s="7" t="str">
        <f>IFERROR(__xludf.DUMMYFUNCTION("""COMPUTED_VALUE"""),"Settlement 43R")</f>
        <v>Settlement 43R</v>
      </c>
      <c r="F512" s="8">
        <f>IFERROR(__xludf.DUMMYFUNCTION("""COMPUTED_VALUE"""),69.5966310079998)</f>
        <v>69.5966310079998</v>
      </c>
      <c r="G512" s="8">
        <f>IFERROR(__xludf.DUMMYFUNCTION("""COMPUTED_VALUE"""),284.3738313)</f>
        <v>284.3738313</v>
      </c>
      <c r="H512" s="8">
        <f>IFERROR(__xludf.DUMMYFUNCTION("""COMPUTED_VALUE"""),141.431959376999)</f>
        <v>141.431959376999</v>
      </c>
      <c r="I512" s="14"/>
      <c r="J512" s="14"/>
      <c r="K512" s="14"/>
      <c r="L512" s="14"/>
      <c r="M512" s="7" t="b">
        <f>IFERROR(__xludf.DUMMYFUNCTION("""COMPUTED_VALUE"""),FALSE)</f>
        <v>0</v>
      </c>
      <c r="N512" s="10">
        <f>IFERROR(__xludf.DUMMYFUNCTION("""COMPUTED_VALUE"""),0)</f>
        <v>0</v>
      </c>
      <c r="O512" s="10">
        <f>IFERROR(__xludf.DUMMYFUNCTION("""COMPUTED_VALUE"""),0)</f>
        <v>0</v>
      </c>
      <c r="P512" s="8"/>
      <c r="Q512" s="7"/>
      <c r="R512" s="16"/>
      <c r="S512" s="17"/>
      <c r="T512" s="8"/>
      <c r="U512" s="8"/>
      <c r="V512" s="22"/>
      <c r="W512" s="12"/>
      <c r="X512" s="12"/>
      <c r="Y512" s="12"/>
      <c r="Z512" s="12"/>
      <c r="AA512" s="7"/>
      <c r="AB512" s="12"/>
      <c r="AC512" s="6"/>
      <c r="AD512" s="6"/>
      <c r="AE512" s="7"/>
      <c r="AF512" s="7"/>
      <c r="AG512" s="7"/>
      <c r="AH512" s="7"/>
      <c r="AI512" s="7"/>
      <c r="AJ512" s="7"/>
      <c r="AK512" s="7"/>
      <c r="AL512" s="7"/>
      <c r="AM512" s="7"/>
      <c r="AN512" s="7"/>
      <c r="AO512" s="6"/>
      <c r="AP512" s="7"/>
      <c r="AQ512" s="7"/>
      <c r="AR512" s="6"/>
      <c r="AS512" s="7"/>
      <c r="AT512" s="7"/>
      <c r="AU512" s="7"/>
      <c r="AV512" s="7"/>
      <c r="AW512" s="7"/>
      <c r="AX512" s="7"/>
      <c r="AY512" s="7"/>
      <c r="AZ512" s="7"/>
      <c r="BA512" s="7"/>
      <c r="BB512" s="7"/>
      <c r="BC512" s="7"/>
      <c r="BD512" s="7"/>
      <c r="BE512" s="7"/>
      <c r="BF512" s="7"/>
      <c r="BG512" s="7"/>
    </row>
    <row r="513" customHeight="1" spans="1:59">
      <c r="A513" s="9" t="str">
        <f>IFERROR(__xludf.DUMMYFUNCTION("""COMPUTED_VALUE"""),"Ita")</f>
        <v>Ita</v>
      </c>
      <c r="B513" s="5" t="str">
        <f>IFERROR(__xludf.DUMMYFUNCTION("""COMPUTED_VALUE"""),"Ita 08")</f>
        <v>Ita 08</v>
      </c>
      <c r="C513" s="5"/>
      <c r="D513" s="5" t="str">
        <f>IFERROR(__xludf.DUMMYFUNCTION("""COMPUTED_VALUE"""),"Caves")</f>
        <v>Caves</v>
      </c>
      <c r="E513" s="7"/>
      <c r="F513" s="8"/>
      <c r="G513" s="8"/>
      <c r="H513" s="8"/>
      <c r="I513" s="14"/>
      <c r="J513" s="14"/>
      <c r="K513" s="14"/>
      <c r="L513" s="14"/>
      <c r="M513" s="7"/>
      <c r="N513" s="10"/>
      <c r="O513" s="10"/>
      <c r="P513" s="8"/>
      <c r="Q513" s="7"/>
      <c r="R513" s="16"/>
      <c r="S513" s="17"/>
      <c r="T513" s="8"/>
      <c r="U513" s="8"/>
      <c r="V513" s="22"/>
      <c r="W513" s="12"/>
      <c r="X513" s="12"/>
      <c r="Y513" s="12"/>
      <c r="Z513" s="12"/>
      <c r="AA513" s="7"/>
      <c r="AB513" s="12"/>
      <c r="AC513" s="6"/>
      <c r="AD513" s="6"/>
      <c r="AE513" s="7"/>
      <c r="AF513" s="7"/>
      <c r="AG513" s="7"/>
      <c r="AH513" s="7"/>
      <c r="AI513" s="7"/>
      <c r="AJ513" s="7"/>
      <c r="AK513" s="7"/>
      <c r="AL513" s="7"/>
      <c r="AM513" s="7"/>
      <c r="AN513" s="7"/>
      <c r="AO513" s="6"/>
      <c r="AP513" s="7"/>
      <c r="AQ513" s="7"/>
      <c r="AR513" s="6"/>
      <c r="AS513" s="7"/>
      <c r="AT513" s="7"/>
      <c r="AU513" s="7"/>
      <c r="AV513" s="7"/>
      <c r="AW513" s="7"/>
      <c r="AX513" s="7"/>
      <c r="AY513" s="7"/>
      <c r="AZ513" s="7"/>
      <c r="BA513" s="7"/>
      <c r="BB513" s="7"/>
      <c r="BC513" s="7"/>
      <c r="BD513" s="7"/>
      <c r="BE513" s="7"/>
      <c r="BF513" s="7"/>
      <c r="BG513" s="7"/>
    </row>
    <row r="514" customHeight="1" spans="1:59">
      <c r="A514" s="9" t="str">
        <f>IFERROR(__xludf.DUMMYFUNCTION("""COMPUTED_VALUE"""),"Ita 16")</f>
        <v>Ita 16</v>
      </c>
      <c r="B514" s="5" t="str">
        <f>IFERROR(__xludf.DUMMYFUNCTION("""COMPUTED_VALUE"""),"Ita 19")</f>
        <v>Ita 19</v>
      </c>
      <c r="C514" s="5" t="str">
        <f>IFERROR(__xludf.DUMMYFUNCTION("""COMPUTED_VALUE"""),"Ita 28")</f>
        <v>Ita 28</v>
      </c>
      <c r="D514" s="5" t="str">
        <f>IFERROR(__xludf.DUMMYFUNCTION("""COMPUTED_VALUE"""),"Sand Cave 22Q")</f>
        <v>Sand Cave 22Q</v>
      </c>
      <c r="E514" s="7" t="str">
        <f>IFERROR(__xludf.DUMMYFUNCTION("""COMPUTED_VALUE"""),"SCave 22Q")</f>
        <v>SCave 22Q</v>
      </c>
      <c r="F514" s="11">
        <f>IFERROR(__xludf.DUMMYFUNCTION("""COMPUTED_VALUE"""),193.699603895)</f>
        <v>193.699603895</v>
      </c>
      <c r="G514" s="11">
        <f>IFERROR(__xludf.DUMMYFUNCTION("""COMPUTED_VALUE"""),-227.582237953)</f>
        <v>-227.582237953</v>
      </c>
      <c r="H514" s="11">
        <f>IFERROR(__xludf.DUMMYFUNCTION("""COMPUTED_VALUE"""),127.758798352)</f>
        <v>127.758798352</v>
      </c>
      <c r="I514" s="15"/>
      <c r="J514" s="15"/>
      <c r="K514" s="15"/>
      <c r="L514" s="15"/>
      <c r="M514" s="7" t="b">
        <f>IFERROR(__xludf.DUMMYFUNCTION("""COMPUTED_VALUE"""),FALSE)</f>
        <v>0</v>
      </c>
      <c r="N514" s="10">
        <f>IFERROR(__xludf.DUMMYFUNCTION("""COMPUTED_VALUE"""),0)</f>
        <v>0</v>
      </c>
      <c r="O514" s="10">
        <f>IFERROR(__xludf.DUMMYFUNCTION("""COMPUTED_VALUE"""),0)</f>
        <v>0</v>
      </c>
      <c r="P514" s="8"/>
      <c r="Q514" s="7"/>
      <c r="R514" s="16"/>
      <c r="S514" s="17"/>
      <c r="T514" s="8"/>
      <c r="U514" s="8"/>
      <c r="V514" s="22"/>
      <c r="W514" s="12"/>
      <c r="X514" s="12"/>
      <c r="Y514" s="12"/>
      <c r="Z514" s="12"/>
      <c r="AA514" s="7"/>
      <c r="AB514" s="12"/>
      <c r="AC514" s="6"/>
      <c r="AD514" s="6"/>
      <c r="AE514" s="7"/>
      <c r="AF514" s="7"/>
      <c r="AG514" s="7"/>
      <c r="AH514" s="7"/>
      <c r="AI514" s="7"/>
      <c r="AJ514" s="7"/>
      <c r="AK514" s="7"/>
      <c r="AL514" s="7"/>
      <c r="AM514" s="7"/>
      <c r="AN514" s="7"/>
      <c r="AO514" s="6"/>
      <c r="AP514" s="7"/>
      <c r="AQ514" s="7"/>
      <c r="AR514" s="6"/>
      <c r="AS514" s="7"/>
      <c r="AT514" s="7"/>
      <c r="AU514" s="7"/>
      <c r="AV514" s="7"/>
      <c r="AW514" s="7"/>
      <c r="AX514" s="7"/>
      <c r="AY514" s="7"/>
      <c r="AZ514" s="7"/>
      <c r="BA514" s="7"/>
      <c r="BB514" s="7"/>
      <c r="BC514" s="7"/>
      <c r="BD514" s="7"/>
      <c r="BE514" s="7"/>
      <c r="BF514" s="7"/>
      <c r="BG514" s="7"/>
    </row>
    <row r="515" customHeight="1" spans="1:59">
      <c r="A515" s="9" t="str">
        <f>IFERROR(__xludf.DUMMYFUNCTION("""COMPUTED_VALUE"""),"Ita 18")</f>
        <v>Ita 18</v>
      </c>
      <c r="B515" s="5" t="str">
        <f>IFERROR(__xludf.DUMMYFUNCTION("""COMPUTED_VALUE"""),"Ita 21")</f>
        <v>Ita 21</v>
      </c>
      <c r="C515" s="5" t="str">
        <f>IFERROR(__xludf.DUMMYFUNCTION("""COMPUTED_VALUE"""),"Ita 26")</f>
        <v>Ita 26</v>
      </c>
      <c r="D515" s="5" t="str">
        <f>IFERROR(__xludf.DUMMYFUNCTION("""COMPUTED_VALUE"""),"Sand Cave 24H-277")</f>
        <v>Sand Cave 24H-277</v>
      </c>
      <c r="E515" s="7" t="str">
        <f>IFERROR(__xludf.DUMMYFUNCTION("""COMPUTED_VALUE"""),"SCave 24H277")</f>
        <v>SCave 24H277</v>
      </c>
      <c r="F515" s="11">
        <f>IFERROR(__xludf.DUMMYFUNCTION("""COMPUTED_VALUE"""),188.807448104999)</f>
        <v>188.807448104999</v>
      </c>
      <c r="G515" s="11">
        <f>IFERROR(__xludf.DUMMYFUNCTION("""COMPUTED_VALUE"""),-167.768550433)</f>
        <v>-167.768550433</v>
      </c>
      <c r="H515" s="11">
        <f>IFERROR(__xludf.DUMMYFUNCTION("""COMPUTED_VALUE"""),-204.413414621)</f>
        <v>-204.413414621</v>
      </c>
      <c r="I515" s="15"/>
      <c r="J515" s="15"/>
      <c r="K515" s="15"/>
      <c r="L515" s="15"/>
      <c r="M515" s="7" t="b">
        <f>IFERROR(__xludf.DUMMYFUNCTION("""COMPUTED_VALUE"""),FALSE)</f>
        <v>0</v>
      </c>
      <c r="N515" s="10">
        <f>IFERROR(__xludf.DUMMYFUNCTION("""COMPUTED_VALUE"""),0)</f>
        <v>0</v>
      </c>
      <c r="O515" s="10">
        <f>IFERROR(__xludf.DUMMYFUNCTION("""COMPUTED_VALUE"""),0)</f>
        <v>0</v>
      </c>
      <c r="P515" s="8"/>
      <c r="Q515" s="7"/>
      <c r="R515" s="16"/>
      <c r="S515" s="17"/>
      <c r="T515" s="8"/>
      <c r="U515" s="8"/>
      <c r="V515" s="22"/>
      <c r="W515" s="12"/>
      <c r="X515" s="12"/>
      <c r="Y515" s="12"/>
      <c r="Z515" s="12"/>
      <c r="AA515" s="7"/>
      <c r="AB515" s="12"/>
      <c r="AC515" s="6"/>
      <c r="AD515" s="6"/>
      <c r="AE515" s="7"/>
      <c r="AF515" s="7"/>
      <c r="AG515" s="7"/>
      <c r="AH515" s="7"/>
      <c r="AI515" s="7"/>
      <c r="AJ515" s="7"/>
      <c r="AK515" s="7"/>
      <c r="AL515" s="7"/>
      <c r="AM515" s="7"/>
      <c r="AN515" s="7"/>
      <c r="AO515" s="6"/>
      <c r="AP515" s="7"/>
      <c r="AQ515" s="7"/>
      <c r="AR515" s="6"/>
      <c r="AS515" s="7"/>
      <c r="AT515" s="7"/>
      <c r="AU515" s="7"/>
      <c r="AV515" s="7"/>
      <c r="AW515" s="7"/>
      <c r="AX515" s="7"/>
      <c r="AY515" s="7"/>
      <c r="AZ515" s="7"/>
      <c r="BA515" s="7"/>
      <c r="BB515" s="7"/>
      <c r="BC515" s="7"/>
      <c r="BD515" s="7"/>
      <c r="BE515" s="7"/>
      <c r="BF515" s="7"/>
      <c r="BG515" s="7"/>
    </row>
    <row r="516" customHeight="1" spans="1:59">
      <c r="A516" s="9" t="str">
        <f>IFERROR(__xludf.DUMMYFUNCTION("""COMPUTED_VALUE"""),"Ita 29")</f>
        <v>Ita 29</v>
      </c>
      <c r="B516" s="5" t="str">
        <f>IFERROR(__xludf.DUMMYFUNCTION("""COMPUTED_VALUE"""),"Ita 32")</f>
        <v>Ita 32</v>
      </c>
      <c r="C516" s="5" t="str">
        <f>IFERROR(__xludf.DUMMYFUNCTION("""COMPUTED_VALUE"""),"Ita 08")</f>
        <v>Ita 08</v>
      </c>
      <c r="D516" s="5" t="str">
        <f>IFERROR(__xludf.DUMMYFUNCTION("""COMPUTED_VALUE"""),"Sand Cave 48L")</f>
        <v>Sand Cave 48L</v>
      </c>
      <c r="E516" s="7" t="str">
        <f>IFERROR(__xludf.DUMMYFUNCTION("""COMPUTED_VALUE"""),"SCave 48L")</f>
        <v>SCave 48L</v>
      </c>
      <c r="F516" s="11">
        <f>IFERROR(__xludf.DUMMYFUNCTION("""COMPUTED_VALUE"""),-91.951947323)</f>
        <v>-91.951947323</v>
      </c>
      <c r="G516" s="11">
        <f>IFERROR(__xludf.DUMMYFUNCTION("""COMPUTED_VALUE"""),299.685840192998)</f>
        <v>299.685840192998</v>
      </c>
      <c r="H516" s="11">
        <f>IFERROR(__xludf.DUMMYFUNCTION("""COMPUTED_VALUE"""),-85.814203531)</f>
        <v>-85.814203531</v>
      </c>
      <c r="I516" s="15"/>
      <c r="J516" s="15"/>
      <c r="K516" s="15"/>
      <c r="L516" s="15"/>
      <c r="M516" s="7" t="b">
        <f>IFERROR(__xludf.DUMMYFUNCTION("""COMPUTED_VALUE"""),FALSE)</f>
        <v>0</v>
      </c>
      <c r="N516" s="10">
        <f>IFERROR(__xludf.DUMMYFUNCTION("""COMPUTED_VALUE"""),0)</f>
        <v>0</v>
      </c>
      <c r="O516" s="10">
        <f>IFERROR(__xludf.DUMMYFUNCTION("""COMPUTED_VALUE"""),0)</f>
        <v>0</v>
      </c>
      <c r="P516" s="8"/>
      <c r="Q516" s="7"/>
      <c r="R516" s="16"/>
      <c r="S516" s="17"/>
      <c r="T516" s="8"/>
      <c r="U516" s="8"/>
      <c r="V516" s="22"/>
      <c r="W516" s="12"/>
      <c r="X516" s="12"/>
      <c r="Y516" s="12"/>
      <c r="Z516" s="12"/>
      <c r="AA516" s="7"/>
      <c r="AB516" s="12"/>
      <c r="AC516" s="6"/>
      <c r="AD516" s="6"/>
      <c r="AE516" s="7"/>
      <c r="AF516" s="7"/>
      <c r="AG516" s="7"/>
      <c r="AH516" s="7"/>
      <c r="AI516" s="7"/>
      <c r="AJ516" s="7"/>
      <c r="AK516" s="7"/>
      <c r="AL516" s="7"/>
      <c r="AM516" s="7"/>
      <c r="AN516" s="7"/>
      <c r="AO516" s="6"/>
      <c r="AP516" s="7"/>
      <c r="AQ516" s="7"/>
      <c r="AR516" s="6"/>
      <c r="AS516" s="7"/>
      <c r="AT516" s="7"/>
      <c r="AU516" s="7"/>
      <c r="AV516" s="7"/>
      <c r="AW516" s="7"/>
      <c r="AX516" s="7"/>
      <c r="AY516" s="7"/>
      <c r="AZ516" s="7"/>
      <c r="BA516" s="7"/>
      <c r="BB516" s="7"/>
      <c r="BC516" s="7"/>
      <c r="BD516" s="7"/>
      <c r="BE516" s="7"/>
      <c r="BF516" s="7"/>
      <c r="BG516" s="7"/>
    </row>
    <row r="517" customHeight="1" spans="1:59">
      <c r="A517" s="9" t="str">
        <f>IFERROR(__xludf.DUMMYFUNCTION("""COMPUTED_VALUE"""),"Ita 14")</f>
        <v>Ita 14</v>
      </c>
      <c r="B517" s="5" t="str">
        <f>IFERROR(__xludf.DUMMYFUNCTION("""COMPUTED_VALUE"""),"Ita 17")</f>
        <v>Ita 17</v>
      </c>
      <c r="C517" s="5" t="str">
        <f>IFERROR(__xludf.DUMMYFUNCTION("""COMPUTED_VALUE"""),"Ita 32")</f>
        <v>Ita 32</v>
      </c>
      <c r="D517" s="5" t="str">
        <f>IFERROR(__xludf.DUMMYFUNCTION("""COMPUTED_VALUE"""),"Sand Cave 10P-118")</f>
        <v>Sand Cave 10P-118</v>
      </c>
      <c r="E517" s="7" t="str">
        <f>IFERROR(__xludf.DUMMYFUNCTION("""COMPUTED_VALUE"""),"SCave 10P118")</f>
        <v>SCave 10P118</v>
      </c>
      <c r="F517" s="11">
        <f>IFERROR(__xludf.DUMMYFUNCTION("""COMPUTED_VALUE"""),-164.654306465)</f>
        <v>-164.654306465</v>
      </c>
      <c r="G517" s="11">
        <f>IFERROR(__xludf.DUMMYFUNCTION("""COMPUTED_VALUE"""),-271.127454260999)</f>
        <v>-271.127454260999</v>
      </c>
      <c r="H517" s="11">
        <f>IFERROR(__xludf.DUMMYFUNCTION("""COMPUTED_VALUE"""),71.294127882)</f>
        <v>71.294127882</v>
      </c>
      <c r="I517" s="15"/>
      <c r="J517" s="15"/>
      <c r="K517" s="15"/>
      <c r="L517" s="15"/>
      <c r="M517" s="7" t="b">
        <f>IFERROR(__xludf.DUMMYFUNCTION("""COMPUTED_VALUE"""),FALSE)</f>
        <v>0</v>
      </c>
      <c r="N517" s="10">
        <f>IFERROR(__xludf.DUMMYFUNCTION("""COMPUTED_VALUE"""),0)</f>
        <v>0</v>
      </c>
      <c r="O517" s="10">
        <f>IFERROR(__xludf.DUMMYFUNCTION("""COMPUTED_VALUE"""),0)</f>
        <v>0</v>
      </c>
      <c r="P517" s="8"/>
      <c r="Q517" s="7"/>
      <c r="R517" s="16"/>
      <c r="S517" s="17"/>
      <c r="T517" s="8"/>
      <c r="U517" s="8"/>
      <c r="V517" s="22"/>
      <c r="W517" s="12"/>
      <c r="X517" s="12"/>
      <c r="Y517" s="12"/>
      <c r="Z517" s="12"/>
      <c r="AA517" s="7"/>
      <c r="AB517" s="12"/>
      <c r="AC517" s="6"/>
      <c r="AD517" s="6"/>
      <c r="AE517" s="7"/>
      <c r="AF517" s="7"/>
      <c r="AG517" s="7"/>
      <c r="AH517" s="7"/>
      <c r="AI517" s="7"/>
      <c r="AJ517" s="7"/>
      <c r="AK517" s="7"/>
      <c r="AL517" s="7"/>
      <c r="AM517" s="7"/>
      <c r="AN517" s="7"/>
      <c r="AO517" s="6"/>
      <c r="AP517" s="7"/>
      <c r="AQ517" s="7"/>
      <c r="AR517" s="6"/>
      <c r="AS517" s="7"/>
      <c r="AT517" s="7"/>
      <c r="AU517" s="7"/>
      <c r="AV517" s="7"/>
      <c r="AW517" s="7"/>
      <c r="AX517" s="7"/>
      <c r="AY517" s="7"/>
      <c r="AZ517" s="7"/>
      <c r="BA517" s="7"/>
      <c r="BB517" s="7"/>
      <c r="BC517" s="7"/>
      <c r="BD517" s="7"/>
      <c r="BE517" s="7"/>
      <c r="BF517" s="7"/>
      <c r="BG517" s="7"/>
    </row>
    <row r="518" customHeight="1" spans="1:59">
      <c r="A518" s="9" t="str">
        <f>IFERROR(__xludf.DUMMYFUNCTION("""COMPUTED_VALUE"""),"Ita 19")</f>
        <v>Ita 19</v>
      </c>
      <c r="B518" s="5" t="str">
        <f>IFERROR(__xludf.DUMMYFUNCTION("""COMPUTED_VALUE"""),"Ita 22")</f>
        <v>Ita 22</v>
      </c>
      <c r="C518" s="5" t="str">
        <f>IFERROR(__xludf.DUMMYFUNCTION("""COMPUTED_VALUE"""),"Ita 25")</f>
        <v>Ita 25</v>
      </c>
      <c r="D518" s="5" t="str">
        <f>IFERROR(__xludf.DUMMYFUNCTION("""COMPUTED_VALUE"""),"Sand Cave 24H-283")</f>
        <v>Sand Cave 24H-283</v>
      </c>
      <c r="E518" s="7" t="str">
        <f>IFERROR(__xludf.DUMMYFUNCTION("""COMPUTED_VALUE"""),"SCave 24H283")</f>
        <v>SCave 24H283</v>
      </c>
      <c r="F518" s="11">
        <f>IFERROR(__xludf.DUMMYFUNCTION("""COMPUTED_VALUE"""),213.022361773999)</f>
        <v>213.022361773999</v>
      </c>
      <c r="G518" s="11">
        <f>IFERROR(__xludf.DUMMYFUNCTION("""COMPUTED_VALUE"""),-171.322173729)</f>
        <v>-171.322173729</v>
      </c>
      <c r="H518" s="11">
        <f>IFERROR(__xludf.DUMMYFUNCTION("""COMPUTED_VALUE"""),-175.822320905)</f>
        <v>-175.822320905</v>
      </c>
      <c r="I518" s="15"/>
      <c r="J518" s="15"/>
      <c r="K518" s="15"/>
      <c r="L518" s="15"/>
      <c r="M518" s="7" t="b">
        <f>IFERROR(__xludf.DUMMYFUNCTION("""COMPUTED_VALUE"""),FALSE)</f>
        <v>0</v>
      </c>
      <c r="N518" s="10">
        <f>IFERROR(__xludf.DUMMYFUNCTION("""COMPUTED_VALUE"""),0)</f>
        <v>0</v>
      </c>
      <c r="O518" s="10">
        <f>IFERROR(__xludf.DUMMYFUNCTION("""COMPUTED_VALUE"""),0)</f>
        <v>0</v>
      </c>
      <c r="P518" s="8"/>
      <c r="Q518" s="7"/>
      <c r="R518" s="16"/>
      <c r="S518" s="17"/>
      <c r="T518" s="8"/>
      <c r="U518" s="8"/>
      <c r="V518" s="22"/>
      <c r="W518" s="12"/>
      <c r="X518" s="12"/>
      <c r="Y518" s="12"/>
      <c r="Z518" s="12"/>
      <c r="AA518" s="7"/>
      <c r="AB518" s="12"/>
      <c r="AC518" s="6"/>
      <c r="AD518" s="6"/>
      <c r="AE518" s="7"/>
      <c r="AF518" s="7"/>
      <c r="AG518" s="7"/>
      <c r="AH518" s="7"/>
      <c r="AI518" s="7"/>
      <c r="AJ518" s="7"/>
      <c r="AK518" s="7"/>
      <c r="AL518" s="7"/>
      <c r="AM518" s="7"/>
      <c r="AN518" s="7"/>
      <c r="AO518" s="6"/>
      <c r="AP518" s="7"/>
      <c r="AQ518" s="7"/>
      <c r="AR518" s="6"/>
      <c r="AS518" s="7"/>
      <c r="AT518" s="7"/>
      <c r="AU518" s="7"/>
      <c r="AV518" s="7"/>
      <c r="AW518" s="7"/>
      <c r="AX518" s="7"/>
      <c r="AY518" s="7"/>
      <c r="AZ518" s="7"/>
      <c r="BA518" s="7"/>
      <c r="BB518" s="7"/>
      <c r="BC518" s="7"/>
      <c r="BD518" s="7"/>
      <c r="BE518" s="7"/>
      <c r="BF518" s="7"/>
      <c r="BG518" s="7"/>
    </row>
    <row r="519" customHeight="1" spans="1:59">
      <c r="A519" s="9" t="str">
        <f>IFERROR(__xludf.DUMMYFUNCTION("""COMPUTED_VALUE"""),"Ita 11")</f>
        <v>Ita 11</v>
      </c>
      <c r="B519" s="5" t="str">
        <f>IFERROR(__xludf.DUMMYFUNCTION("""COMPUTED_VALUE"""),"Ita 14")</f>
        <v>Ita 14</v>
      </c>
      <c r="C519" s="5" t="str">
        <f>IFERROR(__xludf.DUMMYFUNCTION("""COMPUTED_VALUE"""),"Ita 37")</f>
        <v>Ita 37</v>
      </c>
      <c r="D519" s="5" t="str">
        <f>IFERROR(__xludf.DUMMYFUNCTION("""COMPUTED_VALUE"""),"Sand Cave 08M")</f>
        <v>Sand Cave 08M</v>
      </c>
      <c r="E519" s="7" t="str">
        <f>IFERROR(__xludf.DUMMYFUNCTION("""COMPUTED_VALUE"""),"SCave 08M")</f>
        <v>SCave 08M</v>
      </c>
      <c r="F519" s="11">
        <f>IFERROR(__xludf.DUMMYFUNCTION("""COMPUTED_VALUE"""),-233.601456371999)</f>
        <v>-233.601456371999</v>
      </c>
      <c r="G519" s="11">
        <f>IFERROR(__xludf.DUMMYFUNCTION("""COMPUTED_VALUE"""),-224.910658203)</f>
        <v>-224.910658203</v>
      </c>
      <c r="H519" s="11">
        <f>IFERROR(__xludf.DUMMYFUNCTION("""COMPUTED_VALUE"""),-23.933511178)</f>
        <v>-23.933511178</v>
      </c>
      <c r="I519" s="15"/>
      <c r="J519" s="15"/>
      <c r="K519" s="15"/>
      <c r="L519" s="15"/>
      <c r="M519" s="7" t="b">
        <f>IFERROR(__xludf.DUMMYFUNCTION("""COMPUTED_VALUE"""),FALSE)</f>
        <v>0</v>
      </c>
      <c r="N519" s="10">
        <f>IFERROR(__xludf.DUMMYFUNCTION("""COMPUTED_VALUE"""),0)</f>
        <v>0</v>
      </c>
      <c r="O519" s="10">
        <f>IFERROR(__xludf.DUMMYFUNCTION("""COMPUTED_VALUE"""),0)</f>
        <v>0</v>
      </c>
      <c r="P519" s="8"/>
      <c r="Q519" s="7"/>
      <c r="R519" s="16"/>
      <c r="S519" s="17"/>
      <c r="T519" s="8"/>
      <c r="U519" s="8"/>
      <c r="V519" s="22"/>
      <c r="W519" s="12"/>
      <c r="X519" s="12"/>
      <c r="Y519" s="12"/>
      <c r="Z519" s="12"/>
      <c r="AA519" s="7"/>
      <c r="AB519" s="12"/>
      <c r="AC519" s="6"/>
      <c r="AD519" s="6"/>
      <c r="AE519" s="7"/>
      <c r="AF519" s="7"/>
      <c r="AG519" s="7"/>
      <c r="AH519" s="7"/>
      <c r="AI519" s="7"/>
      <c r="AJ519" s="7"/>
      <c r="AK519" s="7"/>
      <c r="AL519" s="7"/>
      <c r="AM519" s="7"/>
      <c r="AN519" s="7"/>
      <c r="AO519" s="6"/>
      <c r="AP519" s="7"/>
      <c r="AQ519" s="7"/>
      <c r="AR519" s="6"/>
      <c r="AS519" s="7"/>
      <c r="AT519" s="7"/>
      <c r="AU519" s="7"/>
      <c r="AV519" s="7"/>
      <c r="AW519" s="7"/>
      <c r="AX519" s="7"/>
      <c r="AY519" s="7"/>
      <c r="AZ519" s="7"/>
      <c r="BA519" s="7"/>
      <c r="BB519" s="7"/>
      <c r="BC519" s="7"/>
      <c r="BD519" s="7"/>
      <c r="BE519" s="7"/>
      <c r="BF519" s="7"/>
      <c r="BG519" s="7"/>
    </row>
    <row r="520" customHeight="1" spans="1:59">
      <c r="A520" s="9" t="str">
        <f>IFERROR(__xludf.DUMMYFUNCTION("""COMPUTED_VALUE"""),"Ita 13")</f>
        <v>Ita 13</v>
      </c>
      <c r="B520" s="5" t="str">
        <f>IFERROR(__xludf.DUMMYFUNCTION("""COMPUTED_VALUE"""),"Ita 16")</f>
        <v>Ita 16</v>
      </c>
      <c r="C520" s="5" t="str">
        <f>IFERROR(__xludf.DUMMYFUNCTION("""COMPUTED_VALUE"""),"Ita 33")</f>
        <v>Ita 33</v>
      </c>
      <c r="D520" s="5" t="str">
        <f>IFERROR(__xludf.DUMMYFUNCTION("""COMPUTED_VALUE"""),"Sand Cave 10P-116")</f>
        <v>Sand Cave 10P-116</v>
      </c>
      <c r="E520" s="7" t="str">
        <f>IFERROR(__xludf.DUMMYFUNCTION("""COMPUTED_VALUE"""),"SCave 10P116")</f>
        <v>SCave 10P116</v>
      </c>
      <c r="F520" s="11">
        <f>IFERROR(__xludf.DUMMYFUNCTION("""COMPUTED_VALUE"""),-168.357380267)</f>
        <v>-168.357380267</v>
      </c>
      <c r="G520" s="11">
        <f>IFERROR(__xludf.DUMMYFUNCTION("""COMPUTED_VALUE"""),-267.864783333)</f>
        <v>-267.864783333</v>
      </c>
      <c r="H520" s="11">
        <f>IFERROR(__xludf.DUMMYFUNCTION("""COMPUTED_VALUE"""),74.9401285079999)</f>
        <v>74.9401285079999</v>
      </c>
      <c r="I520" s="15"/>
      <c r="J520" s="15"/>
      <c r="K520" s="15"/>
      <c r="L520" s="15"/>
      <c r="M520" s="7" t="b">
        <f>IFERROR(__xludf.DUMMYFUNCTION("""COMPUTED_VALUE"""),FALSE)</f>
        <v>0</v>
      </c>
      <c r="N520" s="10">
        <f>IFERROR(__xludf.DUMMYFUNCTION("""COMPUTED_VALUE"""),0)</f>
        <v>0</v>
      </c>
      <c r="O520" s="10">
        <f>IFERROR(__xludf.DUMMYFUNCTION("""COMPUTED_VALUE"""),0)</f>
        <v>0</v>
      </c>
      <c r="P520" s="8"/>
      <c r="Q520" s="7"/>
      <c r="R520" s="16"/>
      <c r="S520" s="17"/>
      <c r="T520" s="8"/>
      <c r="U520" s="8"/>
      <c r="V520" s="22"/>
      <c r="W520" s="12"/>
      <c r="X520" s="12"/>
      <c r="Y520" s="12"/>
      <c r="Z520" s="12"/>
      <c r="AA520" s="7"/>
      <c r="AB520" s="12"/>
      <c r="AC520" s="6"/>
      <c r="AD520" s="6"/>
      <c r="AE520" s="7"/>
      <c r="AF520" s="7"/>
      <c r="AG520" s="7"/>
      <c r="AH520" s="7"/>
      <c r="AI520" s="7"/>
      <c r="AJ520" s="7"/>
      <c r="AK520" s="7"/>
      <c r="AL520" s="7"/>
      <c r="AM520" s="7"/>
      <c r="AN520" s="7"/>
      <c r="AO520" s="6"/>
      <c r="AP520" s="7"/>
      <c r="AQ520" s="7"/>
      <c r="AR520" s="6"/>
      <c r="AS520" s="7"/>
      <c r="AT520" s="7"/>
      <c r="AU520" s="7"/>
      <c r="AV520" s="7"/>
      <c r="AW520" s="7"/>
      <c r="AX520" s="7"/>
      <c r="AY520" s="7"/>
      <c r="AZ520" s="7"/>
      <c r="BA520" s="7"/>
      <c r="BB520" s="7"/>
      <c r="BC520" s="7"/>
      <c r="BD520" s="7"/>
      <c r="BE520" s="7"/>
      <c r="BF520" s="7"/>
      <c r="BG520" s="7"/>
    </row>
    <row r="521" customHeight="1" spans="1:59">
      <c r="A521" s="9" t="str">
        <f>IFERROR(__xludf.DUMMYFUNCTION("""COMPUTED_VALUE"""),"Ita 09")</f>
        <v>Ita 09</v>
      </c>
      <c r="B521" s="5" t="str">
        <f>IFERROR(__xludf.DUMMYFUNCTION("""COMPUTED_VALUE"""),"Ita 12")</f>
        <v>Ita 12</v>
      </c>
      <c r="C521" s="5" t="str">
        <f>IFERROR(__xludf.DUMMYFUNCTION("""COMPUTED_VALUE"""),"Ita 39")</f>
        <v>Ita 39</v>
      </c>
      <c r="D521" s="5" t="str">
        <f>IFERROR(__xludf.DUMMYFUNCTION("""COMPUTED_VALUE"""),"Sand Cave 02P")</f>
        <v>Sand Cave 02P</v>
      </c>
      <c r="E521" s="7" t="str">
        <f>IFERROR(__xludf.DUMMYFUNCTION("""COMPUTED_VALUE"""),"SCave 02P")</f>
        <v>SCave 02P</v>
      </c>
      <c r="F521" s="11">
        <f>IFERROR(__xludf.DUMMYFUNCTION("""COMPUTED_VALUE"""),-314.472152318999)</f>
        <v>-314.472152318999</v>
      </c>
      <c r="G521" s="11">
        <f>IFERROR(__xludf.DUMMYFUNCTION("""COMPUTED_VALUE"""),-59.807420243)</f>
        <v>-59.807420243</v>
      </c>
      <c r="H521" s="11">
        <f>IFERROR(__xludf.DUMMYFUNCTION("""COMPUTED_VALUE"""),56.5533631959999)</f>
        <v>56.5533631959999</v>
      </c>
      <c r="I521" s="15"/>
      <c r="J521" s="15"/>
      <c r="K521" s="15"/>
      <c r="L521" s="15"/>
      <c r="M521" s="7" t="b">
        <f>IFERROR(__xludf.DUMMYFUNCTION("""COMPUTED_VALUE"""),FALSE)</f>
        <v>0</v>
      </c>
      <c r="N521" s="10">
        <f>IFERROR(__xludf.DUMMYFUNCTION("""COMPUTED_VALUE"""),0)</f>
        <v>0</v>
      </c>
      <c r="O521" s="10">
        <f>IFERROR(__xludf.DUMMYFUNCTION("""COMPUTED_VALUE"""),0)</f>
        <v>0</v>
      </c>
      <c r="P521" s="8"/>
      <c r="Q521" s="7"/>
      <c r="R521" s="16"/>
      <c r="S521" s="17"/>
      <c r="T521" s="8"/>
      <c r="U521" s="8"/>
      <c r="V521" s="22"/>
      <c r="W521" s="12"/>
      <c r="X521" s="12"/>
      <c r="Y521" s="12"/>
      <c r="Z521" s="12"/>
      <c r="AA521" s="7"/>
      <c r="AB521" s="12"/>
      <c r="AC521" s="6"/>
      <c r="AD521" s="6"/>
      <c r="AE521" s="7"/>
      <c r="AF521" s="7"/>
      <c r="AG521" s="7"/>
      <c r="AH521" s="7"/>
      <c r="AI521" s="7"/>
      <c r="AJ521" s="7"/>
      <c r="AK521" s="7"/>
      <c r="AL521" s="7"/>
      <c r="AM521" s="7"/>
      <c r="AN521" s="7"/>
      <c r="AO521" s="6"/>
      <c r="AP521" s="7"/>
      <c r="AQ521" s="7"/>
      <c r="AR521" s="6"/>
      <c r="AS521" s="7"/>
      <c r="AT521" s="7"/>
      <c r="AU521" s="7"/>
      <c r="AV521" s="7"/>
      <c r="AW521" s="7"/>
      <c r="AX521" s="7"/>
      <c r="AY521" s="7"/>
      <c r="AZ521" s="7"/>
      <c r="BA521" s="7"/>
      <c r="BB521" s="7"/>
      <c r="BC521" s="7"/>
      <c r="BD521" s="7"/>
      <c r="BE521" s="7"/>
      <c r="BF521" s="7"/>
      <c r="BG521" s="7"/>
    </row>
    <row r="522" customHeight="1" spans="1:59">
      <c r="A522" s="9" t="str">
        <f>IFERROR(__xludf.DUMMYFUNCTION("""COMPUTED_VALUE"""),"Ita 07")</f>
        <v>Ita 07</v>
      </c>
      <c r="B522" s="5" t="str">
        <f>IFERROR(__xludf.DUMMYFUNCTION("""COMPUTED_VALUE"""),"Ita 10")</f>
        <v>Ita 10</v>
      </c>
      <c r="C522" s="5" t="str">
        <f>IFERROR(__xludf.DUMMYFUNCTION("""COMPUTED_VALUE"""),"Ita 41")</f>
        <v>Ita 41</v>
      </c>
      <c r="D522" s="5" t="str">
        <f>IFERROR(__xludf.DUMMYFUNCTION("""COMPUTED_VALUE"""),"Sand Cave 01N-008")</f>
        <v>Sand Cave 01N-008</v>
      </c>
      <c r="E522" s="7" t="str">
        <f>IFERROR(__xludf.DUMMYFUNCTION("""COMPUTED_VALUE"""),"SCave 01N008")</f>
        <v>SCave 01N008</v>
      </c>
      <c r="F522" s="11">
        <f>IFERROR(__xludf.DUMMYFUNCTION("""COMPUTED_VALUE"""),-324.467647981)</f>
        <v>-324.467647981</v>
      </c>
      <c r="G522" s="11">
        <f>IFERROR(__xludf.DUMMYFUNCTION("""COMPUTED_VALUE"""),-22.1306577709999)</f>
        <v>-22.1306577709999</v>
      </c>
      <c r="H522" s="11">
        <f>IFERROR(__xludf.DUMMYFUNCTION("""COMPUTED_VALUE"""),3.270380682)</f>
        <v>3.270380682</v>
      </c>
      <c r="I522" s="15"/>
      <c r="J522" s="15"/>
      <c r="K522" s="15"/>
      <c r="L522" s="15"/>
      <c r="M522" s="7" t="b">
        <f>IFERROR(__xludf.DUMMYFUNCTION("""COMPUTED_VALUE"""),FALSE)</f>
        <v>0</v>
      </c>
      <c r="N522" s="10">
        <f>IFERROR(__xludf.DUMMYFUNCTION("""COMPUTED_VALUE"""),0)</f>
        <v>0</v>
      </c>
      <c r="O522" s="10">
        <f>IFERROR(__xludf.DUMMYFUNCTION("""COMPUTED_VALUE"""),0)</f>
        <v>0</v>
      </c>
      <c r="P522" s="8"/>
      <c r="Q522" s="7"/>
      <c r="R522" s="16"/>
      <c r="S522" s="17"/>
      <c r="T522" s="8"/>
      <c r="U522" s="8"/>
      <c r="V522" s="22"/>
      <c r="W522" s="12"/>
      <c r="X522" s="12"/>
      <c r="Y522" s="12"/>
      <c r="Z522" s="12"/>
      <c r="AA522" s="7"/>
      <c r="AB522" s="12"/>
      <c r="AC522" s="6"/>
      <c r="AD522" s="6"/>
      <c r="AE522" s="7"/>
      <c r="AF522" s="7"/>
      <c r="AG522" s="7"/>
      <c r="AH522" s="7"/>
      <c r="AI522" s="7"/>
      <c r="AJ522" s="7"/>
      <c r="AK522" s="7"/>
      <c r="AL522" s="7"/>
      <c r="AM522" s="7"/>
      <c r="AN522" s="7"/>
      <c r="AO522" s="6"/>
      <c r="AP522" s="7"/>
      <c r="AQ522" s="7"/>
      <c r="AR522" s="6"/>
      <c r="AS522" s="7"/>
      <c r="AT522" s="7"/>
      <c r="AU522" s="7"/>
      <c r="AV522" s="7"/>
      <c r="AW522" s="7"/>
      <c r="AX522" s="7"/>
      <c r="AY522" s="7"/>
      <c r="AZ522" s="7"/>
      <c r="BA522" s="7"/>
      <c r="BB522" s="7"/>
      <c r="BC522" s="7"/>
      <c r="BD522" s="7"/>
      <c r="BE522" s="7"/>
      <c r="BF522" s="7"/>
      <c r="BG522" s="7"/>
    </row>
    <row r="523" customHeight="1" spans="1:59">
      <c r="A523" s="9" t="str">
        <f>IFERROR(__xludf.DUMMYFUNCTION("""COMPUTED_VALUE"""),"Ita 35")</f>
        <v>Ita 35</v>
      </c>
      <c r="B523" s="5" t="str">
        <f>IFERROR(__xludf.DUMMYFUNCTION("""COMPUTED_VALUE"""),"Ita 38")</f>
        <v>Ita 38</v>
      </c>
      <c r="C523" s="5" t="str">
        <f>IFERROR(__xludf.DUMMYFUNCTION("""COMPUTED_VALUE"""),"Ita 02")</f>
        <v>Ita 02</v>
      </c>
      <c r="D523" s="5" t="str">
        <f>IFERROR(__xludf.DUMMYFUNCTION("""COMPUTED_VALUE"""),"Sand Cave 58T")</f>
        <v>Sand Cave 58T</v>
      </c>
      <c r="E523" s="7" t="str">
        <f>IFERROR(__xludf.DUMMYFUNCTION("""COMPUTED_VALUE"""),"SCave 58T")</f>
        <v>SCave 58T</v>
      </c>
      <c r="F523" s="11">
        <f>IFERROR(__xludf.DUMMYFUNCTION("""COMPUTED_VALUE"""),-236.665494276)</f>
        <v>-236.665494276</v>
      </c>
      <c r="G523" s="11">
        <f>IFERROR(__xludf.DUMMYFUNCTION("""COMPUTED_VALUE"""),52.6827982429999)</f>
        <v>52.6827982429999</v>
      </c>
      <c r="H523" s="11">
        <f>IFERROR(__xludf.DUMMYFUNCTION("""COMPUTED_VALUE"""),216.703083435999)</f>
        <v>216.703083435999</v>
      </c>
      <c r="I523" s="15"/>
      <c r="J523" s="15"/>
      <c r="K523" s="15"/>
      <c r="L523" s="15"/>
      <c r="M523" s="7" t="b">
        <f>IFERROR(__xludf.DUMMYFUNCTION("""COMPUTED_VALUE"""),FALSE)</f>
        <v>0</v>
      </c>
      <c r="N523" s="10">
        <f>IFERROR(__xludf.DUMMYFUNCTION("""COMPUTED_VALUE"""),0)</f>
        <v>0</v>
      </c>
      <c r="O523" s="10">
        <f>IFERROR(__xludf.DUMMYFUNCTION("""COMPUTED_VALUE"""),0)</f>
        <v>0</v>
      </c>
      <c r="P523" s="8"/>
      <c r="Q523" s="7"/>
      <c r="R523" s="16"/>
      <c r="S523" s="17"/>
      <c r="T523" s="8"/>
      <c r="U523" s="8"/>
      <c r="V523" s="22"/>
      <c r="W523" s="12"/>
      <c r="X523" s="12"/>
      <c r="Y523" s="12"/>
      <c r="Z523" s="12"/>
      <c r="AA523" s="7"/>
      <c r="AB523" s="12"/>
      <c r="AC523" s="6"/>
      <c r="AD523" s="6"/>
      <c r="AE523" s="7"/>
      <c r="AF523" s="7"/>
      <c r="AG523" s="7"/>
      <c r="AH523" s="7"/>
      <c r="AI523" s="7"/>
      <c r="AJ523" s="7"/>
      <c r="AK523" s="7"/>
      <c r="AL523" s="7"/>
      <c r="AM523" s="7"/>
      <c r="AN523" s="7"/>
      <c r="AO523" s="6"/>
      <c r="AP523" s="7"/>
      <c r="AQ523" s="7"/>
      <c r="AR523" s="6"/>
      <c r="AS523" s="7"/>
      <c r="AT523" s="7"/>
      <c r="AU523" s="7"/>
      <c r="AV523" s="7"/>
      <c r="AW523" s="7"/>
      <c r="AX523" s="7"/>
      <c r="AY523" s="7"/>
      <c r="AZ523" s="7"/>
      <c r="BA523" s="7"/>
      <c r="BB523" s="7"/>
      <c r="BC523" s="7"/>
      <c r="BD523" s="7"/>
      <c r="BE523" s="7"/>
      <c r="BF523" s="7"/>
      <c r="BG523" s="7"/>
    </row>
    <row r="524" customHeight="1" spans="1:59">
      <c r="A524" s="9" t="str">
        <f>IFERROR(__xludf.DUMMYFUNCTION("""COMPUTED_VALUE"""),"Ita 28")</f>
        <v>Ita 28</v>
      </c>
      <c r="B524" s="5" t="str">
        <f>IFERROR(__xludf.DUMMYFUNCTION("""COMPUTED_VALUE"""),"Ita 31")</f>
        <v>Ita 31</v>
      </c>
      <c r="C524" s="5" t="str">
        <f>IFERROR(__xludf.DUMMYFUNCTION("""COMPUTED_VALUE"""),"Ita 10")</f>
        <v>Ita 10</v>
      </c>
      <c r="D524" s="5" t="str">
        <f>IFERROR(__xludf.DUMMYFUNCTION("""COMPUTED_VALUE"""),"Sand Cave 45T")</f>
        <v>Sand Cave 45T</v>
      </c>
      <c r="E524" s="7" t="str">
        <f>IFERROR(__xludf.DUMMYFUNCTION("""COMPUTED_VALUE"""),"SCave 45T")</f>
        <v>SCave 45T</v>
      </c>
      <c r="F524" s="11">
        <f>IFERROR(__xludf.DUMMYFUNCTION("""COMPUTED_VALUE"""),9.90434755799999)</f>
        <v>9.90434755799999</v>
      </c>
      <c r="G524" s="11">
        <f>IFERROR(__xludf.DUMMYFUNCTION("""COMPUTED_VALUE"""),243.31538299)</f>
        <v>243.31538299</v>
      </c>
      <c r="H524" s="11">
        <f>IFERROR(__xludf.DUMMYFUNCTION("""COMPUTED_VALUE"""),215.753489774999)</f>
        <v>215.753489774999</v>
      </c>
      <c r="I524" s="15"/>
      <c r="J524" s="15"/>
      <c r="K524" s="15"/>
      <c r="L524" s="15"/>
      <c r="M524" s="7" t="b">
        <f>IFERROR(__xludf.DUMMYFUNCTION("""COMPUTED_VALUE"""),FALSE)</f>
        <v>0</v>
      </c>
      <c r="N524" s="10">
        <f>IFERROR(__xludf.DUMMYFUNCTION("""COMPUTED_VALUE"""),0)</f>
        <v>0</v>
      </c>
      <c r="O524" s="10">
        <f>IFERROR(__xludf.DUMMYFUNCTION("""COMPUTED_VALUE"""),0)</f>
        <v>0</v>
      </c>
      <c r="P524" s="8"/>
      <c r="Q524" s="7"/>
      <c r="R524" s="16"/>
      <c r="S524" s="17"/>
      <c r="T524" s="8"/>
      <c r="U524" s="8"/>
      <c r="V524" s="22"/>
      <c r="W524" s="12"/>
      <c r="X524" s="12"/>
      <c r="Y524" s="12"/>
      <c r="Z524" s="12"/>
      <c r="AA524" s="7"/>
      <c r="AB524" s="12"/>
      <c r="AC524" s="6"/>
      <c r="AD524" s="6"/>
      <c r="AE524" s="7"/>
      <c r="AF524" s="7"/>
      <c r="AG524" s="7"/>
      <c r="AH524" s="7"/>
      <c r="AI524" s="7"/>
      <c r="AJ524" s="7"/>
      <c r="AK524" s="7"/>
      <c r="AL524" s="7"/>
      <c r="AM524" s="7"/>
      <c r="AN524" s="7"/>
      <c r="AO524" s="6"/>
      <c r="AP524" s="7"/>
      <c r="AQ524" s="7"/>
      <c r="AR524" s="6"/>
      <c r="AS524" s="7"/>
      <c r="AT524" s="7"/>
      <c r="AU524" s="7"/>
      <c r="AV524" s="7"/>
      <c r="AW524" s="7"/>
      <c r="AX524" s="7"/>
      <c r="AY524" s="7"/>
      <c r="AZ524" s="7"/>
      <c r="BA524" s="7"/>
      <c r="BB524" s="7"/>
      <c r="BC524" s="7"/>
      <c r="BD524" s="7"/>
      <c r="BE524" s="7"/>
      <c r="BF524" s="7"/>
      <c r="BG524" s="7"/>
    </row>
    <row r="525" customHeight="1" spans="1:59">
      <c r="A525" s="9" t="str">
        <f>IFERROR(__xludf.DUMMYFUNCTION("""COMPUTED_VALUE"""),"Ita 33")</f>
        <v>Ita 33</v>
      </c>
      <c r="B525" s="5" t="str">
        <f>IFERROR(__xludf.DUMMYFUNCTION("""COMPUTED_VALUE"""),"Ita 36")</f>
        <v>Ita 36</v>
      </c>
      <c r="C525" s="5" t="str">
        <f>IFERROR(__xludf.DUMMYFUNCTION("""COMPUTED_VALUE"""),"Ita 03")</f>
        <v>Ita 03</v>
      </c>
      <c r="D525" s="5" t="str">
        <f>IFERROR(__xludf.DUMMYFUNCTION("""COMPUTED_VALUE"""),"Sand Cave 54K")</f>
        <v>Sand Cave 54K</v>
      </c>
      <c r="E525" s="7" t="str">
        <f>IFERROR(__xludf.DUMMYFUNCTION("""COMPUTED_VALUE"""),"SCave 54K")</f>
        <v>SCave 54K</v>
      </c>
      <c r="F525" s="11">
        <f>IFERROR(__xludf.DUMMYFUNCTION("""COMPUTED_VALUE"""),-237.292876572999)</f>
        <v>-237.292876572999</v>
      </c>
      <c r="G525" s="11">
        <f>IFERROR(__xludf.DUMMYFUNCTION("""COMPUTED_VALUE"""),192.443234071)</f>
        <v>192.443234071</v>
      </c>
      <c r="H525" s="11">
        <f>IFERROR(__xludf.DUMMYFUNCTION("""COMPUTED_VALUE"""),-111.479376854999)</f>
        <v>-111.479376854999</v>
      </c>
      <c r="I525" s="15"/>
      <c r="J525" s="15"/>
      <c r="K525" s="15"/>
      <c r="L525" s="15"/>
      <c r="M525" s="7" t="b">
        <f>IFERROR(__xludf.DUMMYFUNCTION("""COMPUTED_VALUE"""),FALSE)</f>
        <v>0</v>
      </c>
      <c r="N525" s="10">
        <f>IFERROR(__xludf.DUMMYFUNCTION("""COMPUTED_VALUE"""),0)</f>
        <v>0</v>
      </c>
      <c r="O525" s="10">
        <f>IFERROR(__xludf.DUMMYFUNCTION("""COMPUTED_VALUE"""),0)</f>
        <v>0</v>
      </c>
      <c r="P525" s="8"/>
      <c r="Q525" s="7"/>
      <c r="R525" s="16"/>
      <c r="S525" s="17"/>
      <c r="T525" s="8"/>
      <c r="U525" s="8"/>
      <c r="V525" s="22"/>
      <c r="W525" s="12"/>
      <c r="X525" s="12"/>
      <c r="Y525" s="12"/>
      <c r="Z525" s="12"/>
      <c r="AA525" s="7"/>
      <c r="AB525" s="12"/>
      <c r="AC525" s="6"/>
      <c r="AD525" s="6"/>
      <c r="AE525" s="7"/>
      <c r="AF525" s="7"/>
      <c r="AG525" s="7"/>
      <c r="AH525" s="7"/>
      <c r="AI525" s="7"/>
      <c r="AJ525" s="7"/>
      <c r="AK525" s="7"/>
      <c r="AL525" s="7"/>
      <c r="AM525" s="7"/>
      <c r="AN525" s="7"/>
      <c r="AO525" s="6"/>
      <c r="AP525" s="7"/>
      <c r="AQ525" s="7"/>
      <c r="AR525" s="6"/>
      <c r="AS525" s="7"/>
      <c r="AT525" s="7"/>
      <c r="AU525" s="7"/>
      <c r="AV525" s="7"/>
      <c r="AW525" s="7"/>
      <c r="AX525" s="7"/>
      <c r="AY525" s="7"/>
      <c r="AZ525" s="7"/>
      <c r="BA525" s="7"/>
      <c r="BB525" s="7"/>
      <c r="BC525" s="7"/>
      <c r="BD525" s="7"/>
      <c r="BE525" s="7"/>
      <c r="BF525" s="7"/>
      <c r="BG525" s="7"/>
    </row>
    <row r="526" customHeight="1" spans="1:59">
      <c r="A526" s="9" t="str">
        <f>IFERROR(__xludf.DUMMYFUNCTION("""COMPUTED_VALUE"""),"Ita 10")</f>
        <v>Ita 10</v>
      </c>
      <c r="B526" s="5" t="str">
        <f>IFERROR(__xludf.DUMMYFUNCTION("""COMPUTED_VALUE"""),"Ita 13")</f>
        <v>Ita 13</v>
      </c>
      <c r="C526" s="5" t="str">
        <f>IFERROR(__xludf.DUMMYFUNCTION("""COMPUTED_VALUE"""),"Ita 38")</f>
        <v>Ita 38</v>
      </c>
      <c r="D526" s="5" t="str">
        <f>IFERROR(__xludf.DUMMYFUNCTION("""COMPUTED_VALUE"""),"Sand Cave 07Q")</f>
        <v>Sand Cave 07Q</v>
      </c>
      <c r="E526" s="7" t="str">
        <f>IFERROR(__xludf.DUMMYFUNCTION("""COMPUTED_VALUE"""),"SCave 07Q")</f>
        <v>SCave 07Q</v>
      </c>
      <c r="F526" s="11">
        <f>IFERROR(__xludf.DUMMYFUNCTION("""COMPUTED_VALUE"""),-246.245934276)</f>
        <v>-246.245934276</v>
      </c>
      <c r="G526" s="11">
        <f>IFERROR(__xludf.DUMMYFUNCTION("""COMPUTED_VALUE"""),-184.652551826999)</f>
        <v>-184.652551826999</v>
      </c>
      <c r="H526" s="11">
        <f>IFERROR(__xludf.DUMMYFUNCTION("""COMPUTED_VALUE"""),105.538798607)</f>
        <v>105.538798607</v>
      </c>
      <c r="I526" s="15"/>
      <c r="J526" s="15"/>
      <c r="K526" s="15"/>
      <c r="L526" s="15"/>
      <c r="M526" s="7" t="b">
        <f>IFERROR(__xludf.DUMMYFUNCTION("""COMPUTED_VALUE"""),FALSE)</f>
        <v>0</v>
      </c>
      <c r="N526" s="10">
        <f>IFERROR(__xludf.DUMMYFUNCTION("""COMPUTED_VALUE"""),0)</f>
        <v>0</v>
      </c>
      <c r="O526" s="10">
        <f>IFERROR(__xludf.DUMMYFUNCTION("""COMPUTED_VALUE"""),0)</f>
        <v>0</v>
      </c>
      <c r="P526" s="8"/>
      <c r="Q526" s="7"/>
      <c r="R526" s="16"/>
      <c r="S526" s="17"/>
      <c r="T526" s="8"/>
      <c r="U526" s="8"/>
      <c r="V526" s="22"/>
      <c r="W526" s="12"/>
      <c r="X526" s="12"/>
      <c r="Y526" s="12"/>
      <c r="Z526" s="12"/>
      <c r="AA526" s="7"/>
      <c r="AB526" s="12"/>
      <c r="AC526" s="6"/>
      <c r="AD526" s="6"/>
      <c r="AE526" s="7"/>
      <c r="AF526" s="7"/>
      <c r="AG526" s="7"/>
      <c r="AH526" s="7"/>
      <c r="AI526" s="7"/>
      <c r="AJ526" s="7"/>
      <c r="AK526" s="7"/>
      <c r="AL526" s="7"/>
      <c r="AM526" s="7"/>
      <c r="AN526" s="7"/>
      <c r="AO526" s="6"/>
      <c r="AP526" s="7"/>
      <c r="AQ526" s="7"/>
      <c r="AR526" s="6"/>
      <c r="AS526" s="7"/>
      <c r="AT526" s="7"/>
      <c r="AU526" s="7"/>
      <c r="AV526" s="7"/>
      <c r="AW526" s="7"/>
      <c r="AX526" s="7"/>
      <c r="AY526" s="7"/>
      <c r="AZ526" s="7"/>
      <c r="BA526" s="7"/>
      <c r="BB526" s="7"/>
      <c r="BC526" s="7"/>
      <c r="BD526" s="7"/>
      <c r="BE526" s="7"/>
      <c r="BF526" s="7"/>
      <c r="BG526" s="7"/>
    </row>
    <row r="527" customHeight="1" spans="1:59">
      <c r="A527" s="9" t="str">
        <f>IFERROR(__xludf.DUMMYFUNCTION("""COMPUTED_VALUE"""),"Ita 26")</f>
        <v>Ita 26</v>
      </c>
      <c r="B527" s="5" t="str">
        <f>IFERROR(__xludf.DUMMYFUNCTION("""COMPUTED_VALUE"""),"Ita 29")</f>
        <v>Ita 29</v>
      </c>
      <c r="C527" s="5" t="str">
        <f>IFERROR(__xludf.DUMMYFUNCTION("""COMPUTED_VALUE"""),"Ita 15")</f>
        <v>Ita 15</v>
      </c>
      <c r="D527" s="5" t="str">
        <f>IFERROR(__xludf.DUMMYFUNCTION("""COMPUTED_VALUE"""),"Sand Cave 35M")</f>
        <v>Sand Cave 35M</v>
      </c>
      <c r="E527" s="7" t="str">
        <f>IFERROR(__xludf.DUMMYFUNCTION("""COMPUTED_VALUE"""),"SCave 35M")</f>
        <v>SCave 35M</v>
      </c>
      <c r="F527" s="11">
        <f>IFERROR(__xludf.DUMMYFUNCTION("""COMPUTED_VALUE"""),284.248866327999)</f>
        <v>284.248866327999</v>
      </c>
      <c r="G527" s="11">
        <f>IFERROR(__xludf.DUMMYFUNCTION("""COMPUTED_VALUE"""),157.516445521999)</f>
        <v>157.516445521999</v>
      </c>
      <c r="H527" s="11">
        <f>IFERROR(__xludf.DUMMYFUNCTION("""COMPUTED_VALUE"""),-14.705200719)</f>
        <v>-14.705200719</v>
      </c>
      <c r="I527" s="15"/>
      <c r="J527" s="15"/>
      <c r="K527" s="15"/>
      <c r="L527" s="15"/>
      <c r="M527" s="7" t="b">
        <f>IFERROR(__xludf.DUMMYFUNCTION("""COMPUTED_VALUE"""),FALSE)</f>
        <v>0</v>
      </c>
      <c r="N527" s="10">
        <f>IFERROR(__xludf.DUMMYFUNCTION("""COMPUTED_VALUE"""),0)</f>
        <v>0</v>
      </c>
      <c r="O527" s="10">
        <f>IFERROR(__xludf.DUMMYFUNCTION("""COMPUTED_VALUE"""),0)</f>
        <v>0</v>
      </c>
      <c r="P527" s="8"/>
      <c r="Q527" s="7"/>
      <c r="R527" s="16"/>
      <c r="S527" s="17"/>
      <c r="T527" s="8"/>
      <c r="U527" s="8"/>
      <c r="V527" s="22"/>
      <c r="W527" s="12"/>
      <c r="X527" s="12"/>
      <c r="Y527" s="12"/>
      <c r="Z527" s="12"/>
      <c r="AA527" s="7"/>
      <c r="AB527" s="12"/>
      <c r="AC527" s="6"/>
      <c r="AD527" s="6"/>
      <c r="AE527" s="7"/>
      <c r="AF527" s="7"/>
      <c r="AG527" s="7"/>
      <c r="AH527" s="7"/>
      <c r="AI527" s="7"/>
      <c r="AJ527" s="7"/>
      <c r="AK527" s="7"/>
      <c r="AL527" s="7"/>
      <c r="AM527" s="7"/>
      <c r="AN527" s="7"/>
      <c r="AO527" s="6"/>
      <c r="AP527" s="7"/>
      <c r="AQ527" s="7"/>
      <c r="AR527" s="6"/>
      <c r="AS527" s="7"/>
      <c r="AT527" s="7"/>
      <c r="AU527" s="7"/>
      <c r="AV527" s="7"/>
      <c r="AW527" s="7"/>
      <c r="AX527" s="7"/>
      <c r="AY527" s="7"/>
      <c r="AZ527" s="7"/>
      <c r="BA527" s="7"/>
      <c r="BB527" s="7"/>
      <c r="BC527" s="7"/>
      <c r="BD527" s="7"/>
      <c r="BE527" s="7"/>
      <c r="BF527" s="7"/>
      <c r="BG527" s="7"/>
    </row>
    <row r="528" customHeight="1" spans="1:59">
      <c r="A528" s="9" t="str">
        <f>IFERROR(__xludf.DUMMYFUNCTION("""COMPUTED_VALUE"""),"Ita 24")</f>
        <v>Ita 24</v>
      </c>
      <c r="B528" s="5" t="str">
        <f>IFERROR(__xludf.DUMMYFUNCTION("""COMPUTED_VALUE"""),"Ita 27")</f>
        <v>Ita 27</v>
      </c>
      <c r="C528" s="5" t="str">
        <f>IFERROR(__xludf.DUMMYFUNCTION("""COMPUTED_VALUE"""),"Ita 17")</f>
        <v>Ita 17</v>
      </c>
      <c r="D528" s="5" t="str">
        <f>IFERROR(__xludf.DUMMYFUNCTION("""COMPUTED_VALUE"""),"Sand Cave 33K")</f>
        <v>Sand Cave 33K</v>
      </c>
      <c r="E528" s="7" t="str">
        <f>IFERROR(__xludf.DUMMYFUNCTION("""COMPUTED_VALUE"""),"SCave 33K")</f>
        <v>SCave 33K</v>
      </c>
      <c r="F528" s="11">
        <f>IFERROR(__xludf.DUMMYFUNCTION("""COMPUTED_VALUE"""),289.759058037)</f>
        <v>289.759058037</v>
      </c>
      <c r="G528" s="11">
        <f>IFERROR(__xludf.DUMMYFUNCTION("""COMPUTED_VALUE"""),83.644394369)</f>
        <v>83.644394369</v>
      </c>
      <c r="H528" s="11">
        <f>IFERROR(__xludf.DUMMYFUNCTION("""COMPUTED_VALUE"""),-121.345871413999)</f>
        <v>-121.345871413999</v>
      </c>
      <c r="I528" s="15"/>
      <c r="J528" s="15"/>
      <c r="K528" s="15"/>
      <c r="L528" s="15"/>
      <c r="M528" s="7" t="b">
        <f>IFERROR(__xludf.DUMMYFUNCTION("""COMPUTED_VALUE"""),FALSE)</f>
        <v>0</v>
      </c>
      <c r="N528" s="10">
        <f>IFERROR(__xludf.DUMMYFUNCTION("""COMPUTED_VALUE"""),0)</f>
        <v>0</v>
      </c>
      <c r="O528" s="10">
        <f>IFERROR(__xludf.DUMMYFUNCTION("""COMPUTED_VALUE"""),0)</f>
        <v>0</v>
      </c>
      <c r="P528" s="8"/>
      <c r="Q528" s="7"/>
      <c r="R528" s="16"/>
      <c r="S528" s="17"/>
      <c r="T528" s="8"/>
      <c r="U528" s="8"/>
      <c r="V528" s="22"/>
      <c r="W528" s="12"/>
      <c r="X528" s="12"/>
      <c r="Y528" s="12"/>
      <c r="Z528" s="12"/>
      <c r="AA528" s="7"/>
      <c r="AB528" s="12"/>
      <c r="AC528" s="6"/>
      <c r="AD528" s="6"/>
      <c r="AE528" s="7"/>
      <c r="AF528" s="7"/>
      <c r="AG528" s="7"/>
      <c r="AH528" s="7"/>
      <c r="AI528" s="7"/>
      <c r="AJ528" s="7"/>
      <c r="AK528" s="7"/>
      <c r="AL528" s="7"/>
      <c r="AM528" s="7"/>
      <c r="AN528" s="7"/>
      <c r="AO528" s="6"/>
      <c r="AP528" s="7"/>
      <c r="AQ528" s="7"/>
      <c r="AR528" s="6"/>
      <c r="AS528" s="7"/>
      <c r="AT528" s="7"/>
      <c r="AU528" s="7"/>
      <c r="AV528" s="7"/>
      <c r="AW528" s="7"/>
      <c r="AX528" s="7"/>
      <c r="AY528" s="7"/>
      <c r="AZ528" s="7"/>
      <c r="BA528" s="7"/>
      <c r="BB528" s="7"/>
      <c r="BC528" s="7"/>
      <c r="BD528" s="7"/>
      <c r="BE528" s="7"/>
      <c r="BF528" s="7"/>
      <c r="BG528" s="7"/>
    </row>
    <row r="529" customHeight="1" spans="1:59">
      <c r="A529" s="9" t="str">
        <f>IFERROR(__xludf.DUMMYFUNCTION("""COMPUTED_VALUE"""),"Ita 06")</f>
        <v>Ita 06</v>
      </c>
      <c r="B529" s="5" t="str">
        <f>IFERROR(__xludf.DUMMYFUNCTION("""COMPUTED_VALUE"""),"Ita 09")</f>
        <v>Ita 09</v>
      </c>
      <c r="C529" s="5" t="str">
        <f>IFERROR(__xludf.DUMMYFUNCTION("""COMPUTED_VALUE"""),"Ita 43")</f>
        <v>Ita 43</v>
      </c>
      <c r="D529" s="5" t="str">
        <f>IFERROR(__xludf.DUMMYFUNCTION("""COMPUTED_VALUE"""),"Sand Cave 01J")</f>
        <v>Sand Cave 01J</v>
      </c>
      <c r="E529" s="7" t="str">
        <f>IFERROR(__xludf.DUMMYFUNCTION("""COMPUTED_VALUE"""),"SCave 01J")</f>
        <v>SCave 01J</v>
      </c>
      <c r="F529" s="11">
        <f>IFERROR(__xludf.DUMMYFUNCTION("""COMPUTED_VALUE"""),-289.761711766999)</f>
        <v>-289.761711766999</v>
      </c>
      <c r="G529" s="11">
        <f>IFERROR(__xludf.DUMMYFUNCTION("""COMPUTED_VALUE"""),-7.63227756599999)</f>
        <v>-7.63227756599999</v>
      </c>
      <c r="H529" s="11">
        <f>IFERROR(__xludf.DUMMYFUNCTION("""COMPUTED_VALUE"""),-147.995424822)</f>
        <v>-147.995424822</v>
      </c>
      <c r="I529" s="15"/>
      <c r="J529" s="15"/>
      <c r="K529" s="15"/>
      <c r="L529" s="15"/>
      <c r="M529" s="7" t="b">
        <f>IFERROR(__xludf.DUMMYFUNCTION("""COMPUTED_VALUE"""),FALSE)</f>
        <v>0</v>
      </c>
      <c r="N529" s="10">
        <f>IFERROR(__xludf.DUMMYFUNCTION("""COMPUTED_VALUE"""),0)</f>
        <v>0</v>
      </c>
      <c r="O529" s="10">
        <f>IFERROR(__xludf.DUMMYFUNCTION("""COMPUTED_VALUE"""),0)</f>
        <v>0</v>
      </c>
      <c r="P529" s="8"/>
      <c r="Q529" s="7"/>
      <c r="R529" s="16"/>
      <c r="S529" s="17"/>
      <c r="T529" s="8"/>
      <c r="U529" s="8"/>
      <c r="V529" s="22"/>
      <c r="W529" s="12"/>
      <c r="X529" s="12"/>
      <c r="Y529" s="12"/>
      <c r="Z529" s="12"/>
      <c r="AA529" s="7"/>
      <c r="AB529" s="12"/>
      <c r="AC529" s="6"/>
      <c r="AD529" s="6"/>
      <c r="AE529" s="7"/>
      <c r="AF529" s="7"/>
      <c r="AG529" s="7"/>
      <c r="AH529" s="7"/>
      <c r="AI529" s="7"/>
      <c r="AJ529" s="7"/>
      <c r="AK529" s="7"/>
      <c r="AL529" s="7"/>
      <c r="AM529" s="7"/>
      <c r="AN529" s="7"/>
      <c r="AO529" s="6"/>
      <c r="AP529" s="7"/>
      <c r="AQ529" s="7"/>
      <c r="AR529" s="6"/>
      <c r="AS529" s="7"/>
      <c r="AT529" s="7"/>
      <c r="AU529" s="7"/>
      <c r="AV529" s="7"/>
      <c r="AW529" s="7"/>
      <c r="AX529" s="7"/>
      <c r="AY529" s="7"/>
      <c r="AZ529" s="7"/>
      <c r="BA529" s="7"/>
      <c r="BB529" s="7"/>
      <c r="BC529" s="7"/>
      <c r="BD529" s="7"/>
      <c r="BE529" s="7"/>
      <c r="BF529" s="7"/>
      <c r="BG529" s="7"/>
    </row>
    <row r="530" customHeight="1" spans="1:59">
      <c r="A530" s="9" t="str">
        <f>IFERROR(__xludf.DUMMYFUNCTION("""COMPUTED_VALUE"""),"Ita 08")</f>
        <v>Ita 08</v>
      </c>
      <c r="B530" s="5" t="str">
        <f>IFERROR(__xludf.DUMMYFUNCTION("""COMPUTED_VALUE"""),"Ita 11")</f>
        <v>Ita 11</v>
      </c>
      <c r="C530" s="5" t="str">
        <f>IFERROR(__xludf.DUMMYFUNCTION("""COMPUTED_VALUE"""),"Ita 40")</f>
        <v>Ita 40</v>
      </c>
      <c r="D530" s="5" t="str">
        <f>IFERROR(__xludf.DUMMYFUNCTION("""COMPUTED_VALUE"""),"Sand Cave 01N-011")</f>
        <v>Sand Cave 01N-011</v>
      </c>
      <c r="E530" s="7" t="str">
        <f>IFERROR(__xludf.DUMMYFUNCTION("""COMPUTED_VALUE"""),"SCave 01N011")</f>
        <v>SCave 01N011</v>
      </c>
      <c r="F530" s="11">
        <f>IFERROR(__xludf.DUMMYFUNCTION("""COMPUTED_VALUE"""),-321.442836400999)</f>
        <v>-321.442836400999</v>
      </c>
      <c r="G530" s="11">
        <f>IFERROR(__xludf.DUMMYFUNCTION("""COMPUTED_VALUE"""),-28.4912407099999)</f>
        <v>-28.4912407099999</v>
      </c>
      <c r="H530" s="11">
        <f>IFERROR(__xludf.DUMMYFUNCTION("""COMPUTED_VALUE"""),39.7191820349999)</f>
        <v>39.7191820349999</v>
      </c>
      <c r="I530" s="15"/>
      <c r="J530" s="15"/>
      <c r="K530" s="15"/>
      <c r="L530" s="15"/>
      <c r="M530" s="7" t="b">
        <f>IFERROR(__xludf.DUMMYFUNCTION("""COMPUTED_VALUE"""),FALSE)</f>
        <v>0</v>
      </c>
      <c r="N530" s="10">
        <f>IFERROR(__xludf.DUMMYFUNCTION("""COMPUTED_VALUE"""),0)</f>
        <v>0</v>
      </c>
      <c r="O530" s="10">
        <f>IFERROR(__xludf.DUMMYFUNCTION("""COMPUTED_VALUE"""),0)</f>
        <v>0</v>
      </c>
      <c r="P530" s="8"/>
      <c r="Q530" s="7"/>
      <c r="R530" s="16"/>
      <c r="S530" s="17"/>
      <c r="T530" s="8"/>
      <c r="U530" s="8"/>
      <c r="V530" s="22"/>
      <c r="W530" s="12"/>
      <c r="X530" s="12"/>
      <c r="Y530" s="12"/>
      <c r="Z530" s="12"/>
      <c r="AA530" s="7"/>
      <c r="AB530" s="12"/>
      <c r="AC530" s="6"/>
      <c r="AD530" s="6"/>
      <c r="AE530" s="7"/>
      <c r="AF530" s="7"/>
      <c r="AG530" s="7"/>
      <c r="AH530" s="7"/>
      <c r="AI530" s="7"/>
      <c r="AJ530" s="7"/>
      <c r="AK530" s="7"/>
      <c r="AL530" s="7"/>
      <c r="AM530" s="7"/>
      <c r="AN530" s="7"/>
      <c r="AO530" s="6"/>
      <c r="AP530" s="7"/>
      <c r="AQ530" s="7"/>
      <c r="AR530" s="6"/>
      <c r="AS530" s="7"/>
      <c r="AT530" s="7"/>
      <c r="AU530" s="7"/>
      <c r="AV530" s="7"/>
      <c r="AW530" s="7"/>
      <c r="AX530" s="7"/>
      <c r="AY530" s="7"/>
      <c r="AZ530" s="7"/>
      <c r="BA530" s="7"/>
      <c r="BB530" s="7"/>
      <c r="BC530" s="7"/>
      <c r="BD530" s="7"/>
      <c r="BE530" s="7"/>
      <c r="BF530" s="7"/>
      <c r="BG530" s="7"/>
    </row>
    <row r="531" customHeight="1" spans="1:59">
      <c r="A531" s="9" t="str">
        <f>IFERROR(__xludf.DUMMYFUNCTION("""COMPUTED_VALUE"""),"Ita 20")</f>
        <v>Ita 20</v>
      </c>
      <c r="B531" s="5" t="str">
        <f>IFERROR(__xludf.DUMMYFUNCTION("""COMPUTED_VALUE"""),"Ita 23")</f>
        <v>Ita 23</v>
      </c>
      <c r="C531" s="5" t="str">
        <f>IFERROR(__xludf.DUMMYFUNCTION("""COMPUTED_VALUE"""),"Ita 24")</f>
        <v>Ita 24</v>
      </c>
      <c r="D531" s="5" t="str">
        <f>IFERROR(__xludf.DUMMYFUNCTION("""COMPUTED_VALUE"""),"Sand Cave 25K")</f>
        <v>Sand Cave 25K</v>
      </c>
      <c r="E531" s="7" t="str">
        <f>IFERROR(__xludf.DUMMYFUNCTION("""COMPUTED_VALUE"""),"SCave 25K")</f>
        <v>SCave 25K</v>
      </c>
      <c r="F531" s="11">
        <f>IFERROR(__xludf.DUMMYFUNCTION("""COMPUTED_VALUE"""),252.352995877999)</f>
        <v>252.352995877999</v>
      </c>
      <c r="G531" s="11">
        <f>IFERROR(__xludf.DUMMYFUNCTION("""COMPUTED_VALUE"""),-170.579830462)</f>
        <v>-170.579830462</v>
      </c>
      <c r="H531" s="11">
        <f>IFERROR(__xludf.DUMMYFUNCTION("""COMPUTED_VALUE"""),-114.248212319)</f>
        <v>-114.248212319</v>
      </c>
      <c r="I531" s="15"/>
      <c r="J531" s="15"/>
      <c r="K531" s="15"/>
      <c r="L531" s="15"/>
      <c r="M531" s="7" t="b">
        <f>IFERROR(__xludf.DUMMYFUNCTION("""COMPUTED_VALUE"""),FALSE)</f>
        <v>0</v>
      </c>
      <c r="N531" s="10">
        <f>IFERROR(__xludf.DUMMYFUNCTION("""COMPUTED_VALUE"""),0)</f>
        <v>0</v>
      </c>
      <c r="O531" s="10">
        <f>IFERROR(__xludf.DUMMYFUNCTION("""COMPUTED_VALUE"""),0)</f>
        <v>0</v>
      </c>
      <c r="P531" s="8"/>
      <c r="Q531" s="7"/>
      <c r="R531" s="16"/>
      <c r="S531" s="17"/>
      <c r="T531" s="8"/>
      <c r="U531" s="8"/>
      <c r="V531" s="22"/>
      <c r="W531" s="12"/>
      <c r="X531" s="12"/>
      <c r="Y531" s="12"/>
      <c r="Z531" s="12"/>
      <c r="AA531" s="7"/>
      <c r="AB531" s="12"/>
      <c r="AC531" s="6"/>
      <c r="AD531" s="6"/>
      <c r="AE531" s="7"/>
      <c r="AF531" s="7"/>
      <c r="AG531" s="7"/>
      <c r="AH531" s="7"/>
      <c r="AI531" s="7"/>
      <c r="AJ531" s="7"/>
      <c r="AK531" s="7"/>
      <c r="AL531" s="7"/>
      <c r="AM531" s="7"/>
      <c r="AN531" s="7"/>
      <c r="AO531" s="6"/>
      <c r="AP531" s="7"/>
      <c r="AQ531" s="7"/>
      <c r="AR531" s="6"/>
      <c r="AS531" s="7"/>
      <c r="AT531" s="7"/>
      <c r="AU531" s="7"/>
      <c r="AV531" s="7"/>
      <c r="AW531" s="7"/>
      <c r="AX531" s="7"/>
      <c r="AY531" s="7"/>
      <c r="AZ531" s="7"/>
      <c r="BA531" s="7"/>
      <c r="BB531" s="7"/>
      <c r="BC531" s="7"/>
      <c r="BD531" s="7"/>
      <c r="BE531" s="7"/>
      <c r="BF531" s="7"/>
      <c r="BG531" s="7"/>
    </row>
    <row r="532" customHeight="1" spans="1:59">
      <c r="A532" s="9" t="str">
        <f>IFERROR(__xludf.DUMMYFUNCTION("""COMPUTED_VALUE"""),"Ita 17")</f>
        <v>Ita 17</v>
      </c>
      <c r="B532" s="5" t="str">
        <f>IFERROR(__xludf.DUMMYFUNCTION("""COMPUTED_VALUE"""),"Ita 20")</f>
        <v>Ita 20</v>
      </c>
      <c r="C532" s="5" t="str">
        <f>IFERROR(__xludf.DUMMYFUNCTION("""COMPUTED_VALUE"""),"Ita 27")</f>
        <v>Ita 27</v>
      </c>
      <c r="D532" s="5" t="str">
        <f>IFERROR(__xludf.DUMMYFUNCTION("""COMPUTED_VALUE"""),"Sand Cave 23N")</f>
        <v>Sand Cave 23N</v>
      </c>
      <c r="E532" s="7" t="str">
        <f>IFERROR(__xludf.DUMMYFUNCTION("""COMPUTED_VALUE"""),"SCave 23N")</f>
        <v>SCave 23N</v>
      </c>
      <c r="F532" s="11">
        <f>IFERROR(__xludf.DUMMYFUNCTION("""COMPUTED_VALUE"""),229.433413506)</f>
        <v>229.433413506</v>
      </c>
      <c r="G532" s="11">
        <f>IFERROR(__xludf.DUMMYFUNCTION("""COMPUTED_VALUE"""),-229.237119104999)</f>
        <v>-229.237119104999</v>
      </c>
      <c r="H532" s="11">
        <f>IFERROR(__xludf.DUMMYFUNCTION("""COMPUTED_VALUE"""),18.39117726)</f>
        <v>18.39117726</v>
      </c>
      <c r="I532" s="15"/>
      <c r="J532" s="15"/>
      <c r="K532" s="15"/>
      <c r="L532" s="15"/>
      <c r="M532" s="7" t="b">
        <f>IFERROR(__xludf.DUMMYFUNCTION("""COMPUTED_VALUE"""),FALSE)</f>
        <v>0</v>
      </c>
      <c r="N532" s="10">
        <f>IFERROR(__xludf.DUMMYFUNCTION("""COMPUTED_VALUE"""),0)</f>
        <v>0</v>
      </c>
      <c r="O532" s="10">
        <f>IFERROR(__xludf.DUMMYFUNCTION("""COMPUTED_VALUE"""),0)</f>
        <v>0</v>
      </c>
      <c r="P532" s="8"/>
      <c r="Q532" s="7"/>
      <c r="R532" s="16"/>
      <c r="S532" s="17"/>
      <c r="T532" s="8"/>
      <c r="U532" s="8"/>
      <c r="V532" s="22"/>
      <c r="W532" s="12"/>
      <c r="X532" s="12"/>
      <c r="Y532" s="12"/>
      <c r="Z532" s="12"/>
      <c r="AA532" s="7"/>
      <c r="AB532" s="12"/>
      <c r="AC532" s="6"/>
      <c r="AD532" s="6"/>
      <c r="AE532" s="7"/>
      <c r="AF532" s="7"/>
      <c r="AG532" s="7"/>
      <c r="AH532" s="7"/>
      <c r="AI532" s="7"/>
      <c r="AJ532" s="7"/>
      <c r="AK532" s="7"/>
      <c r="AL532" s="7"/>
      <c r="AM532" s="7"/>
      <c r="AN532" s="7"/>
      <c r="AO532" s="6"/>
      <c r="AP532" s="7"/>
      <c r="AQ532" s="7"/>
      <c r="AR532" s="6"/>
      <c r="AS532" s="7"/>
      <c r="AT532" s="7"/>
      <c r="AU532" s="7"/>
      <c r="AV532" s="7"/>
      <c r="AW532" s="7"/>
      <c r="AX532" s="7"/>
      <c r="AY532" s="7"/>
      <c r="AZ532" s="7"/>
      <c r="BA532" s="7"/>
      <c r="BB532" s="7"/>
      <c r="BC532" s="7"/>
      <c r="BD532" s="7"/>
      <c r="BE532" s="7"/>
      <c r="BF532" s="7"/>
      <c r="BG532" s="7"/>
    </row>
    <row r="533" customHeight="1" spans="1:59">
      <c r="A533" s="9" t="str">
        <f>IFERROR(__xludf.DUMMYFUNCTION("""COMPUTED_VALUE"""),"Ita 15")</f>
        <v>Ita 15</v>
      </c>
      <c r="B533" s="5" t="str">
        <f>IFERROR(__xludf.DUMMYFUNCTION("""COMPUTED_VALUE"""),"Ita 18")</f>
        <v>Ita 18</v>
      </c>
      <c r="C533" s="5" t="str">
        <f>IFERROR(__xludf.DUMMYFUNCTION("""COMPUTED_VALUE"""),"Ita 29")</f>
        <v>Ita 29</v>
      </c>
      <c r="D533" s="5" t="str">
        <f>IFERROR(__xludf.DUMMYFUNCTION("""COMPUTED_VALUE"""),"Sand Cave 20J")</f>
        <v>Sand Cave 20J</v>
      </c>
      <c r="E533" s="7" t="str">
        <f>IFERROR(__xludf.DUMMYFUNCTION("""COMPUTED_VALUE"""),"SCave 20J")</f>
        <v>SCave 20J</v>
      </c>
      <c r="F533" s="11">
        <f>IFERROR(__xludf.DUMMYFUNCTION("""COMPUTED_VALUE"""),138.077422563)</f>
        <v>138.077422563</v>
      </c>
      <c r="G533" s="11">
        <f>IFERROR(__xludf.DUMMYFUNCTION("""COMPUTED_VALUE"""),-256.885016131)</f>
        <v>-256.885016131</v>
      </c>
      <c r="H533" s="11">
        <f>IFERROR(__xludf.DUMMYFUNCTION("""COMPUTED_VALUE"""),-144.004440103)</f>
        <v>-144.004440103</v>
      </c>
      <c r="I533" s="15"/>
      <c r="J533" s="15"/>
      <c r="K533" s="15"/>
      <c r="L533" s="15"/>
      <c r="M533" s="7" t="b">
        <f>IFERROR(__xludf.DUMMYFUNCTION("""COMPUTED_VALUE"""),FALSE)</f>
        <v>0</v>
      </c>
      <c r="N533" s="10">
        <f>IFERROR(__xludf.DUMMYFUNCTION("""COMPUTED_VALUE"""),0)</f>
        <v>0</v>
      </c>
      <c r="O533" s="10">
        <f>IFERROR(__xludf.DUMMYFUNCTION("""COMPUTED_VALUE"""),0)</f>
        <v>0</v>
      </c>
      <c r="P533" s="8"/>
      <c r="Q533" s="7"/>
      <c r="R533" s="16"/>
      <c r="S533" s="17"/>
      <c r="T533" s="8"/>
      <c r="U533" s="8"/>
      <c r="V533" s="22"/>
      <c r="W533" s="12"/>
      <c r="X533" s="12"/>
      <c r="Y533" s="12"/>
      <c r="Z533" s="12"/>
      <c r="AA533" s="7"/>
      <c r="AB533" s="12"/>
      <c r="AC533" s="6"/>
      <c r="AD533" s="6"/>
      <c r="AE533" s="7"/>
      <c r="AF533" s="7"/>
      <c r="AG533" s="7"/>
      <c r="AH533" s="7"/>
      <c r="AI533" s="7"/>
      <c r="AJ533" s="7"/>
      <c r="AK533" s="7"/>
      <c r="AL533" s="7"/>
      <c r="AM533" s="7"/>
      <c r="AN533" s="7"/>
      <c r="AO533" s="6"/>
      <c r="AP533" s="7"/>
      <c r="AQ533" s="7"/>
      <c r="AR533" s="6"/>
      <c r="AS533" s="7"/>
      <c r="AT533" s="7"/>
      <c r="AU533" s="7"/>
      <c r="AV533" s="7"/>
      <c r="AW533" s="7"/>
      <c r="AX533" s="7"/>
      <c r="AY533" s="7"/>
      <c r="AZ533" s="7"/>
      <c r="BA533" s="7"/>
      <c r="BB533" s="7"/>
      <c r="BC533" s="7"/>
      <c r="BD533" s="7"/>
      <c r="BE533" s="7"/>
      <c r="BF533" s="7"/>
      <c r="BG533" s="7"/>
    </row>
    <row r="534" customHeight="1" spans="1:59">
      <c r="A534" s="9" t="str">
        <f>IFERROR(__xludf.DUMMYFUNCTION("""COMPUTED_VALUE"""),"Ita 34")</f>
        <v>Ita 34</v>
      </c>
      <c r="B534" s="5" t="str">
        <f>IFERROR(__xludf.DUMMYFUNCTION("""COMPUTED_VALUE"""),"Ita 37")</f>
        <v>Ita 37</v>
      </c>
      <c r="C534" s="5" t="str">
        <f>IFERROR(__xludf.DUMMYFUNCTION("""COMPUTED_VALUE"""),"Ita 04")</f>
        <v>Ita 04</v>
      </c>
      <c r="D534" s="5" t="str">
        <f>IFERROR(__xludf.DUMMYFUNCTION("""COMPUTED_VALUE"""),"Sand Cave 54M")</f>
        <v>Sand Cave 54M</v>
      </c>
      <c r="E534" s="7" t="str">
        <f>IFERROR(__xludf.DUMMYFUNCTION("""COMPUTED_VALUE"""),"SCave 54M")</f>
        <v>SCave 54M</v>
      </c>
      <c r="F534" s="11">
        <f>IFERROR(__xludf.DUMMYFUNCTION("""COMPUTED_VALUE"""),-244.845325946)</f>
        <v>-244.845325946</v>
      </c>
      <c r="G534" s="11">
        <f>IFERROR(__xludf.DUMMYFUNCTION("""COMPUTED_VALUE"""),210.416856907)</f>
        <v>210.416856907</v>
      </c>
      <c r="H534" s="11">
        <f>IFERROR(__xludf.DUMMYFUNCTION("""COMPUTED_VALUE"""),-36.8739543869999)</f>
        <v>-36.8739543869999</v>
      </c>
      <c r="I534" s="15"/>
      <c r="J534" s="15"/>
      <c r="K534" s="15"/>
      <c r="L534" s="15"/>
      <c r="M534" s="7" t="b">
        <f>IFERROR(__xludf.DUMMYFUNCTION("""COMPUTED_VALUE"""),FALSE)</f>
        <v>0</v>
      </c>
      <c r="N534" s="10">
        <f>IFERROR(__xludf.DUMMYFUNCTION("""COMPUTED_VALUE"""),0)</f>
        <v>0</v>
      </c>
      <c r="O534" s="10">
        <f>IFERROR(__xludf.DUMMYFUNCTION("""COMPUTED_VALUE"""),0)</f>
        <v>0</v>
      </c>
      <c r="P534" s="8"/>
      <c r="Q534" s="7"/>
      <c r="R534" s="16"/>
      <c r="S534" s="17"/>
      <c r="T534" s="8"/>
      <c r="U534" s="8"/>
      <c r="V534" s="22"/>
      <c r="W534" s="12"/>
      <c r="X534" s="12"/>
      <c r="Y534" s="12"/>
      <c r="Z534" s="12"/>
      <c r="AA534" s="7"/>
      <c r="AB534" s="12"/>
      <c r="AC534" s="6"/>
      <c r="AD534" s="6"/>
      <c r="AE534" s="7"/>
      <c r="AF534" s="7"/>
      <c r="AG534" s="7"/>
      <c r="AH534" s="7"/>
      <c r="AI534" s="7"/>
      <c r="AJ534" s="7"/>
      <c r="AK534" s="7"/>
      <c r="AL534" s="7"/>
      <c r="AM534" s="7"/>
      <c r="AN534" s="7"/>
      <c r="AO534" s="6"/>
      <c r="AP534" s="7"/>
      <c r="AQ534" s="7"/>
      <c r="AR534" s="6"/>
      <c r="AS534" s="7"/>
      <c r="AT534" s="7"/>
      <c r="AU534" s="7"/>
      <c r="AV534" s="7"/>
      <c r="AW534" s="7"/>
      <c r="AX534" s="7"/>
      <c r="AY534" s="7"/>
      <c r="AZ534" s="7"/>
      <c r="BA534" s="7"/>
      <c r="BB534" s="7"/>
      <c r="BC534" s="7"/>
      <c r="BD534" s="7"/>
      <c r="BE534" s="7"/>
      <c r="BF534" s="7"/>
      <c r="BG534" s="7"/>
    </row>
    <row r="535" customHeight="1" spans="1:59">
      <c r="A535" s="9" t="str">
        <f>IFERROR(__xludf.DUMMYFUNCTION("""COMPUTED_VALUE"""),"Ita 32")</f>
        <v>Ita 32</v>
      </c>
      <c r="B535" s="5" t="str">
        <f>IFERROR(__xludf.DUMMYFUNCTION("""COMPUTED_VALUE"""),"Ita 35")</f>
        <v>Ita 35</v>
      </c>
      <c r="C535" s="5" t="str">
        <f>IFERROR(__xludf.DUMMYFUNCTION("""COMPUTED_VALUE"""),"Ita 05")</f>
        <v>Ita 05</v>
      </c>
      <c r="D535" s="5" t="str">
        <f>IFERROR(__xludf.DUMMYFUNCTION("""COMPUTED_VALUE"""),"Sand Cave 53R")</f>
        <v>Sand Cave 53R</v>
      </c>
      <c r="E535" s="7" t="str">
        <f>IFERROR(__xludf.DUMMYFUNCTION("""COMPUTED_VALUE"""),"SCave 53R")</f>
        <v>SCave 53R</v>
      </c>
      <c r="F535" s="8">
        <f>IFERROR(__xludf.DUMMYFUNCTION("""COMPUTED_VALUE"""),-198.366350424)</f>
        <v>-198.366350424</v>
      </c>
      <c r="G535" s="8">
        <f>IFERROR(__xludf.DUMMYFUNCTION("""COMPUTED_VALUE"""),210.079540568)</f>
        <v>210.079540568</v>
      </c>
      <c r="H535" s="8">
        <f>IFERROR(__xludf.DUMMYFUNCTION("""COMPUTED_VALUE"""),149.782289886999)</f>
        <v>149.782289886999</v>
      </c>
      <c r="I535" s="14"/>
      <c r="J535" s="14"/>
      <c r="K535" s="14"/>
      <c r="L535" s="14"/>
      <c r="M535" s="7" t="b">
        <f>IFERROR(__xludf.DUMMYFUNCTION("""COMPUTED_VALUE"""),FALSE)</f>
        <v>0</v>
      </c>
      <c r="N535" s="10">
        <f>IFERROR(__xludf.DUMMYFUNCTION("""COMPUTED_VALUE"""),0)</f>
        <v>0</v>
      </c>
      <c r="O535" s="10">
        <f>IFERROR(__xludf.DUMMYFUNCTION("""COMPUTED_VALUE"""),0)</f>
        <v>0</v>
      </c>
      <c r="P535" s="8"/>
      <c r="Q535" s="7"/>
      <c r="R535" s="16"/>
      <c r="S535" s="17"/>
      <c r="T535" s="8"/>
      <c r="U535" s="8"/>
      <c r="V535" s="22"/>
      <c r="W535" s="12"/>
      <c r="X535" s="12"/>
      <c r="Y535" s="12"/>
      <c r="Z535" s="12"/>
      <c r="AA535" s="9"/>
      <c r="AB535" s="12"/>
      <c r="AC535" s="6"/>
      <c r="AD535" s="6"/>
      <c r="AE535" s="7"/>
      <c r="AF535" s="7"/>
      <c r="AG535" s="7"/>
      <c r="AH535" s="7"/>
      <c r="AI535" s="7"/>
      <c r="AJ535" s="7"/>
      <c r="AK535" s="7"/>
      <c r="AL535" s="7"/>
      <c r="AM535" s="7"/>
      <c r="AN535" s="7"/>
      <c r="AO535" s="6"/>
      <c r="AP535" s="7"/>
      <c r="AQ535" s="7"/>
      <c r="AR535" s="6"/>
      <c r="AS535" s="7"/>
      <c r="AT535" s="7"/>
      <c r="AU535" s="7"/>
      <c r="AV535" s="7"/>
      <c r="AW535" s="7"/>
      <c r="AX535" s="7"/>
      <c r="AY535" s="7"/>
      <c r="AZ535" s="7"/>
      <c r="BA535" s="7"/>
      <c r="BB535" s="7"/>
      <c r="BC535" s="7"/>
      <c r="BD535" s="7"/>
      <c r="BE535" s="7"/>
      <c r="BF535" s="7"/>
      <c r="BG535" s="7"/>
    </row>
    <row r="536" customHeight="1" spans="1:59">
      <c r="A536" s="9" t="str">
        <f>IFERROR(__xludf.DUMMYFUNCTION("""COMPUTED_VALUE"""),"Ita 31")</f>
        <v>Ita 31</v>
      </c>
      <c r="B536" s="5" t="str">
        <f>IFERROR(__xludf.DUMMYFUNCTION("""COMPUTED_VALUE"""),"Ita 34")</f>
        <v>Ita 34</v>
      </c>
      <c r="C536" s="5" t="str">
        <f>IFERROR(__xludf.DUMMYFUNCTION("""COMPUTED_VALUE"""),"Ita 06")</f>
        <v>Ita 06</v>
      </c>
      <c r="D536" s="5" t="str">
        <f>IFERROR(__xludf.DUMMYFUNCTION("""COMPUTED_VALUE"""),"Sand Cave 51S")</f>
        <v>Sand Cave 51S</v>
      </c>
      <c r="E536" s="7" t="str">
        <f>IFERROR(__xludf.DUMMYFUNCTION("""COMPUTED_VALUE"""),"SCave 51S")</f>
        <v>SCave 51S</v>
      </c>
      <c r="F536" s="8">
        <f>IFERROR(__xludf.DUMMYFUNCTION("""COMPUTED_VALUE"""),-145.85694837)</f>
        <v>-145.85694837</v>
      </c>
      <c r="G536" s="8">
        <f>IFERROR(__xludf.DUMMYFUNCTION("""COMPUTED_VALUE"""),225.601097108999)</f>
        <v>225.601097108999</v>
      </c>
      <c r="H536" s="8">
        <f>IFERROR(__xludf.DUMMYFUNCTION("""COMPUTED_VALUE"""),183.247291558)</f>
        <v>183.247291558</v>
      </c>
      <c r="I536" s="14"/>
      <c r="J536" s="14"/>
      <c r="K536" s="14"/>
      <c r="L536" s="14"/>
      <c r="M536" s="7" t="b">
        <f>IFERROR(__xludf.DUMMYFUNCTION("""COMPUTED_VALUE"""),FALSE)</f>
        <v>0</v>
      </c>
      <c r="N536" s="10">
        <f>IFERROR(__xludf.DUMMYFUNCTION("""COMPUTED_VALUE"""),0)</f>
        <v>0</v>
      </c>
      <c r="O536" s="10">
        <f>IFERROR(__xludf.DUMMYFUNCTION("""COMPUTED_VALUE"""),0)</f>
        <v>0</v>
      </c>
      <c r="P536" s="8"/>
      <c r="Q536" s="7"/>
      <c r="R536" s="16"/>
      <c r="S536" s="17"/>
      <c r="T536" s="8"/>
      <c r="U536" s="8"/>
      <c r="V536" s="22"/>
      <c r="W536" s="12"/>
      <c r="X536" s="12"/>
      <c r="Y536" s="12"/>
      <c r="Z536" s="12"/>
      <c r="AA536" s="9"/>
      <c r="AB536" s="12"/>
      <c r="AC536" s="6"/>
      <c r="AD536" s="6"/>
      <c r="AE536" s="7"/>
      <c r="AF536" s="7"/>
      <c r="AG536" s="7"/>
      <c r="AH536" s="7"/>
      <c r="AI536" s="7"/>
      <c r="AJ536" s="7"/>
      <c r="AK536" s="7"/>
      <c r="AL536" s="7"/>
      <c r="AM536" s="7"/>
      <c r="AN536" s="7"/>
      <c r="AO536" s="6"/>
      <c r="AP536" s="7"/>
      <c r="AQ536" s="7"/>
      <c r="AR536" s="6"/>
      <c r="AS536" s="7"/>
      <c r="AT536" s="7"/>
      <c r="AU536" s="7"/>
      <c r="AV536" s="7"/>
      <c r="AW536" s="7"/>
      <c r="AX536" s="7"/>
      <c r="AY536" s="7"/>
      <c r="AZ536" s="7"/>
      <c r="BA536" s="7"/>
      <c r="BB536" s="7"/>
      <c r="BC536" s="7"/>
      <c r="BD536" s="7"/>
      <c r="BE536" s="7"/>
      <c r="BF536" s="7"/>
      <c r="BG536" s="7"/>
    </row>
    <row r="537" customHeight="1" spans="1:59">
      <c r="A537" s="9" t="str">
        <f>IFERROR(__xludf.DUMMYFUNCTION("""COMPUTED_VALUE"""),"Ita 30")</f>
        <v>Ita 30</v>
      </c>
      <c r="B537" s="5" t="str">
        <f>IFERROR(__xludf.DUMMYFUNCTION("""COMPUTED_VALUE"""),"Ita 33")</f>
        <v>Ita 33</v>
      </c>
      <c r="C537" s="5" t="str">
        <f>IFERROR(__xludf.DUMMYFUNCTION("""COMPUTED_VALUE"""),"Ita 07")</f>
        <v>Ita 07</v>
      </c>
      <c r="D537" s="5" t="str">
        <f>IFERROR(__xludf.DUMMYFUNCTION("""COMPUTED_VALUE"""),"Sand Cave 49S")</f>
        <v>Sand Cave 49S</v>
      </c>
      <c r="E537" s="7" t="str">
        <f>IFERROR(__xludf.DUMMYFUNCTION("""COMPUTED_VALUE"""),"SCave 49S")</f>
        <v>SCave 49S</v>
      </c>
      <c r="F537" s="8">
        <f>IFERROR(__xludf.DUMMYFUNCTION("""COMPUTED_VALUE"""),-95.6716822459998)</f>
        <v>-95.6716822459998</v>
      </c>
      <c r="G537" s="8">
        <f>IFERROR(__xludf.DUMMYFUNCTION("""COMPUTED_VALUE"""),232.415407027999)</f>
        <v>232.415407027999</v>
      </c>
      <c r="H537" s="8">
        <f>IFERROR(__xludf.DUMMYFUNCTION("""COMPUTED_VALUE"""),206.556507454)</f>
        <v>206.556507454</v>
      </c>
      <c r="I537" s="14"/>
      <c r="J537" s="14"/>
      <c r="K537" s="14"/>
      <c r="L537" s="14"/>
      <c r="M537" s="7" t="b">
        <f>IFERROR(__xludf.DUMMYFUNCTION("""COMPUTED_VALUE"""),FALSE)</f>
        <v>0</v>
      </c>
      <c r="N537" s="10">
        <f>IFERROR(__xludf.DUMMYFUNCTION("""COMPUTED_VALUE"""),0)</f>
        <v>0</v>
      </c>
      <c r="O537" s="10">
        <f>IFERROR(__xludf.DUMMYFUNCTION("""COMPUTED_VALUE"""),0)</f>
        <v>0</v>
      </c>
      <c r="P537" s="8"/>
      <c r="Q537" s="7"/>
      <c r="R537" s="16"/>
      <c r="S537" s="17"/>
      <c r="T537" s="8"/>
      <c r="U537" s="8"/>
      <c r="V537" s="22"/>
      <c r="W537" s="12"/>
      <c r="X537" s="12"/>
      <c r="Y537" s="12"/>
      <c r="Z537" s="12"/>
      <c r="AA537" s="9"/>
      <c r="AB537" s="12"/>
      <c r="AC537" s="6"/>
      <c r="AD537" s="6"/>
      <c r="AE537" s="7"/>
      <c r="AF537" s="7"/>
      <c r="AG537" s="7"/>
      <c r="AH537" s="7"/>
      <c r="AI537" s="7"/>
      <c r="AJ537" s="7"/>
      <c r="AK537" s="7"/>
      <c r="AL537" s="7"/>
      <c r="AM537" s="7"/>
      <c r="AN537" s="7"/>
      <c r="AO537" s="6"/>
      <c r="AP537" s="7"/>
      <c r="AQ537" s="7"/>
      <c r="AR537" s="6"/>
      <c r="AS537" s="7"/>
      <c r="AT537" s="7"/>
      <c r="AU537" s="7"/>
      <c r="AV537" s="7"/>
      <c r="AW537" s="7"/>
      <c r="AX537" s="7"/>
      <c r="AY537" s="7"/>
      <c r="AZ537" s="7"/>
      <c r="BA537" s="7"/>
      <c r="BB537" s="7"/>
      <c r="BC537" s="7"/>
      <c r="BD537" s="7"/>
      <c r="BE537" s="7"/>
      <c r="BF537" s="7"/>
      <c r="BG537" s="7"/>
    </row>
    <row r="538" customHeight="1" spans="1:59">
      <c r="A538" s="9" t="str">
        <f>IFERROR(__xludf.DUMMYFUNCTION("""COMPUTED_VALUE"""),"Ita 22")</f>
        <v>Ita 22</v>
      </c>
      <c r="B538" s="5" t="str">
        <f>IFERROR(__xludf.DUMMYFUNCTION("""COMPUTED_VALUE"""),"Ita 25")</f>
        <v>Ita 25</v>
      </c>
      <c r="C538" s="5" t="str">
        <f>IFERROR(__xludf.DUMMYFUNCTION("""COMPUTED_VALUE"""),"Ita 22")</f>
        <v>Ita 22</v>
      </c>
      <c r="D538" s="5" t="str">
        <f>IFERROR(__xludf.DUMMYFUNCTION("""COMPUTED_VALUE"""),"Sand Cave 26S")</f>
        <v>Sand Cave 26S</v>
      </c>
      <c r="E538" s="7" t="str">
        <f>IFERROR(__xludf.DUMMYFUNCTION("""COMPUTED_VALUE"""),"SCave 26S")</f>
        <v>SCave 26S</v>
      </c>
      <c r="F538" s="8">
        <f>IFERROR(__xludf.DUMMYFUNCTION("""COMPUTED_VALUE"""),226.490069041)</f>
        <v>226.490069041</v>
      </c>
      <c r="G538" s="8">
        <f>IFERROR(__xludf.DUMMYFUNCTION("""COMPUTED_VALUE"""),-127.471403798)</f>
        <v>-127.471403798</v>
      </c>
      <c r="H538" s="8">
        <f>IFERROR(__xludf.DUMMYFUNCTION("""COMPUTED_VALUE"""),195.092245614)</f>
        <v>195.092245614</v>
      </c>
      <c r="I538" s="14"/>
      <c r="J538" s="14"/>
      <c r="K538" s="14"/>
      <c r="L538" s="14"/>
      <c r="M538" s="7" t="b">
        <f>IFERROR(__xludf.DUMMYFUNCTION("""COMPUTED_VALUE"""),FALSE)</f>
        <v>0</v>
      </c>
      <c r="N538" s="10">
        <f>IFERROR(__xludf.DUMMYFUNCTION("""COMPUTED_VALUE"""),0)</f>
        <v>0</v>
      </c>
      <c r="O538" s="10">
        <f>IFERROR(__xludf.DUMMYFUNCTION("""COMPUTED_VALUE"""),0)</f>
        <v>0</v>
      </c>
      <c r="P538" s="8"/>
      <c r="Q538" s="7"/>
      <c r="R538" s="16"/>
      <c r="S538" s="17"/>
      <c r="T538" s="8"/>
      <c r="U538" s="8"/>
      <c r="V538" s="22"/>
      <c r="W538" s="12"/>
      <c r="X538" s="12"/>
      <c r="Y538" s="12"/>
      <c r="Z538" s="12"/>
      <c r="AA538" s="9"/>
      <c r="AB538" s="12"/>
      <c r="AC538" s="6"/>
      <c r="AD538" s="6"/>
      <c r="AE538" s="7"/>
      <c r="AF538" s="7"/>
      <c r="AG538" s="7"/>
      <c r="AH538" s="7"/>
      <c r="AI538" s="7"/>
      <c r="AJ538" s="7"/>
      <c r="AK538" s="7"/>
      <c r="AL538" s="7"/>
      <c r="AM538" s="7"/>
      <c r="AN538" s="7"/>
      <c r="AO538" s="6"/>
      <c r="AP538" s="7"/>
      <c r="AQ538" s="7"/>
      <c r="AR538" s="6"/>
      <c r="AS538" s="7"/>
      <c r="AT538" s="7"/>
      <c r="AU538" s="7"/>
      <c r="AV538" s="7"/>
      <c r="AW538" s="7"/>
      <c r="AX538" s="7"/>
      <c r="AY538" s="7"/>
      <c r="AZ538" s="7"/>
      <c r="BA538" s="7"/>
      <c r="BB538" s="7"/>
      <c r="BC538" s="7"/>
      <c r="BD538" s="7"/>
      <c r="BE538" s="7"/>
      <c r="BF538" s="7"/>
      <c r="BG538" s="7"/>
    </row>
    <row r="539" customHeight="1" spans="1:59">
      <c r="A539" s="9" t="str">
        <f>IFERROR(__xludf.DUMMYFUNCTION("""COMPUTED_VALUE"""),"Ita 21")</f>
        <v>Ita 21</v>
      </c>
      <c r="B539" s="5" t="str">
        <f>IFERROR(__xludf.DUMMYFUNCTION("""COMPUTED_VALUE"""),"Ita 24")</f>
        <v>Ita 24</v>
      </c>
      <c r="C539" s="5" t="str">
        <f>IFERROR(__xludf.DUMMYFUNCTION("""COMPUTED_VALUE"""),"Ita 23")</f>
        <v>Ita 23</v>
      </c>
      <c r="D539" s="5" t="str">
        <f>IFERROR(__xludf.DUMMYFUNCTION("""COMPUTED_VALUE"""),"Sand Cave 25S")</f>
        <v>Sand Cave 25S</v>
      </c>
      <c r="E539" s="7" t="str">
        <f>IFERROR(__xludf.DUMMYFUNCTION("""COMPUTED_VALUE"""),"SCave 25S")</f>
        <v>SCave 25S</v>
      </c>
      <c r="F539" s="8">
        <f>IFERROR(__xludf.DUMMYFUNCTION("""COMPUTED_VALUE"""),222.979460536)</f>
        <v>222.979460536</v>
      </c>
      <c r="G539" s="8">
        <f>IFERROR(__xludf.DUMMYFUNCTION("""COMPUTED_VALUE"""),-129.325527858)</f>
        <v>-129.325527858</v>
      </c>
      <c r="H539" s="8">
        <f>IFERROR(__xludf.DUMMYFUNCTION("""COMPUTED_VALUE"""),197.905946739)</f>
        <v>197.905946739</v>
      </c>
      <c r="I539" s="14"/>
      <c r="J539" s="14"/>
      <c r="K539" s="14"/>
      <c r="L539" s="14"/>
      <c r="M539" s="7" t="b">
        <f>IFERROR(__xludf.DUMMYFUNCTION("""COMPUTED_VALUE"""),FALSE)</f>
        <v>0</v>
      </c>
      <c r="N539" s="10">
        <f>IFERROR(__xludf.DUMMYFUNCTION("""COMPUTED_VALUE"""),0)</f>
        <v>0</v>
      </c>
      <c r="O539" s="10">
        <f>IFERROR(__xludf.DUMMYFUNCTION("""COMPUTED_VALUE"""),0)</f>
        <v>0</v>
      </c>
      <c r="P539" s="8"/>
      <c r="Q539" s="7"/>
      <c r="R539" s="16"/>
      <c r="S539" s="17"/>
      <c r="T539" s="8"/>
      <c r="U539" s="8"/>
      <c r="V539" s="22"/>
      <c r="W539" s="12"/>
      <c r="X539" s="12"/>
      <c r="Y539" s="12"/>
      <c r="Z539" s="12"/>
      <c r="AA539" s="9"/>
      <c r="AB539" s="12"/>
      <c r="AC539" s="6"/>
      <c r="AD539" s="6"/>
      <c r="AE539" s="7"/>
      <c r="AF539" s="7"/>
      <c r="AG539" s="7"/>
      <c r="AH539" s="7"/>
      <c r="AI539" s="7"/>
      <c r="AJ539" s="7"/>
      <c r="AK539" s="7"/>
      <c r="AL539" s="7"/>
      <c r="AM539" s="7"/>
      <c r="AN539" s="7"/>
      <c r="AO539" s="6"/>
      <c r="AP539" s="7"/>
      <c r="AQ539" s="7"/>
      <c r="AR539" s="6"/>
      <c r="AS539" s="7"/>
      <c r="AT539" s="7"/>
      <c r="AU539" s="7"/>
      <c r="AV539" s="7"/>
      <c r="AW539" s="7"/>
      <c r="AX539" s="7"/>
      <c r="AY539" s="7"/>
      <c r="AZ539" s="7"/>
      <c r="BA539" s="7"/>
      <c r="BB539" s="7"/>
      <c r="BC539" s="7"/>
      <c r="BD539" s="7"/>
      <c r="BE539" s="7"/>
      <c r="BF539" s="7"/>
      <c r="BG539" s="7"/>
    </row>
    <row r="540" customHeight="1" spans="1:59">
      <c r="A540" s="9" t="str">
        <f>IFERROR(__xludf.DUMMYFUNCTION("""COMPUTED_VALUE"""),"Ita 23")</f>
        <v>Ita 23</v>
      </c>
      <c r="B540" s="5" t="str">
        <f>IFERROR(__xludf.DUMMYFUNCTION("""COMPUTED_VALUE"""),"Ita 26")</f>
        <v>Ita 26</v>
      </c>
      <c r="C540" s="5" t="str">
        <f>IFERROR(__xludf.DUMMYFUNCTION("""COMPUTED_VALUE"""),"Ita 19")</f>
        <v>Ita 19</v>
      </c>
      <c r="D540" s="5" t="str">
        <f>IFERROR(__xludf.DUMMYFUNCTION("""COMPUTED_VALUE"""),"Sand Cave 28T")</f>
        <v>Sand Cave 28T</v>
      </c>
      <c r="E540" s="7" t="str">
        <f>IFERROR(__xludf.DUMMYFUNCTION("""COMPUTED_VALUE"""),"SCave 28T")</f>
        <v>SCave 28T</v>
      </c>
      <c r="F540" s="8">
        <f>IFERROR(__xludf.DUMMYFUNCTION("""COMPUTED_VALUE"""),220.695596888)</f>
        <v>220.695596888</v>
      </c>
      <c r="G540" s="8">
        <f>IFERROR(__xludf.DUMMYFUNCTION("""COMPUTED_VALUE"""),-65.428039985)</f>
        <v>-65.428039985</v>
      </c>
      <c r="H540" s="8">
        <f>IFERROR(__xludf.DUMMYFUNCTION("""COMPUTED_VALUE"""),229.556560505)</f>
        <v>229.556560505</v>
      </c>
      <c r="I540" s="14"/>
      <c r="J540" s="14"/>
      <c r="K540" s="14"/>
      <c r="L540" s="14"/>
      <c r="M540" s="7" t="b">
        <f>IFERROR(__xludf.DUMMYFUNCTION("""COMPUTED_VALUE"""),FALSE)</f>
        <v>0</v>
      </c>
      <c r="N540" s="10">
        <f>IFERROR(__xludf.DUMMYFUNCTION("""COMPUTED_VALUE"""),0)</f>
        <v>0</v>
      </c>
      <c r="O540" s="10">
        <f>IFERROR(__xludf.DUMMYFUNCTION("""COMPUTED_VALUE"""),0)</f>
        <v>0</v>
      </c>
      <c r="P540" s="8"/>
      <c r="Q540" s="7"/>
      <c r="R540" s="16"/>
      <c r="S540" s="17"/>
      <c r="T540" s="8"/>
      <c r="U540" s="8"/>
      <c r="V540" s="22"/>
      <c r="W540" s="12"/>
      <c r="X540" s="12"/>
      <c r="Y540" s="12"/>
      <c r="Z540" s="12"/>
      <c r="AA540" s="9"/>
      <c r="AB540" s="12"/>
      <c r="AC540" s="6"/>
      <c r="AD540" s="6"/>
      <c r="AE540" s="7"/>
      <c r="AF540" s="7"/>
      <c r="AG540" s="7"/>
      <c r="AH540" s="7"/>
      <c r="AI540" s="7"/>
      <c r="AJ540" s="7"/>
      <c r="AK540" s="7"/>
      <c r="AL540" s="7"/>
      <c r="AM540" s="7"/>
      <c r="AN540" s="7"/>
      <c r="AO540" s="6"/>
      <c r="AP540" s="7"/>
      <c r="AQ540" s="7"/>
      <c r="AR540" s="6"/>
      <c r="AS540" s="7"/>
      <c r="AT540" s="7"/>
      <c r="AU540" s="7"/>
      <c r="AV540" s="7"/>
      <c r="AW540" s="7"/>
      <c r="AX540" s="7"/>
      <c r="AY540" s="7"/>
      <c r="AZ540" s="7"/>
      <c r="BA540" s="7"/>
      <c r="BB540" s="7"/>
      <c r="BC540" s="7"/>
      <c r="BD540" s="7"/>
      <c r="BE540" s="7"/>
      <c r="BF540" s="7"/>
      <c r="BG540" s="7"/>
    </row>
    <row r="541" customHeight="1" spans="1:59">
      <c r="A541" s="9" t="str">
        <f>IFERROR(__xludf.DUMMYFUNCTION("""COMPUTED_VALUE"""),"Ita 27")</f>
        <v>Ita 27</v>
      </c>
      <c r="B541" s="5" t="str">
        <f>IFERROR(__xludf.DUMMYFUNCTION("""COMPUTED_VALUE"""),"Ita 30")</f>
        <v>Ita 30</v>
      </c>
      <c r="C541" s="5" t="str">
        <f>IFERROR(__xludf.DUMMYFUNCTION("""COMPUTED_VALUE"""),"Ita 14")</f>
        <v>Ita 14</v>
      </c>
      <c r="D541" s="5" t="str">
        <f>IFERROR(__xludf.DUMMYFUNCTION("""COMPUTED_VALUE"""),"Sand Cave 40R")</f>
        <v>Sand Cave 40R</v>
      </c>
      <c r="E541" s="7" t="str">
        <f>IFERROR(__xludf.DUMMYFUNCTION("""COMPUTED_VALUE"""),"SCave 40R")</f>
        <v>SCave 40R</v>
      </c>
      <c r="F541" s="8">
        <f>IFERROR(__xludf.DUMMYFUNCTION("""COMPUTED_VALUE"""),165.617741497999)</f>
        <v>165.617741497999</v>
      </c>
      <c r="G541" s="8">
        <f>IFERROR(__xludf.DUMMYFUNCTION("""COMPUTED_VALUE"""),230.516530414)</f>
        <v>230.516530414</v>
      </c>
      <c r="H541" s="8">
        <f>IFERROR(__xludf.DUMMYFUNCTION("""COMPUTED_VALUE"""),158.177158563)</f>
        <v>158.177158563</v>
      </c>
      <c r="I541" s="14"/>
      <c r="J541" s="14"/>
      <c r="K541" s="14"/>
      <c r="L541" s="14"/>
      <c r="M541" s="7" t="b">
        <f>IFERROR(__xludf.DUMMYFUNCTION("""COMPUTED_VALUE"""),FALSE)</f>
        <v>0</v>
      </c>
      <c r="N541" s="10">
        <f>IFERROR(__xludf.DUMMYFUNCTION("""COMPUTED_VALUE"""),0)</f>
        <v>0</v>
      </c>
      <c r="O541" s="10">
        <f>IFERROR(__xludf.DUMMYFUNCTION("""COMPUTED_VALUE"""),0)</f>
        <v>0</v>
      </c>
      <c r="P541" s="8"/>
      <c r="Q541" s="7"/>
      <c r="R541" s="16"/>
      <c r="S541" s="17"/>
      <c r="T541" s="8"/>
      <c r="U541" s="8"/>
      <c r="V541" s="22"/>
      <c r="W541" s="12"/>
      <c r="X541" s="12"/>
      <c r="Y541" s="12"/>
      <c r="Z541" s="12"/>
      <c r="AA541" s="9"/>
      <c r="AB541" s="12"/>
      <c r="AC541" s="6"/>
      <c r="AD541" s="6"/>
      <c r="AE541" s="7"/>
      <c r="AF541" s="7"/>
      <c r="AG541" s="7"/>
      <c r="AH541" s="7"/>
      <c r="AI541" s="7"/>
      <c r="AJ541" s="7"/>
      <c r="AK541" s="7"/>
      <c r="AL541" s="7"/>
      <c r="AM541" s="7"/>
      <c r="AN541" s="7"/>
      <c r="AO541" s="6"/>
      <c r="AP541" s="7"/>
      <c r="AQ541" s="7"/>
      <c r="AR541" s="6"/>
      <c r="AS541" s="7"/>
      <c r="AT541" s="7"/>
      <c r="AU541" s="7"/>
      <c r="AV541" s="7"/>
      <c r="AW541" s="7"/>
      <c r="AX541" s="7"/>
      <c r="AY541" s="7"/>
      <c r="AZ541" s="7"/>
      <c r="BA541" s="7"/>
      <c r="BB541" s="7"/>
      <c r="BC541" s="7"/>
      <c r="BD541" s="7"/>
      <c r="BE541" s="7"/>
      <c r="BF541" s="7"/>
      <c r="BG541" s="7"/>
    </row>
    <row r="542" customHeight="1" spans="1:59">
      <c r="A542" s="9" t="str">
        <f>IFERROR(__xludf.DUMMYFUNCTION("""COMPUTED_VALUE"""),"Ita 25")</f>
        <v>Ita 25</v>
      </c>
      <c r="B542" s="9" t="str">
        <f>IFERROR(__xludf.DUMMYFUNCTION("""COMPUTED_VALUE"""),"Ita 28")</f>
        <v>Ita 28</v>
      </c>
      <c r="C542" s="9" t="str">
        <f>IFERROR(__xludf.DUMMYFUNCTION("""COMPUTED_VALUE"""),"Ita 16")</f>
        <v>Ita 16</v>
      </c>
      <c r="D542" s="5" t="str">
        <f>IFERROR(__xludf.DUMMYFUNCTION("""COMPUTED_VALUE"""),"Sand Cave 34P")</f>
        <v>Sand Cave 34P</v>
      </c>
      <c r="E542" s="7" t="str">
        <f>IFERROR(__xludf.DUMMYFUNCTION("""COMPUTED_VALUE"""),"SCave 34P")</f>
        <v>SCave 34P</v>
      </c>
      <c r="F542" s="11">
        <f>IFERROR(__xludf.DUMMYFUNCTION("""COMPUTED_VALUE"""),289.301710672)</f>
        <v>289.301710672</v>
      </c>
      <c r="G542" s="11">
        <f>IFERROR(__xludf.DUMMYFUNCTION("""COMPUTED_VALUE"""),128.190049002999)</f>
        <v>128.190049002999</v>
      </c>
      <c r="H542" s="11">
        <f>IFERROR(__xludf.DUMMYFUNCTION("""COMPUTED_VALUE"""),75.105223668)</f>
        <v>75.105223668</v>
      </c>
      <c r="I542" s="15"/>
      <c r="J542" s="15"/>
      <c r="K542" s="15"/>
      <c r="L542" s="15"/>
      <c r="M542" s="7" t="b">
        <f>IFERROR(__xludf.DUMMYFUNCTION("""COMPUTED_VALUE"""),FALSE)</f>
        <v>0</v>
      </c>
      <c r="N542" s="10">
        <f>IFERROR(__xludf.DUMMYFUNCTION("""COMPUTED_VALUE"""),0)</f>
        <v>0</v>
      </c>
      <c r="O542" s="10">
        <f>IFERROR(__xludf.DUMMYFUNCTION("""COMPUTED_VALUE"""),0)</f>
        <v>0</v>
      </c>
      <c r="P542" s="8"/>
      <c r="Q542" s="7"/>
      <c r="R542" s="16"/>
      <c r="S542" s="17"/>
      <c r="T542" s="8"/>
      <c r="U542" s="8"/>
      <c r="V542" s="22"/>
      <c r="W542" s="12"/>
      <c r="X542" s="12"/>
      <c r="Y542" s="12"/>
      <c r="Z542" s="12"/>
      <c r="AA542" s="7"/>
      <c r="AB542" s="12"/>
      <c r="AC542" s="6"/>
      <c r="AD542" s="6"/>
      <c r="AE542" s="7"/>
      <c r="AF542" s="7"/>
      <c r="AG542" s="7"/>
      <c r="AH542" s="7"/>
      <c r="AI542" s="7"/>
      <c r="AJ542" s="7"/>
      <c r="AK542" s="7"/>
      <c r="AL542" s="7"/>
      <c r="AM542" s="7"/>
      <c r="AN542" s="7"/>
      <c r="AO542" s="6"/>
      <c r="AP542" s="7"/>
      <c r="AQ542" s="7"/>
      <c r="AR542" s="6"/>
      <c r="AS542" s="7"/>
      <c r="AT542" s="7"/>
      <c r="AU542" s="7"/>
      <c r="AV542" s="7"/>
      <c r="AW542" s="7"/>
      <c r="AX542" s="7"/>
      <c r="AY542" s="7"/>
      <c r="AZ542" s="7"/>
      <c r="BA542" s="7"/>
      <c r="BB542" s="7"/>
      <c r="BC542" s="7"/>
      <c r="BD542" s="7"/>
      <c r="BE542" s="7"/>
      <c r="BF542" s="7"/>
      <c r="BG542" s="7"/>
    </row>
    <row r="543" customHeight="1" spans="1:59">
      <c r="A543" s="9" t="str">
        <f>IFERROR(__xludf.DUMMYFUNCTION("""COMPUTED_VALUE"""),"Ita 12")</f>
        <v>Ita 12</v>
      </c>
      <c r="B543" s="5" t="str">
        <f>IFERROR(__xludf.DUMMYFUNCTION("""COMPUTED_VALUE"""),"Ita 15")</f>
        <v>Ita 15</v>
      </c>
      <c r="C543" s="9" t="str">
        <f>IFERROR(__xludf.DUMMYFUNCTION("""COMPUTED_VALUE"""),"Ita 36")</f>
        <v>Ita 36</v>
      </c>
      <c r="D543" s="5" t="str">
        <f>IFERROR(__xludf.DUMMYFUNCTION("""COMPUTED_VALUE"""),"Sand Cave 09N")</f>
        <v>Sand Cave 09N</v>
      </c>
      <c r="E543" s="7" t="str">
        <f>IFERROR(__xludf.DUMMYFUNCTION("""COMPUTED_VALUE"""),"SCave 09N")</f>
        <v>SCave 09N</v>
      </c>
      <c r="F543" s="11">
        <f>IFERROR(__xludf.DUMMYFUNCTION("""COMPUTED_VALUE"""),-207.860631373999)</f>
        <v>-207.860631373999</v>
      </c>
      <c r="G543" s="11">
        <f>IFERROR(__xludf.DUMMYFUNCTION("""COMPUTED_VALUE"""),-248.555656026999)</f>
        <v>-248.555656026999</v>
      </c>
      <c r="H543" s="11">
        <f>IFERROR(__xludf.DUMMYFUNCTION("""COMPUTED_VALUE"""),26.3260635829999)</f>
        <v>26.3260635829999</v>
      </c>
      <c r="I543" s="15"/>
      <c r="J543" s="15"/>
      <c r="K543" s="15"/>
      <c r="L543" s="15"/>
      <c r="M543" s="7" t="b">
        <f>IFERROR(__xludf.DUMMYFUNCTION("""COMPUTED_VALUE"""),FALSE)</f>
        <v>0</v>
      </c>
      <c r="N543" s="10">
        <f>IFERROR(__xludf.DUMMYFUNCTION("""COMPUTED_VALUE"""),0)</f>
        <v>0</v>
      </c>
      <c r="O543" s="10">
        <f>IFERROR(__xludf.DUMMYFUNCTION("""COMPUTED_VALUE"""),0)</f>
        <v>0</v>
      </c>
      <c r="P543" s="8"/>
      <c r="Q543" s="7"/>
      <c r="R543" s="16"/>
      <c r="S543" s="17"/>
      <c r="T543" s="8"/>
      <c r="U543" s="8"/>
      <c r="V543" s="22"/>
      <c r="W543" s="12"/>
      <c r="X543" s="12"/>
      <c r="Y543" s="12"/>
      <c r="Z543" s="12"/>
      <c r="AA543" s="7"/>
      <c r="AB543" s="12"/>
      <c r="AC543" s="6"/>
      <c r="AD543" s="6"/>
      <c r="AE543" s="7"/>
      <c r="AF543" s="7"/>
      <c r="AG543" s="7"/>
      <c r="AH543" s="7"/>
      <c r="AI543" s="7"/>
      <c r="AJ543" s="7"/>
      <c r="AK543" s="7"/>
      <c r="AL543" s="7"/>
      <c r="AM543" s="7"/>
      <c r="AN543" s="7"/>
      <c r="AO543" s="6"/>
      <c r="AP543" s="7"/>
      <c r="AQ543" s="7"/>
      <c r="AR543" s="6"/>
      <c r="AS543" s="7"/>
      <c r="AT543" s="7"/>
      <c r="AU543" s="7"/>
      <c r="AV543" s="7"/>
      <c r="AW543" s="7"/>
      <c r="AX543" s="7"/>
      <c r="AY543" s="7"/>
      <c r="AZ543" s="7"/>
      <c r="BA543" s="7"/>
      <c r="BB543" s="7"/>
      <c r="BC543" s="7"/>
      <c r="BD543" s="7"/>
      <c r="BE543" s="7"/>
      <c r="BF543" s="7"/>
      <c r="BG543" s="7"/>
    </row>
    <row r="544" customHeight="1" spans="1:59">
      <c r="A544" s="9" t="str">
        <f>IFERROR(__xludf.DUMMYFUNCTION("""COMPUTED_VALUE"""),"Ita")</f>
        <v>Ita</v>
      </c>
      <c r="B544" s="5" t="str">
        <f>IFERROR(__xludf.DUMMYFUNCTION("""COMPUTED_VALUE"""),"Ita 40")</f>
        <v>Ita 40</v>
      </c>
      <c r="C544" s="9"/>
      <c r="D544" s="5" t="str">
        <f>IFERROR(__xludf.DUMMYFUNCTION("""COMPUTED_VALUE"""),"Wrecks")</f>
        <v>Wrecks</v>
      </c>
      <c r="E544" s="7"/>
      <c r="F544" s="11"/>
      <c r="G544" s="11"/>
      <c r="H544" s="11"/>
      <c r="I544" s="15"/>
      <c r="J544" s="15"/>
      <c r="K544" s="15"/>
      <c r="L544" s="15"/>
      <c r="M544" s="7"/>
      <c r="N544" s="10"/>
      <c r="O544" s="10"/>
      <c r="P544" s="8"/>
      <c r="Q544" s="7"/>
      <c r="R544" s="16"/>
      <c r="S544" s="17"/>
      <c r="T544" s="8"/>
      <c r="U544" s="8"/>
      <c r="V544" s="22"/>
      <c r="W544" s="12"/>
      <c r="X544" s="12"/>
      <c r="Y544" s="12"/>
      <c r="Z544" s="12"/>
      <c r="AA544" s="7"/>
      <c r="AB544" s="12"/>
      <c r="AC544" s="6"/>
      <c r="AD544" s="6"/>
      <c r="AE544" s="7"/>
      <c r="AF544" s="7"/>
      <c r="AG544" s="7"/>
      <c r="AH544" s="7"/>
      <c r="AI544" s="7"/>
      <c r="AJ544" s="7"/>
      <c r="AK544" s="7"/>
      <c r="AL544" s="7"/>
      <c r="AM544" s="7"/>
      <c r="AN544" s="7"/>
      <c r="AO544" s="6"/>
      <c r="AP544" s="7"/>
      <c r="AQ544" s="7"/>
      <c r="AR544" s="6"/>
      <c r="AS544" s="7"/>
      <c r="AT544" s="7"/>
      <c r="AU544" s="7"/>
      <c r="AV544" s="7"/>
      <c r="AW544" s="7"/>
      <c r="AX544" s="7"/>
      <c r="AY544" s="7"/>
      <c r="AZ544" s="7"/>
      <c r="BA544" s="7"/>
      <c r="BB544" s="7"/>
      <c r="BC544" s="7"/>
      <c r="BD544" s="7"/>
      <c r="BE544" s="7"/>
      <c r="BF544" s="7"/>
      <c r="BG544" s="7"/>
    </row>
    <row r="545" customHeight="1" spans="1:59">
      <c r="A545" s="9" t="str">
        <f>IFERROR(__xludf.DUMMYFUNCTION("""COMPUTED_VALUE"""),"Ita 36")</f>
        <v>Ita 36</v>
      </c>
      <c r="B545" s="5" t="str">
        <f>IFERROR(__xludf.DUMMYFUNCTION("""COMPUTED_VALUE"""),"Ita 41")</f>
        <v>Ita 41</v>
      </c>
      <c r="C545" s="9" t="str">
        <f>IFERROR(__xludf.DUMMYFUNCTION("""COMPUTED_VALUE"""),"Ita 42")</f>
        <v>Ita 42</v>
      </c>
      <c r="D545" s="5" t="str">
        <f>IFERROR(__xludf.DUMMYFUNCTION("""COMPUTED_VALUE"""),"Caterpillar Wreck 01Q")</f>
        <v>Caterpillar Wreck 01Q</v>
      </c>
      <c r="E545" s="7" t="str">
        <f>IFERROR(__xludf.DUMMYFUNCTION("""COMPUTED_VALUE"""),"Caterpillar 01Q")</f>
        <v>Caterpillar 01Q</v>
      </c>
      <c r="F545" s="11">
        <f>IFERROR(__xludf.DUMMYFUNCTION("""COMPUTED_VALUE"""),-306.173442539)</f>
        <v>-306.173442539</v>
      </c>
      <c r="G545" s="11">
        <f>IFERROR(__xludf.DUMMYFUNCTION("""COMPUTED_VALUE"""),-9.83134488799999)</f>
        <v>-9.83134488799999</v>
      </c>
      <c r="H545" s="11">
        <f>IFERROR(__xludf.DUMMYFUNCTION("""COMPUTED_VALUE"""),109.758158056)</f>
        <v>109.758158056</v>
      </c>
      <c r="I545" s="15"/>
      <c r="J545" s="15"/>
      <c r="K545" s="15"/>
      <c r="L545" s="15"/>
      <c r="M545" s="7" t="b">
        <f>IFERROR(__xludf.DUMMYFUNCTION("""COMPUTED_VALUE"""),FALSE)</f>
        <v>0</v>
      </c>
      <c r="N545" s="10">
        <f>IFERROR(__xludf.DUMMYFUNCTION("""COMPUTED_VALUE"""),0)</f>
        <v>0</v>
      </c>
      <c r="O545" s="10">
        <f>IFERROR(__xludf.DUMMYFUNCTION("""COMPUTED_VALUE"""),0)</f>
        <v>0</v>
      </c>
      <c r="P545" s="8"/>
      <c r="Q545" s="7"/>
      <c r="R545" s="16"/>
      <c r="S545" s="17"/>
      <c r="T545" s="8"/>
      <c r="U545" s="8"/>
      <c r="V545" s="22"/>
      <c r="W545" s="12"/>
      <c r="X545" s="12"/>
      <c r="Y545" s="12"/>
      <c r="Z545" s="12"/>
      <c r="AA545" s="7"/>
      <c r="AB545" s="12"/>
      <c r="AC545" s="6"/>
      <c r="AD545" s="6"/>
      <c r="AE545" s="7"/>
      <c r="AF545" s="7"/>
      <c r="AG545" s="7"/>
      <c r="AH545" s="7"/>
      <c r="AI545" s="7"/>
      <c r="AJ545" s="7"/>
      <c r="AK545" s="7"/>
      <c r="AL545" s="7"/>
      <c r="AM545" s="7"/>
      <c r="AN545" s="7"/>
      <c r="AO545" s="6"/>
      <c r="AP545" s="7"/>
      <c r="AQ545" s="7"/>
      <c r="AR545" s="6"/>
      <c r="AS545" s="7"/>
      <c r="AT545" s="7"/>
      <c r="AU545" s="7"/>
      <c r="AV545" s="7"/>
      <c r="AW545" s="7"/>
      <c r="AX545" s="7"/>
      <c r="AY545" s="7"/>
      <c r="AZ545" s="7"/>
      <c r="BA545" s="7"/>
      <c r="BB545" s="7"/>
      <c r="BC545" s="7"/>
      <c r="BD545" s="7"/>
      <c r="BE545" s="7"/>
      <c r="BF545" s="7"/>
      <c r="BG545" s="7"/>
    </row>
    <row r="546" customHeight="1" spans="1:59">
      <c r="A546" s="9" t="str">
        <f>IFERROR(__xludf.DUMMYFUNCTION("""COMPUTED_VALUE"""),"Ita 37")</f>
        <v>Ita 37</v>
      </c>
      <c r="B546" s="5" t="str">
        <f>IFERROR(__xludf.DUMMYFUNCTION("""COMPUTED_VALUE"""),"Ita 42")</f>
        <v>Ita 42</v>
      </c>
      <c r="C546" s="9" t="str">
        <f>IFERROR(__xludf.DUMMYFUNCTION("""COMPUTED_VALUE"""),"Ita 13")</f>
        <v>Ita 13</v>
      </c>
      <c r="D546" s="5" t="str">
        <f>IFERROR(__xludf.DUMMYFUNCTION("""COMPUTED_VALUE"""),"Caterpillar Wreck 40S")</f>
        <v>Caterpillar Wreck 40S</v>
      </c>
      <c r="E546" s="7" t="str">
        <f>IFERROR(__xludf.DUMMYFUNCTION("""COMPUTED_VALUE"""),"Caterpillar 40S")</f>
        <v>Caterpillar 40S</v>
      </c>
      <c r="F546" s="11">
        <f>IFERROR(__xludf.DUMMYFUNCTION("""COMPUTED_VALUE"""),137.997)</f>
        <v>137.997</v>
      </c>
      <c r="G546" s="11">
        <f>IFERROR(__xludf.DUMMYFUNCTION("""COMPUTED_VALUE"""),211.437)</f>
        <v>211.437</v>
      </c>
      <c r="H546" s="11">
        <f>IFERROR(__xludf.DUMMYFUNCTION("""COMPUTED_VALUE"""),204.97)</f>
        <v>204.97</v>
      </c>
      <c r="I546" s="15"/>
      <c r="J546" s="15"/>
      <c r="K546" s="15"/>
      <c r="L546" s="15"/>
      <c r="M546" s="7"/>
      <c r="N546" s="10"/>
      <c r="O546" s="10"/>
      <c r="P546" s="8"/>
      <c r="Q546" s="7"/>
      <c r="R546" s="16"/>
      <c r="S546" s="17"/>
      <c r="T546" s="8"/>
      <c r="U546" s="8"/>
      <c r="V546" s="22"/>
      <c r="W546" s="12"/>
      <c r="X546" s="12"/>
      <c r="Y546" s="12"/>
      <c r="Z546" s="12"/>
      <c r="AA546" s="7"/>
      <c r="AB546" s="12"/>
      <c r="AC546" s="6"/>
      <c r="AD546" s="6"/>
      <c r="AE546" s="7"/>
      <c r="AF546" s="7"/>
      <c r="AG546" s="7"/>
      <c r="AH546" s="7"/>
      <c r="AI546" s="7"/>
      <c r="AJ546" s="7"/>
      <c r="AK546" s="7"/>
      <c r="AL546" s="7"/>
      <c r="AM546" s="7"/>
      <c r="AN546" s="7"/>
      <c r="AO546" s="6"/>
      <c r="AP546" s="7"/>
      <c r="AQ546" s="7"/>
      <c r="AR546" s="6"/>
      <c r="AS546" s="7"/>
      <c r="AT546" s="7"/>
      <c r="AU546" s="7"/>
      <c r="AV546" s="7"/>
      <c r="AW546" s="7"/>
      <c r="AX546" s="7"/>
      <c r="AY546" s="7"/>
      <c r="AZ546" s="7"/>
      <c r="BA546" s="7"/>
      <c r="BB546" s="7"/>
      <c r="BC546" s="7"/>
      <c r="BD546" s="7"/>
      <c r="BE546" s="7"/>
      <c r="BF546" s="7"/>
      <c r="BG546" s="7"/>
    </row>
    <row r="547" customHeight="1" spans="1:59">
      <c r="A547" s="9" t="str">
        <f>IFERROR(__xludf.DUMMYFUNCTION("""COMPUTED_VALUE"""),"Ita 38")</f>
        <v>Ita 38</v>
      </c>
      <c r="B547" s="5" t="str">
        <f>IFERROR(__xludf.DUMMYFUNCTION("""COMPUTED_VALUE"""),"Ita 43")</f>
        <v>Ita 43</v>
      </c>
      <c r="C547" s="9" t="str">
        <f>IFERROR(__xludf.DUMMYFUNCTION("""COMPUTED_VALUE"""),"Ita 21")</f>
        <v>Ita 21</v>
      </c>
      <c r="D547" s="5" t="str">
        <f>IFERROR(__xludf.DUMMYFUNCTION("""COMPUTED_VALUE"""),"Constellation Wreck")</f>
        <v>Constellation Wreck</v>
      </c>
      <c r="E547" s="7" t="str">
        <f>IFERROR(__xludf.DUMMYFUNCTION("""COMPUTED_VALUE"""),"Constellation D")</f>
        <v>Constellation D</v>
      </c>
      <c r="F547" s="11">
        <f>IFERROR(__xludf.DUMMYFUNCTION("""COMPUTED_VALUE"""),216.187609743)</f>
        <v>216.187609743</v>
      </c>
      <c r="G547" s="11">
        <f>IFERROR(__xludf.DUMMYFUNCTION("""COMPUTED_VALUE"""),-74.0244923129999)</f>
        <v>-74.0244923129999</v>
      </c>
      <c r="H547" s="11">
        <f>IFERROR(__xludf.DUMMYFUNCTION("""COMPUTED_VALUE"""),230.961625392999)</f>
        <v>230.961625392999</v>
      </c>
      <c r="I547" s="15"/>
      <c r="J547" s="15"/>
      <c r="K547" s="15"/>
      <c r="L547" s="15"/>
      <c r="M547" s="7" t="b">
        <f>IFERROR(__xludf.DUMMYFUNCTION("""COMPUTED_VALUE"""),FALSE)</f>
        <v>0</v>
      </c>
      <c r="N547" s="10">
        <f>IFERROR(__xludf.DUMMYFUNCTION("""COMPUTED_VALUE"""),0)</f>
        <v>0</v>
      </c>
      <c r="O547" s="10">
        <f>IFERROR(__xludf.DUMMYFUNCTION("""COMPUTED_VALUE"""),0)</f>
        <v>0</v>
      </c>
      <c r="P547" s="8"/>
      <c r="Q547" s="7"/>
      <c r="R547" s="16"/>
      <c r="S547" s="17"/>
      <c r="T547" s="8"/>
      <c r="U547" s="8"/>
      <c r="V547" s="22"/>
      <c r="W547" s="12"/>
      <c r="X547" s="12"/>
      <c r="Y547" s="12"/>
      <c r="Z547" s="12"/>
      <c r="AA547" s="7"/>
      <c r="AB547" s="12"/>
      <c r="AC547" s="6"/>
      <c r="AD547" s="6"/>
      <c r="AE547" s="7"/>
      <c r="AF547" s="7"/>
      <c r="AG547" s="7"/>
      <c r="AH547" s="7"/>
      <c r="AI547" s="7"/>
      <c r="AJ547" s="7"/>
      <c r="AK547" s="7"/>
      <c r="AL547" s="7"/>
      <c r="AM547" s="7"/>
      <c r="AN547" s="7"/>
      <c r="AO547" s="6"/>
      <c r="AP547" s="7"/>
      <c r="AQ547" s="7"/>
      <c r="AR547" s="6"/>
      <c r="AS547" s="7"/>
      <c r="AT547" s="7"/>
      <c r="AU547" s="7"/>
      <c r="AV547" s="7"/>
      <c r="AW547" s="7"/>
      <c r="AX547" s="7"/>
      <c r="AY547" s="7"/>
      <c r="AZ547" s="7"/>
      <c r="BA547" s="7"/>
      <c r="BB547" s="7"/>
      <c r="BC547" s="7"/>
      <c r="BD547" s="7"/>
      <c r="BE547" s="7"/>
      <c r="BF547" s="7"/>
      <c r="BG547" s="7"/>
    </row>
    <row r="548" customHeight="1" spans="1:59">
      <c r="A548" s="9" t="str">
        <f>IFERROR(__xludf.DUMMYFUNCTION("""COMPUTED_VALUE"""),"Ita 39")</f>
        <v>Ita 39</v>
      </c>
      <c r="B548" s="5" t="str">
        <f>IFERROR(__xludf.DUMMYFUNCTION("""COMPUTED_VALUE"""),"Ita 44")</f>
        <v>Ita 44</v>
      </c>
      <c r="C548" s="9" t="str">
        <f>IFERROR(__xludf.DUMMYFUNCTION("""COMPUTED_VALUE"""),"Ita 01")</f>
        <v>Ita 01</v>
      </c>
      <c r="D548" s="5" t="str">
        <f>IFERROR(__xludf.DUMMYFUNCTION("""COMPUTED_VALUE"""),"Freelancer Wreck")</f>
        <v>Freelancer Wreck</v>
      </c>
      <c r="E548" s="7" t="str">
        <f>IFERROR(__xludf.DUMMYFUNCTION("""COMPUTED_VALUE"""),"Freelancer")</f>
        <v>Freelancer</v>
      </c>
      <c r="F548" s="11">
        <f>IFERROR(__xludf.DUMMYFUNCTION("""COMPUTED_VALUE"""),-311.306834008999)</f>
        <v>-311.306834008999</v>
      </c>
      <c r="G548" s="11">
        <f>IFERROR(__xludf.DUMMYFUNCTION("""COMPUTED_VALUE"""),0.474061417)</f>
        <v>0.474061417</v>
      </c>
      <c r="H548" s="11">
        <f>IFERROR(__xludf.DUMMYFUNCTION("""COMPUTED_VALUE"""),-94.344778298)</f>
        <v>-94.344778298</v>
      </c>
      <c r="I548" s="15"/>
      <c r="J548" s="15"/>
      <c r="K548" s="15"/>
      <c r="L548" s="15"/>
      <c r="M548" s="7" t="b">
        <f>IFERROR(__xludf.DUMMYFUNCTION("""COMPUTED_VALUE"""),FALSE)</f>
        <v>0</v>
      </c>
      <c r="N548" s="10">
        <f>IFERROR(__xludf.DUMMYFUNCTION("""COMPUTED_VALUE"""),0)</f>
        <v>0</v>
      </c>
      <c r="O548" s="10">
        <f>IFERROR(__xludf.DUMMYFUNCTION("""COMPUTED_VALUE"""),0)</f>
        <v>0</v>
      </c>
      <c r="P548" s="8"/>
      <c r="Q548" s="7"/>
      <c r="R548" s="16"/>
      <c r="S548" s="17"/>
      <c r="T548" s="8"/>
      <c r="U548" s="8"/>
      <c r="V548" s="22"/>
      <c r="W548" s="12"/>
      <c r="X548" s="12"/>
      <c r="Y548" s="12"/>
      <c r="Z548" s="12"/>
      <c r="AA548" s="7"/>
      <c r="AB548" s="12"/>
      <c r="AC548" s="6"/>
      <c r="AD548" s="6"/>
      <c r="AE548" s="7"/>
      <c r="AF548" s="7"/>
      <c r="AG548" s="7"/>
      <c r="AH548" s="7"/>
      <c r="AI548" s="7"/>
      <c r="AJ548" s="7"/>
      <c r="AK548" s="7"/>
      <c r="AL548" s="7"/>
      <c r="AM548" s="7"/>
      <c r="AN548" s="7"/>
      <c r="AO548" s="6"/>
      <c r="AP548" s="7"/>
      <c r="AQ548" s="7"/>
      <c r="AR548" s="6"/>
      <c r="AS548" s="7"/>
      <c r="AT548" s="7"/>
      <c r="AU548" s="7"/>
      <c r="AV548" s="7"/>
      <c r="AW548" s="7"/>
      <c r="AX548" s="7"/>
      <c r="AY548" s="7"/>
      <c r="AZ548" s="7"/>
      <c r="BA548" s="7"/>
      <c r="BB548" s="7"/>
      <c r="BC548" s="7"/>
      <c r="BD548" s="7"/>
      <c r="BE548" s="7"/>
      <c r="BF548" s="7"/>
      <c r="BG548" s="7"/>
    </row>
    <row r="549" customHeight="1" spans="1:59">
      <c r="A549" s="9" t="str">
        <f>IFERROR(__xludf.DUMMYFUNCTION("""COMPUTED_VALUE"""),"Ita 40")</f>
        <v>Ita 40</v>
      </c>
      <c r="B549" s="5" t="str">
        <f>IFERROR(__xludf.DUMMYFUNCTION("""COMPUTED_VALUE"""),"Ita 45")</f>
        <v>Ita 45</v>
      </c>
      <c r="C549" s="9" t="str">
        <f>IFERROR(__xludf.DUMMYFUNCTION("""COMPUTED_VALUE"""),"Ita 20")</f>
        <v>Ita 20</v>
      </c>
      <c r="D549" s="5" t="str">
        <f>IFERROR(__xludf.DUMMYFUNCTION("""COMPUTED_VALUE"""),"Starfarer Wreck")</f>
        <v>Starfarer Wreck</v>
      </c>
      <c r="E549" s="7" t="str">
        <f>IFERROR(__xludf.DUMMYFUNCTION("""COMPUTED_VALUE"""),"Starfarer")</f>
        <v>Starfarer</v>
      </c>
      <c r="F549" s="11">
        <f>IFERROR(__xludf.DUMMYFUNCTION("""COMPUTED_VALUE"""),270.671973854999)</f>
        <v>270.671973854999</v>
      </c>
      <c r="G549" s="11">
        <f>IFERROR(__xludf.DUMMYFUNCTION("""COMPUTED_VALUE"""),-86.652134447)</f>
        <v>-86.652134447</v>
      </c>
      <c r="H549" s="11">
        <f>IFERROR(__xludf.DUMMYFUNCTION("""COMPUTED_VALUE"""),-158.135393607)</f>
        <v>-158.135393607</v>
      </c>
      <c r="I549" s="15"/>
      <c r="J549" s="15"/>
      <c r="K549" s="15"/>
      <c r="L549" s="15"/>
      <c r="M549" s="7" t="b">
        <f>IFERROR(__xludf.DUMMYFUNCTION("""COMPUTED_VALUE"""),FALSE)</f>
        <v>0</v>
      </c>
      <c r="N549" s="10">
        <f>IFERROR(__xludf.DUMMYFUNCTION("""COMPUTED_VALUE"""),0)</f>
        <v>0</v>
      </c>
      <c r="O549" s="10">
        <f>IFERROR(__xludf.DUMMYFUNCTION("""COMPUTED_VALUE"""),0)</f>
        <v>0</v>
      </c>
      <c r="P549" s="8"/>
      <c r="Q549" s="7"/>
      <c r="R549" s="16"/>
      <c r="S549" s="17"/>
      <c r="T549" s="8"/>
      <c r="U549" s="8"/>
      <c r="V549" s="22"/>
      <c r="W549" s="12"/>
      <c r="X549" s="12"/>
      <c r="Y549" s="12"/>
      <c r="Z549" s="12"/>
      <c r="AA549" s="7"/>
      <c r="AB549" s="12"/>
      <c r="AC549" s="6"/>
      <c r="AD549" s="6"/>
      <c r="AE549" s="7"/>
      <c r="AF549" s="7"/>
      <c r="AG549" s="7"/>
      <c r="AH549" s="7"/>
      <c r="AI549" s="7"/>
      <c r="AJ549" s="7"/>
      <c r="AK549" s="7"/>
      <c r="AL549" s="7"/>
      <c r="AM549" s="7"/>
      <c r="AN549" s="7"/>
      <c r="AO549" s="6"/>
      <c r="AP549" s="7"/>
      <c r="AQ549" s="7"/>
      <c r="AR549" s="6"/>
      <c r="AS549" s="7"/>
      <c r="AT549" s="7"/>
      <c r="AU549" s="7"/>
      <c r="AV549" s="7"/>
      <c r="AW549" s="7"/>
      <c r="AX549" s="7"/>
      <c r="AY549" s="7"/>
      <c r="AZ549" s="7"/>
      <c r="BA549" s="7"/>
      <c r="BB549" s="7"/>
      <c r="BC549" s="7"/>
      <c r="BD549" s="7"/>
      <c r="BE549" s="7"/>
      <c r="BF549" s="7"/>
      <c r="BG549" s="7"/>
    </row>
    <row r="550" customHeight="1" spans="1:59">
      <c r="A550" s="9" t="str">
        <f>IFERROR(__xludf.DUMMYFUNCTION("""COMPUTED_VALUE"""),"Ita")</f>
        <v>Ita</v>
      </c>
      <c r="B550" s="5" t="str">
        <f>IFERROR(__xludf.DUMMYFUNCTION("""COMPUTED_VALUE"""),"Ita 47")</f>
        <v>Ita 47</v>
      </c>
      <c r="C550" s="9"/>
      <c r="D550" s="5" t="str">
        <f>IFERROR(__xludf.DUMMYFUNCTION("""COMPUTED_VALUE"""),"Comm Array")</f>
        <v>Comm Array</v>
      </c>
      <c r="E550" s="7"/>
      <c r="F550" s="11"/>
      <c r="G550" s="11"/>
      <c r="H550" s="11"/>
      <c r="I550" s="15"/>
      <c r="J550" s="15"/>
      <c r="K550" s="15"/>
      <c r="L550" s="15"/>
      <c r="M550" s="7"/>
      <c r="N550" s="10"/>
      <c r="O550" s="10"/>
      <c r="P550" s="8"/>
      <c r="Q550" s="7"/>
      <c r="R550" s="16"/>
      <c r="S550" s="17"/>
      <c r="T550" s="8"/>
      <c r="U550" s="8"/>
      <c r="V550" s="22"/>
      <c r="W550" s="12"/>
      <c r="X550" s="12"/>
      <c r="Y550" s="12"/>
      <c r="Z550" s="12"/>
      <c r="AA550" s="7"/>
      <c r="AB550" s="12"/>
      <c r="AC550" s="6"/>
      <c r="AD550" s="6"/>
      <c r="AE550" s="7"/>
      <c r="AF550" s="7"/>
      <c r="AG550" s="7"/>
      <c r="AH550" s="7"/>
      <c r="AI550" s="7"/>
      <c r="AJ550" s="7"/>
      <c r="AK550" s="7"/>
      <c r="AL550" s="7"/>
      <c r="AM550" s="7"/>
      <c r="AN550" s="7"/>
      <c r="AO550" s="6"/>
      <c r="AP550" s="7"/>
      <c r="AQ550" s="7"/>
      <c r="AR550" s="6"/>
      <c r="AS550" s="7"/>
      <c r="AT550" s="7"/>
      <c r="AU550" s="7"/>
      <c r="AV550" s="7"/>
      <c r="AW550" s="7"/>
      <c r="AX550" s="7"/>
      <c r="AY550" s="7"/>
      <c r="AZ550" s="7"/>
      <c r="BA550" s="7"/>
      <c r="BB550" s="7"/>
      <c r="BC550" s="7"/>
      <c r="BD550" s="7"/>
      <c r="BE550" s="7"/>
      <c r="BF550" s="7"/>
      <c r="BG550" s="7"/>
    </row>
    <row r="551" customHeight="1" spans="1:59">
      <c r="A551" s="9" t="str">
        <f>IFERROR(__xludf.DUMMYFUNCTION("""COMPUTED_VALUE"""),"Ita 03")</f>
        <v>Ita 03</v>
      </c>
      <c r="B551" s="5" t="str">
        <f>IFERROR(__xludf.DUMMYFUNCTION("""COMPUTED_VALUE"""),"Ita 48")</f>
        <v>Ita 48</v>
      </c>
      <c r="C551" s="9" t="str">
        <f>IFERROR(__xludf.DUMMYFUNCTION("""COMPUTED_VALUE"""),"Ita 30")</f>
        <v>Ita 30</v>
      </c>
      <c r="D551" s="5" t="str">
        <f>IFERROR(__xludf.DUMMYFUNCTION("""COMPUTED_VALUE"""),"Comm Array ST1-02")</f>
        <v>Comm Array ST1-02</v>
      </c>
      <c r="E551" s="7" t="str">
        <f>IFERROR(__xludf.DUMMYFUNCTION("""COMPUTED_VALUE"""),"ST1-02")</f>
        <v>ST1-02</v>
      </c>
      <c r="F551" s="8">
        <f>IFERROR(__xludf.DUMMYFUNCTION("""COMPUTED_VALUE"""),122.153162700653)</f>
        <v>122.153162700653</v>
      </c>
      <c r="G551" s="8">
        <f>IFERROR(__xludf.DUMMYFUNCTION("""COMPUTED_VALUE"""),-475.820550621003)</f>
        <v>-475.820550621003</v>
      </c>
      <c r="H551" s="8">
        <f>IFERROR(__xludf.DUMMYFUNCTION("""COMPUTED_VALUE"""),24)</f>
        <v>24</v>
      </c>
      <c r="I551" s="14"/>
      <c r="J551" s="14"/>
      <c r="K551" s="14"/>
      <c r="L551" s="14"/>
      <c r="M551" s="7" t="b">
        <f>IFERROR(__xludf.DUMMYFUNCTION("""COMPUTED_VALUE"""),TRUE)</f>
        <v>1</v>
      </c>
      <c r="N551" s="10">
        <f>IFERROR(__xludf.DUMMYFUNCTION("""COMPUTED_VALUE"""),0)</f>
        <v>0</v>
      </c>
      <c r="O551" s="10">
        <f>IFERROR(__xludf.DUMMYFUNCTION("""COMPUTED_VALUE"""),0)</f>
        <v>0</v>
      </c>
      <c r="P551" s="8"/>
      <c r="Q551" s="7"/>
      <c r="R551" s="16"/>
      <c r="S551" s="17"/>
      <c r="T551" s="8"/>
      <c r="U551" s="8"/>
      <c r="V551" s="22"/>
      <c r="W551" s="12"/>
      <c r="X551" s="12"/>
      <c r="Y551" s="12"/>
      <c r="Z551" s="12"/>
      <c r="AA551" s="7"/>
      <c r="AB551" s="12"/>
      <c r="AC551" s="6"/>
      <c r="AD551" s="6"/>
      <c r="AE551" s="7"/>
      <c r="AF551" s="7"/>
      <c r="AG551" s="7"/>
      <c r="AH551" s="7"/>
      <c r="AI551" s="7"/>
      <c r="AJ551" s="7"/>
      <c r="AK551" s="7"/>
      <c r="AL551" s="7"/>
      <c r="AM551" s="7"/>
      <c r="AN551" s="7"/>
      <c r="AO551" s="6"/>
      <c r="AP551" s="7"/>
      <c r="AQ551" s="7"/>
      <c r="AR551" s="6"/>
      <c r="AS551" s="7"/>
      <c r="AT551" s="7"/>
      <c r="AU551" s="7"/>
      <c r="AV551" s="7"/>
      <c r="AW551" s="7"/>
      <c r="AX551" s="7"/>
      <c r="AY551" s="7"/>
      <c r="AZ551" s="7"/>
      <c r="BA551" s="7"/>
      <c r="BB551" s="7"/>
      <c r="BC551" s="7"/>
      <c r="BD551" s="7"/>
      <c r="BE551" s="7"/>
      <c r="BF551" s="7"/>
      <c r="BG551" s="7"/>
    </row>
    <row r="552" customHeight="1" spans="1:59">
      <c r="A552" s="9"/>
      <c r="B552" s="5"/>
      <c r="C552" s="9"/>
      <c r="D552" s="5"/>
      <c r="E552" s="7"/>
      <c r="F552" s="8"/>
      <c r="G552" s="8"/>
      <c r="H552" s="8"/>
      <c r="I552" s="14"/>
      <c r="J552" s="14"/>
      <c r="K552" s="14"/>
      <c r="L552" s="14"/>
      <c r="M552" s="7"/>
      <c r="N552" s="10"/>
      <c r="O552" s="10"/>
      <c r="P552" s="8"/>
      <c r="Q552" s="7"/>
      <c r="R552" s="16"/>
      <c r="S552" s="17"/>
      <c r="T552" s="8"/>
      <c r="U552" s="8"/>
      <c r="V552" s="22"/>
      <c r="W552" s="12"/>
      <c r="X552" s="12"/>
      <c r="Y552" s="12"/>
      <c r="Z552" s="12"/>
      <c r="AA552" s="7"/>
      <c r="AB552" s="12"/>
      <c r="AC552" s="6"/>
      <c r="AD552" s="6"/>
      <c r="AE552" s="7"/>
      <c r="AF552" s="7"/>
      <c r="AG552" s="7"/>
      <c r="AH552" s="7"/>
      <c r="AI552" s="7"/>
      <c r="AJ552" s="7"/>
      <c r="AK552" s="7"/>
      <c r="AL552" s="7"/>
      <c r="AM552" s="7"/>
      <c r="AN552" s="7"/>
      <c r="AO552" s="6"/>
      <c r="AP552" s="7"/>
      <c r="AQ552" s="7"/>
      <c r="AR552" s="6"/>
      <c r="AS552" s="7"/>
      <c r="AT552" s="7"/>
      <c r="AU552" s="7"/>
      <c r="AV552" s="7"/>
      <c r="AW552" s="7"/>
      <c r="AX552" s="7"/>
      <c r="AY552" s="7"/>
      <c r="AZ552" s="7"/>
      <c r="BA552" s="7"/>
      <c r="BB552" s="7"/>
      <c r="BC552" s="7"/>
      <c r="BD552" s="7"/>
      <c r="BE552" s="7"/>
      <c r="BF552" s="7"/>
      <c r="BG552" s="7"/>
    </row>
    <row r="553" customHeight="1" spans="1:59">
      <c r="A553" s="9" t="str">
        <f>IFERROR(__xludf.DUMMYFUNCTION("""COMPUTED_VALUE"""),"Lyria R01")</f>
        <v>Lyria R01</v>
      </c>
      <c r="B553" s="5" t="str">
        <f>IFERROR(__xludf.DUMMYFUNCTION("""COMPUTED_VALUE"""),"Lyria 35")</f>
        <v>Lyria 35</v>
      </c>
      <c r="C553" s="9"/>
      <c r="D553" s="5" t="str">
        <f>IFERROR(__xludf.DUMMYFUNCTION("""COMPUTED_VALUE"""),"OM-1")</f>
        <v>OM-1</v>
      </c>
      <c r="E553" s="7" t="str">
        <f>IFERROR(__xludf.DUMMYFUNCTION("""COMPUTED_VALUE"""),"OM1")</f>
        <v>OM1</v>
      </c>
      <c r="F553" s="8">
        <f>IFERROR(__xludf.DUMMYFUNCTION("""COMPUTED_VALUE"""),0)</f>
        <v>0</v>
      </c>
      <c r="G553" s="8">
        <f>IFERROR(__xludf.DUMMYFUNCTION("""COMPUTED_VALUE"""),0)</f>
        <v>0</v>
      </c>
      <c r="H553" s="8">
        <f>IFERROR(__xludf.DUMMYFUNCTION("""COMPUTED_VALUE"""),328.204)</f>
        <v>328.204</v>
      </c>
      <c r="I553" s="14"/>
      <c r="J553" s="14"/>
      <c r="K553" s="14"/>
      <c r="L553" s="14"/>
      <c r="M553" s="7" t="b">
        <f>IFERROR(__xludf.DUMMYFUNCTION("""COMPUTED_VALUE"""),TRUE)</f>
        <v>1</v>
      </c>
      <c r="N553" s="10">
        <f>IFERROR(__xludf.DUMMYFUNCTION("""COMPUTED_VALUE"""),0)</f>
        <v>0</v>
      </c>
      <c r="O553" s="10">
        <f>IFERROR(__xludf.DUMMYFUNCTION("""COMPUTED_VALUE"""),0)</f>
        <v>0</v>
      </c>
      <c r="P553" s="8"/>
      <c r="Q553" s="7"/>
      <c r="R553" s="16"/>
      <c r="S553" s="17"/>
      <c r="T553" s="8"/>
      <c r="U553" s="8"/>
      <c r="V553" s="22"/>
      <c r="W553" s="12"/>
      <c r="X553" s="12"/>
      <c r="Y553" s="12"/>
      <c r="Z553" s="12"/>
      <c r="AA553" s="7"/>
      <c r="AB553" s="12"/>
      <c r="AC553" s="6"/>
      <c r="AD553" s="6"/>
      <c r="AE553" s="7"/>
      <c r="AF553" s="7"/>
      <c r="AG553" s="7"/>
      <c r="AH553" s="7"/>
      <c r="AI553" s="7"/>
      <c r="AJ553" s="7"/>
      <c r="AK553" s="7"/>
      <c r="AL553" s="7"/>
      <c r="AM553" s="7"/>
      <c r="AN553" s="7"/>
      <c r="AO553" s="6"/>
      <c r="AP553" s="7"/>
      <c r="AQ553" s="7"/>
      <c r="AR553" s="6"/>
      <c r="AS553" s="7"/>
      <c r="AT553" s="7"/>
      <c r="AU553" s="7"/>
      <c r="AV553" s="7"/>
      <c r="AW553" s="7"/>
      <c r="AX553" s="7"/>
      <c r="AY553" s="7"/>
      <c r="AZ553" s="7"/>
      <c r="BA553" s="7"/>
      <c r="BB553" s="7"/>
      <c r="BC553" s="7"/>
      <c r="BD553" s="7"/>
      <c r="BE553" s="7"/>
      <c r="BF553" s="7"/>
      <c r="BG553" s="7"/>
    </row>
    <row r="554" customHeight="1" spans="1:59">
      <c r="A554" s="9" t="str">
        <f>IFERROR(__xludf.DUMMYFUNCTION("""COMPUTED_VALUE"""),"Lyria R02")</f>
        <v>Lyria R02</v>
      </c>
      <c r="B554" s="9" t="str">
        <f>IFERROR(__xludf.DUMMYFUNCTION("""COMPUTED_VALUE"""),"Lyria 36")</f>
        <v>Lyria 36</v>
      </c>
      <c r="C554" s="9"/>
      <c r="D554" s="5" t="str">
        <f>IFERROR(__xludf.DUMMYFUNCTION("""COMPUTED_VALUE"""),"OM-2")</f>
        <v>OM-2</v>
      </c>
      <c r="E554" s="7" t="str">
        <f>IFERROR(__xludf.DUMMYFUNCTION("""COMPUTED_VALUE"""),"OM2")</f>
        <v>OM2</v>
      </c>
      <c r="F554" s="11">
        <f>IFERROR(__xludf.DUMMYFUNCTION("""COMPUTED_VALUE"""),0)</f>
        <v>0</v>
      </c>
      <c r="G554" s="11">
        <f>IFERROR(__xludf.DUMMYFUNCTION("""COMPUTED_VALUE"""),0)</f>
        <v>0</v>
      </c>
      <c r="H554" s="11">
        <f>IFERROR(__xludf.DUMMYFUNCTION("""COMPUTED_VALUE"""),-328.204)</f>
        <v>-328.204</v>
      </c>
      <c r="I554" s="15"/>
      <c r="J554" s="15"/>
      <c r="K554" s="15"/>
      <c r="L554" s="15"/>
      <c r="M554" s="7" t="b">
        <f>IFERROR(__xludf.DUMMYFUNCTION("""COMPUTED_VALUE"""),TRUE)</f>
        <v>1</v>
      </c>
      <c r="N554" s="10">
        <f>IFERROR(__xludf.DUMMYFUNCTION("""COMPUTED_VALUE"""),0)</f>
        <v>0</v>
      </c>
      <c r="O554" s="10">
        <f>IFERROR(__xludf.DUMMYFUNCTION("""COMPUTED_VALUE"""),0)</f>
        <v>0</v>
      </c>
      <c r="P554" s="8"/>
      <c r="Q554" s="7"/>
      <c r="R554" s="16"/>
      <c r="S554" s="17"/>
      <c r="T554" s="8"/>
      <c r="U554" s="8"/>
      <c r="V554" s="22"/>
      <c r="W554" s="12"/>
      <c r="X554" s="12"/>
      <c r="Y554" s="12"/>
      <c r="Z554" s="12"/>
      <c r="AA554" s="7"/>
      <c r="AB554" s="12"/>
      <c r="AC554" s="6"/>
      <c r="AD554" s="6"/>
      <c r="AE554" s="7"/>
      <c r="AF554" s="7"/>
      <c r="AG554" s="7"/>
      <c r="AH554" s="7"/>
      <c r="AI554" s="7"/>
      <c r="AJ554" s="7"/>
      <c r="AK554" s="7"/>
      <c r="AL554" s="7"/>
      <c r="AM554" s="7"/>
      <c r="AN554" s="7"/>
      <c r="AO554" s="6"/>
      <c r="AP554" s="7"/>
      <c r="AQ554" s="7"/>
      <c r="AR554" s="6"/>
      <c r="AS554" s="7"/>
      <c r="AT554" s="7"/>
      <c r="AU554" s="7"/>
      <c r="AV554" s="7"/>
      <c r="AW554" s="7"/>
      <c r="AX554" s="7"/>
      <c r="AY554" s="7"/>
      <c r="AZ554" s="7"/>
      <c r="BA554" s="7"/>
      <c r="BB554" s="7"/>
      <c r="BC554" s="7"/>
      <c r="BD554" s="7"/>
      <c r="BE554" s="7"/>
      <c r="BF554" s="7"/>
      <c r="BG554" s="7"/>
    </row>
    <row r="555" customHeight="1" spans="1:59">
      <c r="A555" s="9" t="str">
        <f>IFERROR(__xludf.DUMMYFUNCTION("""COMPUTED_VALUE"""),"Lyria R03")</f>
        <v>Lyria R03</v>
      </c>
      <c r="B555" s="9" t="str">
        <f>IFERROR(__xludf.DUMMYFUNCTION("""COMPUTED_VALUE"""),"Lyria 37")</f>
        <v>Lyria 37</v>
      </c>
      <c r="C555" s="9" t="str">
        <f>IFERROR(__xludf.DUMMYFUNCTION("""COMPUTED_VALUE"""),"Lyria 07")</f>
        <v>Lyria 07</v>
      </c>
      <c r="D555" s="5" t="str">
        <f>IFERROR(__xludf.DUMMYFUNCTION("""COMPUTED_VALUE"""),"OM-3")</f>
        <v>OM-3</v>
      </c>
      <c r="E555" s="6" t="str">
        <f>IFERROR(__xludf.DUMMYFUNCTION("""COMPUTED_VALUE"""),"OM3")</f>
        <v>OM3</v>
      </c>
      <c r="F555" s="11">
        <f>IFERROR(__xludf.DUMMYFUNCTION("""COMPUTED_VALUE"""),0)</f>
        <v>0</v>
      </c>
      <c r="G555" s="11">
        <f>IFERROR(__xludf.DUMMYFUNCTION("""COMPUTED_VALUE"""),328.204)</f>
        <v>328.204</v>
      </c>
      <c r="H555" s="11">
        <f>IFERROR(__xludf.DUMMYFUNCTION("""COMPUTED_VALUE"""),0)</f>
        <v>0</v>
      </c>
      <c r="I555" s="15"/>
      <c r="J555" s="15"/>
      <c r="K555" s="15"/>
      <c r="L555" s="15"/>
      <c r="M555" s="7" t="b">
        <f>IFERROR(__xludf.DUMMYFUNCTION("""COMPUTED_VALUE"""),TRUE)</f>
        <v>1</v>
      </c>
      <c r="N555" s="10">
        <f>IFERROR(__xludf.DUMMYFUNCTION("""COMPUTED_VALUE"""),0)</f>
        <v>0</v>
      </c>
      <c r="O555" s="10">
        <f>IFERROR(__xludf.DUMMYFUNCTION("""COMPUTED_VALUE"""),0)</f>
        <v>0</v>
      </c>
      <c r="P555" s="8"/>
      <c r="Q555" s="7"/>
      <c r="R555" s="16"/>
      <c r="S555" s="17"/>
      <c r="T555" s="8"/>
      <c r="U555" s="8"/>
      <c r="V555" s="22"/>
      <c r="W555" s="12"/>
      <c r="X555" s="12"/>
      <c r="Y555" s="12"/>
      <c r="Z555" s="12"/>
      <c r="AA555" s="7"/>
      <c r="AB555" s="12"/>
      <c r="AC555" s="6"/>
      <c r="AD555" s="6"/>
      <c r="AE555" s="7"/>
      <c r="AF555" s="7"/>
      <c r="AG555" s="7"/>
      <c r="AH555" s="7"/>
      <c r="AI555" s="7"/>
      <c r="AJ555" s="7"/>
      <c r="AK555" s="7"/>
      <c r="AL555" s="7"/>
      <c r="AM555" s="7"/>
      <c r="AN555" s="7"/>
      <c r="AO555" s="6"/>
      <c r="AP555" s="7"/>
      <c r="AQ555" s="7"/>
      <c r="AR555" s="6"/>
      <c r="AS555" s="7"/>
      <c r="AT555" s="7"/>
      <c r="AU555" s="7"/>
      <c r="AV555" s="7"/>
      <c r="AW555" s="7"/>
      <c r="AX555" s="7"/>
      <c r="AY555" s="7"/>
      <c r="AZ555" s="7"/>
      <c r="BA555" s="7"/>
      <c r="BB555" s="7"/>
      <c r="BC555" s="7"/>
      <c r="BD555" s="7"/>
      <c r="BE555" s="7"/>
      <c r="BF555" s="7"/>
      <c r="BG555" s="7"/>
    </row>
    <row r="556" customHeight="1" spans="1:59">
      <c r="A556" s="9" t="str">
        <f>IFERROR(__xludf.DUMMYFUNCTION("""COMPUTED_VALUE"""),"Lyria R04")</f>
        <v>Lyria R04</v>
      </c>
      <c r="B556" s="9" t="str">
        <f>IFERROR(__xludf.DUMMYFUNCTION("""COMPUTED_VALUE"""),"Lyria 38")</f>
        <v>Lyria 38</v>
      </c>
      <c r="C556" s="9" t="str">
        <f>IFERROR(__xludf.DUMMYFUNCTION("""COMPUTED_VALUE"""),"Lyria 22")</f>
        <v>Lyria 22</v>
      </c>
      <c r="D556" s="5" t="str">
        <f>IFERROR(__xludf.DUMMYFUNCTION("""COMPUTED_VALUE"""),"OM-4")</f>
        <v>OM-4</v>
      </c>
      <c r="E556" s="7" t="str">
        <f>IFERROR(__xludf.DUMMYFUNCTION("""COMPUTED_VALUE"""),"OM4")</f>
        <v>OM4</v>
      </c>
      <c r="F556" s="11">
        <f>IFERROR(__xludf.DUMMYFUNCTION("""COMPUTED_VALUE"""),0)</f>
        <v>0</v>
      </c>
      <c r="G556" s="11">
        <f>IFERROR(__xludf.DUMMYFUNCTION("""COMPUTED_VALUE"""),-328.204)</f>
        <v>-328.204</v>
      </c>
      <c r="H556" s="11">
        <f>IFERROR(__xludf.DUMMYFUNCTION("""COMPUTED_VALUE"""),0)</f>
        <v>0</v>
      </c>
      <c r="I556" s="15"/>
      <c r="J556" s="15"/>
      <c r="K556" s="15"/>
      <c r="L556" s="15"/>
      <c r="M556" s="7" t="b">
        <f>IFERROR(__xludf.DUMMYFUNCTION("""COMPUTED_VALUE"""),TRUE)</f>
        <v>1</v>
      </c>
      <c r="N556" s="10">
        <f>IFERROR(__xludf.DUMMYFUNCTION("""COMPUTED_VALUE"""),0)</f>
        <v>0</v>
      </c>
      <c r="O556" s="10">
        <f>IFERROR(__xludf.DUMMYFUNCTION("""COMPUTED_VALUE"""),0)</f>
        <v>0</v>
      </c>
      <c r="P556" s="8"/>
      <c r="Q556" s="7"/>
      <c r="R556" s="16"/>
      <c r="S556" s="17"/>
      <c r="T556" s="8"/>
      <c r="U556" s="8"/>
      <c r="V556" s="22"/>
      <c r="W556" s="12"/>
      <c r="X556" s="12"/>
      <c r="Y556" s="12"/>
      <c r="Z556" s="12"/>
      <c r="AA556" s="7"/>
      <c r="AB556" s="12"/>
      <c r="AC556" s="6"/>
      <c r="AD556" s="6"/>
      <c r="AE556" s="7"/>
      <c r="AF556" s="7"/>
      <c r="AG556" s="7"/>
      <c r="AH556" s="7"/>
      <c r="AI556" s="7"/>
      <c r="AJ556" s="7"/>
      <c r="AK556" s="7"/>
      <c r="AL556" s="7"/>
      <c r="AM556" s="7"/>
      <c r="AN556" s="7"/>
      <c r="AO556" s="6"/>
      <c r="AP556" s="7"/>
      <c r="AQ556" s="7"/>
      <c r="AR556" s="6"/>
      <c r="AS556" s="7"/>
      <c r="AT556" s="7"/>
      <c r="AU556" s="7"/>
      <c r="AV556" s="7"/>
      <c r="AW556" s="7"/>
      <c r="AX556" s="7"/>
      <c r="AY556" s="7"/>
      <c r="AZ556" s="7"/>
      <c r="BA556" s="7"/>
      <c r="BB556" s="7"/>
      <c r="BC556" s="7"/>
      <c r="BD556" s="7"/>
      <c r="BE556" s="7"/>
      <c r="BF556" s="7"/>
      <c r="BG556" s="7"/>
    </row>
    <row r="557" customHeight="1" spans="1:59">
      <c r="A557" s="9" t="str">
        <f>IFERROR(__xludf.DUMMYFUNCTION("""COMPUTED_VALUE"""),"Lyria R05")</f>
        <v>Lyria R05</v>
      </c>
      <c r="B557" s="9" t="str">
        <f>IFERROR(__xludf.DUMMYFUNCTION("""COMPUTED_VALUE"""),"Lyria 39")</f>
        <v>Lyria 39</v>
      </c>
      <c r="C557" s="9" t="str">
        <f>IFERROR(__xludf.DUMMYFUNCTION("""COMPUTED_VALUE"""),"Lyria 13")</f>
        <v>Lyria 13</v>
      </c>
      <c r="D557" s="5" t="str">
        <f>IFERROR(__xludf.DUMMYFUNCTION("""COMPUTED_VALUE"""),"OM-5")</f>
        <v>OM-5</v>
      </c>
      <c r="E557" s="7" t="str">
        <f>IFERROR(__xludf.DUMMYFUNCTION("""COMPUTED_VALUE"""),"OM5")</f>
        <v>OM5</v>
      </c>
      <c r="F557" s="11">
        <f>IFERROR(__xludf.DUMMYFUNCTION("""COMPUTED_VALUE"""),328.204)</f>
        <v>328.204</v>
      </c>
      <c r="G557" s="11">
        <f>IFERROR(__xludf.DUMMYFUNCTION("""COMPUTED_VALUE"""),0)</f>
        <v>0</v>
      </c>
      <c r="H557" s="11">
        <f>IFERROR(__xludf.DUMMYFUNCTION("""COMPUTED_VALUE"""),0)</f>
        <v>0</v>
      </c>
      <c r="I557" s="15"/>
      <c r="J557" s="15"/>
      <c r="K557" s="15"/>
      <c r="L557" s="15"/>
      <c r="M557" s="7" t="b">
        <f>IFERROR(__xludf.DUMMYFUNCTION("""COMPUTED_VALUE"""),TRUE)</f>
        <v>1</v>
      </c>
      <c r="N557" s="10">
        <f>IFERROR(__xludf.DUMMYFUNCTION("""COMPUTED_VALUE"""),0)</f>
        <v>0</v>
      </c>
      <c r="O557" s="10">
        <f>IFERROR(__xludf.DUMMYFUNCTION("""COMPUTED_VALUE"""),0)</f>
        <v>0</v>
      </c>
      <c r="P557" s="8"/>
      <c r="Q557" s="7"/>
      <c r="R557" s="16"/>
      <c r="S557" s="17"/>
      <c r="T557" s="8"/>
      <c r="U557" s="8"/>
      <c r="V557" s="22"/>
      <c r="W557" s="12"/>
      <c r="X557" s="12"/>
      <c r="Y557" s="12"/>
      <c r="Z557" s="12"/>
      <c r="AA557" s="7"/>
      <c r="AB557" s="12"/>
      <c r="AC557" s="6"/>
      <c r="AD557" s="6"/>
      <c r="AE557" s="7"/>
      <c r="AF557" s="7"/>
      <c r="AG557" s="7"/>
      <c r="AH557" s="7"/>
      <c r="AI557" s="7"/>
      <c r="AJ557" s="7"/>
      <c r="AK557" s="7"/>
      <c r="AL557" s="7"/>
      <c r="AM557" s="7"/>
      <c r="AN557" s="7"/>
      <c r="AO557" s="6"/>
      <c r="AP557" s="7"/>
      <c r="AQ557" s="7"/>
      <c r="AR557" s="6"/>
      <c r="AS557" s="7"/>
      <c r="AT557" s="7"/>
      <c r="AU557" s="7"/>
      <c r="AV557" s="7"/>
      <c r="AW557" s="7"/>
      <c r="AX557" s="7"/>
      <c r="AY557" s="7"/>
      <c r="AZ557" s="7"/>
      <c r="BA557" s="7"/>
      <c r="BB557" s="7"/>
      <c r="BC557" s="7"/>
      <c r="BD557" s="7"/>
      <c r="BE557" s="7"/>
      <c r="BF557" s="7"/>
      <c r="BG557" s="7"/>
    </row>
    <row r="558" customHeight="1" spans="1:59">
      <c r="A558" s="9" t="str">
        <f>IFERROR(__xludf.DUMMYFUNCTION("""COMPUTED_VALUE"""),"Lyria R06")</f>
        <v>Lyria R06</v>
      </c>
      <c r="B558" s="9" t="str">
        <f>IFERROR(__xludf.DUMMYFUNCTION("""COMPUTED_VALUE"""),"Lyria 40")</f>
        <v>Lyria 40</v>
      </c>
      <c r="C558" s="9" t="str">
        <f>IFERROR(__xludf.DUMMYFUNCTION("""COMPUTED_VALUE"""),"Lyria 29")</f>
        <v>Lyria 29</v>
      </c>
      <c r="D558" s="5" t="str">
        <f>IFERROR(__xludf.DUMMYFUNCTION("""COMPUTED_VALUE"""),"OM-6")</f>
        <v>OM-6</v>
      </c>
      <c r="E558" s="7" t="str">
        <f>IFERROR(__xludf.DUMMYFUNCTION("""COMPUTED_VALUE"""),"OM6")</f>
        <v>OM6</v>
      </c>
      <c r="F558" s="11">
        <f>IFERROR(__xludf.DUMMYFUNCTION("""COMPUTED_VALUE"""),-328.204)</f>
        <v>-328.204</v>
      </c>
      <c r="G558" s="11">
        <f>IFERROR(__xludf.DUMMYFUNCTION("""COMPUTED_VALUE"""),0)</f>
        <v>0</v>
      </c>
      <c r="H558" s="11">
        <f>IFERROR(__xludf.DUMMYFUNCTION("""COMPUTED_VALUE"""),0)</f>
        <v>0</v>
      </c>
      <c r="I558" s="15"/>
      <c r="J558" s="15"/>
      <c r="K558" s="15"/>
      <c r="L558" s="15"/>
      <c r="M558" s="7" t="b">
        <f>IFERROR(__xludf.DUMMYFUNCTION("""COMPUTED_VALUE"""),TRUE)</f>
        <v>1</v>
      </c>
      <c r="N558" s="10">
        <f>IFERROR(__xludf.DUMMYFUNCTION("""COMPUTED_VALUE"""),0)</f>
        <v>0</v>
      </c>
      <c r="O558" s="10">
        <f>IFERROR(__xludf.DUMMYFUNCTION("""COMPUTED_VALUE"""),0)</f>
        <v>0</v>
      </c>
      <c r="P558" s="8"/>
      <c r="Q558" s="7"/>
      <c r="R558" s="16"/>
      <c r="S558" s="17"/>
      <c r="T558" s="8"/>
      <c r="U558" s="8"/>
      <c r="V558" s="22"/>
      <c r="W558" s="12"/>
      <c r="X558" s="12"/>
      <c r="Y558" s="12"/>
      <c r="Z558" s="12"/>
      <c r="AA558" s="7"/>
      <c r="AB558" s="12"/>
      <c r="AC558" s="6"/>
      <c r="AD558" s="6"/>
      <c r="AE558" s="7"/>
      <c r="AF558" s="7"/>
      <c r="AG558" s="7"/>
      <c r="AH558" s="7"/>
      <c r="AI558" s="7"/>
      <c r="AJ558" s="7"/>
      <c r="AK558" s="7"/>
      <c r="AL558" s="7"/>
      <c r="AM558" s="7"/>
      <c r="AN558" s="7"/>
      <c r="AO558" s="6"/>
      <c r="AP558" s="7"/>
      <c r="AQ558" s="7"/>
      <c r="AR558" s="6"/>
      <c r="AS558" s="7"/>
      <c r="AT558" s="7"/>
      <c r="AU558" s="7"/>
      <c r="AV558" s="7"/>
      <c r="AW558" s="7"/>
      <c r="AX558" s="7"/>
      <c r="AY558" s="7"/>
      <c r="AZ558" s="7"/>
      <c r="BA558" s="7"/>
      <c r="BB558" s="7"/>
      <c r="BC558" s="7"/>
      <c r="BD558" s="7"/>
      <c r="BE558" s="7"/>
      <c r="BF558" s="7"/>
      <c r="BG558" s="7"/>
    </row>
    <row r="559" customHeight="1" spans="1:59">
      <c r="A559" s="9" t="str">
        <f>IFERROR(__xludf.DUMMYFUNCTION("""COMPUTED_VALUE"""),"Lyria")</f>
        <v>Lyria</v>
      </c>
      <c r="B559" s="9" t="str">
        <f>IFERROR(__xludf.DUMMYFUNCTION("""COMPUTED_VALUE"""),"Lyria 00")</f>
        <v>Lyria 00</v>
      </c>
      <c r="C559" s="9"/>
      <c r="D559" s="5" t="str">
        <f>IFERROR(__xludf.DUMMYFUNCTION("""COMPUTED_VALUE"""),"Trading Terminals")</f>
        <v>Trading Terminals</v>
      </c>
      <c r="E559" s="7"/>
      <c r="F559" s="11"/>
      <c r="G559" s="11"/>
      <c r="H559" s="11"/>
      <c r="I559" s="15"/>
      <c r="J559" s="15"/>
      <c r="K559" s="15"/>
      <c r="L559" s="15"/>
      <c r="M559" s="7"/>
      <c r="N559" s="10"/>
      <c r="O559" s="10"/>
      <c r="P559" s="8"/>
      <c r="Q559" s="7"/>
      <c r="R559" s="16"/>
      <c r="S559" s="17"/>
      <c r="T559" s="8"/>
      <c r="U559" s="8"/>
      <c r="V559" s="22"/>
      <c r="W559" s="12"/>
      <c r="X559" s="12"/>
      <c r="Y559" s="12"/>
      <c r="Z559" s="12"/>
      <c r="AA559" s="7"/>
      <c r="AB559" s="12"/>
      <c r="AC559" s="6"/>
      <c r="AD559" s="6"/>
      <c r="AE559" s="7"/>
      <c r="AF559" s="7"/>
      <c r="AG559" s="7"/>
      <c r="AH559" s="7"/>
      <c r="AI559" s="7"/>
      <c r="AJ559" s="7"/>
      <c r="AK559" s="7"/>
      <c r="AL559" s="7"/>
      <c r="AM559" s="7"/>
      <c r="AN559" s="7"/>
      <c r="AO559" s="6"/>
      <c r="AP559" s="7"/>
      <c r="AQ559" s="7"/>
      <c r="AR559" s="6"/>
      <c r="AS559" s="7"/>
      <c r="AT559" s="7"/>
      <c r="AU559" s="7"/>
      <c r="AV559" s="7"/>
      <c r="AW559" s="7"/>
      <c r="AX559" s="7"/>
      <c r="AY559" s="7"/>
      <c r="AZ559" s="7"/>
      <c r="BA559" s="7"/>
      <c r="BB559" s="7"/>
      <c r="BC559" s="7"/>
      <c r="BD559" s="7"/>
      <c r="BE559" s="7"/>
      <c r="BF559" s="7"/>
      <c r="BG559" s="7"/>
    </row>
    <row r="560" customHeight="1" spans="1:59">
      <c r="A560" s="9" t="str">
        <f>IFERROR(__xludf.DUMMYFUNCTION("""COMPUTED_VALUE"""),"Lyria 01")</f>
        <v>Lyria 01</v>
      </c>
      <c r="B560" s="9" t="str">
        <f>IFERROR(__xludf.DUMMYFUNCTION("""COMPUTED_VALUE"""),"Lyria 01")</f>
        <v>Lyria 01</v>
      </c>
      <c r="C560" s="9" t="str">
        <f>IFERROR(__xludf.DUMMYFUNCTION("""COMPUTED_VALUE"""),"Lyria 21")</f>
        <v>Lyria 21</v>
      </c>
      <c r="D560" s="5" t="str">
        <f>IFERROR(__xludf.DUMMYFUNCTION("""COMPUTED_VALUE"""),"Humboldt Mines")</f>
        <v>Humboldt Mines</v>
      </c>
      <c r="E560" s="7" t="str">
        <f>IFERROR(__xludf.DUMMYFUNCTION("""COMPUTED_VALUE"""),"Humboldt")</f>
        <v>Humboldt</v>
      </c>
      <c r="F560" s="11">
        <f>IFERROR(__xludf.DUMMYFUNCTION("""COMPUTED_VALUE"""),5.31071587199999)</f>
        <v>5.31071587199999</v>
      </c>
      <c r="G560" s="11">
        <f>IFERROR(__xludf.DUMMYFUNCTION("""COMPUTED_VALUE"""),-193.818517496999)</f>
        <v>-193.818517496999</v>
      </c>
      <c r="H560" s="11">
        <f>IFERROR(__xludf.DUMMYFUNCTION("""COMPUTED_VALUE"""),-112.544821398999)</f>
        <v>-112.544821398999</v>
      </c>
      <c r="I560" s="15"/>
      <c r="J560" s="15"/>
      <c r="K560" s="15"/>
      <c r="L560" s="15"/>
      <c r="M560" s="7" t="b">
        <f>IFERROR(__xludf.DUMMYFUNCTION("""COMPUTED_VALUE"""),TRUE)</f>
        <v>1</v>
      </c>
      <c r="N560" s="10">
        <f>IFERROR(__xludf.DUMMYFUNCTION("""COMPUTED_VALUE"""),0)</f>
        <v>0</v>
      </c>
      <c r="O560" s="10">
        <f>IFERROR(__xludf.DUMMYFUNCTION("""COMPUTED_VALUE"""),0)</f>
        <v>0</v>
      </c>
      <c r="P560" s="8"/>
      <c r="Q560" s="7"/>
      <c r="R560" s="16"/>
      <c r="S560" s="17"/>
      <c r="T560" s="8"/>
      <c r="U560" s="8"/>
      <c r="V560" s="22"/>
      <c r="W560" s="12"/>
      <c r="X560" s="12"/>
      <c r="Y560" s="12"/>
      <c r="Z560" s="12"/>
      <c r="AA560" s="7"/>
      <c r="AB560" s="12"/>
      <c r="AC560" s="6"/>
      <c r="AD560" s="6"/>
      <c r="AE560" s="7"/>
      <c r="AF560" s="7"/>
      <c r="AG560" s="7"/>
      <c r="AH560" s="7"/>
      <c r="AI560" s="7"/>
      <c r="AJ560" s="7"/>
      <c r="AK560" s="7"/>
      <c r="AL560" s="7"/>
      <c r="AM560" s="7"/>
      <c r="AN560" s="7"/>
      <c r="AO560" s="6"/>
      <c r="AP560" s="7"/>
      <c r="AQ560" s="7"/>
      <c r="AR560" s="6"/>
      <c r="AS560" s="7"/>
      <c r="AT560" s="7"/>
      <c r="AU560" s="7"/>
      <c r="AV560" s="7"/>
      <c r="AW560" s="7"/>
      <c r="AX560" s="7"/>
      <c r="AY560" s="7"/>
      <c r="AZ560" s="7"/>
      <c r="BA560" s="7"/>
      <c r="BB560" s="7"/>
      <c r="BC560" s="7"/>
      <c r="BD560" s="7"/>
      <c r="BE560" s="7"/>
      <c r="BF560" s="7"/>
      <c r="BG560" s="7"/>
    </row>
    <row r="561" customHeight="1" spans="1:59">
      <c r="A561" s="9" t="str">
        <f>IFERROR(__xludf.DUMMYFUNCTION("""COMPUTED_VALUE"""),"Lyria 02")</f>
        <v>Lyria 02</v>
      </c>
      <c r="B561" s="9" t="str">
        <f>IFERROR(__xludf.DUMMYFUNCTION("""COMPUTED_VALUE"""),"Lyria 02")</f>
        <v>Lyria 02</v>
      </c>
      <c r="C561" s="9" t="str">
        <f>IFERROR(__xludf.DUMMYFUNCTION("""COMPUTED_VALUE"""),"Lyria 11")</f>
        <v>Lyria 11</v>
      </c>
      <c r="D561" s="5" t="str">
        <f>IFERROR(__xludf.DUMMYFUNCTION("""COMPUTED_VALUE"""),"Loveridge Mineral Reserve")</f>
        <v>Loveridge Mineral Reserve</v>
      </c>
      <c r="E561" s="7" t="str">
        <f>IFERROR(__xludf.DUMMYFUNCTION("""COMPUTED_VALUE"""),"Loveridge")</f>
        <v>Loveridge</v>
      </c>
      <c r="F561" s="11">
        <f>IFERROR(__xludf.DUMMYFUNCTION("""COMPUTED_VALUE"""),181.799511601)</f>
        <v>181.799511601</v>
      </c>
      <c r="G561" s="11">
        <f>IFERROR(__xludf.DUMMYFUNCTION("""COMPUTED_VALUE"""),128.16648935)</f>
        <v>128.16648935</v>
      </c>
      <c r="H561" s="11">
        <f>IFERROR(__xludf.DUMMYFUNCTION("""COMPUTED_VALUE"""),24.939872495)</f>
        <v>24.939872495</v>
      </c>
      <c r="I561" s="15"/>
      <c r="J561" s="15"/>
      <c r="K561" s="15"/>
      <c r="L561" s="15"/>
      <c r="M561" s="7" t="b">
        <f>IFERROR(__xludf.DUMMYFUNCTION("""COMPUTED_VALUE"""),TRUE)</f>
        <v>1</v>
      </c>
      <c r="N561" s="10">
        <f>IFERROR(__xludf.DUMMYFUNCTION("""COMPUTED_VALUE"""),0)</f>
        <v>0</v>
      </c>
      <c r="O561" s="10">
        <f>IFERROR(__xludf.DUMMYFUNCTION("""COMPUTED_VALUE"""),0)</f>
        <v>0</v>
      </c>
      <c r="P561" s="8"/>
      <c r="Q561" s="7"/>
      <c r="R561" s="16"/>
      <c r="S561" s="17"/>
      <c r="T561" s="8"/>
      <c r="U561" s="8"/>
      <c r="V561" s="22"/>
      <c r="W561" s="12"/>
      <c r="X561" s="12"/>
      <c r="Y561" s="12"/>
      <c r="Z561" s="12"/>
      <c r="AA561" s="7"/>
      <c r="AB561" s="12"/>
      <c r="AC561" s="6"/>
      <c r="AD561" s="6"/>
      <c r="AE561" s="7"/>
      <c r="AF561" s="7"/>
      <c r="AG561" s="7"/>
      <c r="AH561" s="7"/>
      <c r="AI561" s="7"/>
      <c r="AJ561" s="7"/>
      <c r="AK561" s="7"/>
      <c r="AL561" s="7"/>
      <c r="AM561" s="7"/>
      <c r="AN561" s="7"/>
      <c r="AO561" s="6"/>
      <c r="AP561" s="7"/>
      <c r="AQ561" s="7"/>
      <c r="AR561" s="6"/>
      <c r="AS561" s="7"/>
      <c r="AT561" s="7"/>
      <c r="AU561" s="7"/>
      <c r="AV561" s="7"/>
      <c r="AW561" s="7"/>
      <c r="AX561" s="7"/>
      <c r="AY561" s="7"/>
      <c r="AZ561" s="7"/>
      <c r="BA561" s="7"/>
      <c r="BB561" s="7"/>
      <c r="BC561" s="7"/>
      <c r="BD561" s="7"/>
      <c r="BE561" s="7"/>
      <c r="BF561" s="7"/>
      <c r="BG561" s="7"/>
    </row>
    <row r="562" customHeight="1" spans="1:59">
      <c r="A562" s="9" t="str">
        <f>IFERROR(__xludf.DUMMYFUNCTION("""COMPUTED_VALUE"""),"Lyria 03")</f>
        <v>Lyria 03</v>
      </c>
      <c r="B562" s="9" t="str">
        <f>IFERROR(__xludf.DUMMYFUNCTION("""COMPUTED_VALUE"""),"Lyria 03")</f>
        <v>Lyria 03</v>
      </c>
      <c r="C562" s="9" t="str">
        <f>IFERROR(__xludf.DUMMYFUNCTION("""COMPUTED_VALUE"""),"Lyria 15")</f>
        <v>Lyria 15</v>
      </c>
      <c r="D562" s="5" t="str">
        <f>IFERROR(__xludf.DUMMYFUNCTION("""COMPUTED_VALUE"""),"Shubin Mining Facility SAL-2 (PB)")</f>
        <v>Shubin Mining Facility SAL-2 (PB)</v>
      </c>
      <c r="E562" s="7" t="str">
        <f>IFERROR(__xludf.DUMMYFUNCTION("""COMPUTED_VALUE"""),"SAL-2")</f>
        <v>SAL-2</v>
      </c>
      <c r="F562" s="11">
        <f>IFERROR(__xludf.DUMMYFUNCTION("""COMPUTED_VALUE"""),150.635829063)</f>
        <v>150.635829063</v>
      </c>
      <c r="G562" s="11">
        <f>IFERROR(__xludf.DUMMYFUNCTION("""COMPUTED_VALUE"""),-53.619269865)</f>
        <v>-53.619269865</v>
      </c>
      <c r="H562" s="11">
        <f>IFERROR(__xludf.DUMMYFUNCTION("""COMPUTED_VALUE"""),156.6678916)</f>
        <v>156.6678916</v>
      </c>
      <c r="I562" s="15"/>
      <c r="J562" s="15"/>
      <c r="K562" s="15"/>
      <c r="L562" s="15"/>
      <c r="M562" s="7" t="b">
        <f>IFERROR(__xludf.DUMMYFUNCTION("""COMPUTED_VALUE"""),TRUE)</f>
        <v>1</v>
      </c>
      <c r="N562" s="10">
        <f>IFERROR(__xludf.DUMMYFUNCTION("""COMPUTED_VALUE"""),0)</f>
        <v>0</v>
      </c>
      <c r="O562" s="10">
        <f>IFERROR(__xludf.DUMMYFUNCTION("""COMPUTED_VALUE"""),0)</f>
        <v>0</v>
      </c>
      <c r="P562" s="8"/>
      <c r="Q562" s="7"/>
      <c r="R562" s="16"/>
      <c r="S562" s="17"/>
      <c r="T562" s="8"/>
      <c r="U562" s="8"/>
      <c r="V562" s="22"/>
      <c r="W562" s="12"/>
      <c r="X562" s="12"/>
      <c r="Y562" s="12"/>
      <c r="Z562" s="12"/>
      <c r="AA562" s="7"/>
      <c r="AB562" s="12"/>
      <c r="AC562" s="6"/>
      <c r="AD562" s="6"/>
      <c r="AE562" s="7"/>
      <c r="AF562" s="7"/>
      <c r="AG562" s="7"/>
      <c r="AH562" s="7"/>
      <c r="AI562" s="7"/>
      <c r="AJ562" s="7"/>
      <c r="AK562" s="7"/>
      <c r="AL562" s="7"/>
      <c r="AM562" s="7"/>
      <c r="AN562" s="7"/>
      <c r="AO562" s="6"/>
      <c r="AP562" s="7"/>
      <c r="AQ562" s="7"/>
      <c r="AR562" s="6"/>
      <c r="AS562" s="7"/>
      <c r="AT562" s="7"/>
      <c r="AU562" s="7"/>
      <c r="AV562" s="7"/>
      <c r="AW562" s="7"/>
      <c r="AX562" s="7"/>
      <c r="AY562" s="7"/>
      <c r="AZ562" s="7"/>
      <c r="BA562" s="7"/>
      <c r="BB562" s="7"/>
      <c r="BC562" s="7"/>
      <c r="BD562" s="7"/>
      <c r="BE562" s="7"/>
      <c r="BF562" s="7"/>
      <c r="BG562" s="7"/>
    </row>
    <row r="563" customHeight="1" spans="1:59">
      <c r="A563" s="9" t="str">
        <f>IFERROR(__xludf.DUMMYFUNCTION("""COMPUTED_VALUE"""),"Lyria 04")</f>
        <v>Lyria 04</v>
      </c>
      <c r="B563" s="9" t="str">
        <f>IFERROR(__xludf.DUMMYFUNCTION("""COMPUTED_VALUE"""),"Lyria 04")</f>
        <v>Lyria 04</v>
      </c>
      <c r="C563" s="9" t="str">
        <f>IFERROR(__xludf.DUMMYFUNCTION("""COMPUTED_VALUE"""),"Lyria 10")</f>
        <v>Lyria 10</v>
      </c>
      <c r="D563" s="5" t="str">
        <f>IFERROR(__xludf.DUMMYFUNCTION("""COMPUTED_VALUE"""),"Shubin Mining Facility SAL-5 (PB)")</f>
        <v>Shubin Mining Facility SAL-5 (PB)</v>
      </c>
      <c r="E563" s="7" t="str">
        <f>IFERROR(__xludf.DUMMYFUNCTION("""COMPUTED_VALUE"""),"SAL-5")</f>
        <v>SAL-5</v>
      </c>
      <c r="F563" s="8">
        <f>IFERROR(__xludf.DUMMYFUNCTION("""COMPUTED_VALUE"""),98.0700163109999)</f>
        <v>98.0700163109999</v>
      </c>
      <c r="G563" s="8">
        <f>IFERROR(__xludf.DUMMYFUNCTION("""COMPUTED_VALUE"""),78.360977111)</f>
        <v>78.360977111</v>
      </c>
      <c r="H563" s="8">
        <f>IFERROR(__xludf.DUMMYFUNCTION("""COMPUTED_VALUE"""),185.820579425)</f>
        <v>185.820579425</v>
      </c>
      <c r="I563" s="14"/>
      <c r="J563" s="14"/>
      <c r="K563" s="14"/>
      <c r="L563" s="14"/>
      <c r="M563" s="7" t="b">
        <f>IFERROR(__xludf.DUMMYFUNCTION("""COMPUTED_VALUE"""),TRUE)</f>
        <v>1</v>
      </c>
      <c r="N563" s="10">
        <f>IFERROR(__xludf.DUMMYFUNCTION("""COMPUTED_VALUE"""),0)</f>
        <v>0</v>
      </c>
      <c r="O563" s="10">
        <f>IFERROR(__xludf.DUMMYFUNCTION("""COMPUTED_VALUE"""),0)</f>
        <v>0</v>
      </c>
      <c r="P563" s="8"/>
      <c r="Q563" s="7"/>
      <c r="R563" s="16"/>
      <c r="S563" s="17"/>
      <c r="T563" s="8"/>
      <c r="U563" s="8"/>
      <c r="V563" s="22"/>
      <c r="W563" s="12"/>
      <c r="X563" s="12"/>
      <c r="Y563" s="12"/>
      <c r="Z563" s="12"/>
      <c r="AA563" s="7"/>
      <c r="AB563" s="12"/>
      <c r="AC563" s="6"/>
      <c r="AD563" s="6"/>
      <c r="AE563" s="7"/>
      <c r="AF563" s="7"/>
      <c r="AG563" s="7"/>
      <c r="AH563" s="7"/>
      <c r="AI563" s="7"/>
      <c r="AJ563" s="7"/>
      <c r="AK563" s="7"/>
      <c r="AL563" s="7"/>
      <c r="AM563" s="7"/>
      <c r="AN563" s="7"/>
      <c r="AO563" s="6"/>
      <c r="AP563" s="7"/>
      <c r="AQ563" s="7"/>
      <c r="AR563" s="6"/>
      <c r="AS563" s="7"/>
      <c r="AT563" s="7"/>
      <c r="AU563" s="7"/>
      <c r="AV563" s="7"/>
      <c r="AW563" s="7"/>
      <c r="AX563" s="7"/>
      <c r="AY563" s="7"/>
      <c r="AZ563" s="7"/>
      <c r="BA563" s="7"/>
      <c r="BB563" s="7"/>
      <c r="BC563" s="7"/>
      <c r="BD563" s="7"/>
      <c r="BE563" s="7"/>
      <c r="BF563" s="7"/>
      <c r="BG563" s="7"/>
    </row>
    <row r="564" customHeight="1" spans="1:59">
      <c r="A564" s="9" t="str">
        <f>IFERROR(__xludf.DUMMYFUNCTION("""COMPUTED_VALUE"""),"Lyria 05")</f>
        <v>Lyria 05</v>
      </c>
      <c r="B564" s="9" t="str">
        <f>IFERROR(__xludf.DUMMYFUNCTION("""COMPUTED_VALUE"""),"Lyria 05")</f>
        <v>Lyria 05</v>
      </c>
      <c r="C564" s="9" t="str">
        <f>IFERROR(__xludf.DUMMYFUNCTION("""COMPUTED_VALUE"""),"Lyria 06")</f>
        <v>Lyria 06</v>
      </c>
      <c r="D564" s="5" t="str">
        <f>IFERROR(__xludf.DUMMYFUNCTION("""COMPUTED_VALUE"""),"The Orphanage")</f>
        <v>The Orphanage</v>
      </c>
      <c r="E564" s="7" t="str">
        <f>IFERROR(__xludf.DUMMYFUNCTION("""COMPUTED_VALUE"""),"Orphanage")</f>
        <v>Orphanage</v>
      </c>
      <c r="F564" s="8">
        <f>IFERROR(__xludf.DUMMYFUNCTION("""COMPUTED_VALUE"""),-91.990070099)</f>
        <v>-91.990070099</v>
      </c>
      <c r="G564" s="8">
        <f>IFERROR(__xludf.DUMMYFUNCTION("""COMPUTED_VALUE"""),92.4842575979999)</f>
        <v>92.4842575979999</v>
      </c>
      <c r="H564" s="8">
        <f>IFERROR(__xludf.DUMMYFUNCTION("""COMPUTED_VALUE"""),182.182046452)</f>
        <v>182.182046452</v>
      </c>
      <c r="I564" s="14"/>
      <c r="J564" s="14"/>
      <c r="K564" s="14"/>
      <c r="L564" s="14"/>
      <c r="M564" s="7" t="b">
        <f>IFERROR(__xludf.DUMMYFUNCTION("""COMPUTED_VALUE"""),TRUE)</f>
        <v>1</v>
      </c>
      <c r="N564" s="10">
        <f>IFERROR(__xludf.DUMMYFUNCTION("""COMPUTED_VALUE"""),0)</f>
        <v>0</v>
      </c>
      <c r="O564" s="10">
        <f>IFERROR(__xludf.DUMMYFUNCTION("""COMPUTED_VALUE"""),0)</f>
        <v>0</v>
      </c>
      <c r="P564" s="8"/>
      <c r="Q564" s="7"/>
      <c r="R564" s="16"/>
      <c r="S564" s="17"/>
      <c r="T564" s="8"/>
      <c r="U564" s="8"/>
      <c r="V564" s="22"/>
      <c r="W564" s="12"/>
      <c r="X564" s="12"/>
      <c r="Y564" s="12"/>
      <c r="Z564" s="12"/>
      <c r="AA564" s="7"/>
      <c r="AB564" s="12"/>
      <c r="AC564" s="6"/>
      <c r="AD564" s="6"/>
      <c r="AE564" s="7"/>
      <c r="AF564" s="7"/>
      <c r="AG564" s="7"/>
      <c r="AH564" s="7"/>
      <c r="AI564" s="7"/>
      <c r="AJ564" s="7"/>
      <c r="AK564" s="7"/>
      <c r="AL564" s="7"/>
      <c r="AM564" s="7"/>
      <c r="AN564" s="7"/>
      <c r="AO564" s="6"/>
      <c r="AP564" s="7"/>
      <c r="AQ564" s="7"/>
      <c r="AR564" s="6"/>
      <c r="AS564" s="7"/>
      <c r="AT564" s="7"/>
      <c r="AU564" s="7"/>
      <c r="AV564" s="7"/>
      <c r="AW564" s="7"/>
      <c r="AX564" s="7"/>
      <c r="AY564" s="7"/>
      <c r="AZ564" s="7"/>
      <c r="BA564" s="7"/>
      <c r="BB564" s="7"/>
      <c r="BC564" s="7"/>
      <c r="BD564" s="7"/>
      <c r="BE564" s="7"/>
      <c r="BF564" s="7"/>
      <c r="BG564" s="7"/>
    </row>
    <row r="565" customHeight="1" spans="1:59">
      <c r="A565" s="9" t="str">
        <f>IFERROR(__xludf.DUMMYFUNCTION("""COMPUTED_VALUE"""),"Lyria")</f>
        <v>Lyria</v>
      </c>
      <c r="B565" s="9" t="str">
        <f>IFERROR(__xludf.DUMMYFUNCTION("""COMPUTED_VALUE"""),"Lyria 07")</f>
        <v>Lyria 07</v>
      </c>
      <c r="C565" s="9"/>
      <c r="D565" s="5" t="str">
        <f>IFERROR(__xludf.DUMMYFUNCTION("""COMPUTED_VALUE"""),"Underground Bunker Facilities")</f>
        <v>Underground Bunker Facilities</v>
      </c>
      <c r="E565" s="7"/>
      <c r="F565" s="8"/>
      <c r="G565" s="8"/>
      <c r="H565" s="8"/>
      <c r="I565" s="14"/>
      <c r="J565" s="14"/>
      <c r="K565" s="14"/>
      <c r="L565" s="14"/>
      <c r="M565" s="7"/>
      <c r="N565" s="10"/>
      <c r="O565" s="10"/>
      <c r="P565" s="8"/>
      <c r="Q565" s="7"/>
      <c r="R565" s="16"/>
      <c r="S565" s="17"/>
      <c r="T565" s="8"/>
      <c r="U565" s="8"/>
      <c r="V565" s="22"/>
      <c r="W565" s="12"/>
      <c r="X565" s="12"/>
      <c r="Y565" s="12"/>
      <c r="Z565" s="12"/>
      <c r="AA565" s="7"/>
      <c r="AB565" s="12"/>
      <c r="AC565" s="6"/>
      <c r="AD565" s="6"/>
      <c r="AE565" s="7"/>
      <c r="AF565" s="7"/>
      <c r="AG565" s="7"/>
      <c r="AH565" s="7"/>
      <c r="AI565" s="7"/>
      <c r="AJ565" s="7"/>
      <c r="AK565" s="7"/>
      <c r="AL565" s="7"/>
      <c r="AM565" s="7"/>
      <c r="AN565" s="7"/>
      <c r="AO565" s="6"/>
      <c r="AP565" s="7"/>
      <c r="AQ565" s="7"/>
      <c r="AR565" s="6"/>
      <c r="AS565" s="7"/>
      <c r="AT565" s="7"/>
      <c r="AU565" s="7"/>
      <c r="AV565" s="7"/>
      <c r="AW565" s="7"/>
      <c r="AX565" s="7"/>
      <c r="AY565" s="7"/>
      <c r="AZ565" s="7"/>
      <c r="BA565" s="7"/>
      <c r="BB565" s="7"/>
      <c r="BC565" s="7"/>
      <c r="BD565" s="7"/>
      <c r="BE565" s="7"/>
      <c r="BF565" s="7"/>
      <c r="BG565" s="7"/>
    </row>
    <row r="566" customHeight="1" spans="1:59">
      <c r="A566" s="9" t="str">
        <f>IFERROR(__xludf.DUMMYFUNCTION("""COMPUTED_VALUE"""),"Lyria 06")</f>
        <v>Lyria 06</v>
      </c>
      <c r="B566" s="9" t="str">
        <f>IFERROR(__xludf.DUMMYFUNCTION("""COMPUTED_VALUE"""),"Lyria 08")</f>
        <v>Lyria 08</v>
      </c>
      <c r="C566" s="9" t="str">
        <f>IFERROR(__xludf.DUMMYFUNCTION("""COMPUTED_VALUE"""),"Lyria 26")</f>
        <v>Lyria 26</v>
      </c>
      <c r="D566" s="5" t="str">
        <f>IFERROR(__xludf.DUMMYFUNCTION("""COMPUTED_VALUE"""),"Buckets")</f>
        <v>Buckets</v>
      </c>
      <c r="E566" s="7" t="str">
        <f>IFERROR(__xludf.DUMMYFUNCTION("""COMPUTED_VALUE"""),"Buckets")</f>
        <v>Buckets</v>
      </c>
      <c r="F566" s="11">
        <f>IFERROR(__xludf.DUMMYFUNCTION("""COMPUTED_VALUE"""),-194.038522223999)</f>
        <v>-194.038522223999</v>
      </c>
      <c r="G566" s="11">
        <f>IFERROR(__xludf.DUMMYFUNCTION("""COMPUTED_VALUE"""),-67.9967949749999)</f>
        <v>-67.9967949749999</v>
      </c>
      <c r="H566" s="11">
        <f>IFERROR(__xludf.DUMMYFUNCTION("""COMPUTED_VALUE"""),-89.4799129149999)</f>
        <v>-89.4799129149999</v>
      </c>
      <c r="I566" s="15"/>
      <c r="J566" s="15"/>
      <c r="K566" s="15"/>
      <c r="L566" s="15"/>
      <c r="M566" s="7" t="b">
        <f>IFERROR(__xludf.DUMMYFUNCTION("""COMPUTED_VALUE"""),TRUE)</f>
        <v>1</v>
      </c>
      <c r="N566" s="10">
        <f>IFERROR(__xludf.DUMMYFUNCTION("""COMPUTED_VALUE"""),0)</f>
        <v>0</v>
      </c>
      <c r="O566" s="10">
        <f>IFERROR(__xludf.DUMMYFUNCTION("""COMPUTED_VALUE"""),0)</f>
        <v>0</v>
      </c>
      <c r="P566" s="8"/>
      <c r="Q566" s="7"/>
      <c r="R566" s="16"/>
      <c r="S566" s="17"/>
      <c r="T566" s="8"/>
      <c r="U566" s="8"/>
      <c r="V566" s="22"/>
      <c r="W566" s="12"/>
      <c r="X566" s="12"/>
      <c r="Y566" s="12"/>
      <c r="Z566" s="12"/>
      <c r="AA566" s="7"/>
      <c r="AB566" s="12"/>
      <c r="AC566" s="6"/>
      <c r="AD566" s="6"/>
      <c r="AE566" s="7"/>
      <c r="AF566" s="7"/>
      <c r="AG566" s="7"/>
      <c r="AH566" s="7"/>
      <c r="AI566" s="7"/>
      <c r="AJ566" s="7"/>
      <c r="AK566" s="7"/>
      <c r="AL566" s="7"/>
      <c r="AM566" s="7"/>
      <c r="AN566" s="7"/>
      <c r="AO566" s="6"/>
      <c r="AP566" s="7"/>
      <c r="AQ566" s="7"/>
      <c r="AR566" s="6"/>
      <c r="AS566" s="7"/>
      <c r="AT566" s="7"/>
      <c r="AU566" s="7"/>
      <c r="AV566" s="7"/>
      <c r="AW566" s="7"/>
      <c r="AX566" s="7"/>
      <c r="AY566" s="7"/>
      <c r="AZ566" s="7"/>
      <c r="BA566" s="7"/>
      <c r="BB566" s="7"/>
      <c r="BC566" s="7"/>
      <c r="BD566" s="7"/>
      <c r="BE566" s="7"/>
      <c r="BF566" s="7"/>
      <c r="BG566" s="7"/>
    </row>
    <row r="567" customHeight="1" spans="1:59">
      <c r="A567" s="9" t="str">
        <f>IFERROR(__xludf.DUMMYFUNCTION("""COMPUTED_VALUE"""),"Lyria 07")</f>
        <v>Lyria 07</v>
      </c>
      <c r="B567" s="9" t="str">
        <f>IFERROR(__xludf.DUMMYFUNCTION("""COMPUTED_VALUE"""),"Lyria 09")</f>
        <v>Lyria 09</v>
      </c>
      <c r="C567" s="9" t="str">
        <f>IFERROR(__xludf.DUMMYFUNCTION("""COMPUTED_VALUE"""),"Lyria 14")</f>
        <v>Lyria 14</v>
      </c>
      <c r="D567" s="5" t="str">
        <f>IFERROR(__xludf.DUMMYFUNCTION("""COMPUTED_VALUE"""),"Elsewhere")</f>
        <v>Elsewhere</v>
      </c>
      <c r="E567" s="7" t="str">
        <f>IFERROR(__xludf.DUMMYFUNCTION("""COMPUTED_VALUE"""),"Elsewhere")</f>
        <v>Elsewhere</v>
      </c>
      <c r="F567" s="11">
        <f>IFERROR(__xludf.DUMMYFUNCTION("""COMPUTED_VALUE"""),207.832365486)</f>
        <v>207.832365486</v>
      </c>
      <c r="G567" s="11">
        <f>IFERROR(__xludf.DUMMYFUNCTION("""COMPUTED_VALUE"""),-67.343946058)</f>
        <v>-67.343946058</v>
      </c>
      <c r="H567" s="11">
        <f>IFERROR(__xludf.DUMMYFUNCTION("""COMPUTED_VALUE"""),-50.2728090729999)</f>
        <v>-50.2728090729999</v>
      </c>
      <c r="I567" s="15"/>
      <c r="J567" s="15"/>
      <c r="K567" s="15"/>
      <c r="L567" s="15"/>
      <c r="M567" s="7" t="b">
        <f>IFERROR(__xludf.DUMMYFUNCTION("""COMPUTED_VALUE"""),TRUE)</f>
        <v>1</v>
      </c>
      <c r="N567" s="10">
        <f>IFERROR(__xludf.DUMMYFUNCTION("""COMPUTED_VALUE"""),0)</f>
        <v>0</v>
      </c>
      <c r="O567" s="10">
        <f>IFERROR(__xludf.DUMMYFUNCTION("""COMPUTED_VALUE"""),0)</f>
        <v>0</v>
      </c>
      <c r="P567" s="8"/>
      <c r="Q567" s="7"/>
      <c r="R567" s="16"/>
      <c r="S567" s="17"/>
      <c r="T567" s="8"/>
      <c r="U567" s="8"/>
      <c r="V567" s="22"/>
      <c r="W567" s="12"/>
      <c r="X567" s="12"/>
      <c r="Y567" s="12"/>
      <c r="Z567" s="12"/>
      <c r="AA567" s="7"/>
      <c r="AB567" s="12"/>
      <c r="AC567" s="6"/>
      <c r="AD567" s="6"/>
      <c r="AE567" s="7"/>
      <c r="AF567" s="7"/>
      <c r="AG567" s="7"/>
      <c r="AH567" s="7"/>
      <c r="AI567" s="7"/>
      <c r="AJ567" s="7"/>
      <c r="AK567" s="7"/>
      <c r="AL567" s="7"/>
      <c r="AM567" s="7"/>
      <c r="AN567" s="7"/>
      <c r="AO567" s="6"/>
      <c r="AP567" s="7"/>
      <c r="AQ567" s="7"/>
      <c r="AR567" s="6"/>
      <c r="AS567" s="7"/>
      <c r="AT567" s="7"/>
      <c r="AU567" s="7"/>
      <c r="AV567" s="7"/>
      <c r="AW567" s="7"/>
      <c r="AX567" s="7"/>
      <c r="AY567" s="7"/>
      <c r="AZ567" s="7"/>
      <c r="BA567" s="7"/>
      <c r="BB567" s="7"/>
      <c r="BC567" s="7"/>
      <c r="BD567" s="7"/>
      <c r="BE567" s="7"/>
      <c r="BF567" s="7"/>
      <c r="BG567" s="7"/>
    </row>
    <row r="568" customHeight="1" spans="1:59">
      <c r="A568" s="9" t="str">
        <f>IFERROR(__xludf.DUMMYFUNCTION("""COMPUTED_VALUE"""),"Lyria 08")</f>
        <v>Lyria 08</v>
      </c>
      <c r="B568" s="9" t="str">
        <f>IFERROR(__xludf.DUMMYFUNCTION("""COMPUTED_VALUE"""),"Lyria 10")</f>
        <v>Lyria 10</v>
      </c>
      <c r="C568" s="9" t="str">
        <f>IFERROR(__xludf.DUMMYFUNCTION("""COMPUTED_VALUE"""),"Lyria 27")</f>
        <v>Lyria 27</v>
      </c>
      <c r="D568" s="5" t="str">
        <f>IFERROR(__xludf.DUMMYFUNCTION("""COMPUTED_VALUE"""),"Launch Pad")</f>
        <v>Launch Pad</v>
      </c>
      <c r="E568" s="7" t="str">
        <f>IFERROR(__xludf.DUMMYFUNCTION("""COMPUTED_VALUE"""),"Launch Pad")</f>
        <v>Launch Pad</v>
      </c>
      <c r="F568" s="11">
        <f>IFERROR(__xludf.DUMMYFUNCTION("""COMPUTED_VALUE"""),-213.839920017)</f>
        <v>-213.839920017</v>
      </c>
      <c r="G568" s="11">
        <f>IFERROR(__xludf.DUMMYFUNCTION("""COMPUTED_VALUE"""),-65.1627458019999)</f>
        <v>-65.1627458019999</v>
      </c>
      <c r="H568" s="11">
        <f>IFERROR(__xludf.DUMMYFUNCTION("""COMPUTED_VALUE"""),16.507928637)</f>
        <v>16.507928637</v>
      </c>
      <c r="I568" s="15"/>
      <c r="J568" s="15"/>
      <c r="K568" s="15"/>
      <c r="L568" s="15"/>
      <c r="M568" s="7" t="b">
        <f>IFERROR(__xludf.DUMMYFUNCTION("""COMPUTED_VALUE"""),TRUE)</f>
        <v>1</v>
      </c>
      <c r="N568" s="10">
        <f>IFERROR(__xludf.DUMMYFUNCTION("""COMPUTED_VALUE"""),0)</f>
        <v>0</v>
      </c>
      <c r="O568" s="10">
        <f>IFERROR(__xludf.DUMMYFUNCTION("""COMPUTED_VALUE"""),0)</f>
        <v>0</v>
      </c>
      <c r="P568" s="8"/>
      <c r="Q568" s="7"/>
      <c r="R568" s="16"/>
      <c r="S568" s="17"/>
      <c r="T568" s="8"/>
      <c r="U568" s="8"/>
      <c r="V568" s="22"/>
      <c r="W568" s="12"/>
      <c r="X568" s="12"/>
      <c r="Y568" s="12"/>
      <c r="Z568" s="12"/>
      <c r="AA568" s="7"/>
      <c r="AB568" s="12"/>
      <c r="AC568" s="6"/>
      <c r="AD568" s="6"/>
      <c r="AE568" s="7"/>
      <c r="AF568" s="7"/>
      <c r="AG568" s="7"/>
      <c r="AH568" s="7"/>
      <c r="AI568" s="7"/>
      <c r="AJ568" s="7"/>
      <c r="AK568" s="7"/>
      <c r="AL568" s="7"/>
      <c r="AM568" s="7"/>
      <c r="AN568" s="7"/>
      <c r="AO568" s="6"/>
      <c r="AP568" s="7"/>
      <c r="AQ568" s="7"/>
      <c r="AR568" s="6"/>
      <c r="AS568" s="7"/>
      <c r="AT568" s="7"/>
      <c r="AU568" s="7"/>
      <c r="AV568" s="7"/>
      <c r="AW568" s="7"/>
      <c r="AX568" s="7"/>
      <c r="AY568" s="7"/>
      <c r="AZ568" s="7"/>
      <c r="BA568" s="7"/>
      <c r="BB568" s="7"/>
      <c r="BC568" s="7"/>
      <c r="BD568" s="7"/>
      <c r="BE568" s="7"/>
      <c r="BF568" s="7"/>
      <c r="BG568" s="7"/>
    </row>
    <row r="569" customHeight="1" spans="1:59">
      <c r="A569" s="9" t="str">
        <f>IFERROR(__xludf.DUMMYFUNCTION("""COMPUTED_VALUE"""),"Lyria 09")</f>
        <v>Lyria 09</v>
      </c>
      <c r="B569" s="9" t="str">
        <f>IFERROR(__xludf.DUMMYFUNCTION("""COMPUTED_VALUE"""),"Lyria 11")</f>
        <v>Lyria 11</v>
      </c>
      <c r="C569" s="9" t="str">
        <f>IFERROR(__xludf.DUMMYFUNCTION("""COMPUTED_VALUE"""),"Lyria 28")</f>
        <v>Lyria 28</v>
      </c>
      <c r="D569" s="5" t="str">
        <f>IFERROR(__xludf.DUMMYFUNCTION("""COMPUTED_VALUE"""),"Operations Depot Lyria")</f>
        <v>Operations Depot Lyria</v>
      </c>
      <c r="E569" s="7" t="str">
        <f>IFERROR(__xludf.DUMMYFUNCTION("""COMPUTED_VALUE"""),"OpDepot")</f>
        <v>OpDepot</v>
      </c>
      <c r="F569" s="11">
        <f>IFERROR(__xludf.DUMMYFUNCTION("""COMPUTED_VALUE"""),-147.803807107)</f>
        <v>-147.803807107</v>
      </c>
      <c r="G569" s="11">
        <f>IFERROR(__xludf.DUMMYFUNCTION("""COMPUTED_VALUE"""),-17.445260707)</f>
        <v>-17.445260707</v>
      </c>
      <c r="H569" s="11">
        <f>IFERROR(__xludf.DUMMYFUNCTION("""COMPUTED_VALUE"""),167.339607251998)</f>
        <v>167.339607251998</v>
      </c>
      <c r="I569" s="15"/>
      <c r="J569" s="15"/>
      <c r="K569" s="15"/>
      <c r="L569" s="15"/>
      <c r="M569" s="7" t="b">
        <f>IFERROR(__xludf.DUMMYFUNCTION("""COMPUTED_VALUE"""),TRUE)</f>
        <v>1</v>
      </c>
      <c r="N569" s="10">
        <f>IFERROR(__xludf.DUMMYFUNCTION("""COMPUTED_VALUE"""),0)</f>
        <v>0</v>
      </c>
      <c r="O569" s="10">
        <f>IFERROR(__xludf.DUMMYFUNCTION("""COMPUTED_VALUE"""),0)</f>
        <v>0</v>
      </c>
      <c r="P569" s="8"/>
      <c r="Q569" s="7"/>
      <c r="R569" s="16"/>
      <c r="S569" s="17"/>
      <c r="T569" s="8"/>
      <c r="U569" s="8"/>
      <c r="V569" s="22"/>
      <c r="W569" s="12"/>
      <c r="X569" s="12"/>
      <c r="Y569" s="12"/>
      <c r="Z569" s="12"/>
      <c r="AA569" s="7"/>
      <c r="AB569" s="12"/>
      <c r="AC569" s="6"/>
      <c r="AD569" s="6"/>
      <c r="AE569" s="7"/>
      <c r="AF569" s="7"/>
      <c r="AG569" s="7"/>
      <c r="AH569" s="7"/>
      <c r="AI569" s="7"/>
      <c r="AJ569" s="7"/>
      <c r="AK569" s="7"/>
      <c r="AL569" s="7"/>
      <c r="AM569" s="7"/>
      <c r="AN569" s="7"/>
      <c r="AO569" s="6"/>
      <c r="AP569" s="7"/>
      <c r="AQ569" s="7"/>
      <c r="AR569" s="6"/>
      <c r="AS569" s="7"/>
      <c r="AT569" s="7"/>
      <c r="AU569" s="7"/>
      <c r="AV569" s="7"/>
      <c r="AW569" s="7"/>
      <c r="AX569" s="7"/>
      <c r="AY569" s="7"/>
      <c r="AZ569" s="7"/>
      <c r="BA569" s="7"/>
      <c r="BB569" s="7"/>
      <c r="BC569" s="7"/>
      <c r="BD569" s="7"/>
      <c r="BE569" s="7"/>
      <c r="BF569" s="7"/>
      <c r="BG569" s="7"/>
    </row>
    <row r="570" customHeight="1" spans="1:59">
      <c r="A570" s="9" t="str">
        <f>IFERROR(__xludf.DUMMYFUNCTION("""COMPUTED_VALUE"""),"Lyria 10")</f>
        <v>Lyria 10</v>
      </c>
      <c r="B570" s="9" t="str">
        <f>IFERROR(__xludf.DUMMYFUNCTION("""COMPUTED_VALUE"""),"Lyria 12")</f>
        <v>Lyria 12</v>
      </c>
      <c r="C570" s="9" t="str">
        <f>IFERROR(__xludf.DUMMYFUNCTION("""COMPUTED_VALUE"""),"Lyria 01")</f>
        <v>Lyria 01</v>
      </c>
      <c r="D570" s="5" t="str">
        <f>IFERROR(__xludf.DUMMYFUNCTION("""COMPUTED_VALUE"""),"Shubin Processing Facility SPAL-3")</f>
        <v>Shubin Processing Facility SPAL-3</v>
      </c>
      <c r="E570" s="7" t="str">
        <f>IFERROR(__xludf.DUMMYFUNCTION("""COMPUTED_VALUE"""),"SPAL-3")</f>
        <v>SPAL-3</v>
      </c>
      <c r="F570" s="11">
        <f>IFERROR(__xludf.DUMMYFUNCTION("""COMPUTED_VALUE"""),-208.404129518)</f>
        <v>-208.404129518</v>
      </c>
      <c r="G570" s="11">
        <f>IFERROR(__xludf.DUMMYFUNCTION("""COMPUTED_VALUE"""),11.2752080559998)</f>
        <v>11.2752080559998</v>
      </c>
      <c r="H570" s="11">
        <f>IFERROR(__xludf.DUMMYFUNCTION("""COMPUTED_VALUE"""),-81.322103623)</f>
        <v>-81.322103623</v>
      </c>
      <c r="I570" s="15"/>
      <c r="J570" s="15"/>
      <c r="K570" s="15"/>
      <c r="L570" s="15"/>
      <c r="M570" s="7" t="b">
        <f>IFERROR(__xludf.DUMMYFUNCTION("""COMPUTED_VALUE"""),TRUE)</f>
        <v>1</v>
      </c>
      <c r="N570" s="10">
        <f>IFERROR(__xludf.DUMMYFUNCTION("""COMPUTED_VALUE"""),0)</f>
        <v>0</v>
      </c>
      <c r="O570" s="10">
        <f>IFERROR(__xludf.DUMMYFUNCTION("""COMPUTED_VALUE"""),0)</f>
        <v>0</v>
      </c>
      <c r="P570" s="8"/>
      <c r="Q570" s="7"/>
      <c r="R570" s="16"/>
      <c r="S570" s="17"/>
      <c r="T570" s="8"/>
      <c r="U570" s="8"/>
      <c r="V570" s="22"/>
      <c r="W570" s="12"/>
      <c r="X570" s="12"/>
      <c r="Y570" s="12"/>
      <c r="Z570" s="12"/>
      <c r="AA570" s="7"/>
      <c r="AB570" s="12"/>
      <c r="AC570" s="6"/>
      <c r="AD570" s="6"/>
      <c r="AE570" s="7"/>
      <c r="AF570" s="7"/>
      <c r="AG570" s="7"/>
      <c r="AH570" s="7"/>
      <c r="AI570" s="7"/>
      <c r="AJ570" s="7"/>
      <c r="AK570" s="7"/>
      <c r="AL570" s="7"/>
      <c r="AM570" s="7"/>
      <c r="AN570" s="7"/>
      <c r="AO570" s="6"/>
      <c r="AP570" s="7"/>
      <c r="AQ570" s="7"/>
      <c r="AR570" s="6"/>
      <c r="AS570" s="7"/>
      <c r="AT570" s="7"/>
      <c r="AU570" s="7"/>
      <c r="AV570" s="7"/>
      <c r="AW570" s="7"/>
      <c r="AX570" s="7"/>
      <c r="AY570" s="7"/>
      <c r="AZ570" s="7"/>
      <c r="BA570" s="7"/>
      <c r="BB570" s="7"/>
      <c r="BC570" s="7"/>
      <c r="BD570" s="7"/>
      <c r="BE570" s="7"/>
      <c r="BF570" s="7"/>
      <c r="BG570" s="7"/>
    </row>
    <row r="571" customHeight="1" spans="1:59">
      <c r="A571" s="9" t="str">
        <f>IFERROR(__xludf.DUMMYFUNCTION("""COMPUTED_VALUE"""),"Lyria 11")</f>
        <v>Lyria 11</v>
      </c>
      <c r="B571" s="9" t="str">
        <f>IFERROR(__xludf.DUMMYFUNCTION("""COMPUTED_VALUE"""),"Lyria 13")</f>
        <v>Lyria 13</v>
      </c>
      <c r="C571" s="9" t="str">
        <f>IFERROR(__xludf.DUMMYFUNCTION("""COMPUTED_VALUE"""),"Lyria 19")</f>
        <v>Lyria 19</v>
      </c>
      <c r="D571" s="5" t="str">
        <f>IFERROR(__xludf.DUMMYFUNCTION("""COMPUTED_VALUE"""),"Shubin Processing Facility SPAL-7")</f>
        <v>Shubin Processing Facility SPAL-7</v>
      </c>
      <c r="E571" s="7" t="str">
        <f>IFERROR(__xludf.DUMMYFUNCTION("""COMPUTED_VALUE"""),"SPAL-7")</f>
        <v>SPAL-7</v>
      </c>
      <c r="F571" s="11">
        <f>IFERROR(__xludf.DUMMYFUNCTION("""COMPUTED_VALUE"""),37.913838794)</f>
        <v>37.913838794</v>
      </c>
      <c r="G571" s="11">
        <f>IFERROR(__xludf.DUMMYFUNCTION("""COMPUTED_VALUE"""),-126.142169171999)</f>
        <v>-126.142169171999</v>
      </c>
      <c r="H571" s="11">
        <f>IFERROR(__xludf.DUMMYFUNCTION("""COMPUTED_VALUE"""),181.386671413)</f>
        <v>181.386671413</v>
      </c>
      <c r="I571" s="15"/>
      <c r="J571" s="15"/>
      <c r="K571" s="15"/>
      <c r="L571" s="15"/>
      <c r="M571" s="7" t="b">
        <f>IFERROR(__xludf.DUMMYFUNCTION("""COMPUTED_VALUE"""),TRUE)</f>
        <v>1</v>
      </c>
      <c r="N571" s="10">
        <f>IFERROR(__xludf.DUMMYFUNCTION("""COMPUTED_VALUE"""),0)</f>
        <v>0</v>
      </c>
      <c r="O571" s="10">
        <f>IFERROR(__xludf.DUMMYFUNCTION("""COMPUTED_VALUE"""),0)</f>
        <v>0</v>
      </c>
      <c r="P571" s="8"/>
      <c r="Q571" s="7"/>
      <c r="R571" s="16"/>
      <c r="S571" s="17"/>
      <c r="T571" s="8"/>
      <c r="U571" s="8"/>
      <c r="V571" s="22"/>
      <c r="W571" s="12"/>
      <c r="X571" s="12"/>
      <c r="Y571" s="12"/>
      <c r="Z571" s="12"/>
      <c r="AA571" s="7"/>
      <c r="AB571" s="12"/>
      <c r="AC571" s="6"/>
      <c r="AD571" s="6"/>
      <c r="AE571" s="7"/>
      <c r="AF571" s="7"/>
      <c r="AG571" s="7"/>
      <c r="AH571" s="7"/>
      <c r="AI571" s="7"/>
      <c r="AJ571" s="7"/>
      <c r="AK571" s="7"/>
      <c r="AL571" s="7"/>
      <c r="AM571" s="7"/>
      <c r="AN571" s="7"/>
      <c r="AO571" s="6"/>
      <c r="AP571" s="7"/>
      <c r="AQ571" s="7"/>
      <c r="AR571" s="6"/>
      <c r="AS571" s="7"/>
      <c r="AT571" s="7"/>
      <c r="AU571" s="7"/>
      <c r="AV571" s="7"/>
      <c r="AW571" s="7"/>
      <c r="AX571" s="7"/>
      <c r="AY571" s="7"/>
      <c r="AZ571" s="7"/>
      <c r="BA571" s="7"/>
      <c r="BB571" s="7"/>
      <c r="BC571" s="7"/>
      <c r="BD571" s="7"/>
      <c r="BE571" s="7"/>
      <c r="BF571" s="7"/>
      <c r="BG571" s="7"/>
    </row>
    <row r="572" customHeight="1" spans="1:59">
      <c r="A572" s="9" t="str">
        <f>IFERROR(__xludf.DUMMYFUNCTION("""COMPUTED_VALUE"""),"Lyria 12")</f>
        <v>Lyria 12</v>
      </c>
      <c r="B572" s="9" t="str">
        <f>IFERROR(__xludf.DUMMYFUNCTION("""COMPUTED_VALUE"""),"Lyria 14")</f>
        <v>Lyria 14</v>
      </c>
      <c r="C572" s="9" t="str">
        <f>IFERROR(__xludf.DUMMYFUNCTION("""COMPUTED_VALUE"""),"Lyria 18")</f>
        <v>Lyria 18</v>
      </c>
      <c r="D572" s="5" t="str">
        <f>IFERROR(__xludf.DUMMYFUNCTION("""COMPUTED_VALUE"""),"Shubin Processing Facility SPAL-9")</f>
        <v>Shubin Processing Facility SPAL-9</v>
      </c>
      <c r="E572" s="7" t="str">
        <f>IFERROR(__xludf.DUMMYFUNCTION("""COMPUTED_VALUE"""),"SPAL-9")</f>
        <v>SPAL-9</v>
      </c>
      <c r="F572" s="11">
        <f>IFERROR(__xludf.DUMMYFUNCTION("""COMPUTED_VALUE"""),146.676418559999)</f>
        <v>146.676418559999</v>
      </c>
      <c r="G572" s="11">
        <f>IFERROR(__xludf.DUMMYFUNCTION("""COMPUTED_VALUE"""),-169.035498555)</f>
        <v>-169.035498555</v>
      </c>
      <c r="H572" s="11">
        <f>IFERROR(__xludf.DUMMYFUNCTION("""COMPUTED_VALUE"""),8.34046491199999)</f>
        <v>8.34046491199999</v>
      </c>
      <c r="I572" s="15"/>
      <c r="J572" s="15"/>
      <c r="K572" s="15"/>
      <c r="L572" s="15"/>
      <c r="M572" s="7" t="b">
        <f>IFERROR(__xludf.DUMMYFUNCTION("""COMPUTED_VALUE"""),TRUE)</f>
        <v>1</v>
      </c>
      <c r="N572" s="10">
        <f>IFERROR(__xludf.DUMMYFUNCTION("""COMPUTED_VALUE"""),0)</f>
        <v>0</v>
      </c>
      <c r="O572" s="10">
        <f>IFERROR(__xludf.DUMMYFUNCTION("""COMPUTED_VALUE"""),0)</f>
        <v>0</v>
      </c>
      <c r="P572" s="8"/>
      <c r="Q572" s="7"/>
      <c r="R572" s="16"/>
      <c r="S572" s="17"/>
      <c r="T572" s="8"/>
      <c r="U572" s="8"/>
      <c r="V572" s="22"/>
      <c r="W572" s="12"/>
      <c r="X572" s="12"/>
      <c r="Y572" s="12"/>
      <c r="Z572" s="12"/>
      <c r="AA572" s="7"/>
      <c r="AB572" s="12"/>
      <c r="AC572" s="6"/>
      <c r="AD572" s="6"/>
      <c r="AE572" s="7"/>
      <c r="AF572" s="7"/>
      <c r="AG572" s="7"/>
      <c r="AH572" s="7"/>
      <c r="AI572" s="7"/>
      <c r="AJ572" s="7"/>
      <c r="AK572" s="7"/>
      <c r="AL572" s="7"/>
      <c r="AM572" s="7"/>
      <c r="AN572" s="7"/>
      <c r="AO572" s="6"/>
      <c r="AP572" s="7"/>
      <c r="AQ572" s="7"/>
      <c r="AR572" s="6"/>
      <c r="AS572" s="7"/>
      <c r="AT572" s="7"/>
      <c r="AU572" s="7"/>
      <c r="AV572" s="7"/>
      <c r="AW572" s="7"/>
      <c r="AX572" s="7"/>
      <c r="AY572" s="7"/>
      <c r="AZ572" s="7"/>
      <c r="BA572" s="7"/>
      <c r="BB572" s="7"/>
      <c r="BC572" s="7"/>
      <c r="BD572" s="7"/>
      <c r="BE572" s="7"/>
      <c r="BF572" s="7"/>
      <c r="BG572" s="7"/>
    </row>
    <row r="573" customHeight="1" spans="1:59">
      <c r="A573" s="9" t="str">
        <f>IFERROR(__xludf.DUMMYFUNCTION("""COMPUTED_VALUE"""),"Lyria 13")</f>
        <v>Lyria 13</v>
      </c>
      <c r="B573" s="9" t="str">
        <f>IFERROR(__xludf.DUMMYFUNCTION("""COMPUTED_VALUE"""),"Lyria 15")</f>
        <v>Lyria 15</v>
      </c>
      <c r="C573" s="9" t="str">
        <f>IFERROR(__xludf.DUMMYFUNCTION("""COMPUTED_VALUE"""),"Lyria 05")</f>
        <v>Lyria 05</v>
      </c>
      <c r="D573" s="5" t="str">
        <f>IFERROR(__xludf.DUMMYFUNCTION("""COMPUTED_VALUE"""),"Shubin Processing Facility SPAL-12")</f>
        <v>Shubin Processing Facility SPAL-12</v>
      </c>
      <c r="E573" s="7" t="str">
        <f>IFERROR(__xludf.DUMMYFUNCTION("""COMPUTED_VALUE"""),"SPAL-12")</f>
        <v>SPAL-12</v>
      </c>
      <c r="F573" s="11">
        <f>IFERROR(__xludf.DUMMYFUNCTION("""COMPUTED_VALUE"""),-173.502835813)</f>
        <v>-173.502835813</v>
      </c>
      <c r="G573" s="11">
        <f>IFERROR(__xludf.DUMMYFUNCTION("""COMPUTED_VALUE"""),124.81037674)</f>
        <v>124.81037674</v>
      </c>
      <c r="H573" s="11">
        <f>IFERROR(__xludf.DUMMYFUNCTION("""COMPUTED_VALUE"""),66.7839272849998)</f>
        <v>66.7839272849998</v>
      </c>
      <c r="I573" s="15"/>
      <c r="J573" s="15"/>
      <c r="K573" s="15"/>
      <c r="L573" s="15"/>
      <c r="M573" s="7" t="b">
        <f>IFERROR(__xludf.DUMMYFUNCTION("""COMPUTED_VALUE"""),TRUE)</f>
        <v>1</v>
      </c>
      <c r="N573" s="10">
        <f>IFERROR(__xludf.DUMMYFUNCTION("""COMPUTED_VALUE"""),0)</f>
        <v>0</v>
      </c>
      <c r="O573" s="10">
        <f>IFERROR(__xludf.DUMMYFUNCTION("""COMPUTED_VALUE"""),0)</f>
        <v>0</v>
      </c>
      <c r="P573" s="8"/>
      <c r="Q573" s="7"/>
      <c r="R573" s="16"/>
      <c r="S573" s="17"/>
      <c r="T573" s="8"/>
      <c r="U573" s="8"/>
      <c r="V573" s="22"/>
      <c r="W573" s="12"/>
      <c r="X573" s="12"/>
      <c r="Y573" s="12"/>
      <c r="Z573" s="12"/>
      <c r="AA573" s="7"/>
      <c r="AB573" s="12"/>
      <c r="AC573" s="6"/>
      <c r="AD573" s="6"/>
      <c r="AE573" s="7"/>
      <c r="AF573" s="7"/>
      <c r="AG573" s="7"/>
      <c r="AH573" s="7"/>
      <c r="AI573" s="7"/>
      <c r="AJ573" s="7"/>
      <c r="AK573" s="7"/>
      <c r="AL573" s="7"/>
      <c r="AM573" s="7"/>
      <c r="AN573" s="7"/>
      <c r="AO573" s="6"/>
      <c r="AP573" s="7"/>
      <c r="AQ573" s="7"/>
      <c r="AR573" s="6"/>
      <c r="AS573" s="7"/>
      <c r="AT573" s="7"/>
      <c r="AU573" s="7"/>
      <c r="AV573" s="7"/>
      <c r="AW573" s="7"/>
      <c r="AX573" s="7"/>
      <c r="AY573" s="7"/>
      <c r="AZ573" s="7"/>
      <c r="BA573" s="7"/>
      <c r="BB573" s="7"/>
      <c r="BC573" s="7"/>
      <c r="BD573" s="7"/>
      <c r="BE573" s="7"/>
      <c r="BF573" s="7"/>
      <c r="BG573" s="7"/>
    </row>
    <row r="574" customHeight="1" spans="1:59">
      <c r="A574" s="9" t="str">
        <f>IFERROR(__xludf.DUMMYFUNCTION("""COMPUTED_VALUE"""),"Lyria 14")</f>
        <v>Lyria 14</v>
      </c>
      <c r="B574" s="9" t="str">
        <f>IFERROR(__xludf.DUMMYFUNCTION("""COMPUTED_VALUE"""),"Lyria 16")</f>
        <v>Lyria 16</v>
      </c>
      <c r="C574" s="9" t="str">
        <f>IFERROR(__xludf.DUMMYFUNCTION("""COMPUTED_VALUE"""),"Lyria 24")</f>
        <v>Lyria 24</v>
      </c>
      <c r="D574" s="5" t="str">
        <f>IFERROR(__xludf.DUMMYFUNCTION("""COMPUTED_VALUE"""),"Shubin Processing Facility SPAL-16")</f>
        <v>Shubin Processing Facility SPAL-16</v>
      </c>
      <c r="E574" s="7" t="str">
        <f>IFERROR(__xludf.DUMMYFUNCTION("""COMPUTED_VALUE"""),"SPAL-16")</f>
        <v>SPAL-16</v>
      </c>
      <c r="F574" s="11">
        <f>IFERROR(__xludf.DUMMYFUNCTION("""COMPUTED_VALUE"""),-40.101377967)</f>
        <v>-40.101377967</v>
      </c>
      <c r="G574" s="11">
        <f>IFERROR(__xludf.DUMMYFUNCTION("""COMPUTED_VALUE"""),-66.2631414939999)</f>
        <v>-66.2631414939999</v>
      </c>
      <c r="H574" s="11">
        <f>IFERROR(__xludf.DUMMYFUNCTION("""COMPUTED_VALUE"""),209.89169704)</f>
        <v>209.89169704</v>
      </c>
      <c r="I574" s="15"/>
      <c r="J574" s="15"/>
      <c r="K574" s="15"/>
      <c r="L574" s="15"/>
      <c r="M574" s="7" t="b">
        <f>IFERROR(__xludf.DUMMYFUNCTION("""COMPUTED_VALUE"""),TRUE)</f>
        <v>1</v>
      </c>
      <c r="N574" s="10">
        <f>IFERROR(__xludf.DUMMYFUNCTION("""COMPUTED_VALUE"""),0)</f>
        <v>0</v>
      </c>
      <c r="O574" s="10">
        <f>IFERROR(__xludf.DUMMYFUNCTION("""COMPUTED_VALUE"""),0)</f>
        <v>0</v>
      </c>
      <c r="P574" s="8"/>
      <c r="Q574" s="7"/>
      <c r="R574" s="16"/>
      <c r="S574" s="17"/>
      <c r="T574" s="8"/>
      <c r="U574" s="8"/>
      <c r="V574" s="22"/>
      <c r="W574" s="12"/>
      <c r="X574" s="12"/>
      <c r="Y574" s="12"/>
      <c r="Z574" s="12"/>
      <c r="AA574" s="7"/>
      <c r="AB574" s="12"/>
      <c r="AC574" s="6"/>
      <c r="AD574" s="6"/>
      <c r="AE574" s="7"/>
      <c r="AF574" s="7"/>
      <c r="AG574" s="7"/>
      <c r="AH574" s="7"/>
      <c r="AI574" s="7"/>
      <c r="AJ574" s="7"/>
      <c r="AK574" s="7"/>
      <c r="AL574" s="7"/>
      <c r="AM574" s="7"/>
      <c r="AN574" s="7"/>
      <c r="AO574" s="6"/>
      <c r="AP574" s="7"/>
      <c r="AQ574" s="7"/>
      <c r="AR574" s="6"/>
      <c r="AS574" s="7"/>
      <c r="AT574" s="7"/>
      <c r="AU574" s="7"/>
      <c r="AV574" s="7"/>
      <c r="AW574" s="7"/>
      <c r="AX574" s="7"/>
      <c r="AY574" s="7"/>
      <c r="AZ574" s="7"/>
      <c r="BA574" s="7"/>
      <c r="BB574" s="7"/>
      <c r="BC574" s="7"/>
      <c r="BD574" s="7"/>
      <c r="BE574" s="7"/>
      <c r="BF574" s="7"/>
      <c r="BG574" s="7"/>
    </row>
    <row r="575" customHeight="1" spans="1:59">
      <c r="A575" s="9" t="str">
        <f>IFERROR(__xludf.DUMMYFUNCTION("""COMPUTED_VALUE"""),"Lyria 15")</f>
        <v>Lyria 15</v>
      </c>
      <c r="B575" s="9" t="str">
        <f>IFERROR(__xludf.DUMMYFUNCTION("""COMPUTED_VALUE"""),"Lyria 17")</f>
        <v>Lyria 17</v>
      </c>
      <c r="C575" s="9" t="str">
        <f>IFERROR(__xludf.DUMMYFUNCTION("""COMPUTED_VALUE"""),"Lyria 04")</f>
        <v>Lyria 04</v>
      </c>
      <c r="D575" s="5" t="str">
        <f>IFERROR(__xludf.DUMMYFUNCTION("""COMPUTED_VALUE"""),"Shubin Processing Facility SPAL-21")</f>
        <v>Shubin Processing Facility SPAL-21</v>
      </c>
      <c r="E575" s="7" t="str">
        <f>IFERROR(__xludf.DUMMYFUNCTION("""COMPUTED_VALUE"""),"SPAL-21")</f>
        <v>SPAL-21</v>
      </c>
      <c r="F575" s="8">
        <f>IFERROR(__xludf.DUMMYFUNCTION("""COMPUTED_VALUE"""),-19.526859218)</f>
        <v>-19.526859218</v>
      </c>
      <c r="G575" s="8">
        <f>IFERROR(__xludf.DUMMYFUNCTION("""COMPUTED_VALUE"""),13.461724096)</f>
        <v>13.461724096</v>
      </c>
      <c r="H575" s="8">
        <f>IFERROR(__xludf.DUMMYFUNCTION("""COMPUTED_VALUE"""),222.715912419)</f>
        <v>222.715912419</v>
      </c>
      <c r="I575" s="14"/>
      <c r="J575" s="14"/>
      <c r="K575" s="14"/>
      <c r="L575" s="14"/>
      <c r="M575" s="7" t="b">
        <f>IFERROR(__xludf.DUMMYFUNCTION("""COMPUTED_VALUE"""),TRUE)</f>
        <v>1</v>
      </c>
      <c r="N575" s="10">
        <f>IFERROR(__xludf.DUMMYFUNCTION("""COMPUTED_VALUE"""),0)</f>
        <v>0</v>
      </c>
      <c r="O575" s="10">
        <f>IFERROR(__xludf.DUMMYFUNCTION("""COMPUTED_VALUE"""),0)</f>
        <v>0</v>
      </c>
      <c r="P575" s="8"/>
      <c r="Q575" s="7"/>
      <c r="R575" s="16"/>
      <c r="S575" s="17"/>
      <c r="T575" s="8"/>
      <c r="U575" s="8"/>
      <c r="V575" s="22"/>
      <c r="W575" s="12"/>
      <c r="X575" s="12"/>
      <c r="Y575" s="12"/>
      <c r="Z575" s="12"/>
      <c r="AA575" s="7"/>
      <c r="AB575" s="12"/>
      <c r="AC575" s="6"/>
      <c r="AD575" s="6"/>
      <c r="AE575" s="7"/>
      <c r="AF575" s="7"/>
      <c r="AG575" s="7"/>
      <c r="AH575" s="7"/>
      <c r="AI575" s="7"/>
      <c r="AJ575" s="7"/>
      <c r="AK575" s="7"/>
      <c r="AL575" s="7"/>
      <c r="AM575" s="7"/>
      <c r="AN575" s="7"/>
      <c r="AO575" s="6"/>
      <c r="AP575" s="7"/>
      <c r="AQ575" s="7"/>
      <c r="AR575" s="6"/>
      <c r="AS575" s="7"/>
      <c r="AT575" s="7"/>
      <c r="AU575" s="7"/>
      <c r="AV575" s="7"/>
      <c r="AW575" s="7"/>
      <c r="AX575" s="7"/>
      <c r="AY575" s="7"/>
      <c r="AZ575" s="7"/>
      <c r="BA575" s="7"/>
      <c r="BB575" s="7"/>
      <c r="BC575" s="7"/>
      <c r="BD575" s="7"/>
      <c r="BE575" s="7"/>
      <c r="BF575" s="7"/>
      <c r="BG575" s="7"/>
    </row>
    <row r="576" customHeight="1" spans="1:59">
      <c r="A576" s="9" t="str">
        <f>IFERROR(__xludf.DUMMYFUNCTION("""COMPUTED_VALUE"""),"Lyria 16")</f>
        <v>Lyria 16</v>
      </c>
      <c r="B576" s="9" t="str">
        <f>IFERROR(__xludf.DUMMYFUNCTION("""COMPUTED_VALUE"""),"Lyria 18")</f>
        <v>Lyria 18</v>
      </c>
      <c r="C576" s="9" t="str">
        <f>IFERROR(__xludf.DUMMYFUNCTION("""COMPUTED_VALUE"""),"Lyria 08")</f>
        <v>Lyria 08</v>
      </c>
      <c r="D576" s="5" t="str">
        <f>IFERROR(__xludf.DUMMYFUNCTION("""COMPUTED_VALUE"""),"Teddy's Playhouse")</f>
        <v>Teddy's Playhouse</v>
      </c>
      <c r="E576" s="7" t="str">
        <f>IFERROR(__xludf.DUMMYFUNCTION("""COMPUTED_VALUE"""),"Playhouse")</f>
        <v>Playhouse</v>
      </c>
      <c r="F576" s="8">
        <f>IFERROR(__xludf.DUMMYFUNCTION("""COMPUTED_VALUE"""),95.428899223)</f>
        <v>95.428899223</v>
      </c>
      <c r="G576" s="8">
        <f>IFERROR(__xludf.DUMMYFUNCTION("""COMPUTED_VALUE"""),160.939726246)</f>
        <v>160.939726246</v>
      </c>
      <c r="H576" s="8">
        <f>IFERROR(__xludf.DUMMYFUNCTION("""COMPUTED_VALUE"""),-122.845590215)</f>
        <v>-122.845590215</v>
      </c>
      <c r="I576" s="14"/>
      <c r="J576" s="14"/>
      <c r="K576" s="14"/>
      <c r="L576" s="14"/>
      <c r="M576" s="7" t="b">
        <f>IFERROR(__xludf.DUMMYFUNCTION("""COMPUTED_VALUE"""),TRUE)</f>
        <v>1</v>
      </c>
      <c r="N576" s="10">
        <f>IFERROR(__xludf.DUMMYFUNCTION("""COMPUTED_VALUE"""),0)</f>
        <v>0</v>
      </c>
      <c r="O576" s="10">
        <f>IFERROR(__xludf.DUMMYFUNCTION("""COMPUTED_VALUE"""),0)</f>
        <v>0</v>
      </c>
      <c r="P576" s="8"/>
      <c r="Q576" s="7"/>
      <c r="R576" s="16"/>
      <c r="S576" s="17"/>
      <c r="T576" s="8"/>
      <c r="U576" s="8"/>
      <c r="V576" s="22"/>
      <c r="W576" s="12"/>
      <c r="X576" s="12"/>
      <c r="Y576" s="12"/>
      <c r="Z576" s="12"/>
      <c r="AA576" s="7"/>
      <c r="AB576" s="12"/>
      <c r="AC576" s="6"/>
      <c r="AD576" s="6"/>
      <c r="AE576" s="7"/>
      <c r="AF576" s="7"/>
      <c r="AG576" s="7"/>
      <c r="AH576" s="7"/>
      <c r="AI576" s="7"/>
      <c r="AJ576" s="7"/>
      <c r="AK576" s="7"/>
      <c r="AL576" s="7"/>
      <c r="AM576" s="7"/>
      <c r="AN576" s="7"/>
      <c r="AO576" s="6"/>
      <c r="AP576" s="7"/>
      <c r="AQ576" s="7"/>
      <c r="AR576" s="6"/>
      <c r="AS576" s="7"/>
      <c r="AT576" s="7"/>
      <c r="AU576" s="7"/>
      <c r="AV576" s="7"/>
      <c r="AW576" s="7"/>
      <c r="AX576" s="7"/>
      <c r="AY576" s="7"/>
      <c r="AZ576" s="7"/>
      <c r="BA576" s="7"/>
      <c r="BB576" s="7"/>
      <c r="BC576" s="7"/>
      <c r="BD576" s="7"/>
      <c r="BE576" s="7"/>
      <c r="BF576" s="7"/>
      <c r="BG576" s="7"/>
    </row>
    <row r="577" customHeight="1" spans="1:59">
      <c r="A577" s="9" t="str">
        <f>IFERROR(__xludf.DUMMYFUNCTION("""COMPUTED_VALUE"""),"Lyria 17")</f>
        <v>Lyria 17</v>
      </c>
      <c r="B577" s="9" t="str">
        <f>IFERROR(__xludf.DUMMYFUNCTION("""COMPUTED_VALUE"""),"Lyria 19")</f>
        <v>Lyria 19</v>
      </c>
      <c r="C577" s="9" t="str">
        <f>IFERROR(__xludf.DUMMYFUNCTION("""COMPUTED_VALUE"""),"Lyria 09")</f>
        <v>Lyria 09</v>
      </c>
      <c r="D577" s="5" t="str">
        <f>IFERROR(__xludf.DUMMYFUNCTION("""COMPUTED_VALUE"""),"The Pit")</f>
        <v>The Pit</v>
      </c>
      <c r="E577" s="7" t="str">
        <f>IFERROR(__xludf.DUMMYFUNCTION("""COMPUTED_VALUE"""),"Pit")</f>
        <v>Pit</v>
      </c>
      <c r="F577" s="8">
        <f>IFERROR(__xludf.DUMMYFUNCTION("""COMPUTED_VALUE"""),59.094282046)</f>
        <v>59.094282046</v>
      </c>
      <c r="G577" s="8">
        <f>IFERROR(__xludf.DUMMYFUNCTION("""COMPUTED_VALUE"""),68.1150196529998)</f>
        <v>68.1150196529998</v>
      </c>
      <c r="H577" s="8">
        <f>IFERROR(__xludf.DUMMYFUNCTION("""COMPUTED_VALUE"""),204.996612269)</f>
        <v>204.996612269</v>
      </c>
      <c r="I577" s="14"/>
      <c r="J577" s="14"/>
      <c r="K577" s="14"/>
      <c r="L577" s="14"/>
      <c r="M577" s="7" t="b">
        <f>IFERROR(__xludf.DUMMYFUNCTION("""COMPUTED_VALUE"""),TRUE)</f>
        <v>1</v>
      </c>
      <c r="N577" s="10">
        <f>IFERROR(__xludf.DUMMYFUNCTION("""COMPUTED_VALUE"""),0)</f>
        <v>0</v>
      </c>
      <c r="O577" s="10">
        <f>IFERROR(__xludf.DUMMYFUNCTION("""COMPUTED_VALUE"""),0)</f>
        <v>0</v>
      </c>
      <c r="P577" s="8"/>
      <c r="Q577" s="7"/>
      <c r="R577" s="16"/>
      <c r="S577" s="17"/>
      <c r="T577" s="8"/>
      <c r="U577" s="8"/>
      <c r="V577" s="22"/>
      <c r="W577" s="12"/>
      <c r="X577" s="12"/>
      <c r="Y577" s="12"/>
      <c r="Z577" s="12"/>
      <c r="AA577" s="7"/>
      <c r="AB577" s="12"/>
      <c r="AC577" s="6"/>
      <c r="AD577" s="6"/>
      <c r="AE577" s="7"/>
      <c r="AF577" s="7"/>
      <c r="AG577" s="7"/>
      <c r="AH577" s="7"/>
      <c r="AI577" s="7"/>
      <c r="AJ577" s="7"/>
      <c r="AK577" s="7"/>
      <c r="AL577" s="7"/>
      <c r="AM577" s="7"/>
      <c r="AN577" s="7"/>
      <c r="AO577" s="6"/>
      <c r="AP577" s="7"/>
      <c r="AQ577" s="7"/>
      <c r="AR577" s="6"/>
      <c r="AS577" s="7"/>
      <c r="AT577" s="7"/>
      <c r="AU577" s="7"/>
      <c r="AV577" s="7"/>
      <c r="AW577" s="7"/>
      <c r="AX577" s="7"/>
      <c r="AY577" s="7"/>
      <c r="AZ577" s="7"/>
      <c r="BA577" s="7"/>
      <c r="BB577" s="7"/>
      <c r="BC577" s="7"/>
      <c r="BD577" s="7"/>
      <c r="BE577" s="7"/>
      <c r="BF577" s="7"/>
      <c r="BG577" s="7"/>
    </row>
    <row r="578" customHeight="1" spans="1:59">
      <c r="A578" s="9" t="str">
        <f>IFERROR(__xludf.DUMMYFUNCTION("""COMPUTED_VALUE"""),"Lyria 18")</f>
        <v>Lyria 18</v>
      </c>
      <c r="B578" s="9" t="str">
        <f>IFERROR(__xludf.DUMMYFUNCTION("""COMPUTED_VALUE"""),"Lyria 20")</f>
        <v>Lyria 20</v>
      </c>
      <c r="C578" s="9" t="str">
        <f>IFERROR(__xludf.DUMMYFUNCTION("""COMPUTED_VALUE"""),"Lyria 23")</f>
        <v>Lyria 23</v>
      </c>
      <c r="D578" s="5" t="str">
        <f>IFERROR(__xludf.DUMMYFUNCTION("""COMPUTED_VALUE"""),"Wheeler's")</f>
        <v>Wheeler's</v>
      </c>
      <c r="E578" s="7" t="str">
        <f>IFERROR(__xludf.DUMMYFUNCTION("""COMPUTED_VALUE"""),"Wheelers")</f>
        <v>Wheelers</v>
      </c>
      <c r="F578" s="11">
        <f>IFERROR(__xludf.DUMMYFUNCTION("""COMPUTED_VALUE"""),-53.369535053)</f>
        <v>-53.369535053</v>
      </c>
      <c r="G578" s="11">
        <f>IFERROR(__xludf.DUMMYFUNCTION("""COMPUTED_VALUE"""),-209.899723563)</f>
        <v>-209.899723563</v>
      </c>
      <c r="H578" s="11">
        <f>IFERROR(__xludf.DUMMYFUNCTION("""COMPUTED_VALUE"""),-57.1234277779999)</f>
        <v>-57.1234277779999</v>
      </c>
      <c r="I578" s="15"/>
      <c r="J578" s="15"/>
      <c r="K578" s="15"/>
      <c r="L578" s="15"/>
      <c r="M578" s="7" t="b">
        <f>IFERROR(__xludf.DUMMYFUNCTION("""COMPUTED_VALUE"""),TRUE)</f>
        <v>1</v>
      </c>
      <c r="N578" s="10">
        <f>IFERROR(__xludf.DUMMYFUNCTION("""COMPUTED_VALUE"""),0)</f>
        <v>0</v>
      </c>
      <c r="O578" s="10">
        <f>IFERROR(__xludf.DUMMYFUNCTION("""COMPUTED_VALUE"""),0)</f>
        <v>0</v>
      </c>
      <c r="P578" s="8"/>
      <c r="Q578" s="7"/>
      <c r="R578" s="16"/>
      <c r="S578" s="17"/>
      <c r="T578" s="8"/>
      <c r="U578" s="8"/>
      <c r="V578" s="22"/>
      <c r="W578" s="12"/>
      <c r="X578" s="12"/>
      <c r="Y578" s="12"/>
      <c r="Z578" s="12"/>
      <c r="AA578" s="7"/>
      <c r="AB578" s="12"/>
      <c r="AC578" s="6"/>
      <c r="AD578" s="6"/>
      <c r="AE578" s="7"/>
      <c r="AF578" s="7"/>
      <c r="AG578" s="7"/>
      <c r="AH578" s="7"/>
      <c r="AI578" s="7"/>
      <c r="AJ578" s="7"/>
      <c r="AK578" s="7"/>
      <c r="AL578" s="7"/>
      <c r="AM578" s="7"/>
      <c r="AN578" s="7"/>
      <c r="AO578" s="6"/>
      <c r="AP578" s="7"/>
      <c r="AQ578" s="7"/>
      <c r="AR578" s="6"/>
      <c r="AS578" s="7"/>
      <c r="AT578" s="7"/>
      <c r="AU578" s="7"/>
      <c r="AV578" s="7"/>
      <c r="AW578" s="7"/>
      <c r="AX578" s="7"/>
      <c r="AY578" s="7"/>
      <c r="AZ578" s="7"/>
      <c r="BA578" s="7"/>
      <c r="BB578" s="7"/>
      <c r="BC578" s="7"/>
      <c r="BD578" s="7"/>
      <c r="BE578" s="7"/>
      <c r="BF578" s="7"/>
      <c r="BG578" s="7"/>
    </row>
    <row r="579" customHeight="1" spans="1:59">
      <c r="A579" s="9" t="str">
        <f>IFERROR(__xludf.DUMMYFUNCTION("""COMPUTED_VALUE"""),"Lyria")</f>
        <v>Lyria</v>
      </c>
      <c r="B579" s="9" t="str">
        <f>IFERROR(__xludf.DUMMYFUNCTION("""COMPUTED_VALUE"""),"Lyria 22")</f>
        <v>Lyria 22</v>
      </c>
      <c r="C579" s="9"/>
      <c r="D579" s="5" t="str">
        <f>IFERROR(__xludf.DUMMYFUNCTION("""COMPUTED_VALUE"""),"Settlements")</f>
        <v>Settlements</v>
      </c>
      <c r="E579" s="7"/>
      <c r="F579" s="11"/>
      <c r="G579" s="11"/>
      <c r="H579" s="11"/>
      <c r="I579" s="15"/>
      <c r="J579" s="15"/>
      <c r="K579" s="15"/>
      <c r="L579" s="15"/>
      <c r="M579" s="7"/>
      <c r="N579" s="10"/>
      <c r="O579" s="10"/>
      <c r="P579" s="8"/>
      <c r="Q579" s="7"/>
      <c r="R579" s="16"/>
      <c r="S579" s="17"/>
      <c r="T579" s="8"/>
      <c r="U579" s="8"/>
      <c r="V579" s="22"/>
      <c r="W579" s="12"/>
      <c r="X579" s="12"/>
      <c r="Y579" s="12"/>
      <c r="Z579" s="12"/>
      <c r="AA579" s="7"/>
      <c r="AB579" s="12"/>
      <c r="AC579" s="6"/>
      <c r="AD579" s="6"/>
      <c r="AE579" s="7"/>
      <c r="AF579" s="7"/>
      <c r="AG579" s="7"/>
      <c r="AH579" s="7"/>
      <c r="AI579" s="7"/>
      <c r="AJ579" s="7"/>
      <c r="AK579" s="7"/>
      <c r="AL579" s="7"/>
      <c r="AM579" s="7"/>
      <c r="AN579" s="7"/>
      <c r="AO579" s="6"/>
      <c r="AP579" s="7"/>
      <c r="AQ579" s="7"/>
      <c r="AR579" s="6"/>
      <c r="AS579" s="7"/>
      <c r="AT579" s="7"/>
      <c r="AU579" s="7"/>
      <c r="AV579" s="7"/>
      <c r="AW579" s="7"/>
      <c r="AX579" s="7"/>
      <c r="AY579" s="7"/>
      <c r="AZ579" s="7"/>
      <c r="BA579" s="7"/>
      <c r="BB579" s="7"/>
      <c r="BC579" s="7"/>
      <c r="BD579" s="7"/>
      <c r="BE579" s="7"/>
      <c r="BF579" s="7"/>
      <c r="BG579" s="7"/>
    </row>
    <row r="580" customHeight="1" spans="1:59">
      <c r="A580" s="9" t="str">
        <f>IFERROR(__xludf.DUMMYFUNCTION("""COMPUTED_VALUE"""),"Lyria 20")</f>
        <v>Lyria 20</v>
      </c>
      <c r="B580" s="9" t="str">
        <f>IFERROR(__xludf.DUMMYFUNCTION("""COMPUTED_VALUE"""),"Lyria 23")</f>
        <v>Lyria 23</v>
      </c>
      <c r="C580" s="9" t="str">
        <f>IFERROR(__xludf.DUMMYFUNCTION("""COMPUTED_VALUE"""),"Lyria 03")</f>
        <v>Lyria 03</v>
      </c>
      <c r="D580" s="5" t="str">
        <f>IFERROR(__xludf.DUMMYFUNCTION("""COMPUTED_VALUE"""),"Lyria Settlement")</f>
        <v>Lyria Settlement</v>
      </c>
      <c r="E580" s="7" t="str">
        <f>IFERROR(__xludf.DUMMYFUNCTION("""COMPUTED_VALUE"""),"Settlement 3a")</f>
        <v>Settlement 3a</v>
      </c>
      <c r="F580" s="11">
        <f>IFERROR(__xludf.DUMMYFUNCTION("""COMPUTED_VALUE"""),-180.644272013)</f>
        <v>-180.644272013</v>
      </c>
      <c r="G580" s="11">
        <f>IFERROR(__xludf.DUMMYFUNCTION("""COMPUTED_VALUE"""),104.235338664)</f>
        <v>104.235338664</v>
      </c>
      <c r="H580" s="11">
        <f>IFERROR(__xludf.DUMMYFUNCTION("""COMPUTED_VALUE"""),81.099202256)</f>
        <v>81.099202256</v>
      </c>
      <c r="I580" s="15"/>
      <c r="J580" s="15"/>
      <c r="K580" s="15"/>
      <c r="L580" s="15"/>
      <c r="M580" s="7" t="b">
        <f>IFERROR(__xludf.DUMMYFUNCTION("""COMPUTED_VALUE"""),FALSE)</f>
        <v>0</v>
      </c>
      <c r="N580" s="10">
        <f>IFERROR(__xludf.DUMMYFUNCTION("""COMPUTED_VALUE"""),0)</f>
        <v>0</v>
      </c>
      <c r="O580" s="10">
        <f>IFERROR(__xludf.DUMMYFUNCTION("""COMPUTED_VALUE"""),0)</f>
        <v>0</v>
      </c>
      <c r="P580" s="8"/>
      <c r="Q580" s="7"/>
      <c r="R580" s="16"/>
      <c r="S580" s="17"/>
      <c r="T580" s="8"/>
      <c r="U580" s="8"/>
      <c r="V580" s="22"/>
      <c r="W580" s="12"/>
      <c r="X580" s="12"/>
      <c r="Y580" s="12"/>
      <c r="Z580" s="12"/>
      <c r="AA580" s="7"/>
      <c r="AB580" s="12"/>
      <c r="AC580" s="6"/>
      <c r="AD580" s="6"/>
      <c r="AE580" s="7"/>
      <c r="AF580" s="7"/>
      <c r="AG580" s="7"/>
      <c r="AH580" s="7"/>
      <c r="AI580" s="7"/>
      <c r="AJ580" s="7"/>
      <c r="AK580" s="7"/>
      <c r="AL580" s="7"/>
      <c r="AM580" s="7"/>
      <c r="AN580" s="7"/>
      <c r="AO580" s="6"/>
      <c r="AP580" s="7"/>
      <c r="AQ580" s="7"/>
      <c r="AR580" s="6"/>
      <c r="AS580" s="7"/>
      <c r="AT580" s="7"/>
      <c r="AU580" s="7"/>
      <c r="AV580" s="7"/>
      <c r="AW580" s="7"/>
      <c r="AX580" s="7"/>
      <c r="AY580" s="7"/>
      <c r="AZ580" s="7"/>
      <c r="BA580" s="7"/>
      <c r="BB580" s="7"/>
      <c r="BC580" s="7"/>
      <c r="BD580" s="7"/>
      <c r="BE580" s="7"/>
      <c r="BF580" s="7"/>
      <c r="BG580" s="7"/>
    </row>
    <row r="581" customHeight="1" spans="1:59">
      <c r="A581" s="9" t="str">
        <f>IFERROR(__xludf.DUMMYFUNCTION("""COMPUTED_VALUE"""),"Lyria")</f>
        <v>Lyria</v>
      </c>
      <c r="B581" s="9" t="str">
        <f>IFERROR(__xludf.DUMMYFUNCTION("""COMPUTED_VALUE"""),"Lyria 25")</f>
        <v>Lyria 25</v>
      </c>
      <c r="C581" s="9"/>
      <c r="D581" s="5" t="str">
        <f>IFERROR(__xludf.DUMMYFUNCTION("""COMPUTED_VALUE"""),"Wrecks")</f>
        <v>Wrecks</v>
      </c>
      <c r="E581" s="7"/>
      <c r="F581" s="11"/>
      <c r="G581" s="11"/>
      <c r="H581" s="11"/>
      <c r="I581" s="15"/>
      <c r="J581" s="15"/>
      <c r="K581" s="15"/>
      <c r="L581" s="15"/>
      <c r="M581" s="7"/>
      <c r="N581" s="10"/>
      <c r="O581" s="10"/>
      <c r="P581" s="8"/>
      <c r="Q581" s="7"/>
      <c r="R581" s="16"/>
      <c r="S581" s="17"/>
      <c r="T581" s="8"/>
      <c r="U581" s="8"/>
      <c r="V581" s="22"/>
      <c r="W581" s="12"/>
      <c r="X581" s="12"/>
      <c r="Y581" s="12"/>
      <c r="Z581" s="12"/>
      <c r="AA581" s="7"/>
      <c r="AB581" s="12"/>
      <c r="AC581" s="6"/>
      <c r="AD581" s="6"/>
      <c r="AE581" s="7"/>
      <c r="AF581" s="7"/>
      <c r="AG581" s="7"/>
      <c r="AH581" s="7"/>
      <c r="AI581" s="7"/>
      <c r="AJ581" s="7"/>
      <c r="AK581" s="7"/>
      <c r="AL581" s="7"/>
      <c r="AM581" s="7"/>
      <c r="AN581" s="7"/>
      <c r="AO581" s="6"/>
      <c r="AP581" s="7"/>
      <c r="AQ581" s="7"/>
      <c r="AR581" s="6"/>
      <c r="AS581" s="7"/>
      <c r="AT581" s="7"/>
      <c r="AU581" s="7"/>
      <c r="AV581" s="7"/>
      <c r="AW581" s="7"/>
      <c r="AX581" s="7"/>
      <c r="AY581" s="7"/>
      <c r="AZ581" s="7"/>
      <c r="BA581" s="7"/>
      <c r="BB581" s="7"/>
      <c r="BC581" s="7"/>
      <c r="BD581" s="7"/>
      <c r="BE581" s="7"/>
      <c r="BF581" s="7"/>
      <c r="BG581" s="7"/>
    </row>
    <row r="582" customHeight="1" spans="1:59">
      <c r="A582" s="9" t="str">
        <f>IFERROR(__xludf.DUMMYFUNCTION("""COMPUTED_VALUE"""),"Lyria 21")</f>
        <v>Lyria 21</v>
      </c>
      <c r="B582" s="9" t="str">
        <f>IFERROR(__xludf.DUMMYFUNCTION("""COMPUTED_VALUE"""),"Lyria 26")</f>
        <v>Lyria 26</v>
      </c>
      <c r="C582" s="9" t="str">
        <f>IFERROR(__xludf.DUMMYFUNCTION("""COMPUTED_VALUE"""),"Lyria 20")</f>
        <v>Lyria 20</v>
      </c>
      <c r="D582" s="5" t="str">
        <f>IFERROR(__xludf.DUMMYFUNCTION("""COMPUTED_VALUE"""),"Caterpillar Wreck 16K")</f>
        <v>Caterpillar Wreck 16K</v>
      </c>
      <c r="E582" s="7" t="str">
        <f>IFERROR(__xludf.DUMMYFUNCTION("""COMPUTED_VALUE"""),"Caterpillar 16K")</f>
        <v>Caterpillar 16K</v>
      </c>
      <c r="F582" s="11">
        <f>IFERROR(__xludf.DUMMYFUNCTION("""COMPUTED_VALUE"""),17.4403066069999)</f>
        <v>17.4403066069999</v>
      </c>
      <c r="G582" s="11">
        <f>IFERROR(__xludf.DUMMYFUNCTION("""COMPUTED_VALUE"""),-206.021780852)</f>
        <v>-206.021780852</v>
      </c>
      <c r="H582" s="11">
        <f>IFERROR(__xludf.DUMMYFUNCTION("""COMPUTED_VALUE"""),-86.2589763959999)</f>
        <v>-86.2589763959999</v>
      </c>
      <c r="I582" s="15"/>
      <c r="J582" s="15"/>
      <c r="K582" s="15"/>
      <c r="L582" s="15"/>
      <c r="M582" s="7" t="b">
        <f>IFERROR(__xludf.DUMMYFUNCTION("""COMPUTED_VALUE"""),FALSE)</f>
        <v>0</v>
      </c>
      <c r="N582" s="10">
        <f>IFERROR(__xludf.DUMMYFUNCTION("""COMPUTED_VALUE"""),0)</f>
        <v>0</v>
      </c>
      <c r="O582" s="10">
        <f>IFERROR(__xludf.DUMMYFUNCTION("""COMPUTED_VALUE"""),0)</f>
        <v>0</v>
      </c>
      <c r="P582" s="8"/>
      <c r="Q582" s="7"/>
      <c r="R582" s="16"/>
      <c r="S582" s="17"/>
      <c r="T582" s="8"/>
      <c r="U582" s="8"/>
      <c r="V582" s="22"/>
      <c r="W582" s="12"/>
      <c r="X582" s="12"/>
      <c r="Y582" s="12"/>
      <c r="Z582" s="12"/>
      <c r="AA582" s="7"/>
      <c r="AB582" s="12"/>
      <c r="AC582" s="6"/>
      <c r="AD582" s="6"/>
      <c r="AE582" s="7"/>
      <c r="AF582" s="7"/>
      <c r="AG582" s="7"/>
      <c r="AH582" s="7"/>
      <c r="AI582" s="7"/>
      <c r="AJ582" s="7"/>
      <c r="AK582" s="7"/>
      <c r="AL582" s="7"/>
      <c r="AM582" s="7"/>
      <c r="AN582" s="7"/>
      <c r="AO582" s="6"/>
      <c r="AP582" s="7"/>
      <c r="AQ582" s="7"/>
      <c r="AR582" s="6"/>
      <c r="AS582" s="7"/>
      <c r="AT582" s="7"/>
      <c r="AU582" s="7"/>
      <c r="AV582" s="7"/>
      <c r="AW582" s="7"/>
      <c r="AX582" s="7"/>
      <c r="AY582" s="7"/>
      <c r="AZ582" s="7"/>
      <c r="BA582" s="7"/>
      <c r="BB582" s="7"/>
      <c r="BC582" s="7"/>
      <c r="BD582" s="7"/>
      <c r="BE582" s="7"/>
      <c r="BF582" s="7"/>
      <c r="BG582" s="7"/>
    </row>
    <row r="583" customHeight="1" spans="1:59">
      <c r="A583" s="9" t="str">
        <f>IFERROR(__xludf.DUMMYFUNCTION("""COMPUTED_VALUE"""),"Lyria 22")</f>
        <v>Lyria 22</v>
      </c>
      <c r="B583" s="9" t="str">
        <f>IFERROR(__xludf.DUMMYFUNCTION("""COMPUTED_VALUE"""),"Lyria 27")</f>
        <v>Lyria 27</v>
      </c>
      <c r="C583" s="9" t="str">
        <f>IFERROR(__xludf.DUMMYFUNCTION("""COMPUTED_VALUE"""),"Lyria 16")</f>
        <v>Lyria 16</v>
      </c>
      <c r="D583" s="5" t="str">
        <f>IFERROR(__xludf.DUMMYFUNCTION("""COMPUTED_VALUE"""),"Caterpillar Wreck 26T")</f>
        <v>Caterpillar Wreck 26T</v>
      </c>
      <c r="E583" s="7" t="str">
        <f>IFERROR(__xludf.DUMMYFUNCTION("""COMPUTED_VALUE"""),"Caterpillar 26T")</f>
        <v>Caterpillar 26T</v>
      </c>
      <c r="F583" s="11">
        <f>IFERROR(__xludf.DUMMYFUNCTION("""COMPUTED_VALUE"""),143.507116272999)</f>
        <v>143.507116272999</v>
      </c>
      <c r="G583" s="11">
        <f>IFERROR(__xludf.DUMMYFUNCTION("""COMPUTED_VALUE"""),-71.508248925)</f>
        <v>-71.508248925</v>
      </c>
      <c r="H583" s="11">
        <f>IFERROR(__xludf.DUMMYFUNCTION("""COMPUTED_VALUE"""),156.465748843999)</f>
        <v>156.465748843999</v>
      </c>
      <c r="I583" s="15"/>
      <c r="J583" s="15"/>
      <c r="K583" s="15"/>
      <c r="L583" s="15"/>
      <c r="M583" s="7" t="b">
        <f>IFERROR(__xludf.DUMMYFUNCTION("""COMPUTED_VALUE"""),FALSE)</f>
        <v>0</v>
      </c>
      <c r="N583" s="10">
        <f>IFERROR(__xludf.DUMMYFUNCTION("""COMPUTED_VALUE"""),0)</f>
        <v>0</v>
      </c>
      <c r="O583" s="10">
        <f>IFERROR(__xludf.DUMMYFUNCTION("""COMPUTED_VALUE"""),0)</f>
        <v>0</v>
      </c>
      <c r="P583" s="8"/>
      <c r="Q583" s="7"/>
      <c r="R583" s="16"/>
      <c r="S583" s="17"/>
      <c r="T583" s="8"/>
      <c r="U583" s="8"/>
      <c r="V583" s="22"/>
      <c r="W583" s="12"/>
      <c r="X583" s="12"/>
      <c r="Y583" s="12"/>
      <c r="Z583" s="12"/>
      <c r="AA583" s="7"/>
      <c r="AB583" s="12"/>
      <c r="AC583" s="6"/>
      <c r="AD583" s="6"/>
      <c r="AE583" s="7"/>
      <c r="AF583" s="7"/>
      <c r="AG583" s="7"/>
      <c r="AH583" s="7"/>
      <c r="AI583" s="7"/>
      <c r="AJ583" s="7"/>
      <c r="AK583" s="7"/>
      <c r="AL583" s="7"/>
      <c r="AM583" s="7"/>
      <c r="AN583" s="7"/>
      <c r="AO583" s="6"/>
      <c r="AP583" s="7"/>
      <c r="AQ583" s="7"/>
      <c r="AR583" s="6"/>
      <c r="AS583" s="7"/>
      <c r="AT583" s="7"/>
      <c r="AU583" s="7"/>
      <c r="AV583" s="7"/>
      <c r="AW583" s="7"/>
      <c r="AX583" s="7"/>
      <c r="AY583" s="7"/>
      <c r="AZ583" s="7"/>
      <c r="BA583" s="7"/>
      <c r="BB583" s="7"/>
      <c r="BC583" s="7"/>
      <c r="BD583" s="7"/>
      <c r="BE583" s="7"/>
      <c r="BF583" s="7"/>
      <c r="BG583" s="7"/>
    </row>
    <row r="584" customHeight="1" spans="1:59">
      <c r="A584" s="9" t="str">
        <f>IFERROR(__xludf.DUMMYFUNCTION("""COMPUTED_VALUE"""),"Lyria 23")</f>
        <v>Lyria 23</v>
      </c>
      <c r="B584" s="9" t="str">
        <f>IFERROR(__xludf.DUMMYFUNCTION("""COMPUTED_VALUE"""),"Lyria 28")</f>
        <v>Lyria 28</v>
      </c>
      <c r="C584" s="9" t="str">
        <f>IFERROR(__xludf.DUMMYFUNCTION("""COMPUTED_VALUE"""),"Lyria 12")</f>
        <v>Lyria 12</v>
      </c>
      <c r="D584" s="5" t="str">
        <f>IFERROR(__xludf.DUMMYFUNCTION("""COMPUTED_VALUE"""),"Caterpillar Wreck 36V")</f>
        <v>Caterpillar Wreck 36V</v>
      </c>
      <c r="E584" s="7" t="str">
        <f>IFERROR(__xludf.DUMMYFUNCTION("""COMPUTED_VALUE"""),"Caterpillar 36V")</f>
        <v>Caterpillar 36V</v>
      </c>
      <c r="F584" s="11">
        <f>IFERROR(__xludf.DUMMYFUNCTION("""COMPUTED_VALUE"""),90.1959922309998)</f>
        <v>90.1959922309998</v>
      </c>
      <c r="G584" s="11">
        <f>IFERROR(__xludf.DUMMYFUNCTION("""COMPUTED_VALUE"""),60.4327727349998)</f>
        <v>60.4327727349998</v>
      </c>
      <c r="H584" s="11">
        <f>IFERROR(__xludf.DUMMYFUNCTION("""COMPUTED_VALUE"""),196.271796360999)</f>
        <v>196.271796360999</v>
      </c>
      <c r="I584" s="15"/>
      <c r="J584" s="15"/>
      <c r="K584" s="15"/>
      <c r="L584" s="15"/>
      <c r="M584" s="7" t="b">
        <f>IFERROR(__xludf.DUMMYFUNCTION("""COMPUTED_VALUE"""),FALSE)</f>
        <v>0</v>
      </c>
      <c r="N584" s="10">
        <f>IFERROR(__xludf.DUMMYFUNCTION("""COMPUTED_VALUE"""),0)</f>
        <v>0</v>
      </c>
      <c r="O584" s="10">
        <f>IFERROR(__xludf.DUMMYFUNCTION("""COMPUTED_VALUE"""),0)</f>
        <v>0</v>
      </c>
      <c r="P584" s="8"/>
      <c r="Q584" s="7"/>
      <c r="R584" s="16"/>
      <c r="S584" s="17"/>
      <c r="T584" s="8"/>
      <c r="U584" s="8"/>
      <c r="V584" s="22"/>
      <c r="W584" s="12"/>
      <c r="X584" s="12"/>
      <c r="Y584" s="12"/>
      <c r="Z584" s="12"/>
      <c r="AA584" s="7"/>
      <c r="AB584" s="12"/>
      <c r="AC584" s="6"/>
      <c r="AD584" s="6"/>
      <c r="AE584" s="7"/>
      <c r="AF584" s="7"/>
      <c r="AG584" s="7"/>
      <c r="AH584" s="7"/>
      <c r="AI584" s="7"/>
      <c r="AJ584" s="7"/>
      <c r="AK584" s="7"/>
      <c r="AL584" s="7"/>
      <c r="AM584" s="7"/>
      <c r="AN584" s="7"/>
      <c r="AO584" s="6"/>
      <c r="AP584" s="7"/>
      <c r="AQ584" s="7"/>
      <c r="AR584" s="6"/>
      <c r="AS584" s="7"/>
      <c r="AT584" s="7"/>
      <c r="AU584" s="7"/>
      <c r="AV584" s="7"/>
      <c r="AW584" s="7"/>
      <c r="AX584" s="7"/>
      <c r="AY584" s="7"/>
      <c r="AZ584" s="7"/>
      <c r="BA584" s="7"/>
      <c r="BB584" s="7"/>
      <c r="BC584" s="7"/>
      <c r="BD584" s="7"/>
      <c r="BE584" s="7"/>
      <c r="BF584" s="7"/>
      <c r="BG584" s="7"/>
    </row>
    <row r="585" customHeight="1" spans="1:59">
      <c r="A585" s="9" t="str">
        <f>IFERROR(__xludf.DUMMYFUNCTION("""COMPUTED_VALUE"""),"Lyria 24")</f>
        <v>Lyria 24</v>
      </c>
      <c r="B585" s="9" t="str">
        <f>IFERROR(__xludf.DUMMYFUNCTION("""COMPUTED_VALUE"""),"Lyria 29")</f>
        <v>Lyria 29</v>
      </c>
      <c r="C585" s="9" t="str">
        <f>IFERROR(__xludf.DUMMYFUNCTION("""COMPUTED_VALUE"""),"Lyria 17")</f>
        <v>Lyria 17</v>
      </c>
      <c r="D585" s="5" t="str">
        <f>IFERROR(__xludf.DUMMYFUNCTION("""COMPUTED_VALUE"""),"Freelancer Wreck")</f>
        <v>Freelancer Wreck</v>
      </c>
      <c r="E585" s="7" t="str">
        <f>IFERROR(__xludf.DUMMYFUNCTION("""COMPUTED_VALUE"""),"Freelancer")</f>
        <v>Freelancer</v>
      </c>
      <c r="F585" s="11">
        <f>IFERROR(__xludf.DUMMYFUNCTION("""COMPUTED_VALUE"""),169.674689626)</f>
        <v>169.674689626</v>
      </c>
      <c r="G585" s="11">
        <f>IFERROR(__xludf.DUMMYFUNCTION("""COMPUTED_VALUE"""),-95.460451373)</f>
        <v>-95.460451373</v>
      </c>
      <c r="H585" s="11">
        <f>IFERROR(__xludf.DUMMYFUNCTION("""COMPUTED_VALUE"""),-110.856102428)</f>
        <v>-110.856102428</v>
      </c>
      <c r="I585" s="15"/>
      <c r="J585" s="15"/>
      <c r="K585" s="15"/>
      <c r="L585" s="15"/>
      <c r="M585" s="7" t="b">
        <f>IFERROR(__xludf.DUMMYFUNCTION("""COMPUTED_VALUE"""),FALSE)</f>
        <v>0</v>
      </c>
      <c r="N585" s="10">
        <f>IFERROR(__xludf.DUMMYFUNCTION("""COMPUTED_VALUE"""),0)</f>
        <v>0</v>
      </c>
      <c r="O585" s="10">
        <f>IFERROR(__xludf.DUMMYFUNCTION("""COMPUTED_VALUE"""),0)</f>
        <v>0</v>
      </c>
      <c r="P585" s="8"/>
      <c r="Q585" s="7"/>
      <c r="R585" s="16"/>
      <c r="S585" s="17"/>
      <c r="T585" s="8"/>
      <c r="U585" s="8"/>
      <c r="V585" s="22"/>
      <c r="W585" s="12"/>
      <c r="X585" s="12"/>
      <c r="Y585" s="12"/>
      <c r="Z585" s="12"/>
      <c r="AA585" s="7"/>
      <c r="AB585" s="12"/>
      <c r="AC585" s="6"/>
      <c r="AD585" s="6"/>
      <c r="AE585" s="7"/>
      <c r="AF585" s="7"/>
      <c r="AG585" s="7"/>
      <c r="AH585" s="7"/>
      <c r="AI585" s="7"/>
      <c r="AJ585" s="7"/>
      <c r="AK585" s="7"/>
      <c r="AL585" s="7"/>
      <c r="AM585" s="7"/>
      <c r="AN585" s="7"/>
      <c r="AO585" s="6"/>
      <c r="AP585" s="7"/>
      <c r="AQ585" s="7"/>
      <c r="AR585" s="6"/>
      <c r="AS585" s="7"/>
      <c r="AT585" s="7"/>
      <c r="AU585" s="7"/>
      <c r="AV585" s="7"/>
      <c r="AW585" s="7"/>
      <c r="AX585" s="7"/>
      <c r="AY585" s="7"/>
      <c r="AZ585" s="7"/>
      <c r="BA585" s="7"/>
      <c r="BB585" s="7"/>
      <c r="BC585" s="7"/>
      <c r="BD585" s="7"/>
      <c r="BE585" s="7"/>
      <c r="BF585" s="7"/>
      <c r="BG585" s="7"/>
    </row>
    <row r="586" customHeight="1" spans="1:59">
      <c r="A586" s="9" t="str">
        <f>IFERROR(__xludf.DUMMYFUNCTION("""COMPUTED_VALUE"""),"Lyria 25")</f>
        <v>Lyria 25</v>
      </c>
      <c r="B586" s="9" t="str">
        <f>IFERROR(__xludf.DUMMYFUNCTION("""COMPUTED_VALUE"""),"Lyria 30")</f>
        <v>Lyria 30</v>
      </c>
      <c r="C586" s="9" t="str">
        <f>IFERROR(__xludf.DUMMYFUNCTION("""COMPUTED_VALUE"""),"Lyria 25")</f>
        <v>Lyria 25</v>
      </c>
      <c r="D586" s="5" t="str">
        <f>IFERROR(__xludf.DUMMYFUNCTION("""COMPUTED_VALUE"""),"Starfarer Wreck")</f>
        <v>Starfarer Wreck</v>
      </c>
      <c r="E586" s="7" t="str">
        <f>IFERROR(__xludf.DUMMYFUNCTION("""COMPUTED_VALUE"""),"Starfarer")</f>
        <v>Starfarer</v>
      </c>
      <c r="F586" s="11">
        <f>IFERROR(__xludf.DUMMYFUNCTION("""COMPUTED_VALUE"""),-116.660647553)</f>
        <v>-116.660647553</v>
      </c>
      <c r="G586" s="11">
        <f>IFERROR(__xludf.DUMMYFUNCTION("""COMPUTED_VALUE"""),-189.258857939999)</f>
        <v>-189.258857939999</v>
      </c>
      <c r="H586" s="11">
        <f>IFERROR(__xludf.DUMMYFUNCTION("""COMPUTED_VALUE"""),26.6653083919999)</f>
        <v>26.6653083919999</v>
      </c>
      <c r="I586" s="15"/>
      <c r="J586" s="15"/>
      <c r="K586" s="15"/>
      <c r="L586" s="15"/>
      <c r="M586" s="7" t="b">
        <f>IFERROR(__xludf.DUMMYFUNCTION("""COMPUTED_VALUE"""),FALSE)</f>
        <v>0</v>
      </c>
      <c r="N586" s="10">
        <f>IFERROR(__xludf.DUMMYFUNCTION("""COMPUTED_VALUE"""),0)</f>
        <v>0</v>
      </c>
      <c r="O586" s="10">
        <f>IFERROR(__xludf.DUMMYFUNCTION("""COMPUTED_VALUE"""),0)</f>
        <v>0</v>
      </c>
      <c r="P586" s="8"/>
      <c r="Q586" s="7"/>
      <c r="R586" s="16"/>
      <c r="S586" s="17"/>
      <c r="T586" s="8"/>
      <c r="U586" s="8"/>
      <c r="V586" s="22"/>
      <c r="W586" s="12"/>
      <c r="X586" s="12"/>
      <c r="Y586" s="12"/>
      <c r="Z586" s="12"/>
      <c r="AA586" s="7"/>
      <c r="AB586" s="12"/>
      <c r="AC586" s="6"/>
      <c r="AD586" s="6"/>
      <c r="AE586" s="7"/>
      <c r="AF586" s="7"/>
      <c r="AG586" s="7"/>
      <c r="AH586" s="7"/>
      <c r="AI586" s="7"/>
      <c r="AJ586" s="7"/>
      <c r="AK586" s="7"/>
      <c r="AL586" s="7"/>
      <c r="AM586" s="7"/>
      <c r="AN586" s="7"/>
      <c r="AO586" s="6"/>
      <c r="AP586" s="7"/>
      <c r="AQ586" s="7"/>
      <c r="AR586" s="6"/>
      <c r="AS586" s="7"/>
      <c r="AT586" s="7"/>
      <c r="AU586" s="7"/>
      <c r="AV586" s="7"/>
      <c r="AW586" s="7"/>
      <c r="AX586" s="7"/>
      <c r="AY586" s="7"/>
      <c r="AZ586" s="7"/>
      <c r="BA586" s="7"/>
      <c r="BB586" s="7"/>
      <c r="BC586" s="7"/>
      <c r="BD586" s="7"/>
      <c r="BE586" s="7"/>
      <c r="BF586" s="7"/>
      <c r="BG586" s="7"/>
    </row>
    <row r="587" customHeight="1" spans="1:59">
      <c r="A587" s="9" t="str">
        <f>IFERROR(__xludf.DUMMYFUNCTION("""COMPUTED_VALUE"""),"Lyria")</f>
        <v>Lyria</v>
      </c>
      <c r="B587" s="9" t="str">
        <f>IFERROR(__xludf.DUMMYFUNCTION("""COMPUTED_VALUE"""),"Lyria 32")</f>
        <v>Lyria 32</v>
      </c>
      <c r="C587" s="9"/>
      <c r="D587" s="5" t="str">
        <f>IFERROR(__xludf.DUMMYFUNCTION("""COMPUTED_VALUE"""),"Comm Array")</f>
        <v>Comm Array</v>
      </c>
      <c r="E587" s="7"/>
      <c r="F587" s="8"/>
      <c r="G587" s="8"/>
      <c r="H587" s="8"/>
      <c r="I587" s="14"/>
      <c r="J587" s="14"/>
      <c r="K587" s="14"/>
      <c r="L587" s="14"/>
      <c r="M587" s="7"/>
      <c r="N587" s="10"/>
      <c r="O587" s="10"/>
      <c r="P587" s="8"/>
      <c r="Q587" s="7"/>
      <c r="R587" s="16"/>
      <c r="S587" s="17"/>
      <c r="T587" s="8"/>
      <c r="U587" s="8"/>
      <c r="V587" s="22"/>
      <c r="W587" s="12"/>
      <c r="X587" s="12"/>
      <c r="Y587" s="12"/>
      <c r="Z587" s="12"/>
      <c r="AA587" s="7"/>
      <c r="AB587" s="12"/>
      <c r="AC587" s="6"/>
      <c r="AD587" s="6"/>
      <c r="AE587" s="7"/>
      <c r="AF587" s="7"/>
      <c r="AG587" s="7"/>
      <c r="AH587" s="7"/>
      <c r="AI587" s="7"/>
      <c r="AJ587" s="7"/>
      <c r="AK587" s="7"/>
      <c r="AL587" s="7"/>
      <c r="AM587" s="7"/>
      <c r="AN587" s="7"/>
      <c r="AO587" s="6"/>
      <c r="AP587" s="7"/>
      <c r="AQ587" s="7"/>
      <c r="AR587" s="6"/>
      <c r="AS587" s="7"/>
      <c r="AT587" s="7"/>
      <c r="AU587" s="7"/>
      <c r="AV587" s="7"/>
      <c r="AW587" s="7"/>
      <c r="AX587" s="7"/>
      <c r="AY587" s="7"/>
      <c r="AZ587" s="7"/>
      <c r="BA587" s="7"/>
      <c r="BB587" s="7"/>
      <c r="BC587" s="7"/>
      <c r="BD587" s="7"/>
      <c r="BE587" s="7"/>
      <c r="BF587" s="7"/>
      <c r="BG587" s="7"/>
    </row>
    <row r="588" customHeight="1" spans="1:59">
      <c r="A588" s="9" t="str">
        <f>IFERROR(__xludf.DUMMYFUNCTION("""COMPUTED_VALUE"""),"Lyria 19")</f>
        <v>Lyria 19</v>
      </c>
      <c r="B588" s="9" t="str">
        <f>IFERROR(__xludf.DUMMYFUNCTION("""COMPUTED_VALUE"""),"Lyria 33")</f>
        <v>Lyria 33</v>
      </c>
      <c r="C588" s="9" t="str">
        <f>IFERROR(__xludf.DUMMYFUNCTION("""COMPUTED_VALUE"""),"Lyria 02")</f>
        <v>Lyria 02</v>
      </c>
      <c r="D588" s="5" t="str">
        <f>IFERROR(__xludf.DUMMYFUNCTION("""COMPUTED_VALUE"""),"Comm Array ST3-18")</f>
        <v>Comm Array ST3-18</v>
      </c>
      <c r="E588" s="7" t="str">
        <f>IFERROR(__xludf.DUMMYFUNCTION("""COMPUTED_VALUE"""),"ST3-18")</f>
        <v>ST3-18</v>
      </c>
      <c r="F588" s="8">
        <f>IFERROR(__xludf.DUMMYFUNCTION("""COMPUTED_VALUE"""),-382.727018798828)</f>
        <v>-382.727018798828</v>
      </c>
      <c r="G588" s="8">
        <f>IFERROR(__xludf.DUMMYFUNCTION("""COMPUTED_VALUE"""),33.033828601837)</f>
        <v>33.033828601837</v>
      </c>
      <c r="H588" s="8">
        <f>IFERROR(__xludf.DUMMYFUNCTION("""COMPUTED_VALUE"""),24)</f>
        <v>24</v>
      </c>
      <c r="I588" s="14"/>
      <c r="J588" s="14"/>
      <c r="K588" s="14"/>
      <c r="L588" s="14"/>
      <c r="M588" s="7" t="b">
        <f>IFERROR(__xludf.DUMMYFUNCTION("""COMPUTED_VALUE"""),TRUE)</f>
        <v>1</v>
      </c>
      <c r="N588" s="10">
        <f>IFERROR(__xludf.DUMMYFUNCTION("""COMPUTED_VALUE"""),0)</f>
        <v>0</v>
      </c>
      <c r="O588" s="10">
        <f>IFERROR(__xludf.DUMMYFUNCTION("""COMPUTED_VALUE"""),0)</f>
        <v>0</v>
      </c>
      <c r="P588" s="8"/>
      <c r="Q588" s="7"/>
      <c r="R588" s="16"/>
      <c r="S588" s="17"/>
      <c r="T588" s="8"/>
      <c r="U588" s="8"/>
      <c r="V588" s="22"/>
      <c r="W588" s="12"/>
      <c r="X588" s="12"/>
      <c r="Y588" s="12"/>
      <c r="Z588" s="12"/>
      <c r="AA588" s="7"/>
      <c r="AB588" s="12"/>
      <c r="AC588" s="6"/>
      <c r="AD588" s="6"/>
      <c r="AE588" s="7"/>
      <c r="AF588" s="7"/>
      <c r="AG588" s="7"/>
      <c r="AH588" s="7"/>
      <c r="AI588" s="7"/>
      <c r="AJ588" s="7"/>
      <c r="AK588" s="7"/>
      <c r="AL588" s="7"/>
      <c r="AM588" s="7"/>
      <c r="AN588" s="7"/>
      <c r="AO588" s="6"/>
      <c r="AP588" s="7"/>
      <c r="AQ588" s="7"/>
      <c r="AR588" s="6"/>
      <c r="AS588" s="7"/>
      <c r="AT588" s="7"/>
      <c r="AU588" s="7"/>
      <c r="AV588" s="7"/>
      <c r="AW588" s="7"/>
      <c r="AX588" s="7"/>
      <c r="AY588" s="7"/>
      <c r="AZ588" s="7"/>
      <c r="BA588" s="7"/>
      <c r="BB588" s="7"/>
      <c r="BC588" s="7"/>
      <c r="BD588" s="7"/>
      <c r="BE588" s="7"/>
      <c r="BF588" s="7"/>
      <c r="BG588" s="7"/>
    </row>
    <row r="589" customHeight="1" spans="1:59">
      <c r="A589" s="9"/>
      <c r="B589" s="9"/>
      <c r="C589" s="9"/>
      <c r="D589" s="5"/>
      <c r="E589" s="7"/>
      <c r="F589" s="8"/>
      <c r="G589" s="8"/>
      <c r="H589" s="8"/>
      <c r="I589" s="14"/>
      <c r="J589" s="14"/>
      <c r="K589" s="14"/>
      <c r="L589" s="14"/>
      <c r="M589" s="7"/>
      <c r="N589" s="10"/>
      <c r="O589" s="10"/>
      <c r="P589" s="8"/>
      <c r="Q589" s="7"/>
      <c r="R589" s="16"/>
      <c r="S589" s="17"/>
      <c r="T589" s="8"/>
      <c r="U589" s="8"/>
      <c r="V589" s="22"/>
      <c r="W589" s="12"/>
      <c r="X589" s="12"/>
      <c r="Y589" s="12"/>
      <c r="Z589" s="12"/>
      <c r="AA589" s="7"/>
      <c r="AB589" s="12"/>
      <c r="AC589" s="6"/>
      <c r="AD589" s="6"/>
      <c r="AE589" s="7"/>
      <c r="AF589" s="7"/>
      <c r="AG589" s="7"/>
      <c r="AH589" s="7"/>
      <c r="AI589" s="7"/>
      <c r="AJ589" s="7"/>
      <c r="AK589" s="7"/>
      <c r="AL589" s="7"/>
      <c r="AM589" s="7"/>
      <c r="AN589" s="7"/>
      <c r="AO589" s="6"/>
      <c r="AP589" s="7"/>
      <c r="AQ589" s="7"/>
      <c r="AR589" s="6"/>
      <c r="AS589" s="7"/>
      <c r="AT589" s="7"/>
      <c r="AU589" s="7"/>
      <c r="AV589" s="7"/>
      <c r="AW589" s="7"/>
      <c r="AX589" s="7"/>
      <c r="AY589" s="7"/>
      <c r="AZ589" s="7"/>
      <c r="BA589" s="7"/>
      <c r="BB589" s="7"/>
      <c r="BC589" s="7"/>
      <c r="BD589" s="7"/>
      <c r="BE589" s="7"/>
      <c r="BF589" s="7"/>
      <c r="BG589" s="7"/>
    </row>
    <row r="590" customHeight="1" spans="1:59">
      <c r="A590" s="9" t="str">
        <f>IFERROR(__xludf.DUMMYFUNCTION("""COMPUTED_VALUE"""),"Magda R01")</f>
        <v>Magda R01</v>
      </c>
      <c r="B590" s="9" t="str">
        <f>IFERROR(__xludf.DUMMYFUNCTION("""COMPUTED_VALUE"""),"Magda 62")</f>
        <v>Magda 62</v>
      </c>
      <c r="C590" s="9"/>
      <c r="D590" s="5" t="str">
        <f>IFERROR(__xludf.DUMMYFUNCTION("""COMPUTED_VALUE"""),"OM-1")</f>
        <v>OM-1</v>
      </c>
      <c r="E590" s="7" t="str">
        <f>IFERROR(__xludf.DUMMYFUNCTION("""COMPUTED_VALUE"""),"OM1")</f>
        <v>OM1</v>
      </c>
      <c r="F590" s="11">
        <f>IFERROR(__xludf.DUMMYFUNCTION("""COMPUTED_VALUE"""),0)</f>
        <v>0</v>
      </c>
      <c r="G590" s="11">
        <f>IFERROR(__xludf.DUMMYFUNCTION("""COMPUTED_VALUE"""),0)</f>
        <v>0</v>
      </c>
      <c r="H590" s="11">
        <f>IFERROR(__xludf.DUMMYFUNCTION("""COMPUTED_VALUE"""),494.84)</f>
        <v>494.84</v>
      </c>
      <c r="I590" s="15"/>
      <c r="J590" s="15"/>
      <c r="K590" s="15"/>
      <c r="L590" s="15"/>
      <c r="M590" s="7" t="b">
        <f>IFERROR(__xludf.DUMMYFUNCTION("""COMPUTED_VALUE"""),TRUE)</f>
        <v>1</v>
      </c>
      <c r="N590" s="10">
        <f>IFERROR(__xludf.DUMMYFUNCTION("""COMPUTED_VALUE"""),0)</f>
        <v>0</v>
      </c>
      <c r="O590" s="10">
        <f>IFERROR(__xludf.DUMMYFUNCTION("""COMPUTED_VALUE"""),0)</f>
        <v>0</v>
      </c>
      <c r="P590" s="8"/>
      <c r="Q590" s="7"/>
      <c r="R590" s="16"/>
      <c r="S590" s="17"/>
      <c r="T590" s="8"/>
      <c r="U590" s="8"/>
      <c r="V590" s="22"/>
      <c r="W590" s="12"/>
      <c r="X590" s="12"/>
      <c r="Y590" s="12"/>
      <c r="Z590" s="12"/>
      <c r="AA590" s="7"/>
      <c r="AB590" s="12"/>
      <c r="AC590" s="6"/>
      <c r="AD590" s="6"/>
      <c r="AE590" s="7"/>
      <c r="AF590" s="7"/>
      <c r="AG590" s="7"/>
      <c r="AH590" s="7"/>
      <c r="AI590" s="7"/>
      <c r="AJ590" s="7"/>
      <c r="AK590" s="7"/>
      <c r="AL590" s="7"/>
      <c r="AM590" s="7"/>
      <c r="AN590" s="7"/>
      <c r="AO590" s="6"/>
      <c r="AP590" s="7"/>
      <c r="AQ590" s="7"/>
      <c r="AR590" s="6"/>
      <c r="AS590" s="7"/>
      <c r="AT590" s="7"/>
      <c r="AU590" s="7"/>
      <c r="AV590" s="7"/>
      <c r="AW590" s="7"/>
      <c r="AX590" s="7"/>
      <c r="AY590" s="7"/>
      <c r="AZ590" s="7"/>
      <c r="BA590" s="7"/>
      <c r="BB590" s="7"/>
      <c r="BC590" s="7"/>
      <c r="BD590" s="7"/>
      <c r="BE590" s="7"/>
      <c r="BF590" s="7"/>
      <c r="BG590" s="7"/>
    </row>
    <row r="591" customHeight="1" spans="1:59">
      <c r="A591" s="9" t="str">
        <f>IFERROR(__xludf.DUMMYFUNCTION("""COMPUTED_VALUE"""),"Magda R02")</f>
        <v>Magda R02</v>
      </c>
      <c r="B591" s="9" t="str">
        <f>IFERROR(__xludf.DUMMYFUNCTION("""COMPUTED_VALUE"""),"Magda 63")</f>
        <v>Magda 63</v>
      </c>
      <c r="C591" s="9"/>
      <c r="D591" s="5" t="str">
        <f>IFERROR(__xludf.DUMMYFUNCTION("""COMPUTED_VALUE"""),"OM-2")</f>
        <v>OM-2</v>
      </c>
      <c r="E591" s="7" t="str">
        <f>IFERROR(__xludf.DUMMYFUNCTION("""COMPUTED_VALUE"""),"OM2")</f>
        <v>OM2</v>
      </c>
      <c r="F591" s="11">
        <f>IFERROR(__xludf.DUMMYFUNCTION("""COMPUTED_VALUE"""),0)</f>
        <v>0</v>
      </c>
      <c r="G591" s="11">
        <f>IFERROR(__xludf.DUMMYFUNCTION("""COMPUTED_VALUE"""),0)</f>
        <v>0</v>
      </c>
      <c r="H591" s="11">
        <f>IFERROR(__xludf.DUMMYFUNCTION("""COMPUTED_VALUE"""),-494.84)</f>
        <v>-494.84</v>
      </c>
      <c r="I591" s="15"/>
      <c r="J591" s="15"/>
      <c r="K591" s="15"/>
      <c r="L591" s="15"/>
      <c r="M591" s="7" t="b">
        <f>IFERROR(__xludf.DUMMYFUNCTION("""COMPUTED_VALUE"""),TRUE)</f>
        <v>1</v>
      </c>
      <c r="N591" s="10">
        <f>IFERROR(__xludf.DUMMYFUNCTION("""COMPUTED_VALUE"""),0)</f>
        <v>0</v>
      </c>
      <c r="O591" s="10">
        <f>IFERROR(__xludf.DUMMYFUNCTION("""COMPUTED_VALUE"""),0)</f>
        <v>0</v>
      </c>
      <c r="P591" s="8"/>
      <c r="Q591" s="7"/>
      <c r="R591" s="16"/>
      <c r="S591" s="17"/>
      <c r="T591" s="8"/>
      <c r="U591" s="8"/>
      <c r="V591" s="22"/>
      <c r="W591" s="12"/>
      <c r="X591" s="12"/>
      <c r="Y591" s="12"/>
      <c r="Z591" s="12"/>
      <c r="AA591" s="7"/>
      <c r="AB591" s="12"/>
      <c r="AC591" s="6"/>
      <c r="AD591" s="6"/>
      <c r="AE591" s="7"/>
      <c r="AF591" s="7"/>
      <c r="AG591" s="7"/>
      <c r="AH591" s="7"/>
      <c r="AI591" s="7"/>
      <c r="AJ591" s="7"/>
      <c r="AK591" s="7"/>
      <c r="AL591" s="7"/>
      <c r="AM591" s="7"/>
      <c r="AN591" s="7"/>
      <c r="AO591" s="6"/>
      <c r="AP591" s="7"/>
      <c r="AQ591" s="7"/>
      <c r="AR591" s="6"/>
      <c r="AS591" s="7"/>
      <c r="AT591" s="7"/>
      <c r="AU591" s="7"/>
      <c r="AV591" s="7"/>
      <c r="AW591" s="7"/>
      <c r="AX591" s="7"/>
      <c r="AY591" s="7"/>
      <c r="AZ591" s="7"/>
      <c r="BA591" s="7"/>
      <c r="BB591" s="7"/>
      <c r="BC591" s="7"/>
      <c r="BD591" s="7"/>
      <c r="BE591" s="7"/>
      <c r="BF591" s="7"/>
      <c r="BG591" s="7"/>
    </row>
    <row r="592" customHeight="1" spans="1:59">
      <c r="A592" s="9" t="str">
        <f>IFERROR(__xludf.DUMMYFUNCTION("""COMPUTED_VALUE"""),"Magda R03")</f>
        <v>Magda R03</v>
      </c>
      <c r="B592" s="9" t="str">
        <f>IFERROR(__xludf.DUMMYFUNCTION("""COMPUTED_VALUE"""),"Magda 64")</f>
        <v>Magda 64</v>
      </c>
      <c r="C592" s="9" t="str">
        <f>IFERROR(__xludf.DUMMYFUNCTION("""COMPUTED_VALUE"""),"Magda 18")</f>
        <v>Magda 18</v>
      </c>
      <c r="D592" s="5" t="str">
        <f>IFERROR(__xludf.DUMMYFUNCTION("""COMPUTED_VALUE"""),"OM-3")</f>
        <v>OM-3</v>
      </c>
      <c r="E592" s="7" t="str">
        <f>IFERROR(__xludf.DUMMYFUNCTION("""COMPUTED_VALUE"""),"OM3")</f>
        <v>OM3</v>
      </c>
      <c r="F592" s="11">
        <f>IFERROR(__xludf.DUMMYFUNCTION("""COMPUTED_VALUE"""),0)</f>
        <v>0</v>
      </c>
      <c r="G592" s="11">
        <f>IFERROR(__xludf.DUMMYFUNCTION("""COMPUTED_VALUE"""),494.84)</f>
        <v>494.84</v>
      </c>
      <c r="H592" s="11">
        <f>IFERROR(__xludf.DUMMYFUNCTION("""COMPUTED_VALUE"""),0)</f>
        <v>0</v>
      </c>
      <c r="I592" s="15"/>
      <c r="J592" s="15"/>
      <c r="K592" s="15"/>
      <c r="L592" s="15"/>
      <c r="M592" s="7" t="b">
        <f>IFERROR(__xludf.DUMMYFUNCTION("""COMPUTED_VALUE"""),TRUE)</f>
        <v>1</v>
      </c>
      <c r="N592" s="10">
        <f>IFERROR(__xludf.DUMMYFUNCTION("""COMPUTED_VALUE"""),0)</f>
        <v>0</v>
      </c>
      <c r="O592" s="10">
        <f>IFERROR(__xludf.DUMMYFUNCTION("""COMPUTED_VALUE"""),0)</f>
        <v>0</v>
      </c>
      <c r="P592" s="8"/>
      <c r="Q592" s="7"/>
      <c r="R592" s="16"/>
      <c r="S592" s="17"/>
      <c r="T592" s="8"/>
      <c r="U592" s="8"/>
      <c r="V592" s="22"/>
      <c r="W592" s="12"/>
      <c r="X592" s="12"/>
      <c r="Y592" s="12"/>
      <c r="Z592" s="12"/>
      <c r="AA592" s="7"/>
      <c r="AB592" s="12"/>
      <c r="AC592" s="6"/>
      <c r="AD592" s="6"/>
      <c r="AE592" s="7"/>
      <c r="AF592" s="7"/>
      <c r="AG592" s="7"/>
      <c r="AH592" s="7"/>
      <c r="AI592" s="7"/>
      <c r="AJ592" s="7"/>
      <c r="AK592" s="7"/>
      <c r="AL592" s="7"/>
      <c r="AM592" s="7"/>
      <c r="AN592" s="7"/>
      <c r="AO592" s="6"/>
      <c r="AP592" s="7"/>
      <c r="AQ592" s="7"/>
      <c r="AR592" s="6"/>
      <c r="AS592" s="7"/>
      <c r="AT592" s="7"/>
      <c r="AU592" s="7"/>
      <c r="AV592" s="7"/>
      <c r="AW592" s="7"/>
      <c r="AX592" s="7"/>
      <c r="AY592" s="7"/>
      <c r="AZ592" s="7"/>
      <c r="BA592" s="7"/>
      <c r="BB592" s="7"/>
      <c r="BC592" s="7"/>
      <c r="BD592" s="7"/>
      <c r="BE592" s="7"/>
      <c r="BF592" s="7"/>
      <c r="BG592" s="7"/>
    </row>
    <row r="593" customHeight="1" spans="1:59">
      <c r="A593" s="9" t="str">
        <f>IFERROR(__xludf.DUMMYFUNCTION("""COMPUTED_VALUE"""),"Magda R04")</f>
        <v>Magda R04</v>
      </c>
      <c r="B593" s="9" t="str">
        <f>IFERROR(__xludf.DUMMYFUNCTION("""COMPUTED_VALUE"""),"Magda 65")</f>
        <v>Magda 65</v>
      </c>
      <c r="C593" s="9" t="str">
        <f>IFERROR(__xludf.DUMMYFUNCTION("""COMPUTED_VALUE"""),"Magda 44")</f>
        <v>Magda 44</v>
      </c>
      <c r="D593" s="5" t="str">
        <f>IFERROR(__xludf.DUMMYFUNCTION("""COMPUTED_VALUE"""),"OM-4")</f>
        <v>OM-4</v>
      </c>
      <c r="E593" s="7" t="str">
        <f>IFERROR(__xludf.DUMMYFUNCTION("""COMPUTED_VALUE"""),"OM4")</f>
        <v>OM4</v>
      </c>
      <c r="F593" s="11">
        <f>IFERROR(__xludf.DUMMYFUNCTION("""COMPUTED_VALUE"""),0)</f>
        <v>0</v>
      </c>
      <c r="G593" s="11">
        <f>IFERROR(__xludf.DUMMYFUNCTION("""COMPUTED_VALUE"""),-494.84)</f>
        <v>-494.84</v>
      </c>
      <c r="H593" s="11">
        <f>IFERROR(__xludf.DUMMYFUNCTION("""COMPUTED_VALUE"""),0)</f>
        <v>0</v>
      </c>
      <c r="I593" s="15"/>
      <c r="J593" s="15"/>
      <c r="K593" s="15"/>
      <c r="L593" s="15"/>
      <c r="M593" s="7" t="b">
        <f>IFERROR(__xludf.DUMMYFUNCTION("""COMPUTED_VALUE"""),TRUE)</f>
        <v>1</v>
      </c>
      <c r="N593" s="10">
        <f>IFERROR(__xludf.DUMMYFUNCTION("""COMPUTED_VALUE"""),0)</f>
        <v>0</v>
      </c>
      <c r="O593" s="10">
        <f>IFERROR(__xludf.DUMMYFUNCTION("""COMPUTED_VALUE"""),0)</f>
        <v>0</v>
      </c>
      <c r="P593" s="8"/>
      <c r="Q593" s="7"/>
      <c r="R593" s="16"/>
      <c r="S593" s="17"/>
      <c r="T593" s="8"/>
      <c r="U593" s="8"/>
      <c r="V593" s="22"/>
      <c r="W593" s="12"/>
      <c r="X593" s="12"/>
      <c r="Y593" s="12"/>
      <c r="Z593" s="12"/>
      <c r="AA593" s="7"/>
      <c r="AB593" s="12"/>
      <c r="AC593" s="6"/>
      <c r="AD593" s="6"/>
      <c r="AE593" s="7"/>
      <c r="AF593" s="7"/>
      <c r="AG593" s="7"/>
      <c r="AH593" s="7"/>
      <c r="AI593" s="7"/>
      <c r="AJ593" s="7"/>
      <c r="AK593" s="7"/>
      <c r="AL593" s="7"/>
      <c r="AM593" s="7"/>
      <c r="AN593" s="7"/>
      <c r="AO593" s="6"/>
      <c r="AP593" s="7"/>
      <c r="AQ593" s="7"/>
      <c r="AR593" s="6"/>
      <c r="AS593" s="7"/>
      <c r="AT593" s="7"/>
      <c r="AU593" s="7"/>
      <c r="AV593" s="7"/>
      <c r="AW593" s="7"/>
      <c r="AX593" s="7"/>
      <c r="AY593" s="7"/>
      <c r="AZ593" s="7"/>
      <c r="BA593" s="7"/>
      <c r="BB593" s="7"/>
      <c r="BC593" s="7"/>
      <c r="BD593" s="7"/>
      <c r="BE593" s="7"/>
      <c r="BF593" s="7"/>
      <c r="BG593" s="7"/>
    </row>
    <row r="594" customHeight="1" spans="1:59">
      <c r="A594" s="9" t="str">
        <f>IFERROR(__xludf.DUMMYFUNCTION("""COMPUTED_VALUE"""),"Magda R05")</f>
        <v>Magda R05</v>
      </c>
      <c r="B594" s="9" t="str">
        <f>IFERROR(__xludf.DUMMYFUNCTION("""COMPUTED_VALUE"""),"Magda 66")</f>
        <v>Magda 66</v>
      </c>
      <c r="C594" s="9" t="str">
        <f>IFERROR(__xludf.DUMMYFUNCTION("""COMPUTED_VALUE"""),"Magda 31")</f>
        <v>Magda 31</v>
      </c>
      <c r="D594" s="5" t="str">
        <f>IFERROR(__xludf.DUMMYFUNCTION("""COMPUTED_VALUE"""),"OM-5")</f>
        <v>OM-5</v>
      </c>
      <c r="E594" s="7" t="str">
        <f>IFERROR(__xludf.DUMMYFUNCTION("""COMPUTED_VALUE"""),"OM5")</f>
        <v>OM5</v>
      </c>
      <c r="F594" s="11">
        <f>IFERROR(__xludf.DUMMYFUNCTION("""COMPUTED_VALUE"""),494.84)</f>
        <v>494.84</v>
      </c>
      <c r="G594" s="11">
        <f>IFERROR(__xludf.DUMMYFUNCTION("""COMPUTED_VALUE"""),0)</f>
        <v>0</v>
      </c>
      <c r="H594" s="11">
        <f>IFERROR(__xludf.DUMMYFUNCTION("""COMPUTED_VALUE"""),0)</f>
        <v>0</v>
      </c>
      <c r="I594" s="15"/>
      <c r="J594" s="15"/>
      <c r="K594" s="15"/>
      <c r="L594" s="15"/>
      <c r="M594" s="7" t="b">
        <f>IFERROR(__xludf.DUMMYFUNCTION("""COMPUTED_VALUE"""),TRUE)</f>
        <v>1</v>
      </c>
      <c r="N594" s="10">
        <f>IFERROR(__xludf.DUMMYFUNCTION("""COMPUTED_VALUE"""),0)</f>
        <v>0</v>
      </c>
      <c r="O594" s="10">
        <f>IFERROR(__xludf.DUMMYFUNCTION("""COMPUTED_VALUE"""),0)</f>
        <v>0</v>
      </c>
      <c r="P594" s="8"/>
      <c r="Q594" s="7"/>
      <c r="R594" s="16"/>
      <c r="S594" s="17"/>
      <c r="T594" s="8"/>
      <c r="U594" s="8"/>
      <c r="V594" s="22"/>
      <c r="W594" s="12"/>
      <c r="X594" s="12"/>
      <c r="Y594" s="12"/>
      <c r="Z594" s="12"/>
      <c r="AA594" s="7"/>
      <c r="AB594" s="12"/>
      <c r="AC594" s="6"/>
      <c r="AD594" s="6"/>
      <c r="AE594" s="7"/>
      <c r="AF594" s="7"/>
      <c r="AG594" s="7"/>
      <c r="AH594" s="7"/>
      <c r="AI594" s="7"/>
      <c r="AJ594" s="7"/>
      <c r="AK594" s="7"/>
      <c r="AL594" s="7"/>
      <c r="AM594" s="7"/>
      <c r="AN594" s="7"/>
      <c r="AO594" s="6"/>
      <c r="AP594" s="7"/>
      <c r="AQ594" s="7"/>
      <c r="AR594" s="6"/>
      <c r="AS594" s="7"/>
      <c r="AT594" s="7"/>
      <c r="AU594" s="7"/>
      <c r="AV594" s="7"/>
      <c r="AW594" s="7"/>
      <c r="AX594" s="7"/>
      <c r="AY594" s="7"/>
      <c r="AZ594" s="7"/>
      <c r="BA594" s="7"/>
      <c r="BB594" s="7"/>
      <c r="BC594" s="7"/>
      <c r="BD594" s="7"/>
      <c r="BE594" s="7"/>
      <c r="BF594" s="7"/>
      <c r="BG594" s="7"/>
    </row>
    <row r="595" customHeight="1" spans="1:59">
      <c r="A595" s="9" t="str">
        <f>IFERROR(__xludf.DUMMYFUNCTION("""COMPUTED_VALUE"""),"Magda R06")</f>
        <v>Magda R06</v>
      </c>
      <c r="B595" s="9" t="str">
        <f>IFERROR(__xludf.DUMMYFUNCTION("""COMPUTED_VALUE"""),"Magda 67")</f>
        <v>Magda 67</v>
      </c>
      <c r="C595" s="9" t="str">
        <f>IFERROR(__xludf.DUMMYFUNCTION("""COMPUTED_VALUE"""),"Magda 55")</f>
        <v>Magda 55</v>
      </c>
      <c r="D595" s="5" t="str">
        <f>IFERROR(__xludf.DUMMYFUNCTION("""COMPUTED_VALUE"""),"OM-6")</f>
        <v>OM-6</v>
      </c>
      <c r="E595" s="7" t="str">
        <f>IFERROR(__xludf.DUMMYFUNCTION("""COMPUTED_VALUE"""),"OM6")</f>
        <v>OM6</v>
      </c>
      <c r="F595" s="11">
        <f>IFERROR(__xludf.DUMMYFUNCTION("""COMPUTED_VALUE"""),-494.84)</f>
        <v>-494.84</v>
      </c>
      <c r="G595" s="11">
        <f>IFERROR(__xludf.DUMMYFUNCTION("""COMPUTED_VALUE"""),0)</f>
        <v>0</v>
      </c>
      <c r="H595" s="11">
        <f>IFERROR(__xludf.DUMMYFUNCTION("""COMPUTED_VALUE"""),0)</f>
        <v>0</v>
      </c>
      <c r="I595" s="15"/>
      <c r="J595" s="15"/>
      <c r="K595" s="15"/>
      <c r="L595" s="15"/>
      <c r="M595" s="7" t="b">
        <f>IFERROR(__xludf.DUMMYFUNCTION("""COMPUTED_VALUE"""),TRUE)</f>
        <v>1</v>
      </c>
      <c r="N595" s="10">
        <f>IFERROR(__xludf.DUMMYFUNCTION("""COMPUTED_VALUE"""),0)</f>
        <v>0</v>
      </c>
      <c r="O595" s="10">
        <f>IFERROR(__xludf.DUMMYFUNCTION("""COMPUTED_VALUE"""),0)</f>
        <v>0</v>
      </c>
      <c r="P595" s="8"/>
      <c r="Q595" s="7"/>
      <c r="R595" s="16"/>
      <c r="S595" s="17"/>
      <c r="T595" s="8"/>
      <c r="U595" s="8"/>
      <c r="V595" s="22"/>
      <c r="W595" s="12"/>
      <c r="X595" s="12"/>
      <c r="Y595" s="12"/>
      <c r="Z595" s="12"/>
      <c r="AA595" s="7"/>
      <c r="AB595" s="12"/>
      <c r="AC595" s="6"/>
      <c r="AD595" s="6"/>
      <c r="AE595" s="7"/>
      <c r="AF595" s="7"/>
      <c r="AG595" s="7"/>
      <c r="AH595" s="7"/>
      <c r="AI595" s="7"/>
      <c r="AJ595" s="7"/>
      <c r="AK595" s="7"/>
      <c r="AL595" s="7"/>
      <c r="AM595" s="7"/>
      <c r="AN595" s="7"/>
      <c r="AO595" s="6"/>
      <c r="AP595" s="7"/>
      <c r="AQ595" s="7"/>
      <c r="AR595" s="6"/>
      <c r="AS595" s="7"/>
      <c r="AT595" s="7"/>
      <c r="AU595" s="7"/>
      <c r="AV595" s="7"/>
      <c r="AW595" s="7"/>
      <c r="AX595" s="7"/>
      <c r="AY595" s="7"/>
      <c r="AZ595" s="7"/>
      <c r="BA595" s="7"/>
      <c r="BB595" s="7"/>
      <c r="BC595" s="7"/>
      <c r="BD595" s="7"/>
      <c r="BE595" s="7"/>
      <c r="BF595" s="7"/>
      <c r="BG595" s="7"/>
    </row>
    <row r="596" customHeight="1" spans="1:59">
      <c r="A596" s="9" t="str">
        <f>IFERROR(__xludf.DUMMYFUNCTION("""COMPUTED_VALUE"""),"Magda")</f>
        <v>Magda</v>
      </c>
      <c r="B596" s="9" t="str">
        <f>IFERROR(__xludf.DUMMYFUNCTION("""COMPUTED_VALUE"""),"Magda 00")</f>
        <v>Magda 00</v>
      </c>
      <c r="C596" s="9"/>
      <c r="D596" s="5" t="str">
        <f>IFERROR(__xludf.DUMMYFUNCTION("""COMPUTED_VALUE"""),"Trading Terminals")</f>
        <v>Trading Terminals</v>
      </c>
      <c r="E596" s="7"/>
      <c r="F596" s="11"/>
      <c r="G596" s="11"/>
      <c r="H596" s="11"/>
      <c r="I596" s="15"/>
      <c r="J596" s="15"/>
      <c r="K596" s="15"/>
      <c r="L596" s="15"/>
      <c r="M596" s="7"/>
      <c r="N596" s="10"/>
      <c r="O596" s="10"/>
      <c r="P596" s="8"/>
      <c r="Q596" s="7"/>
      <c r="R596" s="16"/>
      <c r="S596" s="17"/>
      <c r="T596" s="8"/>
      <c r="U596" s="8"/>
      <c r="V596" s="22"/>
      <c r="W596" s="12"/>
      <c r="X596" s="12"/>
      <c r="Y596" s="12"/>
      <c r="Z596" s="12"/>
      <c r="AA596" s="7"/>
      <c r="AB596" s="12"/>
      <c r="AC596" s="6"/>
      <c r="AD596" s="6"/>
      <c r="AE596" s="7"/>
      <c r="AF596" s="7"/>
      <c r="AG596" s="7"/>
      <c r="AH596" s="7"/>
      <c r="AI596" s="7"/>
      <c r="AJ596" s="7"/>
      <c r="AK596" s="7"/>
      <c r="AL596" s="7"/>
      <c r="AM596" s="7"/>
      <c r="AN596" s="7"/>
      <c r="AO596" s="6"/>
      <c r="AP596" s="7"/>
      <c r="AQ596" s="7"/>
      <c r="AR596" s="6"/>
      <c r="AS596" s="7"/>
      <c r="AT596" s="7"/>
      <c r="AU596" s="7"/>
      <c r="AV596" s="7"/>
      <c r="AW596" s="7"/>
      <c r="AX596" s="7"/>
      <c r="AY596" s="7"/>
      <c r="AZ596" s="7"/>
      <c r="BA596" s="7"/>
      <c r="BB596" s="7"/>
      <c r="BC596" s="7"/>
      <c r="BD596" s="7"/>
      <c r="BE596" s="7"/>
      <c r="BF596" s="7"/>
      <c r="BG596" s="7"/>
    </row>
    <row r="597" customHeight="1" spans="1:59">
      <c r="A597" s="9" t="str">
        <f>IFERROR(__xludf.DUMMYFUNCTION("""COMPUTED_VALUE"""),"Magda 01")</f>
        <v>Magda 01</v>
      </c>
      <c r="B597" s="9" t="str">
        <f>IFERROR(__xludf.DUMMYFUNCTION("""COMPUTED_VALUE"""),"Magda 01")</f>
        <v>Magda 01</v>
      </c>
      <c r="C597" s="9" t="str">
        <f>IFERROR(__xludf.DUMMYFUNCTION("""COMPUTED_VALUE"""),"Magda 46")</f>
        <v>Magda 46</v>
      </c>
      <c r="D597" s="5" t="str">
        <f>IFERROR(__xludf.DUMMYFUNCTION("""COMPUTED_VALUE"""),"HDMS Hahn (PB)")</f>
        <v>HDMS Hahn (PB)</v>
      </c>
      <c r="E597" s="7" t="str">
        <f>IFERROR(__xludf.DUMMYFUNCTION("""COMPUTED_VALUE"""),"Hahn")</f>
        <v>Hahn</v>
      </c>
      <c r="F597" s="11">
        <f>IFERROR(__xludf.DUMMYFUNCTION("""COMPUTED_VALUE"""),-147.383641324)</f>
        <v>-147.383641324</v>
      </c>
      <c r="G597" s="11">
        <f>IFERROR(__xludf.DUMMYFUNCTION("""COMPUTED_VALUE"""),-292.216501385)</f>
        <v>-292.216501385</v>
      </c>
      <c r="H597" s="11">
        <f>IFERROR(__xludf.DUMMYFUNCTION("""COMPUTED_VALUE"""),95.247266076)</f>
        <v>95.247266076</v>
      </c>
      <c r="I597" s="15"/>
      <c r="J597" s="15"/>
      <c r="K597" s="15"/>
      <c r="L597" s="15"/>
      <c r="M597" s="7" t="b">
        <f>IFERROR(__xludf.DUMMYFUNCTION("""COMPUTED_VALUE"""),TRUE)</f>
        <v>1</v>
      </c>
      <c r="N597" s="10">
        <f>IFERROR(__xludf.DUMMYFUNCTION("""COMPUTED_VALUE"""),0)</f>
        <v>0</v>
      </c>
      <c r="O597" s="10">
        <f>IFERROR(__xludf.DUMMYFUNCTION("""COMPUTED_VALUE"""),0)</f>
        <v>0</v>
      </c>
      <c r="P597" s="8"/>
      <c r="Q597" s="7"/>
      <c r="R597" s="16"/>
      <c r="S597" s="17"/>
      <c r="T597" s="8"/>
      <c r="U597" s="8"/>
      <c r="V597" s="22"/>
      <c r="W597" s="12"/>
      <c r="X597" s="12"/>
      <c r="Y597" s="12"/>
      <c r="Z597" s="12"/>
      <c r="AA597" s="7"/>
      <c r="AB597" s="12"/>
      <c r="AC597" s="6"/>
      <c r="AD597" s="6"/>
      <c r="AE597" s="7"/>
      <c r="AF597" s="7"/>
      <c r="AG597" s="7"/>
      <c r="AH597" s="7"/>
      <c r="AI597" s="7"/>
      <c r="AJ597" s="7"/>
      <c r="AK597" s="7"/>
      <c r="AL597" s="7"/>
      <c r="AM597" s="7"/>
      <c r="AN597" s="7"/>
      <c r="AO597" s="6"/>
      <c r="AP597" s="7"/>
      <c r="AQ597" s="7"/>
      <c r="AR597" s="6"/>
      <c r="AS597" s="7"/>
      <c r="AT597" s="7"/>
      <c r="AU597" s="7"/>
      <c r="AV597" s="7"/>
      <c r="AW597" s="7"/>
      <c r="AX597" s="7"/>
      <c r="AY597" s="7"/>
      <c r="AZ597" s="7"/>
      <c r="BA597" s="7"/>
      <c r="BB597" s="7"/>
      <c r="BC597" s="7"/>
      <c r="BD597" s="7"/>
      <c r="BE597" s="7"/>
      <c r="BF597" s="7"/>
      <c r="BG597" s="7"/>
    </row>
    <row r="598" customHeight="1" spans="1:59">
      <c r="A598" s="9" t="str">
        <f>IFERROR(__xludf.DUMMYFUNCTION("""COMPUTED_VALUE"""),"Magda 02")</f>
        <v>Magda 02</v>
      </c>
      <c r="B598" s="9" t="str">
        <f>IFERROR(__xludf.DUMMYFUNCTION("""COMPUTED_VALUE"""),"Magda 02")</f>
        <v>Magda 02</v>
      </c>
      <c r="C598" s="9" t="str">
        <f>IFERROR(__xludf.DUMMYFUNCTION("""COMPUTED_VALUE"""),"Magda 13")</f>
        <v>Magda 13</v>
      </c>
      <c r="D598" s="5" t="str">
        <f>IFERROR(__xludf.DUMMYFUNCTION("""COMPUTED_VALUE"""),"HDMS Perlman (PB)")</f>
        <v>HDMS Perlman (PB)</v>
      </c>
      <c r="E598" s="7" t="str">
        <f>IFERROR(__xludf.DUMMYFUNCTION("""COMPUTED_VALUE"""),"Perlman")</f>
        <v>Perlman</v>
      </c>
      <c r="F598" s="11">
        <f>IFERROR(__xludf.DUMMYFUNCTION("""COMPUTED_VALUE"""),-140.696033869)</f>
        <v>-140.696033869</v>
      </c>
      <c r="G598" s="11">
        <f>IFERROR(__xludf.DUMMYFUNCTION("""COMPUTED_VALUE"""),287.921599109)</f>
        <v>287.921599109</v>
      </c>
      <c r="H598" s="11">
        <f>IFERROR(__xludf.DUMMYFUNCTION("""COMPUTED_VALUE"""),-116.687783421999)</f>
        <v>-116.687783421999</v>
      </c>
      <c r="I598" s="15"/>
      <c r="J598" s="15"/>
      <c r="K598" s="15"/>
      <c r="L598" s="15"/>
      <c r="M598" s="7" t="b">
        <f>IFERROR(__xludf.DUMMYFUNCTION("""COMPUTED_VALUE"""),TRUE)</f>
        <v>1</v>
      </c>
      <c r="N598" s="10">
        <f>IFERROR(__xludf.DUMMYFUNCTION("""COMPUTED_VALUE"""),0)</f>
        <v>0</v>
      </c>
      <c r="O598" s="10">
        <f>IFERROR(__xludf.DUMMYFUNCTION("""COMPUTED_VALUE"""),0)</f>
        <v>0</v>
      </c>
      <c r="P598" s="8"/>
      <c r="Q598" s="7"/>
      <c r="R598" s="16"/>
      <c r="S598" s="17"/>
      <c r="T598" s="8"/>
      <c r="U598" s="8"/>
      <c r="V598" s="22"/>
      <c r="W598" s="12"/>
      <c r="X598" s="12"/>
      <c r="Y598" s="12"/>
      <c r="Z598" s="12"/>
      <c r="AA598" s="7"/>
      <c r="AB598" s="12"/>
      <c r="AC598" s="6"/>
      <c r="AD598" s="6"/>
      <c r="AE598" s="7"/>
      <c r="AF598" s="7"/>
      <c r="AG598" s="7"/>
      <c r="AH598" s="7"/>
      <c r="AI598" s="7"/>
      <c r="AJ598" s="7"/>
      <c r="AK598" s="7"/>
      <c r="AL598" s="7"/>
      <c r="AM598" s="7"/>
      <c r="AN598" s="7"/>
      <c r="AO598" s="6"/>
      <c r="AP598" s="7"/>
      <c r="AQ598" s="7"/>
      <c r="AR598" s="6"/>
      <c r="AS598" s="7"/>
      <c r="AT598" s="7"/>
      <c r="AU598" s="7"/>
      <c r="AV598" s="7"/>
      <c r="AW598" s="7"/>
      <c r="AX598" s="7"/>
      <c r="AY598" s="7"/>
      <c r="AZ598" s="7"/>
      <c r="BA598" s="7"/>
      <c r="BB598" s="7"/>
      <c r="BC598" s="7"/>
      <c r="BD598" s="7"/>
      <c r="BE598" s="7"/>
      <c r="BF598" s="7"/>
      <c r="BG598" s="7"/>
    </row>
    <row r="599" customHeight="1" spans="1:59">
      <c r="A599" s="9" t="str">
        <f>IFERROR(__xludf.DUMMYFUNCTION("""COMPUTED_VALUE"""),"Magda")</f>
        <v>Magda</v>
      </c>
      <c r="B599" s="9" t="str">
        <f>IFERROR(__xludf.DUMMYFUNCTION("""COMPUTED_VALUE"""),"Magda 04")</f>
        <v>Magda 04</v>
      </c>
      <c r="C599" s="5"/>
      <c r="D599" s="5" t="str">
        <f>IFERROR(__xludf.DUMMYFUNCTION("""COMPUTED_VALUE"""),"Settlements")</f>
        <v>Settlements</v>
      </c>
      <c r="E599" s="7"/>
      <c r="F599" s="10"/>
      <c r="G599" s="10"/>
      <c r="H599" s="10"/>
      <c r="I599" s="13"/>
      <c r="J599" s="13"/>
      <c r="K599" s="13"/>
      <c r="L599" s="13"/>
      <c r="M599" s="7"/>
      <c r="N599" s="10"/>
      <c r="O599" s="10"/>
      <c r="P599" s="10"/>
      <c r="Q599" s="6"/>
      <c r="R599" s="16"/>
      <c r="S599" s="17"/>
      <c r="T599" s="10"/>
      <c r="U599" s="10"/>
      <c r="V599" s="22"/>
      <c r="W599" s="12"/>
      <c r="X599" s="12"/>
      <c r="Y599" s="12"/>
      <c r="Z599" s="12"/>
      <c r="AA599" s="6"/>
      <c r="AB599" s="12"/>
      <c r="AC599" s="6"/>
      <c r="AD599" s="6"/>
      <c r="AE599" s="7"/>
      <c r="AF599" s="7"/>
      <c r="AG599" s="7"/>
      <c r="AH599" s="7"/>
      <c r="AI599" s="7"/>
      <c r="AJ599" s="7"/>
      <c r="AK599" s="7"/>
      <c r="AL599" s="7"/>
      <c r="AM599" s="7"/>
      <c r="AN599" s="7"/>
      <c r="AO599" s="6"/>
      <c r="AP599" s="7"/>
      <c r="AQ599" s="7"/>
      <c r="AR599" s="6"/>
      <c r="AS599" s="6"/>
      <c r="AT599" s="6"/>
      <c r="AU599" s="6"/>
      <c r="AV599" s="6"/>
      <c r="AW599" s="6"/>
      <c r="AX599" s="6"/>
      <c r="AY599" s="6"/>
      <c r="AZ599" s="6"/>
      <c r="BA599" s="6"/>
      <c r="BB599" s="6"/>
      <c r="BC599" s="6"/>
      <c r="BD599" s="6"/>
      <c r="BE599" s="6"/>
      <c r="BF599" s="6"/>
      <c r="BG599" s="6"/>
    </row>
    <row r="600" customHeight="1" spans="1:59">
      <c r="A600" s="9" t="str">
        <f>IFERROR(__xludf.DUMMYFUNCTION("""COMPUTED_VALUE"""),"Magda 04")</f>
        <v>Magda 04</v>
      </c>
      <c r="B600" s="9" t="str">
        <f>IFERROR(__xludf.DUMMYFUNCTION("""COMPUTED_VALUE"""),"Magda 05")</f>
        <v>Magda 05</v>
      </c>
      <c r="C600" s="5" t="str">
        <f>IFERROR(__xludf.DUMMYFUNCTION("""COMPUTED_VALUE"""),"Magda 20")</f>
        <v>Magda 20</v>
      </c>
      <c r="D600" s="5" t="str">
        <f>IFERROR(__xludf.DUMMYFUNCTION("""COMPUTED_VALUE"""),"Magda Settlement")</f>
        <v>Magda Settlement</v>
      </c>
      <c r="E600" s="7" t="str">
        <f>IFERROR(__xludf.DUMMYFUNCTION("""COMPUTED_VALUE"""),"Settlement 1c")</f>
        <v>Settlement 1c</v>
      </c>
      <c r="F600" s="10">
        <f>IFERROR(__xludf.DUMMYFUNCTION("""COMPUTED_VALUE"""),22.373402706)</f>
        <v>22.373402706</v>
      </c>
      <c r="G600" s="10">
        <f>IFERROR(__xludf.DUMMYFUNCTION("""COMPUTED_VALUE"""),337.901110561)</f>
        <v>337.901110561</v>
      </c>
      <c r="H600" s="10">
        <f>IFERROR(__xludf.DUMMYFUNCTION("""COMPUTED_VALUE"""),39.720884478)</f>
        <v>39.720884478</v>
      </c>
      <c r="I600" s="13"/>
      <c r="J600" s="13"/>
      <c r="K600" s="13"/>
      <c r="L600" s="13"/>
      <c r="M600" s="7" t="b">
        <f>IFERROR(__xludf.DUMMYFUNCTION("""COMPUTED_VALUE"""),FALSE)</f>
        <v>0</v>
      </c>
      <c r="N600" s="10">
        <f>IFERROR(__xludf.DUMMYFUNCTION("""COMPUTED_VALUE"""),0)</f>
        <v>0</v>
      </c>
      <c r="O600" s="10">
        <f>IFERROR(__xludf.DUMMYFUNCTION("""COMPUTED_VALUE"""),0)</f>
        <v>0</v>
      </c>
      <c r="P600" s="10"/>
      <c r="Q600" s="6"/>
      <c r="R600" s="16"/>
      <c r="S600" s="17"/>
      <c r="T600" s="10"/>
      <c r="U600" s="10"/>
      <c r="V600" s="22"/>
      <c r="W600" s="12"/>
      <c r="X600" s="12"/>
      <c r="Y600" s="12"/>
      <c r="Z600" s="12"/>
      <c r="AA600" s="6"/>
      <c r="AB600" s="12"/>
      <c r="AC600" s="6"/>
      <c r="AD600" s="6"/>
      <c r="AE600" s="7"/>
      <c r="AF600" s="7"/>
      <c r="AG600" s="7"/>
      <c r="AH600" s="7"/>
      <c r="AI600" s="7"/>
      <c r="AJ600" s="7"/>
      <c r="AK600" s="7"/>
      <c r="AL600" s="7"/>
      <c r="AM600" s="7"/>
      <c r="AN600" s="7"/>
      <c r="AO600" s="6"/>
      <c r="AP600" s="7"/>
      <c r="AQ600" s="7"/>
      <c r="AR600" s="6"/>
      <c r="AS600" s="6"/>
      <c r="AT600" s="6"/>
      <c r="AU600" s="6"/>
      <c r="AV600" s="6"/>
      <c r="AW600" s="6"/>
      <c r="AX600" s="6"/>
      <c r="AY600" s="6"/>
      <c r="AZ600" s="6"/>
      <c r="BA600" s="6"/>
      <c r="BB600" s="6"/>
      <c r="BC600" s="6"/>
      <c r="BD600" s="6"/>
      <c r="BE600" s="6"/>
      <c r="BF600" s="6"/>
      <c r="BG600" s="6"/>
    </row>
    <row r="601" customHeight="1" spans="1:59">
      <c r="A601" s="9" t="str">
        <f>IFERROR(__xludf.DUMMYFUNCTION("""COMPUTED_VALUE"""),"Magda")</f>
        <v>Magda</v>
      </c>
      <c r="B601" s="9" t="str">
        <f>IFERROR(__xludf.DUMMYFUNCTION("""COMPUTED_VALUE"""),"Magda 07")</f>
        <v>Magda 07</v>
      </c>
      <c r="C601" s="5"/>
      <c r="D601" s="5" t="str">
        <f>IFERROR(__xludf.DUMMYFUNCTION("""COMPUTED_VALUE"""),"Caves")</f>
        <v>Caves</v>
      </c>
      <c r="E601" s="7"/>
      <c r="F601" s="10"/>
      <c r="G601" s="10"/>
      <c r="H601" s="10"/>
      <c r="I601" s="13"/>
      <c r="J601" s="13"/>
      <c r="K601" s="13"/>
      <c r="L601" s="13"/>
      <c r="M601" s="7"/>
      <c r="N601" s="10"/>
      <c r="O601" s="10"/>
      <c r="P601" s="10"/>
      <c r="Q601" s="6"/>
      <c r="R601" s="16"/>
      <c r="S601" s="17"/>
      <c r="T601" s="10"/>
      <c r="U601" s="10"/>
      <c r="V601" s="22"/>
      <c r="W601" s="12"/>
      <c r="X601" s="12"/>
      <c r="Y601" s="12"/>
      <c r="Z601" s="12"/>
      <c r="AA601" s="6"/>
      <c r="AB601" s="12"/>
      <c r="AC601" s="6"/>
      <c r="AD601" s="6"/>
      <c r="AE601" s="7"/>
      <c r="AF601" s="7"/>
      <c r="AG601" s="7"/>
      <c r="AH601" s="7"/>
      <c r="AI601" s="7"/>
      <c r="AJ601" s="7"/>
      <c r="AK601" s="7"/>
      <c r="AL601" s="7"/>
      <c r="AM601" s="7"/>
      <c r="AN601" s="7"/>
      <c r="AO601" s="6"/>
      <c r="AP601" s="7"/>
      <c r="AQ601" s="7"/>
      <c r="AR601" s="6"/>
      <c r="AS601" s="6"/>
      <c r="AT601" s="6"/>
      <c r="AU601" s="6"/>
      <c r="AV601" s="6"/>
      <c r="AW601" s="6"/>
      <c r="AX601" s="6"/>
      <c r="AY601" s="6"/>
      <c r="AZ601" s="6"/>
      <c r="BA601" s="6"/>
      <c r="BB601" s="6"/>
      <c r="BC601" s="6"/>
      <c r="BD601" s="6"/>
      <c r="BE601" s="6"/>
      <c r="BF601" s="6"/>
      <c r="BG601" s="6"/>
    </row>
    <row r="602" customHeight="1" spans="1:59">
      <c r="A602" s="9" t="str">
        <f>IFERROR(__xludf.DUMMYFUNCTION("""COMPUTED_VALUE"""),"Magda 30")</f>
        <v>Magda 30</v>
      </c>
      <c r="B602" s="5" t="str">
        <f>IFERROR(__xludf.DUMMYFUNCTION("""COMPUTED_VALUE"""),"Magda 33")</f>
        <v>Magda 33</v>
      </c>
      <c r="C602" s="5" t="str">
        <f>IFERROR(__xludf.DUMMYFUNCTION("""COMPUTED_VALUE"""),"Magda 19")</f>
        <v>Magda 19</v>
      </c>
      <c r="D602" s="5" t="str">
        <f>IFERROR(__xludf.DUMMYFUNCTION("""COMPUTED_VALUE"""),"Sand Cave 45P")</f>
        <v>Sand Cave 45P</v>
      </c>
      <c r="E602" s="7" t="str">
        <f>IFERROR(__xludf.DUMMYFUNCTION("""COMPUTED_VALUE"""),"SCave 45P")</f>
        <v>SCave 45P</v>
      </c>
      <c r="F602" s="10">
        <f>IFERROR(__xludf.DUMMYFUNCTION("""COMPUTED_VALUE"""),17.111166458)</f>
        <v>17.111166458</v>
      </c>
      <c r="G602" s="10">
        <f>IFERROR(__xludf.DUMMYFUNCTION("""COMPUTED_VALUE"""),329.933334441)</f>
        <v>329.933334441</v>
      </c>
      <c r="H602" s="10">
        <f>IFERROR(__xludf.DUMMYFUNCTION("""COMPUTED_VALUE"""),85.0865906149999)</f>
        <v>85.0865906149999</v>
      </c>
      <c r="I602" s="13"/>
      <c r="J602" s="13"/>
      <c r="K602" s="13"/>
      <c r="L602" s="13"/>
      <c r="M602" s="7" t="b">
        <f>IFERROR(__xludf.DUMMYFUNCTION("""COMPUTED_VALUE"""),FALSE)</f>
        <v>0</v>
      </c>
      <c r="N602" s="10">
        <f>IFERROR(__xludf.DUMMYFUNCTION("""COMPUTED_VALUE"""),0)</f>
        <v>0</v>
      </c>
      <c r="O602" s="10">
        <f>IFERROR(__xludf.DUMMYFUNCTION("""COMPUTED_VALUE"""),0)</f>
        <v>0</v>
      </c>
      <c r="P602" s="10"/>
      <c r="Q602" s="6"/>
      <c r="R602" s="16"/>
      <c r="S602" s="17"/>
      <c r="T602" s="10"/>
      <c r="U602" s="10"/>
      <c r="V602" s="22"/>
      <c r="W602" s="12"/>
      <c r="X602" s="12"/>
      <c r="Y602" s="12"/>
      <c r="Z602" s="12"/>
      <c r="AA602" s="6"/>
      <c r="AB602" s="12"/>
      <c r="AC602" s="6"/>
      <c r="AD602" s="6"/>
      <c r="AE602" s="7"/>
      <c r="AF602" s="7"/>
      <c r="AG602" s="7"/>
      <c r="AH602" s="7"/>
      <c r="AI602" s="7"/>
      <c r="AJ602" s="7"/>
      <c r="AK602" s="7"/>
      <c r="AL602" s="7"/>
      <c r="AM602" s="7"/>
      <c r="AN602" s="7"/>
      <c r="AO602" s="6"/>
      <c r="AP602" s="7"/>
      <c r="AQ602" s="7"/>
      <c r="AR602" s="6"/>
      <c r="AS602" s="6"/>
      <c r="AT602" s="6"/>
      <c r="AU602" s="6"/>
      <c r="AV602" s="6"/>
      <c r="AW602" s="6"/>
      <c r="AX602" s="6"/>
      <c r="AY602" s="6"/>
      <c r="AZ602" s="6"/>
      <c r="BA602" s="6"/>
      <c r="BB602" s="6"/>
      <c r="BC602" s="6"/>
      <c r="BD602" s="6"/>
      <c r="BE602" s="6"/>
      <c r="BF602" s="6"/>
      <c r="BG602" s="6"/>
    </row>
    <row r="603" customHeight="1" spans="1:59">
      <c r="A603" s="9" t="str">
        <f>IFERROR(__xludf.DUMMYFUNCTION("""COMPUTED_VALUE"""),"Magda 29")</f>
        <v>Magda 29</v>
      </c>
      <c r="B603" s="5" t="str">
        <f>IFERROR(__xludf.DUMMYFUNCTION("""COMPUTED_VALUE"""),"Magda 32")</f>
        <v>Magda 32</v>
      </c>
      <c r="C603" s="5" t="str">
        <f>IFERROR(__xludf.DUMMYFUNCTION("""COMPUTED_VALUE"""),"Magda 21")</f>
        <v>Magda 21</v>
      </c>
      <c r="D603" s="5" t="str">
        <f>IFERROR(__xludf.DUMMYFUNCTION("""COMPUTED_VALUE"""),"Sand Cave 44Q")</f>
        <v>Sand Cave 44Q</v>
      </c>
      <c r="E603" s="7" t="str">
        <f>IFERROR(__xludf.DUMMYFUNCTION("""COMPUTED_VALUE"""),"SCave 44Q")</f>
        <v>SCave 44Q</v>
      </c>
      <c r="F603" s="10">
        <f>IFERROR(__xludf.DUMMYFUNCTION("""COMPUTED_VALUE"""),49.897195827)</f>
        <v>49.897195827</v>
      </c>
      <c r="G603" s="10">
        <f>IFERROR(__xludf.DUMMYFUNCTION("""COMPUTED_VALUE"""),318.192475386)</f>
        <v>318.192475386</v>
      </c>
      <c r="H603" s="10">
        <f>IFERROR(__xludf.DUMMYFUNCTION("""COMPUTED_VALUE"""),112.570846616)</f>
        <v>112.570846616</v>
      </c>
      <c r="I603" s="13"/>
      <c r="J603" s="13"/>
      <c r="K603" s="13"/>
      <c r="L603" s="13"/>
      <c r="M603" s="7" t="b">
        <f>IFERROR(__xludf.DUMMYFUNCTION("""COMPUTED_VALUE"""),FALSE)</f>
        <v>0</v>
      </c>
      <c r="N603" s="10">
        <f>IFERROR(__xludf.DUMMYFUNCTION("""COMPUTED_VALUE"""),0)</f>
        <v>0</v>
      </c>
      <c r="O603" s="10">
        <f>IFERROR(__xludf.DUMMYFUNCTION("""COMPUTED_VALUE"""),0)</f>
        <v>0</v>
      </c>
      <c r="P603" s="10"/>
      <c r="Q603" s="6"/>
      <c r="R603" s="16"/>
      <c r="S603" s="17"/>
      <c r="T603" s="10"/>
      <c r="U603" s="10"/>
      <c r="V603" s="22"/>
      <c r="W603" s="12"/>
      <c r="X603" s="12"/>
      <c r="Y603" s="12"/>
      <c r="Z603" s="12"/>
      <c r="AA603" s="6"/>
      <c r="AB603" s="12"/>
      <c r="AC603" s="6"/>
      <c r="AD603" s="6"/>
      <c r="AE603" s="7"/>
      <c r="AF603" s="7"/>
      <c r="AG603" s="7"/>
      <c r="AH603" s="7"/>
      <c r="AI603" s="7"/>
      <c r="AJ603" s="7"/>
      <c r="AK603" s="7"/>
      <c r="AL603" s="7"/>
      <c r="AM603" s="7"/>
      <c r="AN603" s="7"/>
      <c r="AO603" s="6"/>
      <c r="AP603" s="7"/>
      <c r="AQ603" s="7"/>
      <c r="AR603" s="6"/>
      <c r="AS603" s="6"/>
      <c r="AT603" s="6"/>
      <c r="AU603" s="6"/>
      <c r="AV603" s="6"/>
      <c r="AW603" s="6"/>
      <c r="AX603" s="6"/>
      <c r="AY603" s="6"/>
      <c r="AZ603" s="6"/>
      <c r="BA603" s="6"/>
      <c r="BB603" s="6"/>
      <c r="BC603" s="6"/>
      <c r="BD603" s="6"/>
      <c r="BE603" s="6"/>
      <c r="BF603" s="6"/>
      <c r="BG603" s="6"/>
    </row>
    <row r="604" customHeight="1" spans="1:59">
      <c r="A604" s="9" t="str">
        <f>IFERROR(__xludf.DUMMYFUNCTION("""COMPUTED_VALUE"""),"Magda 32")</f>
        <v>Magda 32</v>
      </c>
      <c r="B604" s="5" t="str">
        <f>IFERROR(__xludf.DUMMYFUNCTION("""COMPUTED_VALUE"""),"Magda 35")</f>
        <v>Magda 35</v>
      </c>
      <c r="C604" s="5" t="str">
        <f>IFERROR(__xludf.DUMMYFUNCTION("""COMPUTED_VALUE"""),"Magda 16")</f>
        <v>Magda 16</v>
      </c>
      <c r="D604" s="5" t="str">
        <f>IFERROR(__xludf.DUMMYFUNCTION("""COMPUTED_VALUE"""),"Sand Cave 48L")</f>
        <v>Sand Cave 48L</v>
      </c>
      <c r="E604" s="7" t="str">
        <f>IFERROR(__xludf.DUMMYFUNCTION("""COMPUTED_VALUE"""),"SCave 48L")</f>
        <v>SCave 48L</v>
      </c>
      <c r="F604" s="10">
        <f>IFERROR(__xludf.DUMMYFUNCTION("""COMPUTED_VALUE"""),-76.798260246)</f>
        <v>-76.798260246</v>
      </c>
      <c r="G604" s="10">
        <f>IFERROR(__xludf.DUMMYFUNCTION("""COMPUTED_VALUE"""),325.111480937)</f>
        <v>325.111480937</v>
      </c>
      <c r="H604" s="10">
        <f>IFERROR(__xludf.DUMMYFUNCTION("""COMPUTED_VALUE"""),-69.485295054)</f>
        <v>-69.485295054</v>
      </c>
      <c r="I604" s="13"/>
      <c r="J604" s="13"/>
      <c r="K604" s="13"/>
      <c r="L604" s="13"/>
      <c r="M604" s="7" t="b">
        <f>IFERROR(__xludf.DUMMYFUNCTION("""COMPUTED_VALUE"""),FALSE)</f>
        <v>0</v>
      </c>
      <c r="N604" s="10">
        <f>IFERROR(__xludf.DUMMYFUNCTION("""COMPUTED_VALUE"""),0)</f>
        <v>0</v>
      </c>
      <c r="O604" s="10">
        <f>IFERROR(__xludf.DUMMYFUNCTION("""COMPUTED_VALUE"""),0)</f>
        <v>0</v>
      </c>
      <c r="P604" s="10"/>
      <c r="Q604" s="6"/>
      <c r="R604" s="16"/>
      <c r="S604" s="17"/>
      <c r="T604" s="10"/>
      <c r="U604" s="10"/>
      <c r="V604" s="22"/>
      <c r="W604" s="12"/>
      <c r="X604" s="12"/>
      <c r="Y604" s="12"/>
      <c r="Z604" s="12"/>
      <c r="AA604" s="6"/>
      <c r="AB604" s="12"/>
      <c r="AC604" s="6"/>
      <c r="AD604" s="6"/>
      <c r="AE604" s="7"/>
      <c r="AF604" s="7"/>
      <c r="AG604" s="7"/>
      <c r="AH604" s="7"/>
      <c r="AI604" s="7"/>
      <c r="AJ604" s="7"/>
      <c r="AK604" s="7"/>
      <c r="AL604" s="7"/>
      <c r="AM604" s="7"/>
      <c r="AN604" s="7"/>
      <c r="AO604" s="6"/>
      <c r="AP604" s="7"/>
      <c r="AQ604" s="7"/>
      <c r="AR604" s="6"/>
      <c r="AS604" s="6"/>
      <c r="AT604" s="6"/>
      <c r="AU604" s="6"/>
      <c r="AV604" s="6"/>
      <c r="AW604" s="6"/>
      <c r="AX604" s="6"/>
      <c r="AY604" s="6"/>
      <c r="AZ604" s="6"/>
      <c r="BA604" s="6"/>
      <c r="BB604" s="6"/>
      <c r="BC604" s="6"/>
      <c r="BD604" s="6"/>
      <c r="BE604" s="6"/>
      <c r="BF604" s="6"/>
      <c r="BG604" s="6"/>
    </row>
    <row r="605" customHeight="1" spans="1:59">
      <c r="A605" s="9" t="str">
        <f>IFERROR(__xludf.DUMMYFUNCTION("""COMPUTED_VALUE"""),"Magda 05")</f>
        <v>Magda 05</v>
      </c>
      <c r="B605" s="5" t="str">
        <f>IFERROR(__xludf.DUMMYFUNCTION("""COMPUTED_VALUE"""),"Magda 08")</f>
        <v>Magda 08</v>
      </c>
      <c r="C605" s="5" t="str">
        <f>IFERROR(__xludf.DUMMYFUNCTION("""COMPUTED_VALUE"""),"Magda 52")</f>
        <v>Magda 52</v>
      </c>
      <c r="D605" s="5" t="str">
        <f>IFERROR(__xludf.DUMMYFUNCTION("""COMPUTED_VALUE"""),"Sand Cave 01L")</f>
        <v>Sand Cave 01L</v>
      </c>
      <c r="E605" s="7" t="str">
        <f>IFERROR(__xludf.DUMMYFUNCTION("""COMPUTED_VALUE"""),"SCave 01L")</f>
        <v>SCave 01L</v>
      </c>
      <c r="F605" s="10">
        <f>IFERROR(__xludf.DUMMYFUNCTION("""COMPUTED_VALUE"""),-332.978245818)</f>
        <v>-332.978245818</v>
      </c>
      <c r="G605" s="10">
        <f>IFERROR(__xludf.DUMMYFUNCTION("""COMPUTED_VALUE"""),-25.899620726)</f>
        <v>-25.899620726</v>
      </c>
      <c r="H605" s="10">
        <f>IFERROR(__xludf.DUMMYFUNCTION("""COMPUTED_VALUE"""),-69.5776378149998)</f>
        <v>-69.5776378149998</v>
      </c>
      <c r="I605" s="13"/>
      <c r="J605" s="13"/>
      <c r="K605" s="13"/>
      <c r="L605" s="13"/>
      <c r="M605" s="7" t="b">
        <f>IFERROR(__xludf.DUMMYFUNCTION("""COMPUTED_VALUE"""),FALSE)</f>
        <v>0</v>
      </c>
      <c r="N605" s="10">
        <f>IFERROR(__xludf.DUMMYFUNCTION("""COMPUTED_VALUE"""),0)</f>
        <v>0</v>
      </c>
      <c r="O605" s="10">
        <f>IFERROR(__xludf.DUMMYFUNCTION("""COMPUTED_VALUE"""),0)</f>
        <v>0</v>
      </c>
      <c r="P605" s="10"/>
      <c r="Q605" s="6"/>
      <c r="R605" s="16"/>
      <c r="S605" s="17"/>
      <c r="T605" s="10"/>
      <c r="U605" s="10"/>
      <c r="V605" s="22"/>
      <c r="W605" s="12"/>
      <c r="X605" s="12"/>
      <c r="Y605" s="12"/>
      <c r="Z605" s="12"/>
      <c r="AA605" s="6"/>
      <c r="AB605" s="12"/>
      <c r="AC605" s="6"/>
      <c r="AD605" s="6"/>
      <c r="AE605" s="7"/>
      <c r="AF605" s="7"/>
      <c r="AG605" s="7"/>
      <c r="AH605" s="7"/>
      <c r="AI605" s="7"/>
      <c r="AJ605" s="7"/>
      <c r="AK605" s="7"/>
      <c r="AL605" s="7"/>
      <c r="AM605" s="7"/>
      <c r="AN605" s="7"/>
      <c r="AO605" s="6"/>
      <c r="AP605" s="7"/>
      <c r="AQ605" s="7"/>
      <c r="AR605" s="6"/>
      <c r="AS605" s="6"/>
      <c r="AT605" s="6"/>
      <c r="AU605" s="6"/>
      <c r="AV605" s="6"/>
      <c r="AW605" s="6"/>
      <c r="AX605" s="6"/>
      <c r="AY605" s="6"/>
      <c r="AZ605" s="6"/>
      <c r="BA605" s="6"/>
      <c r="BB605" s="6"/>
      <c r="BC605" s="6"/>
      <c r="BD605" s="6"/>
      <c r="BE605" s="6"/>
      <c r="BF605" s="6"/>
      <c r="BG605" s="6"/>
    </row>
    <row r="606" customHeight="1" spans="1:59">
      <c r="A606" s="9" t="str">
        <f>IFERROR(__xludf.DUMMYFUNCTION("""COMPUTED_VALUE"""),"Magda 08")</f>
        <v>Magda 08</v>
      </c>
      <c r="B606" s="5" t="str">
        <f>IFERROR(__xludf.DUMMYFUNCTION("""COMPUTED_VALUE"""),"Magda 11")</f>
        <v>Magda 11</v>
      </c>
      <c r="C606" s="5" t="str">
        <f>IFERROR(__xludf.DUMMYFUNCTION("""COMPUTED_VALUE"""),"Magda 50")</f>
        <v>Magda 50</v>
      </c>
      <c r="D606" s="5" t="str">
        <f>IFERROR(__xludf.DUMMYFUNCTION("""COMPUTED_VALUE"""),"Sand Cave 02L")</f>
        <v>Sand Cave 02L</v>
      </c>
      <c r="E606" s="7" t="str">
        <f>IFERROR(__xludf.DUMMYFUNCTION("""COMPUTED_VALUE"""),"SCave 02L")</f>
        <v>SCave 02L</v>
      </c>
      <c r="F606" s="10">
        <f>IFERROR(__xludf.DUMMYFUNCTION("""COMPUTED_VALUE"""),-326.943899177999)</f>
        <v>-326.943899177999</v>
      </c>
      <c r="G606" s="10">
        <f>IFERROR(__xludf.DUMMYFUNCTION("""COMPUTED_VALUE"""),-67.9129298759999)</f>
        <v>-67.9129298759999</v>
      </c>
      <c r="H606" s="10">
        <f>IFERROR(__xludf.DUMMYFUNCTION("""COMPUTED_VALUE"""),-69.759679791)</f>
        <v>-69.759679791</v>
      </c>
      <c r="I606" s="13"/>
      <c r="J606" s="13"/>
      <c r="K606" s="13"/>
      <c r="L606" s="13"/>
      <c r="M606" s="7" t="b">
        <f>IFERROR(__xludf.DUMMYFUNCTION("""COMPUTED_VALUE"""),FALSE)</f>
        <v>0</v>
      </c>
      <c r="N606" s="10">
        <f>IFERROR(__xludf.DUMMYFUNCTION("""COMPUTED_VALUE"""),0)</f>
        <v>0</v>
      </c>
      <c r="O606" s="10">
        <f>IFERROR(__xludf.DUMMYFUNCTION("""COMPUTED_VALUE"""),0)</f>
        <v>0</v>
      </c>
      <c r="P606" s="10"/>
      <c r="Q606" s="6"/>
      <c r="R606" s="16"/>
      <c r="S606" s="17"/>
      <c r="T606" s="10"/>
      <c r="U606" s="10"/>
      <c r="V606" s="22"/>
      <c r="W606" s="12"/>
      <c r="X606" s="12"/>
      <c r="Y606" s="12"/>
      <c r="Z606" s="12"/>
      <c r="AA606" s="6"/>
      <c r="AB606" s="12"/>
      <c r="AC606" s="6"/>
      <c r="AD606" s="6"/>
      <c r="AE606" s="7"/>
      <c r="AF606" s="7"/>
      <c r="AG606" s="7"/>
      <c r="AH606" s="7"/>
      <c r="AI606" s="7"/>
      <c r="AJ606" s="7"/>
      <c r="AK606" s="7"/>
      <c r="AL606" s="7"/>
      <c r="AM606" s="7"/>
      <c r="AN606" s="7"/>
      <c r="AO606" s="6"/>
      <c r="AP606" s="7"/>
      <c r="AQ606" s="7"/>
      <c r="AR606" s="6"/>
      <c r="AS606" s="6"/>
      <c r="AT606" s="6"/>
      <c r="AU606" s="6"/>
      <c r="AV606" s="6"/>
      <c r="AW606" s="6"/>
      <c r="AX606" s="6"/>
      <c r="AY606" s="6"/>
      <c r="AZ606" s="6"/>
      <c r="BA606" s="6"/>
      <c r="BB606" s="6"/>
      <c r="BC606" s="6"/>
      <c r="BD606" s="6"/>
      <c r="BE606" s="6"/>
      <c r="BF606" s="6"/>
      <c r="BG606" s="6"/>
    </row>
    <row r="607" customHeight="1" spans="1:59">
      <c r="A607" s="9" t="str">
        <f>IFERROR(__xludf.DUMMYFUNCTION("""COMPUTED_VALUE"""),"Magda 06")</f>
        <v>Magda 06</v>
      </c>
      <c r="B607" s="5" t="str">
        <f>IFERROR(__xludf.DUMMYFUNCTION("""COMPUTED_VALUE"""),"Magda 09")</f>
        <v>Magda 09</v>
      </c>
      <c r="C607" s="5" t="str">
        <f>IFERROR(__xludf.DUMMYFUNCTION("""COMPUTED_VALUE"""),"Magda 54")</f>
        <v>Magda 54</v>
      </c>
      <c r="D607" s="5" t="str">
        <f>IFERROR(__xludf.DUMMYFUNCTION("""COMPUTED_VALUE"""),"Sand Cave 01P")</f>
        <v>Sand Cave 01P</v>
      </c>
      <c r="E607" s="7" t="str">
        <f>IFERROR(__xludf.DUMMYFUNCTION("""COMPUTED_VALUE"""),"SCave 01P")</f>
        <v>SCave 01P</v>
      </c>
      <c r="F607" s="10">
        <f>IFERROR(__xludf.DUMMYFUNCTION("""COMPUTED_VALUE"""),-331.472231838)</f>
        <v>-331.472231838</v>
      </c>
      <c r="G607" s="10">
        <f>IFERROR(__xludf.DUMMYFUNCTION("""COMPUTED_VALUE"""),-14.157093695)</f>
        <v>-14.157093695</v>
      </c>
      <c r="H607" s="10">
        <f>IFERROR(__xludf.DUMMYFUNCTION("""COMPUTED_VALUE"""),78.564921778)</f>
        <v>78.564921778</v>
      </c>
      <c r="I607" s="13"/>
      <c r="J607" s="13"/>
      <c r="K607" s="13"/>
      <c r="L607" s="13"/>
      <c r="M607" s="7" t="b">
        <f>IFERROR(__xludf.DUMMYFUNCTION("""COMPUTED_VALUE"""),FALSE)</f>
        <v>0</v>
      </c>
      <c r="N607" s="10">
        <f>IFERROR(__xludf.DUMMYFUNCTION("""COMPUTED_VALUE"""),0)</f>
        <v>0</v>
      </c>
      <c r="O607" s="10">
        <f>IFERROR(__xludf.DUMMYFUNCTION("""COMPUTED_VALUE"""),0)</f>
        <v>0</v>
      </c>
      <c r="P607" s="10"/>
      <c r="Q607" s="6"/>
      <c r="R607" s="16"/>
      <c r="S607" s="17"/>
      <c r="T607" s="10"/>
      <c r="U607" s="10"/>
      <c r="V607" s="22"/>
      <c r="W607" s="12"/>
      <c r="X607" s="12"/>
      <c r="Y607" s="12"/>
      <c r="Z607" s="12"/>
      <c r="AA607" s="6"/>
      <c r="AB607" s="12"/>
      <c r="AC607" s="6"/>
      <c r="AD607" s="6"/>
      <c r="AE607" s="7"/>
      <c r="AF607" s="7"/>
      <c r="AG607" s="7"/>
      <c r="AH607" s="7"/>
      <c r="AI607" s="7"/>
      <c r="AJ607" s="7"/>
      <c r="AK607" s="7"/>
      <c r="AL607" s="7"/>
      <c r="AM607" s="7"/>
      <c r="AN607" s="7"/>
      <c r="AO607" s="6"/>
      <c r="AP607" s="7"/>
      <c r="AQ607" s="7"/>
      <c r="AR607" s="6"/>
      <c r="AS607" s="6"/>
      <c r="AT607" s="6"/>
      <c r="AU607" s="6"/>
      <c r="AV607" s="6"/>
      <c r="AW607" s="6"/>
      <c r="AX607" s="6"/>
      <c r="AY607" s="6"/>
      <c r="AZ607" s="6"/>
      <c r="BA607" s="6"/>
      <c r="BB607" s="6"/>
      <c r="BC607" s="6"/>
      <c r="BD607" s="6"/>
      <c r="BE607" s="6"/>
      <c r="BF607" s="6"/>
      <c r="BG607" s="6"/>
    </row>
    <row r="608" customHeight="1" spans="1:59">
      <c r="A608" s="23" t="str">
        <f>IFERROR(__xludf.DUMMYFUNCTION("""COMPUTED_VALUE"""),"Magda 10")</f>
        <v>Magda 10</v>
      </c>
      <c r="B608" s="23" t="str">
        <f>IFERROR(__xludf.DUMMYFUNCTION("""COMPUTED_VALUE"""),"Magda 13")</f>
        <v>Magda 13</v>
      </c>
      <c r="C608" s="23" t="str">
        <f>IFERROR(__xludf.DUMMYFUNCTION("""COMPUTED_VALUE"""),"Magda 48")</f>
        <v>Magda 48</v>
      </c>
      <c r="D608" s="23" t="str">
        <f>IFERROR(__xludf.DUMMYFUNCTION("""COMPUTED_VALUE"""),"Sand Cave 05P")</f>
        <v>Sand Cave 05P</v>
      </c>
      <c r="E608" s="7" t="str">
        <f>IFERROR(__xludf.DUMMYFUNCTION("""COMPUTED_VALUE"""),"SCave 05P")</f>
        <v>SCave 05P</v>
      </c>
      <c r="F608" s="11">
        <f>IFERROR(__xludf.DUMMYFUNCTION("""COMPUTED_VALUE"""),-296.202218896)</f>
        <v>-296.202218896</v>
      </c>
      <c r="G608" s="11">
        <f>IFERROR(__xludf.DUMMYFUNCTION("""COMPUTED_VALUE"""),-155.786988588)</f>
        <v>-155.786988588</v>
      </c>
      <c r="H608" s="11">
        <f>IFERROR(__xludf.DUMMYFUNCTION("""COMPUTED_VALUE"""),65.940540003)</f>
        <v>65.940540003</v>
      </c>
      <c r="I608" s="15"/>
      <c r="J608" s="15"/>
      <c r="K608" s="15"/>
      <c r="L608" s="15"/>
      <c r="M608" s="7" t="b">
        <f>IFERROR(__xludf.DUMMYFUNCTION("""COMPUTED_VALUE"""),FALSE)</f>
        <v>0</v>
      </c>
      <c r="N608" s="8">
        <f>IFERROR(__xludf.DUMMYFUNCTION("""COMPUTED_VALUE"""),0)</f>
        <v>0</v>
      </c>
      <c r="O608" s="8">
        <f>IFERROR(__xludf.DUMMYFUNCTION("""COMPUTED_VALUE"""),0)</f>
        <v>0</v>
      </c>
      <c r="P608" s="8"/>
      <c r="Q608" s="7"/>
      <c r="R608" s="16"/>
      <c r="S608" s="17"/>
      <c r="T608" s="8"/>
      <c r="U608" s="8"/>
      <c r="V608" s="22"/>
      <c r="W608" s="12"/>
      <c r="X608" s="12"/>
      <c r="Y608" s="12"/>
      <c r="Z608" s="12"/>
      <c r="AA608" s="7"/>
      <c r="AB608" s="12"/>
      <c r="AC608" s="6"/>
      <c r="AD608" s="6"/>
      <c r="AE608" s="7"/>
      <c r="AF608" s="7"/>
      <c r="AG608" s="7"/>
      <c r="AH608" s="7"/>
      <c r="AI608" s="7"/>
      <c r="AJ608" s="7"/>
      <c r="AK608" s="7"/>
      <c r="AL608" s="7"/>
      <c r="AM608" s="7"/>
      <c r="AN608" s="7"/>
      <c r="AO608" s="6"/>
      <c r="AP608" s="7"/>
      <c r="AQ608" s="7"/>
      <c r="AR608" s="6"/>
      <c r="AS608" s="7"/>
      <c r="AT608" s="7"/>
      <c r="AU608" s="7"/>
      <c r="AV608" s="7"/>
      <c r="AW608" s="7"/>
      <c r="AX608" s="7"/>
      <c r="AY608" s="7"/>
      <c r="AZ608" s="7"/>
      <c r="BA608" s="7"/>
      <c r="BB608" s="7"/>
      <c r="BC608" s="7"/>
      <c r="BD608" s="7"/>
      <c r="BE608" s="7"/>
      <c r="BF608" s="7"/>
      <c r="BG608" s="7"/>
    </row>
    <row r="609" customHeight="1" spans="1:59">
      <c r="A609" s="23" t="str">
        <f>IFERROR(__xludf.DUMMYFUNCTION("""COMPUTED_VALUE"""),"Magda 31")</f>
        <v>Magda 31</v>
      </c>
      <c r="B609" s="23" t="str">
        <f>IFERROR(__xludf.DUMMYFUNCTION("""COMPUTED_VALUE"""),"Magda 34")</f>
        <v>Magda 34</v>
      </c>
      <c r="C609" s="23" t="str">
        <f>IFERROR(__xludf.DUMMYFUNCTION("""COMPUTED_VALUE"""),"Magda 17")</f>
        <v>Magda 17</v>
      </c>
      <c r="D609" s="23" t="str">
        <f>IFERROR(__xludf.DUMMYFUNCTION("""COMPUTED_VALUE"""),"Sand Cave 47K")</f>
        <v>Sand Cave 47K</v>
      </c>
      <c r="E609" s="7" t="str">
        <f>IFERROR(__xludf.DUMMYFUNCTION("""COMPUTED_VALUE"""),"SCave 47K")</f>
        <v>SCave 47K</v>
      </c>
      <c r="F609" s="11">
        <f>IFERROR(__xludf.DUMMYFUNCTION("""COMPUTED_VALUE"""),-58.111550922)</f>
        <v>-58.111550922</v>
      </c>
      <c r="G609" s="11">
        <f>IFERROR(__xludf.DUMMYFUNCTION("""COMPUTED_VALUE"""),320.886930144999)</f>
        <v>320.886930144999</v>
      </c>
      <c r="H609" s="11">
        <f>IFERROR(__xludf.DUMMYFUNCTION("""COMPUTED_VALUE"""),-100.489221636)</f>
        <v>-100.489221636</v>
      </c>
      <c r="I609" s="15"/>
      <c r="J609" s="15"/>
      <c r="K609" s="15"/>
      <c r="L609" s="15"/>
      <c r="M609" s="7" t="b">
        <f>IFERROR(__xludf.DUMMYFUNCTION("""COMPUTED_VALUE"""),FALSE)</f>
        <v>0</v>
      </c>
      <c r="N609" s="8">
        <f>IFERROR(__xludf.DUMMYFUNCTION("""COMPUTED_VALUE"""),0)</f>
        <v>0</v>
      </c>
      <c r="O609" s="8">
        <f>IFERROR(__xludf.DUMMYFUNCTION("""COMPUTED_VALUE"""),0)</f>
        <v>0</v>
      </c>
      <c r="P609" s="8"/>
      <c r="Q609" s="7"/>
      <c r="R609" s="16"/>
      <c r="S609" s="17"/>
      <c r="T609" s="8"/>
      <c r="U609" s="8"/>
      <c r="V609" s="22"/>
      <c r="W609" s="12"/>
      <c r="X609" s="12"/>
      <c r="Y609" s="12"/>
      <c r="Z609" s="12"/>
      <c r="AA609" s="7"/>
      <c r="AB609" s="12"/>
      <c r="AC609" s="6"/>
      <c r="AD609" s="6"/>
      <c r="AE609" s="7"/>
      <c r="AF609" s="7"/>
      <c r="AG609" s="7"/>
      <c r="AH609" s="7"/>
      <c r="AI609" s="7"/>
      <c r="AJ609" s="7"/>
      <c r="AK609" s="7"/>
      <c r="AL609" s="7"/>
      <c r="AM609" s="7"/>
      <c r="AN609" s="7"/>
      <c r="AO609" s="6"/>
      <c r="AP609" s="7"/>
      <c r="AQ609" s="7"/>
      <c r="AR609" s="6"/>
      <c r="AS609" s="7"/>
      <c r="AT609" s="7"/>
      <c r="AU609" s="7"/>
      <c r="AV609" s="7"/>
      <c r="AW609" s="7"/>
      <c r="AX609" s="7"/>
      <c r="AY609" s="7"/>
      <c r="AZ609" s="7"/>
      <c r="BA609" s="7"/>
      <c r="BB609" s="7"/>
      <c r="BC609" s="7"/>
      <c r="BD609" s="7"/>
      <c r="BE609" s="7"/>
      <c r="BF609" s="7"/>
      <c r="BG609" s="7"/>
    </row>
    <row r="610" customHeight="1" spans="1:59">
      <c r="A610" s="23" t="str">
        <f>IFERROR(__xludf.DUMMYFUNCTION("""COMPUTED_VALUE"""),"Magda 39")</f>
        <v>Magda 39</v>
      </c>
      <c r="B610" s="23" t="str">
        <f>IFERROR(__xludf.DUMMYFUNCTION("""COMPUTED_VALUE"""),"Magda 42")</f>
        <v>Magda 42</v>
      </c>
      <c r="C610" s="23" t="str">
        <f>IFERROR(__xludf.DUMMYFUNCTION("""COMPUTED_VALUE"""),"Magda 10")</f>
        <v>Magda 10</v>
      </c>
      <c r="D610" s="23" t="str">
        <f>IFERROR(__xludf.DUMMYFUNCTION("""COMPUTED_VALUE"""),"Sand Cave 51N")</f>
        <v>Sand Cave 51N</v>
      </c>
      <c r="E610" s="7" t="str">
        <f>IFERROR(__xludf.DUMMYFUNCTION("""COMPUTED_VALUE"""),"SCave 51N")</f>
        <v>SCave 51N</v>
      </c>
      <c r="F610" s="11">
        <f>IFERROR(__xludf.DUMMYFUNCTION("""COMPUTED_VALUE"""),-181.753992433)</f>
        <v>-181.753992433</v>
      </c>
      <c r="G610" s="11">
        <f>IFERROR(__xludf.DUMMYFUNCTION("""COMPUTED_VALUE"""),288.129055259999)</f>
        <v>288.129055259999</v>
      </c>
      <c r="H610" s="11">
        <f>IFERROR(__xludf.DUMMYFUNCTION("""COMPUTED_VALUE"""),19.751518957)</f>
        <v>19.751518957</v>
      </c>
      <c r="I610" s="15"/>
      <c r="J610" s="15"/>
      <c r="K610" s="15"/>
      <c r="L610" s="15"/>
      <c r="M610" s="7" t="b">
        <f>IFERROR(__xludf.DUMMYFUNCTION("""COMPUTED_VALUE"""),FALSE)</f>
        <v>0</v>
      </c>
      <c r="N610" s="8">
        <f>IFERROR(__xludf.DUMMYFUNCTION("""COMPUTED_VALUE"""),0)</f>
        <v>0</v>
      </c>
      <c r="O610" s="8">
        <f>IFERROR(__xludf.DUMMYFUNCTION("""COMPUTED_VALUE"""),0)</f>
        <v>0</v>
      </c>
      <c r="P610" s="8"/>
      <c r="Q610" s="7"/>
      <c r="R610" s="16"/>
      <c r="S610" s="17"/>
      <c r="T610" s="8"/>
      <c r="U610" s="8"/>
      <c r="V610" s="22"/>
      <c r="W610" s="12"/>
      <c r="X610" s="12"/>
      <c r="Y610" s="12"/>
      <c r="Z610" s="12"/>
      <c r="AA610" s="7"/>
      <c r="AB610" s="12"/>
      <c r="AC610" s="6"/>
      <c r="AD610" s="6"/>
      <c r="AE610" s="7"/>
      <c r="AF610" s="7"/>
      <c r="AG610" s="7"/>
      <c r="AH610" s="7"/>
      <c r="AI610" s="7"/>
      <c r="AJ610" s="7"/>
      <c r="AK610" s="7"/>
      <c r="AL610" s="7"/>
      <c r="AM610" s="7"/>
      <c r="AN610" s="7"/>
      <c r="AO610" s="6"/>
      <c r="AP610" s="7"/>
      <c r="AQ610" s="7"/>
      <c r="AR610" s="6"/>
      <c r="AS610" s="7"/>
      <c r="AT610" s="7"/>
      <c r="AU610" s="7"/>
      <c r="AV610" s="7"/>
      <c r="AW610" s="7"/>
      <c r="AX610" s="7"/>
      <c r="AY610" s="7"/>
      <c r="AZ610" s="7"/>
      <c r="BA610" s="7"/>
      <c r="BB610" s="7"/>
      <c r="BC610" s="7"/>
      <c r="BD610" s="7"/>
      <c r="BE610" s="7"/>
      <c r="BF610" s="7"/>
      <c r="BG610" s="7"/>
    </row>
    <row r="611" customHeight="1" spans="1:59">
      <c r="A611" s="23" t="str">
        <f>IFERROR(__xludf.DUMMYFUNCTION("""COMPUTED_VALUE"""),"Magda 26")</f>
        <v>Magda 26</v>
      </c>
      <c r="B611" s="23" t="str">
        <f>IFERROR(__xludf.DUMMYFUNCTION("""COMPUTED_VALUE"""),"Magda 29")</f>
        <v>Magda 29</v>
      </c>
      <c r="C611" s="23" t="str">
        <f>IFERROR(__xludf.DUMMYFUNCTION("""COMPUTED_VALUE"""),"Magda 25")</f>
        <v>Magda 25</v>
      </c>
      <c r="D611" s="23" t="str">
        <f>IFERROR(__xludf.DUMMYFUNCTION("""COMPUTED_VALUE"""),"Sand Cave 33K")</f>
        <v>Sand Cave 33K</v>
      </c>
      <c r="E611" s="7" t="str">
        <f>IFERROR(__xludf.DUMMYFUNCTION("""COMPUTED_VALUE"""),"SCave 33K")</f>
        <v>SCave 33K</v>
      </c>
      <c r="F611" s="11">
        <f>IFERROR(__xludf.DUMMYFUNCTION("""COMPUTED_VALUE"""),307.013492184999)</f>
        <v>307.013492184999</v>
      </c>
      <c r="G611" s="11">
        <f>IFERROR(__xludf.DUMMYFUNCTION("""COMPUTED_VALUE"""),95.122497673)</f>
        <v>95.122497673</v>
      </c>
      <c r="H611" s="11">
        <f>IFERROR(__xludf.DUMMYFUNCTION("""COMPUTED_VALUE"""),-114.640051779)</f>
        <v>-114.640051779</v>
      </c>
      <c r="I611" s="15"/>
      <c r="J611" s="15"/>
      <c r="K611" s="15"/>
      <c r="L611" s="15"/>
      <c r="M611" s="7" t="b">
        <f>IFERROR(__xludf.DUMMYFUNCTION("""COMPUTED_VALUE"""),FALSE)</f>
        <v>0</v>
      </c>
      <c r="N611" s="8">
        <f>IFERROR(__xludf.DUMMYFUNCTION("""COMPUTED_VALUE"""),0)</f>
        <v>0</v>
      </c>
      <c r="O611" s="8">
        <f>IFERROR(__xludf.DUMMYFUNCTION("""COMPUTED_VALUE"""),0)</f>
        <v>0</v>
      </c>
      <c r="P611" s="8"/>
      <c r="Q611" s="7"/>
      <c r="R611" s="16"/>
      <c r="S611" s="17"/>
      <c r="T611" s="8"/>
      <c r="U611" s="8"/>
      <c r="V611" s="22"/>
      <c r="W611" s="12"/>
      <c r="X611" s="12"/>
      <c r="Y611" s="12"/>
      <c r="Z611" s="12"/>
      <c r="AA611" s="7"/>
      <c r="AB611" s="12"/>
      <c r="AC611" s="6"/>
      <c r="AD611" s="6"/>
      <c r="AE611" s="7"/>
      <c r="AF611" s="7"/>
      <c r="AG611" s="7"/>
      <c r="AH611" s="7"/>
      <c r="AI611" s="7"/>
      <c r="AJ611" s="7"/>
      <c r="AK611" s="7"/>
      <c r="AL611" s="7"/>
      <c r="AM611" s="7"/>
      <c r="AN611" s="7"/>
      <c r="AO611" s="6"/>
      <c r="AP611" s="7"/>
      <c r="AQ611" s="7"/>
      <c r="AR611" s="6"/>
      <c r="AS611" s="7"/>
      <c r="AT611" s="7"/>
      <c r="AU611" s="7"/>
      <c r="AV611" s="7"/>
      <c r="AW611" s="7"/>
      <c r="AX611" s="7"/>
      <c r="AY611" s="7"/>
      <c r="AZ611" s="7"/>
      <c r="BA611" s="7"/>
      <c r="BB611" s="7"/>
      <c r="BC611" s="7"/>
      <c r="BD611" s="7"/>
      <c r="BE611" s="7"/>
      <c r="BF611" s="7"/>
      <c r="BG611" s="7"/>
    </row>
    <row r="612" customHeight="1" spans="1:59">
      <c r="A612" s="23" t="str">
        <f>IFERROR(__xludf.DUMMYFUNCTION("""COMPUTED_VALUE"""),"Magda 38")</f>
        <v>Magda 38</v>
      </c>
      <c r="B612" s="23" t="str">
        <f>IFERROR(__xludf.DUMMYFUNCTION("""COMPUTED_VALUE"""),"Magda 41")</f>
        <v>Magda 41</v>
      </c>
      <c r="C612" s="23" t="str">
        <f>IFERROR(__xludf.DUMMYFUNCTION("""COMPUTED_VALUE"""),"Magda 08")</f>
        <v>Magda 08</v>
      </c>
      <c r="D612" s="23" t="str">
        <f>IFERROR(__xludf.DUMMYFUNCTION("""COMPUTED_VALUE"""),"Sand Cave 51M")</f>
        <v>Sand Cave 51M</v>
      </c>
      <c r="E612" s="7" t="str">
        <f>IFERROR(__xludf.DUMMYFUNCTION("""COMPUTED_VALUE"""),"SCave 51M")</f>
        <v>SCave 51M</v>
      </c>
      <c r="F612" s="11">
        <f>IFERROR(__xludf.DUMMYFUNCTION("""COMPUTED_VALUE"""),-183.184829069)</f>
        <v>-183.184829069</v>
      </c>
      <c r="G612" s="11">
        <f>IFERROR(__xludf.DUMMYFUNCTION("""COMPUTED_VALUE"""),287.392058981999)</f>
        <v>287.392058981999</v>
      </c>
      <c r="H612" s="11">
        <f>IFERROR(__xludf.DUMMYFUNCTION("""COMPUTED_VALUE"""),-14.326951161)</f>
        <v>-14.326951161</v>
      </c>
      <c r="I612" s="15"/>
      <c r="J612" s="15"/>
      <c r="K612" s="15"/>
      <c r="L612" s="15"/>
      <c r="M612" s="7" t="b">
        <f>IFERROR(__xludf.DUMMYFUNCTION("""COMPUTED_VALUE"""),FALSE)</f>
        <v>0</v>
      </c>
      <c r="N612" s="8">
        <f>IFERROR(__xludf.DUMMYFUNCTION("""COMPUTED_VALUE"""),0)</f>
        <v>0</v>
      </c>
      <c r="O612" s="8">
        <f>IFERROR(__xludf.DUMMYFUNCTION("""COMPUTED_VALUE"""),0)</f>
        <v>0</v>
      </c>
      <c r="P612" s="8"/>
      <c r="Q612" s="7"/>
      <c r="R612" s="16"/>
      <c r="S612" s="17"/>
      <c r="T612" s="8"/>
      <c r="U612" s="8"/>
      <c r="V612" s="22"/>
      <c r="W612" s="12"/>
      <c r="X612" s="12"/>
      <c r="Y612" s="12"/>
      <c r="Z612" s="12"/>
      <c r="AA612" s="7"/>
      <c r="AB612" s="12"/>
      <c r="AC612" s="6"/>
      <c r="AD612" s="6"/>
      <c r="AE612" s="7"/>
      <c r="AF612" s="7"/>
      <c r="AG612" s="7"/>
      <c r="AH612" s="7"/>
      <c r="AI612" s="7"/>
      <c r="AJ612" s="7"/>
      <c r="AK612" s="7"/>
      <c r="AL612" s="7"/>
      <c r="AM612" s="7"/>
      <c r="AN612" s="7"/>
      <c r="AO612" s="6"/>
      <c r="AP612" s="7"/>
      <c r="AQ612" s="7"/>
      <c r="AR612" s="6"/>
      <c r="AS612" s="7"/>
      <c r="AT612" s="7"/>
      <c r="AU612" s="7"/>
      <c r="AV612" s="7"/>
      <c r="AW612" s="7"/>
      <c r="AX612" s="7"/>
      <c r="AY612" s="7"/>
      <c r="AZ612" s="7"/>
      <c r="BA612" s="7"/>
      <c r="BB612" s="7"/>
      <c r="BC612" s="7"/>
      <c r="BD612" s="7"/>
      <c r="BE612" s="7"/>
      <c r="BF612" s="7"/>
      <c r="BG612" s="7"/>
    </row>
    <row r="613" customHeight="1" spans="1:59">
      <c r="A613" s="23" t="str">
        <f>IFERROR(__xludf.DUMMYFUNCTION("""COMPUTED_VALUE"""),"Magda 24")</f>
        <v>Magda 24</v>
      </c>
      <c r="B613" s="23" t="str">
        <f>IFERROR(__xludf.DUMMYFUNCTION("""COMPUTED_VALUE"""),"Magda 27")</f>
        <v>Magda 27</v>
      </c>
      <c r="C613" s="23" t="str">
        <f>IFERROR(__xludf.DUMMYFUNCTION("""COMPUTED_VALUE"""),"Magda 28")</f>
        <v>Magda 28</v>
      </c>
      <c r="D613" s="23" t="str">
        <f>IFERROR(__xludf.DUMMYFUNCTION("""COMPUTED_VALUE"""),"Sand Cave 32J")</f>
        <v>Sand Cave 32J</v>
      </c>
      <c r="E613" s="7" t="str">
        <f>IFERROR(__xludf.DUMMYFUNCTION("""COMPUTED_VALUE"""),"SCave 32J")</f>
        <v>SCave 32J</v>
      </c>
      <c r="F613" s="11">
        <f>IFERROR(__xludf.DUMMYFUNCTION("""COMPUTED_VALUE"""),288.455237413999)</f>
        <v>288.455237413999</v>
      </c>
      <c r="G613" s="11">
        <f>IFERROR(__xludf.DUMMYFUNCTION("""COMPUTED_VALUE"""),58.7784932919999)</f>
        <v>58.7784932919999</v>
      </c>
      <c r="H613" s="11">
        <f>IFERROR(__xludf.DUMMYFUNCTION("""COMPUTED_VALUE"""),-172.564410394)</f>
        <v>-172.564410394</v>
      </c>
      <c r="I613" s="15"/>
      <c r="J613" s="15"/>
      <c r="K613" s="15"/>
      <c r="L613" s="15"/>
      <c r="M613" s="7" t="b">
        <f>IFERROR(__xludf.DUMMYFUNCTION("""COMPUTED_VALUE"""),FALSE)</f>
        <v>0</v>
      </c>
      <c r="N613" s="8">
        <f>IFERROR(__xludf.DUMMYFUNCTION("""COMPUTED_VALUE"""),0)</f>
        <v>0</v>
      </c>
      <c r="O613" s="8">
        <f>IFERROR(__xludf.DUMMYFUNCTION("""COMPUTED_VALUE"""),0)</f>
        <v>0</v>
      </c>
      <c r="P613" s="8"/>
      <c r="Q613" s="7"/>
      <c r="R613" s="16"/>
      <c r="S613" s="17"/>
      <c r="T613" s="8"/>
      <c r="U613" s="8"/>
      <c r="V613" s="22"/>
      <c r="W613" s="12"/>
      <c r="X613" s="12"/>
      <c r="Y613" s="12"/>
      <c r="Z613" s="12"/>
      <c r="AA613" s="7"/>
      <c r="AB613" s="12"/>
      <c r="AC613" s="6"/>
      <c r="AD613" s="6"/>
      <c r="AE613" s="7"/>
      <c r="AF613" s="7"/>
      <c r="AG613" s="7"/>
      <c r="AH613" s="7"/>
      <c r="AI613" s="7"/>
      <c r="AJ613" s="7"/>
      <c r="AK613" s="7"/>
      <c r="AL613" s="7"/>
      <c r="AM613" s="7"/>
      <c r="AN613" s="7"/>
      <c r="AO613" s="6"/>
      <c r="AP613" s="7"/>
      <c r="AQ613" s="7"/>
      <c r="AR613" s="6"/>
      <c r="AS613" s="7"/>
      <c r="AT613" s="7"/>
      <c r="AU613" s="7"/>
      <c r="AV613" s="7"/>
      <c r="AW613" s="7"/>
      <c r="AX613" s="7"/>
      <c r="AY613" s="7"/>
      <c r="AZ613" s="7"/>
      <c r="BA613" s="7"/>
      <c r="BB613" s="7"/>
      <c r="BC613" s="7"/>
      <c r="BD613" s="7"/>
      <c r="BE613" s="7"/>
      <c r="BF613" s="7"/>
      <c r="BG613" s="7"/>
    </row>
    <row r="614" customHeight="1" spans="1:59">
      <c r="A614" s="23" t="str">
        <f>IFERROR(__xludf.DUMMYFUNCTION("""COMPUTED_VALUE"""),"Magda 36")</f>
        <v>Magda 36</v>
      </c>
      <c r="B614" s="23" t="str">
        <f>IFERROR(__xludf.DUMMYFUNCTION("""COMPUTED_VALUE"""),"Magda 39")</f>
        <v>Magda 39</v>
      </c>
      <c r="C614" s="23" t="str">
        <f>IFERROR(__xludf.DUMMYFUNCTION("""COMPUTED_VALUE"""),"Magda 11")</f>
        <v>Magda 11</v>
      </c>
      <c r="D614" s="23" t="str">
        <f>IFERROR(__xludf.DUMMYFUNCTION("""COMPUTED_VALUE"""),"Sand Cave 50M-594")</f>
        <v>Sand Cave 50M-594</v>
      </c>
      <c r="E614" s="7" t="str">
        <f>IFERROR(__xludf.DUMMYFUNCTION("""COMPUTED_VALUE"""),"SCave 50M594")</f>
        <v>SCave 50M594</v>
      </c>
      <c r="F614" s="11">
        <f>IFERROR(__xludf.DUMMYFUNCTION("""COMPUTED_VALUE"""),-154.199021691)</f>
        <v>-154.199021691</v>
      </c>
      <c r="G614" s="11">
        <f>IFERROR(__xludf.DUMMYFUNCTION("""COMPUTED_VALUE"""),303.521784071)</f>
        <v>303.521784071</v>
      </c>
      <c r="H614" s="11">
        <f>IFERROR(__xludf.DUMMYFUNCTION("""COMPUTED_VALUE"""),-20.9650606389999)</f>
        <v>-20.9650606389999</v>
      </c>
      <c r="I614" s="15"/>
      <c r="J614" s="15"/>
      <c r="K614" s="15"/>
      <c r="L614" s="15"/>
      <c r="M614" s="7" t="b">
        <f>IFERROR(__xludf.DUMMYFUNCTION("""COMPUTED_VALUE"""),FALSE)</f>
        <v>0</v>
      </c>
      <c r="N614" s="8">
        <f>IFERROR(__xludf.DUMMYFUNCTION("""COMPUTED_VALUE"""),0)</f>
        <v>0</v>
      </c>
      <c r="O614" s="8">
        <f>IFERROR(__xludf.DUMMYFUNCTION("""COMPUTED_VALUE"""),0)</f>
        <v>0</v>
      </c>
      <c r="P614" s="8"/>
      <c r="Q614" s="7"/>
      <c r="R614" s="16"/>
      <c r="S614" s="17"/>
      <c r="T614" s="8"/>
      <c r="U614" s="8"/>
      <c r="V614" s="22"/>
      <c r="W614" s="12"/>
      <c r="X614" s="12"/>
      <c r="Y614" s="12"/>
      <c r="Z614" s="12"/>
      <c r="AA614" s="7"/>
      <c r="AB614" s="12"/>
      <c r="AC614" s="6"/>
      <c r="AD614" s="6"/>
      <c r="AE614" s="7"/>
      <c r="AF614" s="7"/>
      <c r="AG614" s="7"/>
      <c r="AH614" s="7"/>
      <c r="AI614" s="7"/>
      <c r="AJ614" s="7"/>
      <c r="AK614" s="7"/>
      <c r="AL614" s="7"/>
      <c r="AM614" s="7"/>
      <c r="AN614" s="7"/>
      <c r="AO614" s="6"/>
      <c r="AP614" s="7"/>
      <c r="AQ614" s="7"/>
      <c r="AR614" s="6"/>
      <c r="AS614" s="7"/>
      <c r="AT614" s="7"/>
      <c r="AU614" s="7"/>
      <c r="AV614" s="7"/>
      <c r="AW614" s="7"/>
      <c r="AX614" s="7"/>
      <c r="AY614" s="7"/>
      <c r="AZ614" s="7"/>
      <c r="BA614" s="7"/>
      <c r="BB614" s="7"/>
      <c r="BC614" s="7"/>
      <c r="BD614" s="7"/>
      <c r="BE614" s="7"/>
      <c r="BF614" s="7"/>
      <c r="BG614" s="7"/>
    </row>
    <row r="615" customHeight="1" spans="1:59">
      <c r="A615" s="23" t="str">
        <f>IFERROR(__xludf.DUMMYFUNCTION("""COMPUTED_VALUE"""),"Magda 35")</f>
        <v>Magda 35</v>
      </c>
      <c r="B615" s="23" t="str">
        <f>IFERROR(__xludf.DUMMYFUNCTION("""COMPUTED_VALUE"""),"Magda 38")</f>
        <v>Magda 38</v>
      </c>
      <c r="C615" s="23" t="str">
        <f>IFERROR(__xludf.DUMMYFUNCTION("""COMPUTED_VALUE"""),"Magda 12")</f>
        <v>Magda 12</v>
      </c>
      <c r="D615" s="23" t="str">
        <f>IFERROR(__xludf.DUMMYFUNCTION("""COMPUTED_VALUE"""),"Sand Cave 50M-593")</f>
        <v>Sand Cave 50M-593</v>
      </c>
      <c r="E615" s="7" t="str">
        <f>IFERROR(__xludf.DUMMYFUNCTION("""COMPUTED_VALUE"""),"SCave 50M593")</f>
        <v>SCave 50M593</v>
      </c>
      <c r="F615" s="11">
        <f>IFERROR(__xludf.DUMMYFUNCTION("""COMPUTED_VALUE"""),-151.379565389)</f>
        <v>-151.379565389</v>
      </c>
      <c r="G615" s="11">
        <f>IFERROR(__xludf.DUMMYFUNCTION("""COMPUTED_VALUE"""),303.962427084999)</f>
        <v>303.962427084999</v>
      </c>
      <c r="H615" s="11">
        <f>IFERROR(__xludf.DUMMYFUNCTION("""COMPUTED_VALUE"""),-32.389251213)</f>
        <v>-32.389251213</v>
      </c>
      <c r="I615" s="15"/>
      <c r="J615" s="15"/>
      <c r="K615" s="15"/>
      <c r="L615" s="15"/>
      <c r="M615" s="7" t="b">
        <f>IFERROR(__xludf.DUMMYFUNCTION("""COMPUTED_VALUE"""),FALSE)</f>
        <v>0</v>
      </c>
      <c r="N615" s="8">
        <f>IFERROR(__xludf.DUMMYFUNCTION("""COMPUTED_VALUE"""),0)</f>
        <v>0</v>
      </c>
      <c r="O615" s="8">
        <f>IFERROR(__xludf.DUMMYFUNCTION("""COMPUTED_VALUE"""),0)</f>
        <v>0</v>
      </c>
      <c r="P615" s="8"/>
      <c r="Q615" s="7"/>
      <c r="R615" s="16"/>
      <c r="S615" s="17"/>
      <c r="T615" s="8"/>
      <c r="U615" s="8"/>
      <c r="V615" s="22"/>
      <c r="W615" s="12"/>
      <c r="X615" s="12"/>
      <c r="Y615" s="12"/>
      <c r="Z615" s="12"/>
      <c r="AA615" s="7"/>
      <c r="AB615" s="12"/>
      <c r="AC615" s="6"/>
      <c r="AD615" s="6"/>
      <c r="AE615" s="7"/>
      <c r="AF615" s="7"/>
      <c r="AG615" s="7"/>
      <c r="AH615" s="7"/>
      <c r="AI615" s="7"/>
      <c r="AJ615" s="7"/>
      <c r="AK615" s="7"/>
      <c r="AL615" s="7"/>
      <c r="AM615" s="7"/>
      <c r="AN615" s="7"/>
      <c r="AO615" s="6"/>
      <c r="AP615" s="7"/>
      <c r="AQ615" s="7"/>
      <c r="AR615" s="6"/>
      <c r="AS615" s="7"/>
      <c r="AT615" s="7"/>
      <c r="AU615" s="7"/>
      <c r="AV615" s="7"/>
      <c r="AW615" s="7"/>
      <c r="AX615" s="7"/>
      <c r="AY615" s="7"/>
      <c r="AZ615" s="7"/>
      <c r="BA615" s="7"/>
      <c r="BB615" s="7"/>
      <c r="BC615" s="7"/>
      <c r="BD615" s="7"/>
      <c r="BE615" s="7"/>
      <c r="BF615" s="7"/>
      <c r="BG615" s="7"/>
    </row>
    <row r="616" customHeight="1" spans="1:59">
      <c r="A616" s="23" t="str">
        <f>IFERROR(__xludf.DUMMYFUNCTION("""COMPUTED_VALUE"""),"Magda 34")</f>
        <v>Magda 34</v>
      </c>
      <c r="B616" s="23" t="str">
        <f>IFERROR(__xludf.DUMMYFUNCTION("""COMPUTED_VALUE"""),"Magda 37")</f>
        <v>Magda 37</v>
      </c>
      <c r="C616" s="23" t="str">
        <f>IFERROR(__xludf.DUMMYFUNCTION("""COMPUTED_VALUE"""),"Magda 14")</f>
        <v>Magda 14</v>
      </c>
      <c r="D616" s="23" t="str">
        <f>IFERROR(__xludf.DUMMYFUNCTION("""COMPUTED_VALUE"""),"Sand Cave 49M")</f>
        <v>Sand Cave 49M</v>
      </c>
      <c r="E616" s="7" t="str">
        <f>IFERROR(__xludf.DUMMYFUNCTION("""COMPUTED_VALUE"""),"SCave 49M")</f>
        <v>SCave 49M</v>
      </c>
      <c r="F616" s="11">
        <f>IFERROR(__xludf.DUMMYFUNCTION("""COMPUTED_VALUE"""),-119.434371387)</f>
        <v>-119.434371387</v>
      </c>
      <c r="G616" s="11">
        <f>IFERROR(__xludf.DUMMYFUNCTION("""COMPUTED_VALUE"""),318.554687877)</f>
        <v>318.554687877</v>
      </c>
      <c r="H616" s="11">
        <f>IFERROR(__xludf.DUMMYFUNCTION("""COMPUTED_VALUE"""),-25.755988504)</f>
        <v>-25.755988504</v>
      </c>
      <c r="I616" s="15"/>
      <c r="J616" s="15"/>
      <c r="K616" s="15"/>
      <c r="L616" s="15"/>
      <c r="M616" s="7" t="b">
        <f>IFERROR(__xludf.DUMMYFUNCTION("""COMPUTED_VALUE"""),FALSE)</f>
        <v>0</v>
      </c>
      <c r="N616" s="8">
        <f>IFERROR(__xludf.DUMMYFUNCTION("""COMPUTED_VALUE"""),0)</f>
        <v>0</v>
      </c>
      <c r="O616" s="8">
        <f>IFERROR(__xludf.DUMMYFUNCTION("""COMPUTED_VALUE"""),0)</f>
        <v>0</v>
      </c>
      <c r="P616" s="8"/>
      <c r="Q616" s="7"/>
      <c r="R616" s="16"/>
      <c r="S616" s="17"/>
      <c r="T616" s="8"/>
      <c r="U616" s="8"/>
      <c r="V616" s="22"/>
      <c r="W616" s="12"/>
      <c r="X616" s="12"/>
      <c r="Y616" s="12"/>
      <c r="Z616" s="12"/>
      <c r="AA616" s="7"/>
      <c r="AB616" s="12"/>
      <c r="AC616" s="6"/>
      <c r="AD616" s="6"/>
      <c r="AE616" s="7"/>
      <c r="AF616" s="7"/>
      <c r="AG616" s="7"/>
      <c r="AH616" s="7"/>
      <c r="AI616" s="7"/>
      <c r="AJ616" s="7"/>
      <c r="AK616" s="7"/>
      <c r="AL616" s="7"/>
      <c r="AM616" s="7"/>
      <c r="AN616" s="7"/>
      <c r="AO616" s="6"/>
      <c r="AP616" s="7"/>
      <c r="AQ616" s="7"/>
      <c r="AR616" s="6"/>
      <c r="AS616" s="7"/>
      <c r="AT616" s="7"/>
      <c r="AU616" s="7"/>
      <c r="AV616" s="7"/>
      <c r="AW616" s="7"/>
      <c r="AX616" s="7"/>
      <c r="AY616" s="7"/>
      <c r="AZ616" s="7"/>
      <c r="BA616" s="7"/>
      <c r="BB616" s="7"/>
      <c r="BC616" s="7"/>
      <c r="BD616" s="7"/>
      <c r="BE616" s="7"/>
      <c r="BF616" s="7"/>
      <c r="BG616" s="7"/>
    </row>
    <row r="617" customHeight="1" spans="1:59">
      <c r="A617" s="23" t="str">
        <f>IFERROR(__xludf.DUMMYFUNCTION("""COMPUTED_VALUE"""),"Magda 20")</f>
        <v>Magda 20</v>
      </c>
      <c r="B617" s="23" t="str">
        <f>IFERROR(__xludf.DUMMYFUNCTION("""COMPUTED_VALUE"""),"Magda 23")</f>
        <v>Magda 23</v>
      </c>
      <c r="C617" s="23" t="str">
        <f>IFERROR(__xludf.DUMMYFUNCTION("""COMPUTED_VALUE"""),"Magda 32")</f>
        <v>Magda 32</v>
      </c>
      <c r="D617" s="23" t="str">
        <f>IFERROR(__xludf.DUMMYFUNCTION("""COMPUTED_VALUE"""),"Sand Cave 30K")</f>
        <v>Sand Cave 30K</v>
      </c>
      <c r="E617" s="7" t="str">
        <f>IFERROR(__xludf.DUMMYFUNCTION("""COMPUTED_VALUE"""),"SCave 30K")</f>
        <v>SCave 30K</v>
      </c>
      <c r="F617" s="11">
        <f>IFERROR(__xludf.DUMMYFUNCTION("""COMPUTED_VALUE"""),322.947863617)</f>
        <v>322.947863617</v>
      </c>
      <c r="G617" s="11">
        <f>IFERROR(__xludf.DUMMYFUNCTION("""COMPUTED_VALUE"""),-18.057344066)</f>
        <v>-18.057344066</v>
      </c>
      <c r="H617" s="11">
        <f>IFERROR(__xludf.DUMMYFUNCTION("""COMPUTED_VALUE"""),-108.160726479)</f>
        <v>-108.160726479</v>
      </c>
      <c r="I617" s="15"/>
      <c r="J617" s="15"/>
      <c r="K617" s="15"/>
      <c r="L617" s="15"/>
      <c r="M617" s="7" t="b">
        <f>IFERROR(__xludf.DUMMYFUNCTION("""COMPUTED_VALUE"""),FALSE)</f>
        <v>0</v>
      </c>
      <c r="N617" s="8">
        <f>IFERROR(__xludf.DUMMYFUNCTION("""COMPUTED_VALUE"""),0)</f>
        <v>0</v>
      </c>
      <c r="O617" s="8">
        <f>IFERROR(__xludf.DUMMYFUNCTION("""COMPUTED_VALUE"""),0)</f>
        <v>0</v>
      </c>
      <c r="P617" s="8"/>
      <c r="Q617" s="7"/>
      <c r="R617" s="16"/>
      <c r="S617" s="17"/>
      <c r="T617" s="8"/>
      <c r="U617" s="8"/>
      <c r="V617" s="22"/>
      <c r="W617" s="12"/>
      <c r="X617" s="12"/>
      <c r="Y617" s="12"/>
      <c r="Z617" s="12"/>
      <c r="AA617" s="7"/>
      <c r="AB617" s="12"/>
      <c r="AC617" s="6"/>
      <c r="AD617" s="6"/>
      <c r="AE617" s="7"/>
      <c r="AF617" s="7"/>
      <c r="AG617" s="7"/>
      <c r="AH617" s="7"/>
      <c r="AI617" s="7"/>
      <c r="AJ617" s="7"/>
      <c r="AK617" s="7"/>
      <c r="AL617" s="7"/>
      <c r="AM617" s="7"/>
      <c r="AN617" s="7"/>
      <c r="AO617" s="6"/>
      <c r="AP617" s="7"/>
      <c r="AQ617" s="7"/>
      <c r="AR617" s="6"/>
      <c r="AS617" s="7"/>
      <c r="AT617" s="7"/>
      <c r="AU617" s="7"/>
      <c r="AV617" s="7"/>
      <c r="AW617" s="7"/>
      <c r="AX617" s="7"/>
      <c r="AY617" s="7"/>
      <c r="AZ617" s="7"/>
      <c r="BA617" s="7"/>
      <c r="BB617" s="7"/>
      <c r="BC617" s="7"/>
      <c r="BD617" s="7"/>
      <c r="BE617" s="7"/>
      <c r="BF617" s="7"/>
      <c r="BG617" s="7"/>
    </row>
    <row r="618" customHeight="1" spans="1:59">
      <c r="A618" s="23" t="str">
        <f>IFERROR(__xludf.DUMMYFUNCTION("""COMPUTED_VALUE"""),"Magda 40")</f>
        <v>Magda 40</v>
      </c>
      <c r="B618" s="23" t="str">
        <f>IFERROR(__xludf.DUMMYFUNCTION("""COMPUTED_VALUE"""),"Magda 43")</f>
        <v>Magda 43</v>
      </c>
      <c r="C618" s="23" t="str">
        <f>IFERROR(__xludf.DUMMYFUNCTION("""COMPUTED_VALUE"""),"Magda 07")</f>
        <v>Magda 07</v>
      </c>
      <c r="D618" s="23" t="str">
        <f>IFERROR(__xludf.DUMMYFUNCTION("""COMPUTED_VALUE"""),"Sand Cave 51W")</f>
        <v>Sand Cave 51W</v>
      </c>
      <c r="E618" s="7" t="str">
        <f>IFERROR(__xludf.DUMMYFUNCTION("""COMPUTED_VALUE"""),"SCave 51W")</f>
        <v>SCave 51W</v>
      </c>
      <c r="F618" s="11">
        <f>IFERROR(__xludf.DUMMYFUNCTION("""COMPUTED_VALUE"""),-80.674377886)</f>
        <v>-80.674377886</v>
      </c>
      <c r="G618" s="11">
        <f>IFERROR(__xludf.DUMMYFUNCTION("""COMPUTED_VALUE"""),119.927906522)</f>
        <v>119.927906522</v>
      </c>
      <c r="H618" s="11">
        <f>IFERROR(__xludf.DUMMYFUNCTION("""COMPUTED_VALUE"""),308.662984479999)</f>
        <v>308.662984479999</v>
      </c>
      <c r="I618" s="15"/>
      <c r="J618" s="15"/>
      <c r="K618" s="15"/>
      <c r="L618" s="15"/>
      <c r="M618" s="7" t="b">
        <f>IFERROR(__xludf.DUMMYFUNCTION("""COMPUTED_VALUE"""),FALSE)</f>
        <v>0</v>
      </c>
      <c r="N618" s="8">
        <f>IFERROR(__xludf.DUMMYFUNCTION("""COMPUTED_VALUE"""),0)</f>
        <v>0</v>
      </c>
      <c r="O618" s="8">
        <f>IFERROR(__xludf.DUMMYFUNCTION("""COMPUTED_VALUE"""),0)</f>
        <v>0</v>
      </c>
      <c r="P618" s="8"/>
      <c r="Q618" s="7"/>
      <c r="R618" s="16"/>
      <c r="S618" s="17"/>
      <c r="T618" s="8"/>
      <c r="U618" s="8"/>
      <c r="V618" s="22"/>
      <c r="W618" s="12"/>
      <c r="X618" s="12"/>
      <c r="Y618" s="12"/>
      <c r="Z618" s="12"/>
      <c r="AA618" s="7"/>
      <c r="AB618" s="12"/>
      <c r="AC618" s="6"/>
      <c r="AD618" s="6"/>
      <c r="AE618" s="7"/>
      <c r="AF618" s="7"/>
      <c r="AG618" s="7"/>
      <c r="AH618" s="7"/>
      <c r="AI618" s="7"/>
      <c r="AJ618" s="7"/>
      <c r="AK618" s="7"/>
      <c r="AL618" s="7"/>
      <c r="AM618" s="7"/>
      <c r="AN618" s="7"/>
      <c r="AO618" s="6"/>
      <c r="AP618" s="7"/>
      <c r="AQ618" s="7"/>
      <c r="AR618" s="6"/>
      <c r="AS618" s="7"/>
      <c r="AT618" s="7"/>
      <c r="AU618" s="7"/>
      <c r="AV618" s="7"/>
      <c r="AW618" s="7"/>
      <c r="AX618" s="7"/>
      <c r="AY618" s="7"/>
      <c r="AZ618" s="7"/>
      <c r="BA618" s="7"/>
      <c r="BB618" s="7"/>
      <c r="BC618" s="7"/>
      <c r="BD618" s="7"/>
      <c r="BE618" s="7"/>
      <c r="BF618" s="7"/>
      <c r="BG618" s="7"/>
    </row>
    <row r="619" customHeight="1" spans="1:59">
      <c r="A619" s="23" t="str">
        <f>IFERROR(__xludf.DUMMYFUNCTION("""COMPUTED_VALUE"""),"Magda 33")</f>
        <v>Magda 33</v>
      </c>
      <c r="B619" s="23" t="str">
        <f>IFERROR(__xludf.DUMMYFUNCTION("""COMPUTED_VALUE"""),"Magda 36")</f>
        <v>Magda 36</v>
      </c>
      <c r="C619" s="23" t="str">
        <f>IFERROR(__xludf.DUMMYFUNCTION("""COMPUTED_VALUE"""),"Magda 15")</f>
        <v>Magda 15</v>
      </c>
      <c r="D619" s="23" t="str">
        <f>IFERROR(__xludf.DUMMYFUNCTION("""COMPUTED_VALUE"""),"Sand Cave 48M")</f>
        <v>Sand Cave 48M</v>
      </c>
      <c r="E619" s="7" t="str">
        <f>IFERROR(__xludf.DUMMYFUNCTION("""COMPUTED_VALUE"""),"SCave 48M")</f>
        <v>SCave 48M</v>
      </c>
      <c r="F619" s="11">
        <f>IFERROR(__xludf.DUMMYFUNCTION("""COMPUTED_VALUE"""),-93.819557797)</f>
        <v>-93.819557797</v>
      </c>
      <c r="G619" s="11">
        <f>IFERROR(__xludf.DUMMYFUNCTION("""COMPUTED_VALUE"""),328.006905272)</f>
        <v>328.006905272</v>
      </c>
      <c r="H619" s="11">
        <f>IFERROR(__xludf.DUMMYFUNCTION("""COMPUTED_VALUE"""),-0.198322475)</f>
        <v>-0.198322475</v>
      </c>
      <c r="I619" s="15"/>
      <c r="J619" s="15"/>
      <c r="K619" s="15"/>
      <c r="L619" s="15"/>
      <c r="M619" s="7" t="b">
        <f>IFERROR(__xludf.DUMMYFUNCTION("""COMPUTED_VALUE"""),FALSE)</f>
        <v>0</v>
      </c>
      <c r="N619" s="8">
        <f>IFERROR(__xludf.DUMMYFUNCTION("""COMPUTED_VALUE"""),0)</f>
        <v>0</v>
      </c>
      <c r="O619" s="8">
        <f>IFERROR(__xludf.DUMMYFUNCTION("""COMPUTED_VALUE"""),0)</f>
        <v>0</v>
      </c>
      <c r="P619" s="8"/>
      <c r="Q619" s="7"/>
      <c r="R619" s="16"/>
      <c r="S619" s="17"/>
      <c r="T619" s="8"/>
      <c r="U619" s="8"/>
      <c r="V619" s="22"/>
      <c r="W619" s="12"/>
      <c r="X619" s="12"/>
      <c r="Y619" s="12"/>
      <c r="Z619" s="12"/>
      <c r="AA619" s="7"/>
      <c r="AB619" s="12"/>
      <c r="AC619" s="6"/>
      <c r="AD619" s="6"/>
      <c r="AE619" s="7"/>
      <c r="AF619" s="7"/>
      <c r="AG619" s="7"/>
      <c r="AH619" s="7"/>
      <c r="AI619" s="7"/>
      <c r="AJ619" s="7"/>
      <c r="AK619" s="7"/>
      <c r="AL619" s="7"/>
      <c r="AM619" s="7"/>
      <c r="AN619" s="7"/>
      <c r="AO619" s="6"/>
      <c r="AP619" s="7"/>
      <c r="AQ619" s="7"/>
      <c r="AR619" s="6"/>
      <c r="AS619" s="7"/>
      <c r="AT619" s="7"/>
      <c r="AU619" s="7"/>
      <c r="AV619" s="7"/>
      <c r="AW619" s="7"/>
      <c r="AX619" s="7"/>
      <c r="AY619" s="7"/>
      <c r="AZ619" s="7"/>
      <c r="BA619" s="7"/>
      <c r="BB619" s="7"/>
      <c r="BC619" s="7"/>
      <c r="BD619" s="7"/>
      <c r="BE619" s="7"/>
      <c r="BF619" s="7"/>
      <c r="BG619" s="7"/>
    </row>
    <row r="620" customHeight="1" spans="1:59">
      <c r="A620" s="23" t="str">
        <f>IFERROR(__xludf.DUMMYFUNCTION("""COMPUTED_VALUE"""),"Magda 43")</f>
        <v>Magda 43</v>
      </c>
      <c r="B620" s="23" t="str">
        <f>IFERROR(__xludf.DUMMYFUNCTION("""COMPUTED_VALUE"""),"Magda 46")</f>
        <v>Magda 46</v>
      </c>
      <c r="C620" s="23" t="str">
        <f>IFERROR(__xludf.DUMMYFUNCTION("""COMPUTED_VALUE"""),"Magda 04")</f>
        <v>Magda 04</v>
      </c>
      <c r="D620" s="23" t="str">
        <f>IFERROR(__xludf.DUMMYFUNCTION("""COMPUTED_VALUE"""),"Sand Cave 55P")</f>
        <v>Sand Cave 55P</v>
      </c>
      <c r="E620" s="7" t="str">
        <f>IFERROR(__xludf.DUMMYFUNCTION("""COMPUTED_VALUE"""),"SCave 55P")</f>
        <v>SCave 55P</v>
      </c>
      <c r="F620" s="11">
        <f>IFERROR(__xludf.DUMMYFUNCTION("""COMPUTED_VALUE"""),-282.318309300999)</f>
        <v>-282.318309300999</v>
      </c>
      <c r="G620" s="11">
        <f>IFERROR(__xludf.DUMMYFUNCTION("""COMPUTED_VALUE"""),182.341975387999)</f>
        <v>182.341975387999</v>
      </c>
      <c r="H620" s="11">
        <f>IFERROR(__xludf.DUMMYFUNCTION("""COMPUTED_VALUE"""),58.709024242)</f>
        <v>58.709024242</v>
      </c>
      <c r="I620" s="15"/>
      <c r="J620" s="15"/>
      <c r="K620" s="15"/>
      <c r="L620" s="15"/>
      <c r="M620" s="7" t="b">
        <f>IFERROR(__xludf.DUMMYFUNCTION("""COMPUTED_VALUE"""),FALSE)</f>
        <v>0</v>
      </c>
      <c r="N620" s="8">
        <f>IFERROR(__xludf.DUMMYFUNCTION("""COMPUTED_VALUE"""),0)</f>
        <v>0</v>
      </c>
      <c r="O620" s="8">
        <f>IFERROR(__xludf.DUMMYFUNCTION("""COMPUTED_VALUE"""),0)</f>
        <v>0</v>
      </c>
      <c r="P620" s="8"/>
      <c r="Q620" s="7"/>
      <c r="R620" s="16"/>
      <c r="S620" s="17"/>
      <c r="T620" s="8"/>
      <c r="U620" s="8"/>
      <c r="V620" s="22"/>
      <c r="W620" s="12"/>
      <c r="X620" s="12"/>
      <c r="Y620" s="12"/>
      <c r="Z620" s="12"/>
      <c r="AA620" s="7"/>
      <c r="AB620" s="12"/>
      <c r="AC620" s="6"/>
      <c r="AD620" s="6"/>
      <c r="AE620" s="7"/>
      <c r="AF620" s="7"/>
      <c r="AG620" s="7"/>
      <c r="AH620" s="7"/>
      <c r="AI620" s="7"/>
      <c r="AJ620" s="7"/>
      <c r="AK620" s="7"/>
      <c r="AL620" s="7"/>
      <c r="AM620" s="7"/>
      <c r="AN620" s="7"/>
      <c r="AO620" s="6"/>
      <c r="AP620" s="7"/>
      <c r="AQ620" s="7"/>
      <c r="AR620" s="6"/>
      <c r="AS620" s="7"/>
      <c r="AT620" s="7"/>
      <c r="AU620" s="7"/>
      <c r="AV620" s="7"/>
      <c r="AW620" s="7"/>
      <c r="AX620" s="7"/>
      <c r="AY620" s="7"/>
      <c r="AZ620" s="7"/>
      <c r="BA620" s="7"/>
      <c r="BB620" s="7"/>
      <c r="BC620" s="7"/>
      <c r="BD620" s="7"/>
      <c r="BE620" s="7"/>
      <c r="BF620" s="7"/>
      <c r="BG620" s="7"/>
    </row>
    <row r="621" customHeight="1" spans="1:59">
      <c r="A621" s="23" t="str">
        <f>IFERROR(__xludf.DUMMYFUNCTION("""COMPUTED_VALUE"""),"Magda 45")</f>
        <v>Magda 45</v>
      </c>
      <c r="B621" s="23" t="str">
        <f>IFERROR(__xludf.DUMMYFUNCTION("""COMPUTED_VALUE"""),"Magda 48")</f>
        <v>Magda 48</v>
      </c>
      <c r="C621" s="23" t="str">
        <f>IFERROR(__xludf.DUMMYFUNCTION("""COMPUTED_VALUE"""),"Magda 02")</f>
        <v>Magda 02</v>
      </c>
      <c r="D621" s="23" t="str">
        <f>IFERROR(__xludf.DUMMYFUNCTION("""COMPUTED_VALUE"""),"Sand Cave 58F")</f>
        <v>Sand Cave 58F</v>
      </c>
      <c r="E621" s="7" t="str">
        <f>IFERROR(__xludf.DUMMYFUNCTION("""COMPUTED_VALUE"""),"SCave 58F")</f>
        <v>SCave 58F</v>
      </c>
      <c r="F621" s="11">
        <f>IFERROR(__xludf.DUMMYFUNCTION("""COMPUTED_VALUE"""),-217.096190846999)</f>
        <v>-217.096190846999</v>
      </c>
      <c r="G621" s="11">
        <f>IFERROR(__xludf.DUMMYFUNCTION("""COMPUTED_VALUE"""),61.9749695159999)</f>
        <v>61.9749695159999</v>
      </c>
      <c r="H621" s="11">
        <f>IFERROR(__xludf.DUMMYFUNCTION("""COMPUTED_VALUE"""),-255.275488034999)</f>
        <v>-255.275488034999</v>
      </c>
      <c r="I621" s="15"/>
      <c r="J621" s="15"/>
      <c r="K621" s="15"/>
      <c r="L621" s="15"/>
      <c r="M621" s="7" t="b">
        <f>IFERROR(__xludf.DUMMYFUNCTION("""COMPUTED_VALUE"""),FALSE)</f>
        <v>0</v>
      </c>
      <c r="N621" s="8">
        <f>IFERROR(__xludf.DUMMYFUNCTION("""COMPUTED_VALUE"""),0)</f>
        <v>0</v>
      </c>
      <c r="O621" s="8">
        <f>IFERROR(__xludf.DUMMYFUNCTION("""COMPUTED_VALUE"""),0)</f>
        <v>0</v>
      </c>
      <c r="P621" s="8"/>
      <c r="Q621" s="7"/>
      <c r="R621" s="16"/>
      <c r="S621" s="17"/>
      <c r="T621" s="8"/>
      <c r="U621" s="8"/>
      <c r="V621" s="22"/>
      <c r="W621" s="12"/>
      <c r="X621" s="12"/>
      <c r="Y621" s="12"/>
      <c r="Z621" s="12"/>
      <c r="AA621" s="7"/>
      <c r="AB621" s="12"/>
      <c r="AC621" s="6"/>
      <c r="AD621" s="6"/>
      <c r="AE621" s="7"/>
      <c r="AF621" s="7"/>
      <c r="AG621" s="7"/>
      <c r="AH621" s="7"/>
      <c r="AI621" s="7"/>
      <c r="AJ621" s="7"/>
      <c r="AK621" s="7"/>
      <c r="AL621" s="7"/>
      <c r="AM621" s="7"/>
      <c r="AN621" s="7"/>
      <c r="AO621" s="6"/>
      <c r="AP621" s="7"/>
      <c r="AQ621" s="7"/>
      <c r="AR621" s="6"/>
      <c r="AS621" s="7"/>
      <c r="AT621" s="7"/>
      <c r="AU621" s="7"/>
      <c r="AV621" s="7"/>
      <c r="AW621" s="7"/>
      <c r="AX621" s="7"/>
      <c r="AY621" s="7"/>
      <c r="AZ621" s="7"/>
      <c r="BA621" s="7"/>
      <c r="BB621" s="7"/>
      <c r="BC621" s="7"/>
      <c r="BD621" s="7"/>
      <c r="BE621" s="7"/>
      <c r="BF621" s="7"/>
      <c r="BG621" s="7"/>
    </row>
    <row r="622" customHeight="1" spans="1:59">
      <c r="A622" s="23" t="str">
        <f>IFERROR(__xludf.DUMMYFUNCTION("""COMPUTED_VALUE"""),"Magda 18")</f>
        <v>Magda 18</v>
      </c>
      <c r="B622" s="23" t="str">
        <f>IFERROR(__xludf.DUMMYFUNCTION("""COMPUTED_VALUE"""),"Magda 21")</f>
        <v>Magda 21</v>
      </c>
      <c r="C622" s="23" t="str">
        <f>IFERROR(__xludf.DUMMYFUNCTION("""COMPUTED_VALUE"""),"Magda 36")</f>
        <v>Magda 36</v>
      </c>
      <c r="D622" s="23" t="str">
        <f>IFERROR(__xludf.DUMMYFUNCTION("""COMPUTED_VALUE"""),"Sand Cave 23N")</f>
        <v>Sand Cave 23N</v>
      </c>
      <c r="E622" s="7" t="str">
        <f>IFERROR(__xludf.DUMMYFUNCTION("""COMPUTED_VALUE"""),"SCave 23N")</f>
        <v>SCave 23N</v>
      </c>
      <c r="F622" s="11">
        <f>IFERROR(__xludf.DUMMYFUNCTION("""COMPUTED_VALUE"""),249.137431707999)</f>
        <v>249.137431707999</v>
      </c>
      <c r="G622" s="11">
        <f>IFERROR(__xludf.DUMMYFUNCTION("""COMPUTED_VALUE"""),-233.071970089)</f>
        <v>-233.071970089</v>
      </c>
      <c r="H622" s="11">
        <f>IFERROR(__xludf.DUMMYFUNCTION("""COMPUTED_VALUE"""),3.28111913899999)</f>
        <v>3.28111913899999</v>
      </c>
      <c r="I622" s="15"/>
      <c r="J622" s="15"/>
      <c r="K622" s="15"/>
      <c r="L622" s="15"/>
      <c r="M622" s="7" t="b">
        <f>IFERROR(__xludf.DUMMYFUNCTION("""COMPUTED_VALUE"""),FALSE)</f>
        <v>0</v>
      </c>
      <c r="N622" s="8">
        <f>IFERROR(__xludf.DUMMYFUNCTION("""COMPUTED_VALUE"""),0)</f>
        <v>0</v>
      </c>
      <c r="O622" s="8">
        <f>IFERROR(__xludf.DUMMYFUNCTION("""COMPUTED_VALUE"""),0)</f>
        <v>0</v>
      </c>
      <c r="P622" s="8"/>
      <c r="Q622" s="7"/>
      <c r="R622" s="16"/>
      <c r="S622" s="17"/>
      <c r="T622" s="8"/>
      <c r="U622" s="8"/>
      <c r="V622" s="22"/>
      <c r="W622" s="12"/>
      <c r="X622" s="12"/>
      <c r="Y622" s="12"/>
      <c r="Z622" s="12"/>
      <c r="AA622" s="7"/>
      <c r="AB622" s="12"/>
      <c r="AC622" s="6"/>
      <c r="AD622" s="6"/>
      <c r="AE622" s="7"/>
      <c r="AF622" s="7"/>
      <c r="AG622" s="7"/>
      <c r="AH622" s="7"/>
      <c r="AI622" s="7"/>
      <c r="AJ622" s="7"/>
      <c r="AK622" s="7"/>
      <c r="AL622" s="7"/>
      <c r="AM622" s="7"/>
      <c r="AN622" s="7"/>
      <c r="AO622" s="6"/>
      <c r="AP622" s="7"/>
      <c r="AQ622" s="7"/>
      <c r="AR622" s="6"/>
      <c r="AS622" s="7"/>
      <c r="AT622" s="7"/>
      <c r="AU622" s="7"/>
      <c r="AV622" s="7"/>
      <c r="AW622" s="7"/>
      <c r="AX622" s="7"/>
      <c r="AY622" s="7"/>
      <c r="AZ622" s="7"/>
      <c r="BA622" s="7"/>
      <c r="BB622" s="7"/>
      <c r="BC622" s="7"/>
      <c r="BD622" s="7"/>
      <c r="BE622" s="7"/>
      <c r="BF622" s="7"/>
      <c r="BG622" s="7"/>
    </row>
    <row r="623" customHeight="1" spans="1:59">
      <c r="A623" s="23" t="str">
        <f>IFERROR(__xludf.DUMMYFUNCTION("""COMPUTED_VALUE"""),"Magda 37")</f>
        <v>Magda 37</v>
      </c>
      <c r="B623" s="23" t="str">
        <f>IFERROR(__xludf.DUMMYFUNCTION("""COMPUTED_VALUE"""),"Magda 40")</f>
        <v>Magda 40</v>
      </c>
      <c r="C623" s="23" t="str">
        <f>IFERROR(__xludf.DUMMYFUNCTION("""COMPUTED_VALUE"""),"Magda 09")</f>
        <v>Magda 09</v>
      </c>
      <c r="D623" s="23" t="str">
        <f>IFERROR(__xludf.DUMMYFUNCTION("""COMPUTED_VALUE"""),"Sand Cave 51K")</f>
        <v>Sand Cave 51K</v>
      </c>
      <c r="E623" s="7" t="str">
        <f>IFERROR(__xludf.DUMMYFUNCTION("""COMPUTED_VALUE"""),"SCave 51K")</f>
        <v>SCave 51K</v>
      </c>
      <c r="F623" s="11">
        <f>IFERROR(__xludf.DUMMYFUNCTION("""COMPUTED_VALUE"""),-168.090762847)</f>
        <v>-168.090762847</v>
      </c>
      <c r="G623" s="11">
        <f>IFERROR(__xludf.DUMMYFUNCTION("""COMPUTED_VALUE"""),264.730830307)</f>
        <v>264.730830307</v>
      </c>
      <c r="H623" s="11">
        <f>IFERROR(__xludf.DUMMYFUNCTION("""COMPUTED_VALUE"""),-134.604524004)</f>
        <v>-134.604524004</v>
      </c>
      <c r="I623" s="15"/>
      <c r="J623" s="15"/>
      <c r="K623" s="15"/>
      <c r="L623" s="15"/>
      <c r="M623" s="7" t="b">
        <f>IFERROR(__xludf.DUMMYFUNCTION("""COMPUTED_VALUE"""),FALSE)</f>
        <v>0</v>
      </c>
      <c r="N623" s="8">
        <f>IFERROR(__xludf.DUMMYFUNCTION("""COMPUTED_VALUE"""),0)</f>
        <v>0</v>
      </c>
      <c r="O623" s="8">
        <f>IFERROR(__xludf.DUMMYFUNCTION("""COMPUTED_VALUE"""),0)</f>
        <v>0</v>
      </c>
      <c r="P623" s="8"/>
      <c r="Q623" s="7"/>
      <c r="R623" s="16"/>
      <c r="S623" s="17"/>
      <c r="T623" s="8"/>
      <c r="U623" s="8"/>
      <c r="V623" s="22"/>
      <c r="W623" s="12"/>
      <c r="X623" s="12"/>
      <c r="Y623" s="12"/>
      <c r="Z623" s="12"/>
      <c r="AA623" s="7"/>
      <c r="AB623" s="12"/>
      <c r="AC623" s="6"/>
      <c r="AD623" s="6"/>
      <c r="AE623" s="7"/>
      <c r="AF623" s="7"/>
      <c r="AG623" s="7"/>
      <c r="AH623" s="7"/>
      <c r="AI623" s="7"/>
      <c r="AJ623" s="7"/>
      <c r="AK623" s="7"/>
      <c r="AL623" s="7"/>
      <c r="AM623" s="7"/>
      <c r="AN623" s="7"/>
      <c r="AO623" s="6"/>
      <c r="AP623" s="7"/>
      <c r="AQ623" s="7"/>
      <c r="AR623" s="6"/>
      <c r="AS623" s="7"/>
      <c r="AT623" s="7"/>
      <c r="AU623" s="7"/>
      <c r="AV623" s="7"/>
      <c r="AW623" s="7"/>
      <c r="AX623" s="7"/>
      <c r="AY623" s="7"/>
      <c r="AZ623" s="7"/>
      <c r="BA623" s="7"/>
      <c r="BB623" s="7"/>
      <c r="BC623" s="7"/>
      <c r="BD623" s="7"/>
      <c r="BE623" s="7"/>
      <c r="BF623" s="7"/>
      <c r="BG623" s="7"/>
    </row>
    <row r="624" customHeight="1" spans="1:59">
      <c r="A624" s="23" t="str">
        <f>IFERROR(__xludf.DUMMYFUNCTION("""COMPUTED_VALUE"""),"Magda 41")</f>
        <v>Magda 41</v>
      </c>
      <c r="B624" s="23" t="str">
        <f>IFERROR(__xludf.DUMMYFUNCTION("""COMPUTED_VALUE"""),"Magda 44")</f>
        <v>Magda 44</v>
      </c>
      <c r="C624" s="23" t="str">
        <f>IFERROR(__xludf.DUMMYFUNCTION("""COMPUTED_VALUE"""),"Magda 06")</f>
        <v>Magda 06</v>
      </c>
      <c r="D624" s="23" t="str">
        <f>IFERROR(__xludf.DUMMYFUNCTION("""COMPUTED_VALUE"""),"Sand Cave 52K")</f>
        <v>Sand Cave 52K</v>
      </c>
      <c r="E624" s="7" t="str">
        <f>IFERROR(__xludf.DUMMYFUNCTION("""COMPUTED_VALUE"""),"SCave 52K")</f>
        <v>SCave 52K</v>
      </c>
      <c r="F624" s="11">
        <f>IFERROR(__xludf.DUMMYFUNCTION("""COMPUTED_VALUE"""),-201.620672098)</f>
        <v>-201.620672098</v>
      </c>
      <c r="G624" s="11">
        <f>IFERROR(__xludf.DUMMYFUNCTION("""COMPUTED_VALUE"""),240.276189469)</f>
        <v>240.276189469</v>
      </c>
      <c r="H624" s="11">
        <f>IFERROR(__xludf.DUMMYFUNCTION("""COMPUTED_VALUE"""),-134.279230993)</f>
        <v>-134.279230993</v>
      </c>
      <c r="I624" s="15"/>
      <c r="J624" s="15"/>
      <c r="K624" s="15"/>
      <c r="L624" s="15"/>
      <c r="M624" s="7" t="b">
        <f>IFERROR(__xludf.DUMMYFUNCTION("""COMPUTED_VALUE"""),FALSE)</f>
        <v>0</v>
      </c>
      <c r="N624" s="8">
        <f>IFERROR(__xludf.DUMMYFUNCTION("""COMPUTED_VALUE"""),0)</f>
        <v>0</v>
      </c>
      <c r="O624" s="8">
        <f>IFERROR(__xludf.DUMMYFUNCTION("""COMPUTED_VALUE"""),0)</f>
        <v>0</v>
      </c>
      <c r="P624" s="8"/>
      <c r="Q624" s="7"/>
      <c r="R624" s="16"/>
      <c r="S624" s="17"/>
      <c r="T624" s="8"/>
      <c r="U624" s="8"/>
      <c r="V624" s="22"/>
      <c r="W624" s="12"/>
      <c r="X624" s="12"/>
      <c r="Y624" s="12"/>
      <c r="Z624" s="12"/>
      <c r="AA624" s="7"/>
      <c r="AB624" s="12"/>
      <c r="AC624" s="6"/>
      <c r="AD624" s="6"/>
      <c r="AE624" s="7"/>
      <c r="AF624" s="7"/>
      <c r="AG624" s="7"/>
      <c r="AH624" s="7"/>
      <c r="AI624" s="7"/>
      <c r="AJ624" s="7"/>
      <c r="AK624" s="7"/>
      <c r="AL624" s="7"/>
      <c r="AM624" s="7"/>
      <c r="AN624" s="7"/>
      <c r="AO624" s="6"/>
      <c r="AP624" s="7"/>
      <c r="AQ624" s="7"/>
      <c r="AR624" s="6"/>
      <c r="AS624" s="7"/>
      <c r="AT624" s="7"/>
      <c r="AU624" s="7"/>
      <c r="AV624" s="7"/>
      <c r="AW624" s="7"/>
      <c r="AX624" s="7"/>
      <c r="AY624" s="7"/>
      <c r="AZ624" s="7"/>
      <c r="BA624" s="7"/>
      <c r="BB624" s="7"/>
      <c r="BC624" s="7"/>
      <c r="BD624" s="7"/>
      <c r="BE624" s="7"/>
      <c r="BF624" s="7"/>
      <c r="BG624" s="7"/>
    </row>
    <row r="625" customHeight="1" spans="1:59">
      <c r="A625" s="23" t="str">
        <f>IFERROR(__xludf.DUMMYFUNCTION("""COMPUTED_VALUE"""),"Magda 42")</f>
        <v>Magda 42</v>
      </c>
      <c r="B625" s="23" t="str">
        <f>IFERROR(__xludf.DUMMYFUNCTION("""COMPUTED_VALUE"""),"Magda 45")</f>
        <v>Magda 45</v>
      </c>
      <c r="C625" s="23" t="str">
        <f>IFERROR(__xludf.DUMMYFUNCTION("""COMPUTED_VALUE"""),"Magda 05")</f>
        <v>Magda 05</v>
      </c>
      <c r="D625" s="23" t="str">
        <f>IFERROR(__xludf.DUMMYFUNCTION("""COMPUTED_VALUE"""),"Sand Cave 53J")</f>
        <v>Sand Cave 53J</v>
      </c>
      <c r="E625" s="7" t="str">
        <f>IFERROR(__xludf.DUMMYFUNCTION("""COMPUTED_VALUE"""),"SCave 53J")</f>
        <v>SCave 53J</v>
      </c>
      <c r="F625" s="11">
        <f>IFERROR(__xludf.DUMMYFUNCTION("""COMPUTED_VALUE"""),-197.545692553)</f>
        <v>-197.545692553</v>
      </c>
      <c r="G625" s="11">
        <f>IFERROR(__xludf.DUMMYFUNCTION("""COMPUTED_VALUE"""),218.685740538999)</f>
        <v>218.685740538999</v>
      </c>
      <c r="H625" s="11">
        <f>IFERROR(__xludf.DUMMYFUNCTION("""COMPUTED_VALUE"""),-171.510450346)</f>
        <v>-171.510450346</v>
      </c>
      <c r="I625" s="15"/>
      <c r="J625" s="15"/>
      <c r="K625" s="15"/>
      <c r="L625" s="15"/>
      <c r="M625" s="7" t="b">
        <f>IFERROR(__xludf.DUMMYFUNCTION("""COMPUTED_VALUE"""),FALSE)</f>
        <v>0</v>
      </c>
      <c r="N625" s="8">
        <f>IFERROR(__xludf.DUMMYFUNCTION("""COMPUTED_VALUE"""),0)</f>
        <v>0</v>
      </c>
      <c r="O625" s="8">
        <f>IFERROR(__xludf.DUMMYFUNCTION("""COMPUTED_VALUE"""),0)</f>
        <v>0</v>
      </c>
      <c r="P625" s="8"/>
      <c r="Q625" s="7"/>
      <c r="R625" s="16"/>
      <c r="S625" s="17"/>
      <c r="T625" s="8"/>
      <c r="U625" s="8"/>
      <c r="V625" s="22"/>
      <c r="W625" s="12"/>
      <c r="X625" s="12"/>
      <c r="Y625" s="12"/>
      <c r="Z625" s="12"/>
      <c r="AA625" s="7"/>
      <c r="AB625" s="12"/>
      <c r="AC625" s="6"/>
      <c r="AD625" s="6"/>
      <c r="AE625" s="7"/>
      <c r="AF625" s="7"/>
      <c r="AG625" s="7"/>
      <c r="AH625" s="7"/>
      <c r="AI625" s="7"/>
      <c r="AJ625" s="7"/>
      <c r="AK625" s="7"/>
      <c r="AL625" s="7"/>
      <c r="AM625" s="7"/>
      <c r="AN625" s="7"/>
      <c r="AO625" s="6"/>
      <c r="AP625" s="7"/>
      <c r="AQ625" s="7"/>
      <c r="AR625" s="6"/>
      <c r="AS625" s="7"/>
      <c r="AT625" s="7"/>
      <c r="AU625" s="7"/>
      <c r="AV625" s="7"/>
      <c r="AW625" s="7"/>
      <c r="AX625" s="7"/>
      <c r="AY625" s="7"/>
      <c r="AZ625" s="7"/>
      <c r="BA625" s="7"/>
      <c r="BB625" s="7"/>
      <c r="BC625" s="7"/>
      <c r="BD625" s="7"/>
      <c r="BE625" s="7"/>
      <c r="BF625" s="7"/>
      <c r="BG625" s="7"/>
    </row>
    <row r="626" customHeight="1" spans="1:59">
      <c r="A626" s="23" t="str">
        <f>IFERROR(__xludf.DUMMYFUNCTION("""COMPUTED_VALUE"""),"Magda 09")</f>
        <v>Magda 09</v>
      </c>
      <c r="B626" s="23" t="str">
        <f>IFERROR(__xludf.DUMMYFUNCTION("""COMPUTED_VALUE"""),"Magda 12")</f>
        <v>Magda 12</v>
      </c>
      <c r="C626" s="23" t="str">
        <f>IFERROR(__xludf.DUMMYFUNCTION("""COMPUTED_VALUE"""),"Magda 51")</f>
        <v>Magda 51</v>
      </c>
      <c r="D626" s="23" t="str">
        <f>IFERROR(__xludf.DUMMYFUNCTION("""COMPUTED_VALUE"""),"Sand Cave 02S")</f>
        <v>Sand Cave 02S</v>
      </c>
      <c r="E626" s="7" t="str">
        <f>IFERROR(__xludf.DUMMYFUNCTION("""COMPUTED_VALUE"""),"SCave 02S")</f>
        <v>SCave 02S</v>
      </c>
      <c r="F626" s="11">
        <f>IFERROR(__xludf.DUMMYFUNCTION("""COMPUTED_VALUE"""),-265.632391756)</f>
        <v>-265.632391756</v>
      </c>
      <c r="G626" s="11">
        <f>IFERROR(__xludf.DUMMYFUNCTION("""COMPUTED_VALUE"""),-54.2650127619999)</f>
        <v>-54.2650127619999</v>
      </c>
      <c r="H626" s="11">
        <f>IFERROR(__xludf.DUMMYFUNCTION("""COMPUTED_VALUE"""),206.474485026)</f>
        <v>206.474485026</v>
      </c>
      <c r="I626" s="15"/>
      <c r="J626" s="15"/>
      <c r="K626" s="15"/>
      <c r="L626" s="15"/>
      <c r="M626" s="7" t="b">
        <f>IFERROR(__xludf.DUMMYFUNCTION("""COMPUTED_VALUE"""),FALSE)</f>
        <v>0</v>
      </c>
      <c r="N626" s="8">
        <f>IFERROR(__xludf.DUMMYFUNCTION("""COMPUTED_VALUE"""),0)</f>
        <v>0</v>
      </c>
      <c r="O626" s="8">
        <f>IFERROR(__xludf.DUMMYFUNCTION("""COMPUTED_VALUE"""),0)</f>
        <v>0</v>
      </c>
      <c r="P626" s="8"/>
      <c r="Q626" s="7"/>
      <c r="R626" s="16"/>
      <c r="S626" s="17"/>
      <c r="T626" s="8"/>
      <c r="U626" s="8"/>
      <c r="V626" s="22"/>
      <c r="W626" s="12"/>
      <c r="X626" s="12"/>
      <c r="Y626" s="12"/>
      <c r="Z626" s="12"/>
      <c r="AA626" s="7"/>
      <c r="AB626" s="12"/>
      <c r="AC626" s="6"/>
      <c r="AD626" s="6"/>
      <c r="AE626" s="7"/>
      <c r="AF626" s="7"/>
      <c r="AG626" s="7"/>
      <c r="AH626" s="7"/>
      <c r="AI626" s="7"/>
      <c r="AJ626" s="7"/>
      <c r="AK626" s="7"/>
      <c r="AL626" s="7"/>
      <c r="AM626" s="7"/>
      <c r="AN626" s="7"/>
      <c r="AO626" s="6"/>
      <c r="AP626" s="7"/>
      <c r="AQ626" s="7"/>
      <c r="AR626" s="6"/>
      <c r="AS626" s="7"/>
      <c r="AT626" s="7"/>
      <c r="AU626" s="7"/>
      <c r="AV626" s="7"/>
      <c r="AW626" s="7"/>
      <c r="AX626" s="7"/>
      <c r="AY626" s="7"/>
      <c r="AZ626" s="7"/>
      <c r="BA626" s="7"/>
      <c r="BB626" s="7"/>
      <c r="BC626" s="7"/>
      <c r="BD626" s="7"/>
      <c r="BE626" s="7"/>
      <c r="BF626" s="7"/>
      <c r="BG626" s="7"/>
    </row>
    <row r="627" customHeight="1" spans="1:59">
      <c r="A627" s="23" t="str">
        <f>IFERROR(__xludf.DUMMYFUNCTION("""COMPUTED_VALUE"""),"Magda 25")</f>
        <v>Magda 25</v>
      </c>
      <c r="B627" s="23" t="str">
        <f>IFERROR(__xludf.DUMMYFUNCTION("""COMPUTED_VALUE"""),"Magda 28")</f>
        <v>Magda 28</v>
      </c>
      <c r="C627" s="23" t="str">
        <f>IFERROR(__xludf.DUMMYFUNCTION("""COMPUTED_VALUE"""),"Magda 27")</f>
        <v>Magda 27</v>
      </c>
      <c r="D627" s="23" t="str">
        <f>IFERROR(__xludf.DUMMYFUNCTION("""COMPUTED_VALUE"""),"Sand Cave 33J")</f>
        <v>Sand Cave 33J</v>
      </c>
      <c r="E627" s="7" t="str">
        <f>IFERROR(__xludf.DUMMYFUNCTION("""COMPUTED_VALUE"""),"SCave 33J")</f>
        <v>SCave 33J</v>
      </c>
      <c r="F627" s="11">
        <f>IFERROR(__xludf.DUMMYFUNCTION("""COMPUTED_VALUE"""),299.160436670999)</f>
        <v>299.160436670999</v>
      </c>
      <c r="G627" s="11">
        <f>IFERROR(__xludf.DUMMYFUNCTION("""COMPUTED_VALUE"""),83.072659322)</f>
        <v>83.072659322</v>
      </c>
      <c r="H627" s="11">
        <f>IFERROR(__xludf.DUMMYFUNCTION("""COMPUTED_VALUE"""),-141.601822665999)</f>
        <v>-141.601822665999</v>
      </c>
      <c r="I627" s="15"/>
      <c r="J627" s="15"/>
      <c r="K627" s="15"/>
      <c r="L627" s="15"/>
      <c r="M627" s="7" t="b">
        <f>IFERROR(__xludf.DUMMYFUNCTION("""COMPUTED_VALUE"""),FALSE)</f>
        <v>0</v>
      </c>
      <c r="N627" s="8">
        <f>IFERROR(__xludf.DUMMYFUNCTION("""COMPUTED_VALUE"""),0)</f>
        <v>0</v>
      </c>
      <c r="O627" s="8">
        <f>IFERROR(__xludf.DUMMYFUNCTION("""COMPUTED_VALUE"""),0)</f>
        <v>0</v>
      </c>
      <c r="P627" s="8"/>
      <c r="Q627" s="7"/>
      <c r="R627" s="16"/>
      <c r="S627" s="17"/>
      <c r="T627" s="8"/>
      <c r="U627" s="8"/>
      <c r="V627" s="22"/>
      <c r="W627" s="12"/>
      <c r="X627" s="12"/>
      <c r="Y627" s="12"/>
      <c r="Z627" s="12"/>
      <c r="AA627" s="7"/>
      <c r="AB627" s="12"/>
      <c r="AC627" s="6"/>
      <c r="AD627" s="6"/>
      <c r="AE627" s="7"/>
      <c r="AF627" s="7"/>
      <c r="AG627" s="7"/>
      <c r="AH627" s="7"/>
      <c r="AI627" s="7"/>
      <c r="AJ627" s="7"/>
      <c r="AK627" s="7"/>
      <c r="AL627" s="7"/>
      <c r="AM627" s="7"/>
      <c r="AN627" s="7"/>
      <c r="AO627" s="6"/>
      <c r="AP627" s="7"/>
      <c r="AQ627" s="7"/>
      <c r="AR627" s="6"/>
      <c r="AS627" s="7"/>
      <c r="AT627" s="7"/>
      <c r="AU627" s="7"/>
      <c r="AV627" s="7"/>
      <c r="AW627" s="7"/>
      <c r="AX627" s="7"/>
      <c r="AY627" s="7"/>
      <c r="AZ627" s="7"/>
      <c r="BA627" s="7"/>
      <c r="BB627" s="7"/>
      <c r="BC627" s="7"/>
      <c r="BD627" s="7"/>
      <c r="BE627" s="7"/>
      <c r="BF627" s="7"/>
      <c r="BG627" s="7"/>
    </row>
    <row r="628" customHeight="1" spans="1:59">
      <c r="A628" s="23" t="str">
        <f>IFERROR(__xludf.DUMMYFUNCTION("""COMPUTED_VALUE"""),"Magda 22")</f>
        <v>Magda 22</v>
      </c>
      <c r="B628" s="23" t="str">
        <f>IFERROR(__xludf.DUMMYFUNCTION("""COMPUTED_VALUE"""),"Magda 25")</f>
        <v>Magda 25</v>
      </c>
      <c r="C628" s="23" t="str">
        <f>IFERROR(__xludf.DUMMYFUNCTION("""COMPUTED_VALUE"""),"Magda 29")</f>
        <v>Magda 29</v>
      </c>
      <c r="D628" s="23" t="str">
        <f>IFERROR(__xludf.DUMMYFUNCTION("""COMPUTED_VALUE"""),"Sand Cave 31J")</f>
        <v>Sand Cave 31J</v>
      </c>
      <c r="E628" s="7" t="str">
        <f>IFERROR(__xludf.DUMMYFUNCTION("""COMPUTED_VALUE"""),"SCave 31J")</f>
        <v>SCave 31J</v>
      </c>
      <c r="F628" s="11">
        <f>IFERROR(__xludf.DUMMYFUNCTION("""COMPUTED_VALUE"""),301.542738071)</f>
        <v>301.542738071</v>
      </c>
      <c r="G628" s="11">
        <f>IFERROR(__xludf.DUMMYFUNCTION("""COMPUTED_VALUE"""),6.44132297199999)</f>
        <v>6.44132297199999</v>
      </c>
      <c r="H628" s="11">
        <f>IFERROR(__xludf.DUMMYFUNCTION("""COMPUTED_VALUE"""),-159.624630968)</f>
        <v>-159.624630968</v>
      </c>
      <c r="I628" s="15"/>
      <c r="J628" s="15"/>
      <c r="K628" s="15"/>
      <c r="L628" s="15"/>
      <c r="M628" s="7" t="b">
        <f>IFERROR(__xludf.DUMMYFUNCTION("""COMPUTED_VALUE"""),FALSE)</f>
        <v>0</v>
      </c>
      <c r="N628" s="8">
        <f>IFERROR(__xludf.DUMMYFUNCTION("""COMPUTED_VALUE"""),0)</f>
        <v>0</v>
      </c>
      <c r="O628" s="8">
        <f>IFERROR(__xludf.DUMMYFUNCTION("""COMPUTED_VALUE"""),0)</f>
        <v>0</v>
      </c>
      <c r="P628" s="8"/>
      <c r="Q628" s="7"/>
      <c r="R628" s="16"/>
      <c r="S628" s="17"/>
      <c r="T628" s="8"/>
      <c r="U628" s="8"/>
      <c r="V628" s="22"/>
      <c r="W628" s="12"/>
      <c r="X628" s="12"/>
      <c r="Y628" s="12"/>
      <c r="Z628" s="12"/>
      <c r="AA628" s="7"/>
      <c r="AB628" s="12"/>
      <c r="AC628" s="6"/>
      <c r="AD628" s="6"/>
      <c r="AE628" s="7"/>
      <c r="AF628" s="7"/>
      <c r="AG628" s="7"/>
      <c r="AH628" s="7"/>
      <c r="AI628" s="7"/>
      <c r="AJ628" s="7"/>
      <c r="AK628" s="7"/>
      <c r="AL628" s="7"/>
      <c r="AM628" s="7"/>
      <c r="AN628" s="7"/>
      <c r="AO628" s="6"/>
      <c r="AP628" s="7"/>
      <c r="AQ628" s="7"/>
      <c r="AR628" s="6"/>
      <c r="AS628" s="7"/>
      <c r="AT628" s="7"/>
      <c r="AU628" s="7"/>
      <c r="AV628" s="7"/>
      <c r="AW628" s="7"/>
      <c r="AX628" s="7"/>
      <c r="AY628" s="7"/>
      <c r="AZ628" s="7"/>
      <c r="BA628" s="7"/>
      <c r="BB628" s="7"/>
      <c r="BC628" s="7"/>
      <c r="BD628" s="7"/>
      <c r="BE628" s="7"/>
      <c r="BF628" s="7"/>
      <c r="BG628" s="7"/>
    </row>
    <row r="629" customHeight="1" spans="1:59">
      <c r="A629" s="23" t="str">
        <f>IFERROR(__xludf.DUMMYFUNCTION("""COMPUTED_VALUE"""),"Magda 23")</f>
        <v>Magda 23</v>
      </c>
      <c r="B629" s="23" t="str">
        <f>IFERROR(__xludf.DUMMYFUNCTION("""COMPUTED_VALUE"""),"Magda 26")</f>
        <v>Magda 26</v>
      </c>
      <c r="C629" s="23" t="str">
        <f>IFERROR(__xludf.DUMMYFUNCTION("""COMPUTED_VALUE"""),"Magda 30")</f>
        <v>Magda 30</v>
      </c>
      <c r="D629" s="23" t="str">
        <f>IFERROR(__xludf.DUMMYFUNCTION("""COMPUTED_VALUE"""),"Sand Cave 31L")</f>
        <v>Sand Cave 31L</v>
      </c>
      <c r="E629" s="7" t="str">
        <f>IFERROR(__xludf.DUMMYFUNCTION("""COMPUTED_VALUE"""),"SCave 31L")</f>
        <v>SCave 31L</v>
      </c>
      <c r="F629" s="11">
        <f>IFERROR(__xludf.DUMMYFUNCTION("""COMPUTED_VALUE"""),329.558160909)</f>
        <v>329.558160909</v>
      </c>
      <c r="G629" s="11">
        <f>IFERROR(__xludf.DUMMYFUNCTION("""COMPUTED_VALUE"""),4.407244045)</f>
        <v>4.407244045</v>
      </c>
      <c r="H629" s="11">
        <f>IFERROR(__xludf.DUMMYFUNCTION("""COMPUTED_VALUE"""),-87.876208843)</f>
        <v>-87.876208843</v>
      </c>
      <c r="I629" s="15"/>
      <c r="J629" s="15"/>
      <c r="K629" s="15"/>
      <c r="L629" s="15"/>
      <c r="M629" s="7" t="b">
        <f>IFERROR(__xludf.DUMMYFUNCTION("""COMPUTED_VALUE"""),FALSE)</f>
        <v>0</v>
      </c>
      <c r="N629" s="8">
        <f>IFERROR(__xludf.DUMMYFUNCTION("""COMPUTED_VALUE"""),0)</f>
        <v>0</v>
      </c>
      <c r="O629" s="8">
        <f>IFERROR(__xludf.DUMMYFUNCTION("""COMPUTED_VALUE"""),0)</f>
        <v>0</v>
      </c>
      <c r="P629" s="8"/>
      <c r="Q629" s="7"/>
      <c r="R629" s="16"/>
      <c r="S629" s="17"/>
      <c r="T629" s="8"/>
      <c r="U629" s="8"/>
      <c r="V629" s="22"/>
      <c r="W629" s="12"/>
      <c r="X629" s="12"/>
      <c r="Y629" s="12"/>
      <c r="Z629" s="12"/>
      <c r="AA629" s="7"/>
      <c r="AB629" s="12"/>
      <c r="AC629" s="6"/>
      <c r="AD629" s="6"/>
      <c r="AE629" s="7"/>
      <c r="AF629" s="7"/>
      <c r="AG629" s="7"/>
      <c r="AH629" s="7"/>
      <c r="AI629" s="7"/>
      <c r="AJ629" s="7"/>
      <c r="AK629" s="7"/>
      <c r="AL629" s="7"/>
      <c r="AM629" s="7"/>
      <c r="AN629" s="7"/>
      <c r="AO629" s="6"/>
      <c r="AP629" s="7"/>
      <c r="AQ629" s="7"/>
      <c r="AR629" s="6"/>
      <c r="AS629" s="7"/>
      <c r="AT629" s="7"/>
      <c r="AU629" s="7"/>
      <c r="AV629" s="7"/>
      <c r="AW629" s="7"/>
      <c r="AX629" s="7"/>
      <c r="AY629" s="7"/>
      <c r="AZ629" s="7"/>
      <c r="BA629" s="7"/>
      <c r="BB629" s="7"/>
      <c r="BC629" s="7"/>
      <c r="BD629" s="7"/>
      <c r="BE629" s="7"/>
      <c r="BF629" s="7"/>
      <c r="BG629" s="7"/>
    </row>
    <row r="630" customHeight="1" spans="1:59">
      <c r="A630" s="23" t="str">
        <f>IFERROR(__xludf.DUMMYFUNCTION("""COMPUTED_VALUE"""),"Magda 21")</f>
        <v>Magda 21</v>
      </c>
      <c r="B630" s="23" t="str">
        <f>IFERROR(__xludf.DUMMYFUNCTION("""COMPUTED_VALUE"""),"Magda 24")</f>
        <v>Magda 24</v>
      </c>
      <c r="C630" s="23" t="str">
        <f>IFERROR(__xludf.DUMMYFUNCTION("""COMPUTED_VALUE"""),"Magda 34")</f>
        <v>Magda 34</v>
      </c>
      <c r="D630" s="23" t="str">
        <f>IFERROR(__xludf.DUMMYFUNCTION("""COMPUTED_VALUE"""),"Sand Cave 30L")</f>
        <v>Sand Cave 30L</v>
      </c>
      <c r="E630" s="7" t="str">
        <f>IFERROR(__xludf.DUMMYFUNCTION("""COMPUTED_VALUE"""),"SCave 30L")</f>
        <v>SCave 30L</v>
      </c>
      <c r="F630" s="11">
        <f>IFERROR(__xludf.DUMMYFUNCTION("""COMPUTED_VALUE"""),333.696862801)</f>
        <v>333.696862801</v>
      </c>
      <c r="G630" s="11">
        <f>IFERROR(__xludf.DUMMYFUNCTION("""COMPUTED_VALUE"""),-31.8475602189999)</f>
        <v>-31.8475602189999</v>
      </c>
      <c r="H630" s="11">
        <f>IFERROR(__xludf.DUMMYFUNCTION("""COMPUTED_VALUE"""),-63.08439721)</f>
        <v>-63.08439721</v>
      </c>
      <c r="I630" s="15"/>
      <c r="J630" s="15"/>
      <c r="K630" s="15"/>
      <c r="L630" s="15"/>
      <c r="M630" s="7" t="b">
        <f>IFERROR(__xludf.DUMMYFUNCTION("""COMPUTED_VALUE"""),FALSE)</f>
        <v>0</v>
      </c>
      <c r="N630" s="8">
        <f>IFERROR(__xludf.DUMMYFUNCTION("""COMPUTED_VALUE"""),0)</f>
        <v>0</v>
      </c>
      <c r="O630" s="8">
        <f>IFERROR(__xludf.DUMMYFUNCTION("""COMPUTED_VALUE"""),0)</f>
        <v>0</v>
      </c>
      <c r="P630" s="8"/>
      <c r="Q630" s="7"/>
      <c r="R630" s="16"/>
      <c r="S630" s="17"/>
      <c r="T630" s="8"/>
      <c r="U630" s="8"/>
      <c r="V630" s="22"/>
      <c r="W630" s="12"/>
      <c r="X630" s="12"/>
      <c r="Y630" s="12"/>
      <c r="Z630" s="12"/>
      <c r="AA630" s="7"/>
      <c r="AB630" s="12"/>
      <c r="AC630" s="6"/>
      <c r="AD630" s="6"/>
      <c r="AE630" s="7"/>
      <c r="AF630" s="7"/>
      <c r="AG630" s="7"/>
      <c r="AH630" s="7"/>
      <c r="AI630" s="7"/>
      <c r="AJ630" s="7"/>
      <c r="AK630" s="7"/>
      <c r="AL630" s="7"/>
      <c r="AM630" s="7"/>
      <c r="AN630" s="7"/>
      <c r="AO630" s="6"/>
      <c r="AP630" s="7"/>
      <c r="AQ630" s="7"/>
      <c r="AR630" s="6"/>
      <c r="AS630" s="7"/>
      <c r="AT630" s="7"/>
      <c r="AU630" s="7"/>
      <c r="AV630" s="7"/>
      <c r="AW630" s="7"/>
      <c r="AX630" s="7"/>
      <c r="AY630" s="7"/>
      <c r="AZ630" s="7"/>
      <c r="BA630" s="7"/>
      <c r="BB630" s="7"/>
      <c r="BC630" s="7"/>
      <c r="BD630" s="7"/>
      <c r="BE630" s="7"/>
      <c r="BF630" s="7"/>
      <c r="BG630" s="7"/>
    </row>
    <row r="631" customHeight="1" spans="1:59">
      <c r="A631" s="23" t="str">
        <f>IFERROR(__xludf.DUMMYFUNCTION("""COMPUTED_VALUE"""),"Magda 14")</f>
        <v>Magda 14</v>
      </c>
      <c r="B631" s="23" t="str">
        <f>IFERROR(__xludf.DUMMYFUNCTION("""COMPUTED_VALUE"""),"Magda 17")</f>
        <v>Magda 17</v>
      </c>
      <c r="C631" s="23" t="str">
        <f>IFERROR(__xludf.DUMMYFUNCTION("""COMPUTED_VALUE"""),"Magda 39")</f>
        <v>Magda 39</v>
      </c>
      <c r="D631" s="23" t="str">
        <f>IFERROR(__xludf.DUMMYFUNCTION("""COMPUTED_VALUE"""),"Sand Cave 18K")</f>
        <v>Sand Cave 18K</v>
      </c>
      <c r="E631" s="7" t="str">
        <f>IFERROR(__xludf.DUMMYFUNCTION("""COMPUTED_VALUE"""),"SCave 18K")</f>
        <v>SCave 18K</v>
      </c>
      <c r="F631" s="11">
        <f>IFERROR(__xludf.DUMMYFUNCTION("""COMPUTED_VALUE"""),89.0087115219999)</f>
        <v>89.0087115219999</v>
      </c>
      <c r="G631" s="11">
        <f>IFERROR(__xludf.DUMMYFUNCTION("""COMPUTED_VALUE"""),-305.310306198999)</f>
        <v>-305.310306198999</v>
      </c>
      <c r="H631" s="11">
        <f>IFERROR(__xludf.DUMMYFUNCTION("""COMPUTED_VALUE"""),-123.379447669999)</f>
        <v>-123.379447669999</v>
      </c>
      <c r="I631" s="15"/>
      <c r="J631" s="15"/>
      <c r="K631" s="15"/>
      <c r="L631" s="15"/>
      <c r="M631" s="7" t="b">
        <f>IFERROR(__xludf.DUMMYFUNCTION("""COMPUTED_VALUE"""),FALSE)</f>
        <v>0</v>
      </c>
      <c r="N631" s="8">
        <f>IFERROR(__xludf.DUMMYFUNCTION("""COMPUTED_VALUE"""),0)</f>
        <v>0</v>
      </c>
      <c r="O631" s="8">
        <f>IFERROR(__xludf.DUMMYFUNCTION("""COMPUTED_VALUE"""),0)</f>
        <v>0</v>
      </c>
      <c r="P631" s="8"/>
      <c r="Q631" s="7"/>
      <c r="R631" s="16"/>
      <c r="S631" s="17"/>
      <c r="T631" s="8"/>
      <c r="U631" s="8"/>
      <c r="V631" s="22"/>
      <c r="W631" s="12"/>
      <c r="X631" s="12"/>
      <c r="Y631" s="12"/>
      <c r="Z631" s="12"/>
      <c r="AA631" s="7"/>
      <c r="AB631" s="12"/>
      <c r="AC631" s="6"/>
      <c r="AD631" s="6"/>
      <c r="AE631" s="7"/>
      <c r="AF631" s="7"/>
      <c r="AG631" s="7"/>
      <c r="AH631" s="7"/>
      <c r="AI631" s="7"/>
      <c r="AJ631" s="7"/>
      <c r="AK631" s="7"/>
      <c r="AL631" s="7"/>
      <c r="AM631" s="7"/>
      <c r="AN631" s="7"/>
      <c r="AO631" s="6"/>
      <c r="AP631" s="7"/>
      <c r="AQ631" s="7"/>
      <c r="AR631" s="6"/>
      <c r="AS631" s="7"/>
      <c r="AT631" s="7"/>
      <c r="AU631" s="7"/>
      <c r="AV631" s="7"/>
      <c r="AW631" s="7"/>
      <c r="AX631" s="7"/>
      <c r="AY631" s="7"/>
      <c r="AZ631" s="7"/>
      <c r="BA631" s="7"/>
      <c r="BB631" s="7"/>
      <c r="BC631" s="7"/>
      <c r="BD631" s="7"/>
      <c r="BE631" s="7"/>
      <c r="BF631" s="7"/>
      <c r="BG631" s="7"/>
    </row>
    <row r="632" customHeight="1" spans="1:59">
      <c r="A632" s="23" t="str">
        <f>IFERROR(__xludf.DUMMYFUNCTION("""COMPUTED_VALUE"""),"Magda 15")</f>
        <v>Magda 15</v>
      </c>
      <c r="B632" s="23" t="str">
        <f>IFERROR(__xludf.DUMMYFUNCTION("""COMPUTED_VALUE"""),"Magda 18")</f>
        <v>Magda 18</v>
      </c>
      <c r="C632" s="23" t="str">
        <f>IFERROR(__xludf.DUMMYFUNCTION("""COMPUTED_VALUE"""),"Magda 40")</f>
        <v>Magda 40</v>
      </c>
      <c r="D632" s="23" t="str">
        <f>IFERROR(__xludf.DUMMYFUNCTION("""COMPUTED_VALUE"""),"Sand Cave 18L")</f>
        <v>Sand Cave 18L</v>
      </c>
      <c r="E632" s="7" t="str">
        <f>IFERROR(__xludf.DUMMYFUNCTION("""COMPUTED_VALUE"""),"SCave 18L")</f>
        <v>SCave 18L</v>
      </c>
      <c r="F632" s="11">
        <f>IFERROR(__xludf.DUMMYFUNCTION("""COMPUTED_VALUE"""),88.6026369649999)</f>
        <v>88.6026369649999</v>
      </c>
      <c r="G632" s="11">
        <f>IFERROR(__xludf.DUMMYFUNCTION("""COMPUTED_VALUE"""),-316.726528087)</f>
        <v>-316.726528087</v>
      </c>
      <c r="H632" s="11">
        <f>IFERROR(__xludf.DUMMYFUNCTION("""COMPUTED_VALUE"""),-90.3123154369999)</f>
        <v>-90.3123154369999</v>
      </c>
      <c r="I632" s="15"/>
      <c r="J632" s="15"/>
      <c r="K632" s="15"/>
      <c r="L632" s="15"/>
      <c r="M632" s="7" t="b">
        <f>IFERROR(__xludf.DUMMYFUNCTION("""COMPUTED_VALUE"""),FALSE)</f>
        <v>0</v>
      </c>
      <c r="N632" s="8">
        <f>IFERROR(__xludf.DUMMYFUNCTION("""COMPUTED_VALUE"""),0)</f>
        <v>0</v>
      </c>
      <c r="O632" s="8">
        <f>IFERROR(__xludf.DUMMYFUNCTION("""COMPUTED_VALUE"""),0)</f>
        <v>0</v>
      </c>
      <c r="P632" s="8"/>
      <c r="Q632" s="7"/>
      <c r="R632" s="16"/>
      <c r="S632" s="17"/>
      <c r="T632" s="8"/>
      <c r="U632" s="8"/>
      <c r="V632" s="22"/>
      <c r="W632" s="12"/>
      <c r="X632" s="12"/>
      <c r="Y632" s="12"/>
      <c r="Z632" s="12"/>
      <c r="AA632" s="7"/>
      <c r="AB632" s="12"/>
      <c r="AC632" s="6"/>
      <c r="AD632" s="6"/>
      <c r="AE632" s="7"/>
      <c r="AF632" s="7"/>
      <c r="AG632" s="7"/>
      <c r="AH632" s="7"/>
      <c r="AI632" s="7"/>
      <c r="AJ632" s="7"/>
      <c r="AK632" s="7"/>
      <c r="AL632" s="7"/>
      <c r="AM632" s="7"/>
      <c r="AN632" s="7"/>
      <c r="AO632" s="6"/>
      <c r="AP632" s="7"/>
      <c r="AQ632" s="7"/>
      <c r="AR632" s="6"/>
      <c r="AS632" s="7"/>
      <c r="AT632" s="7"/>
      <c r="AU632" s="7"/>
      <c r="AV632" s="7"/>
      <c r="AW632" s="7"/>
      <c r="AX632" s="7"/>
      <c r="AY632" s="7"/>
      <c r="AZ632" s="7"/>
      <c r="BA632" s="7"/>
      <c r="BB632" s="7"/>
      <c r="BC632" s="7"/>
      <c r="BD632" s="7"/>
      <c r="BE632" s="7"/>
      <c r="BF632" s="7"/>
      <c r="BG632" s="7"/>
    </row>
    <row r="633" customHeight="1" spans="1:59">
      <c r="A633" s="23" t="str">
        <f>IFERROR(__xludf.DUMMYFUNCTION("""COMPUTED_VALUE"""),"Magda 19")</f>
        <v>Magda 19</v>
      </c>
      <c r="B633" s="23" t="str">
        <f>IFERROR(__xludf.DUMMYFUNCTION("""COMPUTED_VALUE"""),"Magda 22")</f>
        <v>Magda 22</v>
      </c>
      <c r="C633" s="23" t="str">
        <f>IFERROR(__xludf.DUMMYFUNCTION("""COMPUTED_VALUE"""),"Magda 35")</f>
        <v>Magda 35</v>
      </c>
      <c r="D633" s="23" t="str">
        <f>IFERROR(__xludf.DUMMYFUNCTION("""COMPUTED_VALUE"""),"Sand Cave 26R")</f>
        <v>Sand Cave 26R</v>
      </c>
      <c r="E633" s="7" t="str">
        <f>IFERROR(__xludf.DUMMYFUNCTION("""COMPUTED_VALUE"""),"SCave 26R")</f>
        <v>SCave 26R</v>
      </c>
      <c r="F633" s="11">
        <f>IFERROR(__xludf.DUMMYFUNCTION("""COMPUTED_VALUE"""),256.942686605)</f>
        <v>256.942686605</v>
      </c>
      <c r="G633" s="11">
        <f>IFERROR(__xludf.DUMMYFUNCTION("""COMPUTED_VALUE"""),-137.421508967)</f>
        <v>-137.421508967</v>
      </c>
      <c r="H633" s="11">
        <f>IFERROR(__xludf.DUMMYFUNCTION("""COMPUTED_VALUE"""),177.50817343)</f>
        <v>177.50817343</v>
      </c>
      <c r="I633" s="15"/>
      <c r="J633" s="15"/>
      <c r="K633" s="15"/>
      <c r="L633" s="15"/>
      <c r="M633" s="7" t="b">
        <f>IFERROR(__xludf.DUMMYFUNCTION("""COMPUTED_VALUE"""),FALSE)</f>
        <v>0</v>
      </c>
      <c r="N633" s="8">
        <f>IFERROR(__xludf.DUMMYFUNCTION("""COMPUTED_VALUE"""),0)</f>
        <v>0</v>
      </c>
      <c r="O633" s="8">
        <f>IFERROR(__xludf.DUMMYFUNCTION("""COMPUTED_VALUE"""),0)</f>
        <v>0</v>
      </c>
      <c r="P633" s="8"/>
      <c r="Q633" s="7"/>
      <c r="R633" s="16"/>
      <c r="S633" s="17"/>
      <c r="T633" s="8"/>
      <c r="U633" s="8"/>
      <c r="V633" s="22"/>
      <c r="W633" s="12"/>
      <c r="X633" s="12"/>
      <c r="Y633" s="12"/>
      <c r="Z633" s="12"/>
      <c r="AA633" s="7"/>
      <c r="AB633" s="12"/>
      <c r="AC633" s="6"/>
      <c r="AD633" s="6"/>
      <c r="AE633" s="7"/>
      <c r="AF633" s="7"/>
      <c r="AG633" s="7"/>
      <c r="AH633" s="7"/>
      <c r="AI633" s="7"/>
      <c r="AJ633" s="7"/>
      <c r="AK633" s="7"/>
      <c r="AL633" s="7"/>
      <c r="AM633" s="7"/>
      <c r="AN633" s="7"/>
      <c r="AO633" s="6"/>
      <c r="AP633" s="7"/>
      <c r="AQ633" s="7"/>
      <c r="AR633" s="6"/>
      <c r="AS633" s="7"/>
      <c r="AT633" s="7"/>
      <c r="AU633" s="7"/>
      <c r="AV633" s="7"/>
      <c r="AW633" s="7"/>
      <c r="AX633" s="7"/>
      <c r="AY633" s="7"/>
      <c r="AZ633" s="7"/>
      <c r="BA633" s="7"/>
      <c r="BB633" s="7"/>
      <c r="BC633" s="7"/>
      <c r="BD633" s="7"/>
      <c r="BE633" s="7"/>
      <c r="BF633" s="7"/>
      <c r="BG633" s="7"/>
    </row>
    <row r="634" customHeight="1" spans="1:59">
      <c r="A634" s="23" t="str">
        <f>IFERROR(__xludf.DUMMYFUNCTION("""COMPUTED_VALUE"""),"Magda 11")</f>
        <v>Magda 11</v>
      </c>
      <c r="B634" s="23" t="str">
        <f>IFERROR(__xludf.DUMMYFUNCTION("""COMPUTED_VALUE"""),"Magda 14")</f>
        <v>Magda 14</v>
      </c>
      <c r="C634" s="23" t="str">
        <f>IFERROR(__xludf.DUMMYFUNCTION("""COMPUTED_VALUE"""),"Magda 42")</f>
        <v>Magda 42</v>
      </c>
      <c r="D634" s="23" t="str">
        <f>IFERROR(__xludf.DUMMYFUNCTION("""COMPUTED_VALUE"""),"Sand Cave 16K")</f>
        <v>Sand Cave 16K</v>
      </c>
      <c r="E634" s="7" t="str">
        <f>IFERROR(__xludf.DUMMYFUNCTION("""COMPUTED_VALUE"""),"SCave 16K")</f>
        <v>SCave 16K</v>
      </c>
      <c r="F634" s="11">
        <f>IFERROR(__xludf.DUMMYFUNCTION("""COMPUTED_VALUE"""),15.794360497)</f>
        <v>15.794360497</v>
      </c>
      <c r="G634" s="11">
        <f>IFERROR(__xludf.DUMMYFUNCTION("""COMPUTED_VALUE"""),-324.733333654)</f>
        <v>-324.733333654</v>
      </c>
      <c r="H634" s="11">
        <f>IFERROR(__xludf.DUMMYFUNCTION("""COMPUTED_VALUE"""),-103.002587484)</f>
        <v>-103.002587484</v>
      </c>
      <c r="I634" s="15"/>
      <c r="J634" s="15"/>
      <c r="K634" s="15"/>
      <c r="L634" s="15"/>
      <c r="M634" s="7" t="b">
        <f>IFERROR(__xludf.DUMMYFUNCTION("""COMPUTED_VALUE"""),FALSE)</f>
        <v>0</v>
      </c>
      <c r="N634" s="8">
        <f>IFERROR(__xludf.DUMMYFUNCTION("""COMPUTED_VALUE"""),0)</f>
        <v>0</v>
      </c>
      <c r="O634" s="8">
        <f>IFERROR(__xludf.DUMMYFUNCTION("""COMPUTED_VALUE"""),0)</f>
        <v>0</v>
      </c>
      <c r="P634" s="8"/>
      <c r="Q634" s="7"/>
      <c r="R634" s="16"/>
      <c r="S634" s="17"/>
      <c r="T634" s="8"/>
      <c r="U634" s="8"/>
      <c r="V634" s="22"/>
      <c r="W634" s="12"/>
      <c r="X634" s="12"/>
      <c r="Y634" s="12"/>
      <c r="Z634" s="12"/>
      <c r="AA634" s="7"/>
      <c r="AB634" s="12"/>
      <c r="AC634" s="6"/>
      <c r="AD634" s="6"/>
      <c r="AE634" s="7"/>
      <c r="AF634" s="7"/>
      <c r="AG634" s="7"/>
      <c r="AH634" s="7"/>
      <c r="AI634" s="7"/>
      <c r="AJ634" s="7"/>
      <c r="AK634" s="7"/>
      <c r="AL634" s="7"/>
      <c r="AM634" s="7"/>
      <c r="AN634" s="7"/>
      <c r="AO634" s="6"/>
      <c r="AP634" s="7"/>
      <c r="AQ634" s="7"/>
      <c r="AR634" s="6"/>
      <c r="AS634" s="7"/>
      <c r="AT634" s="7"/>
      <c r="AU634" s="7"/>
      <c r="AV634" s="7"/>
      <c r="AW634" s="7"/>
      <c r="AX634" s="7"/>
      <c r="AY634" s="7"/>
      <c r="AZ634" s="7"/>
      <c r="BA634" s="7"/>
      <c r="BB634" s="7"/>
      <c r="BC634" s="7"/>
      <c r="BD634" s="7"/>
      <c r="BE634" s="7"/>
      <c r="BF634" s="7"/>
      <c r="BG634" s="7"/>
    </row>
    <row r="635" customHeight="1" spans="1:59">
      <c r="A635" s="23" t="str">
        <f>IFERROR(__xludf.DUMMYFUNCTION("""COMPUTED_VALUE"""),"Magda 12")</f>
        <v>Magda 12</v>
      </c>
      <c r="B635" s="23" t="str">
        <f>IFERROR(__xludf.DUMMYFUNCTION("""COMPUTED_VALUE"""),"Magda 15")</f>
        <v>Magda 15</v>
      </c>
      <c r="C635" s="23" t="str">
        <f>IFERROR(__xludf.DUMMYFUNCTION("""COMPUTED_VALUE"""),"Magda 43")</f>
        <v>Magda 43</v>
      </c>
      <c r="D635" s="23" t="str">
        <f>IFERROR(__xludf.DUMMYFUNCTION("""COMPUTED_VALUE"""),"Sand Cave 16M")</f>
        <v>Sand Cave 16M</v>
      </c>
      <c r="E635" s="7" t="str">
        <f>IFERROR(__xludf.DUMMYFUNCTION("""COMPUTED_VALUE"""),"SCave 16M")</f>
        <v>SCave 16M</v>
      </c>
      <c r="F635" s="11">
        <f>IFERROR(__xludf.DUMMYFUNCTION("""COMPUTED_VALUE"""),4.628156264)</f>
        <v>4.628156264</v>
      </c>
      <c r="G635" s="11">
        <f>IFERROR(__xludf.DUMMYFUNCTION("""COMPUTED_VALUE"""),-341.064784410999)</f>
        <v>-341.064784410999</v>
      </c>
      <c r="H635" s="11">
        <f>IFERROR(__xludf.DUMMYFUNCTION("""COMPUTED_VALUE"""),-2.503968433)</f>
        <v>-2.503968433</v>
      </c>
      <c r="I635" s="15"/>
      <c r="J635" s="15"/>
      <c r="K635" s="15"/>
      <c r="L635" s="15"/>
      <c r="M635" s="7" t="b">
        <f>IFERROR(__xludf.DUMMYFUNCTION("""COMPUTED_VALUE"""),FALSE)</f>
        <v>0</v>
      </c>
      <c r="N635" s="8">
        <f>IFERROR(__xludf.DUMMYFUNCTION("""COMPUTED_VALUE"""),0)</f>
        <v>0</v>
      </c>
      <c r="O635" s="8">
        <f>IFERROR(__xludf.DUMMYFUNCTION("""COMPUTED_VALUE"""),0)</f>
        <v>0</v>
      </c>
      <c r="P635" s="8"/>
      <c r="Q635" s="7"/>
      <c r="R635" s="16"/>
      <c r="S635" s="17"/>
      <c r="T635" s="8"/>
      <c r="U635" s="8"/>
      <c r="V635" s="22"/>
      <c r="W635" s="12"/>
      <c r="X635" s="12"/>
      <c r="Y635" s="12"/>
      <c r="Z635" s="12"/>
      <c r="AA635" s="7"/>
      <c r="AB635" s="12"/>
      <c r="AC635" s="6"/>
      <c r="AD635" s="6"/>
      <c r="AE635" s="7"/>
      <c r="AF635" s="7"/>
      <c r="AG635" s="7"/>
      <c r="AH635" s="7"/>
      <c r="AI635" s="7"/>
      <c r="AJ635" s="7"/>
      <c r="AK635" s="7"/>
      <c r="AL635" s="7"/>
      <c r="AM635" s="7"/>
      <c r="AN635" s="7"/>
      <c r="AO635" s="6"/>
      <c r="AP635" s="7"/>
      <c r="AQ635" s="7"/>
      <c r="AR635" s="6"/>
      <c r="AS635" s="7"/>
      <c r="AT635" s="7"/>
      <c r="AU635" s="7"/>
      <c r="AV635" s="7"/>
      <c r="AW635" s="7"/>
      <c r="AX635" s="7"/>
      <c r="AY635" s="7"/>
      <c r="AZ635" s="7"/>
      <c r="BA635" s="7"/>
      <c r="BB635" s="7"/>
      <c r="BC635" s="7"/>
      <c r="BD635" s="7"/>
      <c r="BE635" s="7"/>
      <c r="BF635" s="7"/>
      <c r="BG635" s="7"/>
    </row>
    <row r="636" customHeight="1" spans="1:59">
      <c r="A636" s="23" t="str">
        <f>IFERROR(__xludf.DUMMYFUNCTION("""COMPUTED_VALUE"""),"Magda 13")</f>
        <v>Magda 13</v>
      </c>
      <c r="B636" s="23" t="str">
        <f>IFERROR(__xludf.DUMMYFUNCTION("""COMPUTED_VALUE"""),"Magda 16")</f>
        <v>Magda 16</v>
      </c>
      <c r="C636" s="23" t="str">
        <f>IFERROR(__xludf.DUMMYFUNCTION("""COMPUTED_VALUE"""),"Magda 41")</f>
        <v>Magda 41</v>
      </c>
      <c r="D636" s="23" t="str">
        <f>IFERROR(__xludf.DUMMYFUNCTION("""COMPUTED_VALUE"""),"Sand Cave 17Q")</f>
        <v>Sand Cave 17Q</v>
      </c>
      <c r="E636" s="7" t="str">
        <f>IFERROR(__xludf.DUMMYFUNCTION("""COMPUTED_VALUE"""),"SCave 17Q")</f>
        <v>SCave 17Q</v>
      </c>
      <c r="F636" s="11">
        <f>IFERROR(__xludf.DUMMYFUNCTION("""COMPUTED_VALUE"""),61.39611467)</f>
        <v>61.39611467</v>
      </c>
      <c r="G636" s="11">
        <f>IFERROR(__xludf.DUMMYFUNCTION("""COMPUTED_VALUE"""),-308.035902886)</f>
        <v>-308.035902886</v>
      </c>
      <c r="H636" s="11">
        <f>IFERROR(__xludf.DUMMYFUNCTION("""COMPUTED_VALUE"""),132.850799040999)</f>
        <v>132.850799040999</v>
      </c>
      <c r="I636" s="15"/>
      <c r="J636" s="15"/>
      <c r="K636" s="15"/>
      <c r="L636" s="15"/>
      <c r="M636" s="7" t="b">
        <f>IFERROR(__xludf.DUMMYFUNCTION("""COMPUTED_VALUE"""),FALSE)</f>
        <v>0</v>
      </c>
      <c r="N636" s="8">
        <f>IFERROR(__xludf.DUMMYFUNCTION("""COMPUTED_VALUE"""),0)</f>
        <v>0</v>
      </c>
      <c r="O636" s="8">
        <f>IFERROR(__xludf.DUMMYFUNCTION("""COMPUTED_VALUE"""),0)</f>
        <v>0</v>
      </c>
      <c r="P636" s="8"/>
      <c r="Q636" s="7"/>
      <c r="R636" s="16"/>
      <c r="S636" s="17"/>
      <c r="T636" s="8"/>
      <c r="U636" s="8"/>
      <c r="V636" s="22"/>
      <c r="W636" s="12"/>
      <c r="X636" s="12"/>
      <c r="Y636" s="12"/>
      <c r="Z636" s="12"/>
      <c r="AA636" s="7"/>
      <c r="AB636" s="12"/>
      <c r="AC636" s="6"/>
      <c r="AD636" s="6"/>
      <c r="AE636" s="7"/>
      <c r="AF636" s="7"/>
      <c r="AG636" s="7"/>
      <c r="AH636" s="7"/>
      <c r="AI636" s="7"/>
      <c r="AJ636" s="7"/>
      <c r="AK636" s="7"/>
      <c r="AL636" s="7"/>
      <c r="AM636" s="7"/>
      <c r="AN636" s="7"/>
      <c r="AO636" s="6"/>
      <c r="AP636" s="7"/>
      <c r="AQ636" s="7"/>
      <c r="AR636" s="6"/>
      <c r="AS636" s="7"/>
      <c r="AT636" s="7"/>
      <c r="AU636" s="7"/>
      <c r="AV636" s="7"/>
      <c r="AW636" s="7"/>
      <c r="AX636" s="7"/>
      <c r="AY636" s="7"/>
      <c r="AZ636" s="7"/>
      <c r="BA636" s="7"/>
      <c r="BB636" s="7"/>
      <c r="BC636" s="7"/>
      <c r="BD636" s="7"/>
      <c r="BE636" s="7"/>
      <c r="BF636" s="7"/>
      <c r="BG636" s="7"/>
    </row>
    <row r="637" customHeight="1" spans="1:59">
      <c r="A637" s="23" t="str">
        <f>IFERROR(__xludf.DUMMYFUNCTION("""COMPUTED_VALUE"""),"Magda 27")</f>
        <v>Magda 27</v>
      </c>
      <c r="B637" s="23" t="str">
        <f>IFERROR(__xludf.DUMMYFUNCTION("""COMPUTED_VALUE"""),"Magda 30")</f>
        <v>Magda 30</v>
      </c>
      <c r="C637" s="23" t="str">
        <f>IFERROR(__xludf.DUMMYFUNCTION("""COMPUTED_VALUE"""),"Magda 24")</f>
        <v>Magda 24</v>
      </c>
      <c r="D637" s="23" t="str">
        <f>IFERROR(__xludf.DUMMYFUNCTION("""COMPUTED_VALUE"""),"Sand Cave 36R")</f>
        <v>Sand Cave 36R</v>
      </c>
      <c r="E637" s="7" t="str">
        <f>IFERROR(__xludf.DUMMYFUNCTION("""COMPUTED_VALUE"""),"SCave 36R")</f>
        <v>SCave 36R</v>
      </c>
      <c r="F637" s="11">
        <f>IFERROR(__xludf.DUMMYFUNCTION("""COMPUTED_VALUE"""),250.097576582)</f>
        <v>250.097576582</v>
      </c>
      <c r="G637" s="11">
        <f>IFERROR(__xludf.DUMMYFUNCTION("""COMPUTED_VALUE"""),176.884149874)</f>
        <v>176.884149874</v>
      </c>
      <c r="H637" s="11">
        <f>IFERROR(__xludf.DUMMYFUNCTION("""COMPUTED_VALUE"""),150.369856696)</f>
        <v>150.369856696</v>
      </c>
      <c r="I637" s="15"/>
      <c r="J637" s="15"/>
      <c r="K637" s="15"/>
      <c r="L637" s="15"/>
      <c r="M637" s="7" t="b">
        <f>IFERROR(__xludf.DUMMYFUNCTION("""COMPUTED_VALUE"""),FALSE)</f>
        <v>0</v>
      </c>
      <c r="N637" s="8">
        <f>IFERROR(__xludf.DUMMYFUNCTION("""COMPUTED_VALUE"""),0)</f>
        <v>0</v>
      </c>
      <c r="O637" s="8">
        <f>IFERROR(__xludf.DUMMYFUNCTION("""COMPUTED_VALUE"""),0)</f>
        <v>0</v>
      </c>
      <c r="P637" s="8"/>
      <c r="Q637" s="7"/>
      <c r="R637" s="16"/>
      <c r="S637" s="17"/>
      <c r="T637" s="8"/>
      <c r="U637" s="8"/>
      <c r="V637" s="22"/>
      <c r="W637" s="12"/>
      <c r="X637" s="12"/>
      <c r="Y637" s="12"/>
      <c r="Z637" s="12"/>
      <c r="AA637" s="7"/>
      <c r="AB637" s="12"/>
      <c r="AC637" s="6"/>
      <c r="AD637" s="6"/>
      <c r="AE637" s="7"/>
      <c r="AF637" s="7"/>
      <c r="AG637" s="7"/>
      <c r="AH637" s="7"/>
      <c r="AI637" s="7"/>
      <c r="AJ637" s="7"/>
      <c r="AK637" s="7"/>
      <c r="AL637" s="7"/>
      <c r="AM637" s="7"/>
      <c r="AN637" s="7"/>
      <c r="AO637" s="6"/>
      <c r="AP637" s="7"/>
      <c r="AQ637" s="7"/>
      <c r="AR637" s="6"/>
      <c r="AS637" s="7"/>
      <c r="AT637" s="7"/>
      <c r="AU637" s="7"/>
      <c r="AV637" s="7"/>
      <c r="AW637" s="7"/>
      <c r="AX637" s="7"/>
      <c r="AY637" s="7"/>
      <c r="AZ637" s="7"/>
      <c r="BA637" s="7"/>
      <c r="BB637" s="7"/>
      <c r="BC637" s="7"/>
      <c r="BD637" s="7"/>
      <c r="BE637" s="7"/>
      <c r="BF637" s="7"/>
      <c r="BG637" s="7"/>
    </row>
    <row r="638" customHeight="1" spans="1:59">
      <c r="A638" s="23" t="str">
        <f>IFERROR(__xludf.DUMMYFUNCTION("""COMPUTED_VALUE"""),"Magda 28")</f>
        <v>Magda 28</v>
      </c>
      <c r="B638" s="23" t="str">
        <f>IFERROR(__xludf.DUMMYFUNCTION("""COMPUTED_VALUE"""),"Magda 31")</f>
        <v>Magda 31</v>
      </c>
      <c r="C638" s="23" t="str">
        <f>IFERROR(__xludf.DUMMYFUNCTION("""COMPUTED_VALUE"""),"Magda 22")</f>
        <v>Magda 22</v>
      </c>
      <c r="D638" s="23" t="str">
        <f>IFERROR(__xludf.DUMMYFUNCTION("""COMPUTED_VALUE"""),"Sand Cave 43P")</f>
        <v>Sand Cave 43P</v>
      </c>
      <c r="E638" s="7" t="str">
        <f>IFERROR(__xludf.DUMMYFUNCTION("""COMPUTED_VALUE"""),"SCave 43P")</f>
        <v>SCave 43P</v>
      </c>
      <c r="F638" s="11">
        <f>IFERROR(__xludf.DUMMYFUNCTION("""COMPUTED_VALUE"""),90.864068077)</f>
        <v>90.864068077</v>
      </c>
      <c r="G638" s="11">
        <f>IFERROR(__xludf.DUMMYFUNCTION("""COMPUTED_VALUE"""),318.981595924)</f>
        <v>318.981595924</v>
      </c>
      <c r="H638" s="11">
        <f>IFERROR(__xludf.DUMMYFUNCTION("""COMPUTED_VALUE"""),79.913883088)</f>
        <v>79.913883088</v>
      </c>
      <c r="I638" s="15"/>
      <c r="J638" s="15"/>
      <c r="K638" s="15"/>
      <c r="L638" s="15"/>
      <c r="M638" s="7" t="b">
        <f>IFERROR(__xludf.DUMMYFUNCTION("""COMPUTED_VALUE"""),FALSE)</f>
        <v>0</v>
      </c>
      <c r="N638" s="8">
        <f>IFERROR(__xludf.DUMMYFUNCTION("""COMPUTED_VALUE"""),0)</f>
        <v>0</v>
      </c>
      <c r="O638" s="8">
        <f>IFERROR(__xludf.DUMMYFUNCTION("""COMPUTED_VALUE"""),0)</f>
        <v>0</v>
      </c>
      <c r="P638" s="8"/>
      <c r="Q638" s="7"/>
      <c r="R638" s="16"/>
      <c r="S638" s="17"/>
      <c r="T638" s="8"/>
      <c r="U638" s="8"/>
      <c r="V638" s="22"/>
      <c r="W638" s="12"/>
      <c r="X638" s="12"/>
      <c r="Y638" s="12"/>
      <c r="Z638" s="12"/>
      <c r="AA638" s="7"/>
      <c r="AB638" s="12"/>
      <c r="AC638" s="6"/>
      <c r="AD638" s="6"/>
      <c r="AE638" s="7"/>
      <c r="AF638" s="7"/>
      <c r="AG638" s="7"/>
      <c r="AH638" s="7"/>
      <c r="AI638" s="7"/>
      <c r="AJ638" s="7"/>
      <c r="AK638" s="7"/>
      <c r="AL638" s="7"/>
      <c r="AM638" s="7"/>
      <c r="AN638" s="7"/>
      <c r="AO638" s="6"/>
      <c r="AP638" s="7"/>
      <c r="AQ638" s="7"/>
      <c r="AR638" s="6"/>
      <c r="AS638" s="7"/>
      <c r="AT638" s="7"/>
      <c r="AU638" s="7"/>
      <c r="AV638" s="7"/>
      <c r="AW638" s="7"/>
      <c r="AX638" s="7"/>
      <c r="AY638" s="7"/>
      <c r="AZ638" s="7"/>
      <c r="BA638" s="7"/>
      <c r="BB638" s="7"/>
      <c r="BC638" s="7"/>
      <c r="BD638" s="7"/>
      <c r="BE638" s="7"/>
      <c r="BF638" s="7"/>
      <c r="BG638" s="7"/>
    </row>
    <row r="639" customHeight="1" spans="1:59">
      <c r="A639" s="23" t="str">
        <f>IFERROR(__xludf.DUMMYFUNCTION("""COMPUTED_VALUE"""),"Magda 44")</f>
        <v>Magda 44</v>
      </c>
      <c r="B639" s="23" t="str">
        <f>IFERROR(__xludf.DUMMYFUNCTION("""COMPUTED_VALUE"""),"Magda 47")</f>
        <v>Magda 47</v>
      </c>
      <c r="C639" s="23" t="str">
        <f>IFERROR(__xludf.DUMMYFUNCTION("""COMPUTED_VALUE"""),"Magda 03")</f>
        <v>Magda 03</v>
      </c>
      <c r="D639" s="23" t="str">
        <f>IFERROR(__xludf.DUMMYFUNCTION("""COMPUTED_VALUE"""),"Sand Cave 57P")</f>
        <v>Sand Cave 57P</v>
      </c>
      <c r="E639" s="7" t="str">
        <f>IFERROR(__xludf.DUMMYFUNCTION("""COMPUTED_VALUE"""),"SCave 57P")</f>
        <v>SCave 57P</v>
      </c>
      <c r="F639" s="11">
        <f>IFERROR(__xludf.DUMMYFUNCTION("""COMPUTED_VALUE"""),-312.569947294)</f>
        <v>-312.569947294</v>
      </c>
      <c r="G639" s="11">
        <f>IFERROR(__xludf.DUMMYFUNCTION("""COMPUTED_VALUE"""),125.521328431999)</f>
        <v>125.521328431999</v>
      </c>
      <c r="H639" s="11">
        <f>IFERROR(__xludf.DUMMYFUNCTION("""COMPUTED_VALUE"""),54.650402131)</f>
        <v>54.650402131</v>
      </c>
      <c r="I639" s="15"/>
      <c r="J639" s="15"/>
      <c r="K639" s="15"/>
      <c r="L639" s="15"/>
      <c r="M639" s="7" t="b">
        <f>IFERROR(__xludf.DUMMYFUNCTION("""COMPUTED_VALUE"""),FALSE)</f>
        <v>0</v>
      </c>
      <c r="N639" s="8">
        <f>IFERROR(__xludf.DUMMYFUNCTION("""COMPUTED_VALUE"""),0)</f>
        <v>0</v>
      </c>
      <c r="O639" s="8">
        <f>IFERROR(__xludf.DUMMYFUNCTION("""COMPUTED_VALUE"""),0)</f>
        <v>0</v>
      </c>
      <c r="P639" s="8"/>
      <c r="Q639" s="7"/>
      <c r="R639" s="16"/>
      <c r="S639" s="17"/>
      <c r="T639" s="8"/>
      <c r="U639" s="8"/>
      <c r="V639" s="22"/>
      <c r="W639" s="12"/>
      <c r="X639" s="12"/>
      <c r="Y639" s="12"/>
      <c r="Z639" s="12"/>
      <c r="AA639" s="7"/>
      <c r="AB639" s="12"/>
      <c r="AC639" s="6"/>
      <c r="AD639" s="6"/>
      <c r="AE639" s="7"/>
      <c r="AF639" s="7"/>
      <c r="AG639" s="7"/>
      <c r="AH639" s="7"/>
      <c r="AI639" s="7"/>
      <c r="AJ639" s="7"/>
      <c r="AK639" s="7"/>
      <c r="AL639" s="7"/>
      <c r="AM639" s="7"/>
      <c r="AN639" s="7"/>
      <c r="AO639" s="6"/>
      <c r="AP639" s="7"/>
      <c r="AQ639" s="7"/>
      <c r="AR639" s="6"/>
      <c r="AS639" s="7"/>
      <c r="AT639" s="7"/>
      <c r="AU639" s="7"/>
      <c r="AV639" s="7"/>
      <c r="AW639" s="7"/>
      <c r="AX639" s="7"/>
      <c r="AY639" s="7"/>
      <c r="AZ639" s="7"/>
      <c r="BA639" s="7"/>
      <c r="BB639" s="7"/>
      <c r="BC639" s="7"/>
      <c r="BD639" s="7"/>
      <c r="BE639" s="7"/>
      <c r="BF639" s="7"/>
      <c r="BG639" s="7"/>
    </row>
    <row r="640" customHeight="1" spans="1:59">
      <c r="A640" s="23" t="str">
        <f>IFERROR(__xludf.DUMMYFUNCTION("""COMPUTED_VALUE"""),"Magda 16")</f>
        <v>Magda 16</v>
      </c>
      <c r="B640" s="23" t="str">
        <f>IFERROR(__xludf.DUMMYFUNCTION("""COMPUTED_VALUE"""),"Magda 19")</f>
        <v>Magda 19</v>
      </c>
      <c r="C640" s="23" t="str">
        <f>IFERROR(__xludf.DUMMYFUNCTION("""COMPUTED_VALUE"""),"Magda 38")</f>
        <v>Magda 38</v>
      </c>
      <c r="D640" s="23" t="str">
        <f>IFERROR(__xludf.DUMMYFUNCTION("""COMPUTED_VALUE"""),"Sand Cave 21R")</f>
        <v>Sand Cave 21R</v>
      </c>
      <c r="E640" s="7" t="str">
        <f>IFERROR(__xludf.DUMMYFUNCTION("""COMPUTED_VALUE"""),"SCave 21R")</f>
        <v>SCave 21R</v>
      </c>
      <c r="F640" s="11">
        <f>IFERROR(__xludf.DUMMYFUNCTION("""COMPUTED_VALUE"""),160.170224323)</f>
        <v>160.170224323</v>
      </c>
      <c r="G640" s="11">
        <f>IFERROR(__xludf.DUMMYFUNCTION("""COMPUTED_VALUE"""),-254.642820612)</f>
        <v>-254.642820612</v>
      </c>
      <c r="H640" s="11">
        <f>IFERROR(__xludf.DUMMYFUNCTION("""COMPUTED_VALUE"""),160.223743997999)</f>
        <v>160.223743997999</v>
      </c>
      <c r="I640" s="15"/>
      <c r="J640" s="15"/>
      <c r="K640" s="15"/>
      <c r="L640" s="15"/>
      <c r="M640" s="7" t="b">
        <f>IFERROR(__xludf.DUMMYFUNCTION("""COMPUTED_VALUE"""),FALSE)</f>
        <v>0</v>
      </c>
      <c r="N640" s="8">
        <f>IFERROR(__xludf.DUMMYFUNCTION("""COMPUTED_VALUE"""),0)</f>
        <v>0</v>
      </c>
      <c r="O640" s="8">
        <f>IFERROR(__xludf.DUMMYFUNCTION("""COMPUTED_VALUE"""),0)</f>
        <v>0</v>
      </c>
      <c r="P640" s="8"/>
      <c r="Q640" s="7"/>
      <c r="R640" s="16"/>
      <c r="S640" s="17"/>
      <c r="T640" s="8"/>
      <c r="U640" s="8"/>
      <c r="V640" s="22"/>
      <c r="W640" s="12"/>
      <c r="X640" s="12"/>
      <c r="Y640" s="12"/>
      <c r="Z640" s="12"/>
      <c r="AA640" s="7"/>
      <c r="AB640" s="12"/>
      <c r="AC640" s="6"/>
      <c r="AD640" s="6"/>
      <c r="AE640" s="7"/>
      <c r="AF640" s="7"/>
      <c r="AG640" s="7"/>
      <c r="AH640" s="7"/>
      <c r="AI640" s="7"/>
      <c r="AJ640" s="7"/>
      <c r="AK640" s="7"/>
      <c r="AL640" s="7"/>
      <c r="AM640" s="7"/>
      <c r="AN640" s="7"/>
      <c r="AO640" s="6"/>
      <c r="AP640" s="7"/>
      <c r="AQ640" s="7"/>
      <c r="AR640" s="6"/>
      <c r="AS640" s="7"/>
      <c r="AT640" s="7"/>
      <c r="AU640" s="7"/>
      <c r="AV640" s="7"/>
      <c r="AW640" s="7"/>
      <c r="AX640" s="7"/>
      <c r="AY640" s="7"/>
      <c r="AZ640" s="7"/>
      <c r="BA640" s="7"/>
      <c r="BB640" s="7"/>
      <c r="BC640" s="7"/>
      <c r="BD640" s="7"/>
      <c r="BE640" s="7"/>
      <c r="BF640" s="7"/>
      <c r="BG640" s="7"/>
    </row>
    <row r="641" customHeight="1" spans="1:59">
      <c r="A641" s="23" t="str">
        <f>IFERROR(__xludf.DUMMYFUNCTION("""COMPUTED_VALUE"""),"Magda 17")</f>
        <v>Magda 17</v>
      </c>
      <c r="B641" s="23" t="str">
        <f>IFERROR(__xludf.DUMMYFUNCTION("""COMPUTED_VALUE"""),"Magda 20")</f>
        <v>Magda 20</v>
      </c>
      <c r="C641" s="23" t="str">
        <f>IFERROR(__xludf.DUMMYFUNCTION("""COMPUTED_VALUE"""),"Magda 37")</f>
        <v>Magda 37</v>
      </c>
      <c r="D641" s="23" t="str">
        <f>IFERROR(__xludf.DUMMYFUNCTION("""COMPUTED_VALUE"""),"Sand Cave 23E")</f>
        <v>Sand Cave 23E</v>
      </c>
      <c r="E641" s="7" t="str">
        <f>IFERROR(__xludf.DUMMYFUNCTION("""COMPUTED_VALUE"""),"SCave 23E")</f>
        <v>SCave 23E</v>
      </c>
      <c r="F641" s="11">
        <f>IFERROR(__xludf.DUMMYFUNCTION("""COMPUTED_VALUE"""),130.791772526)</f>
        <v>130.791772526</v>
      </c>
      <c r="G641" s="11">
        <f>IFERROR(__xludf.DUMMYFUNCTION("""COMPUTED_VALUE"""),-136.815347255)</f>
        <v>-136.815347255</v>
      </c>
      <c r="H641" s="11">
        <f>IFERROR(__xludf.DUMMYFUNCTION("""COMPUTED_VALUE"""),-283.682960979999)</f>
        <v>-283.682960979999</v>
      </c>
      <c r="I641" s="15"/>
      <c r="J641" s="15"/>
      <c r="K641" s="15"/>
      <c r="L641" s="15"/>
      <c r="M641" s="7" t="b">
        <f>IFERROR(__xludf.DUMMYFUNCTION("""COMPUTED_VALUE"""),FALSE)</f>
        <v>0</v>
      </c>
      <c r="N641" s="8">
        <f>IFERROR(__xludf.DUMMYFUNCTION("""COMPUTED_VALUE"""),0)</f>
        <v>0</v>
      </c>
      <c r="O641" s="8">
        <f>IFERROR(__xludf.DUMMYFUNCTION("""COMPUTED_VALUE"""),0)</f>
        <v>0</v>
      </c>
      <c r="P641" s="8"/>
      <c r="Q641" s="7"/>
      <c r="R641" s="16"/>
      <c r="S641" s="17"/>
      <c r="T641" s="8"/>
      <c r="U641" s="8"/>
      <c r="V641" s="22"/>
      <c r="W641" s="12"/>
      <c r="X641" s="12"/>
      <c r="Y641" s="12"/>
      <c r="Z641" s="12"/>
      <c r="AA641" s="7"/>
      <c r="AB641" s="12"/>
      <c r="AC641" s="6"/>
      <c r="AD641" s="6"/>
      <c r="AE641" s="7"/>
      <c r="AF641" s="7"/>
      <c r="AG641" s="7"/>
      <c r="AH641" s="7"/>
      <c r="AI641" s="7"/>
      <c r="AJ641" s="7"/>
      <c r="AK641" s="7"/>
      <c r="AL641" s="7"/>
      <c r="AM641" s="7"/>
      <c r="AN641" s="7"/>
      <c r="AO641" s="6"/>
      <c r="AP641" s="7"/>
      <c r="AQ641" s="7"/>
      <c r="AR641" s="6"/>
      <c r="AS641" s="7"/>
      <c r="AT641" s="7"/>
      <c r="AU641" s="7"/>
      <c r="AV641" s="7"/>
      <c r="AW641" s="7"/>
      <c r="AX641" s="7"/>
      <c r="AY641" s="7"/>
      <c r="AZ641" s="7"/>
      <c r="BA641" s="7"/>
      <c r="BB641" s="7"/>
      <c r="BC641" s="7"/>
      <c r="BD641" s="7"/>
      <c r="BE641" s="7"/>
      <c r="BF641" s="7"/>
      <c r="BG641" s="7"/>
    </row>
    <row r="642" customHeight="1" spans="1:59">
      <c r="A642" s="23" t="str">
        <f>IFERROR(__xludf.DUMMYFUNCTION("""COMPUTED_VALUE"""),"Magda 07")</f>
        <v>Magda 07</v>
      </c>
      <c r="B642" s="23" t="str">
        <f>IFERROR(__xludf.DUMMYFUNCTION("""COMPUTED_VALUE"""),"Magda 10")</f>
        <v>Magda 10</v>
      </c>
      <c r="C642" s="23" t="str">
        <f>IFERROR(__xludf.DUMMYFUNCTION("""COMPUTED_VALUE"""),"Magda 53")</f>
        <v>Magda 53</v>
      </c>
      <c r="D642" s="23" t="str">
        <f>IFERROR(__xludf.DUMMYFUNCTION("""COMPUTED_VALUE"""),"Sand Cave 01V")</f>
        <v>Sand Cave 01V</v>
      </c>
      <c r="E642" s="7" t="str">
        <f>IFERROR(__xludf.DUMMYFUNCTION("""COMPUTED_VALUE"""),"SCave 01V")</f>
        <v>SCave 01V</v>
      </c>
      <c r="F642" s="11">
        <f>IFERROR(__xludf.DUMMYFUNCTION("""COMPUTED_VALUE"""),-169.421950351)</f>
        <v>-169.421950351</v>
      </c>
      <c r="G642" s="11">
        <f>IFERROR(__xludf.DUMMYFUNCTION("""COMPUTED_VALUE"""),-9.72948166499999)</f>
        <v>-9.72948166499999</v>
      </c>
      <c r="H642" s="11">
        <f>IFERROR(__xludf.DUMMYFUNCTION("""COMPUTED_VALUE"""),295.755307564)</f>
        <v>295.755307564</v>
      </c>
      <c r="I642" s="15"/>
      <c r="J642" s="15"/>
      <c r="K642" s="15"/>
      <c r="L642" s="15"/>
      <c r="M642" s="7" t="b">
        <f>IFERROR(__xludf.DUMMYFUNCTION("""COMPUTED_VALUE"""),FALSE)</f>
        <v>0</v>
      </c>
      <c r="N642" s="8">
        <f>IFERROR(__xludf.DUMMYFUNCTION("""COMPUTED_VALUE"""),0)</f>
        <v>0</v>
      </c>
      <c r="O642" s="8">
        <f>IFERROR(__xludf.DUMMYFUNCTION("""COMPUTED_VALUE"""),0)</f>
        <v>0</v>
      </c>
      <c r="P642" s="8"/>
      <c r="Q642" s="7"/>
      <c r="R642" s="16"/>
      <c r="S642" s="17"/>
      <c r="T642" s="8"/>
      <c r="U642" s="8"/>
      <c r="V642" s="22"/>
      <c r="W642" s="12"/>
      <c r="X642" s="12"/>
      <c r="Y642" s="12"/>
      <c r="Z642" s="12"/>
      <c r="AA642" s="7"/>
      <c r="AB642" s="12"/>
      <c r="AC642" s="6"/>
      <c r="AD642" s="6"/>
      <c r="AE642" s="7"/>
      <c r="AF642" s="7"/>
      <c r="AG642" s="7"/>
      <c r="AH642" s="7"/>
      <c r="AI642" s="7"/>
      <c r="AJ642" s="7"/>
      <c r="AK642" s="7"/>
      <c r="AL642" s="7"/>
      <c r="AM642" s="7"/>
      <c r="AN642" s="7"/>
      <c r="AO642" s="6"/>
      <c r="AP642" s="7"/>
      <c r="AQ642" s="7"/>
      <c r="AR642" s="6"/>
      <c r="AS642" s="7"/>
      <c r="AT642" s="7"/>
      <c r="AU642" s="7"/>
      <c r="AV642" s="7"/>
      <c r="AW642" s="7"/>
      <c r="AX642" s="7"/>
      <c r="AY642" s="7"/>
      <c r="AZ642" s="7"/>
      <c r="BA642" s="7"/>
      <c r="BB642" s="7"/>
      <c r="BC642" s="7"/>
      <c r="BD642" s="7"/>
      <c r="BE642" s="7"/>
      <c r="BF642" s="7"/>
      <c r="BG642" s="7"/>
    </row>
    <row r="643" customHeight="1" spans="1:59">
      <c r="A643" s="23" t="str">
        <f>IFERROR(__xludf.DUMMYFUNCTION("""COMPUTED_VALUE"""),"Magda")</f>
        <v>Magda</v>
      </c>
      <c r="B643" s="23" t="str">
        <f>IFERROR(__xludf.DUMMYFUNCTION("""COMPUTED_VALUE"""),"Magda 50")</f>
        <v>Magda 50</v>
      </c>
      <c r="C643" s="23"/>
      <c r="D643" s="23" t="str">
        <f>IFERROR(__xludf.DUMMYFUNCTION("""COMPUTED_VALUE"""),"Wrecks")</f>
        <v>Wrecks</v>
      </c>
      <c r="E643" s="7"/>
      <c r="F643" s="8"/>
      <c r="G643" s="8"/>
      <c r="H643" s="8"/>
      <c r="I643" s="14"/>
      <c r="J643" s="14"/>
      <c r="K643" s="14"/>
      <c r="L643" s="14"/>
      <c r="M643" s="7"/>
      <c r="N643" s="8"/>
      <c r="O643" s="8"/>
      <c r="P643" s="8"/>
      <c r="Q643" s="7"/>
      <c r="R643" s="16"/>
      <c r="S643" s="17"/>
      <c r="T643" s="8"/>
      <c r="U643" s="8"/>
      <c r="V643" s="22"/>
      <c r="W643" s="12"/>
      <c r="X643" s="12"/>
      <c r="Y643" s="12"/>
      <c r="Z643" s="12"/>
      <c r="AA643" s="7"/>
      <c r="AB643" s="12"/>
      <c r="AC643" s="6"/>
      <c r="AD643" s="6"/>
      <c r="AE643" s="7"/>
      <c r="AF643" s="7"/>
      <c r="AG643" s="7"/>
      <c r="AH643" s="7"/>
      <c r="AI643" s="7"/>
      <c r="AJ643" s="7"/>
      <c r="AK643" s="7"/>
      <c r="AL643" s="7"/>
      <c r="AM643" s="7"/>
      <c r="AN643" s="7"/>
      <c r="AO643" s="6"/>
      <c r="AP643" s="7"/>
      <c r="AQ643" s="7"/>
      <c r="AR643" s="6"/>
      <c r="AS643" s="7"/>
      <c r="AT643" s="7"/>
      <c r="AU643" s="7"/>
      <c r="AV643" s="7"/>
      <c r="AW643" s="7"/>
      <c r="AX643" s="7"/>
      <c r="AY643" s="7"/>
      <c r="AZ643" s="7"/>
      <c r="BA643" s="7"/>
      <c r="BB643" s="7"/>
      <c r="BC643" s="7"/>
      <c r="BD643" s="7"/>
      <c r="BE643" s="7"/>
      <c r="BF643" s="7"/>
      <c r="BG643" s="7"/>
    </row>
    <row r="644" customHeight="1" spans="1:59">
      <c r="A644" s="23" t="str">
        <f>IFERROR(__xludf.DUMMYFUNCTION("""COMPUTED_VALUE"""),"Magda 48")</f>
        <v>Magda 48</v>
      </c>
      <c r="B644" s="23" t="str">
        <f>IFERROR(__xludf.DUMMYFUNCTION("""COMPUTED_VALUE"""),"Magda 53")</f>
        <v>Magda 53</v>
      </c>
      <c r="C644" s="23" t="str">
        <f>IFERROR(__xludf.DUMMYFUNCTION("""COMPUTED_VALUE"""),"Magda 26")</f>
        <v>Magda 26</v>
      </c>
      <c r="D644" s="23" t="str">
        <f>IFERROR(__xludf.DUMMYFUNCTION("""COMPUTED_VALUE"""),"Caterpillar Wreck 33P")</f>
        <v>Caterpillar Wreck 33P</v>
      </c>
      <c r="E644" s="7" t="str">
        <f>IFERROR(__xludf.DUMMYFUNCTION("""COMPUTED_VALUE"""),"Caterpillar 33P")</f>
        <v>Caterpillar 33P</v>
      </c>
      <c r="F644" s="8">
        <f>IFERROR(__xludf.DUMMYFUNCTION("""COMPUTED_VALUE"""),320.168531741)</f>
        <v>320.168531741</v>
      </c>
      <c r="G644" s="8">
        <f>IFERROR(__xludf.DUMMYFUNCTION("""COMPUTED_VALUE"""),98.7265939019999)</f>
        <v>98.7265939019999</v>
      </c>
      <c r="H644" s="8">
        <f>IFERROR(__xludf.DUMMYFUNCTION("""COMPUTED_VALUE"""),64.42017588)</f>
        <v>64.42017588</v>
      </c>
      <c r="I644" s="14"/>
      <c r="J644" s="14"/>
      <c r="K644" s="14"/>
      <c r="L644" s="14"/>
      <c r="M644" s="7" t="b">
        <f>IFERROR(__xludf.DUMMYFUNCTION("""COMPUTED_VALUE"""),FALSE)</f>
        <v>0</v>
      </c>
      <c r="N644" s="8">
        <f>IFERROR(__xludf.DUMMYFUNCTION("""COMPUTED_VALUE"""),0)</f>
        <v>0</v>
      </c>
      <c r="O644" s="8">
        <f>IFERROR(__xludf.DUMMYFUNCTION("""COMPUTED_VALUE"""),0)</f>
        <v>0</v>
      </c>
      <c r="P644" s="8"/>
      <c r="Q644" s="7"/>
      <c r="R644" s="16"/>
      <c r="S644" s="17"/>
      <c r="T644" s="8"/>
      <c r="U644" s="8"/>
      <c r="V644" s="22"/>
      <c r="W644" s="12"/>
      <c r="X644" s="12"/>
      <c r="Y644" s="12"/>
      <c r="Z644" s="12"/>
      <c r="AA644" s="7"/>
      <c r="AB644" s="12"/>
      <c r="AC644" s="6"/>
      <c r="AD644" s="6"/>
      <c r="AE644" s="7"/>
      <c r="AF644" s="7"/>
      <c r="AG644" s="7"/>
      <c r="AH644" s="7"/>
      <c r="AI644" s="7"/>
      <c r="AJ644" s="7"/>
      <c r="AK644" s="7"/>
      <c r="AL644" s="7"/>
      <c r="AM644" s="7"/>
      <c r="AN644" s="7"/>
      <c r="AO644" s="6"/>
      <c r="AP644" s="7"/>
      <c r="AQ644" s="7"/>
      <c r="AR644" s="6"/>
      <c r="AS644" s="7"/>
      <c r="AT644" s="7"/>
      <c r="AU644" s="7"/>
      <c r="AV644" s="7"/>
      <c r="AW644" s="7"/>
      <c r="AX644" s="7"/>
      <c r="AY644" s="7"/>
      <c r="AZ644" s="7"/>
      <c r="BA644" s="7"/>
      <c r="BB644" s="7"/>
      <c r="BC644" s="7"/>
      <c r="BD644" s="7"/>
      <c r="BE644" s="7"/>
      <c r="BF644" s="7"/>
      <c r="BG644" s="7"/>
    </row>
    <row r="645" customHeight="1" spans="1:59">
      <c r="A645" s="23" t="str">
        <f>IFERROR(__xludf.DUMMYFUNCTION("""COMPUTED_VALUE"""),"Magda 46")</f>
        <v>Magda 46</v>
      </c>
      <c r="B645" s="23" t="str">
        <f>IFERROR(__xludf.DUMMYFUNCTION("""COMPUTED_VALUE"""),"Magda 51")</f>
        <v>Magda 51</v>
      </c>
      <c r="C645" s="23" t="str">
        <f>IFERROR(__xludf.DUMMYFUNCTION("""COMPUTED_VALUE"""),"Magda 47")</f>
        <v>Magda 47</v>
      </c>
      <c r="D645" s="23" t="str">
        <f>IFERROR(__xludf.DUMMYFUNCTION("""COMPUTED_VALUE"""),"Caterpillar Wreck 10Q")</f>
        <v>Caterpillar Wreck 10Q</v>
      </c>
      <c r="E645" s="7" t="str">
        <f>IFERROR(__xludf.DUMMYFUNCTION("""COMPUTED_VALUE"""),"Caterpillar 10Q")</f>
        <v>Caterpillar 10Q</v>
      </c>
      <c r="F645" s="8">
        <f>IFERROR(__xludf.DUMMYFUNCTION("""COMPUTED_VALUE"""),-171.922849059)</f>
        <v>-171.922849059</v>
      </c>
      <c r="G645" s="8">
        <f>IFERROR(__xludf.DUMMYFUNCTION("""COMPUTED_VALUE"""),-278.139414347)</f>
        <v>-278.139414347</v>
      </c>
      <c r="H645" s="8">
        <f>IFERROR(__xludf.DUMMYFUNCTION("""COMPUTED_VALUE"""),96.952845436)</f>
        <v>96.952845436</v>
      </c>
      <c r="I645" s="14"/>
      <c r="J645" s="14"/>
      <c r="K645" s="14"/>
      <c r="L645" s="14"/>
      <c r="M645" s="7" t="b">
        <f>IFERROR(__xludf.DUMMYFUNCTION("""COMPUTED_VALUE"""),FALSE)</f>
        <v>0</v>
      </c>
      <c r="N645" s="8">
        <f>IFERROR(__xludf.DUMMYFUNCTION("""COMPUTED_VALUE"""),0)</f>
        <v>0</v>
      </c>
      <c r="O645" s="8">
        <f>IFERROR(__xludf.DUMMYFUNCTION("""COMPUTED_VALUE"""),0)</f>
        <v>0</v>
      </c>
      <c r="P645" s="8"/>
      <c r="Q645" s="7"/>
      <c r="R645" s="16"/>
      <c r="S645" s="17"/>
      <c r="T645" s="8"/>
      <c r="U645" s="8"/>
      <c r="V645" s="22"/>
      <c r="W645" s="12"/>
      <c r="X645" s="12"/>
      <c r="Y645" s="12"/>
      <c r="Z645" s="12"/>
      <c r="AA645" s="7"/>
      <c r="AB645" s="12"/>
      <c r="AC645" s="6"/>
      <c r="AD645" s="6"/>
      <c r="AE645" s="7"/>
      <c r="AF645" s="7"/>
      <c r="AG645" s="7"/>
      <c r="AH645" s="7"/>
      <c r="AI645" s="7"/>
      <c r="AJ645" s="7"/>
      <c r="AK645" s="7"/>
      <c r="AL645" s="7"/>
      <c r="AM645" s="7"/>
      <c r="AN645" s="7"/>
      <c r="AO645" s="6"/>
      <c r="AP645" s="7"/>
      <c r="AQ645" s="7"/>
      <c r="AR645" s="6"/>
      <c r="AS645" s="7"/>
      <c r="AT645" s="7"/>
      <c r="AU645" s="7"/>
      <c r="AV645" s="7"/>
      <c r="AW645" s="7"/>
      <c r="AX645" s="7"/>
      <c r="AY645" s="7"/>
      <c r="AZ645" s="7"/>
      <c r="BA645" s="7"/>
      <c r="BB645" s="7"/>
      <c r="BC645" s="7"/>
      <c r="BD645" s="7"/>
      <c r="BE645" s="7"/>
      <c r="BF645" s="7"/>
      <c r="BG645" s="7"/>
    </row>
    <row r="646" customHeight="1" spans="1:59">
      <c r="A646" s="23" t="str">
        <f>IFERROR(__xludf.DUMMYFUNCTION("""COMPUTED_VALUE"""),"Magda 47")</f>
        <v>Magda 47</v>
      </c>
      <c r="B646" s="23" t="str">
        <f>IFERROR(__xludf.DUMMYFUNCTION("""COMPUTED_VALUE"""),"Magda 52")</f>
        <v>Magda 52</v>
      </c>
      <c r="C646" s="23" t="str">
        <f>IFERROR(__xludf.DUMMYFUNCTION("""COMPUTED_VALUE"""),"Magda 45")</f>
        <v>Magda 45</v>
      </c>
      <c r="D646" s="23" t="str">
        <f>IFERROR(__xludf.DUMMYFUNCTION("""COMPUTED_VALUE"""),"Caterpillar Wreck 13R")</f>
        <v>Caterpillar Wreck 13R</v>
      </c>
      <c r="E646" s="7" t="str">
        <f>IFERROR(__xludf.DUMMYFUNCTION("""COMPUTED_VALUE"""),"Caterpillar 13R")</f>
        <v>Caterpillar 13R</v>
      </c>
      <c r="F646" s="8">
        <f>IFERROR(__xludf.DUMMYFUNCTION("""COMPUTED_VALUE"""),-84.944)</f>
        <v>-84.944</v>
      </c>
      <c r="G646" s="8">
        <f>IFERROR(__xludf.DUMMYFUNCTION("""COMPUTED_VALUE"""),-284.415)</f>
        <v>-284.415</v>
      </c>
      <c r="H646" s="8">
        <f>IFERROR(__xludf.DUMMYFUNCTION("""COMPUTED_VALUE"""),168.126)</f>
        <v>168.126</v>
      </c>
      <c r="I646" s="14"/>
      <c r="J646" s="14"/>
      <c r="K646" s="14"/>
      <c r="L646" s="14"/>
      <c r="M646" s="7" t="b">
        <f>IFERROR(__xludf.DUMMYFUNCTION("""COMPUTED_VALUE"""),FALSE)</f>
        <v>0</v>
      </c>
      <c r="N646" s="8">
        <f>IFERROR(__xludf.DUMMYFUNCTION("""COMPUTED_VALUE"""),0)</f>
        <v>0</v>
      </c>
      <c r="O646" s="8">
        <f>IFERROR(__xludf.DUMMYFUNCTION("""COMPUTED_VALUE"""),0)</f>
        <v>0</v>
      </c>
      <c r="P646" s="8"/>
      <c r="Q646" s="7"/>
      <c r="R646" s="16"/>
      <c r="S646" s="17"/>
      <c r="T646" s="8"/>
      <c r="U646" s="8"/>
      <c r="V646" s="22"/>
      <c r="W646" s="12"/>
      <c r="X646" s="12"/>
      <c r="Y646" s="12"/>
      <c r="Z646" s="12"/>
      <c r="AA646" s="7"/>
      <c r="AB646" s="12"/>
      <c r="AC646" s="6"/>
      <c r="AD646" s="6"/>
      <c r="AE646" s="7"/>
      <c r="AF646" s="7"/>
      <c r="AG646" s="7"/>
      <c r="AH646" s="7"/>
      <c r="AI646" s="7"/>
      <c r="AJ646" s="7"/>
      <c r="AK646" s="7"/>
      <c r="AL646" s="7"/>
      <c r="AM646" s="7"/>
      <c r="AN646" s="7"/>
      <c r="AO646" s="6"/>
      <c r="AP646" s="7"/>
      <c r="AQ646" s="7"/>
      <c r="AR646" s="6"/>
      <c r="AS646" s="7"/>
      <c r="AT646" s="7"/>
      <c r="AU646" s="7"/>
      <c r="AV646" s="7"/>
      <c r="AW646" s="7"/>
      <c r="AX646" s="7"/>
      <c r="AY646" s="7"/>
      <c r="AZ646" s="7"/>
      <c r="BA646" s="7"/>
      <c r="BB646" s="7"/>
      <c r="BC646" s="7"/>
      <c r="BD646" s="7"/>
      <c r="BE646" s="7"/>
      <c r="BF646" s="7"/>
      <c r="BG646" s="7"/>
    </row>
    <row r="647" customHeight="1" spans="1:59">
      <c r="A647" s="23" t="str">
        <f>IFERROR(__xludf.DUMMYFUNCTION("""COMPUTED_VALUE"""),"Magda 49")</f>
        <v>Magda 49</v>
      </c>
      <c r="B647" s="23" t="str">
        <f>IFERROR(__xludf.DUMMYFUNCTION("""COMPUTED_VALUE"""),"Magda 54")</f>
        <v>Magda 54</v>
      </c>
      <c r="C647" s="23" t="str">
        <f>IFERROR(__xludf.DUMMYFUNCTION("""COMPUTED_VALUE"""),"Magda 33")</f>
        <v>Magda 33</v>
      </c>
      <c r="D647" s="23" t="str">
        <f>IFERROR(__xludf.DUMMYFUNCTION("""COMPUTED_VALUE"""),"Constellation Wreck")</f>
        <v>Constellation Wreck</v>
      </c>
      <c r="E647" s="7" t="str">
        <f>IFERROR(__xludf.DUMMYFUNCTION("""COMPUTED_VALUE"""),"Constellation")</f>
        <v>Constellation</v>
      </c>
      <c r="F647" s="8">
        <f>IFERROR(__xludf.DUMMYFUNCTION("""COMPUTED_VALUE"""),195.502136686999)</f>
        <v>195.502136686999</v>
      </c>
      <c r="G647" s="8">
        <f>IFERROR(__xludf.DUMMYFUNCTION("""COMPUTED_VALUE"""),-14.6522399389999)</f>
        <v>-14.6522399389999</v>
      </c>
      <c r="H647" s="8">
        <f>IFERROR(__xludf.DUMMYFUNCTION("""COMPUTED_VALUE"""),-278.963494381)</f>
        <v>-278.963494381</v>
      </c>
      <c r="I647" s="14"/>
      <c r="J647" s="14"/>
      <c r="K647" s="14"/>
      <c r="L647" s="14"/>
      <c r="M647" s="7" t="b">
        <f>IFERROR(__xludf.DUMMYFUNCTION("""COMPUTED_VALUE"""),FALSE)</f>
        <v>0</v>
      </c>
      <c r="N647" s="8">
        <f>IFERROR(__xludf.DUMMYFUNCTION("""COMPUTED_VALUE"""),0)</f>
        <v>0</v>
      </c>
      <c r="O647" s="8">
        <f>IFERROR(__xludf.DUMMYFUNCTION("""COMPUTED_VALUE"""),0)</f>
        <v>0</v>
      </c>
      <c r="P647" s="8"/>
      <c r="Q647" s="7"/>
      <c r="R647" s="16"/>
      <c r="S647" s="17"/>
      <c r="T647" s="8"/>
      <c r="U647" s="8"/>
      <c r="V647" s="22"/>
      <c r="W647" s="12"/>
      <c r="X647" s="12"/>
      <c r="Y647" s="12"/>
      <c r="Z647" s="12"/>
      <c r="AA647" s="7"/>
      <c r="AB647" s="12"/>
      <c r="AC647" s="6"/>
      <c r="AD647" s="6"/>
      <c r="AE647" s="7"/>
      <c r="AF647" s="7"/>
      <c r="AG647" s="7"/>
      <c r="AH647" s="7"/>
      <c r="AI647" s="7"/>
      <c r="AJ647" s="7"/>
      <c r="AK647" s="7"/>
      <c r="AL647" s="7"/>
      <c r="AM647" s="7"/>
      <c r="AN647" s="7"/>
      <c r="AO647" s="6"/>
      <c r="AP647" s="7"/>
      <c r="AQ647" s="7"/>
      <c r="AR647" s="6"/>
      <c r="AS647" s="7"/>
      <c r="AT647" s="7"/>
      <c r="AU647" s="7"/>
      <c r="AV647" s="7"/>
      <c r="AW647" s="7"/>
      <c r="AX647" s="7"/>
      <c r="AY647" s="7"/>
      <c r="AZ647" s="7"/>
      <c r="BA647" s="7"/>
      <c r="BB647" s="7"/>
      <c r="BC647" s="7"/>
      <c r="BD647" s="7"/>
      <c r="BE647" s="7"/>
      <c r="BF647" s="7"/>
      <c r="BG647" s="7"/>
    </row>
    <row r="648" customHeight="1" spans="1:59">
      <c r="A648" s="23" t="str">
        <f>IFERROR(__xludf.DUMMYFUNCTION("""COMPUTED_VALUE"""),"Magda 50")</f>
        <v>Magda 50</v>
      </c>
      <c r="B648" s="23" t="str">
        <f>IFERROR(__xludf.DUMMYFUNCTION("""COMPUTED_VALUE"""),"Magda 55")</f>
        <v>Magda 55</v>
      </c>
      <c r="C648" s="23" t="str">
        <f>IFERROR(__xludf.DUMMYFUNCTION("""COMPUTED_VALUE"""),"Magda 49")</f>
        <v>Magda 49</v>
      </c>
      <c r="D648" s="23" t="str">
        <f>IFERROR(__xludf.DUMMYFUNCTION("""COMPUTED_VALUE"""),"Cutlass Wreck")</f>
        <v>Cutlass Wreck</v>
      </c>
      <c r="E648" s="7" t="str">
        <f>IFERROR(__xludf.DUMMYFUNCTION("""COMPUTED_VALUE"""),"Cutlass")</f>
        <v>Cutlass</v>
      </c>
      <c r="F648" s="11">
        <f>IFERROR(__xludf.DUMMYFUNCTION("""COMPUTED_VALUE"""),-300.821252814)</f>
        <v>-300.821252814</v>
      </c>
      <c r="G648" s="11">
        <f>IFERROR(__xludf.DUMMYFUNCTION("""COMPUTED_VALUE"""),-72.7844439319998)</f>
        <v>-72.7844439319998</v>
      </c>
      <c r="H648" s="11">
        <f>IFERROR(__xludf.DUMMYFUNCTION("""COMPUTED_VALUE"""),143.451797163)</f>
        <v>143.451797163</v>
      </c>
      <c r="I648" s="15"/>
      <c r="J648" s="15"/>
      <c r="K648" s="15"/>
      <c r="L648" s="15"/>
      <c r="M648" s="7" t="b">
        <f>IFERROR(__xludf.DUMMYFUNCTION("""COMPUTED_VALUE"""),FALSE)</f>
        <v>0</v>
      </c>
      <c r="N648" s="8">
        <f>IFERROR(__xludf.DUMMYFUNCTION("""COMPUTED_VALUE"""),0)</f>
        <v>0</v>
      </c>
      <c r="O648" s="8">
        <f>IFERROR(__xludf.DUMMYFUNCTION("""COMPUTED_VALUE"""),0)</f>
        <v>0</v>
      </c>
      <c r="P648" s="8"/>
      <c r="Q648" s="7"/>
      <c r="R648" s="16"/>
      <c r="S648" s="17"/>
      <c r="T648" s="8"/>
      <c r="U648" s="8"/>
      <c r="V648" s="22"/>
      <c r="W648" s="12"/>
      <c r="X648" s="12"/>
      <c r="Y648" s="12"/>
      <c r="Z648" s="12"/>
      <c r="AA648" s="7"/>
      <c r="AB648" s="12"/>
      <c r="AC648" s="6"/>
      <c r="AD648" s="6"/>
      <c r="AE648" s="7"/>
      <c r="AF648" s="7"/>
      <c r="AG648" s="7"/>
      <c r="AH648" s="7"/>
      <c r="AI648" s="7"/>
      <c r="AJ648" s="7"/>
      <c r="AK648" s="7"/>
      <c r="AL648" s="7"/>
      <c r="AM648" s="7"/>
      <c r="AN648" s="7"/>
      <c r="AO648" s="6"/>
      <c r="AP648" s="7"/>
      <c r="AQ648" s="7"/>
      <c r="AR648" s="6"/>
      <c r="AS648" s="7"/>
      <c r="AT648" s="7"/>
      <c r="AU648" s="7"/>
      <c r="AV648" s="7"/>
      <c r="AW648" s="7"/>
      <c r="AX648" s="7"/>
      <c r="AY648" s="7"/>
      <c r="AZ648" s="7"/>
      <c r="BA648" s="7"/>
      <c r="BB648" s="7"/>
      <c r="BC648" s="7"/>
      <c r="BD648" s="7"/>
      <c r="BE648" s="7"/>
      <c r="BF648" s="7"/>
      <c r="BG648" s="7"/>
    </row>
    <row r="649" customHeight="1" spans="1:59">
      <c r="A649" s="23" t="str">
        <f>IFERROR(__xludf.DUMMYFUNCTION("""COMPUTED_VALUE"""),"Magda")</f>
        <v>Magda</v>
      </c>
      <c r="B649" s="23" t="str">
        <f>IFERROR(__xludf.DUMMYFUNCTION("""COMPUTED_VALUE"""),"Magda 57")</f>
        <v>Magda 57</v>
      </c>
      <c r="C649" s="23"/>
      <c r="D649" s="23" t="str">
        <f>IFERROR(__xludf.DUMMYFUNCTION("""COMPUTED_VALUE"""),"Comm Array")</f>
        <v>Comm Array</v>
      </c>
      <c r="E649" s="7"/>
      <c r="F649" s="11"/>
      <c r="G649" s="11"/>
      <c r="H649" s="11"/>
      <c r="I649" s="15"/>
      <c r="J649" s="15"/>
      <c r="K649" s="15"/>
      <c r="L649" s="15"/>
      <c r="M649" s="7"/>
      <c r="N649" s="8"/>
      <c r="O649" s="8"/>
      <c r="P649" s="8"/>
      <c r="Q649" s="7"/>
      <c r="R649" s="16"/>
      <c r="S649" s="17"/>
      <c r="T649" s="8"/>
      <c r="U649" s="8"/>
      <c r="V649" s="22"/>
      <c r="W649" s="12"/>
      <c r="X649" s="12"/>
      <c r="Y649" s="12"/>
      <c r="Z649" s="12"/>
      <c r="AA649" s="7"/>
      <c r="AB649" s="12"/>
      <c r="AC649" s="6"/>
      <c r="AD649" s="6"/>
      <c r="AE649" s="7"/>
      <c r="AF649" s="7"/>
      <c r="AG649" s="7"/>
      <c r="AH649" s="7"/>
      <c r="AI649" s="7"/>
      <c r="AJ649" s="7"/>
      <c r="AK649" s="7"/>
      <c r="AL649" s="7"/>
      <c r="AM649" s="7"/>
      <c r="AN649" s="7"/>
      <c r="AO649" s="6"/>
      <c r="AP649" s="7"/>
      <c r="AQ649" s="7"/>
      <c r="AR649" s="6"/>
      <c r="AS649" s="7"/>
      <c r="AT649" s="7"/>
      <c r="AU649" s="7"/>
      <c r="AV649" s="7"/>
      <c r="AW649" s="7"/>
      <c r="AX649" s="7"/>
      <c r="AY649" s="7"/>
      <c r="AZ649" s="7"/>
      <c r="BA649" s="7"/>
      <c r="BB649" s="7"/>
      <c r="BC649" s="7"/>
      <c r="BD649" s="7"/>
      <c r="BE649" s="7"/>
      <c r="BF649" s="7"/>
      <c r="BG649" s="7"/>
    </row>
    <row r="650" customHeight="1" spans="1:59">
      <c r="A650" s="23" t="str">
        <f>IFERROR(__xludf.DUMMYFUNCTION("""COMPUTED_VALUE"""),"Magda 03")</f>
        <v>Magda 03</v>
      </c>
      <c r="B650" s="23" t="str">
        <f>IFERROR(__xludf.DUMMYFUNCTION("""COMPUTED_VALUE"""),"Magda 58")</f>
        <v>Magda 58</v>
      </c>
      <c r="C650" s="23" t="str">
        <f>IFERROR(__xludf.DUMMYFUNCTION("""COMPUTED_VALUE"""),"Magda 23")</f>
        <v>Magda 23</v>
      </c>
      <c r="D650" s="23" t="str">
        <f>IFERROR(__xludf.DUMMYFUNCTION("""COMPUTED_VALUE"""),"Comm Array ST1-48")</f>
        <v>Comm Array ST1-48</v>
      </c>
      <c r="E650" s="7" t="str">
        <f>IFERROR(__xludf.DUMMYFUNCTION("""COMPUTED_VALUE"""),"ST1-48")</f>
        <v>ST1-48</v>
      </c>
      <c r="F650" s="11">
        <f>IFERROR(__xludf.DUMMYFUNCTION("""COMPUTED_VALUE"""),295.516463199616)</f>
        <v>295.516463199616</v>
      </c>
      <c r="G650" s="11">
        <f>IFERROR(__xludf.DUMMYFUNCTION("""COMPUTED_VALUE"""),413.045628523111)</f>
        <v>413.045628523111</v>
      </c>
      <c r="H650" s="11">
        <f>IFERROR(__xludf.DUMMYFUNCTION("""COMPUTED_VALUE"""),24)</f>
        <v>24</v>
      </c>
      <c r="I650" s="15"/>
      <c r="J650" s="15"/>
      <c r="K650" s="15"/>
      <c r="L650" s="15"/>
      <c r="M650" s="7" t="b">
        <f>IFERROR(__xludf.DUMMYFUNCTION("""COMPUTED_VALUE"""),TRUE)</f>
        <v>1</v>
      </c>
      <c r="N650" s="8">
        <f>IFERROR(__xludf.DUMMYFUNCTION("""COMPUTED_VALUE"""),0)</f>
        <v>0</v>
      </c>
      <c r="O650" s="8">
        <f>IFERROR(__xludf.DUMMYFUNCTION("""COMPUTED_VALUE"""),0)</f>
        <v>0</v>
      </c>
      <c r="P650" s="8"/>
      <c r="Q650" s="7"/>
      <c r="R650" s="16"/>
      <c r="S650" s="17"/>
      <c r="T650" s="8"/>
      <c r="U650" s="8"/>
      <c r="V650" s="22"/>
      <c r="W650" s="12"/>
      <c r="X650" s="12"/>
      <c r="Y650" s="12"/>
      <c r="Z650" s="12"/>
      <c r="AA650" s="7"/>
      <c r="AB650" s="12"/>
      <c r="AC650" s="6"/>
      <c r="AD650" s="6"/>
      <c r="AE650" s="7"/>
      <c r="AF650" s="7"/>
      <c r="AG650" s="7"/>
      <c r="AH650" s="7"/>
      <c r="AI650" s="7"/>
      <c r="AJ650" s="7"/>
      <c r="AK650" s="7"/>
      <c r="AL650" s="7"/>
      <c r="AM650" s="7"/>
      <c r="AN650" s="7"/>
      <c r="AO650" s="6"/>
      <c r="AP650" s="7"/>
      <c r="AQ650" s="7"/>
      <c r="AR650" s="6"/>
      <c r="AS650" s="7"/>
      <c r="AT650" s="7"/>
      <c r="AU650" s="7"/>
      <c r="AV650" s="7"/>
      <c r="AW650" s="7"/>
      <c r="AX650" s="7"/>
      <c r="AY650" s="7"/>
      <c r="AZ650" s="7"/>
      <c r="BA650" s="7"/>
      <c r="BB650" s="7"/>
      <c r="BC650" s="7"/>
      <c r="BD650" s="7"/>
      <c r="BE650" s="7"/>
      <c r="BF650" s="7"/>
      <c r="BG650" s="7"/>
    </row>
    <row r="651" customHeight="1" spans="1:59">
      <c r="A651" s="23" t="str">
        <f>IFERROR(__xludf.DUMMYFUNCTION("""COMPUTED_VALUE"""),"Magda 51")</f>
        <v>Magda 51</v>
      </c>
      <c r="B651" s="23" t="str">
        <f>IFERROR(__xludf.DUMMYFUNCTION("""COMPUTED_VALUE"""),"Magda 60")</f>
        <v>Magda 60</v>
      </c>
      <c r="C651" s="23" t="str">
        <f>IFERROR(__xludf.DUMMYFUNCTION("""COMPUTED_VALUE"""),"Magda 01")</f>
        <v>Magda 01</v>
      </c>
      <c r="D651" s="23" t="str">
        <f>IFERROR(__xludf.DUMMYFUNCTION("""COMPUTED_VALUE"""),"Sketto Rock")</f>
        <v>Sketto Rock</v>
      </c>
      <c r="E651" s="7" t="str">
        <f>IFERROR(__xludf.DUMMYFUNCTION("""COMPUTED_VALUE"""),"Sketto")</f>
        <v>Sketto</v>
      </c>
      <c r="F651" s="11">
        <f>IFERROR(__xludf.DUMMYFUNCTION("""COMPUTED_VALUE"""),-335.013)</f>
        <v>-335.013</v>
      </c>
      <c r="G651" s="11">
        <f>IFERROR(__xludf.DUMMYFUNCTION("""COMPUTED_VALUE"""),45.699)</f>
        <v>45.699</v>
      </c>
      <c r="H651" s="11">
        <f>IFERROR(__xludf.DUMMYFUNCTION("""COMPUTED_VALUE"""),50.233)</f>
        <v>50.233</v>
      </c>
      <c r="I651" s="15"/>
      <c r="J651" s="15"/>
      <c r="K651" s="15"/>
      <c r="L651" s="15"/>
      <c r="M651" s="7" t="b">
        <f>IFERROR(__xludf.DUMMYFUNCTION("""COMPUTED_VALUE"""),FALSE)</f>
        <v>0</v>
      </c>
      <c r="N651" s="8">
        <f>IFERROR(__xludf.DUMMYFUNCTION("""COMPUTED_VALUE"""),0)</f>
        <v>0</v>
      </c>
      <c r="O651" s="8">
        <f>IFERROR(__xludf.DUMMYFUNCTION("""COMPUTED_VALUE"""),0)</f>
        <v>0</v>
      </c>
      <c r="P651" s="8"/>
      <c r="Q651" s="7"/>
      <c r="R651" s="16"/>
      <c r="S651" s="17"/>
      <c r="T651" s="8"/>
      <c r="U651" s="8"/>
      <c r="V651" s="22"/>
      <c r="W651" s="12"/>
      <c r="X651" s="12"/>
      <c r="Y651" s="12"/>
      <c r="Z651" s="12"/>
      <c r="AA651" s="7"/>
      <c r="AB651" s="12"/>
      <c r="AC651" s="6"/>
      <c r="AD651" s="6"/>
      <c r="AE651" s="7"/>
      <c r="AF651" s="7"/>
      <c r="AG651" s="7"/>
      <c r="AH651" s="7"/>
      <c r="AI651" s="7"/>
      <c r="AJ651" s="7"/>
      <c r="AK651" s="7"/>
      <c r="AL651" s="7"/>
      <c r="AM651" s="7"/>
      <c r="AN651" s="7"/>
      <c r="AO651" s="6"/>
      <c r="AP651" s="7"/>
      <c r="AQ651" s="7"/>
      <c r="AR651" s="6"/>
      <c r="AS651" s="7"/>
      <c r="AT651" s="7"/>
      <c r="AU651" s="7"/>
      <c r="AV651" s="7"/>
      <c r="AW651" s="7"/>
      <c r="AX651" s="7"/>
      <c r="AY651" s="7"/>
      <c r="AZ651" s="7"/>
      <c r="BA651" s="7"/>
      <c r="BB651" s="7"/>
      <c r="BC651" s="7"/>
      <c r="BD651" s="7"/>
      <c r="BE651" s="7"/>
      <c r="BF651" s="7"/>
      <c r="BG651" s="7"/>
    </row>
    <row r="652" customHeight="1" spans="1:59">
      <c r="A652" s="23"/>
      <c r="B652" s="23"/>
      <c r="C652" s="23"/>
      <c r="D652" s="23"/>
      <c r="E652" s="7"/>
      <c r="F652" s="11"/>
      <c r="G652" s="11"/>
      <c r="H652" s="11"/>
      <c r="I652" s="15"/>
      <c r="J652" s="15"/>
      <c r="K652" s="15"/>
      <c r="L652" s="15"/>
      <c r="M652" s="7"/>
      <c r="N652" s="8"/>
      <c r="O652" s="8"/>
      <c r="P652" s="8"/>
      <c r="Q652" s="7"/>
      <c r="R652" s="16"/>
      <c r="S652" s="17"/>
      <c r="T652" s="8"/>
      <c r="U652" s="8"/>
      <c r="V652" s="22"/>
      <c r="W652" s="12"/>
      <c r="X652" s="12"/>
      <c r="Y652" s="12"/>
      <c r="Z652" s="12"/>
      <c r="AA652" s="7"/>
      <c r="AB652" s="12"/>
      <c r="AC652" s="6"/>
      <c r="AD652" s="6"/>
      <c r="AE652" s="7"/>
      <c r="AF652" s="7"/>
      <c r="AG652" s="7"/>
      <c r="AH652" s="7"/>
      <c r="AI652" s="7"/>
      <c r="AJ652" s="7"/>
      <c r="AK652" s="7"/>
      <c r="AL652" s="7"/>
      <c r="AM652" s="7"/>
      <c r="AN652" s="7"/>
      <c r="AO652" s="6"/>
      <c r="AP652" s="7"/>
      <c r="AQ652" s="7"/>
      <c r="AR652" s="6"/>
      <c r="AS652" s="7"/>
      <c r="AT652" s="7"/>
      <c r="AU652" s="7"/>
      <c r="AV652" s="7"/>
      <c r="AW652" s="7"/>
      <c r="AX652" s="7"/>
      <c r="AY652" s="7"/>
      <c r="AZ652" s="7"/>
      <c r="BA652" s="7"/>
      <c r="BB652" s="7"/>
      <c r="BC652" s="7"/>
      <c r="BD652" s="7"/>
      <c r="BE652" s="7"/>
      <c r="BF652" s="7"/>
      <c r="BG652" s="7"/>
    </row>
    <row r="653" customHeight="1" spans="1:59">
      <c r="A653" s="23" t="str">
        <f>IFERROR(__xludf.DUMMYFUNCTION("""COMPUTED_VALUE"""),"microTech R01")</f>
        <v>microTech R01</v>
      </c>
      <c r="B653" s="23" t="str">
        <f>IFERROR(__xludf.DUMMYFUNCTION("""COMPUTED_VALUE"""),"microTech 110")</f>
        <v>microTech 110</v>
      </c>
      <c r="C653" s="23"/>
      <c r="D653" s="23" t="str">
        <f>IFERROR(__xludf.DUMMYFUNCTION("""COMPUTED_VALUE"""),"OM-1")</f>
        <v>OM-1</v>
      </c>
      <c r="E653" s="7" t="str">
        <f>IFERROR(__xludf.DUMMYFUNCTION("""COMPUTED_VALUE"""),"OM1")</f>
        <v>OM1</v>
      </c>
      <c r="F653" s="11">
        <f>IFERROR(__xludf.DUMMYFUNCTION("""COMPUTED_VALUE"""),0)</f>
        <v>0</v>
      </c>
      <c r="G653" s="11">
        <f>IFERROR(__xludf.DUMMYFUNCTION("""COMPUTED_VALUE"""),0)</f>
        <v>0</v>
      </c>
      <c r="H653" s="11">
        <f>IFERROR(__xludf.DUMMYFUNCTION("""COMPUTED_VALUE"""),1439.593)</f>
        <v>1439.593</v>
      </c>
      <c r="I653" s="15"/>
      <c r="J653" s="15"/>
      <c r="K653" s="15"/>
      <c r="L653" s="15"/>
      <c r="M653" s="7" t="b">
        <f>IFERROR(__xludf.DUMMYFUNCTION("""COMPUTED_VALUE"""),TRUE)</f>
        <v>1</v>
      </c>
      <c r="N653" s="8">
        <f>IFERROR(__xludf.DUMMYFUNCTION("""COMPUTED_VALUE"""),0)</f>
        <v>0</v>
      </c>
      <c r="O653" s="8">
        <f>IFERROR(__xludf.DUMMYFUNCTION("""COMPUTED_VALUE"""),0)</f>
        <v>0</v>
      </c>
      <c r="P653" s="8"/>
      <c r="Q653" s="7"/>
      <c r="R653" s="16"/>
      <c r="S653" s="17"/>
      <c r="T653" s="8"/>
      <c r="U653" s="8"/>
      <c r="V653" s="22"/>
      <c r="W653" s="12"/>
      <c r="X653" s="12"/>
      <c r="Y653" s="12"/>
      <c r="Z653" s="12"/>
      <c r="AA653" s="7"/>
      <c r="AB653" s="12"/>
      <c r="AC653" s="6"/>
      <c r="AD653" s="6"/>
      <c r="AE653" s="7"/>
      <c r="AF653" s="7"/>
      <c r="AG653" s="7"/>
      <c r="AH653" s="7"/>
      <c r="AI653" s="7"/>
      <c r="AJ653" s="7"/>
      <c r="AK653" s="7"/>
      <c r="AL653" s="7"/>
      <c r="AM653" s="7"/>
      <c r="AN653" s="7"/>
      <c r="AO653" s="6"/>
      <c r="AP653" s="7"/>
      <c r="AQ653" s="7"/>
      <c r="AR653" s="6"/>
      <c r="AS653" s="7"/>
      <c r="AT653" s="7"/>
      <c r="AU653" s="7"/>
      <c r="AV653" s="7"/>
      <c r="AW653" s="7"/>
      <c r="AX653" s="7"/>
      <c r="AY653" s="7"/>
      <c r="AZ653" s="7"/>
      <c r="BA653" s="7"/>
      <c r="BB653" s="7"/>
      <c r="BC653" s="7"/>
      <c r="BD653" s="7"/>
      <c r="BE653" s="7"/>
      <c r="BF653" s="7"/>
      <c r="BG653" s="7"/>
    </row>
    <row r="654" customHeight="1" spans="1:59">
      <c r="A654" s="23" t="str">
        <f>IFERROR(__xludf.DUMMYFUNCTION("""COMPUTED_VALUE"""),"microTech R02")</f>
        <v>microTech R02</v>
      </c>
      <c r="B654" s="23" t="str">
        <f>IFERROR(__xludf.DUMMYFUNCTION("""COMPUTED_VALUE"""),"microTech 111")</f>
        <v>microTech 111</v>
      </c>
      <c r="C654" s="23"/>
      <c r="D654" s="23" t="str">
        <f>IFERROR(__xludf.DUMMYFUNCTION("""COMPUTED_VALUE"""),"OM-2")</f>
        <v>OM-2</v>
      </c>
      <c r="E654" s="7" t="str">
        <f>IFERROR(__xludf.DUMMYFUNCTION("""COMPUTED_VALUE"""),"OM2")</f>
        <v>OM2</v>
      </c>
      <c r="F654" s="11">
        <f>IFERROR(__xludf.DUMMYFUNCTION("""COMPUTED_VALUE"""),0)</f>
        <v>0</v>
      </c>
      <c r="G654" s="11">
        <f>IFERROR(__xludf.DUMMYFUNCTION("""COMPUTED_VALUE"""),0)</f>
        <v>0</v>
      </c>
      <c r="H654" s="11">
        <f>IFERROR(__xludf.DUMMYFUNCTION("""COMPUTED_VALUE"""),-1439.593)</f>
        <v>-1439.593</v>
      </c>
      <c r="I654" s="15"/>
      <c r="J654" s="15"/>
      <c r="K654" s="15"/>
      <c r="L654" s="15"/>
      <c r="M654" s="7" t="b">
        <f>IFERROR(__xludf.DUMMYFUNCTION("""COMPUTED_VALUE"""),TRUE)</f>
        <v>1</v>
      </c>
      <c r="N654" s="8">
        <f>IFERROR(__xludf.DUMMYFUNCTION("""COMPUTED_VALUE"""),0)</f>
        <v>0</v>
      </c>
      <c r="O654" s="8">
        <f>IFERROR(__xludf.DUMMYFUNCTION("""COMPUTED_VALUE"""),0)</f>
        <v>0</v>
      </c>
      <c r="P654" s="8"/>
      <c r="Q654" s="7"/>
      <c r="R654" s="16"/>
      <c r="S654" s="17"/>
      <c r="T654" s="8"/>
      <c r="U654" s="8"/>
      <c r="V654" s="22"/>
      <c r="W654" s="12"/>
      <c r="X654" s="12"/>
      <c r="Y654" s="12"/>
      <c r="Z654" s="12"/>
      <c r="AA654" s="7"/>
      <c r="AB654" s="12"/>
      <c r="AC654" s="6"/>
      <c r="AD654" s="6"/>
      <c r="AE654" s="7"/>
      <c r="AF654" s="7"/>
      <c r="AG654" s="7"/>
      <c r="AH654" s="7"/>
      <c r="AI654" s="7"/>
      <c r="AJ654" s="7"/>
      <c r="AK654" s="7"/>
      <c r="AL654" s="7"/>
      <c r="AM654" s="7"/>
      <c r="AN654" s="7"/>
      <c r="AO654" s="6"/>
      <c r="AP654" s="7"/>
      <c r="AQ654" s="7"/>
      <c r="AR654" s="6"/>
      <c r="AS654" s="7"/>
      <c r="AT654" s="7"/>
      <c r="AU654" s="7"/>
      <c r="AV654" s="7"/>
      <c r="AW654" s="7"/>
      <c r="AX654" s="7"/>
      <c r="AY654" s="7"/>
      <c r="AZ654" s="7"/>
      <c r="BA654" s="7"/>
      <c r="BB654" s="7"/>
      <c r="BC654" s="7"/>
      <c r="BD654" s="7"/>
      <c r="BE654" s="7"/>
      <c r="BF654" s="7"/>
      <c r="BG654" s="7"/>
    </row>
    <row r="655" customHeight="1" spans="1:59">
      <c r="A655" s="23" t="str">
        <f>IFERROR(__xludf.DUMMYFUNCTION("""COMPUTED_VALUE"""),"microTech R03")</f>
        <v>microTech R03</v>
      </c>
      <c r="B655" s="23" t="str">
        <f>IFERROR(__xludf.DUMMYFUNCTION("""COMPUTED_VALUE"""),"microTech 112")</f>
        <v>microTech 112</v>
      </c>
      <c r="C655" s="23" t="str">
        <f>IFERROR(__xludf.DUMMYFUNCTION("""COMPUTED_VALUE"""),"microTech 38")</f>
        <v>microTech 38</v>
      </c>
      <c r="D655" s="23" t="str">
        <f>IFERROR(__xludf.DUMMYFUNCTION("""COMPUTED_VALUE"""),"OM-3")</f>
        <v>OM-3</v>
      </c>
      <c r="E655" s="7" t="str">
        <f>IFERROR(__xludf.DUMMYFUNCTION("""COMPUTED_VALUE"""),"OM3")</f>
        <v>OM3</v>
      </c>
      <c r="F655" s="11">
        <f>IFERROR(__xludf.DUMMYFUNCTION("""COMPUTED_VALUE"""),0)</f>
        <v>0</v>
      </c>
      <c r="G655" s="11">
        <f>IFERROR(__xludf.DUMMYFUNCTION("""COMPUTED_VALUE"""),1439.593)</f>
        <v>1439.593</v>
      </c>
      <c r="H655" s="11">
        <f>IFERROR(__xludf.DUMMYFUNCTION("""COMPUTED_VALUE"""),0)</f>
        <v>0</v>
      </c>
      <c r="I655" s="15"/>
      <c r="J655" s="15"/>
      <c r="K655" s="15"/>
      <c r="L655" s="15"/>
      <c r="M655" s="7" t="b">
        <f>IFERROR(__xludf.DUMMYFUNCTION("""COMPUTED_VALUE"""),TRUE)</f>
        <v>1</v>
      </c>
      <c r="N655" s="8">
        <f>IFERROR(__xludf.DUMMYFUNCTION("""COMPUTED_VALUE"""),0)</f>
        <v>0</v>
      </c>
      <c r="O655" s="8">
        <f>IFERROR(__xludf.DUMMYFUNCTION("""COMPUTED_VALUE"""),0)</f>
        <v>0</v>
      </c>
      <c r="P655" s="8"/>
      <c r="Q655" s="7"/>
      <c r="R655" s="16"/>
      <c r="S655" s="17"/>
      <c r="T655" s="8"/>
      <c r="U655" s="8"/>
      <c r="V655" s="22"/>
      <c r="W655" s="12"/>
      <c r="X655" s="12"/>
      <c r="Y655" s="12"/>
      <c r="Z655" s="12"/>
      <c r="AA655" s="7"/>
      <c r="AB655" s="12"/>
      <c r="AC655" s="6"/>
      <c r="AD655" s="6"/>
      <c r="AE655" s="7"/>
      <c r="AF655" s="7"/>
      <c r="AG655" s="7"/>
      <c r="AH655" s="7"/>
      <c r="AI655" s="7"/>
      <c r="AJ655" s="7"/>
      <c r="AK655" s="7"/>
      <c r="AL655" s="7"/>
      <c r="AM655" s="7"/>
      <c r="AN655" s="7"/>
      <c r="AO655" s="6"/>
      <c r="AP655" s="7"/>
      <c r="AQ655" s="7"/>
      <c r="AR655" s="6"/>
      <c r="AS655" s="7"/>
      <c r="AT655" s="7"/>
      <c r="AU655" s="7"/>
      <c r="AV655" s="7"/>
      <c r="AW655" s="7"/>
      <c r="AX655" s="7"/>
      <c r="AY655" s="7"/>
      <c r="AZ655" s="7"/>
      <c r="BA655" s="7"/>
      <c r="BB655" s="7"/>
      <c r="BC655" s="7"/>
      <c r="BD655" s="7"/>
      <c r="BE655" s="7"/>
      <c r="BF655" s="7"/>
      <c r="BG655" s="7"/>
    </row>
    <row r="656" customHeight="1" spans="1:59">
      <c r="A656" s="23" t="str">
        <f>IFERROR(__xludf.DUMMYFUNCTION("""COMPUTED_VALUE"""),"microTech R04")</f>
        <v>microTech R04</v>
      </c>
      <c r="B656" s="23" t="str">
        <f>IFERROR(__xludf.DUMMYFUNCTION("""COMPUTED_VALUE"""),"microTech 113")</f>
        <v>microTech 113</v>
      </c>
      <c r="C656" s="23" t="str">
        <f>IFERROR(__xludf.DUMMYFUNCTION("""COMPUTED_VALUE"""),"microTech 83")</f>
        <v>microTech 83</v>
      </c>
      <c r="D656" s="23" t="str">
        <f>IFERROR(__xludf.DUMMYFUNCTION("""COMPUTED_VALUE"""),"OM-4")</f>
        <v>OM-4</v>
      </c>
      <c r="E656" s="7" t="str">
        <f>IFERROR(__xludf.DUMMYFUNCTION("""COMPUTED_VALUE"""),"OM4")</f>
        <v>OM4</v>
      </c>
      <c r="F656" s="11">
        <f>IFERROR(__xludf.DUMMYFUNCTION("""COMPUTED_VALUE"""),0)</f>
        <v>0</v>
      </c>
      <c r="G656" s="11">
        <f>IFERROR(__xludf.DUMMYFUNCTION("""COMPUTED_VALUE"""),-1439.593)</f>
        <v>-1439.593</v>
      </c>
      <c r="H656" s="11">
        <f>IFERROR(__xludf.DUMMYFUNCTION("""COMPUTED_VALUE"""),0)</f>
        <v>0</v>
      </c>
      <c r="I656" s="15"/>
      <c r="J656" s="15"/>
      <c r="K656" s="15"/>
      <c r="L656" s="15"/>
      <c r="M656" s="7" t="b">
        <f>IFERROR(__xludf.DUMMYFUNCTION("""COMPUTED_VALUE"""),TRUE)</f>
        <v>1</v>
      </c>
      <c r="N656" s="8">
        <f>IFERROR(__xludf.DUMMYFUNCTION("""COMPUTED_VALUE"""),0)</f>
        <v>0</v>
      </c>
      <c r="O656" s="8">
        <f>IFERROR(__xludf.DUMMYFUNCTION("""COMPUTED_VALUE"""),0)</f>
        <v>0</v>
      </c>
      <c r="P656" s="8"/>
      <c r="Q656" s="7"/>
      <c r="R656" s="16"/>
      <c r="S656" s="17"/>
      <c r="T656" s="8"/>
      <c r="U656" s="8"/>
      <c r="V656" s="22"/>
      <c r="W656" s="12"/>
      <c r="X656" s="12"/>
      <c r="Y656" s="12"/>
      <c r="Z656" s="12"/>
      <c r="AA656" s="7"/>
      <c r="AB656" s="12"/>
      <c r="AC656" s="6"/>
      <c r="AD656" s="6"/>
      <c r="AE656" s="7"/>
      <c r="AF656" s="7"/>
      <c r="AG656" s="7"/>
      <c r="AH656" s="7"/>
      <c r="AI656" s="7"/>
      <c r="AJ656" s="7"/>
      <c r="AK656" s="7"/>
      <c r="AL656" s="7"/>
      <c r="AM656" s="7"/>
      <c r="AN656" s="7"/>
      <c r="AO656" s="6"/>
      <c r="AP656" s="7"/>
      <c r="AQ656" s="7"/>
      <c r="AR656" s="6"/>
      <c r="AS656" s="7"/>
      <c r="AT656" s="7"/>
      <c r="AU656" s="7"/>
      <c r="AV656" s="7"/>
      <c r="AW656" s="7"/>
      <c r="AX656" s="7"/>
      <c r="AY656" s="7"/>
      <c r="AZ656" s="7"/>
      <c r="BA656" s="7"/>
      <c r="BB656" s="7"/>
      <c r="BC656" s="7"/>
      <c r="BD656" s="7"/>
      <c r="BE656" s="7"/>
      <c r="BF656" s="7"/>
      <c r="BG656" s="7"/>
    </row>
    <row r="657" customHeight="1" spans="1:59">
      <c r="A657" s="23" t="str">
        <f>IFERROR(__xludf.DUMMYFUNCTION("""COMPUTED_VALUE"""),"microTech R05")</f>
        <v>microTech R05</v>
      </c>
      <c r="B657" s="23" t="str">
        <f>IFERROR(__xludf.DUMMYFUNCTION("""COMPUTED_VALUE"""),"microTech 114")</f>
        <v>microTech 114</v>
      </c>
      <c r="C657" s="23" t="str">
        <f>IFERROR(__xludf.DUMMYFUNCTION("""COMPUTED_VALUE"""),"microTech 67")</f>
        <v>microTech 67</v>
      </c>
      <c r="D657" s="23" t="str">
        <f>IFERROR(__xludf.DUMMYFUNCTION("""COMPUTED_VALUE"""),"OM-5")</f>
        <v>OM-5</v>
      </c>
      <c r="E657" s="7" t="str">
        <f>IFERROR(__xludf.DUMMYFUNCTION("""COMPUTED_VALUE"""),"OM5")</f>
        <v>OM5</v>
      </c>
      <c r="F657" s="11">
        <f>IFERROR(__xludf.DUMMYFUNCTION("""COMPUTED_VALUE"""),1439.593)</f>
        <v>1439.593</v>
      </c>
      <c r="G657" s="11">
        <f>IFERROR(__xludf.DUMMYFUNCTION("""COMPUTED_VALUE"""),0)</f>
        <v>0</v>
      </c>
      <c r="H657" s="11">
        <f>IFERROR(__xludf.DUMMYFUNCTION("""COMPUTED_VALUE"""),0)</f>
        <v>0</v>
      </c>
      <c r="I657" s="15"/>
      <c r="J657" s="15"/>
      <c r="K657" s="15"/>
      <c r="L657" s="15"/>
      <c r="M657" s="7" t="b">
        <f>IFERROR(__xludf.DUMMYFUNCTION("""COMPUTED_VALUE"""),TRUE)</f>
        <v>1</v>
      </c>
      <c r="N657" s="8">
        <f>IFERROR(__xludf.DUMMYFUNCTION("""COMPUTED_VALUE"""),0)</f>
        <v>0</v>
      </c>
      <c r="O657" s="8">
        <f>IFERROR(__xludf.DUMMYFUNCTION("""COMPUTED_VALUE"""),0)</f>
        <v>0</v>
      </c>
      <c r="P657" s="8"/>
      <c r="Q657" s="7"/>
      <c r="R657" s="16"/>
      <c r="S657" s="17"/>
      <c r="T657" s="8"/>
      <c r="U657" s="8"/>
      <c r="V657" s="22"/>
      <c r="W657" s="12"/>
      <c r="X657" s="12"/>
      <c r="Y657" s="12"/>
      <c r="Z657" s="12"/>
      <c r="AA657" s="7"/>
      <c r="AB657" s="12"/>
      <c r="AC657" s="6"/>
      <c r="AD657" s="6"/>
      <c r="AE657" s="7"/>
      <c r="AF657" s="7"/>
      <c r="AG657" s="7"/>
      <c r="AH657" s="7"/>
      <c r="AI657" s="7"/>
      <c r="AJ657" s="7"/>
      <c r="AK657" s="7"/>
      <c r="AL657" s="7"/>
      <c r="AM657" s="7"/>
      <c r="AN657" s="7"/>
      <c r="AO657" s="6"/>
      <c r="AP657" s="7"/>
      <c r="AQ657" s="7"/>
      <c r="AR657" s="6"/>
      <c r="AS657" s="7"/>
      <c r="AT657" s="7"/>
      <c r="AU657" s="7"/>
      <c r="AV657" s="7"/>
      <c r="AW657" s="7"/>
      <c r="AX657" s="7"/>
      <c r="AY657" s="7"/>
      <c r="AZ657" s="7"/>
      <c r="BA657" s="7"/>
      <c r="BB657" s="7"/>
      <c r="BC657" s="7"/>
      <c r="BD657" s="7"/>
      <c r="BE657" s="7"/>
      <c r="BF657" s="7"/>
      <c r="BG657" s="7"/>
    </row>
    <row r="658" customHeight="1" spans="1:59">
      <c r="A658" s="23" t="str">
        <f>IFERROR(__xludf.DUMMYFUNCTION("""COMPUTED_VALUE"""),"microTech R06")</f>
        <v>microTech R06</v>
      </c>
      <c r="B658" s="23" t="str">
        <f>IFERROR(__xludf.DUMMYFUNCTION("""COMPUTED_VALUE"""),"microTech 115")</f>
        <v>microTech 115</v>
      </c>
      <c r="C658" s="23" t="str">
        <f>IFERROR(__xludf.DUMMYFUNCTION("""COMPUTED_VALUE"""),"microTech 94")</f>
        <v>microTech 94</v>
      </c>
      <c r="D658" s="23" t="str">
        <f>IFERROR(__xludf.DUMMYFUNCTION("""COMPUTED_VALUE"""),"OM-6")</f>
        <v>OM-6</v>
      </c>
      <c r="E658" s="7" t="str">
        <f>IFERROR(__xludf.DUMMYFUNCTION("""COMPUTED_VALUE"""),"OM6")</f>
        <v>OM6</v>
      </c>
      <c r="F658" s="11">
        <f>IFERROR(__xludf.DUMMYFUNCTION("""COMPUTED_VALUE"""),-1439.593)</f>
        <v>-1439.593</v>
      </c>
      <c r="G658" s="11">
        <f>IFERROR(__xludf.DUMMYFUNCTION("""COMPUTED_VALUE"""),0)</f>
        <v>0</v>
      </c>
      <c r="H658" s="11">
        <f>IFERROR(__xludf.DUMMYFUNCTION("""COMPUTED_VALUE"""),0)</f>
        <v>0</v>
      </c>
      <c r="I658" s="15"/>
      <c r="J658" s="15"/>
      <c r="K658" s="15"/>
      <c r="L658" s="15"/>
      <c r="M658" s="7" t="b">
        <f>IFERROR(__xludf.DUMMYFUNCTION("""COMPUTED_VALUE"""),TRUE)</f>
        <v>1</v>
      </c>
      <c r="N658" s="8">
        <f>IFERROR(__xludf.DUMMYFUNCTION("""COMPUTED_VALUE"""),0)</f>
        <v>0</v>
      </c>
      <c r="O658" s="8">
        <f>IFERROR(__xludf.DUMMYFUNCTION("""COMPUTED_VALUE"""),0)</f>
        <v>0</v>
      </c>
      <c r="P658" s="8"/>
      <c r="Q658" s="7"/>
      <c r="R658" s="16"/>
      <c r="S658" s="17"/>
      <c r="T658" s="8"/>
      <c r="U658" s="8"/>
      <c r="V658" s="22"/>
      <c r="W658" s="12"/>
      <c r="X658" s="12"/>
      <c r="Y658" s="12"/>
      <c r="Z658" s="12"/>
      <c r="AA658" s="7"/>
      <c r="AB658" s="12"/>
      <c r="AC658" s="6"/>
      <c r="AD658" s="6"/>
      <c r="AE658" s="7"/>
      <c r="AF658" s="7"/>
      <c r="AG658" s="7"/>
      <c r="AH658" s="7"/>
      <c r="AI658" s="7"/>
      <c r="AJ658" s="7"/>
      <c r="AK658" s="7"/>
      <c r="AL658" s="7"/>
      <c r="AM658" s="7"/>
      <c r="AN658" s="7"/>
      <c r="AO658" s="6"/>
      <c r="AP658" s="7"/>
      <c r="AQ658" s="7"/>
      <c r="AR658" s="6"/>
      <c r="AS658" s="7"/>
      <c r="AT658" s="7"/>
      <c r="AU658" s="7"/>
      <c r="AV658" s="7"/>
      <c r="AW658" s="7"/>
      <c r="AX658" s="7"/>
      <c r="AY658" s="7"/>
      <c r="AZ658" s="7"/>
      <c r="BA658" s="7"/>
      <c r="BB658" s="7"/>
      <c r="BC658" s="7"/>
      <c r="BD658" s="7"/>
      <c r="BE658" s="7"/>
      <c r="BF658" s="7"/>
      <c r="BG658" s="7"/>
    </row>
    <row r="659" customHeight="1" spans="1:59">
      <c r="A659" s="23" t="str">
        <f>IFERROR(__xludf.DUMMYFUNCTION("""COMPUTED_VALUE"""),"microTech")</f>
        <v>microTech</v>
      </c>
      <c r="B659" s="23" t="str">
        <f>IFERROR(__xludf.DUMMYFUNCTION("""COMPUTED_VALUE"""),"microTech 00")</f>
        <v>microTech 00</v>
      </c>
      <c r="C659" s="23"/>
      <c r="D659" s="23" t="str">
        <f>IFERROR(__xludf.DUMMYFUNCTION("""COMPUTED_VALUE"""),"Landing Zone")</f>
        <v>Landing Zone</v>
      </c>
      <c r="E659" s="7"/>
      <c r="F659" s="11"/>
      <c r="G659" s="11"/>
      <c r="H659" s="11"/>
      <c r="I659" s="15"/>
      <c r="J659" s="15"/>
      <c r="K659" s="15"/>
      <c r="L659" s="15"/>
      <c r="M659" s="7"/>
      <c r="N659" s="8"/>
      <c r="O659" s="8"/>
      <c r="P659" s="8"/>
      <c r="Q659" s="7"/>
      <c r="R659" s="16"/>
      <c r="S659" s="17"/>
      <c r="T659" s="8"/>
      <c r="U659" s="8"/>
      <c r="V659" s="22"/>
      <c r="W659" s="12"/>
      <c r="X659" s="12"/>
      <c r="Y659" s="12"/>
      <c r="Z659" s="12"/>
      <c r="AA659" s="7"/>
      <c r="AB659" s="12"/>
      <c r="AC659" s="6"/>
      <c r="AD659" s="6"/>
      <c r="AE659" s="7"/>
      <c r="AF659" s="7"/>
      <c r="AG659" s="7"/>
      <c r="AH659" s="7"/>
      <c r="AI659" s="7"/>
      <c r="AJ659" s="7"/>
      <c r="AK659" s="7"/>
      <c r="AL659" s="7"/>
      <c r="AM659" s="7"/>
      <c r="AN659" s="7"/>
      <c r="AO659" s="6"/>
      <c r="AP659" s="7"/>
      <c r="AQ659" s="7"/>
      <c r="AR659" s="6"/>
      <c r="AS659" s="7"/>
      <c r="AT659" s="7"/>
      <c r="AU659" s="7"/>
      <c r="AV659" s="7"/>
      <c r="AW659" s="7"/>
      <c r="AX659" s="7"/>
      <c r="AY659" s="7"/>
      <c r="AZ659" s="7"/>
      <c r="BA659" s="7"/>
      <c r="BB659" s="7"/>
      <c r="BC659" s="7"/>
      <c r="BD659" s="7"/>
      <c r="BE659" s="7"/>
      <c r="BF659" s="7"/>
      <c r="BG659" s="7"/>
    </row>
    <row r="660" customHeight="1" spans="1:59">
      <c r="A660" s="23" t="str">
        <f>IFERROR(__xludf.DUMMYFUNCTION("""COMPUTED_VALUE"""),"microTech 01")</f>
        <v>microTech 01</v>
      </c>
      <c r="B660" s="23" t="str">
        <f>IFERROR(__xludf.DUMMYFUNCTION("""COMPUTED_VALUE"""),"microTech 01")</f>
        <v>microTech 01</v>
      </c>
      <c r="C660" s="23" t="str">
        <f>IFERROR(__xludf.DUMMYFUNCTION("""COMPUTED_VALUE"""),"microTech 51")</f>
        <v>microTech 51</v>
      </c>
      <c r="D660" s="23" t="str">
        <f>IFERROR(__xludf.DUMMYFUNCTION("""COMPUTED_VALUE"""),"New Babbage")</f>
        <v>New Babbage</v>
      </c>
      <c r="E660" s="7" t="str">
        <f>IFERROR(__xludf.DUMMYFUNCTION("""COMPUTED_VALUE"""),"Babbage")</f>
        <v>Babbage</v>
      </c>
      <c r="F660" s="11">
        <f>IFERROR(__xludf.DUMMYFUNCTION("""COMPUTED_VALUE"""),520.722992113)</f>
        <v>520.722992113</v>
      </c>
      <c r="G660" s="11">
        <f>IFERROR(__xludf.DUMMYFUNCTION("""COMPUTED_VALUE"""),419.364313161999)</f>
        <v>419.364313161999</v>
      </c>
      <c r="H660" s="11">
        <f>IFERROR(__xludf.DUMMYFUNCTION("""COMPUTED_VALUE"""),743.654685314)</f>
        <v>743.654685314</v>
      </c>
      <c r="I660" s="15"/>
      <c r="J660" s="15"/>
      <c r="K660" s="15"/>
      <c r="L660" s="15"/>
      <c r="M660" s="7" t="b">
        <f>IFERROR(__xludf.DUMMYFUNCTION("""COMPUTED_VALUE"""),TRUE)</f>
        <v>1</v>
      </c>
      <c r="N660" s="8">
        <f>IFERROR(__xludf.DUMMYFUNCTION("""COMPUTED_VALUE"""),0)</f>
        <v>0</v>
      </c>
      <c r="O660" s="8">
        <f>IFERROR(__xludf.DUMMYFUNCTION("""COMPUTED_VALUE"""),0)</f>
        <v>0</v>
      </c>
      <c r="P660" s="8"/>
      <c r="Q660" s="7"/>
      <c r="R660" s="16"/>
      <c r="S660" s="17"/>
      <c r="T660" s="8"/>
      <c r="U660" s="8"/>
      <c r="V660" s="22"/>
      <c r="W660" s="12"/>
      <c r="X660" s="12"/>
      <c r="Y660" s="12"/>
      <c r="Z660" s="12"/>
      <c r="AA660" s="7"/>
      <c r="AB660" s="12"/>
      <c r="AC660" s="6"/>
      <c r="AD660" s="6"/>
      <c r="AE660" s="7"/>
      <c r="AF660" s="7"/>
      <c r="AG660" s="7"/>
      <c r="AH660" s="7"/>
      <c r="AI660" s="7"/>
      <c r="AJ660" s="7"/>
      <c r="AK660" s="7"/>
      <c r="AL660" s="7"/>
      <c r="AM660" s="7"/>
      <c r="AN660" s="7"/>
      <c r="AO660" s="6"/>
      <c r="AP660" s="7"/>
      <c r="AQ660" s="7"/>
      <c r="AR660" s="6"/>
      <c r="AS660" s="7"/>
      <c r="AT660" s="7"/>
      <c r="AU660" s="7"/>
      <c r="AV660" s="7"/>
      <c r="AW660" s="7"/>
      <c r="AX660" s="7"/>
      <c r="AY660" s="7"/>
      <c r="AZ660" s="7"/>
      <c r="BA660" s="7"/>
      <c r="BB660" s="7"/>
      <c r="BC660" s="7"/>
      <c r="BD660" s="7"/>
      <c r="BE660" s="7"/>
      <c r="BF660" s="7"/>
      <c r="BG660" s="7"/>
    </row>
    <row r="661" customHeight="1" spans="1:59">
      <c r="A661" s="23" t="str">
        <f>IFERROR(__xludf.DUMMYFUNCTION("""COMPUTED_VALUE"""),"microTech 24")</f>
        <v>microTech 24</v>
      </c>
      <c r="B661" s="23" t="str">
        <f>IFERROR(__xludf.DUMMYFUNCTION("""COMPUTED_VALUE"""),"microTech 02")</f>
        <v>microTech 02</v>
      </c>
      <c r="C661" s="23" t="str">
        <f>IFERROR(__xludf.DUMMYFUNCTION("""COMPUTED_VALUE"""),"microTech 48")</f>
        <v>microTech 48</v>
      </c>
      <c r="D661" s="23" t="str">
        <f>IFERROR(__xludf.DUMMYFUNCTION("""COMPUTED_VALUE"""),"New Babbage Interstellar Spaceport")</f>
        <v>New Babbage Interstellar Spaceport</v>
      </c>
      <c r="E661" s="7" t="str">
        <f>IFERROR(__xludf.DUMMYFUNCTION("""COMPUTED_VALUE"""),"Spaceport")</f>
        <v>Spaceport</v>
      </c>
      <c r="F661" s="11">
        <f>IFERROR(__xludf.DUMMYFUNCTION("""COMPUTED_VALUE"""),520.320401830282)</f>
        <v>520.320401830282</v>
      </c>
      <c r="G661" s="11">
        <f>IFERROR(__xludf.DUMMYFUNCTION("""COMPUTED_VALUE"""),435.102213305407)</f>
        <v>435.102213305407</v>
      </c>
      <c r="H661" s="11">
        <f>IFERROR(__xludf.DUMMYFUNCTION("""COMPUTED_VALUE"""),736.226011636578)</f>
        <v>736.226011636578</v>
      </c>
      <c r="I661" s="15"/>
      <c r="J661" s="15"/>
      <c r="K661" s="15"/>
      <c r="L661" s="15"/>
      <c r="M661" s="7" t="b">
        <f>IFERROR(__xludf.DUMMYFUNCTION("""COMPUTED_VALUE"""),FALSE)</f>
        <v>0</v>
      </c>
      <c r="N661" s="8">
        <f>IFERROR(__xludf.DUMMYFUNCTION("""COMPUTED_VALUE"""),0)</f>
        <v>0</v>
      </c>
      <c r="O661" s="8">
        <f>IFERROR(__xludf.DUMMYFUNCTION("""COMPUTED_VALUE"""),0)</f>
        <v>0</v>
      </c>
      <c r="P661" s="8"/>
      <c r="Q661" s="7"/>
      <c r="R661" s="16"/>
      <c r="S661" s="17"/>
      <c r="T661" s="8"/>
      <c r="U661" s="8"/>
      <c r="V661" s="22"/>
      <c r="W661" s="12"/>
      <c r="X661" s="12"/>
      <c r="Y661" s="12"/>
      <c r="Z661" s="12"/>
      <c r="AA661" s="7"/>
      <c r="AB661" s="12"/>
      <c r="AC661" s="6"/>
      <c r="AD661" s="6"/>
      <c r="AE661" s="7"/>
      <c r="AF661" s="7"/>
      <c r="AG661" s="7"/>
      <c r="AH661" s="7"/>
      <c r="AI661" s="7"/>
      <c r="AJ661" s="7"/>
      <c r="AK661" s="7"/>
      <c r="AL661" s="7"/>
      <c r="AM661" s="7"/>
      <c r="AN661" s="7"/>
      <c r="AO661" s="6"/>
      <c r="AP661" s="7"/>
      <c r="AQ661" s="7"/>
      <c r="AR661" s="6"/>
      <c r="AS661" s="7"/>
      <c r="AT661" s="7"/>
      <c r="AU661" s="7"/>
      <c r="AV661" s="7"/>
      <c r="AW661" s="7"/>
      <c r="AX661" s="7"/>
      <c r="AY661" s="7"/>
      <c r="AZ661" s="7"/>
      <c r="BA661" s="7"/>
      <c r="BB661" s="7"/>
      <c r="BC661" s="7"/>
      <c r="BD661" s="7"/>
      <c r="BE661" s="7"/>
      <c r="BF661" s="7"/>
      <c r="BG661" s="7"/>
    </row>
    <row r="662" customHeight="1" spans="1:59">
      <c r="A662" s="23" t="str">
        <f>IFERROR(__xludf.DUMMYFUNCTION("""COMPUTED_VALUE"""),"microTech 02")</f>
        <v>microTech 02</v>
      </c>
      <c r="B662" s="23" t="str">
        <f>IFERROR(__xludf.DUMMYFUNCTION("""COMPUTED_VALUE"""),"microTech 03")</f>
        <v>microTech 03</v>
      </c>
      <c r="C662" s="23" t="str">
        <f>IFERROR(__xludf.DUMMYFUNCTION("""COMPUTED_VALUE"""),"microTech 44")</f>
        <v>microTech 44</v>
      </c>
      <c r="D662" s="23" t="str">
        <f>IFERROR(__xludf.DUMMYFUNCTION("""COMPUTED_VALUE"""),"Port Tressler")</f>
        <v>Port Tressler</v>
      </c>
      <c r="E662" s="7" t="str">
        <f>IFERROR(__xludf.DUMMYFUNCTION("""COMPUTED_VALUE"""),"Tressler")</f>
        <v>Tressler</v>
      </c>
      <c r="F662" s="11">
        <f>IFERROR(__xludf.DUMMYFUNCTION("""COMPUTED_VALUE"""),561.471046150999)</f>
        <v>561.471046150999</v>
      </c>
      <c r="G662" s="11">
        <f>IFERROR(__xludf.DUMMYFUNCTION("""COMPUTED_VALUE"""),545.853017028999)</f>
        <v>545.853017028999</v>
      </c>
      <c r="H662" s="11">
        <f>IFERROR(__xludf.DUMMYFUNCTION("""COMPUTED_VALUE"""),808.831762530999)</f>
        <v>808.831762530999</v>
      </c>
      <c r="I662" s="15"/>
      <c r="J662" s="15"/>
      <c r="K662" s="15"/>
      <c r="L662" s="15"/>
      <c r="M662" s="7" t="b">
        <f>IFERROR(__xludf.DUMMYFUNCTION("""COMPUTED_VALUE"""),TRUE)</f>
        <v>1</v>
      </c>
      <c r="N662" s="8">
        <f>IFERROR(__xludf.DUMMYFUNCTION("""COMPUTED_VALUE"""),0)</f>
        <v>0</v>
      </c>
      <c r="O662" s="8">
        <f>IFERROR(__xludf.DUMMYFUNCTION("""COMPUTED_VALUE"""),0)</f>
        <v>0</v>
      </c>
      <c r="P662" s="8"/>
      <c r="Q662" s="7"/>
      <c r="R662" s="16"/>
      <c r="S662" s="17"/>
      <c r="T662" s="8"/>
      <c r="U662" s="8"/>
      <c r="V662" s="22"/>
      <c r="W662" s="12"/>
      <c r="X662" s="12"/>
      <c r="Y662" s="12"/>
      <c r="Z662" s="12"/>
      <c r="AA662" s="7"/>
      <c r="AB662" s="12"/>
      <c r="AC662" s="6"/>
      <c r="AD662" s="6"/>
      <c r="AE662" s="7"/>
      <c r="AF662" s="7"/>
      <c r="AG662" s="7"/>
      <c r="AH662" s="7"/>
      <c r="AI662" s="7"/>
      <c r="AJ662" s="7"/>
      <c r="AK662" s="7"/>
      <c r="AL662" s="7"/>
      <c r="AM662" s="7"/>
      <c r="AN662" s="7"/>
      <c r="AO662" s="6"/>
      <c r="AP662" s="7"/>
      <c r="AQ662" s="7"/>
      <c r="AR662" s="6"/>
      <c r="AS662" s="7"/>
      <c r="AT662" s="7"/>
      <c r="AU662" s="7"/>
      <c r="AV662" s="7"/>
      <c r="AW662" s="7"/>
      <c r="AX662" s="7"/>
      <c r="AY662" s="7"/>
      <c r="AZ662" s="7"/>
      <c r="BA662" s="7"/>
      <c r="BB662" s="7"/>
      <c r="BC662" s="7"/>
      <c r="BD662" s="7"/>
      <c r="BE662" s="7"/>
      <c r="BF662" s="7"/>
      <c r="BG662" s="7"/>
    </row>
    <row r="663" customHeight="1" spans="1:59">
      <c r="A663" s="23" t="str">
        <f>IFERROR(__xludf.DUMMYFUNCTION("""COMPUTED_VALUE"""),"microTech")</f>
        <v>microTech</v>
      </c>
      <c r="B663" s="23" t="str">
        <f>IFERROR(__xludf.DUMMYFUNCTION("""COMPUTED_VALUE"""),"microTech 05")</f>
        <v>microTech 05</v>
      </c>
      <c r="C663" s="23"/>
      <c r="D663" s="23" t="str">
        <f>IFERROR(__xludf.DUMMYFUNCTION("""COMPUTED_VALUE"""),"Trading Terminals")</f>
        <v>Trading Terminals</v>
      </c>
      <c r="E663" s="7"/>
      <c r="F663" s="11"/>
      <c r="G663" s="11"/>
      <c r="H663" s="11"/>
      <c r="I663" s="15"/>
      <c r="J663" s="15"/>
      <c r="K663" s="15"/>
      <c r="L663" s="15"/>
      <c r="M663" s="7"/>
      <c r="N663" s="8"/>
      <c r="O663" s="8"/>
      <c r="P663" s="8"/>
      <c r="Q663" s="7"/>
      <c r="R663" s="16"/>
      <c r="S663" s="17"/>
      <c r="T663" s="8"/>
      <c r="U663" s="8"/>
      <c r="V663" s="22"/>
      <c r="W663" s="12"/>
      <c r="X663" s="12"/>
      <c r="Y663" s="12"/>
      <c r="Z663" s="12"/>
      <c r="AA663" s="7"/>
      <c r="AB663" s="12"/>
      <c r="AC663" s="6"/>
      <c r="AD663" s="6"/>
      <c r="AE663" s="7"/>
      <c r="AF663" s="7"/>
      <c r="AG663" s="7"/>
      <c r="AH663" s="7"/>
      <c r="AI663" s="7"/>
      <c r="AJ663" s="7"/>
      <c r="AK663" s="7"/>
      <c r="AL663" s="7"/>
      <c r="AM663" s="7"/>
      <c r="AN663" s="7"/>
      <c r="AO663" s="6"/>
      <c r="AP663" s="7"/>
      <c r="AQ663" s="7"/>
      <c r="AR663" s="6"/>
      <c r="AS663" s="7"/>
      <c r="AT663" s="7"/>
      <c r="AU663" s="7"/>
      <c r="AV663" s="7"/>
      <c r="AW663" s="7"/>
      <c r="AX663" s="7"/>
      <c r="AY663" s="7"/>
      <c r="AZ663" s="7"/>
      <c r="BA663" s="7"/>
      <c r="BB663" s="7"/>
      <c r="BC663" s="7"/>
      <c r="BD663" s="7"/>
      <c r="BE663" s="7"/>
      <c r="BF663" s="7"/>
      <c r="BG663" s="7"/>
    </row>
    <row r="664" customHeight="1" spans="1:59">
      <c r="A664" s="23" t="str">
        <f>IFERROR(__xludf.DUMMYFUNCTION("""COMPUTED_VALUE"""),"microTech 03")</f>
        <v>microTech 03</v>
      </c>
      <c r="B664" s="23" t="str">
        <f>IFERROR(__xludf.DUMMYFUNCTION("""COMPUTED_VALUE"""),"microTech 06")</f>
        <v>microTech 06</v>
      </c>
      <c r="C664" s="23" t="str">
        <f>IFERROR(__xludf.DUMMYFUNCTION("""COMPUTED_VALUE"""),"microTech 90")</f>
        <v>microTech 90</v>
      </c>
      <c r="D664" s="23" t="str">
        <f>IFERROR(__xludf.DUMMYFUNCTION("""COMPUTED_VALUE"""),"Rayari Deltana Research Outpost (PB)")</f>
        <v>Rayari Deltana Research Outpost (PB)</v>
      </c>
      <c r="E664" s="7" t="str">
        <f>IFERROR(__xludf.DUMMYFUNCTION("""COMPUTED_VALUE"""),"Rayari Deltana")</f>
        <v>Rayari Deltana</v>
      </c>
      <c r="F664" s="11">
        <f>IFERROR(__xludf.DUMMYFUNCTION("""COMPUTED_VALUE"""),-693.909981009999)</f>
        <v>-693.909981009999</v>
      </c>
      <c r="G664" s="11">
        <f>IFERROR(__xludf.DUMMYFUNCTION("""COMPUTED_VALUE"""),-648.298794758999)</f>
        <v>-648.298794758999</v>
      </c>
      <c r="H664" s="11">
        <f>IFERROR(__xludf.DUMMYFUNCTION("""COMPUTED_VALUE"""),316.681366334)</f>
        <v>316.681366334</v>
      </c>
      <c r="I664" s="15"/>
      <c r="J664" s="15"/>
      <c r="K664" s="15"/>
      <c r="L664" s="15"/>
      <c r="M664" s="7" t="b">
        <f>IFERROR(__xludf.DUMMYFUNCTION("""COMPUTED_VALUE"""),TRUE)</f>
        <v>1</v>
      </c>
      <c r="N664" s="8">
        <f>IFERROR(__xludf.DUMMYFUNCTION("""COMPUTED_VALUE"""),0)</f>
        <v>0</v>
      </c>
      <c r="O664" s="8">
        <f>IFERROR(__xludf.DUMMYFUNCTION("""COMPUTED_VALUE"""),0)</f>
        <v>0</v>
      </c>
      <c r="P664" s="8"/>
      <c r="Q664" s="7"/>
      <c r="R664" s="16"/>
      <c r="S664" s="17"/>
      <c r="T664" s="8"/>
      <c r="U664" s="8"/>
      <c r="V664" s="22"/>
      <c r="W664" s="12"/>
      <c r="X664" s="12"/>
      <c r="Y664" s="12"/>
      <c r="Z664" s="12"/>
      <c r="AA664" s="7"/>
      <c r="AB664" s="12"/>
      <c r="AC664" s="6"/>
      <c r="AD664" s="6"/>
      <c r="AE664" s="7"/>
      <c r="AF664" s="7"/>
      <c r="AG664" s="7"/>
      <c r="AH664" s="7"/>
      <c r="AI664" s="7"/>
      <c r="AJ664" s="7"/>
      <c r="AK664" s="7"/>
      <c r="AL664" s="7"/>
      <c r="AM664" s="7"/>
      <c r="AN664" s="7"/>
      <c r="AO664" s="6"/>
      <c r="AP664" s="7"/>
      <c r="AQ664" s="7"/>
      <c r="AR664" s="6"/>
      <c r="AS664" s="7"/>
      <c r="AT664" s="7"/>
      <c r="AU664" s="7"/>
      <c r="AV664" s="7"/>
      <c r="AW664" s="7"/>
      <c r="AX664" s="7"/>
      <c r="AY664" s="7"/>
      <c r="AZ664" s="7"/>
      <c r="BA664" s="7"/>
      <c r="BB664" s="7"/>
      <c r="BC664" s="7"/>
      <c r="BD664" s="7"/>
      <c r="BE664" s="7"/>
      <c r="BF664" s="7"/>
      <c r="BG664" s="7"/>
    </row>
    <row r="665" customHeight="1" spans="1:59">
      <c r="A665" s="23" t="str">
        <f>IFERROR(__xludf.DUMMYFUNCTION("""COMPUTED_VALUE"""),"microTech 04")</f>
        <v>microTech 04</v>
      </c>
      <c r="B665" s="23" t="str">
        <f>IFERROR(__xludf.DUMMYFUNCTION("""COMPUTED_VALUE"""),"microTech 07")</f>
        <v>microTech 07</v>
      </c>
      <c r="C665" s="23" t="str">
        <f>IFERROR(__xludf.DUMMYFUNCTION("""COMPUTED_VALUE"""),"microTech 80")</f>
        <v>microTech 80</v>
      </c>
      <c r="D665" s="23" t="str">
        <f>IFERROR(__xludf.DUMMYFUNCTION("""COMPUTED_VALUE"""),"Shubin Mining Facility SM0-10 (PB)")</f>
        <v>Shubin Mining Facility SM0-10 (PB)</v>
      </c>
      <c r="E665" s="7" t="str">
        <f>IFERROR(__xludf.DUMMYFUNCTION("""COMPUTED_VALUE"""),"Shubin 10")</f>
        <v>Shubin 10</v>
      </c>
      <c r="F665" s="11">
        <f>IFERROR(__xludf.DUMMYFUNCTION("""COMPUTED_VALUE"""),85.476133747)</f>
        <v>85.476133747</v>
      </c>
      <c r="G665" s="11">
        <f>IFERROR(__xludf.DUMMYFUNCTION("""COMPUTED_VALUE"""),-950.855885394999)</f>
        <v>-950.855885394999</v>
      </c>
      <c r="H665" s="11">
        <f>IFERROR(__xludf.DUMMYFUNCTION("""COMPUTED_VALUE"""),298.799440766)</f>
        <v>298.799440766</v>
      </c>
      <c r="I665" s="15"/>
      <c r="J665" s="15"/>
      <c r="K665" s="15"/>
      <c r="L665" s="15"/>
      <c r="M665" s="7" t="b">
        <f>IFERROR(__xludf.DUMMYFUNCTION("""COMPUTED_VALUE"""),TRUE)</f>
        <v>1</v>
      </c>
      <c r="N665" s="8">
        <f>IFERROR(__xludf.DUMMYFUNCTION("""COMPUTED_VALUE"""),0)</f>
        <v>0</v>
      </c>
      <c r="O665" s="8">
        <f>IFERROR(__xludf.DUMMYFUNCTION("""COMPUTED_VALUE"""),0)</f>
        <v>0</v>
      </c>
      <c r="P665" s="8"/>
      <c r="Q665" s="7"/>
      <c r="R665" s="16"/>
      <c r="S665" s="17"/>
      <c r="T665" s="8"/>
      <c r="U665" s="8"/>
      <c r="V665" s="22"/>
      <c r="W665" s="12"/>
      <c r="X665" s="12"/>
      <c r="Y665" s="12"/>
      <c r="Z665" s="12"/>
      <c r="AA665" s="7"/>
      <c r="AB665" s="12"/>
      <c r="AC665" s="6"/>
      <c r="AD665" s="6"/>
      <c r="AE665" s="7"/>
      <c r="AF665" s="7"/>
      <c r="AG665" s="7"/>
      <c r="AH665" s="7"/>
      <c r="AI665" s="7"/>
      <c r="AJ665" s="7"/>
      <c r="AK665" s="7"/>
      <c r="AL665" s="7"/>
      <c r="AM665" s="7"/>
      <c r="AN665" s="7"/>
      <c r="AO665" s="6"/>
      <c r="AP665" s="7"/>
      <c r="AQ665" s="7"/>
      <c r="AR665" s="6"/>
      <c r="AS665" s="7"/>
      <c r="AT665" s="7"/>
      <c r="AU665" s="7"/>
      <c r="AV665" s="7"/>
      <c r="AW665" s="7"/>
      <c r="AX665" s="7"/>
      <c r="AY665" s="7"/>
      <c r="AZ665" s="7"/>
      <c r="BA665" s="7"/>
      <c r="BB665" s="7"/>
      <c r="BC665" s="7"/>
      <c r="BD665" s="7"/>
      <c r="BE665" s="7"/>
      <c r="BF665" s="7"/>
      <c r="BG665" s="7"/>
    </row>
    <row r="666" customHeight="1" spans="1:59">
      <c r="A666" s="23" t="str">
        <f>IFERROR(__xludf.DUMMYFUNCTION("""COMPUTED_VALUE"""),"microTech 05")</f>
        <v>microTech 05</v>
      </c>
      <c r="B666" s="23" t="str">
        <f>IFERROR(__xludf.DUMMYFUNCTION("""COMPUTED_VALUE"""),"microTech 08")</f>
        <v>microTech 08</v>
      </c>
      <c r="C666" s="23" t="str">
        <f>IFERROR(__xludf.DUMMYFUNCTION("""COMPUTED_VALUE"""),"microTech 85")</f>
        <v>microTech 85</v>
      </c>
      <c r="D666" s="23" t="str">
        <f>IFERROR(__xludf.DUMMYFUNCTION("""COMPUTED_VALUE"""),"Shubin Mining Facility SM0-13 (PB)")</f>
        <v>Shubin Mining Facility SM0-13 (PB)</v>
      </c>
      <c r="E666" s="7" t="str">
        <f>IFERROR(__xludf.DUMMYFUNCTION("""COMPUTED_VALUE"""),"Shubin 13")</f>
        <v>Shubin 13</v>
      </c>
      <c r="F666" s="11">
        <f>IFERROR(__xludf.DUMMYFUNCTION("""COMPUTED_VALUE"""),-172.818644799)</f>
        <v>-172.818644799</v>
      </c>
      <c r="G666" s="11">
        <f>IFERROR(__xludf.DUMMYFUNCTION("""COMPUTED_VALUE"""),-981.308336199)</f>
        <v>-981.308336199</v>
      </c>
      <c r="H666" s="11">
        <f>IFERROR(__xludf.DUMMYFUNCTION("""COMPUTED_VALUE"""),97.7671820489999)</f>
        <v>97.7671820489999</v>
      </c>
      <c r="I666" s="15"/>
      <c r="J666" s="15"/>
      <c r="K666" s="15"/>
      <c r="L666" s="15"/>
      <c r="M666" s="7" t="b">
        <f>IFERROR(__xludf.DUMMYFUNCTION("""COMPUTED_VALUE"""),TRUE)</f>
        <v>1</v>
      </c>
      <c r="N666" s="8">
        <f>IFERROR(__xludf.DUMMYFUNCTION("""COMPUTED_VALUE"""),0)</f>
        <v>0</v>
      </c>
      <c r="O666" s="8">
        <f>IFERROR(__xludf.DUMMYFUNCTION("""COMPUTED_VALUE"""),0)</f>
        <v>0</v>
      </c>
      <c r="P666" s="8"/>
      <c r="Q666" s="7"/>
      <c r="R666" s="16"/>
      <c r="S666" s="17"/>
      <c r="T666" s="8"/>
      <c r="U666" s="8"/>
      <c r="V666" s="22"/>
      <c r="W666" s="12"/>
      <c r="X666" s="12"/>
      <c r="Y666" s="12"/>
      <c r="Z666" s="12"/>
      <c r="AA666" s="7"/>
      <c r="AB666" s="12"/>
      <c r="AC666" s="6"/>
      <c r="AD666" s="6"/>
      <c r="AE666" s="7"/>
      <c r="AF666" s="7"/>
      <c r="AG666" s="7"/>
      <c r="AH666" s="7"/>
      <c r="AI666" s="7"/>
      <c r="AJ666" s="7"/>
      <c r="AK666" s="7"/>
      <c r="AL666" s="7"/>
      <c r="AM666" s="7"/>
      <c r="AN666" s="7"/>
      <c r="AO666" s="6"/>
      <c r="AP666" s="7"/>
      <c r="AQ666" s="7"/>
      <c r="AR666" s="6"/>
      <c r="AS666" s="7"/>
      <c r="AT666" s="7"/>
      <c r="AU666" s="7"/>
      <c r="AV666" s="7"/>
      <c r="AW666" s="7"/>
      <c r="AX666" s="7"/>
      <c r="AY666" s="7"/>
      <c r="AZ666" s="7"/>
      <c r="BA666" s="7"/>
      <c r="BB666" s="7"/>
      <c r="BC666" s="7"/>
      <c r="BD666" s="7"/>
      <c r="BE666" s="7"/>
      <c r="BF666" s="7"/>
      <c r="BG666" s="7"/>
    </row>
    <row r="667" customHeight="1" spans="1:59">
      <c r="A667" s="23" t="str">
        <f>IFERROR(__xludf.DUMMYFUNCTION("""COMPUTED_VALUE"""),"microTech 06")</f>
        <v>microTech 06</v>
      </c>
      <c r="B667" s="23" t="str">
        <f>IFERROR(__xludf.DUMMYFUNCTION("""COMPUTED_VALUE"""),"microTech 09")</f>
        <v>microTech 09</v>
      </c>
      <c r="C667" s="23" t="str">
        <f>IFERROR(__xludf.DUMMYFUNCTION("""COMPUTED_VALUE"""),"microTech 73")</f>
        <v>microTech 73</v>
      </c>
      <c r="D667" s="23" t="str">
        <f>IFERROR(__xludf.DUMMYFUNCTION("""COMPUTED_VALUE"""),"Shubin Mining Facility SM0-18 (PB)")</f>
        <v>Shubin Mining Facility SM0-18 (PB)</v>
      </c>
      <c r="E667" s="7" t="str">
        <f>IFERROR(__xludf.DUMMYFUNCTION("""COMPUTED_VALUE"""),"Shubin 18")</f>
        <v>Shubin 18</v>
      </c>
      <c r="F667" s="11">
        <f>IFERROR(__xludf.DUMMYFUNCTION("""COMPUTED_VALUE"""),920.210111885)</f>
        <v>920.210111885</v>
      </c>
      <c r="G667" s="11">
        <f>IFERROR(__xludf.DUMMYFUNCTION("""COMPUTED_VALUE"""),-389.541681947999)</f>
        <v>-389.541681947999</v>
      </c>
      <c r="H667" s="11">
        <f>IFERROR(__xludf.DUMMYFUNCTION("""COMPUTED_VALUE"""),43.8368626559999)</f>
        <v>43.8368626559999</v>
      </c>
      <c r="I667" s="15"/>
      <c r="J667" s="15"/>
      <c r="K667" s="15"/>
      <c r="L667" s="15"/>
      <c r="M667" s="7" t="b">
        <f>IFERROR(__xludf.DUMMYFUNCTION("""COMPUTED_VALUE"""),TRUE)</f>
        <v>1</v>
      </c>
      <c r="N667" s="8">
        <f>IFERROR(__xludf.DUMMYFUNCTION("""COMPUTED_VALUE"""),0)</f>
        <v>0</v>
      </c>
      <c r="O667" s="8">
        <f>IFERROR(__xludf.DUMMYFUNCTION("""COMPUTED_VALUE"""),0)</f>
        <v>0</v>
      </c>
      <c r="P667" s="8"/>
      <c r="Q667" s="7"/>
      <c r="R667" s="16"/>
      <c r="S667" s="17"/>
      <c r="T667" s="8"/>
      <c r="U667" s="8"/>
      <c r="V667" s="22"/>
      <c r="W667" s="12"/>
      <c r="X667" s="12"/>
      <c r="Y667" s="12"/>
      <c r="Z667" s="12"/>
      <c r="AA667" s="7"/>
      <c r="AB667" s="12"/>
      <c r="AC667" s="6"/>
      <c r="AD667" s="6"/>
      <c r="AE667" s="7"/>
      <c r="AF667" s="7"/>
      <c r="AG667" s="7"/>
      <c r="AH667" s="7"/>
      <c r="AI667" s="7"/>
      <c r="AJ667" s="7"/>
      <c r="AK667" s="7"/>
      <c r="AL667" s="7"/>
      <c r="AM667" s="7"/>
      <c r="AN667" s="7"/>
      <c r="AO667" s="6"/>
      <c r="AP667" s="7"/>
      <c r="AQ667" s="7"/>
      <c r="AR667" s="6"/>
      <c r="AS667" s="7"/>
      <c r="AT667" s="7"/>
      <c r="AU667" s="7"/>
      <c r="AV667" s="7"/>
      <c r="AW667" s="7"/>
      <c r="AX667" s="7"/>
      <c r="AY667" s="7"/>
      <c r="AZ667" s="7"/>
      <c r="BA667" s="7"/>
      <c r="BB667" s="7"/>
      <c r="BC667" s="7"/>
      <c r="BD667" s="7"/>
      <c r="BE667" s="7"/>
      <c r="BF667" s="7"/>
      <c r="BG667" s="7"/>
    </row>
    <row r="668" customHeight="1" spans="1:59">
      <c r="A668" s="23" t="str">
        <f>IFERROR(__xludf.DUMMYFUNCTION("""COMPUTED_VALUE"""),"microTech 07")</f>
        <v>microTech 07</v>
      </c>
      <c r="B668" s="23" t="str">
        <f>IFERROR(__xludf.DUMMYFUNCTION("""COMPUTED_VALUE"""),"microTech 10")</f>
        <v>microTech 10</v>
      </c>
      <c r="C668" s="23" t="str">
        <f>IFERROR(__xludf.DUMMYFUNCTION("""COMPUTED_VALUE"""),"microTech 81")</f>
        <v>microTech 81</v>
      </c>
      <c r="D668" s="23" t="str">
        <f>IFERROR(__xludf.DUMMYFUNCTION("""COMPUTED_VALUE"""),"Shubin Mining Facility SM0-22 (PB)")</f>
        <v>Shubin Mining Facility SM0-22 (PB)</v>
      </c>
      <c r="E668" s="7" t="str">
        <f>IFERROR(__xludf.DUMMYFUNCTION("""COMPUTED_VALUE"""),"Shubin 22")</f>
        <v>Shubin 22</v>
      </c>
      <c r="F668" s="11">
        <f>IFERROR(__xludf.DUMMYFUNCTION("""COMPUTED_VALUE"""),24.29854894)</f>
        <v>24.29854894</v>
      </c>
      <c r="G668" s="11">
        <f>IFERROR(__xludf.DUMMYFUNCTION("""COMPUTED_VALUE"""),-822.590691274998)</f>
        <v>-822.590691274998</v>
      </c>
      <c r="H668" s="11">
        <f>IFERROR(__xludf.DUMMYFUNCTION("""COMPUTED_VALUE"""),568.174190107999)</f>
        <v>568.174190107999</v>
      </c>
      <c r="I668" s="15"/>
      <c r="J668" s="15"/>
      <c r="K668" s="15"/>
      <c r="L668" s="15"/>
      <c r="M668" s="7" t="b">
        <f>IFERROR(__xludf.DUMMYFUNCTION("""COMPUTED_VALUE"""),TRUE)</f>
        <v>1</v>
      </c>
      <c r="N668" s="8">
        <f>IFERROR(__xludf.DUMMYFUNCTION("""COMPUTED_VALUE"""),0)</f>
        <v>0</v>
      </c>
      <c r="O668" s="8">
        <f>IFERROR(__xludf.DUMMYFUNCTION("""COMPUTED_VALUE"""),0)</f>
        <v>0</v>
      </c>
      <c r="P668" s="8"/>
      <c r="Q668" s="7"/>
      <c r="R668" s="16"/>
      <c r="S668" s="17"/>
      <c r="T668" s="8"/>
      <c r="U668" s="8"/>
      <c r="V668" s="22"/>
      <c r="W668" s="12"/>
      <c r="X668" s="12"/>
      <c r="Y668" s="12"/>
      <c r="Z668" s="12"/>
      <c r="AA668" s="7"/>
      <c r="AB668" s="12"/>
      <c r="AC668" s="6"/>
      <c r="AD668" s="6"/>
      <c r="AE668" s="7"/>
      <c r="AF668" s="7"/>
      <c r="AG668" s="7"/>
      <c r="AH668" s="7"/>
      <c r="AI668" s="7"/>
      <c r="AJ668" s="7"/>
      <c r="AK668" s="7"/>
      <c r="AL668" s="7"/>
      <c r="AM668" s="7"/>
      <c r="AN668" s="7"/>
      <c r="AO668" s="6"/>
      <c r="AP668" s="7"/>
      <c r="AQ668" s="7"/>
      <c r="AR668" s="6"/>
      <c r="AS668" s="7"/>
      <c r="AT668" s="7"/>
      <c r="AU668" s="7"/>
      <c r="AV668" s="7"/>
      <c r="AW668" s="7"/>
      <c r="AX668" s="7"/>
      <c r="AY668" s="7"/>
      <c r="AZ668" s="7"/>
      <c r="BA668" s="7"/>
      <c r="BB668" s="7"/>
      <c r="BC668" s="7"/>
      <c r="BD668" s="7"/>
      <c r="BE668" s="7"/>
      <c r="BF668" s="7"/>
      <c r="BG668" s="7"/>
    </row>
    <row r="669" customHeight="1" spans="1:59">
      <c r="A669" s="23" t="str">
        <f>IFERROR(__xludf.DUMMYFUNCTION("""COMPUTED_VALUE"""),"microTech 08")</f>
        <v>microTech 08</v>
      </c>
      <c r="B669" s="23" t="str">
        <f>IFERROR(__xludf.DUMMYFUNCTION("""COMPUTED_VALUE"""),"microTech 11")</f>
        <v>microTech 11</v>
      </c>
      <c r="C669" s="23" t="str">
        <f>IFERROR(__xludf.DUMMYFUNCTION("""COMPUTED_VALUE"""),"microTech 69")</f>
        <v>microTech 69</v>
      </c>
      <c r="D669" s="23" t="str">
        <f>IFERROR(__xludf.DUMMYFUNCTION("""COMPUTED_VALUE"""),"Raven's Roost")</f>
        <v>Raven's Roost</v>
      </c>
      <c r="E669" s="7" t="str">
        <f>IFERROR(__xludf.DUMMYFUNCTION("""COMPUTED_VALUE"""),"Raven's Roost")</f>
        <v>Raven's Roost</v>
      </c>
      <c r="F669" s="11">
        <f>IFERROR(__xludf.DUMMYFUNCTION("""COMPUTED_VALUE"""),355.903594579999)</f>
        <v>355.903594579999</v>
      </c>
      <c r="G669" s="11">
        <f>IFERROR(__xludf.DUMMYFUNCTION("""COMPUTED_VALUE"""),-75.593839481)</f>
        <v>-75.593839481</v>
      </c>
      <c r="H669" s="11">
        <f>IFERROR(__xludf.DUMMYFUNCTION("""COMPUTED_VALUE"""),932.64525482)</f>
        <v>932.64525482</v>
      </c>
      <c r="I669" s="15"/>
      <c r="J669" s="15"/>
      <c r="K669" s="15"/>
      <c r="L669" s="15"/>
      <c r="M669" s="7" t="b">
        <f>IFERROR(__xludf.DUMMYFUNCTION("""COMPUTED_VALUE"""),FALSE)</f>
        <v>0</v>
      </c>
      <c r="N669" s="8">
        <f>IFERROR(__xludf.DUMMYFUNCTION("""COMPUTED_VALUE"""),0)</f>
        <v>0</v>
      </c>
      <c r="O669" s="8">
        <f>IFERROR(__xludf.DUMMYFUNCTION("""COMPUTED_VALUE"""),0)</f>
        <v>0</v>
      </c>
      <c r="P669" s="8"/>
      <c r="Q669" s="7"/>
      <c r="R669" s="16"/>
      <c r="S669" s="17"/>
      <c r="T669" s="8"/>
      <c r="U669" s="8"/>
      <c r="V669" s="22"/>
      <c r="W669" s="12"/>
      <c r="X669" s="12"/>
      <c r="Y669" s="12"/>
      <c r="Z669" s="12"/>
      <c r="AA669" s="7"/>
      <c r="AB669" s="12"/>
      <c r="AC669" s="6"/>
      <c r="AD669" s="6"/>
      <c r="AE669" s="7"/>
      <c r="AF669" s="7"/>
      <c r="AG669" s="7"/>
      <c r="AH669" s="7"/>
      <c r="AI669" s="7"/>
      <c r="AJ669" s="7"/>
      <c r="AK669" s="7"/>
      <c r="AL669" s="7"/>
      <c r="AM669" s="7"/>
      <c r="AN669" s="7"/>
      <c r="AO669" s="6"/>
      <c r="AP669" s="7"/>
      <c r="AQ669" s="7"/>
      <c r="AR669" s="6"/>
      <c r="AS669" s="7"/>
      <c r="AT669" s="7"/>
      <c r="AU669" s="7"/>
      <c r="AV669" s="7"/>
      <c r="AW669" s="7"/>
      <c r="AX669" s="7"/>
      <c r="AY669" s="7"/>
      <c r="AZ669" s="7"/>
      <c r="BA669" s="7"/>
      <c r="BB669" s="7"/>
      <c r="BC669" s="7"/>
      <c r="BD669" s="7"/>
      <c r="BE669" s="7"/>
      <c r="BF669" s="7"/>
      <c r="BG669" s="7"/>
    </row>
    <row r="670" customHeight="1" spans="1:59">
      <c r="A670" s="23" t="str">
        <f>IFERROR(__xludf.DUMMYFUNCTION("""COMPUTED_VALUE"""),"microTech 09")</f>
        <v>microTech 09</v>
      </c>
      <c r="B670" s="23" t="str">
        <f>IFERROR(__xludf.DUMMYFUNCTION("""COMPUTED_VALUE"""),"microTech 12")</f>
        <v>microTech 12</v>
      </c>
      <c r="C670" s="23" t="str">
        <f>IFERROR(__xludf.DUMMYFUNCTION("""COMPUTED_VALUE"""),"microTech 79")</f>
        <v>microTech 79</v>
      </c>
      <c r="D670" s="23" t="str">
        <f>IFERROR(__xludf.DUMMYFUNCTION("""COMPUTED_VALUE"""),"Necropolis (Stash House)")</f>
        <v>Necropolis (Stash House)</v>
      </c>
      <c r="E670" s="7" t="str">
        <f>IFERROR(__xludf.DUMMYFUNCTION("""COMPUTED_VALUE"""),"Necropolis")</f>
        <v>Necropolis</v>
      </c>
      <c r="F670" s="11">
        <f>IFERROR(__xludf.DUMMYFUNCTION("""COMPUTED_VALUE"""),63.642723848)</f>
        <v>63.642723848</v>
      </c>
      <c r="G670" s="11">
        <f>IFERROR(__xludf.DUMMYFUNCTION("""COMPUTED_VALUE"""),-162.08523741)</f>
        <v>-162.08523741</v>
      </c>
      <c r="H670" s="11">
        <f>IFERROR(__xludf.DUMMYFUNCTION("""COMPUTED_VALUE"""),985.651018458)</f>
        <v>985.651018458</v>
      </c>
      <c r="I670" s="15"/>
      <c r="J670" s="15"/>
      <c r="K670" s="15"/>
      <c r="L670" s="15"/>
      <c r="M670" s="7" t="b">
        <f>IFERROR(__xludf.DUMMYFUNCTION("""COMPUTED_VALUE"""),TRUE)</f>
        <v>1</v>
      </c>
      <c r="N670" s="8">
        <f>IFERROR(__xludf.DUMMYFUNCTION("""COMPUTED_VALUE"""),0)</f>
        <v>0</v>
      </c>
      <c r="O670" s="8">
        <f>IFERROR(__xludf.DUMMYFUNCTION("""COMPUTED_VALUE"""),0)</f>
        <v>0</v>
      </c>
      <c r="P670" s="8"/>
      <c r="Q670" s="7"/>
      <c r="R670" s="16"/>
      <c r="S670" s="17"/>
      <c r="T670" s="8"/>
      <c r="U670" s="8"/>
      <c r="V670" s="22"/>
      <c r="W670" s="12"/>
      <c r="X670" s="12"/>
      <c r="Y670" s="12"/>
      <c r="Z670" s="12"/>
      <c r="AA670" s="7"/>
      <c r="AB670" s="12"/>
      <c r="AC670" s="6"/>
      <c r="AD670" s="6"/>
      <c r="AE670" s="7"/>
      <c r="AF670" s="7"/>
      <c r="AG670" s="7"/>
      <c r="AH670" s="7"/>
      <c r="AI670" s="7"/>
      <c r="AJ670" s="7"/>
      <c r="AK670" s="7"/>
      <c r="AL670" s="7"/>
      <c r="AM670" s="7"/>
      <c r="AN670" s="7"/>
      <c r="AO670" s="6"/>
      <c r="AP670" s="7"/>
      <c r="AQ670" s="7"/>
      <c r="AR670" s="6"/>
      <c r="AS670" s="7"/>
      <c r="AT670" s="7"/>
      <c r="AU670" s="7"/>
      <c r="AV670" s="7"/>
      <c r="AW670" s="7"/>
      <c r="AX670" s="7"/>
      <c r="AY670" s="7"/>
      <c r="AZ670" s="7"/>
      <c r="BA670" s="7"/>
      <c r="BB670" s="7"/>
      <c r="BC670" s="7"/>
      <c r="BD670" s="7"/>
      <c r="BE670" s="7"/>
      <c r="BF670" s="7"/>
      <c r="BG670" s="7"/>
    </row>
    <row r="671" customHeight="1" spans="1:59">
      <c r="A671" s="23" t="str">
        <f>IFERROR(__xludf.DUMMYFUNCTION("""COMPUTED_VALUE"""),"microTech 10")</f>
        <v>microTech 10</v>
      </c>
      <c r="B671" s="23" t="str">
        <f>IFERROR(__xludf.DUMMYFUNCTION("""COMPUTED_VALUE"""),"microTech 13")</f>
        <v>microTech 13</v>
      </c>
      <c r="C671" s="23" t="str">
        <f>IFERROR(__xludf.DUMMYFUNCTION("""COMPUTED_VALUE"""),"microTech 65")</f>
        <v>microTech 65</v>
      </c>
      <c r="D671" s="23" t="str">
        <f>IFERROR(__xludf.DUMMYFUNCTION("""COMPUTED_VALUE"""),"Outpost 54 (Stash House)")</f>
        <v>Outpost 54 (Stash House)</v>
      </c>
      <c r="E671" s="7" t="str">
        <f>IFERROR(__xludf.DUMMYFUNCTION("""COMPUTED_VALUE"""),"Outpost 54")</f>
        <v>Outpost 54</v>
      </c>
      <c r="F671" s="11">
        <f>IFERROR(__xludf.DUMMYFUNCTION("""COMPUTED_VALUE"""),113.566409472)</f>
        <v>113.566409472</v>
      </c>
      <c r="G671" s="11">
        <f>IFERROR(__xludf.DUMMYFUNCTION("""COMPUTED_VALUE"""),14.479383223)</f>
        <v>14.479383223</v>
      </c>
      <c r="H671" s="11">
        <f>IFERROR(__xludf.DUMMYFUNCTION("""COMPUTED_VALUE"""),-994.362778214)</f>
        <v>-994.362778214</v>
      </c>
      <c r="I671" s="15"/>
      <c r="J671" s="15"/>
      <c r="K671" s="15"/>
      <c r="L671" s="15"/>
      <c r="M671" s="7" t="b">
        <f>IFERROR(__xludf.DUMMYFUNCTION("""COMPUTED_VALUE"""),TRUE)</f>
        <v>1</v>
      </c>
      <c r="N671" s="8">
        <f>IFERROR(__xludf.DUMMYFUNCTION("""COMPUTED_VALUE"""),0)</f>
        <v>0</v>
      </c>
      <c r="O671" s="8">
        <f>IFERROR(__xludf.DUMMYFUNCTION("""COMPUTED_VALUE"""),0)</f>
        <v>0</v>
      </c>
      <c r="P671" s="8"/>
      <c r="Q671" s="7"/>
      <c r="R671" s="16"/>
      <c r="S671" s="17"/>
      <c r="T671" s="8"/>
      <c r="U671" s="8"/>
      <c r="V671" s="22"/>
      <c r="W671" s="12"/>
      <c r="X671" s="12"/>
      <c r="Y671" s="12"/>
      <c r="Z671" s="12"/>
      <c r="AA671" s="7"/>
      <c r="AB671" s="12"/>
      <c r="AC671" s="6"/>
      <c r="AD671" s="6"/>
      <c r="AE671" s="7"/>
      <c r="AF671" s="7"/>
      <c r="AG671" s="7"/>
      <c r="AH671" s="7"/>
      <c r="AI671" s="7"/>
      <c r="AJ671" s="7"/>
      <c r="AK671" s="7"/>
      <c r="AL671" s="7"/>
      <c r="AM671" s="7"/>
      <c r="AN671" s="7"/>
      <c r="AO671" s="6"/>
      <c r="AP671" s="7"/>
      <c r="AQ671" s="7"/>
      <c r="AR671" s="6"/>
      <c r="AS671" s="7"/>
      <c r="AT671" s="7"/>
      <c r="AU671" s="7"/>
      <c r="AV671" s="7"/>
      <c r="AW671" s="7"/>
      <c r="AX671" s="7"/>
      <c r="AY671" s="7"/>
      <c r="AZ671" s="7"/>
      <c r="BA671" s="7"/>
      <c r="BB671" s="7"/>
      <c r="BC671" s="7"/>
      <c r="BD671" s="7"/>
      <c r="BE671" s="7"/>
      <c r="BF671" s="7"/>
      <c r="BG671" s="7"/>
    </row>
    <row r="672" customHeight="1" spans="1:59">
      <c r="A672" s="23" t="str">
        <f>IFERROR(__xludf.DUMMYFUNCTION("""COMPUTED_VALUE"""),"microTech")</f>
        <v>microTech</v>
      </c>
      <c r="B672" s="23" t="str">
        <f>IFERROR(__xludf.DUMMYFUNCTION("""COMPUTED_VALUE"""),"microTech 15")</f>
        <v>microTech 15</v>
      </c>
      <c r="C672" s="23"/>
      <c r="D672" s="23" t="str">
        <f>IFERROR(__xludf.DUMMYFUNCTION("""COMPUTED_VALUE"""),"Underground Bunker Facilities")</f>
        <v>Underground Bunker Facilities</v>
      </c>
      <c r="E672" s="7"/>
      <c r="F672" s="11"/>
      <c r="G672" s="11"/>
      <c r="H672" s="11"/>
      <c r="I672" s="15"/>
      <c r="J672" s="15"/>
      <c r="K672" s="15"/>
      <c r="L672" s="15"/>
      <c r="M672" s="7"/>
      <c r="N672" s="8"/>
      <c r="O672" s="8"/>
      <c r="P672" s="8"/>
      <c r="Q672" s="7"/>
      <c r="R672" s="16"/>
      <c r="S672" s="17"/>
      <c r="T672" s="8"/>
      <c r="U672" s="8"/>
      <c r="V672" s="22"/>
      <c r="W672" s="12"/>
      <c r="X672" s="12"/>
      <c r="Y672" s="12"/>
      <c r="Z672" s="12"/>
      <c r="AA672" s="7"/>
      <c r="AB672" s="12"/>
      <c r="AC672" s="6"/>
      <c r="AD672" s="6"/>
      <c r="AE672" s="7"/>
      <c r="AF672" s="7"/>
      <c r="AG672" s="7"/>
      <c r="AH672" s="7"/>
      <c r="AI672" s="7"/>
      <c r="AJ672" s="7"/>
      <c r="AK672" s="7"/>
      <c r="AL672" s="7"/>
      <c r="AM672" s="7"/>
      <c r="AN672" s="7"/>
      <c r="AO672" s="6"/>
      <c r="AP672" s="7"/>
      <c r="AQ672" s="7"/>
      <c r="AR672" s="6"/>
      <c r="AS672" s="7"/>
      <c r="AT672" s="7"/>
      <c r="AU672" s="7"/>
      <c r="AV672" s="7"/>
      <c r="AW672" s="7"/>
      <c r="AX672" s="7"/>
      <c r="AY672" s="7"/>
      <c r="AZ672" s="7"/>
      <c r="BA672" s="7"/>
      <c r="BB672" s="7"/>
      <c r="BC672" s="7"/>
      <c r="BD672" s="7"/>
      <c r="BE672" s="7"/>
      <c r="BF672" s="7"/>
      <c r="BG672" s="7"/>
    </row>
    <row r="673" customHeight="1" spans="1:59">
      <c r="A673" s="23" t="str">
        <f>IFERROR(__xludf.DUMMYFUNCTION("""COMPUTED_VALUE"""),"microTech 11")</f>
        <v>microTech 11</v>
      </c>
      <c r="B673" s="23" t="str">
        <f>IFERROR(__xludf.DUMMYFUNCTION("""COMPUTED_VALUE"""),"microTech 16")</f>
        <v>microTech 16</v>
      </c>
      <c r="C673" s="23" t="str">
        <f>IFERROR(__xludf.DUMMYFUNCTION("""COMPUTED_VALUE"""),"microTech 63")</f>
        <v>microTech 63</v>
      </c>
      <c r="D673" s="23" t="str">
        <f>IFERROR(__xludf.DUMMYFUNCTION("""COMPUTED_VALUE"""),"MT DataCenter 2UB-RB9-5")</f>
        <v>MT DataCenter 2UB-RB9-5</v>
      </c>
      <c r="E673" s="7" t="str">
        <f>IFERROR(__xludf.DUMMYFUNCTION("""COMPUTED_VALUE"""),"DC 2UB")</f>
        <v>DC 2UB</v>
      </c>
      <c r="F673" s="11">
        <f>IFERROR(__xludf.DUMMYFUNCTION("""COMPUTED_VALUE"""),907.001926866)</f>
        <v>907.001926866</v>
      </c>
      <c r="G673" s="11">
        <f>IFERROR(__xludf.DUMMYFUNCTION("""COMPUTED_VALUE"""),139.908078669)</f>
        <v>139.908078669</v>
      </c>
      <c r="H673" s="11">
        <f>IFERROR(__xludf.DUMMYFUNCTION("""COMPUTED_VALUE"""),-397.662409549999)</f>
        <v>-397.662409549999</v>
      </c>
      <c r="I673" s="15"/>
      <c r="J673" s="15"/>
      <c r="K673" s="15"/>
      <c r="L673" s="15"/>
      <c r="M673" s="7" t="b">
        <f>IFERROR(__xludf.DUMMYFUNCTION("""COMPUTED_VALUE"""),TRUE)</f>
        <v>1</v>
      </c>
      <c r="N673" s="8">
        <f>IFERROR(__xludf.DUMMYFUNCTION("""COMPUTED_VALUE"""),0)</f>
        <v>0</v>
      </c>
      <c r="O673" s="8">
        <f>IFERROR(__xludf.DUMMYFUNCTION("""COMPUTED_VALUE"""),0)</f>
        <v>0</v>
      </c>
      <c r="P673" s="8"/>
      <c r="Q673" s="7"/>
      <c r="R673" s="16"/>
      <c r="S673" s="17"/>
      <c r="T673" s="8"/>
      <c r="U673" s="8"/>
      <c r="V673" s="22"/>
      <c r="W673" s="12"/>
      <c r="X673" s="12"/>
      <c r="Y673" s="12"/>
      <c r="Z673" s="12"/>
      <c r="AA673" s="7"/>
      <c r="AB673" s="12"/>
      <c r="AC673" s="6"/>
      <c r="AD673" s="6"/>
      <c r="AE673" s="7"/>
      <c r="AF673" s="7"/>
      <c r="AG673" s="7"/>
      <c r="AH673" s="7"/>
      <c r="AI673" s="7"/>
      <c r="AJ673" s="7"/>
      <c r="AK673" s="7"/>
      <c r="AL673" s="7"/>
      <c r="AM673" s="7"/>
      <c r="AN673" s="7"/>
      <c r="AO673" s="6"/>
      <c r="AP673" s="7"/>
      <c r="AQ673" s="7"/>
      <c r="AR673" s="6"/>
      <c r="AS673" s="7"/>
      <c r="AT673" s="7"/>
      <c r="AU673" s="7"/>
      <c r="AV673" s="7"/>
      <c r="AW673" s="7"/>
      <c r="AX673" s="7"/>
      <c r="AY673" s="7"/>
      <c r="AZ673" s="7"/>
      <c r="BA673" s="7"/>
      <c r="BB673" s="7"/>
      <c r="BC673" s="7"/>
      <c r="BD673" s="7"/>
      <c r="BE673" s="7"/>
      <c r="BF673" s="7"/>
      <c r="BG673" s="7"/>
    </row>
    <row r="674" customHeight="1" spans="1:59">
      <c r="A674" s="23" t="str">
        <f>IFERROR(__xludf.DUMMYFUNCTION("""COMPUTED_VALUE"""),"microTech 12")</f>
        <v>microTech 12</v>
      </c>
      <c r="B674" s="23" t="str">
        <f>IFERROR(__xludf.DUMMYFUNCTION("""COMPUTED_VALUE"""),"microTech 17")</f>
        <v>microTech 17</v>
      </c>
      <c r="C674" s="23" t="str">
        <f>IFERROR(__xludf.DUMMYFUNCTION("""COMPUTED_VALUE"""),"microTech 37")</f>
        <v>microTech 37</v>
      </c>
      <c r="D674" s="23" t="str">
        <f>IFERROR(__xludf.DUMMYFUNCTION("""COMPUTED_VALUE"""),"MT DataCenter 4HJ-LVE-A")</f>
        <v>MT DataCenter 4HJ-LVE-A</v>
      </c>
      <c r="E674" s="7" t="str">
        <f>IFERROR(__xludf.DUMMYFUNCTION("""COMPUTED_VALUE"""),"DC 4HJ")</f>
        <v>DC 4HJ</v>
      </c>
      <c r="F674" s="11">
        <f>IFERROR(__xludf.DUMMYFUNCTION("""COMPUTED_VALUE"""),-100.841420526999)</f>
        <v>-100.841420526999</v>
      </c>
      <c r="G674" s="11">
        <f>IFERROR(__xludf.DUMMYFUNCTION("""COMPUTED_VALUE"""),962.406628046)</f>
        <v>962.406628046</v>
      </c>
      <c r="H674" s="11">
        <f>IFERROR(__xludf.DUMMYFUNCTION("""COMPUTED_VALUE"""),-255.721361148)</f>
        <v>-255.721361148</v>
      </c>
      <c r="I674" s="15"/>
      <c r="J674" s="15"/>
      <c r="K674" s="15"/>
      <c r="L674" s="15"/>
      <c r="M674" s="7" t="b">
        <f>IFERROR(__xludf.DUMMYFUNCTION("""COMPUTED_VALUE"""),TRUE)</f>
        <v>1</v>
      </c>
      <c r="N674" s="8">
        <f>IFERROR(__xludf.DUMMYFUNCTION("""COMPUTED_VALUE"""),0)</f>
        <v>0</v>
      </c>
      <c r="O674" s="8">
        <f>IFERROR(__xludf.DUMMYFUNCTION("""COMPUTED_VALUE"""),0)</f>
        <v>0</v>
      </c>
      <c r="P674" s="8"/>
      <c r="Q674" s="7"/>
      <c r="R674" s="16"/>
      <c r="S674" s="17"/>
      <c r="T674" s="8"/>
      <c r="U674" s="8"/>
      <c r="V674" s="22"/>
      <c r="W674" s="12"/>
      <c r="X674" s="12"/>
      <c r="Y674" s="12"/>
      <c r="Z674" s="12"/>
      <c r="AA674" s="9"/>
      <c r="AB674" s="12"/>
      <c r="AC674" s="6"/>
      <c r="AD674" s="6"/>
      <c r="AE674" s="7"/>
      <c r="AF674" s="7"/>
      <c r="AG674" s="7"/>
      <c r="AH674" s="7"/>
      <c r="AI674" s="7"/>
      <c r="AJ674" s="7"/>
      <c r="AK674" s="7"/>
      <c r="AL674" s="7"/>
      <c r="AM674" s="7"/>
      <c r="AN674" s="7"/>
      <c r="AO674" s="6"/>
      <c r="AP674" s="7"/>
      <c r="AQ674" s="7"/>
      <c r="AR674" s="6"/>
      <c r="AS674" s="7"/>
      <c r="AT674" s="7"/>
      <c r="AU674" s="7"/>
      <c r="AV674" s="7"/>
      <c r="AW674" s="7"/>
      <c r="AX674" s="7"/>
      <c r="AY674" s="7"/>
      <c r="AZ674" s="7"/>
      <c r="BA674" s="7"/>
      <c r="BB674" s="7"/>
      <c r="BC674" s="7"/>
      <c r="BD674" s="7"/>
      <c r="BE674" s="7"/>
      <c r="BF674" s="7"/>
      <c r="BG674" s="7"/>
    </row>
    <row r="675" customHeight="1" spans="1:59">
      <c r="A675" s="23" t="str">
        <f>IFERROR(__xludf.DUMMYFUNCTION("""COMPUTED_VALUE"""),"microTech 13")</f>
        <v>microTech 13</v>
      </c>
      <c r="B675" s="23" t="str">
        <f>IFERROR(__xludf.DUMMYFUNCTION("""COMPUTED_VALUE"""),"microTech 18")</f>
        <v>microTech 18</v>
      </c>
      <c r="C675" s="23" t="str">
        <f>IFERROR(__xludf.DUMMYFUNCTION("""COMPUTED_VALUE"""),"microTech 66")</f>
        <v>microTech 66</v>
      </c>
      <c r="D675" s="23" t="str">
        <f>IFERROR(__xludf.DUMMYFUNCTION("""COMPUTED_VALUE"""),"MT DataCenter 5WQ-R2V-C")</f>
        <v>MT DataCenter 5WQ-R2V-C</v>
      </c>
      <c r="E675" s="7" t="str">
        <f>IFERROR(__xludf.DUMMYFUNCTION("""COMPUTED_VALUE"""),"DC 5WQ")</f>
        <v>DC 5WQ</v>
      </c>
      <c r="F675" s="11">
        <f>IFERROR(__xludf.DUMMYFUNCTION("""COMPUTED_VALUE"""),959.880006009)</f>
        <v>959.880006009</v>
      </c>
      <c r="G675" s="11">
        <f>IFERROR(__xludf.DUMMYFUNCTION("""COMPUTED_VALUE"""),40.2947158029998)</f>
        <v>40.2947158029998</v>
      </c>
      <c r="H675" s="11">
        <f>IFERROR(__xludf.DUMMYFUNCTION("""COMPUTED_VALUE"""),-279.073290281999)</f>
        <v>-279.073290281999</v>
      </c>
      <c r="I675" s="15"/>
      <c r="J675" s="15"/>
      <c r="K675" s="15"/>
      <c r="L675" s="15"/>
      <c r="M675" s="7" t="b">
        <f>IFERROR(__xludf.DUMMYFUNCTION("""COMPUTED_VALUE"""),TRUE)</f>
        <v>1</v>
      </c>
      <c r="N675" s="8">
        <f>IFERROR(__xludf.DUMMYFUNCTION("""COMPUTED_VALUE"""),0)</f>
        <v>0</v>
      </c>
      <c r="O675" s="8">
        <f>IFERROR(__xludf.DUMMYFUNCTION("""COMPUTED_VALUE"""),0)</f>
        <v>0</v>
      </c>
      <c r="P675" s="8"/>
      <c r="Q675" s="7"/>
      <c r="R675" s="16"/>
      <c r="S675" s="17"/>
      <c r="T675" s="8"/>
      <c r="U675" s="8"/>
      <c r="V675" s="22"/>
      <c r="W675" s="12"/>
      <c r="X675" s="12"/>
      <c r="Y675" s="12"/>
      <c r="Z675" s="12"/>
      <c r="AA675" s="9"/>
      <c r="AB675" s="12"/>
      <c r="AC675" s="6"/>
      <c r="AD675" s="6"/>
      <c r="AE675" s="7"/>
      <c r="AF675" s="7"/>
      <c r="AG675" s="7"/>
      <c r="AH675" s="7"/>
      <c r="AI675" s="7"/>
      <c r="AJ675" s="7"/>
      <c r="AK675" s="7"/>
      <c r="AL675" s="7"/>
      <c r="AM675" s="7"/>
      <c r="AN675" s="7"/>
      <c r="AO675" s="6"/>
      <c r="AP675" s="7"/>
      <c r="AQ675" s="7"/>
      <c r="AR675" s="6"/>
      <c r="AS675" s="7"/>
      <c r="AT675" s="7"/>
      <c r="AU675" s="7"/>
      <c r="AV675" s="7"/>
      <c r="AW675" s="7"/>
      <c r="AX675" s="7"/>
      <c r="AY675" s="7"/>
      <c r="AZ675" s="7"/>
      <c r="BA675" s="7"/>
      <c r="BB675" s="7"/>
      <c r="BC675" s="7"/>
      <c r="BD675" s="7"/>
      <c r="BE675" s="7"/>
      <c r="BF675" s="7"/>
      <c r="BG675" s="7"/>
    </row>
    <row r="676" customHeight="1" spans="1:59">
      <c r="A676" s="23" t="str">
        <f>IFERROR(__xludf.DUMMYFUNCTION("""COMPUTED_VALUE"""),"microTech 14")</f>
        <v>microTech 14</v>
      </c>
      <c r="B676" s="23" t="str">
        <f>IFERROR(__xludf.DUMMYFUNCTION("""COMPUTED_VALUE"""),"microTech 19")</f>
        <v>microTech 19</v>
      </c>
      <c r="C676" s="23" t="str">
        <f>IFERROR(__xludf.DUMMYFUNCTION("""COMPUTED_VALUE"""),"microTech 64")</f>
        <v>microTech 64</v>
      </c>
      <c r="D676" s="23" t="str">
        <f>IFERROR(__xludf.DUMMYFUNCTION("""COMPUTED_VALUE"""),"MT DataCenter 8FK-Q2X-K")</f>
        <v>MT DataCenter 8FK-Q2X-K</v>
      </c>
      <c r="E676" s="7" t="str">
        <f>IFERROR(__xludf.DUMMYFUNCTION("""COMPUTED_VALUE"""),"DC 8FK")</f>
        <v>DC 8FK</v>
      </c>
      <c r="F676" s="11">
        <f>IFERROR(__xludf.DUMMYFUNCTION("""COMPUTED_VALUE"""),22.3972399909999)</f>
        <v>22.3972399909999</v>
      </c>
      <c r="G676" s="11">
        <f>IFERROR(__xludf.DUMMYFUNCTION("""COMPUTED_VALUE"""),2.904963732)</f>
        <v>2.904963732</v>
      </c>
      <c r="H676" s="11">
        <f>IFERROR(__xludf.DUMMYFUNCTION("""COMPUTED_VALUE"""),-1000.724867091)</f>
        <v>-1000.724867091</v>
      </c>
      <c r="I676" s="15"/>
      <c r="J676" s="15"/>
      <c r="K676" s="15"/>
      <c r="L676" s="15"/>
      <c r="M676" s="7" t="b">
        <f>IFERROR(__xludf.DUMMYFUNCTION("""COMPUTED_VALUE"""),TRUE)</f>
        <v>1</v>
      </c>
      <c r="N676" s="8">
        <f>IFERROR(__xludf.DUMMYFUNCTION("""COMPUTED_VALUE"""),0)</f>
        <v>0</v>
      </c>
      <c r="O676" s="8">
        <f>IFERROR(__xludf.DUMMYFUNCTION("""COMPUTED_VALUE"""),0)</f>
        <v>0</v>
      </c>
      <c r="P676" s="8"/>
      <c r="Q676" s="7"/>
      <c r="R676" s="16"/>
      <c r="S676" s="17"/>
      <c r="T676" s="8"/>
      <c r="U676" s="8"/>
      <c r="V676" s="22"/>
      <c r="W676" s="12"/>
      <c r="X676" s="12"/>
      <c r="Y676" s="12"/>
      <c r="Z676" s="12"/>
      <c r="AA676" s="9"/>
      <c r="AB676" s="12"/>
      <c r="AC676" s="6"/>
      <c r="AD676" s="6"/>
      <c r="AE676" s="7"/>
      <c r="AF676" s="7"/>
      <c r="AG676" s="7"/>
      <c r="AH676" s="7"/>
      <c r="AI676" s="7"/>
      <c r="AJ676" s="7"/>
      <c r="AK676" s="7"/>
      <c r="AL676" s="7"/>
      <c r="AM676" s="7"/>
      <c r="AN676" s="7"/>
      <c r="AO676" s="6"/>
      <c r="AP676" s="7"/>
      <c r="AQ676" s="7"/>
      <c r="AR676" s="6"/>
      <c r="AS676" s="7"/>
      <c r="AT676" s="7"/>
      <c r="AU676" s="7"/>
      <c r="AV676" s="7"/>
      <c r="AW676" s="7"/>
      <c r="AX676" s="7"/>
      <c r="AY676" s="7"/>
      <c r="AZ676" s="7"/>
      <c r="BA676" s="7"/>
      <c r="BB676" s="7"/>
      <c r="BC676" s="7"/>
      <c r="BD676" s="7"/>
      <c r="BE676" s="7"/>
      <c r="BF676" s="7"/>
      <c r="BG676" s="7"/>
    </row>
    <row r="677" customHeight="1" spans="1:59">
      <c r="A677" s="23" t="str">
        <f>IFERROR(__xludf.DUMMYFUNCTION("""COMPUTED_VALUE"""),"microTech 15")</f>
        <v>microTech 15</v>
      </c>
      <c r="B677" s="23" t="str">
        <f>IFERROR(__xludf.DUMMYFUNCTION("""COMPUTED_VALUE"""),"microTech 20")</f>
        <v>microTech 20</v>
      </c>
      <c r="C677" s="23" t="str">
        <f>IFERROR(__xludf.DUMMYFUNCTION("""COMPUTED_VALUE"""),"microTech 41")</f>
        <v>microTech 41</v>
      </c>
      <c r="D677" s="23" t="str">
        <f>IFERROR(__xludf.DUMMYFUNCTION("""COMPUTED_VALUE"""),"MT DataCenter D79-ECG-R")</f>
        <v>MT DataCenter D79-ECG-R</v>
      </c>
      <c r="E677" s="7" t="str">
        <f>IFERROR(__xludf.DUMMYFUNCTION("""COMPUTED_VALUE"""),"DC D79")</f>
        <v>DC D79</v>
      </c>
      <c r="F677" s="11">
        <f>IFERROR(__xludf.DUMMYFUNCTION("""COMPUTED_VALUE"""),200.928137781)</f>
        <v>200.928137781</v>
      </c>
      <c r="G677" s="11">
        <f>IFERROR(__xludf.DUMMYFUNCTION("""COMPUTED_VALUE"""),308.739605014999)</f>
        <v>308.739605014999</v>
      </c>
      <c r="H677" s="11">
        <f>IFERROR(__xludf.DUMMYFUNCTION("""COMPUTED_VALUE"""),-929.820080088)</f>
        <v>-929.820080088</v>
      </c>
      <c r="I677" s="15"/>
      <c r="J677" s="15"/>
      <c r="K677" s="15"/>
      <c r="L677" s="15"/>
      <c r="M677" s="7" t="b">
        <f>IFERROR(__xludf.DUMMYFUNCTION("""COMPUTED_VALUE"""),TRUE)</f>
        <v>1</v>
      </c>
      <c r="N677" s="8">
        <f>IFERROR(__xludf.DUMMYFUNCTION("""COMPUTED_VALUE"""),0)</f>
        <v>0</v>
      </c>
      <c r="O677" s="8">
        <f>IFERROR(__xludf.DUMMYFUNCTION("""COMPUTED_VALUE"""),0)</f>
        <v>0</v>
      </c>
      <c r="P677" s="8"/>
      <c r="Q677" s="7"/>
      <c r="R677" s="16"/>
      <c r="S677" s="17"/>
      <c r="T677" s="8"/>
      <c r="U677" s="8"/>
      <c r="V677" s="22"/>
      <c r="W677" s="12"/>
      <c r="X677" s="12"/>
      <c r="Y677" s="12"/>
      <c r="Z677" s="12"/>
      <c r="AA677" s="9"/>
      <c r="AB677" s="12"/>
      <c r="AC677" s="6"/>
      <c r="AD677" s="6"/>
      <c r="AE677" s="7"/>
      <c r="AF677" s="7"/>
      <c r="AG677" s="7"/>
      <c r="AH677" s="7"/>
      <c r="AI677" s="7"/>
      <c r="AJ677" s="7"/>
      <c r="AK677" s="7"/>
      <c r="AL677" s="7"/>
      <c r="AM677" s="7"/>
      <c r="AN677" s="7"/>
      <c r="AO677" s="6"/>
      <c r="AP677" s="7"/>
      <c r="AQ677" s="7"/>
      <c r="AR677" s="6"/>
      <c r="AS677" s="7"/>
      <c r="AT677" s="7"/>
      <c r="AU677" s="7"/>
      <c r="AV677" s="7"/>
      <c r="AW677" s="7"/>
      <c r="AX677" s="7"/>
      <c r="AY677" s="7"/>
      <c r="AZ677" s="7"/>
      <c r="BA677" s="7"/>
      <c r="BB677" s="7"/>
      <c r="BC677" s="7"/>
      <c r="BD677" s="7"/>
      <c r="BE677" s="7"/>
      <c r="BF677" s="7"/>
      <c r="BG677" s="7"/>
    </row>
    <row r="678" customHeight="1" spans="1:59">
      <c r="A678" s="23" t="str">
        <f>IFERROR(__xludf.DUMMYFUNCTION("""COMPUTED_VALUE"""),"microTech 16")</f>
        <v>microTech 16</v>
      </c>
      <c r="B678" s="23" t="str">
        <f>IFERROR(__xludf.DUMMYFUNCTION("""COMPUTED_VALUE"""),"microTech 21")</f>
        <v>microTech 21</v>
      </c>
      <c r="C678" s="23" t="str">
        <f>IFERROR(__xludf.DUMMYFUNCTION("""COMPUTED_VALUE"""),"microTech 62")</f>
        <v>microTech 62</v>
      </c>
      <c r="D678" s="23" t="str">
        <f>IFERROR(__xludf.DUMMYFUNCTION("""COMPUTED_VALUE"""),"MT DataCenter E2Q-NSG-Y")</f>
        <v>MT DataCenter E2Q-NSG-Y</v>
      </c>
      <c r="E678" s="7" t="str">
        <f>IFERROR(__xludf.DUMMYFUNCTION("""COMPUTED_VALUE"""),"DC E2Q")</f>
        <v>DC E2Q</v>
      </c>
      <c r="F678" s="8">
        <f>IFERROR(__xludf.DUMMYFUNCTION("""COMPUTED_VALUE"""),916.831795390999)</f>
        <v>916.831795390999</v>
      </c>
      <c r="G678" s="8">
        <f>IFERROR(__xludf.DUMMYFUNCTION("""COMPUTED_VALUE"""),187.159489357999)</f>
        <v>187.159489357999</v>
      </c>
      <c r="H678" s="24">
        <f>IFERROR(__xludf.DUMMYFUNCTION("""COMPUTED_VALUE"""),-354.144106525)</f>
        <v>-354.144106525</v>
      </c>
      <c r="I678" s="27"/>
      <c r="J678" s="27"/>
      <c r="K678" s="27"/>
      <c r="L678" s="27"/>
      <c r="M678" s="7" t="b">
        <f>IFERROR(__xludf.DUMMYFUNCTION("""COMPUTED_VALUE"""),TRUE)</f>
        <v>1</v>
      </c>
      <c r="N678" s="8">
        <f>IFERROR(__xludf.DUMMYFUNCTION("""COMPUTED_VALUE"""),0)</f>
        <v>0</v>
      </c>
      <c r="O678" s="8">
        <f>IFERROR(__xludf.DUMMYFUNCTION("""COMPUTED_VALUE"""),0)</f>
        <v>0</v>
      </c>
      <c r="P678" s="8"/>
      <c r="Q678" s="7"/>
      <c r="R678" s="16"/>
      <c r="S678" s="17"/>
      <c r="T678" s="8"/>
      <c r="U678" s="8"/>
      <c r="V678" s="22"/>
      <c r="W678" s="12"/>
      <c r="X678" s="12"/>
      <c r="Y678" s="12"/>
      <c r="Z678" s="12"/>
      <c r="AA678" s="9"/>
      <c r="AB678" s="12"/>
      <c r="AC678" s="6"/>
      <c r="AD678" s="6"/>
      <c r="AE678" s="7"/>
      <c r="AF678" s="7"/>
      <c r="AG678" s="7"/>
      <c r="AH678" s="7"/>
      <c r="AI678" s="7"/>
      <c r="AJ678" s="7"/>
      <c r="AK678" s="7"/>
      <c r="AL678" s="7"/>
      <c r="AM678" s="7"/>
      <c r="AN678" s="7"/>
      <c r="AO678" s="6"/>
      <c r="AP678" s="7"/>
      <c r="AQ678" s="7"/>
      <c r="AR678" s="6"/>
      <c r="AS678" s="7"/>
      <c r="AT678" s="7"/>
      <c r="AU678" s="7"/>
      <c r="AV678" s="7"/>
      <c r="AW678" s="7"/>
      <c r="AX678" s="7"/>
      <c r="AY678" s="7"/>
      <c r="AZ678" s="7"/>
      <c r="BA678" s="7"/>
      <c r="BB678" s="7"/>
      <c r="BC678" s="7"/>
      <c r="BD678" s="7"/>
      <c r="BE678" s="7"/>
      <c r="BF678" s="7"/>
      <c r="BG678" s="7"/>
    </row>
    <row r="679" customHeight="1" spans="1:59">
      <c r="A679" s="23" t="str">
        <f>IFERROR(__xludf.DUMMYFUNCTION("""COMPUTED_VALUE"""),"microTech 17")</f>
        <v>microTech 17</v>
      </c>
      <c r="B679" s="23" t="str">
        <f>IFERROR(__xludf.DUMMYFUNCTION("""COMPUTED_VALUE"""),"microTech 22")</f>
        <v>microTech 22</v>
      </c>
      <c r="C679" s="23" t="str">
        <f>IFERROR(__xludf.DUMMYFUNCTION("""COMPUTED_VALUE"""),"microTech 29")</f>
        <v>microTech 29</v>
      </c>
      <c r="D679" s="23" t="str">
        <f>IFERROR(__xludf.DUMMYFUNCTION("""COMPUTED_VALUE"""),"MT DataCenter KH3-AAE-L")</f>
        <v>MT DataCenter KH3-AAE-L</v>
      </c>
      <c r="E679" s="7" t="str">
        <f>IFERROR(__xludf.DUMMYFUNCTION("""COMPUTED_VALUE"""),"DC KH3")</f>
        <v>DC KH3</v>
      </c>
      <c r="F679" s="8">
        <f>IFERROR(__xludf.DUMMYFUNCTION("""COMPUTED_VALUE"""),-468.928187746)</f>
        <v>-468.928187746</v>
      </c>
      <c r="G679" s="8">
        <f>IFERROR(__xludf.DUMMYFUNCTION("""COMPUTED_VALUE"""),801.472605984)</f>
        <v>801.472605984</v>
      </c>
      <c r="H679" s="24">
        <f>IFERROR(__xludf.DUMMYFUNCTION("""COMPUTED_VALUE"""),-375.315782979)</f>
        <v>-375.315782979</v>
      </c>
      <c r="I679" s="27"/>
      <c r="J679" s="27"/>
      <c r="K679" s="27"/>
      <c r="L679" s="27"/>
      <c r="M679" s="7" t="b">
        <f>IFERROR(__xludf.DUMMYFUNCTION("""COMPUTED_VALUE"""),TRUE)</f>
        <v>1</v>
      </c>
      <c r="N679" s="8"/>
      <c r="O679" s="8"/>
      <c r="P679" s="8"/>
      <c r="Q679" s="7"/>
      <c r="R679" s="16"/>
      <c r="S679" s="17"/>
      <c r="T679" s="8"/>
      <c r="U679" s="8"/>
      <c r="V679" s="22"/>
      <c r="W679" s="12"/>
      <c r="X679" s="12"/>
      <c r="Y679" s="12"/>
      <c r="Z679" s="12"/>
      <c r="AA679" s="9"/>
      <c r="AB679" s="12"/>
      <c r="AC679" s="6"/>
      <c r="AD679" s="6"/>
      <c r="AE679" s="7"/>
      <c r="AF679" s="7"/>
      <c r="AG679" s="7"/>
      <c r="AH679" s="7"/>
      <c r="AI679" s="7"/>
      <c r="AJ679" s="7"/>
      <c r="AK679" s="7"/>
      <c r="AL679" s="7"/>
      <c r="AM679" s="7"/>
      <c r="AN679" s="7"/>
      <c r="AO679" s="6"/>
      <c r="AP679" s="7"/>
      <c r="AQ679" s="7"/>
      <c r="AR679" s="6"/>
      <c r="AS679" s="7"/>
      <c r="AT679" s="7"/>
      <c r="AU679" s="7"/>
      <c r="AV679" s="7"/>
      <c r="AW679" s="7"/>
      <c r="AX679" s="7"/>
      <c r="AY679" s="7"/>
      <c r="AZ679" s="7"/>
      <c r="BA679" s="7"/>
      <c r="BB679" s="7"/>
      <c r="BC679" s="7"/>
      <c r="BD679" s="7"/>
      <c r="BE679" s="7"/>
      <c r="BF679" s="7"/>
      <c r="BG679" s="7"/>
    </row>
    <row r="680" customHeight="1" spans="1:59">
      <c r="A680" s="23" t="str">
        <f>IFERROR(__xludf.DUMMYFUNCTION("""COMPUTED_VALUE"""),"microTech 18")</f>
        <v>microTech 18</v>
      </c>
      <c r="B680" s="23" t="str">
        <f>IFERROR(__xludf.DUMMYFUNCTION("""COMPUTED_VALUE"""),"microTech 23")</f>
        <v>microTech 23</v>
      </c>
      <c r="C680" s="23" t="str">
        <f>IFERROR(__xludf.DUMMYFUNCTION("""COMPUTED_VALUE"""),"microTech 32")</f>
        <v>microTech 32</v>
      </c>
      <c r="D680" s="23" t="str">
        <f>IFERROR(__xludf.DUMMYFUNCTION("""COMPUTED_VALUE"""),"MT DataCenter L8P-JUC-8")</f>
        <v>MT DataCenter L8P-JUC-8</v>
      </c>
      <c r="E680" s="7" t="str">
        <f>IFERROR(__xludf.DUMMYFUNCTION("""COMPUTED_VALUE"""),"DC L8P")</f>
        <v>DC L8P</v>
      </c>
      <c r="F680" s="8">
        <f>IFERROR(__xludf.DUMMYFUNCTION("""COMPUTED_VALUE"""),-86.563453194)</f>
        <v>-86.563453194</v>
      </c>
      <c r="G680" s="8">
        <f>IFERROR(__xludf.DUMMYFUNCTION("""COMPUTED_VALUE"""),218.55998655)</f>
        <v>218.55998655</v>
      </c>
      <c r="H680" s="24">
        <f>IFERROR(__xludf.DUMMYFUNCTION("""COMPUTED_VALUE"""),-972.069793889999)</f>
        <v>-972.069793889999</v>
      </c>
      <c r="I680" s="27"/>
      <c r="J680" s="27"/>
      <c r="K680" s="27"/>
      <c r="L680" s="27"/>
      <c r="M680" s="7" t="b">
        <f>IFERROR(__xludf.DUMMYFUNCTION("""COMPUTED_VALUE"""),TRUE)</f>
        <v>1</v>
      </c>
      <c r="N680" s="8"/>
      <c r="O680" s="8"/>
      <c r="P680" s="8"/>
      <c r="Q680" s="7"/>
      <c r="R680" s="16"/>
      <c r="S680" s="17"/>
      <c r="T680" s="8"/>
      <c r="U680" s="8"/>
      <c r="V680" s="22"/>
      <c r="W680" s="12"/>
      <c r="X680" s="12"/>
      <c r="Y680" s="12"/>
      <c r="Z680" s="12"/>
      <c r="AA680" s="9"/>
      <c r="AB680" s="12"/>
      <c r="AC680" s="6"/>
      <c r="AD680" s="6"/>
      <c r="AE680" s="7"/>
      <c r="AF680" s="7"/>
      <c r="AG680" s="7"/>
      <c r="AH680" s="7"/>
      <c r="AI680" s="7"/>
      <c r="AJ680" s="7"/>
      <c r="AK680" s="7"/>
      <c r="AL680" s="7"/>
      <c r="AM680" s="7"/>
      <c r="AN680" s="7"/>
      <c r="AO680" s="6"/>
      <c r="AP680" s="7"/>
      <c r="AQ680" s="7"/>
      <c r="AR680" s="6"/>
      <c r="AS680" s="7"/>
      <c r="AT680" s="7"/>
      <c r="AU680" s="7"/>
      <c r="AV680" s="7"/>
      <c r="AW680" s="7"/>
      <c r="AX680" s="7"/>
      <c r="AY680" s="7"/>
      <c r="AZ680" s="7"/>
      <c r="BA680" s="7"/>
      <c r="BB680" s="7"/>
      <c r="BC680" s="7"/>
      <c r="BD680" s="7"/>
      <c r="BE680" s="7"/>
      <c r="BF680" s="7"/>
      <c r="BG680" s="7"/>
    </row>
    <row r="681" customHeight="1" spans="1:59">
      <c r="A681" s="23" t="str">
        <f>IFERROR(__xludf.DUMMYFUNCTION("""COMPUTED_VALUE"""),"microTech 19")</f>
        <v>microTech 19</v>
      </c>
      <c r="B681" s="23" t="str">
        <f>IFERROR(__xludf.DUMMYFUNCTION("""COMPUTED_VALUE"""),"microTech 24")</f>
        <v>microTech 24</v>
      </c>
      <c r="C681" s="23" t="str">
        <f>IFERROR(__xludf.DUMMYFUNCTION("""COMPUTED_VALUE"""),"microTech 33")</f>
        <v>microTech 33</v>
      </c>
      <c r="D681" s="23" t="str">
        <f>IFERROR(__xludf.DUMMYFUNCTION("""COMPUTED_VALUE"""),"MT DataCenter QVX-J88-J")</f>
        <v>MT DataCenter QVX-J88-J</v>
      </c>
      <c r="E681" s="7" t="str">
        <f>IFERROR(__xludf.DUMMYFUNCTION("""COMPUTED_VALUE"""),"DC QVX")</f>
        <v>DC QVX</v>
      </c>
      <c r="F681" s="8">
        <f>IFERROR(__xludf.DUMMYFUNCTION("""COMPUTED_VALUE"""),-247.944541911)</f>
        <v>-247.944541911</v>
      </c>
      <c r="G681" s="8">
        <f>IFERROR(__xludf.DUMMYFUNCTION("""COMPUTED_VALUE"""),892.69862661)</f>
        <v>892.69862661</v>
      </c>
      <c r="H681" s="24">
        <f>IFERROR(__xludf.DUMMYFUNCTION("""COMPUTED_VALUE"""),-379.677863927)</f>
        <v>-379.677863927</v>
      </c>
      <c r="I681" s="27"/>
      <c r="J681" s="27"/>
      <c r="K681" s="27"/>
      <c r="L681" s="27"/>
      <c r="M681" s="7" t="b">
        <f>IFERROR(__xludf.DUMMYFUNCTION("""COMPUTED_VALUE"""),TRUE)</f>
        <v>1</v>
      </c>
      <c r="N681" s="8">
        <f>IFERROR(__xludf.DUMMYFUNCTION("""COMPUTED_VALUE"""),0)</f>
        <v>0</v>
      </c>
      <c r="O681" s="8">
        <f>IFERROR(__xludf.DUMMYFUNCTION("""COMPUTED_VALUE"""),0)</f>
        <v>0</v>
      </c>
      <c r="P681" s="10"/>
      <c r="Q681" s="6"/>
      <c r="R681" s="16"/>
      <c r="S681" s="17"/>
      <c r="T681" s="10"/>
      <c r="U681" s="10"/>
      <c r="V681" s="22"/>
      <c r="W681" s="12"/>
      <c r="X681" s="12"/>
      <c r="Y681" s="12"/>
      <c r="Z681" s="12"/>
      <c r="AA681" s="6"/>
      <c r="AB681" s="12"/>
      <c r="AC681" s="6"/>
      <c r="AD681" s="6"/>
      <c r="AE681" s="7"/>
      <c r="AF681" s="7"/>
      <c r="AG681" s="7"/>
      <c r="AH681" s="7"/>
      <c r="AI681" s="7"/>
      <c r="AJ681" s="7"/>
      <c r="AK681" s="7"/>
      <c r="AL681" s="7"/>
      <c r="AM681" s="7"/>
      <c r="AN681" s="7"/>
      <c r="AO681" s="6"/>
      <c r="AP681" s="7"/>
      <c r="AQ681" s="7"/>
      <c r="AR681" s="6"/>
      <c r="AS681" s="6"/>
      <c r="AT681" s="6"/>
      <c r="AU681" s="6"/>
      <c r="AV681" s="6"/>
      <c r="AW681" s="6"/>
      <c r="AX681" s="6"/>
      <c r="AY681" s="6"/>
      <c r="AZ681" s="6"/>
      <c r="BA681" s="6"/>
      <c r="BB681" s="6"/>
      <c r="BC681" s="6"/>
      <c r="BD681" s="6"/>
      <c r="BE681" s="6"/>
      <c r="BF681" s="6"/>
      <c r="BG681" s="6"/>
    </row>
    <row r="682" customHeight="1" spans="1:59">
      <c r="A682" s="23" t="str">
        <f>IFERROR(__xludf.DUMMYFUNCTION("""COMPUTED_VALUE"""),"microTech 20")</f>
        <v>microTech 20</v>
      </c>
      <c r="B682" s="23" t="str">
        <f>IFERROR(__xludf.DUMMYFUNCTION("""COMPUTED_VALUE"""),"microTech 25")</f>
        <v>microTech 25</v>
      </c>
      <c r="C682" s="23" t="str">
        <f>IFERROR(__xludf.DUMMYFUNCTION("""COMPUTED_VALUE"""),"microTech 01")</f>
        <v>microTech 01</v>
      </c>
      <c r="D682" s="23" t="str">
        <f>IFERROR(__xludf.DUMMYFUNCTION("""COMPUTED_VALUE"""),"MT DataCenter TMG-XEV-2")</f>
        <v>MT DataCenter TMG-XEV-2</v>
      </c>
      <c r="E682" s="7" t="str">
        <f>IFERROR(__xludf.DUMMYFUNCTION("""COMPUTED_VALUE"""),"DC TMG")</f>
        <v>DC TMG</v>
      </c>
      <c r="F682" s="8">
        <f>IFERROR(__xludf.DUMMYFUNCTION("""COMPUTED_VALUE"""),-160.991677441999)</f>
        <v>-160.991677441999</v>
      </c>
      <c r="G682" s="8">
        <f>IFERROR(__xludf.DUMMYFUNCTION("""COMPUTED_VALUE"""),62.4419799809999)</f>
        <v>62.4419799809999</v>
      </c>
      <c r="H682" s="24">
        <f>IFERROR(__xludf.DUMMYFUNCTION("""COMPUTED_VALUE"""),985.997622497)</f>
        <v>985.997622497</v>
      </c>
      <c r="I682" s="27"/>
      <c r="J682" s="27"/>
      <c r="K682" s="27"/>
      <c r="L682" s="27"/>
      <c r="M682" s="7" t="b">
        <f>IFERROR(__xludf.DUMMYFUNCTION("""COMPUTED_VALUE"""),TRUE)</f>
        <v>1</v>
      </c>
      <c r="N682" s="8">
        <f>IFERROR(__xludf.DUMMYFUNCTION("""COMPUTED_VALUE"""),0)</f>
        <v>0</v>
      </c>
      <c r="O682" s="8">
        <f>IFERROR(__xludf.DUMMYFUNCTION("""COMPUTED_VALUE"""),0)</f>
        <v>0</v>
      </c>
      <c r="P682" s="10"/>
      <c r="Q682" s="6"/>
      <c r="R682" s="16"/>
      <c r="S682" s="17"/>
      <c r="T682" s="10"/>
      <c r="U682" s="10"/>
      <c r="V682" s="22"/>
      <c r="W682" s="12"/>
      <c r="X682" s="12"/>
      <c r="Y682" s="12"/>
      <c r="Z682" s="12"/>
      <c r="AA682" s="6"/>
      <c r="AB682" s="12"/>
      <c r="AC682" s="6"/>
      <c r="AD682" s="6"/>
      <c r="AE682" s="7"/>
      <c r="AF682" s="7"/>
      <c r="AG682" s="7"/>
      <c r="AH682" s="7"/>
      <c r="AI682" s="7"/>
      <c r="AJ682" s="7"/>
      <c r="AK682" s="7"/>
      <c r="AL682" s="7"/>
      <c r="AM682" s="7"/>
      <c r="AN682" s="7"/>
      <c r="AO682" s="6"/>
      <c r="AP682" s="7"/>
      <c r="AQ682" s="7"/>
      <c r="AR682" s="6"/>
      <c r="AS682" s="6"/>
      <c r="AT682" s="6"/>
      <c r="AU682" s="6"/>
      <c r="AV682" s="6"/>
      <c r="AW682" s="6"/>
      <c r="AX682" s="6"/>
      <c r="AY682" s="6"/>
      <c r="AZ682" s="6"/>
      <c r="BA682" s="6"/>
      <c r="BB682" s="6"/>
      <c r="BC682" s="6"/>
      <c r="BD682" s="6"/>
      <c r="BE682" s="6"/>
      <c r="BF682" s="6"/>
      <c r="BG682" s="6"/>
    </row>
    <row r="683" customHeight="1" spans="1:59">
      <c r="A683" s="23" t="str">
        <f>IFERROR(__xludf.DUMMYFUNCTION("""COMPUTED_VALUE"""),"microTech 21")</f>
        <v>microTech 21</v>
      </c>
      <c r="B683" s="23" t="str">
        <f>IFERROR(__xludf.DUMMYFUNCTION("""COMPUTED_VALUE"""),"microTech 26")</f>
        <v>microTech 26</v>
      </c>
      <c r="C683" s="23" t="str">
        <f>IFERROR(__xludf.DUMMYFUNCTION("""COMPUTED_VALUE"""),"microTech 45")</f>
        <v>microTech 45</v>
      </c>
      <c r="D683" s="23" t="str">
        <f>IFERROR(__xludf.DUMMYFUNCTION("""COMPUTED_VALUE"""),"MT OpCenter LTI-4")</f>
        <v>MT OpCenter LTI-4</v>
      </c>
      <c r="E683" s="7" t="str">
        <f>IFERROR(__xludf.DUMMYFUNCTION("""COMPUTED_VALUE"""),"OpCtr LTI-4")</f>
        <v>OpCtr LTI-4</v>
      </c>
      <c r="F683" s="8">
        <f>IFERROR(__xludf.DUMMYFUNCTION("""COMPUTED_VALUE"""),68.3643821809999)</f>
        <v>68.3643821809999</v>
      </c>
      <c r="G683" s="8">
        <f>IFERROR(__xludf.DUMMYFUNCTION("""COMPUTED_VALUE"""),64.2762099499999)</f>
        <v>64.2762099499999</v>
      </c>
      <c r="H683" s="24">
        <f>IFERROR(__xludf.DUMMYFUNCTION("""COMPUTED_VALUE"""),-996.489556525)</f>
        <v>-996.489556525</v>
      </c>
      <c r="I683" s="27"/>
      <c r="J683" s="27"/>
      <c r="K683" s="27"/>
      <c r="L683" s="27"/>
      <c r="M683" s="7" t="b">
        <f>IFERROR(__xludf.DUMMYFUNCTION("""COMPUTED_VALUE"""),TRUE)</f>
        <v>1</v>
      </c>
      <c r="N683" s="8"/>
      <c r="O683" s="8"/>
      <c r="P683" s="10"/>
      <c r="Q683" s="6"/>
      <c r="R683" s="16"/>
      <c r="S683" s="17"/>
      <c r="T683" s="10"/>
      <c r="U683" s="10"/>
      <c r="V683" s="22"/>
      <c r="W683" s="12"/>
      <c r="X683" s="12"/>
      <c r="Y683" s="12"/>
      <c r="Z683" s="12"/>
      <c r="AA683" s="6"/>
      <c r="AB683" s="12"/>
      <c r="AC683" s="6"/>
      <c r="AD683" s="6"/>
      <c r="AE683" s="7"/>
      <c r="AF683" s="7"/>
      <c r="AG683" s="7"/>
      <c r="AH683" s="7"/>
      <c r="AI683" s="7"/>
      <c r="AJ683" s="7"/>
      <c r="AK683" s="7"/>
      <c r="AL683" s="7"/>
      <c r="AM683" s="7"/>
      <c r="AN683" s="7"/>
      <c r="AO683" s="6"/>
      <c r="AP683" s="7"/>
      <c r="AQ683" s="7"/>
      <c r="AR683" s="6"/>
      <c r="AS683" s="6"/>
      <c r="AT683" s="6"/>
      <c r="AU683" s="6"/>
      <c r="AV683" s="6"/>
      <c r="AW683" s="6"/>
      <c r="AX683" s="6"/>
      <c r="AY683" s="6"/>
      <c r="AZ683" s="6"/>
      <c r="BA683" s="6"/>
      <c r="BB683" s="6"/>
      <c r="BC683" s="6"/>
      <c r="BD683" s="6"/>
      <c r="BE683" s="6"/>
      <c r="BF683" s="6"/>
      <c r="BG683" s="6"/>
    </row>
    <row r="684" customHeight="1" spans="1:59">
      <c r="A684" s="23" t="str">
        <f>IFERROR(__xludf.DUMMYFUNCTION("""COMPUTED_VALUE"""),"microTech")</f>
        <v>microTech</v>
      </c>
      <c r="B684" s="23" t="str">
        <f>IFERROR(__xludf.DUMMYFUNCTION("""COMPUTED_VALUE"""),"microTech 28")</f>
        <v>microTech 28</v>
      </c>
      <c r="C684" s="23"/>
      <c r="D684" s="23" t="str">
        <f>IFERROR(__xludf.DUMMYFUNCTION("""COMPUTED_VALUE"""),"Emergency Shelters")</f>
        <v>Emergency Shelters</v>
      </c>
      <c r="E684" s="7"/>
      <c r="F684" s="8"/>
      <c r="G684" s="8"/>
      <c r="H684" s="24"/>
      <c r="I684" s="27"/>
      <c r="J684" s="27"/>
      <c r="K684" s="27"/>
      <c r="L684" s="27"/>
      <c r="M684" s="7"/>
      <c r="N684" s="8"/>
      <c r="O684" s="8"/>
      <c r="P684" s="10"/>
      <c r="Q684" s="6"/>
      <c r="R684" s="16"/>
      <c r="S684" s="17"/>
      <c r="T684" s="10"/>
      <c r="U684" s="10"/>
      <c r="V684" s="22"/>
      <c r="W684" s="12"/>
      <c r="X684" s="12"/>
      <c r="Y684" s="12"/>
      <c r="Z684" s="12"/>
      <c r="AA684" s="6"/>
      <c r="AB684" s="12"/>
      <c r="AC684" s="6"/>
      <c r="AD684" s="6"/>
      <c r="AE684" s="7"/>
      <c r="AF684" s="7"/>
      <c r="AG684" s="7"/>
      <c r="AH684" s="7"/>
      <c r="AI684" s="7"/>
      <c r="AJ684" s="7"/>
      <c r="AK684" s="7"/>
      <c r="AL684" s="7"/>
      <c r="AM684" s="7"/>
      <c r="AN684" s="7"/>
      <c r="AO684" s="6"/>
      <c r="AP684" s="7"/>
      <c r="AQ684" s="7"/>
      <c r="AR684" s="6"/>
      <c r="AS684" s="6"/>
      <c r="AT684" s="6"/>
      <c r="AU684" s="6"/>
      <c r="AV684" s="6"/>
      <c r="AW684" s="6"/>
      <c r="AX684" s="6"/>
      <c r="AY684" s="6"/>
      <c r="AZ684" s="6"/>
      <c r="BA684" s="6"/>
      <c r="BB684" s="6"/>
      <c r="BC684" s="6"/>
      <c r="BD684" s="6"/>
      <c r="BE684" s="6"/>
      <c r="BF684" s="6"/>
      <c r="BG684" s="6"/>
    </row>
    <row r="685" customHeight="1" spans="1:59">
      <c r="A685" s="23" t="str">
        <f>IFERROR(__xludf.DUMMYFUNCTION("""COMPUTED_VALUE"""),"microTech 22")</f>
        <v>microTech 22</v>
      </c>
      <c r="B685" s="23" t="str">
        <f>IFERROR(__xludf.DUMMYFUNCTION("""COMPUTED_VALUE"""),"microTech 29")</f>
        <v>microTech 29</v>
      </c>
      <c r="C685" s="23" t="str">
        <f>IFERROR(__xludf.DUMMYFUNCTION("""COMPUTED_VALUE"""),"microTech 72")</f>
        <v>microTech 72</v>
      </c>
      <c r="D685" s="23" t="str">
        <f>IFERROR(__xludf.DUMMYFUNCTION("""COMPUTED_VALUE"""),"Calhoun Pass Emergency Shelter")</f>
        <v>Calhoun Pass Emergency Shelter</v>
      </c>
      <c r="E685" s="7" t="str">
        <f>IFERROR(__xludf.DUMMYFUNCTION("""COMPUTED_VALUE"""),"Calhoun Pass")</f>
        <v>Calhoun Pass</v>
      </c>
      <c r="F685" s="24">
        <f>IFERROR(__xludf.DUMMYFUNCTION("""COMPUTED_VALUE"""),938.116231367)</f>
        <v>938.116231367</v>
      </c>
      <c r="G685" s="8">
        <f>IFERROR(__xludf.DUMMYFUNCTION("""COMPUTED_VALUE"""),-347.817930592)</f>
        <v>-347.817930592</v>
      </c>
      <c r="H685" s="24">
        <f>IFERROR(__xludf.DUMMYFUNCTION("""COMPUTED_VALUE"""),31.707663433)</f>
        <v>31.707663433</v>
      </c>
      <c r="I685" s="27"/>
      <c r="J685" s="27"/>
      <c r="K685" s="27"/>
      <c r="L685" s="27"/>
      <c r="M685" s="7" t="b">
        <f>IFERROR(__xludf.DUMMYFUNCTION("""COMPUTED_VALUE"""),TRUE)</f>
        <v>1</v>
      </c>
      <c r="N685" s="8">
        <f>IFERROR(__xludf.DUMMYFUNCTION("""COMPUTED_VALUE"""),0)</f>
        <v>0</v>
      </c>
      <c r="O685" s="8">
        <f>IFERROR(__xludf.DUMMYFUNCTION("""COMPUTED_VALUE"""),0)</f>
        <v>0</v>
      </c>
      <c r="P685" s="10"/>
      <c r="Q685" s="6"/>
      <c r="R685" s="16"/>
      <c r="S685" s="17"/>
      <c r="T685" s="10"/>
      <c r="U685" s="10"/>
      <c r="V685" s="22"/>
      <c r="W685" s="12"/>
      <c r="X685" s="12"/>
      <c r="Y685" s="12"/>
      <c r="Z685" s="12"/>
      <c r="AA685" s="6"/>
      <c r="AB685" s="12"/>
      <c r="AC685" s="6"/>
      <c r="AD685" s="6"/>
      <c r="AE685" s="7"/>
      <c r="AF685" s="7"/>
      <c r="AG685" s="7"/>
      <c r="AH685" s="7"/>
      <c r="AI685" s="7"/>
      <c r="AJ685" s="7"/>
      <c r="AK685" s="7"/>
      <c r="AL685" s="7"/>
      <c r="AM685" s="7"/>
      <c r="AN685" s="7"/>
      <c r="AO685" s="6"/>
      <c r="AP685" s="7"/>
      <c r="AQ685" s="7"/>
      <c r="AR685" s="6"/>
      <c r="AS685" s="6"/>
      <c r="AT685" s="6"/>
      <c r="AU685" s="6"/>
      <c r="AV685" s="6"/>
      <c r="AW685" s="6"/>
      <c r="AX685" s="6"/>
      <c r="AY685" s="6"/>
      <c r="AZ685" s="6"/>
      <c r="BA685" s="6"/>
      <c r="BB685" s="6"/>
      <c r="BC685" s="6"/>
      <c r="BD685" s="6"/>
      <c r="BE685" s="6"/>
      <c r="BF685" s="6"/>
      <c r="BG685" s="6"/>
    </row>
    <row r="686" customHeight="1" spans="1:59">
      <c r="A686" s="9" t="str">
        <f>IFERROR(__xludf.DUMMYFUNCTION("""COMPUTED_VALUE"""),"microTech 23")</f>
        <v>microTech 23</v>
      </c>
      <c r="B686" s="5" t="str">
        <f>IFERROR(__xludf.DUMMYFUNCTION("""COMPUTED_VALUE"""),"microTech 30")</f>
        <v>microTech 30</v>
      </c>
      <c r="C686" s="5" t="str">
        <f>IFERROR(__xludf.DUMMYFUNCTION("""COMPUTED_VALUE"""),"microTech 86")</f>
        <v>microTech 86</v>
      </c>
      <c r="D686" s="5" t="str">
        <f>IFERROR(__xludf.DUMMYFUNCTION("""COMPUTED_VALUE"""),"Clear View Emergency Shelter")</f>
        <v>Clear View Emergency Shelter</v>
      </c>
      <c r="E686" s="7" t="str">
        <f>IFERROR(__xludf.DUMMYFUNCTION("""COMPUTED_VALUE"""),"Clear View")</f>
        <v>Clear View</v>
      </c>
      <c r="F686" s="10">
        <f>IFERROR(__xludf.DUMMYFUNCTION("""COMPUTED_VALUE"""),-609.561071826)</f>
        <v>-609.561071826</v>
      </c>
      <c r="G686" s="10">
        <f>IFERROR(__xludf.DUMMYFUNCTION("""COMPUTED_VALUE"""),-688.363323031999)</f>
        <v>-688.363323031999</v>
      </c>
      <c r="H686" s="10">
        <f>IFERROR(__xludf.DUMMYFUNCTION("""COMPUTED_VALUE"""),393.203256016)</f>
        <v>393.203256016</v>
      </c>
      <c r="I686" s="13"/>
      <c r="J686" s="13"/>
      <c r="K686" s="13"/>
      <c r="L686" s="13"/>
      <c r="M686" s="7" t="b">
        <f>IFERROR(__xludf.DUMMYFUNCTION("""COMPUTED_VALUE"""),TRUE)</f>
        <v>1</v>
      </c>
      <c r="N686" s="10">
        <f>IFERROR(__xludf.DUMMYFUNCTION("""COMPUTED_VALUE"""),0)</f>
        <v>0</v>
      </c>
      <c r="O686" s="10">
        <f>IFERROR(__xludf.DUMMYFUNCTION("""COMPUTED_VALUE"""),0)</f>
        <v>0</v>
      </c>
      <c r="P686" s="10"/>
      <c r="Q686" s="6"/>
      <c r="R686" s="16"/>
      <c r="S686" s="17"/>
      <c r="T686" s="10"/>
      <c r="U686" s="10"/>
      <c r="V686" s="22"/>
      <c r="W686" s="12"/>
      <c r="X686" s="12"/>
      <c r="Y686" s="12"/>
      <c r="Z686" s="12"/>
      <c r="AA686" s="6"/>
      <c r="AB686" s="12"/>
      <c r="AC686" s="6"/>
      <c r="AD686" s="6"/>
      <c r="AE686" s="7"/>
      <c r="AF686" s="7"/>
      <c r="AG686" s="7"/>
      <c r="AH686" s="7"/>
      <c r="AI686" s="7"/>
      <c r="AJ686" s="7"/>
      <c r="AK686" s="7"/>
      <c r="AL686" s="7"/>
      <c r="AM686" s="7"/>
      <c r="AN686" s="7"/>
      <c r="AO686" s="6"/>
      <c r="AP686" s="7"/>
      <c r="AQ686" s="7"/>
      <c r="AR686" s="6"/>
      <c r="AS686" s="6"/>
      <c r="AT686" s="6"/>
      <c r="AU686" s="6"/>
      <c r="AV686" s="6"/>
      <c r="AW686" s="6"/>
      <c r="AX686" s="6"/>
      <c r="AY686" s="6"/>
      <c r="AZ686" s="6"/>
      <c r="BA686" s="6"/>
      <c r="BB686" s="6"/>
      <c r="BC686" s="6"/>
      <c r="BD686" s="6"/>
      <c r="BE686" s="6"/>
      <c r="BF686" s="6"/>
      <c r="BG686" s="6"/>
    </row>
    <row r="687" customHeight="1" spans="1:59">
      <c r="A687" s="9" t="str">
        <f>IFERROR(__xludf.DUMMYFUNCTION("""COMPUTED_VALUE"""),"microTech 24")</f>
        <v>microTech 24</v>
      </c>
      <c r="B687" s="5" t="str">
        <f>IFERROR(__xludf.DUMMYFUNCTION("""COMPUTED_VALUE"""),"microTech 31")</f>
        <v>microTech 31</v>
      </c>
      <c r="C687" s="5" t="str">
        <f>IFERROR(__xludf.DUMMYFUNCTION("""COMPUTED_VALUE"""),"microTech 71")</f>
        <v>microTech 71</v>
      </c>
      <c r="D687" s="5" t="str">
        <f>IFERROR(__xludf.DUMMYFUNCTION("""COMPUTED_VALUE"""),"Nuiqsut Emergency Shelter")</f>
        <v>Nuiqsut Emergency Shelter</v>
      </c>
      <c r="E687" s="7" t="str">
        <f>IFERROR(__xludf.DUMMYFUNCTION("""COMPUTED_VALUE"""),"Nuiqsut")</f>
        <v>Nuiqsut</v>
      </c>
      <c r="F687" s="10">
        <f>IFERROR(__xludf.DUMMYFUNCTION("""COMPUTED_VALUE"""),750.612869081999)</f>
        <v>750.612869081999</v>
      </c>
      <c r="G687" s="10">
        <f>IFERROR(__xludf.DUMMYFUNCTION("""COMPUTED_VALUE"""),-207.851592111)</f>
        <v>-207.851592111</v>
      </c>
      <c r="H687" s="10">
        <f>IFERROR(__xludf.DUMMYFUNCTION("""COMPUTED_VALUE"""),-627.225495054)</f>
        <v>-627.225495054</v>
      </c>
      <c r="I687" s="13"/>
      <c r="J687" s="13"/>
      <c r="K687" s="13"/>
      <c r="L687" s="13"/>
      <c r="M687" s="7" t="b">
        <f>IFERROR(__xludf.DUMMYFUNCTION("""COMPUTED_VALUE"""),TRUE)</f>
        <v>1</v>
      </c>
      <c r="N687" s="10">
        <f>IFERROR(__xludf.DUMMYFUNCTION("""COMPUTED_VALUE"""),0)</f>
        <v>0</v>
      </c>
      <c r="O687" s="10">
        <f>IFERROR(__xludf.DUMMYFUNCTION("""COMPUTED_VALUE"""),0)</f>
        <v>0</v>
      </c>
      <c r="P687" s="10"/>
      <c r="Q687" s="6"/>
      <c r="R687" s="16"/>
      <c r="S687" s="17"/>
      <c r="T687" s="10"/>
      <c r="U687" s="10"/>
      <c r="V687" s="22"/>
      <c r="W687" s="12"/>
      <c r="X687" s="12"/>
      <c r="Y687" s="12"/>
      <c r="Z687" s="12"/>
      <c r="AA687" s="6"/>
      <c r="AB687" s="12"/>
      <c r="AC687" s="6"/>
      <c r="AD687" s="6"/>
      <c r="AE687" s="7"/>
      <c r="AF687" s="7"/>
      <c r="AG687" s="7"/>
      <c r="AH687" s="7"/>
      <c r="AI687" s="7"/>
      <c r="AJ687" s="7"/>
      <c r="AK687" s="7"/>
      <c r="AL687" s="7"/>
      <c r="AM687" s="7"/>
      <c r="AN687" s="7"/>
      <c r="AO687" s="6"/>
      <c r="AP687" s="7"/>
      <c r="AQ687" s="7"/>
      <c r="AR687" s="6"/>
      <c r="AS687" s="6"/>
      <c r="AT687" s="6"/>
      <c r="AU687" s="6"/>
      <c r="AV687" s="6"/>
      <c r="AW687" s="6"/>
      <c r="AX687" s="6"/>
      <c r="AY687" s="6"/>
      <c r="AZ687" s="6"/>
      <c r="BA687" s="6"/>
      <c r="BB687" s="6"/>
      <c r="BC687" s="6"/>
      <c r="BD687" s="6"/>
      <c r="BE687" s="6"/>
      <c r="BF687" s="6"/>
      <c r="BG687" s="6"/>
    </row>
    <row r="688" customHeight="1" spans="1:59">
      <c r="A688" s="9" t="str">
        <f>IFERROR(__xludf.DUMMYFUNCTION("""COMPUTED_VALUE"""),"microTech 25")</f>
        <v>microTech 25</v>
      </c>
      <c r="B688" s="5" t="str">
        <f>IFERROR(__xludf.DUMMYFUNCTION("""COMPUTED_VALUE"""),"microTech 32")</f>
        <v>microTech 32</v>
      </c>
      <c r="C688" s="5" t="str">
        <f>IFERROR(__xludf.DUMMYFUNCTION("""COMPUTED_VALUE"""),"microTech 91")</f>
        <v>microTech 91</v>
      </c>
      <c r="D688" s="5" t="str">
        <f>IFERROR(__xludf.DUMMYFUNCTION("""COMPUTED_VALUE"""),"Point Wain Emergency Shelter")</f>
        <v>Point Wain Emergency Shelter</v>
      </c>
      <c r="E688" s="7" t="str">
        <f>IFERROR(__xludf.DUMMYFUNCTION("""COMPUTED_VALUE"""),"Point Wain")</f>
        <v>Point Wain</v>
      </c>
      <c r="F688" s="10">
        <f>IFERROR(__xludf.DUMMYFUNCTION("""COMPUTED_VALUE"""),-627.440743631)</f>
        <v>-627.440743631</v>
      </c>
      <c r="G688" s="10">
        <f>IFERROR(__xludf.DUMMYFUNCTION("""COMPUTED_VALUE"""),-485.258151323998)</f>
        <v>-485.258151323998</v>
      </c>
      <c r="H688" s="10">
        <f>IFERROR(__xludf.DUMMYFUNCTION("""COMPUTED_VALUE"""),611.733181289999)</f>
        <v>611.733181289999</v>
      </c>
      <c r="I688" s="13"/>
      <c r="J688" s="13"/>
      <c r="K688" s="13"/>
      <c r="L688" s="13"/>
      <c r="M688" s="7" t="b">
        <f>IFERROR(__xludf.DUMMYFUNCTION("""COMPUTED_VALUE"""),TRUE)</f>
        <v>1</v>
      </c>
      <c r="N688" s="10">
        <f>IFERROR(__xludf.DUMMYFUNCTION("""COMPUTED_VALUE"""),0)</f>
        <v>0</v>
      </c>
      <c r="O688" s="10">
        <f>IFERROR(__xludf.DUMMYFUNCTION("""COMPUTED_VALUE"""),0)</f>
        <v>0</v>
      </c>
      <c r="P688" s="10"/>
      <c r="Q688" s="6"/>
      <c r="R688" s="16"/>
      <c r="S688" s="17"/>
      <c r="T688" s="10"/>
      <c r="U688" s="10"/>
      <c r="V688" s="22"/>
      <c r="W688" s="12"/>
      <c r="X688" s="12"/>
      <c r="Y688" s="12"/>
      <c r="Z688" s="12"/>
      <c r="AA688" s="6"/>
      <c r="AB688" s="12"/>
      <c r="AC688" s="6"/>
      <c r="AD688" s="6"/>
      <c r="AE688" s="7"/>
      <c r="AF688" s="7"/>
      <c r="AG688" s="7"/>
      <c r="AH688" s="7"/>
      <c r="AI688" s="7"/>
      <c r="AJ688" s="7"/>
      <c r="AK688" s="7"/>
      <c r="AL688" s="7"/>
      <c r="AM688" s="7"/>
      <c r="AN688" s="7"/>
      <c r="AO688" s="6"/>
      <c r="AP688" s="7"/>
      <c r="AQ688" s="7"/>
      <c r="AR688" s="6"/>
      <c r="AS688" s="6"/>
      <c r="AT688" s="6"/>
      <c r="AU688" s="6"/>
      <c r="AV688" s="6"/>
      <c r="AW688" s="6"/>
      <c r="AX688" s="6"/>
      <c r="AY688" s="6"/>
      <c r="AZ688" s="6"/>
      <c r="BA688" s="6"/>
      <c r="BB688" s="6"/>
      <c r="BC688" s="6"/>
      <c r="BD688" s="6"/>
      <c r="BE688" s="6"/>
      <c r="BF688" s="6"/>
      <c r="BG688" s="6"/>
    </row>
    <row r="689" customHeight="1" spans="1:59">
      <c r="A689" s="9" t="str">
        <f>IFERROR(__xludf.DUMMYFUNCTION("""COMPUTED_VALUE"""),"microTech")</f>
        <v>microTech</v>
      </c>
      <c r="B689" s="5" t="str">
        <f>IFERROR(__xludf.DUMMYFUNCTION("""COMPUTED_VALUE"""),"microTech 34")</f>
        <v>microTech 34</v>
      </c>
      <c r="C689" s="5"/>
      <c r="D689" s="5" t="str">
        <f>IFERROR(__xludf.DUMMYFUNCTION("""COMPUTED_VALUE"""),"Settlements")</f>
        <v>Settlements</v>
      </c>
      <c r="E689" s="7"/>
      <c r="F689" s="10"/>
      <c r="G689" s="10"/>
      <c r="H689" s="10"/>
      <c r="I689" s="13"/>
      <c r="J689" s="13"/>
      <c r="K689" s="13"/>
      <c r="L689" s="13"/>
      <c r="M689" s="7"/>
      <c r="N689" s="10"/>
      <c r="O689" s="10"/>
      <c r="P689" s="10"/>
      <c r="Q689" s="6"/>
      <c r="R689" s="16"/>
      <c r="S689" s="17"/>
      <c r="T689" s="10"/>
      <c r="U689" s="10"/>
      <c r="V689" s="22"/>
      <c r="W689" s="12"/>
      <c r="X689" s="12"/>
      <c r="Y689" s="12"/>
      <c r="Z689" s="12"/>
      <c r="AA689" s="6"/>
      <c r="AB689" s="12"/>
      <c r="AC689" s="6"/>
      <c r="AD689" s="6"/>
      <c r="AE689" s="7"/>
      <c r="AF689" s="7"/>
      <c r="AG689" s="7"/>
      <c r="AH689" s="7"/>
      <c r="AI689" s="7"/>
      <c r="AJ689" s="7"/>
      <c r="AK689" s="7"/>
      <c r="AL689" s="7"/>
      <c r="AM689" s="7"/>
      <c r="AN689" s="7"/>
      <c r="AO689" s="6"/>
      <c r="AP689" s="7"/>
      <c r="AQ689" s="7"/>
      <c r="AR689" s="6"/>
      <c r="AS689" s="6"/>
      <c r="AT689" s="6"/>
      <c r="AU689" s="6"/>
      <c r="AV689" s="6"/>
      <c r="AW689" s="6"/>
      <c r="AX689" s="6"/>
      <c r="AY689" s="6"/>
      <c r="AZ689" s="6"/>
      <c r="BA689" s="6"/>
      <c r="BB689" s="6"/>
      <c r="BC689" s="6"/>
      <c r="BD689" s="6"/>
      <c r="BE689" s="6"/>
      <c r="BF689" s="6"/>
      <c r="BG689" s="6"/>
    </row>
    <row r="690" customHeight="1" spans="1:59">
      <c r="A690" s="9" t="str">
        <f>IFERROR(__xludf.DUMMYFUNCTION("""COMPUTED_VALUE"""),"microTech 28")</f>
        <v>microTech 28</v>
      </c>
      <c r="B690" s="5" t="str">
        <f>IFERROR(__xludf.DUMMYFUNCTION("""COMPUTED_VALUE"""),"microTech 35")</f>
        <v>microTech 35</v>
      </c>
      <c r="C690" s="5" t="str">
        <f>IFERROR(__xludf.DUMMYFUNCTION("""COMPUTED_VALUE"""),"microTech 03")</f>
        <v>microTech 03</v>
      </c>
      <c r="D690" s="5" t="str">
        <f>IFERROR(__xludf.DUMMYFUNCTION("""COMPUTED_VALUE"""),"Astor's Clearing (Ewok Village)")</f>
        <v>Astor's Clearing (Ewok Village)</v>
      </c>
      <c r="E690" s="7" t="str">
        <f>IFERROR(__xludf.DUMMYFUNCTION("""COMPUTED_VALUE"""),"Astors")</f>
        <v>Astors</v>
      </c>
      <c r="F690" s="10">
        <f>IFERROR(__xludf.DUMMYFUNCTION("""COMPUTED_VALUE"""),-810.219016957)</f>
        <v>-810.219016957</v>
      </c>
      <c r="G690" s="10">
        <f>IFERROR(__xludf.DUMMYFUNCTION("""COMPUTED_VALUE"""),577.883641289)</f>
        <v>577.883641289</v>
      </c>
      <c r="H690" s="10">
        <f>IFERROR(__xludf.DUMMYFUNCTION("""COMPUTED_VALUE"""),-101.430451723)</f>
        <v>-101.430451723</v>
      </c>
      <c r="I690" s="13"/>
      <c r="J690" s="13"/>
      <c r="K690" s="13"/>
      <c r="L690" s="13"/>
      <c r="M690" s="7" t="b">
        <f>IFERROR(__xludf.DUMMYFUNCTION("""COMPUTED_VALUE"""),FALSE)</f>
        <v>0</v>
      </c>
      <c r="N690" s="10">
        <f>IFERROR(__xludf.DUMMYFUNCTION("""COMPUTED_VALUE"""),0)</f>
        <v>0</v>
      </c>
      <c r="O690" s="10">
        <f>IFERROR(__xludf.DUMMYFUNCTION("""COMPUTED_VALUE"""),0)</f>
        <v>0</v>
      </c>
      <c r="P690" s="10"/>
      <c r="Q690" s="6"/>
      <c r="R690" s="16"/>
      <c r="S690" s="17"/>
      <c r="T690" s="10"/>
      <c r="U690" s="10"/>
      <c r="V690" s="22"/>
      <c r="W690" s="12"/>
      <c r="X690" s="12"/>
      <c r="Y690" s="12"/>
      <c r="Z690" s="12"/>
      <c r="AA690" s="6"/>
      <c r="AB690" s="12"/>
      <c r="AC690" s="6"/>
      <c r="AD690" s="6"/>
      <c r="AE690" s="7"/>
      <c r="AF690" s="7"/>
      <c r="AG690" s="7"/>
      <c r="AH690" s="7"/>
      <c r="AI690" s="7"/>
      <c r="AJ690" s="7"/>
      <c r="AK690" s="7"/>
      <c r="AL690" s="7"/>
      <c r="AM690" s="7"/>
      <c r="AN690" s="7"/>
      <c r="AO690" s="6"/>
      <c r="AP690" s="7"/>
      <c r="AQ690" s="7"/>
      <c r="AR690" s="6"/>
      <c r="AS690" s="6"/>
      <c r="AT690" s="6"/>
      <c r="AU690" s="6"/>
      <c r="AV690" s="6"/>
      <c r="AW690" s="6"/>
      <c r="AX690" s="6"/>
      <c r="AY690" s="6"/>
      <c r="AZ690" s="6"/>
      <c r="BA690" s="6"/>
      <c r="BB690" s="6"/>
      <c r="BC690" s="6"/>
      <c r="BD690" s="6"/>
      <c r="BE690" s="6"/>
      <c r="BF690" s="6"/>
      <c r="BG690" s="6"/>
    </row>
    <row r="691" customHeight="1" spans="1:59">
      <c r="A691" s="9" t="str">
        <f>IFERROR(__xludf.DUMMYFUNCTION("""COMPUTED_VALUE"""),"microTech 29")</f>
        <v>microTech 29</v>
      </c>
      <c r="B691" s="5" t="str">
        <f>IFERROR(__xludf.DUMMYFUNCTION("""COMPUTED_VALUE"""),"microTech 36")</f>
        <v>microTech 36</v>
      </c>
      <c r="C691" s="5" t="str">
        <f>IFERROR(__xludf.DUMMYFUNCTION("""COMPUTED_VALUE"""),"microTech 76")</f>
        <v>microTech 76</v>
      </c>
      <c r="D691" s="5" t="str">
        <f>IFERROR(__xludf.DUMMYFUNCTION("""COMPUTED_VALUE"""),"Bloodshot Ridge")</f>
        <v>Bloodshot Ridge</v>
      </c>
      <c r="E691" s="7" t="str">
        <f>IFERROR(__xludf.DUMMYFUNCTION("""COMPUTED_VALUE"""),"Bloodshot")</f>
        <v>Bloodshot</v>
      </c>
      <c r="F691" s="10">
        <f>IFERROR(__xludf.DUMMYFUNCTION("""COMPUTED_VALUE"""),733.939579616999)</f>
        <v>733.939579616999</v>
      </c>
      <c r="G691" s="10">
        <f>IFERROR(__xludf.DUMMYFUNCTION("""COMPUTED_VALUE"""),-674.64842261)</f>
        <v>-674.64842261</v>
      </c>
      <c r="H691" s="10">
        <f>IFERROR(__xludf.DUMMYFUNCTION("""COMPUTED_VALUE"""),101.875648837999)</f>
        <v>101.875648837999</v>
      </c>
      <c r="I691" s="13"/>
      <c r="J691" s="13"/>
      <c r="K691" s="13"/>
      <c r="L691" s="13"/>
      <c r="M691" s="7" t="b">
        <f>IFERROR(__xludf.DUMMYFUNCTION("""COMPUTED_VALUE"""),FALSE)</f>
        <v>0</v>
      </c>
      <c r="N691" s="10">
        <f>IFERROR(__xludf.DUMMYFUNCTION("""COMPUTED_VALUE"""),0)</f>
        <v>0</v>
      </c>
      <c r="O691" s="10">
        <f>IFERROR(__xludf.DUMMYFUNCTION("""COMPUTED_VALUE"""),0)</f>
        <v>0</v>
      </c>
      <c r="P691" s="10"/>
      <c r="Q691" s="6"/>
      <c r="R691" s="16"/>
      <c r="S691" s="17"/>
      <c r="T691" s="10"/>
      <c r="U691" s="10"/>
      <c r="V691" s="22"/>
      <c r="W691" s="12"/>
      <c r="X691" s="12"/>
      <c r="Y691" s="12"/>
      <c r="Z691" s="12"/>
      <c r="AA691" s="6"/>
      <c r="AB691" s="12"/>
      <c r="AC691" s="6"/>
      <c r="AD691" s="6"/>
      <c r="AE691" s="7"/>
      <c r="AF691" s="7"/>
      <c r="AG691" s="7"/>
      <c r="AH691" s="7"/>
      <c r="AI691" s="7"/>
      <c r="AJ691" s="7"/>
      <c r="AK691" s="7"/>
      <c r="AL691" s="7"/>
      <c r="AM691" s="7"/>
      <c r="AN691" s="7"/>
      <c r="AO691" s="6"/>
      <c r="AP691" s="7"/>
      <c r="AQ691" s="7"/>
      <c r="AR691" s="6"/>
      <c r="AS691" s="6"/>
      <c r="AT691" s="6"/>
      <c r="AU691" s="6"/>
      <c r="AV691" s="6"/>
      <c r="AW691" s="6"/>
      <c r="AX691" s="6"/>
      <c r="AY691" s="6"/>
      <c r="AZ691" s="6"/>
      <c r="BA691" s="6"/>
      <c r="BB691" s="6"/>
      <c r="BC691" s="6"/>
      <c r="BD691" s="6"/>
      <c r="BE691" s="6"/>
      <c r="BF691" s="6"/>
      <c r="BG691" s="6"/>
    </row>
    <row r="692" customHeight="1" spans="1:59">
      <c r="A692" s="9" t="str">
        <f>IFERROR(__xludf.DUMMYFUNCTION("""COMPUTED_VALUE"""),"microTech 30")</f>
        <v>microTech 30</v>
      </c>
      <c r="B692" s="5" t="str">
        <f>IFERROR(__xludf.DUMMYFUNCTION("""COMPUTED_VALUE"""),"microTech 37")</f>
        <v>microTech 37</v>
      </c>
      <c r="C692" s="5" t="str">
        <f>IFERROR(__xludf.DUMMYFUNCTION("""COMPUTED_VALUE"""),"microTech 11")</f>
        <v>microTech 11</v>
      </c>
      <c r="D692" s="5" t="str">
        <f>IFERROR(__xludf.DUMMYFUNCTION("""COMPUTED_VALUE"""),"Dunboro (Megaton)")</f>
        <v>Dunboro (Megaton)</v>
      </c>
      <c r="E692" s="7" t="str">
        <f>IFERROR(__xludf.DUMMYFUNCTION("""COMPUTED_VALUE"""),"Dunboro")</f>
        <v>Dunboro</v>
      </c>
      <c r="F692" s="10">
        <f>IFERROR(__xludf.DUMMYFUNCTION("""COMPUTED_VALUE"""),-735.672192799999)</f>
        <v>-735.672192799999</v>
      </c>
      <c r="G692" s="10">
        <f>IFERROR(__xludf.DUMMYFUNCTION("""COMPUTED_VALUE"""),678.040346404999)</f>
        <v>678.040346404999</v>
      </c>
      <c r="H692" s="10">
        <f>IFERROR(__xludf.DUMMYFUNCTION("""COMPUTED_VALUE"""),9.30993913099999)</f>
        <v>9.30993913099999</v>
      </c>
      <c r="I692" s="13"/>
      <c r="J692" s="13"/>
      <c r="K692" s="13"/>
      <c r="L692" s="13"/>
      <c r="M692" s="7" t="b">
        <f>IFERROR(__xludf.DUMMYFUNCTION("""COMPUTED_VALUE"""),FALSE)</f>
        <v>0</v>
      </c>
      <c r="N692" s="10">
        <f>IFERROR(__xludf.DUMMYFUNCTION("""COMPUTED_VALUE"""),0)</f>
        <v>0</v>
      </c>
      <c r="O692" s="10">
        <f>IFERROR(__xludf.DUMMYFUNCTION("""COMPUTED_VALUE"""),0)</f>
        <v>0</v>
      </c>
      <c r="P692" s="10"/>
      <c r="Q692" s="6"/>
      <c r="R692" s="16"/>
      <c r="S692" s="17"/>
      <c r="T692" s="10"/>
      <c r="U692" s="10"/>
      <c r="V692" s="22"/>
      <c r="W692" s="12"/>
      <c r="X692" s="12"/>
      <c r="Y692" s="12"/>
      <c r="Z692" s="12"/>
      <c r="AA692" s="6"/>
      <c r="AB692" s="12"/>
      <c r="AC692" s="6"/>
      <c r="AD692" s="6"/>
      <c r="AE692" s="7"/>
      <c r="AF692" s="7"/>
      <c r="AG692" s="7"/>
      <c r="AH692" s="7"/>
      <c r="AI692" s="7"/>
      <c r="AJ692" s="7"/>
      <c r="AK692" s="7"/>
      <c r="AL692" s="7"/>
      <c r="AM692" s="7"/>
      <c r="AN692" s="7"/>
      <c r="AO692" s="6"/>
      <c r="AP692" s="7"/>
      <c r="AQ692" s="7"/>
      <c r="AR692" s="6"/>
      <c r="AS692" s="6"/>
      <c r="AT692" s="6"/>
      <c r="AU692" s="6"/>
      <c r="AV692" s="6"/>
      <c r="AW692" s="6"/>
      <c r="AX692" s="6"/>
      <c r="AY692" s="6"/>
      <c r="AZ692" s="6"/>
      <c r="BA692" s="6"/>
      <c r="BB692" s="6"/>
      <c r="BC692" s="6"/>
      <c r="BD692" s="6"/>
      <c r="BE692" s="6"/>
      <c r="BF692" s="6"/>
      <c r="BG692" s="6"/>
    </row>
    <row r="693" customHeight="1" spans="1:59">
      <c r="A693" s="9" t="str">
        <f>IFERROR(__xludf.DUMMYFUNCTION("""COMPUTED_VALUE"""),"microTech 31")</f>
        <v>microTech 31</v>
      </c>
      <c r="B693" s="5" t="str">
        <f>IFERROR(__xludf.DUMMYFUNCTION("""COMPUTED_VALUE"""),"microTech 38")</f>
        <v>microTech 38</v>
      </c>
      <c r="C693" s="5" t="str">
        <f>IFERROR(__xludf.DUMMYFUNCTION("""COMPUTED_VALUE"""),"microTech 42")</f>
        <v>microTech 42</v>
      </c>
      <c r="D693" s="5" t="str">
        <f>IFERROR(__xludf.DUMMYFUNCTION("""COMPUTED_VALUE"""),"Frostbite (Windy Cove)")</f>
        <v>Frostbite (Windy Cove)</v>
      </c>
      <c r="E693" s="7" t="str">
        <f>IFERROR(__xludf.DUMMYFUNCTION("""COMPUTED_VALUE"""),"Frostbite")</f>
        <v>Frostbite</v>
      </c>
      <c r="F693" s="10">
        <f>IFERROR(__xludf.DUMMYFUNCTION("""COMPUTED_VALUE"""),539.619934335)</f>
        <v>539.619934335</v>
      </c>
      <c r="G693" s="10">
        <f>IFERROR(__xludf.DUMMYFUNCTION("""COMPUTED_VALUE"""),762.338992717999)</f>
        <v>762.338992717999</v>
      </c>
      <c r="H693" s="10">
        <f>IFERROR(__xludf.DUMMYFUNCTION("""COMPUTED_VALUE"""),-361.447888067)</f>
        <v>-361.447888067</v>
      </c>
      <c r="I693" s="13"/>
      <c r="J693" s="13"/>
      <c r="K693" s="13"/>
      <c r="L693" s="13"/>
      <c r="M693" s="7" t="b">
        <f>IFERROR(__xludf.DUMMYFUNCTION("""COMPUTED_VALUE"""),FALSE)</f>
        <v>0</v>
      </c>
      <c r="N693" s="10">
        <f>IFERROR(__xludf.DUMMYFUNCTION("""COMPUTED_VALUE"""),0)</f>
        <v>0</v>
      </c>
      <c r="O693" s="10">
        <f>IFERROR(__xludf.DUMMYFUNCTION("""COMPUTED_VALUE"""),0)</f>
        <v>0</v>
      </c>
      <c r="P693" s="10"/>
      <c r="Q693" s="6"/>
      <c r="R693" s="16"/>
      <c r="S693" s="17"/>
      <c r="T693" s="10"/>
      <c r="U693" s="10"/>
      <c r="V693" s="22"/>
      <c r="W693" s="12"/>
      <c r="X693" s="12"/>
      <c r="Y693" s="12"/>
      <c r="Z693" s="12"/>
      <c r="AA693" s="6"/>
      <c r="AB693" s="12"/>
      <c r="AC693" s="6"/>
      <c r="AD693" s="6"/>
      <c r="AE693" s="7"/>
      <c r="AF693" s="7"/>
      <c r="AG693" s="7"/>
      <c r="AH693" s="7"/>
      <c r="AI693" s="7"/>
      <c r="AJ693" s="7"/>
      <c r="AK693" s="7"/>
      <c r="AL693" s="7"/>
      <c r="AM693" s="7"/>
      <c r="AN693" s="7"/>
      <c r="AO693" s="6"/>
      <c r="AP693" s="7"/>
      <c r="AQ693" s="7"/>
      <c r="AR693" s="6"/>
      <c r="AS693" s="6"/>
      <c r="AT693" s="6"/>
      <c r="AU693" s="6"/>
      <c r="AV693" s="6"/>
      <c r="AW693" s="6"/>
      <c r="AX693" s="6"/>
      <c r="AY693" s="6"/>
      <c r="AZ693" s="6"/>
      <c r="BA693" s="6"/>
      <c r="BB693" s="6"/>
      <c r="BC693" s="6"/>
      <c r="BD693" s="6"/>
      <c r="BE693" s="6"/>
      <c r="BF693" s="6"/>
      <c r="BG693" s="6"/>
    </row>
    <row r="694" customHeight="1" spans="1:59">
      <c r="A694" s="9" t="str">
        <f>IFERROR(__xludf.DUMMYFUNCTION("""COMPUTED_VALUE"""),"microTech 26")</f>
        <v>microTech 26</v>
      </c>
      <c r="B694" s="5" t="str">
        <f>IFERROR(__xludf.DUMMYFUNCTION("""COMPUTED_VALUE"""),"microTech 39")</f>
        <v>microTech 39</v>
      </c>
      <c r="C694" s="5" t="str">
        <f>IFERROR(__xludf.DUMMYFUNCTION("""COMPUTED_VALUE"""),"microTech 36")</f>
        <v>microTech 36</v>
      </c>
      <c r="D694" s="5" t="str">
        <f>IFERROR(__xludf.DUMMYFUNCTION("""COMPUTED_VALUE"""),"Ghost Hollow (Reclaimer Wreck)")</f>
        <v>Ghost Hollow (Reclaimer Wreck)</v>
      </c>
      <c r="E694" s="7" t="str">
        <f>IFERROR(__xludf.DUMMYFUNCTION("""COMPUTED_VALUE"""),"Ghost Hollow")</f>
        <v>Ghost Hollow</v>
      </c>
      <c r="F694" s="10">
        <f>IFERROR(__xludf.DUMMYFUNCTION("""COMPUTED_VALUE"""),-127.193553939)</f>
        <v>-127.193553939</v>
      </c>
      <c r="G694" s="10">
        <f>IFERROR(__xludf.DUMMYFUNCTION("""COMPUTED_VALUE"""),982.003985381999)</f>
        <v>982.003985381999</v>
      </c>
      <c r="H694" s="10">
        <f>IFERROR(__xludf.DUMMYFUNCTION("""COMPUTED_VALUE"""),149.145067474999)</f>
        <v>149.145067474999</v>
      </c>
      <c r="I694" s="13"/>
      <c r="J694" s="13"/>
      <c r="K694" s="13"/>
      <c r="L694" s="13"/>
      <c r="M694" s="7" t="b">
        <f>IFERROR(__xludf.DUMMYFUNCTION("""COMPUTED_VALUE"""),TRUE)</f>
        <v>1</v>
      </c>
      <c r="N694" s="10">
        <f>IFERROR(__xludf.DUMMYFUNCTION("""COMPUTED_VALUE"""),0)</f>
        <v>0</v>
      </c>
      <c r="O694" s="10">
        <f>IFERROR(__xludf.DUMMYFUNCTION("""COMPUTED_VALUE"""),0)</f>
        <v>0</v>
      </c>
      <c r="P694" s="10"/>
      <c r="Q694" s="6"/>
      <c r="R694" s="16"/>
      <c r="S694" s="17"/>
      <c r="T694" s="10"/>
      <c r="U694" s="10"/>
      <c r="V694" s="22"/>
      <c r="W694" s="12"/>
      <c r="X694" s="12"/>
      <c r="Y694" s="12"/>
      <c r="Z694" s="12"/>
      <c r="AA694" s="6"/>
      <c r="AB694" s="12"/>
      <c r="AC694" s="6"/>
      <c r="AD694" s="6"/>
      <c r="AE694" s="7"/>
      <c r="AF694" s="7"/>
      <c r="AG694" s="7"/>
      <c r="AH694" s="7"/>
      <c r="AI694" s="7"/>
      <c r="AJ694" s="7"/>
      <c r="AK694" s="7"/>
      <c r="AL694" s="7"/>
      <c r="AM694" s="7"/>
      <c r="AN694" s="7"/>
      <c r="AO694" s="6"/>
      <c r="AP694" s="7"/>
      <c r="AQ694" s="7"/>
      <c r="AR694" s="6"/>
      <c r="AS694" s="6"/>
      <c r="AT694" s="6"/>
      <c r="AU694" s="6"/>
      <c r="AV694" s="6"/>
      <c r="AW694" s="6"/>
      <c r="AX694" s="6"/>
      <c r="AY694" s="6"/>
      <c r="AZ694" s="6"/>
      <c r="BA694" s="6"/>
      <c r="BB694" s="6"/>
      <c r="BC694" s="6"/>
      <c r="BD694" s="6"/>
      <c r="BE694" s="6"/>
      <c r="BF694" s="6"/>
      <c r="BG694" s="6"/>
    </row>
    <row r="695" customHeight="1" spans="1:59">
      <c r="A695" s="9" t="str">
        <f>IFERROR(__xludf.DUMMYFUNCTION("""COMPUTED_VALUE"""),"microTech 32")</f>
        <v>microTech 32</v>
      </c>
      <c r="B695" s="5" t="str">
        <f>IFERROR(__xludf.DUMMYFUNCTION("""COMPUTED_VALUE"""),"microTech 40")</f>
        <v>microTech 40</v>
      </c>
      <c r="C695" s="5" t="str">
        <f>IFERROR(__xludf.DUMMYFUNCTION("""COMPUTED_VALUE"""),"microTech 19")</f>
        <v>microTech 19</v>
      </c>
      <c r="D695" s="5" t="str">
        <f>IFERROR(__xludf.DUMMYFUNCTION("""COMPUTED_VALUE"""),"Harper's Point")</f>
        <v>Harper's Point</v>
      </c>
      <c r="E695" s="7" t="str">
        <f>IFERROR(__xludf.DUMMYFUNCTION("""COMPUTED_VALUE"""),"Harpers")</f>
        <v>Harpers</v>
      </c>
      <c r="F695" s="10">
        <f>IFERROR(__xludf.DUMMYFUNCTION("""COMPUTED_VALUE"""),-687.373417784)</f>
        <v>-687.373417784</v>
      </c>
      <c r="G695" s="10">
        <f>IFERROR(__xludf.DUMMYFUNCTION("""COMPUTED_VALUE"""),716.61301141)</f>
        <v>716.61301141</v>
      </c>
      <c r="H695" s="10">
        <f>IFERROR(__xludf.DUMMYFUNCTION("""COMPUTED_VALUE"""),128.227454472)</f>
        <v>128.227454472</v>
      </c>
      <c r="I695" s="13"/>
      <c r="J695" s="13"/>
      <c r="K695" s="13"/>
      <c r="L695" s="13"/>
      <c r="M695" s="7" t="b">
        <f>IFERROR(__xludf.DUMMYFUNCTION("""COMPUTED_VALUE"""),FALSE)</f>
        <v>0</v>
      </c>
      <c r="N695" s="10">
        <f>IFERROR(__xludf.DUMMYFUNCTION("""COMPUTED_VALUE"""),0)</f>
        <v>0</v>
      </c>
      <c r="O695" s="10">
        <f>IFERROR(__xludf.DUMMYFUNCTION("""COMPUTED_VALUE"""),0)</f>
        <v>0</v>
      </c>
      <c r="P695" s="10"/>
      <c r="Q695" s="6"/>
      <c r="R695" s="16"/>
      <c r="S695" s="17"/>
      <c r="T695" s="10"/>
      <c r="U695" s="10"/>
      <c r="V695" s="22"/>
      <c r="W695" s="12"/>
      <c r="X695" s="12"/>
      <c r="Y695" s="12"/>
      <c r="Z695" s="12"/>
      <c r="AA695" s="6"/>
      <c r="AB695" s="12"/>
      <c r="AC695" s="6"/>
      <c r="AD695" s="6"/>
      <c r="AE695" s="7"/>
      <c r="AF695" s="7"/>
      <c r="AG695" s="7"/>
      <c r="AH695" s="7"/>
      <c r="AI695" s="7"/>
      <c r="AJ695" s="7"/>
      <c r="AK695" s="7"/>
      <c r="AL695" s="7"/>
      <c r="AM695" s="7"/>
      <c r="AN695" s="7"/>
      <c r="AO695" s="6"/>
      <c r="AP695" s="7"/>
      <c r="AQ695" s="7"/>
      <c r="AR695" s="6"/>
      <c r="AS695" s="6"/>
      <c r="AT695" s="6"/>
      <c r="AU695" s="6"/>
      <c r="AV695" s="6"/>
      <c r="AW695" s="6"/>
      <c r="AX695" s="6"/>
      <c r="AY695" s="6"/>
      <c r="AZ695" s="6"/>
      <c r="BA695" s="6"/>
      <c r="BB695" s="6"/>
      <c r="BC695" s="6"/>
      <c r="BD695" s="6"/>
      <c r="BE695" s="6"/>
      <c r="BF695" s="6"/>
      <c r="BG695" s="6"/>
    </row>
    <row r="696" customHeight="1" spans="1:59">
      <c r="A696" s="9" t="str">
        <f>IFERROR(__xludf.DUMMYFUNCTION("""COMPUTED_VALUE"""),"microTech 33")</f>
        <v>microTech 33</v>
      </c>
      <c r="B696" s="5" t="str">
        <f>IFERROR(__xludf.DUMMYFUNCTION("""COMPUTED_VALUE"""),"microTech 41")</f>
        <v>microTech 41</v>
      </c>
      <c r="C696" s="5" t="str">
        <f>IFERROR(__xludf.DUMMYFUNCTION("""COMPUTED_VALUE"""),"microTech 22")</f>
        <v>microTech 22</v>
      </c>
      <c r="D696" s="5" t="str">
        <f>IFERROR(__xludf.DUMMYFUNCTION("""COMPUTED_VALUE"""),"Moreland Hills")</f>
        <v>Moreland Hills</v>
      </c>
      <c r="E696" s="7" t="str">
        <f>IFERROR(__xludf.DUMMYFUNCTION("""COMPUTED_VALUE"""),"Moreland")</f>
        <v>Moreland</v>
      </c>
      <c r="F696" s="10">
        <f>IFERROR(__xludf.DUMMYFUNCTION("""COMPUTED_VALUE"""),-665.087764925)</f>
        <v>-665.087764925</v>
      </c>
      <c r="G696" s="10">
        <f>IFERROR(__xludf.DUMMYFUNCTION("""COMPUTED_VALUE"""),726.918075026)</f>
        <v>726.918075026</v>
      </c>
      <c r="H696" s="10">
        <f>IFERROR(__xludf.DUMMYFUNCTION("""COMPUTED_VALUE"""),178.063924494)</f>
        <v>178.063924494</v>
      </c>
      <c r="I696" s="13"/>
      <c r="J696" s="13"/>
      <c r="K696" s="13"/>
      <c r="L696" s="13"/>
      <c r="M696" s="7" t="b">
        <f>IFERROR(__xludf.DUMMYFUNCTION("""COMPUTED_VALUE"""),FALSE)</f>
        <v>0</v>
      </c>
      <c r="N696" s="10">
        <f>IFERROR(__xludf.DUMMYFUNCTION("""COMPUTED_VALUE"""),0)</f>
        <v>0</v>
      </c>
      <c r="O696" s="10">
        <f>IFERROR(__xludf.DUMMYFUNCTION("""COMPUTED_VALUE"""),0)</f>
        <v>0</v>
      </c>
      <c r="P696" s="10"/>
      <c r="Q696" s="6"/>
      <c r="R696" s="16"/>
      <c r="S696" s="17"/>
      <c r="T696" s="10"/>
      <c r="U696" s="10"/>
      <c r="V696" s="22"/>
      <c r="W696" s="12"/>
      <c r="X696" s="12"/>
      <c r="Y696" s="12"/>
      <c r="Z696" s="12"/>
      <c r="AA696" s="6"/>
      <c r="AB696" s="12"/>
      <c r="AC696" s="6"/>
      <c r="AD696" s="6"/>
      <c r="AE696" s="7"/>
      <c r="AF696" s="7"/>
      <c r="AG696" s="7"/>
      <c r="AH696" s="7"/>
      <c r="AI696" s="7"/>
      <c r="AJ696" s="7"/>
      <c r="AK696" s="7"/>
      <c r="AL696" s="7"/>
      <c r="AM696" s="7"/>
      <c r="AN696" s="7"/>
      <c r="AO696" s="6"/>
      <c r="AP696" s="7"/>
      <c r="AQ696" s="7"/>
      <c r="AR696" s="6"/>
      <c r="AS696" s="6"/>
      <c r="AT696" s="6"/>
      <c r="AU696" s="6"/>
      <c r="AV696" s="6"/>
      <c r="AW696" s="6"/>
      <c r="AX696" s="6"/>
      <c r="AY696" s="6"/>
      <c r="AZ696" s="6"/>
      <c r="BA696" s="6"/>
      <c r="BB696" s="6"/>
      <c r="BC696" s="6"/>
      <c r="BD696" s="6"/>
      <c r="BE696" s="6"/>
      <c r="BF696" s="6"/>
      <c r="BG696" s="6"/>
    </row>
    <row r="697" customHeight="1" spans="1:59">
      <c r="A697" s="9" t="str">
        <f>IFERROR(__xludf.DUMMYFUNCTION("""COMPUTED_VALUE"""),"microTech 34")</f>
        <v>microTech 34</v>
      </c>
      <c r="B697" s="5" t="str">
        <f>IFERROR(__xludf.DUMMYFUNCTION("""COMPUTED_VALUE"""),"microTech 42")</f>
        <v>microTech 42</v>
      </c>
      <c r="C697" s="5" t="str">
        <f>IFERROR(__xludf.DUMMYFUNCTION("""COMPUTED_VALUE"""),"microTech 21")</f>
        <v>microTech 21</v>
      </c>
      <c r="D697" s="5" t="str">
        <f>IFERROR(__xludf.DUMMYFUNCTION("""COMPUTED_VALUE"""),"Razor's Edge")</f>
        <v>Razor's Edge</v>
      </c>
      <c r="E697" s="7" t="str">
        <f>IFERROR(__xludf.DUMMYFUNCTION("""COMPUTED_VALUE"""),"Razors")</f>
        <v>Razors</v>
      </c>
      <c r="F697" s="10">
        <f>IFERROR(__xludf.DUMMYFUNCTION("""COMPUTED_VALUE"""),-666.067306713999)</f>
        <v>-666.067306713999</v>
      </c>
      <c r="G697" s="10">
        <f>IFERROR(__xludf.DUMMYFUNCTION("""COMPUTED_VALUE"""),726.221158387999)</f>
        <v>726.221158387999</v>
      </c>
      <c r="H697" s="10">
        <f>IFERROR(__xludf.DUMMYFUNCTION("""COMPUTED_VALUE"""),179.517785705999)</f>
        <v>179.517785705999</v>
      </c>
      <c r="I697" s="13"/>
      <c r="J697" s="13"/>
      <c r="K697" s="13"/>
      <c r="L697" s="13"/>
      <c r="M697" s="7" t="b">
        <f>IFERROR(__xludf.DUMMYFUNCTION("""COMPUTED_VALUE"""),FALSE)</f>
        <v>0</v>
      </c>
      <c r="N697" s="10">
        <f>IFERROR(__xludf.DUMMYFUNCTION("""COMPUTED_VALUE"""),0)</f>
        <v>0</v>
      </c>
      <c r="O697" s="10">
        <f>IFERROR(__xludf.DUMMYFUNCTION("""COMPUTED_VALUE"""),0)</f>
        <v>0</v>
      </c>
      <c r="P697" s="10"/>
      <c r="Q697" s="6"/>
      <c r="R697" s="16"/>
      <c r="S697" s="17"/>
      <c r="T697" s="10"/>
      <c r="U697" s="10"/>
      <c r="V697" s="22"/>
      <c r="W697" s="12"/>
      <c r="X697" s="12"/>
      <c r="Y697" s="12"/>
      <c r="Z697" s="12"/>
      <c r="AA697" s="6"/>
      <c r="AB697" s="12"/>
      <c r="AC697" s="6"/>
      <c r="AD697" s="6"/>
      <c r="AE697" s="7"/>
      <c r="AF697" s="7"/>
      <c r="AG697" s="7"/>
      <c r="AH697" s="7"/>
      <c r="AI697" s="7"/>
      <c r="AJ697" s="7"/>
      <c r="AK697" s="7"/>
      <c r="AL697" s="7"/>
      <c r="AM697" s="7"/>
      <c r="AN697" s="7"/>
      <c r="AO697" s="6"/>
      <c r="AP697" s="7"/>
      <c r="AQ697" s="7"/>
      <c r="AR697" s="6"/>
      <c r="AS697" s="6"/>
      <c r="AT697" s="6"/>
      <c r="AU697" s="6"/>
      <c r="AV697" s="6"/>
      <c r="AW697" s="6"/>
      <c r="AX697" s="6"/>
      <c r="AY697" s="6"/>
      <c r="AZ697" s="6"/>
      <c r="BA697" s="6"/>
      <c r="BB697" s="6"/>
      <c r="BC697" s="6"/>
      <c r="BD697" s="6"/>
      <c r="BE697" s="6"/>
      <c r="BF697" s="6"/>
      <c r="BG697" s="6"/>
    </row>
    <row r="698" customHeight="1" spans="1:59">
      <c r="A698" s="9" t="str">
        <f>IFERROR(__xludf.DUMMYFUNCTION("""COMPUTED_VALUE"""),"microTech 35")</f>
        <v>microTech 35</v>
      </c>
      <c r="B698" s="5" t="str">
        <f>IFERROR(__xludf.DUMMYFUNCTION("""COMPUTED_VALUE"""),"microTech 43")</f>
        <v>microTech 43</v>
      </c>
      <c r="C698" s="5" t="str">
        <f>IFERROR(__xludf.DUMMYFUNCTION("""COMPUTED_VALUE"""),"microTech 84")</f>
        <v>microTech 84</v>
      </c>
      <c r="D698" s="12" t="str">
        <f>IFERROR(__xludf.DUMMYFUNCTION("""COMPUTED_VALUE"""),"Settlement 14N")</f>
        <v>Settlement 14N</v>
      </c>
      <c r="E698" s="7" t="str">
        <f>IFERROR(__xludf.DUMMYFUNCTION("""COMPUTED_VALUE"""),"Settlement 14N")</f>
        <v>Settlement 14N</v>
      </c>
      <c r="F698" s="11">
        <f>IFERROR(__xludf.DUMMYFUNCTION("""COMPUTED_VALUE"""),-154.512351289)</f>
        <v>-154.512351289</v>
      </c>
      <c r="G698" s="11">
        <f>IFERROR(__xludf.DUMMYFUNCTION("""COMPUTED_VALUE"""),-984.296107581999)</f>
        <v>-984.296107581999</v>
      </c>
      <c r="H698" s="11">
        <f>IFERROR(__xludf.DUMMYFUNCTION("""COMPUTED_VALUE"""),93.975155987)</f>
        <v>93.975155987</v>
      </c>
      <c r="I698" s="15"/>
      <c r="J698" s="15"/>
      <c r="K698" s="15"/>
      <c r="L698" s="15"/>
      <c r="M698" s="7" t="b">
        <f>IFERROR(__xludf.DUMMYFUNCTION("""COMPUTED_VALUE"""),FALSE)</f>
        <v>0</v>
      </c>
      <c r="N698" s="10">
        <f>IFERROR(__xludf.DUMMYFUNCTION("""COMPUTED_VALUE"""),0)</f>
        <v>0</v>
      </c>
      <c r="O698" s="10">
        <f>IFERROR(__xludf.DUMMYFUNCTION("""COMPUTED_VALUE"""),0)</f>
        <v>0</v>
      </c>
      <c r="P698" s="8"/>
      <c r="Q698" s="7"/>
      <c r="R698" s="16"/>
      <c r="S698" s="17"/>
      <c r="T698" s="8"/>
      <c r="U698" s="8"/>
      <c r="V698" s="22"/>
      <c r="W698" s="12"/>
      <c r="X698" s="12"/>
      <c r="Y698" s="12"/>
      <c r="Z698" s="12"/>
      <c r="AA698" s="7"/>
      <c r="AB698" s="12"/>
      <c r="AC698" s="6"/>
      <c r="AD698" s="6"/>
      <c r="AE698" s="7"/>
      <c r="AF698" s="7"/>
      <c r="AG698" s="7"/>
      <c r="AH698" s="7"/>
      <c r="AI698" s="7"/>
      <c r="AJ698" s="7"/>
      <c r="AK698" s="7"/>
      <c r="AL698" s="7"/>
      <c r="AM698" s="7"/>
      <c r="AN698" s="7"/>
      <c r="AO698" s="6"/>
      <c r="AP698" s="7"/>
      <c r="AQ698" s="7"/>
      <c r="AR698" s="6"/>
      <c r="AS698" s="7"/>
      <c r="AT698" s="7"/>
      <c r="AU698" s="7"/>
      <c r="AV698" s="7"/>
      <c r="AW698" s="7"/>
      <c r="AX698" s="7"/>
      <c r="AY698" s="7"/>
      <c r="AZ698" s="7"/>
      <c r="BA698" s="7"/>
      <c r="BB698" s="7"/>
      <c r="BC698" s="7"/>
      <c r="BD698" s="7"/>
      <c r="BE698" s="7"/>
      <c r="BF698" s="7"/>
      <c r="BG698" s="7"/>
    </row>
    <row r="699" customHeight="1" spans="1:59">
      <c r="A699" s="9" t="str">
        <f>IFERROR(__xludf.DUMMYFUNCTION("""COMPUTED_VALUE"""),"microTech 36")</f>
        <v>microTech 36</v>
      </c>
      <c r="B699" s="12" t="str">
        <f>IFERROR(__xludf.DUMMYFUNCTION("""COMPUTED_VALUE"""),"microTech 44")</f>
        <v>microTech 44</v>
      </c>
      <c r="C699" s="12" t="str">
        <f>IFERROR(__xludf.DUMMYFUNCTION("""COMPUTED_VALUE"""),"microTech 82")</f>
        <v>microTech 82</v>
      </c>
      <c r="D699" s="12" t="str">
        <f>IFERROR(__xludf.DUMMYFUNCTION("""COMPUTED_VALUE"""),"Settlement 16N")</f>
        <v>Settlement 16N</v>
      </c>
      <c r="E699" s="7" t="str">
        <f>IFERROR(__xludf.DUMMYFUNCTION("""COMPUTED_VALUE"""),"Settlement 16N")</f>
        <v>Settlement 16N</v>
      </c>
      <c r="F699" s="11">
        <f>IFERROR(__xludf.DUMMYFUNCTION("""COMPUTED_VALUE"""),20.614093015)</f>
        <v>20.614093015</v>
      </c>
      <c r="G699" s="11">
        <f>IFERROR(__xludf.DUMMYFUNCTION("""COMPUTED_VALUE"""),-1000.709692701)</f>
        <v>-1000.709692701</v>
      </c>
      <c r="H699" s="11">
        <f>IFERROR(__xludf.DUMMYFUNCTION("""COMPUTED_VALUE"""),8.921606672)</f>
        <v>8.921606672</v>
      </c>
      <c r="I699" s="15"/>
      <c r="J699" s="15"/>
      <c r="K699" s="15"/>
      <c r="L699" s="15"/>
      <c r="M699" s="7" t="b">
        <f>IFERROR(__xludf.DUMMYFUNCTION("""COMPUTED_VALUE"""),FALSE)</f>
        <v>0</v>
      </c>
      <c r="N699" s="10">
        <f>IFERROR(__xludf.DUMMYFUNCTION("""COMPUTED_VALUE"""),0)</f>
        <v>0</v>
      </c>
      <c r="O699" s="10">
        <f>IFERROR(__xludf.DUMMYFUNCTION("""COMPUTED_VALUE"""),0)</f>
        <v>0</v>
      </c>
      <c r="P699" s="8"/>
      <c r="Q699" s="7"/>
      <c r="R699" s="16"/>
      <c r="S699" s="17"/>
      <c r="T699" s="8"/>
      <c r="U699" s="8"/>
      <c r="V699" s="22"/>
      <c r="W699" s="12"/>
      <c r="X699" s="12"/>
      <c r="Y699" s="12"/>
      <c r="Z699" s="12"/>
      <c r="AA699" s="7"/>
      <c r="AB699" s="12"/>
      <c r="AC699" s="6"/>
      <c r="AD699" s="6"/>
      <c r="AE699" s="7"/>
      <c r="AF699" s="7"/>
      <c r="AG699" s="7"/>
      <c r="AH699" s="7"/>
      <c r="AI699" s="7"/>
      <c r="AJ699" s="7"/>
      <c r="AK699" s="7"/>
      <c r="AL699" s="7"/>
      <c r="AM699" s="7"/>
      <c r="AN699" s="7"/>
      <c r="AO699" s="6"/>
      <c r="AP699" s="7"/>
      <c r="AQ699" s="7"/>
      <c r="AR699" s="6"/>
      <c r="AS699" s="7"/>
      <c r="AT699" s="7"/>
      <c r="AU699" s="7"/>
      <c r="AV699" s="7"/>
      <c r="AW699" s="7"/>
      <c r="AX699" s="7"/>
      <c r="AY699" s="7"/>
      <c r="AZ699" s="7"/>
      <c r="BA699" s="7"/>
      <c r="BB699" s="7"/>
      <c r="BC699" s="7"/>
      <c r="BD699" s="7"/>
      <c r="BE699" s="7"/>
      <c r="BF699" s="7"/>
      <c r="BG699" s="7"/>
    </row>
    <row r="700" customHeight="1" spans="1:59">
      <c r="A700" s="9" t="str">
        <f>IFERROR(__xludf.DUMMYFUNCTION("""COMPUTED_VALUE"""),"microTech 37")</f>
        <v>microTech 37</v>
      </c>
      <c r="B700" s="12" t="str">
        <f>IFERROR(__xludf.DUMMYFUNCTION("""COMPUTED_VALUE"""),"microTech 45")</f>
        <v>microTech 45</v>
      </c>
      <c r="C700" s="12" t="str">
        <f>IFERROR(__xludf.DUMMYFUNCTION("""COMPUTED_VALUE"""),"microTech 77")</f>
        <v>microTech 77</v>
      </c>
      <c r="D700" s="12" t="str">
        <f>IFERROR(__xludf.DUMMYFUNCTION("""COMPUTED_VALUE"""),"Settlement 23N")</f>
        <v>Settlement 23N</v>
      </c>
      <c r="E700" s="7" t="str">
        <f>IFERROR(__xludf.DUMMYFUNCTION("""COMPUTED_VALUE"""),"Settlement 23N")</f>
        <v>Settlement 23N</v>
      </c>
      <c r="F700" s="11">
        <f>IFERROR(__xludf.DUMMYFUNCTION("""COMPUTED_VALUE"""),669.478935367999)</f>
        <v>669.478935367999</v>
      </c>
      <c r="G700" s="11">
        <f>IFERROR(__xludf.DUMMYFUNCTION("""COMPUTED_VALUE"""),-731.271787499999)</f>
        <v>-731.271787499999</v>
      </c>
      <c r="H700" s="11">
        <f>IFERROR(__xludf.DUMMYFUNCTION("""COMPUTED_VALUE"""),138.155074789)</f>
        <v>138.155074789</v>
      </c>
      <c r="I700" s="15"/>
      <c r="J700" s="15"/>
      <c r="K700" s="15"/>
      <c r="L700" s="15"/>
      <c r="M700" s="7" t="b">
        <f>IFERROR(__xludf.DUMMYFUNCTION("""COMPUTED_VALUE"""),FALSE)</f>
        <v>0</v>
      </c>
      <c r="N700" s="10">
        <f>IFERROR(__xludf.DUMMYFUNCTION("""COMPUTED_VALUE"""),0)</f>
        <v>0</v>
      </c>
      <c r="O700" s="10">
        <f>IFERROR(__xludf.DUMMYFUNCTION("""COMPUTED_VALUE"""),0)</f>
        <v>0</v>
      </c>
      <c r="P700" s="8"/>
      <c r="Q700" s="7"/>
      <c r="R700" s="16"/>
      <c r="S700" s="17"/>
      <c r="T700" s="8"/>
      <c r="U700" s="8"/>
      <c r="V700" s="22"/>
      <c r="W700" s="12"/>
      <c r="X700" s="12"/>
      <c r="Y700" s="12"/>
      <c r="Z700" s="12"/>
      <c r="AA700" s="7"/>
      <c r="AB700" s="12"/>
      <c r="AC700" s="6"/>
      <c r="AD700" s="6"/>
      <c r="AE700" s="7"/>
      <c r="AF700" s="7"/>
      <c r="AG700" s="7"/>
      <c r="AH700" s="7"/>
      <c r="AI700" s="7"/>
      <c r="AJ700" s="7"/>
      <c r="AK700" s="7"/>
      <c r="AL700" s="7"/>
      <c r="AM700" s="7"/>
      <c r="AN700" s="7"/>
      <c r="AO700" s="6"/>
      <c r="AP700" s="7"/>
      <c r="AQ700" s="7"/>
      <c r="AR700" s="6"/>
      <c r="AS700" s="7"/>
      <c r="AT700" s="7"/>
      <c r="AU700" s="7"/>
      <c r="AV700" s="7"/>
      <c r="AW700" s="7"/>
      <c r="AX700" s="7"/>
      <c r="AY700" s="7"/>
      <c r="AZ700" s="7"/>
      <c r="BA700" s="7"/>
      <c r="BB700" s="7"/>
      <c r="BC700" s="7"/>
      <c r="BD700" s="7"/>
      <c r="BE700" s="7"/>
      <c r="BF700" s="7"/>
      <c r="BG700" s="7"/>
    </row>
    <row r="701" customHeight="1" spans="1:59">
      <c r="A701" s="9" t="str">
        <f>IFERROR(__xludf.DUMMYFUNCTION("""COMPUTED_VALUE"""),"microTech 38")</f>
        <v>microTech 38</v>
      </c>
      <c r="B701" s="5" t="str">
        <f>IFERROR(__xludf.DUMMYFUNCTION("""COMPUTED_VALUE"""),"microTech 46")</f>
        <v>microTech 46</v>
      </c>
      <c r="C701" s="5" t="str">
        <f>IFERROR(__xludf.DUMMYFUNCTION("""COMPUTED_VALUE"""),"microTech 60")</f>
        <v>microTech 60</v>
      </c>
      <c r="D701" s="23" t="str">
        <f>IFERROR(__xludf.DUMMYFUNCTION("""COMPUTED_VALUE"""),"Settlement 34V")</f>
        <v>Settlement 34V</v>
      </c>
      <c r="E701" s="7" t="str">
        <f>IFERROR(__xludf.DUMMYFUNCTION("""COMPUTED_VALUE"""),"Settlement 34V")</f>
        <v>Settlement 34V</v>
      </c>
      <c r="F701" s="11">
        <f>IFERROR(__xludf.DUMMYFUNCTION("""COMPUTED_VALUE"""),420.962127608)</f>
        <v>420.962127608</v>
      </c>
      <c r="G701" s="11">
        <f>IFERROR(__xludf.DUMMYFUNCTION("""COMPUTED_VALUE"""),172.436136824999)</f>
        <v>172.436136824999</v>
      </c>
      <c r="H701" s="11">
        <f>IFERROR(__xludf.DUMMYFUNCTION("""COMPUTED_VALUE"""),890.822923225)</f>
        <v>890.822923225</v>
      </c>
      <c r="I701" s="15"/>
      <c r="J701" s="15"/>
      <c r="K701" s="15"/>
      <c r="L701" s="15"/>
      <c r="M701" s="7" t="b">
        <f>IFERROR(__xludf.DUMMYFUNCTION("""COMPUTED_VALUE"""),FALSE)</f>
        <v>0</v>
      </c>
      <c r="N701" s="10">
        <f>IFERROR(__xludf.DUMMYFUNCTION("""COMPUTED_VALUE"""),0)</f>
        <v>0</v>
      </c>
      <c r="O701" s="10">
        <f>IFERROR(__xludf.DUMMYFUNCTION("""COMPUTED_VALUE"""),0)</f>
        <v>0</v>
      </c>
      <c r="P701" s="8"/>
      <c r="Q701" s="7"/>
      <c r="R701" s="16"/>
      <c r="S701" s="17"/>
      <c r="T701" s="8"/>
      <c r="U701" s="8"/>
      <c r="V701" s="22"/>
      <c r="W701" s="12"/>
      <c r="X701" s="12"/>
      <c r="Y701" s="12"/>
      <c r="Z701" s="12"/>
      <c r="AA701" s="7"/>
      <c r="AB701" s="12"/>
      <c r="AC701" s="6"/>
      <c r="AD701" s="6"/>
      <c r="AE701" s="7"/>
      <c r="AF701" s="7"/>
      <c r="AG701" s="7"/>
      <c r="AH701" s="7"/>
      <c r="AI701" s="7"/>
      <c r="AJ701" s="7"/>
      <c r="AK701" s="7"/>
      <c r="AL701" s="7"/>
      <c r="AM701" s="7"/>
      <c r="AN701" s="7"/>
      <c r="AO701" s="6"/>
      <c r="AP701" s="7"/>
      <c r="AQ701" s="7"/>
      <c r="AR701" s="6"/>
      <c r="AS701" s="7"/>
      <c r="AT701" s="7"/>
      <c r="AU701" s="7"/>
      <c r="AV701" s="7"/>
      <c r="AW701" s="7"/>
      <c r="AX701" s="7"/>
      <c r="AY701" s="7"/>
      <c r="AZ701" s="7"/>
      <c r="BA701" s="7"/>
      <c r="BB701" s="7"/>
      <c r="BC701" s="7"/>
      <c r="BD701" s="7"/>
      <c r="BE701" s="7"/>
      <c r="BF701" s="7"/>
      <c r="BG701" s="7"/>
    </row>
    <row r="702" customHeight="1" spans="1:59">
      <c r="A702" s="9" t="str">
        <f>IFERROR(__xludf.DUMMYFUNCTION("""COMPUTED_VALUE"""),"microTech 39")</f>
        <v>microTech 39</v>
      </c>
      <c r="B702" s="5" t="str">
        <f>IFERROR(__xludf.DUMMYFUNCTION("""COMPUTED_VALUE"""),"microTech 47")</f>
        <v>microTech 47</v>
      </c>
      <c r="C702" s="5" t="str">
        <f>IFERROR(__xludf.DUMMYFUNCTION("""COMPUTED_VALUE"""),"microTech 59")</f>
        <v>microTech 59</v>
      </c>
      <c r="D702" s="23" t="str">
        <f>IFERROR(__xludf.DUMMYFUNCTION("""COMPUTED_VALUE"""),"Settlement 35R")</f>
        <v>Settlement 35R</v>
      </c>
      <c r="E702" s="7" t="str">
        <f>IFERROR(__xludf.DUMMYFUNCTION("""COMPUTED_VALUE"""),"Settlement 35R")</f>
        <v>Settlement 35R</v>
      </c>
      <c r="F702" s="11">
        <f>IFERROR(__xludf.DUMMYFUNCTION("""COMPUTED_VALUE"""),808.969948483)</f>
        <v>808.969948483</v>
      </c>
      <c r="G702" s="11">
        <f>IFERROR(__xludf.DUMMYFUNCTION("""COMPUTED_VALUE"""),416.799127286)</f>
        <v>416.799127286</v>
      </c>
      <c r="H702" s="11">
        <f>IFERROR(__xludf.DUMMYFUNCTION("""COMPUTED_VALUE"""),415.698917468)</f>
        <v>415.698917468</v>
      </c>
      <c r="I702" s="15"/>
      <c r="J702" s="15"/>
      <c r="K702" s="15"/>
      <c r="L702" s="15"/>
      <c r="M702" s="7" t="b">
        <f>IFERROR(__xludf.DUMMYFUNCTION("""COMPUTED_VALUE"""),FALSE)</f>
        <v>0</v>
      </c>
      <c r="N702" s="10">
        <f>IFERROR(__xludf.DUMMYFUNCTION("""COMPUTED_VALUE"""),0)</f>
        <v>0</v>
      </c>
      <c r="O702" s="10">
        <f>IFERROR(__xludf.DUMMYFUNCTION("""COMPUTED_VALUE"""),0)</f>
        <v>0</v>
      </c>
      <c r="P702" s="8"/>
      <c r="Q702" s="7"/>
      <c r="R702" s="16"/>
      <c r="S702" s="17"/>
      <c r="T702" s="8"/>
      <c r="U702" s="8"/>
      <c r="V702" s="22"/>
      <c r="W702" s="12"/>
      <c r="X702" s="12"/>
      <c r="Y702" s="12"/>
      <c r="Z702" s="12"/>
      <c r="AA702" s="7"/>
      <c r="AB702" s="12"/>
      <c r="AC702" s="6"/>
      <c r="AD702" s="6"/>
      <c r="AE702" s="7"/>
      <c r="AF702" s="7"/>
      <c r="AG702" s="7"/>
      <c r="AH702" s="7"/>
      <c r="AI702" s="7"/>
      <c r="AJ702" s="7"/>
      <c r="AK702" s="7"/>
      <c r="AL702" s="7"/>
      <c r="AM702" s="7"/>
      <c r="AN702" s="7"/>
      <c r="AO702" s="6"/>
      <c r="AP702" s="7"/>
      <c r="AQ702" s="7"/>
      <c r="AR702" s="6"/>
      <c r="AS702" s="7"/>
      <c r="AT702" s="7"/>
      <c r="AU702" s="7"/>
      <c r="AV702" s="7"/>
      <c r="AW702" s="7"/>
      <c r="AX702" s="7"/>
      <c r="AY702" s="7"/>
      <c r="AZ702" s="7"/>
      <c r="BA702" s="7"/>
      <c r="BB702" s="7"/>
      <c r="BC702" s="7"/>
      <c r="BD702" s="7"/>
      <c r="BE702" s="7"/>
      <c r="BF702" s="7"/>
      <c r="BG702" s="7"/>
    </row>
    <row r="703" customHeight="1" spans="1:59">
      <c r="A703" s="9" t="str">
        <f>IFERROR(__xludf.DUMMYFUNCTION("""COMPUTED_VALUE"""),"microTech 40")</f>
        <v>microTech 40</v>
      </c>
      <c r="B703" s="5" t="str">
        <f>IFERROR(__xludf.DUMMYFUNCTION("""COMPUTED_VALUE"""),"microTech 48")</f>
        <v>microTech 48</v>
      </c>
      <c r="C703" s="5" t="str">
        <f>IFERROR(__xludf.DUMMYFUNCTION("""COMPUTED_VALUE"""),"microTech 55")</f>
        <v>microTech 55</v>
      </c>
      <c r="D703" s="5" t="str">
        <f>IFERROR(__xludf.DUMMYFUNCTION("""COMPUTED_VALUE"""),"Settlement 36T")</f>
        <v>Settlement 36T</v>
      </c>
      <c r="E703" s="7" t="str">
        <f>IFERROR(__xludf.DUMMYFUNCTION("""COMPUTED_VALUE"""),"Settlement 36T")</f>
        <v>Settlement 36T</v>
      </c>
      <c r="F703" s="11">
        <f>IFERROR(__xludf.DUMMYFUNCTION("""COMPUTED_VALUE"""),559.167050289)</f>
        <v>559.167050289</v>
      </c>
      <c r="G703" s="11">
        <f>IFERROR(__xludf.DUMMYFUNCTION("""COMPUTED_VALUE"""),386.753813170999)</f>
        <v>386.753813170999</v>
      </c>
      <c r="H703" s="11">
        <f>IFERROR(__xludf.DUMMYFUNCTION("""COMPUTED_VALUE"""),733.407084939999)</f>
        <v>733.407084939999</v>
      </c>
      <c r="I703" s="15"/>
      <c r="J703" s="15"/>
      <c r="K703" s="15"/>
      <c r="L703" s="15"/>
      <c r="M703" s="7" t="b">
        <f>IFERROR(__xludf.DUMMYFUNCTION("""COMPUTED_VALUE"""),FALSE)</f>
        <v>0</v>
      </c>
      <c r="N703" s="10">
        <f>IFERROR(__xludf.DUMMYFUNCTION("""COMPUTED_VALUE"""),0)</f>
        <v>0</v>
      </c>
      <c r="O703" s="10">
        <f>IFERROR(__xludf.DUMMYFUNCTION("""COMPUTED_VALUE"""),0)</f>
        <v>0</v>
      </c>
      <c r="P703" s="8"/>
      <c r="Q703" s="7"/>
      <c r="R703" s="16"/>
      <c r="S703" s="17"/>
      <c r="T703" s="8"/>
      <c r="U703" s="8"/>
      <c r="V703" s="22"/>
      <c r="W703" s="12"/>
      <c r="X703" s="12"/>
      <c r="Y703" s="12"/>
      <c r="Z703" s="12"/>
      <c r="AA703" s="7"/>
      <c r="AB703" s="12"/>
      <c r="AC703" s="6"/>
      <c r="AD703" s="6"/>
      <c r="AE703" s="7"/>
      <c r="AF703" s="7"/>
      <c r="AG703" s="7"/>
      <c r="AH703" s="7"/>
      <c r="AI703" s="7"/>
      <c r="AJ703" s="7"/>
      <c r="AK703" s="7"/>
      <c r="AL703" s="7"/>
      <c r="AM703" s="7"/>
      <c r="AN703" s="7"/>
      <c r="AO703" s="6"/>
      <c r="AP703" s="7"/>
      <c r="AQ703" s="7"/>
      <c r="AR703" s="6"/>
      <c r="AS703" s="7"/>
      <c r="AT703" s="7"/>
      <c r="AU703" s="7"/>
      <c r="AV703" s="7"/>
      <c r="AW703" s="7"/>
      <c r="AX703" s="7"/>
      <c r="AY703" s="7"/>
      <c r="AZ703" s="7"/>
      <c r="BA703" s="7"/>
      <c r="BB703" s="7"/>
      <c r="BC703" s="7"/>
      <c r="BD703" s="7"/>
      <c r="BE703" s="7"/>
      <c r="BF703" s="7"/>
      <c r="BG703" s="7"/>
    </row>
    <row r="704" customHeight="1" spans="1:59">
      <c r="A704" s="9" t="str">
        <f>IFERROR(__xludf.DUMMYFUNCTION("""COMPUTED_VALUE"""),"microTech 41")</f>
        <v>microTech 41</v>
      </c>
      <c r="B704" s="5" t="str">
        <f>IFERROR(__xludf.DUMMYFUNCTION("""COMPUTED_VALUE"""),"microTech 49")</f>
        <v>microTech 49</v>
      </c>
      <c r="C704" s="5" t="str">
        <f>IFERROR(__xludf.DUMMYFUNCTION("""COMPUTED_VALUE"""),"microTech 54")</f>
        <v>microTech 54</v>
      </c>
      <c r="D704" s="5" t="str">
        <f>IFERROR(__xludf.DUMMYFUNCTION("""COMPUTED_VALUE"""),"Settlement 36U")</f>
        <v>Settlement 36U</v>
      </c>
      <c r="E704" s="7" t="str">
        <f>IFERROR(__xludf.DUMMYFUNCTION("""COMPUTED_VALUE"""),"Settlement 36U")</f>
        <v>Settlement 36U</v>
      </c>
      <c r="F704" s="11">
        <f>IFERROR(__xludf.DUMMYFUNCTION("""COMPUTED_VALUE"""),517.841119621)</f>
        <v>517.841119621</v>
      </c>
      <c r="G704" s="11">
        <f>IFERROR(__xludf.DUMMYFUNCTION("""COMPUTED_VALUE"""),361.649282301)</f>
        <v>361.649282301</v>
      </c>
      <c r="H704" s="11">
        <f>IFERROR(__xludf.DUMMYFUNCTION("""COMPUTED_VALUE"""),777.067530642)</f>
        <v>777.067530642</v>
      </c>
      <c r="I704" s="15"/>
      <c r="J704" s="15"/>
      <c r="K704" s="15"/>
      <c r="L704" s="15"/>
      <c r="M704" s="7" t="b">
        <f>IFERROR(__xludf.DUMMYFUNCTION("""COMPUTED_VALUE"""),FALSE)</f>
        <v>0</v>
      </c>
      <c r="N704" s="10">
        <f>IFERROR(__xludf.DUMMYFUNCTION("""COMPUTED_VALUE"""),0)</f>
        <v>0</v>
      </c>
      <c r="O704" s="10">
        <f>IFERROR(__xludf.DUMMYFUNCTION("""COMPUTED_VALUE"""),0)</f>
        <v>0</v>
      </c>
      <c r="P704" s="8"/>
      <c r="Q704" s="7"/>
      <c r="R704" s="16"/>
      <c r="S704" s="17"/>
      <c r="T704" s="8"/>
      <c r="U704" s="8"/>
      <c r="V704" s="22"/>
      <c r="W704" s="12"/>
      <c r="X704" s="12"/>
      <c r="Y704" s="12"/>
      <c r="Z704" s="12"/>
      <c r="AA704" s="7"/>
      <c r="AB704" s="12"/>
      <c r="AC704" s="6"/>
      <c r="AD704" s="6"/>
      <c r="AE704" s="7"/>
      <c r="AF704" s="7"/>
      <c r="AG704" s="7"/>
      <c r="AH704" s="7"/>
      <c r="AI704" s="7"/>
      <c r="AJ704" s="7"/>
      <c r="AK704" s="7"/>
      <c r="AL704" s="7"/>
      <c r="AM704" s="7"/>
      <c r="AN704" s="7"/>
      <c r="AO704" s="6"/>
      <c r="AP704" s="7"/>
      <c r="AQ704" s="7"/>
      <c r="AR704" s="6"/>
      <c r="AS704" s="7"/>
      <c r="AT704" s="7"/>
      <c r="AU704" s="7"/>
      <c r="AV704" s="7"/>
      <c r="AW704" s="7"/>
      <c r="AX704" s="7"/>
      <c r="AY704" s="7"/>
      <c r="AZ704" s="7"/>
      <c r="BA704" s="7"/>
      <c r="BB704" s="7"/>
      <c r="BC704" s="7"/>
      <c r="BD704" s="7"/>
      <c r="BE704" s="7"/>
      <c r="BF704" s="7"/>
      <c r="BG704" s="7"/>
    </row>
    <row r="705" customHeight="1" spans="1:59">
      <c r="A705" s="9" t="str">
        <f>IFERROR(__xludf.DUMMYFUNCTION("""COMPUTED_VALUE"""),"microTech 42")</f>
        <v>microTech 42</v>
      </c>
      <c r="B705" s="5" t="str">
        <f>IFERROR(__xludf.DUMMYFUNCTION("""COMPUTED_VALUE"""),"microTech 50")</f>
        <v>microTech 50</v>
      </c>
      <c r="C705" s="5" t="str">
        <f>IFERROR(__xludf.DUMMYFUNCTION("""COMPUTED_VALUE"""),"microTech 56")</f>
        <v>microTech 56</v>
      </c>
      <c r="D705" s="5" t="str">
        <f>IFERROR(__xludf.DUMMYFUNCTION("""COMPUTED_VALUE"""),"Settlement 36X")</f>
        <v>Settlement 36X</v>
      </c>
      <c r="E705" s="7" t="str">
        <f>IFERROR(__xludf.DUMMYFUNCTION("""COMPUTED_VALUE"""),"Settlement 36X")</f>
        <v>Settlement 36X</v>
      </c>
      <c r="F705" s="11">
        <f>IFERROR(__xludf.DUMMYFUNCTION("""COMPUTED_VALUE"""),242.686449006999)</f>
        <v>242.686449006999</v>
      </c>
      <c r="G705" s="11">
        <f>IFERROR(__xludf.DUMMYFUNCTION("""COMPUTED_VALUE"""),159.040409961)</f>
        <v>159.040409961</v>
      </c>
      <c r="H705" s="11">
        <f>IFERROR(__xludf.DUMMYFUNCTION("""COMPUTED_VALUE"""),957.158602271)</f>
        <v>957.158602271</v>
      </c>
      <c r="I705" s="15"/>
      <c r="J705" s="15"/>
      <c r="K705" s="15"/>
      <c r="L705" s="15"/>
      <c r="M705" s="7" t="b">
        <f>IFERROR(__xludf.DUMMYFUNCTION("""COMPUTED_VALUE"""),FALSE)</f>
        <v>0</v>
      </c>
      <c r="N705" s="10">
        <f>IFERROR(__xludf.DUMMYFUNCTION("""COMPUTED_VALUE"""),0)</f>
        <v>0</v>
      </c>
      <c r="O705" s="10">
        <f>IFERROR(__xludf.DUMMYFUNCTION("""COMPUTED_VALUE"""),0)</f>
        <v>0</v>
      </c>
      <c r="P705" s="8"/>
      <c r="Q705" s="7"/>
      <c r="R705" s="16"/>
      <c r="S705" s="17"/>
      <c r="T705" s="8"/>
      <c r="U705" s="8"/>
      <c r="V705" s="22"/>
      <c r="W705" s="12"/>
      <c r="X705" s="12"/>
      <c r="Y705" s="12"/>
      <c r="Z705" s="12"/>
      <c r="AA705" s="7"/>
      <c r="AB705" s="12"/>
      <c r="AC705" s="6"/>
      <c r="AD705" s="6"/>
      <c r="AE705" s="7"/>
      <c r="AF705" s="7"/>
      <c r="AG705" s="7"/>
      <c r="AH705" s="7"/>
      <c r="AI705" s="7"/>
      <c r="AJ705" s="7"/>
      <c r="AK705" s="7"/>
      <c r="AL705" s="7"/>
      <c r="AM705" s="7"/>
      <c r="AN705" s="7"/>
      <c r="AO705" s="6"/>
      <c r="AP705" s="7"/>
      <c r="AQ705" s="7"/>
      <c r="AR705" s="6"/>
      <c r="AS705" s="7"/>
      <c r="AT705" s="7"/>
      <c r="AU705" s="7"/>
      <c r="AV705" s="7"/>
      <c r="AW705" s="7"/>
      <c r="AX705" s="7"/>
      <c r="AY705" s="7"/>
      <c r="AZ705" s="7"/>
      <c r="BA705" s="7"/>
      <c r="BB705" s="7"/>
      <c r="BC705" s="7"/>
      <c r="BD705" s="7"/>
      <c r="BE705" s="7"/>
      <c r="BF705" s="7"/>
      <c r="BG705" s="7"/>
    </row>
    <row r="706" customHeight="1" spans="1:59">
      <c r="A706" s="9" t="str">
        <f>IFERROR(__xludf.DUMMYFUNCTION("""COMPUTED_VALUE"""),"microTech 43")</f>
        <v>microTech 43</v>
      </c>
      <c r="B706" s="5" t="str">
        <f>IFERROR(__xludf.DUMMYFUNCTION("""COMPUTED_VALUE"""),"microTech 51")</f>
        <v>microTech 51</v>
      </c>
      <c r="C706" s="5" t="str">
        <f>IFERROR(__xludf.DUMMYFUNCTION("""COMPUTED_VALUE"""),"microTech 47")</f>
        <v>microTech 47</v>
      </c>
      <c r="D706" s="5" t="str">
        <f>IFERROR(__xludf.DUMMYFUNCTION("""COMPUTED_VALUE"""),"Settlement 38U")</f>
        <v>Settlement 38U</v>
      </c>
      <c r="E706" s="7" t="str">
        <f>IFERROR(__xludf.DUMMYFUNCTION("""COMPUTED_VALUE"""),"Settlement 38U")</f>
        <v>Settlement 38U</v>
      </c>
      <c r="F706" s="11">
        <f>IFERROR(__xludf.DUMMYFUNCTION("""COMPUTED_VALUE"""),488.986771232999)</f>
        <v>488.986771232999</v>
      </c>
      <c r="G706" s="11">
        <f>IFERROR(__xludf.DUMMYFUNCTION("""COMPUTED_VALUE"""),440.90672323)</f>
        <v>440.90672323</v>
      </c>
      <c r="H706" s="11">
        <f>IFERROR(__xludf.DUMMYFUNCTION("""COMPUTED_VALUE"""),753.943556719999)</f>
        <v>753.943556719999</v>
      </c>
      <c r="I706" s="15"/>
      <c r="J706" s="15"/>
      <c r="K706" s="15"/>
      <c r="L706" s="15"/>
      <c r="M706" s="7" t="b">
        <f>IFERROR(__xludf.DUMMYFUNCTION("""COMPUTED_VALUE"""),FALSE)</f>
        <v>0</v>
      </c>
      <c r="N706" s="10">
        <f>IFERROR(__xludf.DUMMYFUNCTION("""COMPUTED_VALUE"""),0)</f>
        <v>0</v>
      </c>
      <c r="O706" s="10">
        <f>IFERROR(__xludf.DUMMYFUNCTION("""COMPUTED_VALUE"""),0)</f>
        <v>0</v>
      </c>
      <c r="P706" s="8"/>
      <c r="Q706" s="7"/>
      <c r="R706" s="16"/>
      <c r="S706" s="17"/>
      <c r="T706" s="8"/>
      <c r="U706" s="8"/>
      <c r="V706" s="22"/>
      <c r="W706" s="12"/>
      <c r="X706" s="12"/>
      <c r="Y706" s="12"/>
      <c r="Z706" s="12"/>
      <c r="AA706" s="7"/>
      <c r="AB706" s="12"/>
      <c r="AC706" s="6"/>
      <c r="AD706" s="6"/>
      <c r="AE706" s="7"/>
      <c r="AF706" s="7"/>
      <c r="AG706" s="7"/>
      <c r="AH706" s="7"/>
      <c r="AI706" s="7"/>
      <c r="AJ706" s="7"/>
      <c r="AK706" s="7"/>
      <c r="AL706" s="7"/>
      <c r="AM706" s="7"/>
      <c r="AN706" s="7"/>
      <c r="AO706" s="6"/>
      <c r="AP706" s="7"/>
      <c r="AQ706" s="7"/>
      <c r="AR706" s="6"/>
      <c r="AS706" s="7"/>
      <c r="AT706" s="7"/>
      <c r="AU706" s="7"/>
      <c r="AV706" s="7"/>
      <c r="AW706" s="7"/>
      <c r="AX706" s="7"/>
      <c r="AY706" s="7"/>
      <c r="AZ706" s="7"/>
      <c r="BA706" s="7"/>
      <c r="BB706" s="7"/>
      <c r="BC706" s="7"/>
      <c r="BD706" s="7"/>
      <c r="BE706" s="7"/>
      <c r="BF706" s="7"/>
      <c r="BG706" s="7"/>
    </row>
    <row r="707" customHeight="1" spans="1:59">
      <c r="A707" s="9" t="str">
        <f>IFERROR(__xludf.DUMMYFUNCTION("""COMPUTED_VALUE"""),"microTech 44")</f>
        <v>microTech 44</v>
      </c>
      <c r="B707" s="5" t="str">
        <f>IFERROR(__xludf.DUMMYFUNCTION("""COMPUTED_VALUE"""),"microTech 52")</f>
        <v>microTech 52</v>
      </c>
      <c r="C707" s="5" t="str">
        <f>IFERROR(__xludf.DUMMYFUNCTION("""COMPUTED_VALUE"""),"microTech 30")</f>
        <v>microTech 30</v>
      </c>
      <c r="D707" s="5" t="str">
        <f>IFERROR(__xludf.DUMMYFUNCTION("""COMPUTED_VALUE"""),"Settlement 50K")</f>
        <v>Settlement 50K</v>
      </c>
      <c r="E707" s="7" t="str">
        <f>IFERROR(__xludf.DUMMYFUNCTION("""COMPUTED_VALUE"""),"Settlement 50K")</f>
        <v>Settlement 50K</v>
      </c>
      <c r="F707" s="11">
        <f>IFERROR(__xludf.DUMMYFUNCTION("""COMPUTED_VALUE"""),-458.492768339)</f>
        <v>-458.492768339</v>
      </c>
      <c r="G707" s="11">
        <f>IFERROR(__xludf.DUMMYFUNCTION("""COMPUTED_VALUE"""),807.380966956999)</f>
        <v>807.380966956999</v>
      </c>
      <c r="H707" s="11">
        <f>IFERROR(__xludf.DUMMYFUNCTION("""COMPUTED_VALUE"""),-371.930131793999)</f>
        <v>-371.930131793999</v>
      </c>
      <c r="I707" s="15"/>
      <c r="J707" s="15"/>
      <c r="K707" s="15"/>
      <c r="L707" s="15"/>
      <c r="M707" s="7" t="b">
        <f>IFERROR(__xludf.DUMMYFUNCTION("""COMPUTED_VALUE"""),FALSE)</f>
        <v>0</v>
      </c>
      <c r="N707" s="10">
        <f>IFERROR(__xludf.DUMMYFUNCTION("""COMPUTED_VALUE"""),0)</f>
        <v>0</v>
      </c>
      <c r="O707" s="10">
        <f>IFERROR(__xludf.DUMMYFUNCTION("""COMPUTED_VALUE"""),0)</f>
        <v>0</v>
      </c>
      <c r="P707" s="8"/>
      <c r="Q707" s="7"/>
      <c r="R707" s="16"/>
      <c r="S707" s="17"/>
      <c r="T707" s="8"/>
      <c r="U707" s="8"/>
      <c r="V707" s="22"/>
      <c r="W707" s="12"/>
      <c r="X707" s="12"/>
      <c r="Y707" s="12"/>
      <c r="Z707" s="12"/>
      <c r="AA707" s="7"/>
      <c r="AB707" s="12"/>
      <c r="AC707" s="6"/>
      <c r="AD707" s="6"/>
      <c r="AE707" s="7"/>
      <c r="AF707" s="7"/>
      <c r="AG707" s="7"/>
      <c r="AH707" s="7"/>
      <c r="AI707" s="7"/>
      <c r="AJ707" s="7"/>
      <c r="AK707" s="7"/>
      <c r="AL707" s="7"/>
      <c r="AM707" s="7"/>
      <c r="AN707" s="7"/>
      <c r="AO707" s="6"/>
      <c r="AP707" s="7"/>
      <c r="AQ707" s="7"/>
      <c r="AR707" s="6"/>
      <c r="AS707" s="7"/>
      <c r="AT707" s="7"/>
      <c r="AU707" s="7"/>
      <c r="AV707" s="7"/>
      <c r="AW707" s="7"/>
      <c r="AX707" s="7"/>
      <c r="AY707" s="7"/>
      <c r="AZ707" s="7"/>
      <c r="BA707" s="7"/>
      <c r="BB707" s="7"/>
      <c r="BC707" s="7"/>
      <c r="BD707" s="7"/>
      <c r="BE707" s="7"/>
      <c r="BF707" s="7"/>
      <c r="BG707" s="7"/>
    </row>
    <row r="708" customHeight="1" spans="1:59">
      <c r="A708" s="9" t="str">
        <f>IFERROR(__xludf.DUMMYFUNCTION("""COMPUTED_VALUE"""),"microTech")</f>
        <v>microTech</v>
      </c>
      <c r="B708" s="5" t="str">
        <f>IFERROR(__xludf.DUMMYFUNCTION("""COMPUTED_VALUE"""),"microTech 54")</f>
        <v>microTech 54</v>
      </c>
      <c r="C708" s="5"/>
      <c r="D708" s="5" t="str">
        <f>IFERROR(__xludf.DUMMYFUNCTION("""COMPUTED_VALUE"""),"Caves")</f>
        <v>Caves</v>
      </c>
      <c r="E708" s="7"/>
      <c r="F708" s="11"/>
      <c r="G708" s="11"/>
      <c r="H708" s="11"/>
      <c r="I708" s="15"/>
      <c r="J708" s="15"/>
      <c r="K708" s="15"/>
      <c r="L708" s="15"/>
      <c r="M708" s="7"/>
      <c r="N708" s="10"/>
      <c r="O708" s="10"/>
      <c r="P708" s="8"/>
      <c r="Q708" s="7"/>
      <c r="R708" s="16"/>
      <c r="S708" s="17"/>
      <c r="T708" s="8"/>
      <c r="U708" s="8"/>
      <c r="V708" s="22"/>
      <c r="W708" s="12"/>
      <c r="X708" s="12"/>
      <c r="Y708" s="12"/>
      <c r="Z708" s="12"/>
      <c r="AA708" s="7"/>
      <c r="AB708" s="12"/>
      <c r="AC708" s="6"/>
      <c r="AD708" s="6"/>
      <c r="AE708" s="7"/>
      <c r="AF708" s="7"/>
      <c r="AG708" s="7"/>
      <c r="AH708" s="7"/>
      <c r="AI708" s="7"/>
      <c r="AJ708" s="7"/>
      <c r="AK708" s="7"/>
      <c r="AL708" s="7"/>
      <c r="AM708" s="7"/>
      <c r="AN708" s="7"/>
      <c r="AO708" s="6"/>
      <c r="AP708" s="7"/>
      <c r="AQ708" s="7"/>
      <c r="AR708" s="6"/>
      <c r="AS708" s="7"/>
      <c r="AT708" s="7"/>
      <c r="AU708" s="7"/>
      <c r="AV708" s="7"/>
      <c r="AW708" s="7"/>
      <c r="AX708" s="7"/>
      <c r="AY708" s="7"/>
      <c r="AZ708" s="7"/>
      <c r="BA708" s="7"/>
      <c r="BB708" s="7"/>
      <c r="BC708" s="7"/>
      <c r="BD708" s="7"/>
      <c r="BE708" s="7"/>
      <c r="BF708" s="7"/>
      <c r="BG708" s="7"/>
    </row>
    <row r="709" customHeight="1" spans="1:59">
      <c r="A709" s="9" t="str">
        <f>IFERROR(__xludf.DUMMYFUNCTION("""COMPUTED_VALUE"""),"microTech 46")</f>
        <v>microTech 46</v>
      </c>
      <c r="B709" s="5" t="str">
        <f>IFERROR(__xludf.DUMMYFUNCTION("""COMPUTED_VALUE"""),"microTech 56")</f>
        <v>microTech 56</v>
      </c>
      <c r="C709" s="5" t="str">
        <f>IFERROR(__xludf.DUMMYFUNCTION("""COMPUTED_VALUE"""),"microTech 74")</f>
        <v>microTech 74</v>
      </c>
      <c r="D709" s="5" t="str">
        <f>IFERROR(__xludf.DUMMYFUNCTION("""COMPUTED_VALUE"""),"Rock Cave 27N")</f>
        <v>Rock Cave 27N</v>
      </c>
      <c r="E709" s="7" t="str">
        <f>IFERROR(__xludf.DUMMYFUNCTION("""COMPUTED_VALUE"""),"RCave 27N")</f>
        <v>RCave 27N</v>
      </c>
      <c r="F709" s="11">
        <f>IFERROR(__xludf.DUMMYFUNCTION("""COMPUTED_VALUE"""),914.966506301299)</f>
        <v>914.966506301299</v>
      </c>
      <c r="G709" s="11">
        <f>IFERROR(__xludf.DUMMYFUNCTION("""COMPUTED_VALUE"""),-405.202815290598)</f>
        <v>-405.202815290598</v>
      </c>
      <c r="H709" s="11">
        <f>IFERROR(__xludf.DUMMYFUNCTION("""COMPUTED_VALUE"""),40.824910437408)</f>
        <v>40.824910437408</v>
      </c>
      <c r="I709" s="15"/>
      <c r="J709" s="15"/>
      <c r="K709" s="15"/>
      <c r="L709" s="15"/>
      <c r="M709" s="7" t="b">
        <f>IFERROR(__xludf.DUMMYFUNCTION("""COMPUTED_VALUE"""),FALSE)</f>
        <v>0</v>
      </c>
      <c r="N709" s="10">
        <f>IFERROR(__xludf.DUMMYFUNCTION("""COMPUTED_VALUE"""),0)</f>
        <v>0</v>
      </c>
      <c r="O709" s="10">
        <f>IFERROR(__xludf.DUMMYFUNCTION("""COMPUTED_VALUE"""),0)</f>
        <v>0</v>
      </c>
      <c r="P709" s="8"/>
      <c r="Q709" s="7"/>
      <c r="R709" s="16"/>
      <c r="S709" s="17"/>
      <c r="T709" s="8"/>
      <c r="U709" s="8"/>
      <c r="V709" s="22"/>
      <c r="W709" s="12"/>
      <c r="X709" s="12"/>
      <c r="Y709" s="12"/>
      <c r="Z709" s="12"/>
      <c r="AA709" s="7"/>
      <c r="AB709" s="12"/>
      <c r="AC709" s="6"/>
      <c r="AD709" s="6"/>
      <c r="AE709" s="7"/>
      <c r="AF709" s="7"/>
      <c r="AG709" s="7"/>
      <c r="AH709" s="7"/>
      <c r="AI709" s="7"/>
      <c r="AJ709" s="7"/>
      <c r="AK709" s="7"/>
      <c r="AL709" s="7"/>
      <c r="AM709" s="7"/>
      <c r="AN709" s="7"/>
      <c r="AO709" s="6"/>
      <c r="AP709" s="7"/>
      <c r="AQ709" s="7"/>
      <c r="AR709" s="6"/>
      <c r="AS709" s="7"/>
      <c r="AT709" s="7"/>
      <c r="AU709" s="7"/>
      <c r="AV709" s="7"/>
      <c r="AW709" s="7"/>
      <c r="AX709" s="7"/>
      <c r="AY709" s="7"/>
      <c r="AZ709" s="7"/>
      <c r="BA709" s="7"/>
      <c r="BB709" s="7"/>
      <c r="BC709" s="7"/>
      <c r="BD709" s="7"/>
      <c r="BE709" s="7"/>
      <c r="BF709" s="7"/>
      <c r="BG709" s="7"/>
    </row>
    <row r="710" customHeight="1" spans="1:59">
      <c r="A710" s="9" t="str">
        <f>IFERROR(__xludf.DUMMYFUNCTION("""COMPUTED_VALUE"""),"microTech 47")</f>
        <v>microTech 47</v>
      </c>
      <c r="B710" s="5" t="str">
        <f>IFERROR(__xludf.DUMMYFUNCTION("""COMPUTED_VALUE"""),"microTech 57")</f>
        <v>microTech 57</v>
      </c>
      <c r="C710" s="5" t="str">
        <f>IFERROR(__xludf.DUMMYFUNCTION("""COMPUTED_VALUE"""),"microTech 68")</f>
        <v>microTech 68</v>
      </c>
      <c r="D710" s="5" t="str">
        <f>IFERROR(__xludf.DUMMYFUNCTION("""COMPUTED_VALUE"""),"Rock Cave 30Q")</f>
        <v>Rock Cave 30Q</v>
      </c>
      <c r="E710" s="7" t="str">
        <f>IFERROR(__xludf.DUMMYFUNCTION("""COMPUTED_VALUE"""),"RCave 30Q")</f>
        <v>RCave 30Q</v>
      </c>
      <c r="F710" s="11">
        <f>IFERROR(__xludf.DUMMYFUNCTION("""COMPUTED_VALUE"""),940.940022176765)</f>
        <v>940.940022176765</v>
      </c>
      <c r="G710" s="11">
        <f>IFERROR(__xludf.DUMMYFUNCTION("""COMPUTED_VALUE"""),-23.790363417196)</f>
        <v>-23.790363417196</v>
      </c>
      <c r="H710" s="11">
        <f>IFERROR(__xludf.DUMMYFUNCTION("""COMPUTED_VALUE"""),343.678614255491)</f>
        <v>343.678614255491</v>
      </c>
      <c r="I710" s="15"/>
      <c r="J710" s="15"/>
      <c r="K710" s="15"/>
      <c r="L710" s="15"/>
      <c r="M710" s="7" t="b">
        <f>IFERROR(__xludf.DUMMYFUNCTION("""COMPUTED_VALUE"""),FALSE)</f>
        <v>0</v>
      </c>
      <c r="N710" s="10">
        <f>IFERROR(__xludf.DUMMYFUNCTION("""COMPUTED_VALUE"""),0)</f>
        <v>0</v>
      </c>
      <c r="O710" s="10">
        <f>IFERROR(__xludf.DUMMYFUNCTION("""COMPUTED_VALUE"""),0)</f>
        <v>0</v>
      </c>
      <c r="P710" s="8"/>
      <c r="Q710" s="7"/>
      <c r="R710" s="16"/>
      <c r="S710" s="17"/>
      <c r="T710" s="8"/>
      <c r="U710" s="8"/>
      <c r="V710" s="22"/>
      <c r="W710" s="12"/>
      <c r="X710" s="12"/>
      <c r="Y710" s="12"/>
      <c r="Z710" s="12"/>
      <c r="AA710" s="7"/>
      <c r="AB710" s="12"/>
      <c r="AC710" s="6"/>
      <c r="AD710" s="6"/>
      <c r="AE710" s="7"/>
      <c r="AF710" s="7"/>
      <c r="AG710" s="7"/>
      <c r="AH710" s="7"/>
      <c r="AI710" s="7"/>
      <c r="AJ710" s="7"/>
      <c r="AK710" s="7"/>
      <c r="AL710" s="7"/>
      <c r="AM710" s="7"/>
      <c r="AN710" s="7"/>
      <c r="AO710" s="6"/>
      <c r="AP710" s="7"/>
      <c r="AQ710" s="7"/>
      <c r="AR710" s="6"/>
      <c r="AS710" s="7"/>
      <c r="AT710" s="7"/>
      <c r="AU710" s="7"/>
      <c r="AV710" s="7"/>
      <c r="AW710" s="7"/>
      <c r="AX710" s="7"/>
      <c r="AY710" s="7"/>
      <c r="AZ710" s="7"/>
      <c r="BA710" s="7"/>
      <c r="BB710" s="7"/>
      <c r="BC710" s="7"/>
      <c r="BD710" s="7"/>
      <c r="BE710" s="7"/>
      <c r="BF710" s="7"/>
      <c r="BG710" s="7"/>
    </row>
    <row r="711" customHeight="1" spans="1:59">
      <c r="A711" s="9" t="str">
        <f>IFERROR(__xludf.DUMMYFUNCTION("""COMPUTED_VALUE"""),"microTech 48")</f>
        <v>microTech 48</v>
      </c>
      <c r="B711" s="5" t="str">
        <f>IFERROR(__xludf.DUMMYFUNCTION("""COMPUTED_VALUE"""),"microTech 58")</f>
        <v>microTech 58</v>
      </c>
      <c r="C711" s="5" t="str">
        <f>IFERROR(__xludf.DUMMYFUNCTION("""COMPUTED_VALUE"""),"microTech 57")</f>
        <v>microTech 57</v>
      </c>
      <c r="D711" s="5" t="str">
        <f>IFERROR(__xludf.DUMMYFUNCTION("""COMPUTED_VALUE"""),"Rock Cave 35S")</f>
        <v>Rock Cave 35S</v>
      </c>
      <c r="E711" s="7" t="str">
        <f>IFERROR(__xludf.DUMMYFUNCTION("""COMPUTED_VALUE"""),"RCave 35S")</f>
        <v>RCave 35S</v>
      </c>
      <c r="F711" s="11">
        <f>IFERROR(__xludf.DUMMYFUNCTION("""COMPUTED_VALUE"""),679.115112802588)</f>
        <v>679.115112802588</v>
      </c>
      <c r="G711" s="11">
        <f>IFERROR(__xludf.DUMMYFUNCTION("""COMPUTED_VALUE"""),379.184993189556)</f>
        <v>379.184993189556</v>
      </c>
      <c r="H711" s="11">
        <f>IFERROR(__xludf.DUMMYFUNCTION("""COMPUTED_VALUE"""),630.074051183402)</f>
        <v>630.074051183402</v>
      </c>
      <c r="I711" s="15"/>
      <c r="J711" s="15"/>
      <c r="K711" s="15"/>
      <c r="L711" s="15"/>
      <c r="M711" s="7" t="b">
        <f>IFERROR(__xludf.DUMMYFUNCTION("""COMPUTED_VALUE"""),FALSE)</f>
        <v>0</v>
      </c>
      <c r="N711" s="10">
        <f>IFERROR(__xludf.DUMMYFUNCTION("""COMPUTED_VALUE"""),0)</f>
        <v>0</v>
      </c>
      <c r="O711" s="10">
        <f>IFERROR(__xludf.DUMMYFUNCTION("""COMPUTED_VALUE"""),0)</f>
        <v>0</v>
      </c>
      <c r="P711" s="8"/>
      <c r="Q711" s="7"/>
      <c r="R711" s="16"/>
      <c r="S711" s="17"/>
      <c r="T711" s="8"/>
      <c r="U711" s="8"/>
      <c r="V711" s="22"/>
      <c r="W711" s="12"/>
      <c r="X711" s="12"/>
      <c r="Y711" s="12"/>
      <c r="Z711" s="12"/>
      <c r="AA711" s="7"/>
      <c r="AB711" s="12"/>
      <c r="AC711" s="6"/>
      <c r="AD711" s="6"/>
      <c r="AE711" s="7"/>
      <c r="AF711" s="7"/>
      <c r="AG711" s="7"/>
      <c r="AH711" s="7"/>
      <c r="AI711" s="7"/>
      <c r="AJ711" s="7"/>
      <c r="AK711" s="7"/>
      <c r="AL711" s="7"/>
      <c r="AM711" s="7"/>
      <c r="AN711" s="7"/>
      <c r="AO711" s="6"/>
      <c r="AP711" s="7"/>
      <c r="AQ711" s="7"/>
      <c r="AR711" s="6"/>
      <c r="AS711" s="7"/>
      <c r="AT711" s="7"/>
      <c r="AU711" s="7"/>
      <c r="AV711" s="7"/>
      <c r="AW711" s="7"/>
      <c r="AX711" s="7"/>
      <c r="AY711" s="7"/>
      <c r="AZ711" s="7"/>
      <c r="BA711" s="7"/>
      <c r="BB711" s="7"/>
      <c r="BC711" s="7"/>
      <c r="BD711" s="7"/>
      <c r="BE711" s="7"/>
      <c r="BF711" s="7"/>
      <c r="BG711" s="7"/>
    </row>
    <row r="712" customHeight="1" spans="1:59">
      <c r="A712" s="9" t="str">
        <f>IFERROR(__xludf.DUMMYFUNCTION("""COMPUTED_VALUE"""),"microTech 49")</f>
        <v>microTech 49</v>
      </c>
      <c r="B712" s="5" t="str">
        <f>IFERROR(__xludf.DUMMYFUNCTION("""COMPUTED_VALUE"""),"microTech 59")</f>
        <v>microTech 59</v>
      </c>
      <c r="C712" s="5" t="str">
        <f>IFERROR(__xludf.DUMMYFUNCTION("""COMPUTED_VALUE"""),"microTech 46")</f>
        <v>microTech 46</v>
      </c>
      <c r="D712" s="5" t="str">
        <f>IFERROR(__xludf.DUMMYFUNCTION("""COMPUTED_VALUE"""),"Rock Cave 38U")</f>
        <v>Rock Cave 38U</v>
      </c>
      <c r="E712" s="7" t="str">
        <f>IFERROR(__xludf.DUMMYFUNCTION("""COMPUTED_VALUE"""),"RCave 38U")</f>
        <v>RCave 38U</v>
      </c>
      <c r="F712" s="11">
        <f>IFERROR(__xludf.DUMMYFUNCTION("""COMPUTED_VALUE"""),495.284955224999)</f>
        <v>495.284955224999</v>
      </c>
      <c r="G712" s="11">
        <f>IFERROR(__xludf.DUMMYFUNCTION("""COMPUTED_VALUE"""),446.712846874999)</f>
        <v>446.712846874999</v>
      </c>
      <c r="H712" s="11">
        <f>IFERROR(__xludf.DUMMYFUNCTION("""COMPUTED_VALUE"""),749.188305691999)</f>
        <v>749.188305691999</v>
      </c>
      <c r="I712" s="15"/>
      <c r="J712" s="15"/>
      <c r="K712" s="15"/>
      <c r="L712" s="15"/>
      <c r="M712" s="7" t="b">
        <f>IFERROR(__xludf.DUMMYFUNCTION("""COMPUTED_VALUE"""),FALSE)</f>
        <v>0</v>
      </c>
      <c r="N712" s="10">
        <f>IFERROR(__xludf.DUMMYFUNCTION("""COMPUTED_VALUE"""),0)</f>
        <v>0</v>
      </c>
      <c r="O712" s="10">
        <f>IFERROR(__xludf.DUMMYFUNCTION("""COMPUTED_VALUE"""),0)</f>
        <v>0</v>
      </c>
      <c r="P712" s="8"/>
      <c r="Q712" s="7"/>
      <c r="R712" s="16"/>
      <c r="S712" s="17"/>
      <c r="T712" s="8"/>
      <c r="U712" s="8"/>
      <c r="V712" s="22"/>
      <c r="W712" s="12"/>
      <c r="X712" s="12"/>
      <c r="Y712" s="12"/>
      <c r="Z712" s="12"/>
      <c r="AA712" s="7"/>
      <c r="AB712" s="12"/>
      <c r="AC712" s="6"/>
      <c r="AD712" s="6"/>
      <c r="AE712" s="7"/>
      <c r="AF712" s="7"/>
      <c r="AG712" s="7"/>
      <c r="AH712" s="7"/>
      <c r="AI712" s="7"/>
      <c r="AJ712" s="7"/>
      <c r="AK712" s="7"/>
      <c r="AL712" s="7"/>
      <c r="AM712" s="7"/>
      <c r="AN712" s="7"/>
      <c r="AO712" s="6"/>
      <c r="AP712" s="7"/>
      <c r="AQ712" s="7"/>
      <c r="AR712" s="6"/>
      <c r="AS712" s="7"/>
      <c r="AT712" s="7"/>
      <c r="AU712" s="7"/>
      <c r="AV712" s="7"/>
      <c r="AW712" s="7"/>
      <c r="AX712" s="7"/>
      <c r="AY712" s="7"/>
      <c r="AZ712" s="7"/>
      <c r="BA712" s="7"/>
      <c r="BB712" s="7"/>
      <c r="BC712" s="7"/>
      <c r="BD712" s="7"/>
      <c r="BE712" s="7"/>
      <c r="BF712" s="7"/>
      <c r="BG712" s="7"/>
    </row>
    <row r="713" customHeight="1" spans="1:59">
      <c r="A713" s="9" t="str">
        <f>IFERROR(__xludf.DUMMYFUNCTION("""COMPUTED_VALUE"""),"microTech 45")</f>
        <v>microTech 45</v>
      </c>
      <c r="B713" s="5" t="str">
        <f>IFERROR(__xludf.DUMMYFUNCTION("""COMPUTED_VALUE"""),"microTech 55")</f>
        <v>microTech 55</v>
      </c>
      <c r="C713" s="5" t="str">
        <f>IFERROR(__xludf.DUMMYFUNCTION("""COMPUTED_VALUE"""),"microTech 78")</f>
        <v>microTech 78</v>
      </c>
      <c r="D713" s="5" t="str">
        <f>IFERROR(__xludf.DUMMYFUNCTION("""COMPUTED_VALUE"""),"Rock Cave 22W")</f>
        <v>Rock Cave 22W</v>
      </c>
      <c r="E713" s="7" t="str">
        <f>IFERROR(__xludf.DUMMYFUNCTION("""COMPUTED_VALUE"""),"RCave 22W")</f>
        <v>RCave 22W</v>
      </c>
      <c r="F713" s="11">
        <f>IFERROR(__xludf.DUMMYFUNCTION("""COMPUTED_VALUE"""),209.18863974215)</f>
        <v>209.18863974215</v>
      </c>
      <c r="G713" s="11">
        <f>IFERROR(__xludf.DUMMYFUNCTION("""COMPUTED_VALUE"""),-260.050155152496)</f>
        <v>-260.050155152496</v>
      </c>
      <c r="H713" s="11">
        <f>IFERROR(__xludf.DUMMYFUNCTION("""COMPUTED_VALUE"""),944.768433512743)</f>
        <v>944.768433512743</v>
      </c>
      <c r="I713" s="15"/>
      <c r="J713" s="15"/>
      <c r="K713" s="15"/>
      <c r="L713" s="15"/>
      <c r="M713" s="7" t="b">
        <f>IFERROR(__xludf.DUMMYFUNCTION("""COMPUTED_VALUE"""),FALSE)</f>
        <v>0</v>
      </c>
      <c r="N713" s="10">
        <f>IFERROR(__xludf.DUMMYFUNCTION("""COMPUTED_VALUE"""),0)</f>
        <v>0</v>
      </c>
      <c r="O713" s="10">
        <f>IFERROR(__xludf.DUMMYFUNCTION("""COMPUTED_VALUE"""),0)</f>
        <v>0</v>
      </c>
      <c r="P713" s="8"/>
      <c r="Q713" s="7"/>
      <c r="R713" s="16"/>
      <c r="S713" s="17"/>
      <c r="T713" s="8"/>
      <c r="U713" s="8"/>
      <c r="V713" s="22"/>
      <c r="W713" s="12"/>
      <c r="X713" s="12"/>
      <c r="Y713" s="12"/>
      <c r="Z713" s="12"/>
      <c r="AA713" s="7"/>
      <c r="AB713" s="12"/>
      <c r="AC713" s="6"/>
      <c r="AD713" s="6"/>
      <c r="AE713" s="7"/>
      <c r="AF713" s="7"/>
      <c r="AG713" s="7"/>
      <c r="AH713" s="7"/>
      <c r="AI713" s="7"/>
      <c r="AJ713" s="7"/>
      <c r="AK713" s="7"/>
      <c r="AL713" s="7"/>
      <c r="AM713" s="7"/>
      <c r="AN713" s="7"/>
      <c r="AO713" s="6"/>
      <c r="AP713" s="7"/>
      <c r="AQ713" s="7"/>
      <c r="AR713" s="6"/>
      <c r="AS713" s="7"/>
      <c r="AT713" s="7"/>
      <c r="AU713" s="7"/>
      <c r="AV713" s="7"/>
      <c r="AW713" s="7"/>
      <c r="AX713" s="7"/>
      <c r="AY713" s="7"/>
      <c r="AZ713" s="7"/>
      <c r="BA713" s="7"/>
      <c r="BB713" s="7"/>
      <c r="BC713" s="7"/>
      <c r="BD713" s="7"/>
      <c r="BE713" s="7"/>
      <c r="BF713" s="7"/>
      <c r="BG713" s="7"/>
    </row>
    <row r="714" customHeight="1" spans="1:59">
      <c r="A714" s="9" t="str">
        <f>IFERROR(__xludf.DUMMYFUNCTION("""COMPUTED_VALUE"""),"microTech 50")</f>
        <v>microTech 50</v>
      </c>
      <c r="B714" s="5" t="str">
        <f>IFERROR(__xludf.DUMMYFUNCTION("""COMPUTED_VALUE"""),"microTech 60")</f>
        <v>microTech 60</v>
      </c>
      <c r="C714" s="5" t="str">
        <f>IFERROR(__xludf.DUMMYFUNCTION("""COMPUTED_VALUE"""),"microTech 31")</f>
        <v>microTech 31</v>
      </c>
      <c r="D714" s="5" t="str">
        <f>IFERROR(__xludf.DUMMYFUNCTION("""COMPUTED_VALUE"""),"Rock Cave 50M")</f>
        <v>Rock Cave 50M</v>
      </c>
      <c r="E714" s="7" t="str">
        <f>IFERROR(__xludf.DUMMYFUNCTION("""COMPUTED_VALUE"""),"RCave 50M")</f>
        <v>RCave 50M</v>
      </c>
      <c r="F714" s="11">
        <f>IFERROR(__xludf.DUMMYFUNCTION("""COMPUTED_VALUE"""),-428.145065818594)</f>
        <v>-428.145065818594</v>
      </c>
      <c r="G714" s="11">
        <f>IFERROR(__xludf.DUMMYFUNCTION("""COMPUTED_VALUE"""),903.758319505118)</f>
        <v>903.758319505118</v>
      </c>
      <c r="H714" s="11">
        <f>IFERROR(__xludf.DUMMYFUNCTION("""COMPUTED_VALUE"""),-31.123730709993)</f>
        <v>-31.123730709993</v>
      </c>
      <c r="I714" s="15"/>
      <c r="J714" s="15"/>
      <c r="K714" s="15"/>
      <c r="L714" s="15"/>
      <c r="M714" s="7" t="b">
        <f>IFERROR(__xludf.DUMMYFUNCTION("""COMPUTED_VALUE"""),FALSE)</f>
        <v>0</v>
      </c>
      <c r="N714" s="10">
        <f>IFERROR(__xludf.DUMMYFUNCTION("""COMPUTED_VALUE"""),0)</f>
        <v>0</v>
      </c>
      <c r="O714" s="10">
        <f>IFERROR(__xludf.DUMMYFUNCTION("""COMPUTED_VALUE"""),0)</f>
        <v>0</v>
      </c>
      <c r="P714" s="8"/>
      <c r="Q714" s="7"/>
      <c r="R714" s="16"/>
      <c r="S714" s="17"/>
      <c r="T714" s="8"/>
      <c r="U714" s="8"/>
      <c r="V714" s="22"/>
      <c r="W714" s="12"/>
      <c r="X714" s="12"/>
      <c r="Y714" s="12"/>
      <c r="Z714" s="12"/>
      <c r="AA714" s="7"/>
      <c r="AB714" s="12"/>
      <c r="AC714" s="6"/>
      <c r="AD714" s="6"/>
      <c r="AE714" s="7"/>
      <c r="AF714" s="7"/>
      <c r="AG714" s="7"/>
      <c r="AH714" s="7"/>
      <c r="AI714" s="7"/>
      <c r="AJ714" s="7"/>
      <c r="AK714" s="7"/>
      <c r="AL714" s="7"/>
      <c r="AM714" s="7"/>
      <c r="AN714" s="7"/>
      <c r="AO714" s="6"/>
      <c r="AP714" s="7"/>
      <c r="AQ714" s="7"/>
      <c r="AR714" s="6"/>
      <c r="AS714" s="7"/>
      <c r="AT714" s="7"/>
      <c r="AU714" s="7"/>
      <c r="AV714" s="7"/>
      <c r="AW714" s="7"/>
      <c r="AX714" s="7"/>
      <c r="AY714" s="7"/>
      <c r="AZ714" s="7"/>
      <c r="BA714" s="7"/>
      <c r="BB714" s="7"/>
      <c r="BC714" s="7"/>
      <c r="BD714" s="7"/>
      <c r="BE714" s="7"/>
      <c r="BF714" s="7"/>
      <c r="BG714" s="7"/>
    </row>
    <row r="715" customHeight="1" spans="1:59">
      <c r="A715" s="9" t="str">
        <f>IFERROR(__xludf.DUMMYFUNCTION("""COMPUTED_VALUE"""),"microTech")</f>
        <v>microTech</v>
      </c>
      <c r="B715" s="5" t="str">
        <f>IFERROR(__xludf.DUMMYFUNCTION("""COMPUTED_VALUE"""),"microTech 62")</f>
        <v>microTech 62</v>
      </c>
      <c r="C715" s="5"/>
      <c r="D715" s="5" t="str">
        <f>IFERROR(__xludf.DUMMYFUNCTION("""COMPUTED_VALUE"""),"Wrecks")</f>
        <v>Wrecks</v>
      </c>
      <c r="E715" s="7"/>
      <c r="F715" s="11"/>
      <c r="G715" s="11"/>
      <c r="H715" s="11"/>
      <c r="I715" s="15"/>
      <c r="J715" s="15"/>
      <c r="K715" s="15"/>
      <c r="L715" s="15"/>
      <c r="M715" s="7"/>
      <c r="N715" s="10"/>
      <c r="O715" s="10"/>
      <c r="P715" s="8"/>
      <c r="Q715" s="7"/>
      <c r="R715" s="16"/>
      <c r="S715" s="17"/>
      <c r="T715" s="8"/>
      <c r="U715" s="8"/>
      <c r="V715" s="22"/>
      <c r="W715" s="12"/>
      <c r="X715" s="12"/>
      <c r="Y715" s="12"/>
      <c r="Z715" s="12"/>
      <c r="AA715" s="7"/>
      <c r="AB715" s="12"/>
      <c r="AC715" s="6"/>
      <c r="AD715" s="6"/>
      <c r="AE715" s="7"/>
      <c r="AF715" s="7"/>
      <c r="AG715" s="7"/>
      <c r="AH715" s="7"/>
      <c r="AI715" s="7"/>
      <c r="AJ715" s="7"/>
      <c r="AK715" s="7"/>
      <c r="AL715" s="7"/>
      <c r="AM715" s="7"/>
      <c r="AN715" s="7"/>
      <c r="AO715" s="6"/>
      <c r="AP715" s="7"/>
      <c r="AQ715" s="7"/>
      <c r="AR715" s="6"/>
      <c r="AS715" s="7"/>
      <c r="AT715" s="7"/>
      <c r="AU715" s="7"/>
      <c r="AV715" s="7"/>
      <c r="AW715" s="7"/>
      <c r="AX715" s="7"/>
      <c r="AY715" s="7"/>
      <c r="AZ715" s="7"/>
      <c r="BA715" s="7"/>
      <c r="BB715" s="7"/>
      <c r="BC715" s="7"/>
      <c r="BD715" s="7"/>
      <c r="BE715" s="7"/>
      <c r="BF715" s="7"/>
      <c r="BG715" s="7"/>
    </row>
    <row r="716" customHeight="1" spans="1:59">
      <c r="A716" s="9" t="str">
        <f>IFERROR(__xludf.DUMMYFUNCTION("""COMPUTED_VALUE"""),"microTech 51")</f>
        <v>microTech 51</v>
      </c>
      <c r="B716" s="5" t="str">
        <f>IFERROR(__xludf.DUMMYFUNCTION("""COMPUTED_VALUE"""),"microTech 63")</f>
        <v>microTech 63</v>
      </c>
      <c r="C716" s="5" t="str">
        <f>IFERROR(__xludf.DUMMYFUNCTION("""COMPUTED_VALUE"""),"microTech 61")</f>
        <v>microTech 61</v>
      </c>
      <c r="D716" s="5" t="str">
        <f>IFERROR(__xludf.DUMMYFUNCTION("""COMPUTED_VALUE"""),"Caterpillar Wreck 34V")</f>
        <v>Caterpillar Wreck 34V</v>
      </c>
      <c r="E716" s="7" t="str">
        <f>IFERROR(__xludf.DUMMYFUNCTION("""COMPUTED_VALUE"""),"Caterpillar 34V")</f>
        <v>Caterpillar 34V</v>
      </c>
      <c r="F716" s="11">
        <f>IFERROR(__xludf.DUMMYFUNCTION("""COMPUTED_VALUE"""),422.030565493172)</f>
        <v>422.030565493172</v>
      </c>
      <c r="G716" s="11">
        <f>IFERROR(__xludf.DUMMYFUNCTION("""COMPUTED_VALUE"""),170.8188762115)</f>
        <v>170.8188762115</v>
      </c>
      <c r="H716" s="11">
        <f>IFERROR(__xludf.DUMMYFUNCTION("""COMPUTED_VALUE"""),890.497381315684)</f>
        <v>890.497381315684</v>
      </c>
      <c r="I716" s="15"/>
      <c r="J716" s="15"/>
      <c r="K716" s="15"/>
      <c r="L716" s="15"/>
      <c r="M716" s="7" t="b">
        <f>IFERROR(__xludf.DUMMYFUNCTION("""COMPUTED_VALUE"""),FALSE)</f>
        <v>0</v>
      </c>
      <c r="N716" s="10">
        <f>IFERROR(__xludf.DUMMYFUNCTION("""COMPUTED_VALUE"""),0)</f>
        <v>0</v>
      </c>
      <c r="O716" s="10">
        <f>IFERROR(__xludf.DUMMYFUNCTION("""COMPUTED_VALUE"""),0)</f>
        <v>0</v>
      </c>
      <c r="P716" s="8"/>
      <c r="Q716" s="7"/>
      <c r="R716" s="16"/>
      <c r="S716" s="17"/>
      <c r="T716" s="8"/>
      <c r="U716" s="8"/>
      <c r="V716" s="22"/>
      <c r="W716" s="12"/>
      <c r="X716" s="12"/>
      <c r="Y716" s="12"/>
      <c r="Z716" s="12"/>
      <c r="AA716" s="7"/>
      <c r="AB716" s="12"/>
      <c r="AC716" s="6"/>
      <c r="AD716" s="6"/>
      <c r="AE716" s="7"/>
      <c r="AF716" s="7"/>
      <c r="AG716" s="7"/>
      <c r="AH716" s="7"/>
      <c r="AI716" s="7"/>
      <c r="AJ716" s="7"/>
      <c r="AK716" s="7"/>
      <c r="AL716" s="7"/>
      <c r="AM716" s="7"/>
      <c r="AN716" s="7"/>
      <c r="AO716" s="6"/>
      <c r="AP716" s="7"/>
      <c r="AQ716" s="7"/>
      <c r="AR716" s="6"/>
      <c r="AS716" s="7"/>
      <c r="AT716" s="7"/>
      <c r="AU716" s="7"/>
      <c r="AV716" s="7"/>
      <c r="AW716" s="7"/>
      <c r="AX716" s="7"/>
      <c r="AY716" s="7"/>
      <c r="AZ716" s="7"/>
      <c r="BA716" s="7"/>
      <c r="BB716" s="7"/>
      <c r="BC716" s="7"/>
      <c r="BD716" s="7"/>
      <c r="BE716" s="7"/>
      <c r="BF716" s="7"/>
      <c r="BG716" s="7"/>
    </row>
    <row r="717" customHeight="1" spans="1:59">
      <c r="A717" s="9" t="str">
        <f>IFERROR(__xludf.DUMMYFUNCTION("""COMPUTED_VALUE"""),"microTech 52")</f>
        <v>microTech 52</v>
      </c>
      <c r="B717" s="5" t="str">
        <f>IFERROR(__xludf.DUMMYFUNCTION("""COMPUTED_VALUE"""),"microTech 64")</f>
        <v>microTech 64</v>
      </c>
      <c r="C717" s="5" t="str">
        <f>IFERROR(__xludf.DUMMYFUNCTION("""COMPUTED_VALUE"""),"microTech 34")</f>
        <v>microTech 34</v>
      </c>
      <c r="D717" s="5" t="str">
        <f>IFERROR(__xludf.DUMMYFUNCTION("""COMPUTED_VALUE"""),"Caterpillar Wreck 47M")</f>
        <v>Caterpillar Wreck 47M</v>
      </c>
      <c r="E717" s="7" t="str">
        <f>IFERROR(__xludf.DUMMYFUNCTION("""COMPUTED_VALUE"""),"Caterpillar 47M")</f>
        <v>Caterpillar 47M</v>
      </c>
      <c r="F717" s="11">
        <f>IFERROR(__xludf.DUMMYFUNCTION("""COMPUTED_VALUE"""),-174.985191389468)</f>
        <v>-174.985191389468</v>
      </c>
      <c r="G717" s="11">
        <f>IFERROR(__xludf.DUMMYFUNCTION("""COMPUTED_VALUE"""),978.25858424416)</f>
        <v>978.25858424416</v>
      </c>
      <c r="H717" s="11">
        <f>IFERROR(__xludf.DUMMYFUNCTION("""COMPUTED_VALUE"""),-116.906611973531)</f>
        <v>-116.906611973531</v>
      </c>
      <c r="I717" s="15"/>
      <c r="J717" s="15"/>
      <c r="K717" s="15"/>
      <c r="L717" s="15"/>
      <c r="M717" s="7" t="b">
        <f>IFERROR(__xludf.DUMMYFUNCTION("""COMPUTED_VALUE"""),FALSE)</f>
        <v>0</v>
      </c>
      <c r="N717" s="10">
        <f>IFERROR(__xludf.DUMMYFUNCTION("""COMPUTED_VALUE"""),0)</f>
        <v>0</v>
      </c>
      <c r="O717" s="10">
        <f>IFERROR(__xludf.DUMMYFUNCTION("""COMPUTED_VALUE"""),0)</f>
        <v>0</v>
      </c>
      <c r="P717" s="8"/>
      <c r="Q717" s="7"/>
      <c r="R717" s="16"/>
      <c r="S717" s="17"/>
      <c r="T717" s="8"/>
      <c r="U717" s="8"/>
      <c r="V717" s="22"/>
      <c r="W717" s="12"/>
      <c r="X717" s="12"/>
      <c r="Y717" s="12"/>
      <c r="Z717" s="12"/>
      <c r="AA717" s="7"/>
      <c r="AB717" s="12"/>
      <c r="AC717" s="6"/>
      <c r="AD717" s="6"/>
      <c r="AE717" s="7"/>
      <c r="AF717" s="7"/>
      <c r="AG717" s="7"/>
      <c r="AH717" s="7"/>
      <c r="AI717" s="7"/>
      <c r="AJ717" s="7"/>
      <c r="AK717" s="7"/>
      <c r="AL717" s="7"/>
      <c r="AM717" s="7"/>
      <c r="AN717" s="7"/>
      <c r="AO717" s="6"/>
      <c r="AP717" s="7"/>
      <c r="AQ717" s="7"/>
      <c r="AR717" s="6"/>
      <c r="AS717" s="7"/>
      <c r="AT717" s="7"/>
      <c r="AU717" s="7"/>
      <c r="AV717" s="7"/>
      <c r="AW717" s="7"/>
      <c r="AX717" s="7"/>
      <c r="AY717" s="7"/>
      <c r="AZ717" s="7"/>
      <c r="BA717" s="7"/>
      <c r="BB717" s="7"/>
      <c r="BC717" s="7"/>
      <c r="BD717" s="7"/>
      <c r="BE717" s="7"/>
      <c r="BF717" s="7"/>
      <c r="BG717" s="7"/>
    </row>
    <row r="718" customHeight="1" spans="1:59">
      <c r="A718" s="9" t="str">
        <f>IFERROR(__xludf.DUMMYFUNCTION("""COMPUTED_VALUE"""),"microTech 53")</f>
        <v>microTech 53</v>
      </c>
      <c r="B718" s="5" t="str">
        <f>IFERROR(__xludf.DUMMYFUNCTION("""COMPUTED_VALUE"""),"microTech 65")</f>
        <v>microTech 65</v>
      </c>
      <c r="C718" s="5" t="str">
        <f>IFERROR(__xludf.DUMMYFUNCTION("""COMPUTED_VALUE"""),"microTech 25")</f>
        <v>microTech 25</v>
      </c>
      <c r="D718" s="5" t="str">
        <f>IFERROR(__xludf.DUMMYFUNCTION("""COMPUTED_VALUE"""),"Caterpillar Wreck 52W")</f>
        <v>Caterpillar Wreck 52W</v>
      </c>
      <c r="E718" s="7" t="str">
        <f>IFERROR(__xludf.DUMMYFUNCTION("""COMPUTED_VALUE"""),"Caterpillar 52W")</f>
        <v>Caterpillar 52W</v>
      </c>
      <c r="F718" s="11">
        <f>IFERROR(__xludf.DUMMYFUNCTION("""COMPUTED_VALUE"""),-267.953108728863)</f>
        <v>-267.953108728863</v>
      </c>
      <c r="G718" s="11">
        <f>IFERROR(__xludf.DUMMYFUNCTION("""COMPUTED_VALUE"""),310.782251487106)</f>
        <v>310.782251487106</v>
      </c>
      <c r="H718" s="11">
        <f>IFERROR(__xludf.DUMMYFUNCTION("""COMPUTED_VALUE"""),912.085579711613)</f>
        <v>912.085579711613</v>
      </c>
      <c r="I718" s="15"/>
      <c r="J718" s="15"/>
      <c r="K718" s="15"/>
      <c r="L718" s="15"/>
      <c r="M718" s="7" t="b">
        <f>IFERROR(__xludf.DUMMYFUNCTION("""COMPUTED_VALUE"""),FALSE)</f>
        <v>0</v>
      </c>
      <c r="N718" s="10">
        <f>IFERROR(__xludf.DUMMYFUNCTION("""COMPUTED_VALUE"""),0)</f>
        <v>0</v>
      </c>
      <c r="O718" s="10">
        <f>IFERROR(__xludf.DUMMYFUNCTION("""COMPUTED_VALUE"""),0)</f>
        <v>0</v>
      </c>
      <c r="P718" s="8"/>
      <c r="Q718" s="7"/>
      <c r="R718" s="16"/>
      <c r="S718" s="17"/>
      <c r="T718" s="8"/>
      <c r="U718" s="8"/>
      <c r="V718" s="22"/>
      <c r="W718" s="12"/>
      <c r="X718" s="12"/>
      <c r="Y718" s="12"/>
      <c r="Z718" s="12"/>
      <c r="AA718" s="7"/>
      <c r="AB718" s="12"/>
      <c r="AC718" s="6"/>
      <c r="AD718" s="6"/>
      <c r="AE718" s="7"/>
      <c r="AF718" s="7"/>
      <c r="AG718" s="7"/>
      <c r="AH718" s="7"/>
      <c r="AI718" s="7"/>
      <c r="AJ718" s="7"/>
      <c r="AK718" s="7"/>
      <c r="AL718" s="7"/>
      <c r="AM718" s="7"/>
      <c r="AN718" s="7"/>
      <c r="AO718" s="6"/>
      <c r="AP718" s="7"/>
      <c r="AQ718" s="7"/>
      <c r="AR718" s="6"/>
      <c r="AS718" s="7"/>
      <c r="AT718" s="7"/>
      <c r="AU718" s="7"/>
      <c r="AV718" s="7"/>
      <c r="AW718" s="7"/>
      <c r="AX718" s="7"/>
      <c r="AY718" s="7"/>
      <c r="AZ718" s="7"/>
      <c r="BA718" s="7"/>
      <c r="BB718" s="7"/>
      <c r="BC718" s="7"/>
      <c r="BD718" s="7"/>
      <c r="BE718" s="7"/>
      <c r="BF718" s="7"/>
      <c r="BG718" s="7"/>
    </row>
    <row r="719" customHeight="1" spans="1:59">
      <c r="A719" s="9" t="str">
        <f>IFERROR(__xludf.DUMMYFUNCTION("""COMPUTED_VALUE"""),"microTech 54")</f>
        <v>microTech 54</v>
      </c>
      <c r="B719" s="5" t="str">
        <f>IFERROR(__xludf.DUMMYFUNCTION("""COMPUTED_VALUE"""),"microTech 66")</f>
        <v>microTech 66</v>
      </c>
      <c r="C719" s="5" t="str">
        <f>IFERROR(__xludf.DUMMYFUNCTION("""COMPUTED_VALUE"""),"microTech 14")</f>
        <v>microTech 14</v>
      </c>
      <c r="D719" s="5" t="str">
        <f>IFERROR(__xludf.DUMMYFUNCTION("""COMPUTED_VALUE"""),"Caterpillar Wreck 53W")</f>
        <v>Caterpillar Wreck 53W</v>
      </c>
      <c r="E719" s="7" t="str">
        <f>IFERROR(__xludf.DUMMYFUNCTION("""COMPUTED_VALUE"""),"Caterpillar 53W")</f>
        <v>Caterpillar 53W</v>
      </c>
      <c r="F719" s="11">
        <f>IFERROR(__xludf.DUMMYFUNCTION("""COMPUTED_VALUE"""),-223.633552985958)</f>
        <v>-223.633552985958</v>
      </c>
      <c r="G719" s="11">
        <f>IFERROR(__xludf.DUMMYFUNCTION("""COMPUTED_VALUE"""),218.51939659621)</f>
        <v>218.51939659621</v>
      </c>
      <c r="H719" s="11">
        <f>IFERROR(__xludf.DUMMYFUNCTION("""COMPUTED_VALUE"""),949.902150956804)</f>
        <v>949.902150956804</v>
      </c>
      <c r="I719" s="15"/>
      <c r="J719" s="15"/>
      <c r="K719" s="15"/>
      <c r="L719" s="15"/>
      <c r="M719" s="7" t="b">
        <f>IFERROR(__xludf.DUMMYFUNCTION("""COMPUTED_VALUE"""),FALSE)</f>
        <v>0</v>
      </c>
      <c r="N719" s="10">
        <f>IFERROR(__xludf.DUMMYFUNCTION("""COMPUTED_VALUE"""),0)</f>
        <v>0</v>
      </c>
      <c r="O719" s="10">
        <f>IFERROR(__xludf.DUMMYFUNCTION("""COMPUTED_VALUE"""),0)</f>
        <v>0</v>
      </c>
      <c r="P719" s="8"/>
      <c r="Q719" s="7"/>
      <c r="R719" s="16"/>
      <c r="S719" s="17"/>
      <c r="T719" s="8"/>
      <c r="U719" s="8"/>
      <c r="V719" s="22"/>
      <c r="W719" s="12"/>
      <c r="X719" s="12"/>
      <c r="Y719" s="12"/>
      <c r="Z719" s="12"/>
      <c r="AA719" s="7"/>
      <c r="AB719" s="12"/>
      <c r="AC719" s="6"/>
      <c r="AD719" s="6"/>
      <c r="AE719" s="7"/>
      <c r="AF719" s="7"/>
      <c r="AG719" s="7"/>
      <c r="AH719" s="7"/>
      <c r="AI719" s="7"/>
      <c r="AJ719" s="7"/>
      <c r="AK719" s="7"/>
      <c r="AL719" s="7"/>
      <c r="AM719" s="7"/>
      <c r="AN719" s="7"/>
      <c r="AO719" s="6"/>
      <c r="AP719" s="7"/>
      <c r="AQ719" s="7"/>
      <c r="AR719" s="6"/>
      <c r="AS719" s="7"/>
      <c r="AT719" s="7"/>
      <c r="AU719" s="7"/>
      <c r="AV719" s="7"/>
      <c r="AW719" s="7"/>
      <c r="AX719" s="7"/>
      <c r="AY719" s="7"/>
      <c r="AZ719" s="7"/>
      <c r="BA719" s="7"/>
      <c r="BB719" s="7"/>
      <c r="BC719" s="7"/>
      <c r="BD719" s="7"/>
      <c r="BE719" s="7"/>
      <c r="BF719" s="7"/>
      <c r="BG719" s="7"/>
    </row>
    <row r="720" customHeight="1" spans="1:59">
      <c r="A720" s="9" t="str">
        <f>IFERROR(__xludf.DUMMYFUNCTION("""COMPUTED_VALUE"""),"microTech 55")</f>
        <v>microTech 55</v>
      </c>
      <c r="B720" s="5" t="str">
        <f>IFERROR(__xludf.DUMMYFUNCTION("""COMPUTED_VALUE"""),"microTech 67")</f>
        <v>microTech 67</v>
      </c>
      <c r="C720" s="5" t="str">
        <f>IFERROR(__xludf.DUMMYFUNCTION("""COMPUTED_VALUE"""),"microTech 87")</f>
        <v>microTech 87</v>
      </c>
      <c r="D720" s="5" t="str">
        <f>IFERROR(__xludf.DUMMYFUNCTION("""COMPUTED_VALUE"""),"Constellation Wreck 08N")</f>
        <v>Constellation Wreck 08N</v>
      </c>
      <c r="E720" s="7" t="str">
        <f>IFERROR(__xludf.DUMMYFUNCTION("""COMPUTED_VALUE"""),"Constellation 08N")</f>
        <v>Constellation 08N</v>
      </c>
      <c r="F720" s="11">
        <f>IFERROR(__xludf.DUMMYFUNCTION("""COMPUTED_VALUE"""),-676.717865094178)</f>
        <v>-676.717865094178</v>
      </c>
      <c r="G720" s="11">
        <f>IFERROR(__xludf.DUMMYFUNCTION("""COMPUTED_VALUE"""),-728.925426829962)</f>
        <v>-728.925426829962</v>
      </c>
      <c r="H720" s="11">
        <f>IFERROR(__xludf.DUMMYFUNCTION("""COMPUTED_VALUE"""),112.129584296142)</f>
        <v>112.129584296142</v>
      </c>
      <c r="I720" s="15"/>
      <c r="J720" s="15"/>
      <c r="K720" s="15"/>
      <c r="L720" s="15"/>
      <c r="M720" s="7" t="b">
        <f>IFERROR(__xludf.DUMMYFUNCTION("""COMPUTED_VALUE"""),FALSE)</f>
        <v>0</v>
      </c>
      <c r="N720" s="10">
        <f>IFERROR(__xludf.DUMMYFUNCTION("""COMPUTED_VALUE"""),0)</f>
        <v>0</v>
      </c>
      <c r="O720" s="10">
        <f>IFERROR(__xludf.DUMMYFUNCTION("""COMPUTED_VALUE"""),0)</f>
        <v>0</v>
      </c>
      <c r="P720" s="8"/>
      <c r="Q720" s="7"/>
      <c r="R720" s="16"/>
      <c r="S720" s="17"/>
      <c r="T720" s="8"/>
      <c r="U720" s="8"/>
      <c r="V720" s="22"/>
      <c r="W720" s="12"/>
      <c r="X720" s="12"/>
      <c r="Y720" s="12"/>
      <c r="Z720" s="12"/>
      <c r="AA720" s="7"/>
      <c r="AB720" s="12"/>
      <c r="AC720" s="6"/>
      <c r="AD720" s="6"/>
      <c r="AE720" s="7"/>
      <c r="AF720" s="7"/>
      <c r="AG720" s="7"/>
      <c r="AH720" s="7"/>
      <c r="AI720" s="7"/>
      <c r="AJ720" s="7"/>
      <c r="AK720" s="7"/>
      <c r="AL720" s="7"/>
      <c r="AM720" s="7"/>
      <c r="AN720" s="7"/>
      <c r="AO720" s="6"/>
      <c r="AP720" s="7"/>
      <c r="AQ720" s="7"/>
      <c r="AR720" s="6"/>
      <c r="AS720" s="7"/>
      <c r="AT720" s="7"/>
      <c r="AU720" s="7"/>
      <c r="AV720" s="7"/>
      <c r="AW720" s="7"/>
      <c r="AX720" s="7"/>
      <c r="AY720" s="7"/>
      <c r="AZ720" s="7"/>
      <c r="BA720" s="7"/>
      <c r="BB720" s="7"/>
      <c r="BC720" s="7"/>
      <c r="BD720" s="7"/>
      <c r="BE720" s="7"/>
      <c r="BF720" s="7"/>
      <c r="BG720" s="7"/>
    </row>
    <row r="721" customHeight="1" spans="1:59">
      <c r="A721" s="9" t="str">
        <f>IFERROR(__xludf.DUMMYFUNCTION("""COMPUTED_VALUE"""),"microTech 56")</f>
        <v>microTech 56</v>
      </c>
      <c r="B721" s="5" t="str">
        <f>IFERROR(__xludf.DUMMYFUNCTION("""COMPUTED_VALUE"""),"microTech 68")</f>
        <v>microTech 68</v>
      </c>
      <c r="C721" s="5" t="str">
        <f>IFERROR(__xludf.DUMMYFUNCTION("""COMPUTED_VALUE"""),"microTech 75")</f>
        <v>microTech 75</v>
      </c>
      <c r="D721" s="5" t="str">
        <f>IFERROR(__xludf.DUMMYFUNCTION("""COMPUTED_VALUE"""),"Constellation Wreck 26L")</f>
        <v>Constellation Wreck 26L</v>
      </c>
      <c r="E721" s="7" t="str">
        <f>IFERROR(__xludf.DUMMYFUNCTION("""COMPUTED_VALUE"""),"Constellation 26L")</f>
        <v>Constellation 26L</v>
      </c>
      <c r="F721" s="11">
        <f>IFERROR(__xludf.DUMMYFUNCTION("""COMPUTED_VALUE"""),875.200546632067)</f>
        <v>875.200546632067</v>
      </c>
      <c r="G721" s="11">
        <f>IFERROR(__xludf.DUMMYFUNCTION("""COMPUTED_VALUE"""),-465.380147321214)</f>
        <v>-465.380147321214</v>
      </c>
      <c r="H721" s="11">
        <f>IFERROR(__xludf.DUMMYFUNCTION("""COMPUTED_VALUE"""),-142.68191251041)</f>
        <v>-142.68191251041</v>
      </c>
      <c r="I721" s="15"/>
      <c r="J721" s="15"/>
      <c r="K721" s="15"/>
      <c r="L721" s="15"/>
      <c r="M721" s="7" t="b">
        <f>IFERROR(__xludf.DUMMYFUNCTION("""COMPUTED_VALUE"""),FALSE)</f>
        <v>0</v>
      </c>
      <c r="N721" s="10">
        <f>IFERROR(__xludf.DUMMYFUNCTION("""COMPUTED_VALUE"""),0)</f>
        <v>0</v>
      </c>
      <c r="O721" s="10">
        <f>IFERROR(__xludf.DUMMYFUNCTION("""COMPUTED_VALUE"""),0)</f>
        <v>0</v>
      </c>
      <c r="P721" s="8"/>
      <c r="Q721" s="7"/>
      <c r="R721" s="16"/>
      <c r="S721" s="17"/>
      <c r="T721" s="8"/>
      <c r="U721" s="8"/>
      <c r="V721" s="22"/>
      <c r="W721" s="12"/>
      <c r="X721" s="12"/>
      <c r="Y721" s="12"/>
      <c r="Z721" s="12"/>
      <c r="AA721" s="7"/>
      <c r="AB721" s="12"/>
      <c r="AC721" s="6"/>
      <c r="AD721" s="6"/>
      <c r="AE721" s="7"/>
      <c r="AF721" s="7"/>
      <c r="AG721" s="7"/>
      <c r="AH721" s="7"/>
      <c r="AI721" s="7"/>
      <c r="AJ721" s="7"/>
      <c r="AK721" s="7"/>
      <c r="AL721" s="7"/>
      <c r="AM721" s="7"/>
      <c r="AN721" s="7"/>
      <c r="AO721" s="6"/>
      <c r="AP721" s="7"/>
      <c r="AQ721" s="7"/>
      <c r="AR721" s="6"/>
      <c r="AS721" s="7"/>
      <c r="AT721" s="7"/>
      <c r="AU721" s="7"/>
      <c r="AV721" s="7"/>
      <c r="AW721" s="7"/>
      <c r="AX721" s="7"/>
      <c r="AY721" s="7"/>
      <c r="AZ721" s="7"/>
      <c r="BA721" s="7"/>
      <c r="BB721" s="7"/>
      <c r="BC721" s="7"/>
      <c r="BD721" s="7"/>
      <c r="BE721" s="7"/>
      <c r="BF721" s="7"/>
      <c r="BG721" s="7"/>
    </row>
    <row r="722" customHeight="1" spans="1:59">
      <c r="A722" s="9" t="str">
        <f>IFERROR(__xludf.DUMMYFUNCTION("""COMPUTED_VALUE"""),"microTech 57")</f>
        <v>microTech 57</v>
      </c>
      <c r="B722" s="5" t="str">
        <f>IFERROR(__xludf.DUMMYFUNCTION("""COMPUTED_VALUE"""),"microTech 69")</f>
        <v>microTech 69</v>
      </c>
      <c r="C722" s="5" t="str">
        <f>IFERROR(__xludf.DUMMYFUNCTION("""COMPUTED_VALUE"""),"microTech 40")</f>
        <v>microTech 40</v>
      </c>
      <c r="D722" s="5" t="str">
        <f>IFERROR(__xludf.DUMMYFUNCTION("""COMPUTED_VALUE"""),"Constellation Wreck 42M")</f>
        <v>Constellation Wreck 42M</v>
      </c>
      <c r="E722" s="7" t="str">
        <f>IFERROR(__xludf.DUMMYFUNCTION("""COMPUTED_VALUE"""),"Constellation 42M")</f>
        <v>Constellation 42M</v>
      </c>
      <c r="F722" s="11">
        <f>IFERROR(__xludf.DUMMYFUNCTION("""COMPUTED_VALUE"""),376.775847030883)</f>
        <v>376.775847030883</v>
      </c>
      <c r="G722" s="11">
        <f>IFERROR(__xludf.DUMMYFUNCTION("""COMPUTED_VALUE"""),920.915695519137)</f>
        <v>920.915695519137</v>
      </c>
      <c r="H722" s="11">
        <f>IFERROR(__xludf.DUMMYFUNCTION("""COMPUTED_VALUE"""),-105.955657172639)</f>
        <v>-105.955657172639</v>
      </c>
      <c r="I722" s="15"/>
      <c r="J722" s="15"/>
      <c r="K722" s="15"/>
      <c r="L722" s="15"/>
      <c r="M722" s="7" t="b">
        <f>IFERROR(__xludf.DUMMYFUNCTION("""COMPUTED_VALUE"""),FALSE)</f>
        <v>0</v>
      </c>
      <c r="N722" s="10">
        <f>IFERROR(__xludf.DUMMYFUNCTION("""COMPUTED_VALUE"""),0)</f>
        <v>0</v>
      </c>
      <c r="O722" s="10">
        <f>IFERROR(__xludf.DUMMYFUNCTION("""COMPUTED_VALUE"""),0)</f>
        <v>0</v>
      </c>
      <c r="P722" s="8"/>
      <c r="Q722" s="7"/>
      <c r="R722" s="16"/>
      <c r="S722" s="17"/>
      <c r="T722" s="8"/>
      <c r="U722" s="8"/>
      <c r="V722" s="22"/>
      <c r="W722" s="12"/>
      <c r="X722" s="12"/>
      <c r="Y722" s="12"/>
      <c r="Z722" s="12"/>
      <c r="AA722" s="7"/>
      <c r="AB722" s="12"/>
      <c r="AC722" s="6"/>
      <c r="AD722" s="6"/>
      <c r="AE722" s="7"/>
      <c r="AF722" s="7"/>
      <c r="AG722" s="7"/>
      <c r="AH722" s="7"/>
      <c r="AI722" s="7"/>
      <c r="AJ722" s="7"/>
      <c r="AK722" s="7"/>
      <c r="AL722" s="7"/>
      <c r="AM722" s="7"/>
      <c r="AN722" s="7"/>
      <c r="AO722" s="6"/>
      <c r="AP722" s="7"/>
      <c r="AQ722" s="7"/>
      <c r="AR722" s="6"/>
      <c r="AS722" s="7"/>
      <c r="AT722" s="7"/>
      <c r="AU722" s="7"/>
      <c r="AV722" s="7"/>
      <c r="AW722" s="7"/>
      <c r="AX722" s="7"/>
      <c r="AY722" s="7"/>
      <c r="AZ722" s="7"/>
      <c r="BA722" s="7"/>
      <c r="BB722" s="7"/>
      <c r="BC722" s="7"/>
      <c r="BD722" s="7"/>
      <c r="BE722" s="7"/>
      <c r="BF722" s="7"/>
      <c r="BG722" s="7"/>
    </row>
    <row r="723" customHeight="1" spans="1:59">
      <c r="A723" s="9" t="str">
        <f>IFERROR(__xludf.DUMMYFUNCTION("""COMPUTED_VALUE"""),"microTech 58")</f>
        <v>microTech 58</v>
      </c>
      <c r="B723" s="5" t="str">
        <f>IFERROR(__xludf.DUMMYFUNCTION("""COMPUTED_VALUE"""),"microTech 70")</f>
        <v>microTech 70</v>
      </c>
      <c r="C723" s="5" t="str">
        <f>IFERROR(__xludf.DUMMYFUNCTION("""COMPUTED_VALUE"""),"microTech 35")</f>
        <v>microTech 35</v>
      </c>
      <c r="D723" s="5" t="str">
        <f>IFERROR(__xludf.DUMMYFUNCTION("""COMPUTED_VALUE"""),"Constellation Wreck 47L")</f>
        <v>Constellation Wreck 47L</v>
      </c>
      <c r="E723" s="7" t="str">
        <f>IFERROR(__xludf.DUMMYFUNCTION("""COMPUTED_VALUE"""),"Constellation 47L")</f>
        <v>Constellation 47L</v>
      </c>
      <c r="F723" s="11">
        <f>IFERROR(__xludf.DUMMYFUNCTION("""COMPUTED_VALUE"""),-167.210361350261)</f>
        <v>-167.210361350261</v>
      </c>
      <c r="G723" s="11">
        <f>IFERROR(__xludf.DUMMYFUNCTION("""COMPUTED_VALUE"""),960.391198845134)</f>
        <v>960.391198845134</v>
      </c>
      <c r="H723" s="11">
        <f>IFERROR(__xludf.DUMMYFUNCTION("""COMPUTED_VALUE"""),-228.479705824038)</f>
        <v>-228.479705824038</v>
      </c>
      <c r="I723" s="15"/>
      <c r="J723" s="15"/>
      <c r="K723" s="15"/>
      <c r="L723" s="15"/>
      <c r="M723" s="7" t="b">
        <f>IFERROR(__xludf.DUMMYFUNCTION("""COMPUTED_VALUE"""),FALSE)</f>
        <v>0</v>
      </c>
      <c r="N723" s="10">
        <f>IFERROR(__xludf.DUMMYFUNCTION("""COMPUTED_VALUE"""),0)</f>
        <v>0</v>
      </c>
      <c r="O723" s="10">
        <f>IFERROR(__xludf.DUMMYFUNCTION("""COMPUTED_VALUE"""),0)</f>
        <v>0</v>
      </c>
      <c r="P723" s="8"/>
      <c r="Q723" s="7"/>
      <c r="R723" s="16"/>
      <c r="S723" s="17"/>
      <c r="T723" s="8"/>
      <c r="U723" s="8"/>
      <c r="V723" s="22"/>
      <c r="W723" s="12"/>
      <c r="X723" s="12"/>
      <c r="Y723" s="12"/>
      <c r="Z723" s="12"/>
      <c r="AA723" s="7"/>
      <c r="AB723" s="12"/>
      <c r="AC723" s="6"/>
      <c r="AD723" s="6"/>
      <c r="AE723" s="7"/>
      <c r="AF723" s="7"/>
      <c r="AG723" s="7"/>
      <c r="AH723" s="7"/>
      <c r="AI723" s="7"/>
      <c r="AJ723" s="7"/>
      <c r="AK723" s="7"/>
      <c r="AL723" s="7"/>
      <c r="AM723" s="7"/>
      <c r="AN723" s="7"/>
      <c r="AO723" s="6"/>
      <c r="AP723" s="7"/>
      <c r="AQ723" s="7"/>
      <c r="AR723" s="6"/>
      <c r="AS723" s="7"/>
      <c r="AT723" s="7"/>
      <c r="AU723" s="7"/>
      <c r="AV723" s="7"/>
      <c r="AW723" s="7"/>
      <c r="AX723" s="7"/>
      <c r="AY723" s="7"/>
      <c r="AZ723" s="7"/>
      <c r="BA723" s="7"/>
      <c r="BB723" s="7"/>
      <c r="BC723" s="7"/>
      <c r="BD723" s="7"/>
      <c r="BE723" s="7"/>
      <c r="BF723" s="7"/>
      <c r="BG723" s="7"/>
    </row>
    <row r="724" customHeight="1" spans="1:59">
      <c r="A724" s="9" t="str">
        <f>IFERROR(__xludf.DUMMYFUNCTION("""COMPUTED_VALUE"""),"microTech 59")</f>
        <v>microTech 59</v>
      </c>
      <c r="B724" s="5" t="str">
        <f>IFERROR(__xludf.DUMMYFUNCTION("""COMPUTED_VALUE"""),"microTech 71")</f>
        <v>microTech 71</v>
      </c>
      <c r="C724" s="5" t="str">
        <f>IFERROR(__xludf.DUMMYFUNCTION("""COMPUTED_VALUE"""),"microTech 93")</f>
        <v>microTech 93</v>
      </c>
      <c r="D724" s="5" t="str">
        <f>IFERROR(__xludf.DUMMYFUNCTION("""COMPUTED_VALUE"""),"Freelancer Wreck 03N")</f>
        <v>Freelancer Wreck 03N</v>
      </c>
      <c r="E724" s="7" t="str">
        <f>IFERROR(__xludf.DUMMYFUNCTION("""COMPUTED_VALUE"""),"Freelancer 03N")</f>
        <v>Freelancer 03N</v>
      </c>
      <c r="F724" s="11">
        <f>IFERROR(__xludf.DUMMYFUNCTION("""COMPUTED_VALUE"""),-973.703809272717)</f>
        <v>-973.703809272717</v>
      </c>
      <c r="G724" s="11">
        <f>IFERROR(__xludf.DUMMYFUNCTION("""COMPUTED_VALUE"""),-225.634764877147)</f>
        <v>-225.634764877147</v>
      </c>
      <c r="H724" s="11">
        <f>IFERROR(__xludf.DUMMYFUNCTION("""COMPUTED_VALUE"""),40.800499864769)</f>
        <v>40.800499864769</v>
      </c>
      <c r="I724" s="15"/>
      <c r="J724" s="15"/>
      <c r="K724" s="15"/>
      <c r="L724" s="15"/>
      <c r="M724" s="7" t="b">
        <f>IFERROR(__xludf.DUMMYFUNCTION("""COMPUTED_VALUE"""),FALSE)</f>
        <v>0</v>
      </c>
      <c r="N724" s="10">
        <f>IFERROR(__xludf.DUMMYFUNCTION("""COMPUTED_VALUE"""),0)</f>
        <v>0</v>
      </c>
      <c r="O724" s="10">
        <f>IFERROR(__xludf.DUMMYFUNCTION("""COMPUTED_VALUE"""),0)</f>
        <v>0</v>
      </c>
      <c r="P724" s="8"/>
      <c r="Q724" s="7"/>
      <c r="R724" s="16"/>
      <c r="S724" s="17"/>
      <c r="T724" s="8"/>
      <c r="U724" s="8"/>
      <c r="V724" s="22"/>
      <c r="W724" s="12"/>
      <c r="X724" s="12"/>
      <c r="Y724" s="12"/>
      <c r="Z724" s="12"/>
      <c r="AA724" s="7"/>
      <c r="AB724" s="12"/>
      <c r="AC724" s="6"/>
      <c r="AD724" s="6"/>
      <c r="AE724" s="7"/>
      <c r="AF724" s="7"/>
      <c r="AG724" s="7"/>
      <c r="AH724" s="7"/>
      <c r="AI724" s="7"/>
      <c r="AJ724" s="7"/>
      <c r="AK724" s="7"/>
      <c r="AL724" s="7"/>
      <c r="AM724" s="7"/>
      <c r="AN724" s="7"/>
      <c r="AO724" s="6"/>
      <c r="AP724" s="7"/>
      <c r="AQ724" s="7"/>
      <c r="AR724" s="6"/>
      <c r="AS724" s="7"/>
      <c r="AT724" s="7"/>
      <c r="AU724" s="7"/>
      <c r="AV724" s="7"/>
      <c r="AW724" s="7"/>
      <c r="AX724" s="7"/>
      <c r="AY724" s="7"/>
      <c r="AZ724" s="7"/>
      <c r="BA724" s="7"/>
      <c r="BB724" s="7"/>
      <c r="BC724" s="7"/>
      <c r="BD724" s="7"/>
      <c r="BE724" s="7"/>
      <c r="BF724" s="7"/>
      <c r="BG724" s="7"/>
    </row>
    <row r="725" customHeight="1" spans="1:59">
      <c r="A725" s="9" t="str">
        <f>IFERROR(__xludf.DUMMYFUNCTION("""COMPUTED_VALUE"""),"microTech 60")</f>
        <v>microTech 60</v>
      </c>
      <c r="B725" s="5" t="str">
        <f>IFERROR(__xludf.DUMMYFUNCTION("""COMPUTED_VALUE"""),"microTech 72")</f>
        <v>microTech 72</v>
      </c>
      <c r="C725" s="5" t="str">
        <f>IFERROR(__xludf.DUMMYFUNCTION("""COMPUTED_VALUE"""),"microTech 92")</f>
        <v>microTech 92</v>
      </c>
      <c r="D725" s="5" t="str">
        <f>IFERROR(__xludf.DUMMYFUNCTION("""COMPUTED_VALUE"""),"Freelancer Wreck 04L")</f>
        <v>Freelancer Wreck 04L</v>
      </c>
      <c r="E725" s="7" t="str">
        <f>IFERROR(__xludf.DUMMYFUNCTION("""COMPUTED_VALUE"""),"Freelancer 04L")</f>
        <v>Freelancer 04L</v>
      </c>
      <c r="F725" s="8">
        <f>IFERROR(__xludf.DUMMYFUNCTION("""COMPUTED_VALUE"""),-933.299747754197)</f>
        <v>-933.299747754197</v>
      </c>
      <c r="G725" s="8">
        <f>IFERROR(__xludf.DUMMYFUNCTION("""COMPUTED_VALUE"""),-309.024262314054)</f>
        <v>-309.024262314054</v>
      </c>
      <c r="H725" s="8">
        <f>IFERROR(__xludf.DUMMYFUNCTION("""COMPUTED_VALUE"""),-189.531586515152)</f>
        <v>-189.531586515152</v>
      </c>
      <c r="I725" s="14"/>
      <c r="J725" s="14"/>
      <c r="K725" s="14"/>
      <c r="L725" s="14"/>
      <c r="M725" s="7" t="b">
        <f>IFERROR(__xludf.DUMMYFUNCTION("""COMPUTED_VALUE"""),FALSE)</f>
        <v>0</v>
      </c>
      <c r="N725" s="10">
        <f>IFERROR(__xludf.DUMMYFUNCTION("""COMPUTED_VALUE"""),0)</f>
        <v>0</v>
      </c>
      <c r="O725" s="10">
        <f>IFERROR(__xludf.DUMMYFUNCTION("""COMPUTED_VALUE"""),0)</f>
        <v>0</v>
      </c>
      <c r="P725" s="8"/>
      <c r="Q725" s="7"/>
      <c r="R725" s="16"/>
      <c r="S725" s="17"/>
      <c r="T725" s="8"/>
      <c r="U725" s="8"/>
      <c r="V725" s="22"/>
      <c r="W725" s="12"/>
      <c r="X725" s="12"/>
      <c r="Y725" s="12"/>
      <c r="Z725" s="12"/>
      <c r="AA725" s="9"/>
      <c r="AB725" s="12"/>
      <c r="AC725" s="6"/>
      <c r="AD725" s="6"/>
      <c r="AE725" s="7"/>
      <c r="AF725" s="7"/>
      <c r="AG725" s="7"/>
      <c r="AH725" s="7"/>
      <c r="AI725" s="7"/>
      <c r="AJ725" s="7"/>
      <c r="AK725" s="7"/>
      <c r="AL725" s="7"/>
      <c r="AM725" s="7"/>
      <c r="AN725" s="7"/>
      <c r="AO725" s="6"/>
      <c r="AP725" s="7"/>
      <c r="AQ725" s="7"/>
      <c r="AR725" s="6"/>
      <c r="AS725" s="7"/>
      <c r="AT725" s="7"/>
      <c r="AU725" s="7"/>
      <c r="AV725" s="7"/>
      <c r="AW725" s="7"/>
      <c r="AX725" s="7"/>
      <c r="AY725" s="7"/>
      <c r="AZ725" s="7"/>
      <c r="BA725" s="7"/>
      <c r="BB725" s="7"/>
      <c r="BC725" s="7"/>
      <c r="BD725" s="7"/>
      <c r="BE725" s="7"/>
      <c r="BF725" s="7"/>
      <c r="BG725" s="7"/>
    </row>
    <row r="726" customHeight="1" spans="1:59">
      <c r="A726" s="9" t="str">
        <f>IFERROR(__xludf.DUMMYFUNCTION("""COMPUTED_VALUE"""),"microTech 61")</f>
        <v>microTech 61</v>
      </c>
      <c r="B726" s="5" t="str">
        <f>IFERROR(__xludf.DUMMYFUNCTION("""COMPUTED_VALUE"""),"microTech 73")</f>
        <v>microTech 73</v>
      </c>
      <c r="C726" s="5" t="str">
        <f>IFERROR(__xludf.DUMMYFUNCTION("""COMPUTED_VALUE"""),"microTech 89")</f>
        <v>microTech 89</v>
      </c>
      <c r="D726" s="5" t="str">
        <f>IFERROR(__xludf.DUMMYFUNCTION("""COMPUTED_VALUE"""),"Freelancer Wreck 08N-A24")</f>
        <v>Freelancer Wreck 08N-A24</v>
      </c>
      <c r="E726" s="7" t="str">
        <f>IFERROR(__xludf.DUMMYFUNCTION("""COMPUTED_VALUE"""),"Freelancer 08NA24")</f>
        <v>Freelancer 08NA24</v>
      </c>
      <c r="F726" s="8">
        <f>IFERROR(__xludf.DUMMYFUNCTION("""COMPUTED_VALUE"""),-686.687642149452)</f>
        <v>-686.687642149452</v>
      </c>
      <c r="G726" s="8">
        <f>IFERROR(__xludf.DUMMYFUNCTION("""COMPUTED_VALUE"""),-719.066830458095)</f>
        <v>-719.066830458095</v>
      </c>
      <c r="H726" s="8">
        <f>IFERROR(__xludf.DUMMYFUNCTION("""COMPUTED_VALUE"""),111.168182463832)</f>
        <v>111.168182463832</v>
      </c>
      <c r="I726" s="14"/>
      <c r="J726" s="14"/>
      <c r="K726" s="14"/>
      <c r="L726" s="14"/>
      <c r="M726" s="7" t="b">
        <f>IFERROR(__xludf.DUMMYFUNCTION("""COMPUTED_VALUE"""),FALSE)</f>
        <v>0</v>
      </c>
      <c r="N726" s="10">
        <f>IFERROR(__xludf.DUMMYFUNCTION("""COMPUTED_VALUE"""),0)</f>
        <v>0</v>
      </c>
      <c r="O726" s="10">
        <f>IFERROR(__xludf.DUMMYFUNCTION("""COMPUTED_VALUE"""),0)</f>
        <v>0</v>
      </c>
      <c r="P726" s="8"/>
      <c r="Q726" s="7"/>
      <c r="R726" s="16"/>
      <c r="S726" s="17"/>
      <c r="T726" s="8"/>
      <c r="U726" s="8"/>
      <c r="V726" s="22"/>
      <c r="W726" s="12"/>
      <c r="X726" s="12"/>
      <c r="Y726" s="12"/>
      <c r="Z726" s="12"/>
      <c r="AA726" s="9"/>
      <c r="AB726" s="12"/>
      <c r="AC726" s="6"/>
      <c r="AD726" s="6"/>
      <c r="AE726" s="7"/>
      <c r="AF726" s="7"/>
      <c r="AG726" s="7"/>
      <c r="AH726" s="7"/>
      <c r="AI726" s="7"/>
      <c r="AJ726" s="7"/>
      <c r="AK726" s="7"/>
      <c r="AL726" s="7"/>
      <c r="AM726" s="7"/>
      <c r="AN726" s="7"/>
      <c r="AO726" s="6"/>
      <c r="AP726" s="7"/>
      <c r="AQ726" s="7"/>
      <c r="AR726" s="6"/>
      <c r="AS726" s="7"/>
      <c r="AT726" s="7"/>
      <c r="AU726" s="7"/>
      <c r="AV726" s="7"/>
      <c r="AW726" s="7"/>
      <c r="AX726" s="7"/>
      <c r="AY726" s="7"/>
      <c r="AZ726" s="7"/>
      <c r="BA726" s="7"/>
      <c r="BB726" s="7"/>
      <c r="BC726" s="7"/>
      <c r="BD726" s="7"/>
      <c r="BE726" s="7"/>
      <c r="BF726" s="7"/>
      <c r="BG726" s="7"/>
    </row>
    <row r="727" customHeight="1" spans="1:59">
      <c r="A727" s="9" t="str">
        <f>IFERROR(__xludf.DUMMYFUNCTION("""COMPUTED_VALUE"""),"microTech 62")</f>
        <v>microTech 62</v>
      </c>
      <c r="B727" s="5" t="str">
        <f>IFERROR(__xludf.DUMMYFUNCTION("""COMPUTED_VALUE"""),"microTech 74")</f>
        <v>microTech 74</v>
      </c>
      <c r="C727" s="5" t="str">
        <f>IFERROR(__xludf.DUMMYFUNCTION("""COMPUTED_VALUE"""),"microTech 88")</f>
        <v>microTech 88</v>
      </c>
      <c r="D727" s="5" t="str">
        <f>IFERROR(__xludf.DUMMYFUNCTION("""COMPUTED_VALUE"""),"Freelancer Wreck 08N-D43")</f>
        <v>Freelancer Wreck 08N-D43</v>
      </c>
      <c r="E727" s="7" t="str">
        <f>IFERROR(__xludf.DUMMYFUNCTION("""COMPUTED_VALUE"""),"Freelancer 08ND43")</f>
        <v>Freelancer 08ND43</v>
      </c>
      <c r="F727" s="8">
        <f>IFERROR(__xludf.DUMMYFUNCTION("""COMPUTED_VALUE"""),-683.47693031583)</f>
        <v>-683.47693031583</v>
      </c>
      <c r="G727" s="8">
        <f>IFERROR(__xludf.DUMMYFUNCTION("""COMPUTED_VALUE"""),-719.404561508934)</f>
        <v>-719.404561508934</v>
      </c>
      <c r="H727" s="8">
        <f>IFERROR(__xludf.DUMMYFUNCTION("""COMPUTED_VALUE"""),134.431148172863)</f>
        <v>134.431148172863</v>
      </c>
      <c r="I727" s="14"/>
      <c r="J727" s="14"/>
      <c r="K727" s="14"/>
      <c r="L727" s="14"/>
      <c r="M727" s="7" t="b">
        <f>IFERROR(__xludf.DUMMYFUNCTION("""COMPUTED_VALUE"""),FALSE)</f>
        <v>0</v>
      </c>
      <c r="N727" s="10">
        <f>IFERROR(__xludf.DUMMYFUNCTION("""COMPUTED_VALUE"""),0)</f>
        <v>0</v>
      </c>
      <c r="O727" s="10">
        <f>IFERROR(__xludf.DUMMYFUNCTION("""COMPUTED_VALUE"""),0)</f>
        <v>0</v>
      </c>
      <c r="P727" s="8"/>
      <c r="Q727" s="7"/>
      <c r="R727" s="16"/>
      <c r="S727" s="17"/>
      <c r="T727" s="8"/>
      <c r="U727" s="8"/>
      <c r="V727" s="22"/>
      <c r="W727" s="12"/>
      <c r="X727" s="12"/>
      <c r="Y727" s="12"/>
      <c r="Z727" s="12"/>
      <c r="AA727" s="9"/>
      <c r="AB727" s="12"/>
      <c r="AC727" s="6"/>
      <c r="AD727" s="6"/>
      <c r="AE727" s="7"/>
      <c r="AF727" s="7"/>
      <c r="AG727" s="7"/>
      <c r="AH727" s="7"/>
      <c r="AI727" s="7"/>
      <c r="AJ727" s="7"/>
      <c r="AK727" s="7"/>
      <c r="AL727" s="7"/>
      <c r="AM727" s="7"/>
      <c r="AN727" s="7"/>
      <c r="AO727" s="6"/>
      <c r="AP727" s="7"/>
      <c r="AQ727" s="7"/>
      <c r="AR727" s="6"/>
      <c r="AS727" s="7"/>
      <c r="AT727" s="7"/>
      <c r="AU727" s="7"/>
      <c r="AV727" s="7"/>
      <c r="AW727" s="7"/>
      <c r="AX727" s="7"/>
      <c r="AY727" s="7"/>
      <c r="AZ727" s="7"/>
      <c r="BA727" s="7"/>
      <c r="BB727" s="7"/>
      <c r="BC727" s="7"/>
      <c r="BD727" s="7"/>
      <c r="BE727" s="7"/>
      <c r="BF727" s="7"/>
      <c r="BG727" s="7"/>
    </row>
    <row r="728" customHeight="1" spans="1:59">
      <c r="A728" s="9" t="str">
        <f>IFERROR(__xludf.DUMMYFUNCTION("""COMPUTED_VALUE"""),"microTech 63")</f>
        <v>microTech 63</v>
      </c>
      <c r="B728" s="5" t="str">
        <f>IFERROR(__xludf.DUMMYFUNCTION("""COMPUTED_VALUE"""),"microTech 75")</f>
        <v>microTech 75</v>
      </c>
      <c r="C728" s="5" t="str">
        <f>IFERROR(__xludf.DUMMYFUNCTION("""COMPUTED_VALUE"""),"microTech 28")</f>
        <v>microTech 28</v>
      </c>
      <c r="D728" s="5" t="str">
        <f>IFERROR(__xludf.DUMMYFUNCTION("""COMPUTED_VALUE"""),"Starfarer Wreck 52M")</f>
        <v>Starfarer Wreck 52M</v>
      </c>
      <c r="E728" s="7" t="str">
        <f>IFERROR(__xludf.DUMMYFUNCTION("""COMPUTED_VALUE"""),"Starfarer 52M")</f>
        <v>Starfarer 52M</v>
      </c>
      <c r="F728" s="8">
        <f>IFERROR(__xludf.DUMMYFUNCTION("""COMPUTED_VALUE"""),-588.08975842639)</f>
        <v>-588.08975842639</v>
      </c>
      <c r="G728" s="8">
        <f>IFERROR(__xludf.DUMMYFUNCTION("""COMPUTED_VALUE"""),805.331386539117)</f>
        <v>805.331386539117</v>
      </c>
      <c r="H728" s="8">
        <f>IFERROR(__xludf.DUMMYFUNCTION("""COMPUTED_VALUE"""),-78.362321435307)</f>
        <v>-78.362321435307</v>
      </c>
      <c r="I728" s="14"/>
      <c r="J728" s="14"/>
      <c r="K728" s="14"/>
      <c r="L728" s="14"/>
      <c r="M728" s="7" t="b">
        <f>IFERROR(__xludf.DUMMYFUNCTION("""COMPUTED_VALUE"""),FALSE)</f>
        <v>0</v>
      </c>
      <c r="N728" s="10">
        <f>IFERROR(__xludf.DUMMYFUNCTION("""COMPUTED_VALUE"""),0)</f>
        <v>0</v>
      </c>
      <c r="O728" s="10">
        <f>IFERROR(__xludf.DUMMYFUNCTION("""COMPUTED_VALUE"""),0)</f>
        <v>0</v>
      </c>
      <c r="P728" s="8"/>
      <c r="Q728" s="7"/>
      <c r="R728" s="16"/>
      <c r="S728" s="17"/>
      <c r="T728" s="8"/>
      <c r="U728" s="8"/>
      <c r="V728" s="22"/>
      <c r="W728" s="12"/>
      <c r="X728" s="12"/>
      <c r="Y728" s="12"/>
      <c r="Z728" s="12"/>
      <c r="AA728" s="9"/>
      <c r="AB728" s="12"/>
      <c r="AC728" s="6"/>
      <c r="AD728" s="6"/>
      <c r="AE728" s="7"/>
      <c r="AF728" s="7"/>
      <c r="AG728" s="7"/>
      <c r="AH728" s="7"/>
      <c r="AI728" s="7"/>
      <c r="AJ728" s="7"/>
      <c r="AK728" s="7"/>
      <c r="AL728" s="7"/>
      <c r="AM728" s="7"/>
      <c r="AN728" s="7"/>
      <c r="AO728" s="6"/>
      <c r="AP728" s="7"/>
      <c r="AQ728" s="7"/>
      <c r="AR728" s="6"/>
      <c r="AS728" s="7"/>
      <c r="AT728" s="7"/>
      <c r="AU728" s="7"/>
      <c r="AV728" s="7"/>
      <c r="AW728" s="7"/>
      <c r="AX728" s="7"/>
      <c r="AY728" s="7"/>
      <c r="AZ728" s="7"/>
      <c r="BA728" s="7"/>
      <c r="BB728" s="7"/>
      <c r="BC728" s="7"/>
      <c r="BD728" s="7"/>
      <c r="BE728" s="7"/>
      <c r="BF728" s="7"/>
      <c r="BG728" s="7"/>
    </row>
    <row r="729" customHeight="1" spans="1:59">
      <c r="A729" s="9" t="str">
        <f>IFERROR(__xludf.DUMMYFUNCTION("""COMPUTED_VALUE"""),"microTech 64")</f>
        <v>microTech 64</v>
      </c>
      <c r="B729" s="5" t="str">
        <f>IFERROR(__xludf.DUMMYFUNCTION("""COMPUTED_VALUE"""),"microTech 76")</f>
        <v>microTech 76</v>
      </c>
      <c r="C729" s="5" t="str">
        <f>IFERROR(__xludf.DUMMYFUNCTION("""COMPUTED_VALUE"""),"microTech 27")</f>
        <v>microTech 27</v>
      </c>
      <c r="D729" s="5" t="str">
        <f>IFERROR(__xludf.DUMMYFUNCTION("""COMPUTED_VALUE"""),"Starfarer Wreck 52P")</f>
        <v>Starfarer Wreck 52P</v>
      </c>
      <c r="E729" s="7" t="str">
        <f>IFERROR(__xludf.DUMMYFUNCTION("""COMPUTED_VALUE"""),"Starfarer 52P")</f>
        <v>Starfarer 52P</v>
      </c>
      <c r="F729" s="8">
        <f>IFERROR(__xludf.DUMMYFUNCTION("""COMPUTED_VALUE"""),-637.938300534408)</f>
        <v>-637.938300534408</v>
      </c>
      <c r="G729" s="8">
        <f>IFERROR(__xludf.DUMMYFUNCTION("""COMPUTED_VALUE"""),747.781923474108)</f>
        <v>747.781923474108</v>
      </c>
      <c r="H729" s="8">
        <f>IFERROR(__xludf.DUMMYFUNCTION("""COMPUTED_VALUE"""),185.557559019559)</f>
        <v>185.557559019559</v>
      </c>
      <c r="I729" s="14"/>
      <c r="J729" s="14"/>
      <c r="K729" s="14"/>
      <c r="L729" s="14"/>
      <c r="M729" s="7" t="b">
        <f>IFERROR(__xludf.DUMMYFUNCTION("""COMPUTED_VALUE"""),FALSE)</f>
        <v>0</v>
      </c>
      <c r="N729" s="10">
        <f>IFERROR(__xludf.DUMMYFUNCTION("""COMPUTED_VALUE"""),0)</f>
        <v>0</v>
      </c>
      <c r="O729" s="10">
        <f>IFERROR(__xludf.DUMMYFUNCTION("""COMPUTED_VALUE"""),0)</f>
        <v>0</v>
      </c>
      <c r="P729" s="8"/>
      <c r="Q729" s="7"/>
      <c r="R729" s="16"/>
      <c r="S729" s="17"/>
      <c r="T729" s="8"/>
      <c r="U729" s="8"/>
      <c r="V729" s="22"/>
      <c r="W729" s="12"/>
      <c r="X729" s="12"/>
      <c r="Y729" s="12"/>
      <c r="Z729" s="12"/>
      <c r="AA729" s="9"/>
      <c r="AB729" s="12"/>
      <c r="AC729" s="6"/>
      <c r="AD729" s="6"/>
      <c r="AE729" s="7"/>
      <c r="AF729" s="7"/>
      <c r="AG729" s="7"/>
      <c r="AH729" s="7"/>
      <c r="AI729" s="7"/>
      <c r="AJ729" s="7"/>
      <c r="AK729" s="7"/>
      <c r="AL729" s="7"/>
      <c r="AM729" s="7"/>
      <c r="AN729" s="7"/>
      <c r="AO729" s="6"/>
      <c r="AP729" s="7"/>
      <c r="AQ729" s="7"/>
      <c r="AR729" s="6"/>
      <c r="AS729" s="7"/>
      <c r="AT729" s="7"/>
      <c r="AU729" s="7"/>
      <c r="AV729" s="7"/>
      <c r="AW729" s="7"/>
      <c r="AX729" s="7"/>
      <c r="AY729" s="7"/>
      <c r="AZ729" s="7"/>
      <c r="BA729" s="7"/>
      <c r="BB729" s="7"/>
      <c r="BC729" s="7"/>
      <c r="BD729" s="7"/>
      <c r="BE729" s="7"/>
      <c r="BF729" s="7"/>
      <c r="BG729" s="7"/>
    </row>
    <row r="730" customHeight="1" spans="1:59">
      <c r="A730" s="9" t="str">
        <f>IFERROR(__xludf.DUMMYFUNCTION("""COMPUTED_VALUE"""),"microTech 65")</f>
        <v>microTech 65</v>
      </c>
      <c r="B730" s="5" t="str">
        <f>IFERROR(__xludf.DUMMYFUNCTION("""COMPUTED_VALUE"""),"microTech 77")</f>
        <v>microTech 77</v>
      </c>
      <c r="C730" s="5" t="str">
        <f>IFERROR(__xludf.DUMMYFUNCTION("""COMPUTED_VALUE"""),"microTech 12")</f>
        <v>microTech 12</v>
      </c>
      <c r="D730" s="5" t="str">
        <f>IFERROR(__xludf.DUMMYFUNCTION("""COMPUTED_VALUE"""),"Starfarer Wreck 53W")</f>
        <v>Starfarer Wreck 53W</v>
      </c>
      <c r="E730" s="7" t="str">
        <f>IFERROR(__xludf.DUMMYFUNCTION("""COMPUTED_VALUE"""),"Starfarer 53W")</f>
        <v>Starfarer 53W</v>
      </c>
      <c r="F730" s="8">
        <f>IFERROR(__xludf.DUMMYFUNCTION("""COMPUTED_VALUE"""),-226.007572205983)</f>
        <v>-226.007572205983</v>
      </c>
      <c r="G730" s="8">
        <f>IFERROR(__xludf.DUMMYFUNCTION("""COMPUTED_VALUE"""),212.796556926972)</f>
        <v>212.796556926972</v>
      </c>
      <c r="H730" s="8">
        <f>IFERROR(__xludf.DUMMYFUNCTION("""COMPUTED_VALUE"""),950.747037600446)</f>
        <v>950.747037600446</v>
      </c>
      <c r="I730" s="14"/>
      <c r="J730" s="14"/>
      <c r="K730" s="14"/>
      <c r="L730" s="14"/>
      <c r="M730" s="7" t="b">
        <f>IFERROR(__xludf.DUMMYFUNCTION("""COMPUTED_VALUE"""),FALSE)</f>
        <v>0</v>
      </c>
      <c r="N730" s="10">
        <f>IFERROR(__xludf.DUMMYFUNCTION("""COMPUTED_VALUE"""),0)</f>
        <v>0</v>
      </c>
      <c r="O730" s="10">
        <f>IFERROR(__xludf.DUMMYFUNCTION("""COMPUTED_VALUE"""),0)</f>
        <v>0</v>
      </c>
      <c r="P730" s="8"/>
      <c r="Q730" s="7"/>
      <c r="R730" s="16"/>
      <c r="S730" s="17"/>
      <c r="T730" s="8"/>
      <c r="U730" s="8"/>
      <c r="V730" s="22"/>
      <c r="W730" s="12"/>
      <c r="X730" s="12"/>
      <c r="Y730" s="12"/>
      <c r="Z730" s="12"/>
      <c r="AA730" s="9"/>
      <c r="AB730" s="12"/>
      <c r="AC730" s="6"/>
      <c r="AD730" s="6"/>
      <c r="AE730" s="7"/>
      <c r="AF730" s="7"/>
      <c r="AG730" s="7"/>
      <c r="AH730" s="7"/>
      <c r="AI730" s="7"/>
      <c r="AJ730" s="7"/>
      <c r="AK730" s="7"/>
      <c r="AL730" s="7"/>
      <c r="AM730" s="7"/>
      <c r="AN730" s="7"/>
      <c r="AO730" s="6"/>
      <c r="AP730" s="7"/>
      <c r="AQ730" s="7"/>
      <c r="AR730" s="6"/>
      <c r="AS730" s="7"/>
      <c r="AT730" s="7"/>
      <c r="AU730" s="7"/>
      <c r="AV730" s="7"/>
      <c r="AW730" s="7"/>
      <c r="AX730" s="7"/>
      <c r="AY730" s="7"/>
      <c r="AZ730" s="7"/>
      <c r="BA730" s="7"/>
      <c r="BB730" s="7"/>
      <c r="BC730" s="7"/>
      <c r="BD730" s="7"/>
      <c r="BE730" s="7"/>
      <c r="BF730" s="7"/>
      <c r="BG730" s="7"/>
    </row>
    <row r="731" customHeight="1" spans="1:59">
      <c r="A731" s="9" t="str">
        <f>IFERROR(__xludf.DUMMYFUNCTION("""COMPUTED_VALUE"""),"microTech 66")</f>
        <v>microTech 66</v>
      </c>
      <c r="B731" s="5" t="str">
        <f>IFERROR(__xludf.DUMMYFUNCTION("""COMPUTED_VALUE"""),"microTech 78")</f>
        <v>microTech 78</v>
      </c>
      <c r="C731" s="5" t="str">
        <f>IFERROR(__xludf.DUMMYFUNCTION("""COMPUTED_VALUE"""),"microTech 39")</f>
        <v>microTech 39</v>
      </c>
      <c r="D731" s="5" t="str">
        <f>IFERROR(__xludf.DUMMYFUNCTION("""COMPUTED_VALUE"""),"Starfarer Wreck ZBG")</f>
        <v>Starfarer Wreck ZBG</v>
      </c>
      <c r="E731" s="7" t="str">
        <f>IFERROR(__xludf.DUMMYFUNCTION("""COMPUTED_VALUE"""),"Starfarer ZBG")</f>
        <v>Starfarer ZBG</v>
      </c>
      <c r="F731" s="8">
        <f>IFERROR(__xludf.DUMMYFUNCTION("""COMPUTED_VALUE"""),9.472077956748)</f>
        <v>9.472077956748</v>
      </c>
      <c r="G731" s="8">
        <f>IFERROR(__xludf.DUMMYFUNCTION("""COMPUTED_VALUE"""),103.799998156201)</f>
        <v>103.799998156201</v>
      </c>
      <c r="H731" s="8">
        <f>IFERROR(__xludf.DUMMYFUNCTION("""COMPUTED_VALUE"""),995.340544819772)</f>
        <v>995.340544819772</v>
      </c>
      <c r="I731" s="14"/>
      <c r="J731" s="14"/>
      <c r="K731" s="14"/>
      <c r="L731" s="14"/>
      <c r="M731" s="7" t="b">
        <f>IFERROR(__xludf.DUMMYFUNCTION("""COMPUTED_VALUE"""),FALSE)</f>
        <v>0</v>
      </c>
      <c r="N731" s="10">
        <f>IFERROR(__xludf.DUMMYFUNCTION("""COMPUTED_VALUE"""),0)</f>
        <v>0</v>
      </c>
      <c r="O731" s="10">
        <f>IFERROR(__xludf.DUMMYFUNCTION("""COMPUTED_VALUE"""),0)</f>
        <v>0</v>
      </c>
      <c r="P731" s="8"/>
      <c r="Q731" s="7"/>
      <c r="R731" s="16"/>
      <c r="S731" s="17"/>
      <c r="T731" s="8"/>
      <c r="U731" s="8"/>
      <c r="V731" s="22"/>
      <c r="W731" s="12"/>
      <c r="X731" s="12"/>
      <c r="Y731" s="12"/>
      <c r="Z731" s="12"/>
      <c r="AA731" s="9"/>
      <c r="AB731" s="12"/>
      <c r="AC731" s="6"/>
      <c r="AD731" s="6"/>
      <c r="AE731" s="7"/>
      <c r="AF731" s="7"/>
      <c r="AG731" s="7"/>
      <c r="AH731" s="7"/>
      <c r="AI731" s="7"/>
      <c r="AJ731" s="7"/>
      <c r="AK731" s="7"/>
      <c r="AL731" s="7"/>
      <c r="AM731" s="7"/>
      <c r="AN731" s="7"/>
      <c r="AO731" s="6"/>
      <c r="AP731" s="7"/>
      <c r="AQ731" s="7"/>
      <c r="AR731" s="6"/>
      <c r="AS731" s="7"/>
      <c r="AT731" s="7"/>
      <c r="AU731" s="7"/>
      <c r="AV731" s="7"/>
      <c r="AW731" s="7"/>
      <c r="AX731" s="7"/>
      <c r="AY731" s="7"/>
      <c r="AZ731" s="7"/>
      <c r="BA731" s="7"/>
      <c r="BB731" s="7"/>
      <c r="BC731" s="7"/>
      <c r="BD731" s="7"/>
      <c r="BE731" s="7"/>
      <c r="BF731" s="7"/>
      <c r="BG731" s="7"/>
    </row>
    <row r="732" customHeight="1" spans="1:59">
      <c r="A732" s="9" t="str">
        <f>IFERROR(__xludf.DUMMYFUNCTION("""COMPUTED_VALUE"""),"microTech")</f>
        <v>microTech</v>
      </c>
      <c r="B732" s="5" t="str">
        <f>IFERROR(__xludf.DUMMYFUNCTION("""COMPUTED_VALUE"""),"microTech 80")</f>
        <v>microTech 80</v>
      </c>
      <c r="C732" s="5"/>
      <c r="D732" s="5" t="str">
        <f>IFERROR(__xludf.DUMMYFUNCTION("""COMPUTED_VALUE"""),"Comm Array")</f>
        <v>Comm Array</v>
      </c>
      <c r="E732" s="7"/>
      <c r="F732" s="10"/>
      <c r="G732" s="10"/>
      <c r="H732" s="10"/>
      <c r="I732" s="13"/>
      <c r="J732" s="13"/>
      <c r="K732" s="13"/>
      <c r="L732" s="13"/>
      <c r="M732" s="7"/>
      <c r="N732" s="10"/>
      <c r="O732" s="10"/>
      <c r="P732" s="10"/>
      <c r="Q732" s="6"/>
      <c r="R732" s="16"/>
      <c r="S732" s="17"/>
      <c r="T732" s="10"/>
      <c r="U732" s="10"/>
      <c r="V732" s="22"/>
      <c r="W732" s="12"/>
      <c r="X732" s="12"/>
      <c r="Y732" s="12"/>
      <c r="Z732" s="12"/>
      <c r="AA732" s="6"/>
      <c r="AB732" s="12"/>
      <c r="AC732" s="6"/>
      <c r="AD732" s="6"/>
      <c r="AE732" s="7"/>
      <c r="AF732" s="7"/>
      <c r="AG732" s="7"/>
      <c r="AH732" s="7"/>
      <c r="AI732" s="7"/>
      <c r="AJ732" s="7"/>
      <c r="AK732" s="7"/>
      <c r="AL732" s="7"/>
      <c r="AM732" s="7"/>
      <c r="AN732" s="7"/>
      <c r="AO732" s="6"/>
      <c r="AP732" s="7"/>
      <c r="AQ732" s="7"/>
      <c r="AR732" s="6"/>
      <c r="AS732" s="6"/>
      <c r="AT732" s="6"/>
      <c r="AU732" s="6"/>
      <c r="AV732" s="6"/>
      <c r="AW732" s="6"/>
      <c r="AX732" s="6"/>
      <c r="AY732" s="6"/>
      <c r="AZ732" s="6"/>
      <c r="BA732" s="6"/>
      <c r="BB732" s="6"/>
      <c r="BC732" s="6"/>
      <c r="BD732" s="6"/>
      <c r="BE732" s="6"/>
      <c r="BF732" s="6"/>
      <c r="BG732" s="6"/>
    </row>
    <row r="733" customHeight="1" spans="1:59">
      <c r="A733" s="9" t="str">
        <f>IFERROR(__xludf.DUMMYFUNCTION("""COMPUTED_VALUE"""),"microTech 27")</f>
        <v>microTech 27</v>
      </c>
      <c r="B733" s="5" t="str">
        <f>IFERROR(__xludf.DUMMYFUNCTION("""COMPUTED_VALUE"""),"microTech 81")</f>
        <v>microTech 81</v>
      </c>
      <c r="C733" s="5" t="str">
        <f>IFERROR(__xludf.DUMMYFUNCTION("""COMPUTED_VALUE"""),"microTech 43")</f>
        <v>microTech 43</v>
      </c>
      <c r="D733" s="5" t="str">
        <f>IFERROR(__xludf.DUMMYFUNCTION("""COMPUTED_VALUE"""),"Comm Array ST4-22")</f>
        <v>Comm Array ST4-22</v>
      </c>
      <c r="E733" s="7" t="str">
        <f>IFERROR(__xludf.DUMMYFUNCTION("""COMPUTED_VALUE"""),"ST4-22")</f>
        <v>ST4-22</v>
      </c>
      <c r="F733" s="8">
        <f>IFERROR(__xludf.DUMMYFUNCTION("""COMPUTED_VALUE"""),1395.18702770233)</f>
        <v>1395.18702770233</v>
      </c>
      <c r="G733" s="8">
        <f>IFERROR(__xludf.DUMMYFUNCTION("""COMPUTED_VALUE"""),1967.74453779602)</f>
        <v>1967.74453779602</v>
      </c>
      <c r="H733" s="8">
        <f>IFERROR(__xludf.DUMMYFUNCTION("""COMPUTED_VALUE"""),24)</f>
        <v>24</v>
      </c>
      <c r="I733" s="14"/>
      <c r="J733" s="14"/>
      <c r="K733" s="14"/>
      <c r="L733" s="14"/>
      <c r="M733" s="7" t="b">
        <f>IFERROR(__xludf.DUMMYFUNCTION("""COMPUTED_VALUE"""),TRUE)</f>
        <v>1</v>
      </c>
      <c r="N733" s="10">
        <f>IFERROR(__xludf.DUMMYFUNCTION("""COMPUTED_VALUE"""),0)</f>
        <v>0</v>
      </c>
      <c r="O733" s="10">
        <f>IFERROR(__xludf.DUMMYFUNCTION("""COMPUTED_VALUE"""),0)</f>
        <v>0</v>
      </c>
      <c r="P733" s="8"/>
      <c r="Q733" s="7"/>
      <c r="R733" s="16"/>
      <c r="S733" s="17"/>
      <c r="T733" s="8"/>
      <c r="U733" s="8"/>
      <c r="V733" s="22"/>
      <c r="W733" s="12"/>
      <c r="X733" s="12"/>
      <c r="Y733" s="12"/>
      <c r="Z733" s="12"/>
      <c r="AA733" s="7"/>
      <c r="AB733" s="12"/>
      <c r="AC733" s="6"/>
      <c r="AD733" s="6"/>
      <c r="AE733" s="7"/>
      <c r="AF733" s="7"/>
      <c r="AG733" s="7"/>
      <c r="AH733" s="7"/>
      <c r="AI733" s="7"/>
      <c r="AJ733" s="7"/>
      <c r="AK733" s="7"/>
      <c r="AL733" s="7"/>
      <c r="AM733" s="7"/>
      <c r="AN733" s="7"/>
      <c r="AO733" s="6"/>
      <c r="AP733" s="7"/>
      <c r="AQ733" s="7"/>
      <c r="AR733" s="6"/>
      <c r="AS733" s="7"/>
      <c r="AT733" s="7"/>
      <c r="AU733" s="7"/>
      <c r="AV733" s="7"/>
      <c r="AW733" s="7"/>
      <c r="AX733" s="7"/>
      <c r="AY733" s="7"/>
      <c r="AZ733" s="7"/>
      <c r="BA733" s="7"/>
      <c r="BB733" s="7"/>
      <c r="BC733" s="7"/>
      <c r="BD733" s="7"/>
      <c r="BE733" s="7"/>
      <c r="BF733" s="7"/>
      <c r="BG733" s="7"/>
    </row>
    <row r="734" customHeight="1" spans="1:59">
      <c r="A734" s="9" t="str">
        <f>IFERROR(__xludf.DUMMYFUNCTION("""COMPUTED_VALUE"""),"microTech")</f>
        <v>microTech</v>
      </c>
      <c r="B734" s="5" t="str">
        <f>IFERROR(__xludf.DUMMYFUNCTION("""COMPUTED_VALUE"""),"microTech 83")</f>
        <v>microTech 83</v>
      </c>
      <c r="C734" s="5"/>
      <c r="D734" s="5" t="str">
        <f>IFERROR(__xludf.DUMMYFUNCTION("""COMPUTED_VALUE"""),"Rivers")</f>
        <v>Rivers</v>
      </c>
      <c r="E734" s="7"/>
      <c r="F734" s="8"/>
      <c r="G734" s="8"/>
      <c r="H734" s="8"/>
      <c r="I734" s="14"/>
      <c r="J734" s="14"/>
      <c r="K734" s="14"/>
      <c r="L734" s="14"/>
      <c r="M734" s="7"/>
      <c r="N734" s="10"/>
      <c r="O734" s="10"/>
      <c r="P734" s="8"/>
      <c r="Q734" s="7"/>
      <c r="R734" s="16"/>
      <c r="S734" s="17"/>
      <c r="T734" s="8"/>
      <c r="U734" s="8"/>
      <c r="V734" s="22"/>
      <c r="W734" s="12"/>
      <c r="X734" s="12"/>
      <c r="Y734" s="12"/>
      <c r="Z734" s="12"/>
      <c r="AA734" s="7"/>
      <c r="AB734" s="12"/>
      <c r="AC734" s="6"/>
      <c r="AD734" s="6"/>
      <c r="AE734" s="7"/>
      <c r="AF734" s="7"/>
      <c r="AG734" s="7"/>
      <c r="AH734" s="7"/>
      <c r="AI734" s="7"/>
      <c r="AJ734" s="7"/>
      <c r="AK734" s="7"/>
      <c r="AL734" s="7"/>
      <c r="AM734" s="7"/>
      <c r="AN734" s="7"/>
      <c r="AO734" s="6"/>
      <c r="AP734" s="7"/>
      <c r="AQ734" s="7"/>
      <c r="AR734" s="6"/>
      <c r="AS734" s="7"/>
      <c r="AT734" s="7"/>
      <c r="AU734" s="7"/>
      <c r="AV734" s="7"/>
      <c r="AW734" s="7"/>
      <c r="AX734" s="7"/>
      <c r="AY734" s="7"/>
      <c r="AZ734" s="7"/>
      <c r="BA734" s="7"/>
      <c r="BB734" s="7"/>
      <c r="BC734" s="7"/>
      <c r="BD734" s="7"/>
      <c r="BE734" s="7"/>
      <c r="BF734" s="7"/>
      <c r="BG734" s="7"/>
    </row>
    <row r="735" customHeight="1" spans="1:59">
      <c r="A735" s="9" t="str">
        <f>IFERROR(__xludf.DUMMYFUNCTION("""COMPUTED_VALUE"""),"microTech 67")</f>
        <v>microTech 67</v>
      </c>
      <c r="B735" s="5" t="str">
        <f>IFERROR(__xludf.DUMMYFUNCTION("""COMPUTED_VALUE"""),"microTech 84")</f>
        <v>microTech 84</v>
      </c>
      <c r="C735" s="5" t="str">
        <f>IFERROR(__xludf.DUMMYFUNCTION("""COMPUTED_VALUE"""),"microTech 58")</f>
        <v>microTech 58</v>
      </c>
      <c r="D735" s="5" t="str">
        <f>IFERROR(__xludf.DUMMYFUNCTION("""COMPUTED_VALUE"""),"River 35R")</f>
        <v>River 35R</v>
      </c>
      <c r="E735" s="7" t="str">
        <f>IFERROR(__xludf.DUMMYFUNCTION("""COMPUTED_VALUE"""),"River 35R")</f>
        <v>River 35R</v>
      </c>
      <c r="F735" s="8">
        <f>IFERROR(__xludf.DUMMYFUNCTION("""COMPUTED_VALUE"""),806.12952788544)</f>
        <v>806.12952788544</v>
      </c>
      <c r="G735" s="8">
        <f>IFERROR(__xludf.DUMMYFUNCTION("""COMPUTED_VALUE"""),424.64153803191)</f>
        <v>424.64153803191</v>
      </c>
      <c r="H735" s="8">
        <f>IFERROR(__xludf.DUMMYFUNCTION("""COMPUTED_VALUE"""),414.60756717617)</f>
        <v>414.60756717617</v>
      </c>
      <c r="I735" s="14"/>
      <c r="J735" s="14"/>
      <c r="K735" s="14"/>
      <c r="L735" s="14"/>
      <c r="M735" s="7" t="b">
        <f>IFERROR(__xludf.DUMMYFUNCTION("""COMPUTED_VALUE"""),FALSE)</f>
        <v>0</v>
      </c>
      <c r="N735" s="10"/>
      <c r="O735" s="10"/>
      <c r="P735" s="8"/>
      <c r="Q735" s="7"/>
      <c r="R735" s="16"/>
      <c r="S735" s="17"/>
      <c r="T735" s="8"/>
      <c r="U735" s="8"/>
      <c r="V735" s="22"/>
      <c r="W735" s="12"/>
      <c r="X735" s="12"/>
      <c r="Y735" s="12"/>
      <c r="Z735" s="12"/>
      <c r="AA735" s="7"/>
      <c r="AB735" s="12"/>
      <c r="AC735" s="6"/>
      <c r="AD735" s="6"/>
      <c r="AE735" s="7"/>
      <c r="AF735" s="7"/>
      <c r="AG735" s="7"/>
      <c r="AH735" s="7"/>
      <c r="AI735" s="7"/>
      <c r="AJ735" s="7"/>
      <c r="AK735" s="7"/>
      <c r="AL735" s="7"/>
      <c r="AM735" s="7"/>
      <c r="AN735" s="7"/>
      <c r="AO735" s="6"/>
      <c r="AP735" s="7"/>
      <c r="AQ735" s="7"/>
      <c r="AR735" s="6"/>
      <c r="AS735" s="7"/>
      <c r="AT735" s="7"/>
      <c r="AU735" s="7"/>
      <c r="AV735" s="7"/>
      <c r="AW735" s="7"/>
      <c r="AX735" s="7"/>
      <c r="AY735" s="7"/>
      <c r="AZ735" s="7"/>
      <c r="BA735" s="7"/>
      <c r="BB735" s="7"/>
      <c r="BC735" s="7"/>
      <c r="BD735" s="7"/>
      <c r="BE735" s="7"/>
      <c r="BF735" s="7"/>
      <c r="BG735" s="7"/>
    </row>
    <row r="736" customHeight="1" spans="1:59">
      <c r="A736" s="9" t="str">
        <f>IFERROR(__xludf.DUMMYFUNCTION("""COMPUTED_VALUE"""),"microTech 68")</f>
        <v>microTech 68</v>
      </c>
      <c r="B736" s="5" t="str">
        <f>IFERROR(__xludf.DUMMYFUNCTION("""COMPUTED_VALUE"""),"microTech 85")</f>
        <v>microTech 85</v>
      </c>
      <c r="C736" s="5" t="str">
        <f>IFERROR(__xludf.DUMMYFUNCTION("""COMPUTED_VALUE"""),"microTech 26")</f>
        <v>microTech 26</v>
      </c>
      <c r="D736" s="5" t="str">
        <f>IFERROR(__xludf.DUMMYFUNCTION("""COMPUTED_VALUE"""),"River 52M")</f>
        <v>River 52M</v>
      </c>
      <c r="E736" s="7" t="str">
        <f>IFERROR(__xludf.DUMMYFUNCTION("""COMPUTED_VALUE"""),"River 52M")</f>
        <v>River 52M</v>
      </c>
      <c r="F736" s="8">
        <f>IFERROR(__xludf.DUMMYFUNCTION("""COMPUTED_VALUE"""),-653.17005538579)</f>
        <v>-653.17005538579</v>
      </c>
      <c r="G736" s="8">
        <f>IFERROR(__xludf.DUMMYFUNCTION("""COMPUTED_VALUE"""),758.01399892978)</f>
        <v>758.01399892978</v>
      </c>
      <c r="H736" s="8">
        <f>IFERROR(__xludf.DUMMYFUNCTION("""COMPUTED_VALUE"""),-1.19610378766)</f>
        <v>-1.19610378766</v>
      </c>
      <c r="I736" s="14"/>
      <c r="J736" s="14"/>
      <c r="K736" s="14"/>
      <c r="L736" s="14"/>
      <c r="M736" s="7" t="b">
        <f>IFERROR(__xludf.DUMMYFUNCTION("""COMPUTED_VALUE"""),FALSE)</f>
        <v>0</v>
      </c>
      <c r="N736" s="10"/>
      <c r="O736" s="10"/>
      <c r="P736" s="8"/>
      <c r="Q736" s="7"/>
      <c r="R736" s="16"/>
      <c r="S736" s="17"/>
      <c r="T736" s="8"/>
      <c r="U736" s="8"/>
      <c r="V736" s="22"/>
      <c r="W736" s="12"/>
      <c r="X736" s="12"/>
      <c r="Y736" s="12"/>
      <c r="Z736" s="12"/>
      <c r="AA736" s="7"/>
      <c r="AB736" s="12"/>
      <c r="AC736" s="6"/>
      <c r="AD736" s="6"/>
      <c r="AE736" s="7"/>
      <c r="AF736" s="7"/>
      <c r="AG736" s="7"/>
      <c r="AH736" s="7"/>
      <c r="AI736" s="7"/>
      <c r="AJ736" s="7"/>
      <c r="AK736" s="7"/>
      <c r="AL736" s="7"/>
      <c r="AM736" s="7"/>
      <c r="AN736" s="7"/>
      <c r="AO736" s="6"/>
      <c r="AP736" s="7"/>
      <c r="AQ736" s="7"/>
      <c r="AR736" s="6"/>
      <c r="AS736" s="7"/>
      <c r="AT736" s="7"/>
      <c r="AU736" s="7"/>
      <c r="AV736" s="7"/>
      <c r="AW736" s="7"/>
      <c r="AX736" s="7"/>
      <c r="AY736" s="7"/>
      <c r="AZ736" s="7"/>
      <c r="BA736" s="7"/>
      <c r="BB736" s="7"/>
      <c r="BC736" s="7"/>
      <c r="BD736" s="7"/>
      <c r="BE736" s="7"/>
      <c r="BF736" s="7"/>
      <c r="BG736" s="7"/>
    </row>
    <row r="737" customHeight="1" spans="1:59">
      <c r="A737" s="9" t="str">
        <f>IFERROR(__xludf.DUMMYFUNCTION("""COMPUTED_VALUE"""),"microTech 83")</f>
        <v>microTech 83</v>
      </c>
      <c r="B737" s="9" t="str">
        <f>IFERROR(__xludf.DUMMYFUNCTION("""COMPUTED_VALUE"""),"microTech 100")</f>
        <v>microTech 100</v>
      </c>
      <c r="C737" s="9" t="str">
        <f>IFERROR(__xludf.DUMMYFUNCTION("""COMPUTED_VALUE"""),"microTech 04")</f>
        <v>microTech 04</v>
      </c>
      <c r="D737" s="5" t="str">
        <f>IFERROR(__xludf.DUMMYFUNCTION("""COMPUTED_VALUE"""),"River 54N-647")</f>
        <v>River 54N-647</v>
      </c>
      <c r="E737" s="7" t="str">
        <f>IFERROR(__xludf.DUMMYFUNCTION("""COMPUTED_VALUE"""),"River 54N647")</f>
        <v>River 54N647</v>
      </c>
      <c r="F737" s="8">
        <f>IFERROR(__xludf.DUMMYFUNCTION("""COMPUTED_VALUE"""),-803.65533737428)</f>
        <v>-803.65533737428</v>
      </c>
      <c r="G737" s="8">
        <f>IFERROR(__xludf.DUMMYFUNCTION("""COMPUTED_VALUE"""),596.95426384438)</f>
        <v>596.95426384438</v>
      </c>
      <c r="H737" s="8">
        <f>IFERROR(__xludf.DUMMYFUNCTION("""COMPUTED_VALUE"""),6.09849944024)</f>
        <v>6.09849944024</v>
      </c>
      <c r="I737" s="14"/>
      <c r="J737" s="14"/>
      <c r="K737" s="14"/>
      <c r="L737" s="14"/>
      <c r="M737" s="7" t="b">
        <f>IFERROR(__xludf.DUMMYFUNCTION("""COMPUTED_VALUE"""),FALSE)</f>
        <v>0</v>
      </c>
      <c r="N737" s="10"/>
      <c r="O737" s="10"/>
      <c r="P737" s="8"/>
      <c r="Q737" s="7"/>
      <c r="R737" s="16"/>
      <c r="S737" s="17"/>
      <c r="T737" s="8"/>
      <c r="U737" s="8"/>
      <c r="V737" s="22"/>
      <c r="W737" s="12"/>
      <c r="X737" s="12"/>
      <c r="Y737" s="12"/>
      <c r="Z737" s="12"/>
      <c r="AA737" s="7"/>
      <c r="AB737" s="12"/>
      <c r="AC737" s="6"/>
      <c r="AD737" s="6"/>
      <c r="AE737" s="7"/>
      <c r="AF737" s="7"/>
      <c r="AG737" s="7"/>
      <c r="AH737" s="7"/>
      <c r="AI737" s="7"/>
      <c r="AJ737" s="7"/>
      <c r="AK737" s="7"/>
      <c r="AL737" s="7"/>
      <c r="AM737" s="7"/>
      <c r="AN737" s="7"/>
      <c r="AO737" s="6"/>
      <c r="AP737" s="7"/>
      <c r="AQ737" s="7"/>
      <c r="AR737" s="6"/>
      <c r="AS737" s="7"/>
      <c r="AT737" s="7"/>
      <c r="AU737" s="7"/>
      <c r="AV737" s="7"/>
      <c r="AW737" s="7"/>
      <c r="AX737" s="7"/>
      <c r="AY737" s="7"/>
      <c r="AZ737" s="7"/>
      <c r="BA737" s="7"/>
      <c r="BB737" s="7"/>
      <c r="BC737" s="7"/>
      <c r="BD737" s="7"/>
      <c r="BE737" s="7"/>
      <c r="BF737" s="7"/>
      <c r="BG737" s="7"/>
    </row>
    <row r="738" customHeight="1" spans="1:59">
      <c r="A738" s="9" t="str">
        <f>IFERROR(__xludf.DUMMYFUNCTION("""COMPUTED_VALUE"""),"microTech 79")</f>
        <v>microTech 79</v>
      </c>
      <c r="B738" s="5" t="str">
        <f>IFERROR(__xludf.DUMMYFUNCTION("""COMPUTED_VALUE"""),"microTech 96")</f>
        <v>microTech 96</v>
      </c>
      <c r="C738" s="5" t="str">
        <f>IFERROR(__xludf.DUMMYFUNCTION("""COMPUTED_VALUE"""),"microTech 05")</f>
        <v>microTech 05</v>
      </c>
      <c r="D738" s="5" t="str">
        <f>IFERROR(__xludf.DUMMYFUNCTION("""COMPUTED_VALUE"""),"River 54M")</f>
        <v>River 54M</v>
      </c>
      <c r="E738" s="7" t="str">
        <f>IFERROR(__xludf.DUMMYFUNCTION("""COMPUTED_VALUE"""),"River 54M")</f>
        <v>River 54M</v>
      </c>
      <c r="F738" s="8">
        <f>IFERROR(__xludf.DUMMYFUNCTION("""COMPUTED_VALUE"""),-801.08808977709)</f>
        <v>-801.08808977709</v>
      </c>
      <c r="G738" s="8">
        <f>IFERROR(__xludf.DUMMYFUNCTION("""COMPUTED_VALUE"""),601.46299101323)</f>
        <v>601.46299101323</v>
      </c>
      <c r="H738" s="8">
        <f>IFERROR(__xludf.DUMMYFUNCTION("""COMPUTED_VALUE"""),-5.71770008787)</f>
        <v>-5.71770008787</v>
      </c>
      <c r="I738" s="14"/>
      <c r="J738" s="14"/>
      <c r="K738" s="14"/>
      <c r="L738" s="14"/>
      <c r="M738" s="7" t="b">
        <f>IFERROR(__xludf.DUMMYFUNCTION("""COMPUTED_VALUE"""),FALSE)</f>
        <v>0</v>
      </c>
      <c r="N738" s="10"/>
      <c r="O738" s="10"/>
      <c r="P738" s="8"/>
      <c r="Q738" s="7"/>
      <c r="R738" s="16"/>
      <c r="S738" s="17"/>
      <c r="T738" s="8"/>
      <c r="U738" s="8"/>
      <c r="V738" s="22"/>
      <c r="W738" s="12"/>
      <c r="X738" s="12"/>
      <c r="Y738" s="12"/>
      <c r="Z738" s="12"/>
      <c r="AA738" s="7"/>
      <c r="AB738" s="12"/>
      <c r="AC738" s="6"/>
      <c r="AD738" s="6"/>
      <c r="AE738" s="7"/>
      <c r="AF738" s="7"/>
      <c r="AG738" s="7"/>
      <c r="AH738" s="7"/>
      <c r="AI738" s="7"/>
      <c r="AJ738" s="7"/>
      <c r="AK738" s="7"/>
      <c r="AL738" s="7"/>
      <c r="AM738" s="7"/>
      <c r="AN738" s="7"/>
      <c r="AO738" s="6"/>
      <c r="AP738" s="7"/>
      <c r="AQ738" s="7"/>
      <c r="AR738" s="6"/>
      <c r="AS738" s="7"/>
      <c r="AT738" s="7"/>
      <c r="AU738" s="7"/>
      <c r="AV738" s="7"/>
      <c r="AW738" s="7"/>
      <c r="AX738" s="7"/>
      <c r="AY738" s="7"/>
      <c r="AZ738" s="7"/>
      <c r="BA738" s="7"/>
      <c r="BB738" s="7"/>
      <c r="BC738" s="7"/>
      <c r="BD738" s="7"/>
      <c r="BE738" s="7"/>
      <c r="BF738" s="7"/>
      <c r="BG738" s="7"/>
    </row>
    <row r="739" customHeight="1" spans="1:59">
      <c r="A739" s="9" t="str">
        <f>IFERROR(__xludf.DUMMYFUNCTION("""COMPUTED_VALUE"""),"microTech 75")</f>
        <v>microTech 75</v>
      </c>
      <c r="B739" s="5" t="str">
        <f>IFERROR(__xludf.DUMMYFUNCTION("""COMPUTED_VALUE"""),"microTech 92")</f>
        <v>microTech 92</v>
      </c>
      <c r="C739" s="5" t="str">
        <f>IFERROR(__xludf.DUMMYFUNCTION("""COMPUTED_VALUE"""),"microTech 09")</f>
        <v>microTech 09</v>
      </c>
      <c r="D739" s="5" t="str">
        <f>IFERROR(__xludf.DUMMYFUNCTION("""COMPUTED_VALUE"""),"River 53N-636")</f>
        <v>River 53N-636</v>
      </c>
      <c r="E739" s="7" t="str">
        <f>IFERROR(__xludf.DUMMYFUNCTION("""COMPUTED_VALUE"""),"River 53N636")</f>
        <v>River 53N636</v>
      </c>
      <c r="F739" s="8">
        <f>IFERROR(__xludf.DUMMYFUNCTION("""COMPUTED_VALUE"""),-740.63392725701)</f>
        <v>-740.63392725701</v>
      </c>
      <c r="G739" s="8">
        <f>IFERROR(__xludf.DUMMYFUNCTION("""COMPUTED_VALUE"""),673.33522484449)</f>
        <v>673.33522484449</v>
      </c>
      <c r="H739" s="8">
        <f>IFERROR(__xludf.DUMMYFUNCTION("""COMPUTED_VALUE"""),8.85046959811)</f>
        <v>8.85046959811</v>
      </c>
      <c r="I739" s="14"/>
      <c r="J739" s="14"/>
      <c r="K739" s="14"/>
      <c r="L739" s="14"/>
      <c r="M739" s="7" t="b">
        <f>IFERROR(__xludf.DUMMYFUNCTION("""COMPUTED_VALUE"""),FALSE)</f>
        <v>0</v>
      </c>
      <c r="N739" s="10"/>
      <c r="O739" s="10"/>
      <c r="P739" s="8"/>
      <c r="Q739" s="7"/>
      <c r="R739" s="16"/>
      <c r="S739" s="17"/>
      <c r="T739" s="8"/>
      <c r="U739" s="8"/>
      <c r="V739" s="22"/>
      <c r="W739" s="12"/>
      <c r="X739" s="12"/>
      <c r="Y739" s="12"/>
      <c r="Z739" s="12"/>
      <c r="AA739" s="7"/>
      <c r="AB739" s="12"/>
      <c r="AC739" s="6"/>
      <c r="AD739" s="6"/>
      <c r="AE739" s="7"/>
      <c r="AF739" s="7"/>
      <c r="AG739" s="7"/>
      <c r="AH739" s="7"/>
      <c r="AI739" s="7"/>
      <c r="AJ739" s="7"/>
      <c r="AK739" s="7"/>
      <c r="AL739" s="7"/>
      <c r="AM739" s="7"/>
      <c r="AN739" s="7"/>
      <c r="AO739" s="6"/>
      <c r="AP739" s="7"/>
      <c r="AQ739" s="7"/>
      <c r="AR739" s="6"/>
      <c r="AS739" s="7"/>
      <c r="AT739" s="7"/>
      <c r="AU739" s="7"/>
      <c r="AV739" s="7"/>
      <c r="AW739" s="7"/>
      <c r="AX739" s="7"/>
      <c r="AY739" s="7"/>
      <c r="AZ739" s="7"/>
      <c r="BA739" s="7"/>
      <c r="BB739" s="7"/>
      <c r="BC739" s="7"/>
      <c r="BD739" s="7"/>
      <c r="BE739" s="7"/>
      <c r="BF739" s="7"/>
      <c r="BG739" s="7"/>
    </row>
    <row r="740" customHeight="1" spans="1:59">
      <c r="A740" s="9" t="str">
        <f>IFERROR(__xludf.DUMMYFUNCTION("""COMPUTED_VALUE"""),"microTech 74")</f>
        <v>microTech 74</v>
      </c>
      <c r="B740" s="5" t="str">
        <f>IFERROR(__xludf.DUMMYFUNCTION("""COMPUTED_VALUE"""),"microTech 91")</f>
        <v>microTech 91</v>
      </c>
      <c r="C740" s="5" t="str">
        <f>IFERROR(__xludf.DUMMYFUNCTION("""COMPUTED_VALUE"""),"microTech 10")</f>
        <v>microTech 10</v>
      </c>
      <c r="D740" s="5" t="str">
        <f>IFERROR(__xludf.DUMMYFUNCTION("""COMPUTED_VALUE"""),"River 53N-635")</f>
        <v>River 53N-635</v>
      </c>
      <c r="E740" s="7" t="str">
        <f>IFERROR(__xludf.DUMMYFUNCTION("""COMPUTED_VALUE"""),"River 53N635")</f>
        <v>River 53N635</v>
      </c>
      <c r="F740" s="11">
        <f>IFERROR(__xludf.DUMMYFUNCTION("""COMPUTED_VALUE"""),-737.61605488143)</f>
        <v>-737.61605488143</v>
      </c>
      <c r="G740" s="11">
        <f>IFERROR(__xludf.DUMMYFUNCTION("""COMPUTED_VALUE"""),676.62032420707)</f>
        <v>676.62032420707</v>
      </c>
      <c r="H740" s="11">
        <f>IFERROR(__xludf.DUMMYFUNCTION("""COMPUTED_VALUE"""),0.80486141263)</f>
        <v>0.80486141263</v>
      </c>
      <c r="I740" s="15"/>
      <c r="J740" s="15"/>
      <c r="K740" s="15"/>
      <c r="L740" s="15"/>
      <c r="M740" s="7" t="b">
        <f>IFERROR(__xludf.DUMMYFUNCTION("""COMPUTED_VALUE"""),FALSE)</f>
        <v>0</v>
      </c>
      <c r="N740" s="10"/>
      <c r="O740" s="10"/>
      <c r="P740" s="8"/>
      <c r="Q740" s="7"/>
      <c r="R740" s="16"/>
      <c r="S740" s="17"/>
      <c r="T740" s="8"/>
      <c r="U740" s="8"/>
      <c r="V740" s="22"/>
      <c r="W740" s="12"/>
      <c r="X740" s="12"/>
      <c r="Y740" s="12"/>
      <c r="Z740" s="12"/>
      <c r="AA740" s="7"/>
      <c r="AB740" s="12"/>
      <c r="AC740" s="6"/>
      <c r="AD740" s="6"/>
      <c r="AE740" s="7"/>
      <c r="AF740" s="7"/>
      <c r="AG740" s="7"/>
      <c r="AH740" s="7"/>
      <c r="AI740" s="7"/>
      <c r="AJ740" s="7"/>
      <c r="AK740" s="7"/>
      <c r="AL740" s="7"/>
      <c r="AM740" s="7"/>
      <c r="AN740" s="7"/>
      <c r="AO740" s="6"/>
      <c r="AP740" s="7"/>
      <c r="AQ740" s="7"/>
      <c r="AR740" s="6"/>
      <c r="AS740" s="7"/>
      <c r="AT740" s="7"/>
      <c r="AU740" s="7"/>
      <c r="AV740" s="7"/>
      <c r="AW740" s="7"/>
      <c r="AX740" s="7"/>
      <c r="AY740" s="7"/>
      <c r="AZ740" s="7"/>
      <c r="BA740" s="7"/>
      <c r="BB740" s="7"/>
      <c r="BC740" s="7"/>
      <c r="BD740" s="7"/>
      <c r="BE740" s="7"/>
      <c r="BF740" s="7"/>
      <c r="BG740" s="7"/>
    </row>
    <row r="741" customHeight="1" spans="1:59">
      <c r="A741" s="9" t="str">
        <f>IFERROR(__xludf.DUMMYFUNCTION("""COMPUTED_VALUE"""),"microTech 72")</f>
        <v>microTech 72</v>
      </c>
      <c r="B741" s="5" t="str">
        <f>IFERROR(__xludf.DUMMYFUNCTION("""COMPUTED_VALUE"""),"microTech 89")</f>
        <v>microTech 89</v>
      </c>
      <c r="C741" s="5" t="str">
        <f>IFERROR(__xludf.DUMMYFUNCTION("""COMPUTED_VALUE"""),"microTech 16")</f>
        <v>microTech 16</v>
      </c>
      <c r="D741" s="5" t="str">
        <f>IFERROR(__xludf.DUMMYFUNCTION("""COMPUTED_VALUE"""),"River 53N-630")</f>
        <v>River 53N-630</v>
      </c>
      <c r="E741" s="7" t="str">
        <f>IFERROR(__xludf.DUMMYFUNCTION("""COMPUTED_VALUE"""),"River 53N630")</f>
        <v>River 53N630</v>
      </c>
      <c r="F741" s="11">
        <f>IFERROR(__xludf.DUMMYFUNCTION("""COMPUTED_VALUE"""),-707.00629584817)</f>
        <v>-707.00629584817</v>
      </c>
      <c r="G741" s="11">
        <f>IFERROR(__xludf.DUMMYFUNCTION("""COMPUTED_VALUE"""),708.48388936968)</f>
        <v>708.48388936968</v>
      </c>
      <c r="H741" s="11">
        <f>IFERROR(__xludf.DUMMYFUNCTION("""COMPUTED_VALUE"""),3.99330654078)</f>
        <v>3.99330654078</v>
      </c>
      <c r="I741" s="15"/>
      <c r="J741" s="15"/>
      <c r="K741" s="15"/>
      <c r="L741" s="15"/>
      <c r="M741" s="7" t="b">
        <f>IFERROR(__xludf.DUMMYFUNCTION("""COMPUTED_VALUE"""),FALSE)</f>
        <v>0</v>
      </c>
      <c r="N741" s="10"/>
      <c r="O741" s="10"/>
      <c r="P741" s="8"/>
      <c r="Q741" s="7"/>
      <c r="R741" s="16"/>
      <c r="S741" s="17"/>
      <c r="T741" s="8"/>
      <c r="U741" s="8"/>
      <c r="V741" s="22"/>
      <c r="W741" s="12"/>
      <c r="X741" s="12"/>
      <c r="Y741" s="12"/>
      <c r="Z741" s="12"/>
      <c r="AA741" s="7"/>
      <c r="AB741" s="12"/>
      <c r="AC741" s="6"/>
      <c r="AD741" s="6"/>
      <c r="AE741" s="7"/>
      <c r="AF741" s="7"/>
      <c r="AG741" s="7"/>
      <c r="AH741" s="7"/>
      <c r="AI741" s="7"/>
      <c r="AJ741" s="7"/>
      <c r="AK741" s="7"/>
      <c r="AL741" s="7"/>
      <c r="AM741" s="7"/>
      <c r="AN741" s="7"/>
      <c r="AO741" s="6"/>
      <c r="AP741" s="7"/>
      <c r="AQ741" s="7"/>
      <c r="AR741" s="6"/>
      <c r="AS741" s="7"/>
      <c r="AT741" s="7"/>
      <c r="AU741" s="7"/>
      <c r="AV741" s="7"/>
      <c r="AW741" s="7"/>
      <c r="AX741" s="7"/>
      <c r="AY741" s="7"/>
      <c r="AZ741" s="7"/>
      <c r="BA741" s="7"/>
      <c r="BB741" s="7"/>
      <c r="BC741" s="7"/>
      <c r="BD741" s="7"/>
      <c r="BE741" s="7"/>
      <c r="BF741" s="7"/>
      <c r="BG741" s="7"/>
    </row>
    <row r="742" customHeight="1" spans="1:59">
      <c r="A742" s="9" t="str">
        <f>IFERROR(__xludf.DUMMYFUNCTION("""COMPUTED_VALUE"""),"microTech 73")</f>
        <v>microTech 73</v>
      </c>
      <c r="B742" s="5" t="str">
        <f>IFERROR(__xludf.DUMMYFUNCTION("""COMPUTED_VALUE"""),"microTech 90")</f>
        <v>microTech 90</v>
      </c>
      <c r="C742" s="5" t="str">
        <f>IFERROR(__xludf.DUMMYFUNCTION("""COMPUTED_VALUE"""),"microTech 13")</f>
        <v>microTech 13</v>
      </c>
      <c r="D742" s="5" t="str">
        <f>IFERROR(__xludf.DUMMYFUNCTION("""COMPUTED_VALUE"""),"River 53N-633")</f>
        <v>River 53N-633</v>
      </c>
      <c r="E742" s="7" t="str">
        <f>IFERROR(__xludf.DUMMYFUNCTION("""COMPUTED_VALUE"""),"River 53N633")</f>
        <v>River 53N633</v>
      </c>
      <c r="F742" s="11">
        <f>IFERROR(__xludf.DUMMYFUNCTION("""COMPUTED_VALUE"""),-724.49010855951)</f>
        <v>-724.49010855951</v>
      </c>
      <c r="G742" s="11">
        <f>IFERROR(__xludf.DUMMYFUNCTION("""COMPUTED_VALUE"""),690.56441334727)</f>
        <v>690.56441334727</v>
      </c>
      <c r="H742" s="11">
        <f>IFERROR(__xludf.DUMMYFUNCTION("""COMPUTED_VALUE"""),11.37279001968)</f>
        <v>11.37279001968</v>
      </c>
      <c r="I742" s="15"/>
      <c r="J742" s="15"/>
      <c r="K742" s="15"/>
      <c r="L742" s="15"/>
      <c r="M742" s="7" t="b">
        <f>IFERROR(__xludf.DUMMYFUNCTION("""COMPUTED_VALUE"""),FALSE)</f>
        <v>0</v>
      </c>
      <c r="N742" s="10"/>
      <c r="O742" s="10"/>
      <c r="P742" s="8"/>
      <c r="Q742" s="7"/>
      <c r="R742" s="16"/>
      <c r="S742" s="17"/>
      <c r="T742" s="8"/>
      <c r="U742" s="8"/>
      <c r="V742" s="22"/>
      <c r="W742" s="12"/>
      <c r="X742" s="12"/>
      <c r="Y742" s="12"/>
      <c r="Z742" s="12"/>
      <c r="AA742" s="7"/>
      <c r="AB742" s="12"/>
      <c r="AC742" s="6"/>
      <c r="AD742" s="6"/>
      <c r="AE742" s="7"/>
      <c r="AF742" s="7"/>
      <c r="AG742" s="7"/>
      <c r="AH742" s="7"/>
      <c r="AI742" s="7"/>
      <c r="AJ742" s="7"/>
      <c r="AK742" s="7"/>
      <c r="AL742" s="7"/>
      <c r="AM742" s="7"/>
      <c r="AN742" s="7"/>
      <c r="AO742" s="6"/>
      <c r="AP742" s="7"/>
      <c r="AQ742" s="7"/>
      <c r="AR742" s="6"/>
      <c r="AS742" s="7"/>
      <c r="AT742" s="7"/>
      <c r="AU742" s="7"/>
      <c r="AV742" s="7"/>
      <c r="AW742" s="7"/>
      <c r="AX742" s="7"/>
      <c r="AY742" s="7"/>
      <c r="AZ742" s="7"/>
      <c r="BA742" s="7"/>
      <c r="BB742" s="7"/>
      <c r="BC742" s="7"/>
      <c r="BD742" s="7"/>
      <c r="BE742" s="7"/>
      <c r="BF742" s="7"/>
      <c r="BG742" s="7"/>
    </row>
    <row r="743" customHeight="1" spans="1:59">
      <c r="A743" s="9" t="str">
        <f>IFERROR(__xludf.DUMMYFUNCTION("""COMPUTED_VALUE"""),"microTech 76")</f>
        <v>microTech 76</v>
      </c>
      <c r="B743" s="5" t="str">
        <f>IFERROR(__xludf.DUMMYFUNCTION("""COMPUTED_VALUE"""),"microTech 93")</f>
        <v>microTech 93</v>
      </c>
      <c r="C743" s="5" t="str">
        <f>IFERROR(__xludf.DUMMYFUNCTION("""COMPUTED_VALUE"""),"microTech 23")</f>
        <v>microTech 23</v>
      </c>
      <c r="D743" s="5" t="str">
        <f>IFERROR(__xludf.DUMMYFUNCTION("""COMPUTED_VALUE"""),"River 53P-625")</f>
        <v>River 53P-625</v>
      </c>
      <c r="E743" s="7" t="str">
        <f>IFERROR(__xludf.DUMMYFUNCTION("""COMPUTED_VALUE"""),"River 53P625")</f>
        <v>River 53P625</v>
      </c>
      <c r="F743" s="11">
        <f>IFERROR(__xludf.DUMMYFUNCTION("""COMPUTED_VALUE"""),-661.28154028757)</f>
        <v>-661.28154028757</v>
      </c>
      <c r="G743" s="11">
        <f>IFERROR(__xludf.DUMMYFUNCTION("""COMPUTED_VALUE"""),725.22427655367)</f>
        <v>725.22427655367</v>
      </c>
      <c r="H743" s="11">
        <f>IFERROR(__xludf.DUMMYFUNCTION("""COMPUTED_VALUE"""),196.11160539173)</f>
        <v>196.11160539173</v>
      </c>
      <c r="I743" s="15"/>
      <c r="J743" s="15"/>
      <c r="K743" s="15"/>
      <c r="L743" s="15"/>
      <c r="M743" s="7" t="b">
        <f>IFERROR(__xludf.DUMMYFUNCTION("""COMPUTED_VALUE"""),FALSE)</f>
        <v>0</v>
      </c>
      <c r="N743" s="10"/>
      <c r="O743" s="10"/>
      <c r="P743" s="8"/>
      <c r="Q743" s="7"/>
      <c r="R743" s="16"/>
      <c r="S743" s="17"/>
      <c r="T743" s="8"/>
      <c r="U743" s="8"/>
      <c r="V743" s="22"/>
      <c r="W743" s="12"/>
      <c r="X743" s="12"/>
      <c r="Y743" s="12"/>
      <c r="Z743" s="12"/>
      <c r="AA743" s="7"/>
      <c r="AB743" s="12"/>
      <c r="AC743" s="6"/>
      <c r="AD743" s="6"/>
      <c r="AE743" s="7"/>
      <c r="AF743" s="7"/>
      <c r="AG743" s="7"/>
      <c r="AH743" s="7"/>
      <c r="AI743" s="7"/>
      <c r="AJ743" s="7"/>
      <c r="AK743" s="7"/>
      <c r="AL743" s="7"/>
      <c r="AM743" s="7"/>
      <c r="AN743" s="7"/>
      <c r="AO743" s="6"/>
      <c r="AP743" s="7"/>
      <c r="AQ743" s="7"/>
      <c r="AR743" s="6"/>
      <c r="AS743" s="7"/>
      <c r="AT743" s="7"/>
      <c r="AU743" s="7"/>
      <c r="AV743" s="7"/>
      <c r="AW743" s="7"/>
      <c r="AX743" s="7"/>
      <c r="AY743" s="7"/>
      <c r="AZ743" s="7"/>
      <c r="BA743" s="7"/>
      <c r="BB743" s="7"/>
      <c r="BC743" s="7"/>
      <c r="BD743" s="7"/>
      <c r="BE743" s="7"/>
      <c r="BF743" s="7"/>
      <c r="BG743" s="7"/>
    </row>
    <row r="744" customHeight="1" spans="1:59">
      <c r="A744" s="9" t="str">
        <f>IFERROR(__xludf.DUMMYFUNCTION("""COMPUTED_VALUE"""),"microTech 70")</f>
        <v>microTech 70</v>
      </c>
      <c r="B744" s="5" t="str">
        <f>IFERROR(__xludf.DUMMYFUNCTION("""COMPUTED_VALUE"""),"microTech 87")</f>
        <v>microTech 87</v>
      </c>
      <c r="C744" s="5" t="str">
        <f>IFERROR(__xludf.DUMMYFUNCTION("""COMPUTED_VALUE"""),"microTech 20")</f>
        <v>microTech 20</v>
      </c>
      <c r="D744" s="5" t="str">
        <f>IFERROR(__xludf.DUMMYFUNCTION("""COMPUTED_VALUE"""),"River 53N-627")</f>
        <v>River 53N-627</v>
      </c>
      <c r="E744" s="7" t="str">
        <f>IFERROR(__xludf.DUMMYFUNCTION("""COMPUTED_VALUE"""),"River 53N627")</f>
        <v>River 53N627</v>
      </c>
      <c r="F744" s="11">
        <f>IFERROR(__xludf.DUMMYFUNCTION("""COMPUTED_VALUE"""),-682.27331957135)</f>
        <v>-682.27331957135</v>
      </c>
      <c r="G744" s="11">
        <f>IFERROR(__xludf.DUMMYFUNCTION("""COMPUTED_VALUE"""),731.64156839804)</f>
        <v>731.64156839804</v>
      </c>
      <c r="H744" s="11">
        <f>IFERROR(__xludf.DUMMYFUNCTION("""COMPUTED_VALUE"""),6.84236910808)</f>
        <v>6.84236910808</v>
      </c>
      <c r="I744" s="15"/>
      <c r="J744" s="15"/>
      <c r="K744" s="15"/>
      <c r="L744" s="15"/>
      <c r="M744" s="7" t="b">
        <f>IFERROR(__xludf.DUMMYFUNCTION("""COMPUTED_VALUE"""),FALSE)</f>
        <v>0</v>
      </c>
      <c r="N744" s="10"/>
      <c r="O744" s="10"/>
      <c r="P744" s="8"/>
      <c r="Q744" s="7"/>
      <c r="R744" s="16"/>
      <c r="S744" s="17"/>
      <c r="T744" s="8"/>
      <c r="U744" s="8"/>
      <c r="V744" s="22"/>
      <c r="W744" s="12"/>
      <c r="X744" s="12"/>
      <c r="Y744" s="12"/>
      <c r="Z744" s="12"/>
      <c r="AA744" s="9"/>
      <c r="AB744" s="12"/>
      <c r="AC744" s="6"/>
      <c r="AD744" s="6"/>
      <c r="AE744" s="7"/>
      <c r="AF744" s="7"/>
      <c r="AG744" s="7"/>
      <c r="AH744" s="7"/>
      <c r="AI744" s="7"/>
      <c r="AJ744" s="7"/>
      <c r="AK744" s="7"/>
      <c r="AL744" s="7"/>
      <c r="AM744" s="7"/>
      <c r="AN744" s="7"/>
      <c r="AO744" s="6"/>
      <c r="AP744" s="7"/>
      <c r="AQ744" s="7"/>
      <c r="AR744" s="6"/>
      <c r="AS744" s="7"/>
      <c r="AT744" s="7"/>
      <c r="AU744" s="7"/>
      <c r="AV744" s="7"/>
      <c r="AW744" s="7"/>
      <c r="AX744" s="7"/>
      <c r="AY744" s="7"/>
      <c r="AZ744" s="7"/>
      <c r="BA744" s="7"/>
      <c r="BB744" s="7"/>
      <c r="BC744" s="7"/>
      <c r="BD744" s="7"/>
      <c r="BE744" s="7"/>
      <c r="BF744" s="7"/>
      <c r="BG744" s="7"/>
    </row>
    <row r="745" customHeight="1" spans="1:59">
      <c r="A745" s="9" t="str">
        <f>IFERROR(__xludf.DUMMYFUNCTION("""COMPUTED_VALUE"""),"microTech 81")</f>
        <v>microTech 81</v>
      </c>
      <c r="B745" s="5" t="str">
        <f>IFERROR(__xludf.DUMMYFUNCTION("""COMPUTED_VALUE"""),"microTech 98")</f>
        <v>microTech 98</v>
      </c>
      <c r="C745" s="5" t="str">
        <f>IFERROR(__xludf.DUMMYFUNCTION("""COMPUTED_VALUE"""),"microTech 07")</f>
        <v>microTech 07</v>
      </c>
      <c r="D745" s="5" t="str">
        <f>IFERROR(__xludf.DUMMYFUNCTION("""COMPUTED_VALUE"""),"River 54N-639")</f>
        <v>River 54N-639</v>
      </c>
      <c r="E745" s="7" t="str">
        <f>IFERROR(__xludf.DUMMYFUNCTION("""COMPUTED_VALUE"""),"River 54N639")</f>
        <v>River 54N639</v>
      </c>
      <c r="F745" s="11">
        <f>IFERROR(__xludf.DUMMYFUNCTION("""COMPUTED_VALUE"""),-758.59063795013)</f>
        <v>-758.59063795013</v>
      </c>
      <c r="G745" s="11">
        <f>IFERROR(__xludf.DUMMYFUNCTION("""COMPUTED_VALUE"""),653.09384087314)</f>
        <v>653.09384087314</v>
      </c>
      <c r="H745" s="11">
        <f>IFERROR(__xludf.DUMMYFUNCTION("""COMPUTED_VALUE"""),16.50549280405)</f>
        <v>16.50549280405</v>
      </c>
      <c r="I745" s="15"/>
      <c r="J745" s="15"/>
      <c r="K745" s="15"/>
      <c r="L745" s="15"/>
      <c r="M745" s="7" t="b">
        <f>IFERROR(__xludf.DUMMYFUNCTION("""COMPUTED_VALUE"""),FALSE)</f>
        <v>0</v>
      </c>
      <c r="N745" s="10"/>
      <c r="O745" s="10"/>
      <c r="P745" s="8"/>
      <c r="Q745" s="7"/>
      <c r="R745" s="16"/>
      <c r="S745" s="17"/>
      <c r="T745" s="8"/>
      <c r="U745" s="8"/>
      <c r="V745" s="22"/>
      <c r="W745" s="12"/>
      <c r="X745" s="12"/>
      <c r="Y745" s="12"/>
      <c r="Z745" s="12"/>
      <c r="AA745" s="12"/>
      <c r="AB745" s="12"/>
      <c r="AC745" s="6"/>
      <c r="AD745" s="6"/>
      <c r="AE745" s="7"/>
      <c r="AF745" s="7"/>
      <c r="AG745" s="7"/>
      <c r="AH745" s="7"/>
      <c r="AI745" s="7"/>
      <c r="AJ745" s="7"/>
      <c r="AK745" s="7"/>
      <c r="AL745" s="7"/>
      <c r="AM745" s="7"/>
      <c r="AN745" s="7"/>
      <c r="AO745" s="6"/>
      <c r="AP745" s="7"/>
      <c r="AQ745" s="7"/>
      <c r="AR745" s="6"/>
      <c r="AS745" s="7"/>
      <c r="AT745" s="7"/>
      <c r="AU745" s="7"/>
      <c r="AV745" s="7"/>
      <c r="AW745" s="7"/>
      <c r="AX745" s="7"/>
      <c r="AY745" s="7"/>
      <c r="AZ745" s="7"/>
      <c r="BA745" s="7"/>
      <c r="BB745" s="7"/>
      <c r="BC745" s="7"/>
      <c r="BD745" s="7"/>
      <c r="BE745" s="7"/>
      <c r="BF745" s="7"/>
      <c r="BG745" s="7"/>
    </row>
    <row r="746" customHeight="1" spans="1:59">
      <c r="A746" s="9" t="str">
        <f>IFERROR(__xludf.DUMMYFUNCTION("""COMPUTED_VALUE"""),"microTech 71")</f>
        <v>microTech 71</v>
      </c>
      <c r="B746" s="5" t="str">
        <f>IFERROR(__xludf.DUMMYFUNCTION("""COMPUTED_VALUE"""),"microTech 88")</f>
        <v>microTech 88</v>
      </c>
      <c r="C746" s="5" t="str">
        <f>IFERROR(__xludf.DUMMYFUNCTION("""COMPUTED_VALUE"""),"microTech 18")</f>
        <v>microTech 18</v>
      </c>
      <c r="D746" s="23" t="str">
        <f>IFERROR(__xludf.DUMMYFUNCTION("""COMPUTED_VALUE"""),"River 53N-628")</f>
        <v>River 53N-628</v>
      </c>
      <c r="E746" s="7" t="str">
        <f>IFERROR(__xludf.DUMMYFUNCTION("""COMPUTED_VALUE"""),"River 53N628")</f>
        <v>River 53N628</v>
      </c>
      <c r="F746" s="11">
        <f>IFERROR(__xludf.DUMMYFUNCTION("""COMPUTED_VALUE"""),-690.11601783916)</f>
        <v>-690.11601783916</v>
      </c>
      <c r="G746" s="11">
        <f>IFERROR(__xludf.DUMMYFUNCTION("""COMPUTED_VALUE"""),715.07065117631)</f>
        <v>715.07065117631</v>
      </c>
      <c r="H746" s="11">
        <f>IFERROR(__xludf.DUMMYFUNCTION("""COMPUTED_VALUE"""),126.72312525077)</f>
        <v>126.72312525077</v>
      </c>
      <c r="I746" s="15"/>
      <c r="J746" s="15"/>
      <c r="K746" s="15"/>
      <c r="L746" s="15"/>
      <c r="M746" s="7" t="b">
        <f>IFERROR(__xludf.DUMMYFUNCTION("""COMPUTED_VALUE"""),FALSE)</f>
        <v>0</v>
      </c>
      <c r="N746" s="10"/>
      <c r="O746" s="10"/>
      <c r="P746" s="8"/>
      <c r="Q746" s="7"/>
      <c r="R746" s="16"/>
      <c r="S746" s="17"/>
      <c r="T746" s="8"/>
      <c r="U746" s="8"/>
      <c r="V746" s="22"/>
      <c r="W746" s="12"/>
      <c r="X746" s="12"/>
      <c r="Y746" s="12"/>
      <c r="Z746" s="12"/>
      <c r="AA746" s="7"/>
      <c r="AB746" s="12"/>
      <c r="AC746" s="6"/>
      <c r="AD746" s="6"/>
      <c r="AE746" s="7"/>
      <c r="AF746" s="7"/>
      <c r="AG746" s="7"/>
      <c r="AH746" s="7"/>
      <c r="AI746" s="7"/>
      <c r="AJ746" s="7"/>
      <c r="AK746" s="7"/>
      <c r="AL746" s="7"/>
      <c r="AM746" s="7"/>
      <c r="AN746" s="7"/>
      <c r="AO746" s="6"/>
      <c r="AP746" s="7"/>
      <c r="AQ746" s="7"/>
      <c r="AR746" s="6"/>
      <c r="AS746" s="7"/>
      <c r="AT746" s="7"/>
      <c r="AU746" s="7"/>
      <c r="AV746" s="7"/>
      <c r="AW746" s="7"/>
      <c r="AX746" s="7"/>
      <c r="AY746" s="7"/>
      <c r="AZ746" s="7"/>
      <c r="BA746" s="7"/>
      <c r="BB746" s="7"/>
      <c r="BC746" s="7"/>
      <c r="BD746" s="7"/>
      <c r="BE746" s="7"/>
      <c r="BF746" s="7"/>
      <c r="BG746" s="7"/>
    </row>
    <row r="747" customHeight="1" spans="1:59">
      <c r="A747" s="9" t="str">
        <f>IFERROR(__xludf.DUMMYFUNCTION("""COMPUTED_VALUE"""),"microTech 84")</f>
        <v>microTech 84</v>
      </c>
      <c r="B747" s="5" t="str">
        <f>IFERROR(__xludf.DUMMYFUNCTION("""COMPUTED_VALUE"""),"microTech 101")</f>
        <v>microTech 101</v>
      </c>
      <c r="C747" s="5" t="str">
        <f>IFERROR(__xludf.DUMMYFUNCTION("""COMPUTED_VALUE"""),"microTech 02")</f>
        <v>microTech 02</v>
      </c>
      <c r="D747" s="23" t="str">
        <f>IFERROR(__xludf.DUMMYFUNCTION("""COMPUTED_VALUE"""),"River 55N")</f>
        <v>River 55N</v>
      </c>
      <c r="E747" s="7" t="str">
        <f>IFERROR(__xludf.DUMMYFUNCTION("""COMPUTED_VALUE"""),"River 55N")</f>
        <v>River 55N</v>
      </c>
      <c r="F747" s="11">
        <f>IFERROR(__xludf.DUMMYFUNCTION("""COMPUTED_VALUE"""),-820.73159667614)</f>
        <v>-820.73159667614</v>
      </c>
      <c r="G747" s="11">
        <f>IFERROR(__xludf.DUMMYFUNCTION("""COMPUTED_VALUE"""),568.35011354749)</f>
        <v>568.35011354749</v>
      </c>
      <c r="H747" s="11">
        <f>IFERROR(__xludf.DUMMYFUNCTION("""COMPUTED_VALUE"""),72.12896686881)</f>
        <v>72.12896686881</v>
      </c>
      <c r="I747" s="15"/>
      <c r="J747" s="15"/>
      <c r="K747" s="15"/>
      <c r="L747" s="15"/>
      <c r="M747" s="7" t="b">
        <f>IFERROR(__xludf.DUMMYFUNCTION("""COMPUTED_VALUE"""),FALSE)</f>
        <v>0</v>
      </c>
      <c r="N747" s="10"/>
      <c r="O747" s="10"/>
      <c r="P747" s="8"/>
      <c r="Q747" s="7"/>
      <c r="R747" s="16"/>
      <c r="S747" s="17"/>
      <c r="T747" s="8"/>
      <c r="U747" s="8"/>
      <c r="V747" s="22"/>
      <c r="W747" s="12"/>
      <c r="X747" s="12"/>
      <c r="Y747" s="12"/>
      <c r="Z747" s="12"/>
      <c r="AA747" s="7"/>
      <c r="AB747" s="12"/>
      <c r="AC747" s="6"/>
      <c r="AD747" s="6"/>
      <c r="AE747" s="7"/>
      <c r="AF747" s="7"/>
      <c r="AG747" s="7"/>
      <c r="AH747" s="7"/>
      <c r="AI747" s="7"/>
      <c r="AJ747" s="7"/>
      <c r="AK747" s="7"/>
      <c r="AL747" s="7"/>
      <c r="AM747" s="7"/>
      <c r="AN747" s="7"/>
      <c r="AO747" s="6"/>
      <c r="AP747" s="7"/>
      <c r="AQ747" s="7"/>
      <c r="AR747" s="6"/>
      <c r="AS747" s="7"/>
      <c r="AT747" s="7"/>
      <c r="AU747" s="7"/>
      <c r="AV747" s="7"/>
      <c r="AW747" s="7"/>
      <c r="AX747" s="7"/>
      <c r="AY747" s="7"/>
      <c r="AZ747" s="7"/>
      <c r="BA747" s="7"/>
      <c r="BB747" s="7"/>
      <c r="BC747" s="7"/>
      <c r="BD747" s="7"/>
      <c r="BE747" s="7"/>
      <c r="BF747" s="7"/>
      <c r="BG747" s="7"/>
    </row>
    <row r="748" customHeight="1" spans="1:59">
      <c r="A748" s="9" t="str">
        <f>IFERROR(__xludf.DUMMYFUNCTION("""COMPUTED_VALUE"""),"microTech 78")</f>
        <v>microTech 78</v>
      </c>
      <c r="B748" s="5" t="str">
        <f>IFERROR(__xludf.DUMMYFUNCTION("""COMPUTED_VALUE"""),"microTech 95")</f>
        <v>microTech 95</v>
      </c>
      <c r="C748" s="5" t="str">
        <f>IFERROR(__xludf.DUMMYFUNCTION("""COMPUTED_VALUE"""),"microTech 15")</f>
        <v>microTech 15</v>
      </c>
      <c r="D748" s="5" t="str">
        <f>IFERROR(__xludf.DUMMYFUNCTION("""COMPUTED_VALUE"""),"River 53P-631")</f>
        <v>River 53P-631</v>
      </c>
      <c r="E748" s="7" t="str">
        <f>IFERROR(__xludf.DUMMYFUNCTION("""COMPUTED_VALUE"""),"River 53P631")</f>
        <v>River 53P631</v>
      </c>
      <c r="F748" s="11">
        <f>IFERROR(__xludf.DUMMYFUNCTION("""COMPUTED_VALUE"""),-693.64940424645)</f>
        <v>-693.64940424645</v>
      </c>
      <c r="G748" s="11">
        <f>IFERROR(__xludf.DUMMYFUNCTION("""COMPUTED_VALUE"""),687.63526013252)</f>
        <v>687.63526013252</v>
      </c>
      <c r="H748" s="11">
        <f>IFERROR(__xludf.DUMMYFUNCTION("""COMPUTED_VALUE"""),219.20152316351)</f>
        <v>219.20152316351</v>
      </c>
      <c r="I748" s="15"/>
      <c r="J748" s="15"/>
      <c r="K748" s="15"/>
      <c r="L748" s="15"/>
      <c r="M748" s="7" t="b">
        <f>IFERROR(__xludf.DUMMYFUNCTION("""COMPUTED_VALUE"""),FALSE)</f>
        <v>0</v>
      </c>
      <c r="N748" s="10"/>
      <c r="O748" s="10"/>
      <c r="P748" s="8"/>
      <c r="Q748" s="7"/>
      <c r="R748" s="16"/>
      <c r="S748" s="17"/>
      <c r="T748" s="8"/>
      <c r="U748" s="8"/>
      <c r="V748" s="22"/>
      <c r="W748" s="12"/>
      <c r="X748" s="12"/>
      <c r="Y748" s="12"/>
      <c r="Z748" s="12"/>
      <c r="AA748" s="7"/>
      <c r="AB748" s="12"/>
      <c r="AC748" s="6"/>
      <c r="AD748" s="6"/>
      <c r="AE748" s="7"/>
      <c r="AF748" s="7"/>
      <c r="AG748" s="7"/>
      <c r="AH748" s="7"/>
      <c r="AI748" s="7"/>
      <c r="AJ748" s="7"/>
      <c r="AK748" s="7"/>
      <c r="AL748" s="7"/>
      <c r="AM748" s="7"/>
      <c r="AN748" s="7"/>
      <c r="AO748" s="6"/>
      <c r="AP748" s="7"/>
      <c r="AQ748" s="7"/>
      <c r="AR748" s="6"/>
      <c r="AS748" s="7"/>
      <c r="AT748" s="7"/>
      <c r="AU748" s="7"/>
      <c r="AV748" s="7"/>
      <c r="AW748" s="7"/>
      <c r="AX748" s="7"/>
      <c r="AY748" s="7"/>
      <c r="AZ748" s="7"/>
      <c r="BA748" s="7"/>
      <c r="BB748" s="7"/>
      <c r="BC748" s="7"/>
      <c r="BD748" s="7"/>
      <c r="BE748" s="7"/>
      <c r="BF748" s="7"/>
      <c r="BG748" s="7"/>
    </row>
    <row r="749" customHeight="1" spans="1:59">
      <c r="A749" s="9" t="str">
        <f>IFERROR(__xludf.DUMMYFUNCTION("""COMPUTED_VALUE"""),"microTech 80")</f>
        <v>microTech 80</v>
      </c>
      <c r="B749" s="5" t="str">
        <f>IFERROR(__xludf.DUMMYFUNCTION("""COMPUTED_VALUE"""),"microTech 97")</f>
        <v>microTech 97</v>
      </c>
      <c r="C749" s="5" t="str">
        <f>IFERROR(__xludf.DUMMYFUNCTION("""COMPUTED_VALUE"""),"microTech 08")</f>
        <v>microTech 08</v>
      </c>
      <c r="D749" s="5" t="str">
        <f>IFERROR(__xludf.DUMMYFUNCTION("""COMPUTED_VALUE"""),"River 54N-638")</f>
        <v>River 54N-638</v>
      </c>
      <c r="E749" s="7" t="str">
        <f>IFERROR(__xludf.DUMMYFUNCTION("""COMPUTED_VALUE"""),"River 54N638")</f>
        <v>River 54N638</v>
      </c>
      <c r="F749" s="11">
        <f>IFERROR(__xludf.DUMMYFUNCTION("""COMPUTED_VALUE"""),-754.61837282719)</f>
        <v>-754.61837282719</v>
      </c>
      <c r="G749" s="11">
        <f>IFERROR(__xludf.DUMMYFUNCTION("""COMPUTED_VALUE"""),657.4929587854)</f>
        <v>657.4929587854</v>
      </c>
      <c r="H749" s="11">
        <f>IFERROR(__xludf.DUMMYFUNCTION("""COMPUTED_VALUE"""),15.87634694054)</f>
        <v>15.87634694054</v>
      </c>
      <c r="I749" s="15"/>
      <c r="J749" s="15"/>
      <c r="K749" s="15"/>
      <c r="L749" s="15"/>
      <c r="M749" s="7" t="b">
        <f>IFERROR(__xludf.DUMMYFUNCTION("""COMPUTED_VALUE"""),FALSE)</f>
        <v>0</v>
      </c>
      <c r="N749" s="10"/>
      <c r="O749" s="10"/>
      <c r="P749" s="8"/>
      <c r="Q749" s="7"/>
      <c r="R749" s="16"/>
      <c r="S749" s="17"/>
      <c r="T749" s="8"/>
      <c r="U749" s="8"/>
      <c r="V749" s="22"/>
      <c r="W749" s="12"/>
      <c r="X749" s="12"/>
      <c r="Y749" s="12"/>
      <c r="Z749" s="12"/>
      <c r="AA749" s="9"/>
      <c r="AB749" s="12"/>
      <c r="AC749" s="6"/>
      <c r="AD749" s="6"/>
      <c r="AE749" s="7"/>
      <c r="AF749" s="7"/>
      <c r="AG749" s="7"/>
      <c r="AH749" s="7"/>
      <c r="AI749" s="7"/>
      <c r="AJ749" s="7"/>
      <c r="AK749" s="7"/>
      <c r="AL749" s="7"/>
      <c r="AM749" s="7"/>
      <c r="AN749" s="7"/>
      <c r="AO749" s="6"/>
      <c r="AP749" s="7"/>
      <c r="AQ749" s="7"/>
      <c r="AR749" s="6"/>
      <c r="AS749" s="7"/>
      <c r="AT749" s="7"/>
      <c r="AU749" s="7"/>
      <c r="AV749" s="7"/>
      <c r="AW749" s="7"/>
      <c r="AX749" s="7"/>
      <c r="AY749" s="7"/>
      <c r="AZ749" s="7"/>
      <c r="BA749" s="7"/>
      <c r="BB749" s="7"/>
      <c r="BC749" s="7"/>
      <c r="BD749" s="7"/>
      <c r="BE749" s="7"/>
      <c r="BF749" s="7"/>
      <c r="BG749" s="7"/>
    </row>
    <row r="750" customHeight="1" spans="1:59">
      <c r="A750" s="9" t="str">
        <f>IFERROR(__xludf.DUMMYFUNCTION("""COMPUTED_VALUE"""),"microTech 69")</f>
        <v>microTech 69</v>
      </c>
      <c r="B750" s="5" t="str">
        <f>IFERROR(__xludf.DUMMYFUNCTION("""COMPUTED_VALUE"""),"microTech 86")</f>
        <v>microTech 86</v>
      </c>
      <c r="C750" s="5" t="str">
        <f>IFERROR(__xludf.DUMMYFUNCTION("""COMPUTED_VALUE"""),"microTech 24")</f>
        <v>microTech 24</v>
      </c>
      <c r="D750" s="5" t="str">
        <f>IFERROR(__xludf.DUMMYFUNCTION("""COMPUTED_VALUE"""),"River 53N-625")</f>
        <v>River 53N-625</v>
      </c>
      <c r="E750" s="7" t="str">
        <f>IFERROR(__xludf.DUMMYFUNCTION("""COMPUTED_VALUE"""),"River 53N625")</f>
        <v>River 53N625</v>
      </c>
      <c r="F750" s="11">
        <f>IFERROR(__xludf.DUMMYFUNCTION("""COMPUTED_VALUE"""),-671.95912652879)</f>
        <v>-671.95912652879</v>
      </c>
      <c r="G750" s="11">
        <f>IFERROR(__xludf.DUMMYFUNCTION("""COMPUTED_VALUE"""),741.26646720449)</f>
        <v>741.26646720449</v>
      </c>
      <c r="H750" s="11">
        <f>IFERROR(__xludf.DUMMYFUNCTION("""COMPUTED_VALUE"""),19.68942692564)</f>
        <v>19.68942692564</v>
      </c>
      <c r="I750" s="15"/>
      <c r="J750" s="15"/>
      <c r="K750" s="15"/>
      <c r="L750" s="15"/>
      <c r="M750" s="7" t="b">
        <f>IFERROR(__xludf.DUMMYFUNCTION("""COMPUTED_VALUE"""),FALSE)</f>
        <v>0</v>
      </c>
      <c r="N750" s="10"/>
      <c r="O750" s="10"/>
      <c r="P750" s="8"/>
      <c r="Q750" s="7"/>
      <c r="R750" s="16"/>
      <c r="S750" s="17"/>
      <c r="T750" s="8"/>
      <c r="U750" s="8"/>
      <c r="V750" s="22"/>
      <c r="W750" s="12"/>
      <c r="X750" s="12"/>
      <c r="Y750" s="12"/>
      <c r="Z750" s="12"/>
      <c r="AA750" s="9"/>
      <c r="AB750" s="12"/>
      <c r="AC750" s="6"/>
      <c r="AD750" s="6"/>
      <c r="AE750" s="7"/>
      <c r="AF750" s="7"/>
      <c r="AG750" s="7"/>
      <c r="AH750" s="7"/>
      <c r="AI750" s="7"/>
      <c r="AJ750" s="7"/>
      <c r="AK750" s="7"/>
      <c r="AL750" s="7"/>
      <c r="AM750" s="7"/>
      <c r="AN750" s="7"/>
      <c r="AO750" s="6"/>
      <c r="AP750" s="7"/>
      <c r="AQ750" s="7"/>
      <c r="AR750" s="6"/>
      <c r="AS750" s="7"/>
      <c r="AT750" s="7"/>
      <c r="AU750" s="7"/>
      <c r="AV750" s="7"/>
      <c r="AW750" s="7"/>
      <c r="AX750" s="7"/>
      <c r="AY750" s="7"/>
      <c r="AZ750" s="7"/>
      <c r="BA750" s="7"/>
      <c r="BB750" s="7"/>
      <c r="BC750" s="7"/>
      <c r="BD750" s="7"/>
      <c r="BE750" s="7"/>
      <c r="BF750" s="7"/>
      <c r="BG750" s="7"/>
    </row>
    <row r="751" customHeight="1" spans="1:59">
      <c r="A751" s="9" t="str">
        <f>IFERROR(__xludf.DUMMYFUNCTION("""COMPUTED_VALUE"""),"microTech 77")</f>
        <v>microTech 77</v>
      </c>
      <c r="B751" s="9" t="str">
        <f>IFERROR(__xludf.DUMMYFUNCTION("""COMPUTED_VALUE"""),"microTech 94")</f>
        <v>microTech 94</v>
      </c>
      <c r="C751" s="5" t="str">
        <f>IFERROR(__xludf.DUMMYFUNCTION("""COMPUTED_VALUE"""),"microTech 17")</f>
        <v>microTech 17</v>
      </c>
      <c r="D751" s="5" t="str">
        <f>IFERROR(__xludf.DUMMYFUNCTION("""COMPUTED_VALUE"""),"River 53P-630")</f>
        <v>River 53P-630</v>
      </c>
      <c r="E751" s="7" t="str">
        <f>IFERROR(__xludf.DUMMYFUNCTION("""COMPUTED_VALUE"""),"River 53P630")</f>
        <v>River 53P630</v>
      </c>
      <c r="F751" s="11">
        <f>IFERROR(__xludf.DUMMYFUNCTION("""COMPUTED_VALUE"""),-694.519747280249)</f>
        <v>-694.519747280249</v>
      </c>
      <c r="G751" s="11">
        <f>IFERROR(__xludf.DUMMYFUNCTION("""COMPUTED_VALUE"""),703.15465518414)</f>
        <v>703.15465518414</v>
      </c>
      <c r="H751" s="11">
        <f>IFERROR(__xludf.DUMMYFUNCTION("""COMPUTED_VALUE"""),166.0948089991)</f>
        <v>166.0948089991</v>
      </c>
      <c r="I751" s="15"/>
      <c r="J751" s="15"/>
      <c r="K751" s="15"/>
      <c r="L751" s="15"/>
      <c r="M751" s="7" t="b">
        <f>IFERROR(__xludf.DUMMYFUNCTION("""COMPUTED_VALUE"""),FALSE)</f>
        <v>0</v>
      </c>
      <c r="N751" s="10"/>
      <c r="O751" s="10"/>
      <c r="P751" s="8"/>
      <c r="Q751" s="7"/>
      <c r="R751" s="16"/>
      <c r="S751" s="17"/>
      <c r="T751" s="8"/>
      <c r="U751" s="8"/>
      <c r="V751" s="22"/>
      <c r="W751" s="12"/>
      <c r="X751" s="12"/>
      <c r="Y751" s="12"/>
      <c r="Z751" s="12"/>
      <c r="AA751" s="9"/>
      <c r="AB751" s="12"/>
      <c r="AC751" s="6"/>
      <c r="AD751" s="6"/>
      <c r="AE751" s="7"/>
      <c r="AF751" s="7"/>
      <c r="AG751" s="7"/>
      <c r="AH751" s="7"/>
      <c r="AI751" s="7"/>
      <c r="AJ751" s="7"/>
      <c r="AK751" s="7"/>
      <c r="AL751" s="7"/>
      <c r="AM751" s="7"/>
      <c r="AN751" s="7"/>
      <c r="AO751" s="6"/>
      <c r="AP751" s="7"/>
      <c r="AQ751" s="7"/>
      <c r="AR751" s="6"/>
      <c r="AS751" s="7"/>
      <c r="AT751" s="7"/>
      <c r="AU751" s="7"/>
      <c r="AV751" s="7"/>
      <c r="AW751" s="7"/>
      <c r="AX751" s="7"/>
      <c r="AY751" s="7"/>
      <c r="AZ751" s="7"/>
      <c r="BA751" s="7"/>
      <c r="BB751" s="7"/>
      <c r="BC751" s="7"/>
      <c r="BD751" s="7"/>
      <c r="BE751" s="7"/>
      <c r="BF751" s="7"/>
      <c r="BG751" s="7"/>
    </row>
    <row r="752" customHeight="1" spans="1:59">
      <c r="A752" s="9" t="str">
        <f>IFERROR(__xludf.DUMMYFUNCTION("""COMPUTED_VALUE"""),"microTech 82")</f>
        <v>microTech 82</v>
      </c>
      <c r="B752" s="5" t="str">
        <f>IFERROR(__xludf.DUMMYFUNCTION("""COMPUTED_VALUE"""),"microTech 99")</f>
        <v>microTech 99</v>
      </c>
      <c r="C752" s="5" t="str">
        <f>IFERROR(__xludf.DUMMYFUNCTION("""COMPUTED_VALUE"""),"microTech 06")</f>
        <v>microTech 06</v>
      </c>
      <c r="D752" s="5" t="str">
        <f>IFERROR(__xludf.DUMMYFUNCTION("""COMPUTED_VALUE"""),"River 54N-642")</f>
        <v>River 54N-642</v>
      </c>
      <c r="E752" s="7" t="str">
        <f>IFERROR(__xludf.DUMMYFUNCTION("""COMPUTED_VALUE"""),"River 54N642")</f>
        <v>River 54N642</v>
      </c>
      <c r="F752" s="11">
        <f>IFERROR(__xludf.DUMMYFUNCTION("""COMPUTED_VALUE"""),-776.95680492816)</f>
        <v>-776.95680492816</v>
      </c>
      <c r="G752" s="11">
        <f>IFERROR(__xludf.DUMMYFUNCTION("""COMPUTED_VALUE"""),631.82575742003)</f>
        <v>631.82575742003</v>
      </c>
      <c r="H752" s="11">
        <f>IFERROR(__xludf.DUMMYFUNCTION("""COMPUTED_VALUE"""),12.12209835673)</f>
        <v>12.12209835673</v>
      </c>
      <c r="I752" s="15"/>
      <c r="J752" s="15"/>
      <c r="K752" s="15"/>
      <c r="L752" s="15"/>
      <c r="M752" s="7" t="b">
        <f>IFERROR(__xludf.DUMMYFUNCTION("""COMPUTED_VALUE"""),FALSE)</f>
        <v>0</v>
      </c>
      <c r="N752" s="10"/>
      <c r="O752" s="10"/>
      <c r="P752" s="8"/>
      <c r="Q752" s="7"/>
      <c r="R752" s="16"/>
      <c r="S752" s="17"/>
      <c r="T752" s="8"/>
      <c r="U752" s="8"/>
      <c r="V752" s="22"/>
      <c r="W752" s="12"/>
      <c r="X752" s="12"/>
      <c r="Y752" s="12"/>
      <c r="Z752" s="12"/>
      <c r="AA752" s="9"/>
      <c r="AB752" s="12"/>
      <c r="AC752" s="6"/>
      <c r="AD752" s="6"/>
      <c r="AE752" s="7"/>
      <c r="AF752" s="7"/>
      <c r="AG752" s="7"/>
      <c r="AH752" s="7"/>
      <c r="AI752" s="7"/>
      <c r="AJ752" s="7"/>
      <c r="AK752" s="7"/>
      <c r="AL752" s="7"/>
      <c r="AM752" s="7"/>
      <c r="AN752" s="7"/>
      <c r="AO752" s="6"/>
      <c r="AP752" s="7"/>
      <c r="AQ752" s="7"/>
      <c r="AR752" s="6"/>
      <c r="AS752" s="7"/>
      <c r="AT752" s="7"/>
      <c r="AU752" s="7"/>
      <c r="AV752" s="7"/>
      <c r="AW752" s="7"/>
      <c r="AX752" s="7"/>
      <c r="AY752" s="7"/>
      <c r="AZ752" s="7"/>
      <c r="BA752" s="7"/>
      <c r="BB752" s="7"/>
      <c r="BC752" s="7"/>
      <c r="BD752" s="7"/>
      <c r="BE752" s="7"/>
      <c r="BF752" s="7"/>
      <c r="BG752" s="7"/>
    </row>
    <row r="753" customHeight="1" spans="1:59">
      <c r="A753" s="9" t="str">
        <f>IFERROR(__xludf.DUMMYFUNCTION("""COMPUTED_VALUE"""),"microTech")</f>
        <v>microTech</v>
      </c>
      <c r="B753" s="9" t="str">
        <f>IFERROR(__xludf.DUMMYFUNCTION("""COMPUTED_VALUE"""),"microTech 103")</f>
        <v>microTech 103</v>
      </c>
      <c r="C753" s="5"/>
      <c r="D753" s="5" t="str">
        <f>IFERROR(__xludf.DUMMYFUNCTION("""COMPUTED_VALUE"""),"Other Locations")</f>
        <v>Other Locations</v>
      </c>
      <c r="E753" s="7"/>
      <c r="F753" s="11"/>
      <c r="G753" s="11"/>
      <c r="H753" s="11"/>
      <c r="I753" s="15"/>
      <c r="J753" s="15"/>
      <c r="K753" s="15"/>
      <c r="L753" s="15"/>
      <c r="M753" s="7"/>
      <c r="N753" s="10"/>
      <c r="O753" s="10"/>
      <c r="P753" s="8"/>
      <c r="Q753" s="7"/>
      <c r="R753" s="16"/>
      <c r="S753" s="17"/>
      <c r="T753" s="8"/>
      <c r="U753" s="8"/>
      <c r="V753" s="22"/>
      <c r="W753" s="12"/>
      <c r="X753" s="12"/>
      <c r="Y753" s="12"/>
      <c r="Z753" s="12"/>
      <c r="AA753" s="9"/>
      <c r="AB753" s="12"/>
      <c r="AC753" s="6"/>
      <c r="AD753" s="6"/>
      <c r="AE753" s="7"/>
      <c r="AF753" s="7"/>
      <c r="AG753" s="7"/>
      <c r="AH753" s="7"/>
      <c r="AI753" s="7"/>
      <c r="AJ753" s="7"/>
      <c r="AK753" s="7"/>
      <c r="AL753" s="7"/>
      <c r="AM753" s="7"/>
      <c r="AN753" s="7"/>
      <c r="AO753" s="6"/>
      <c r="AP753" s="7"/>
      <c r="AQ753" s="7"/>
      <c r="AR753" s="6"/>
      <c r="AS753" s="7"/>
      <c r="AT753" s="7"/>
      <c r="AU753" s="7"/>
      <c r="AV753" s="7"/>
      <c r="AW753" s="7"/>
      <c r="AX753" s="7"/>
      <c r="AY753" s="7"/>
      <c r="AZ753" s="7"/>
      <c r="BA753" s="7"/>
      <c r="BB753" s="7"/>
      <c r="BC753" s="7"/>
      <c r="BD753" s="7"/>
      <c r="BE753" s="7"/>
      <c r="BF753" s="7"/>
      <c r="BG753" s="7"/>
    </row>
    <row r="754" customHeight="1" spans="1:59">
      <c r="A754" s="9" t="str">
        <f>IFERROR(__xludf.DUMMYFUNCTION("""COMPUTED_VALUE"""),"microTech 85")</f>
        <v>microTech 85</v>
      </c>
      <c r="B754" s="5" t="str">
        <f>IFERROR(__xludf.DUMMYFUNCTION("""COMPUTED_VALUE"""),"microTech 104")</f>
        <v>microTech 104</v>
      </c>
      <c r="C754" s="5" t="str">
        <f>IFERROR(__xludf.DUMMYFUNCTION("""COMPUTED_VALUE"""),"microTech 70")</f>
        <v>microTech 70</v>
      </c>
      <c r="D754" s="5" t="str">
        <f>IFERROR(__xludf.DUMMYFUNCTION("""COMPUTED_VALUE"""),"Test Facility Octagon")</f>
        <v>Test Facility Octagon</v>
      </c>
      <c r="E754" s="7" t="str">
        <f>IFERROR(__xludf.DUMMYFUNCTION("""COMPUTED_VALUE"""),"Octagon")</f>
        <v>Octagon</v>
      </c>
      <c r="F754" s="11">
        <f>IFERROR(__xludf.DUMMYFUNCTION("""COMPUTED_VALUE"""),635.765)</f>
        <v>635.765</v>
      </c>
      <c r="G754" s="11">
        <f>IFERROR(__xludf.DUMMYFUNCTION("""COMPUTED_VALUE"""),-155.464)</f>
        <v>-155.464</v>
      </c>
      <c r="H754" s="11">
        <f>IFERROR(__xludf.DUMMYFUNCTION("""COMPUTED_VALUE"""),758.837)</f>
        <v>758.837</v>
      </c>
      <c r="I754" s="15"/>
      <c r="J754" s="15"/>
      <c r="K754" s="15"/>
      <c r="L754" s="15"/>
      <c r="M754" s="7" t="b">
        <f>IFERROR(__xludf.DUMMYFUNCTION("""COMPUTED_VALUE"""),FALSE)</f>
        <v>0</v>
      </c>
      <c r="N754" s="10">
        <f>IFERROR(__xludf.DUMMYFUNCTION("""COMPUTED_VALUE"""),0)</f>
        <v>0</v>
      </c>
      <c r="O754" s="10">
        <f>IFERROR(__xludf.DUMMYFUNCTION("""COMPUTED_VALUE"""),0)</f>
        <v>0</v>
      </c>
      <c r="P754" s="8"/>
      <c r="Q754" s="7"/>
      <c r="R754" s="16"/>
      <c r="S754" s="17"/>
      <c r="T754" s="8"/>
      <c r="U754" s="8"/>
      <c r="V754" s="22"/>
      <c r="W754" s="12"/>
      <c r="X754" s="12"/>
      <c r="Y754" s="12"/>
      <c r="Z754" s="12"/>
      <c r="AA754" s="9"/>
      <c r="AB754" s="12"/>
      <c r="AC754" s="6"/>
      <c r="AD754" s="6"/>
      <c r="AE754" s="7"/>
      <c r="AF754" s="7"/>
      <c r="AG754" s="7"/>
      <c r="AH754" s="7"/>
      <c r="AI754" s="7"/>
      <c r="AJ754" s="7"/>
      <c r="AK754" s="7"/>
      <c r="AL754" s="7"/>
      <c r="AM754" s="7"/>
      <c r="AN754" s="7"/>
      <c r="AO754" s="6"/>
      <c r="AP754" s="7"/>
      <c r="AQ754" s="7"/>
      <c r="AR754" s="6"/>
      <c r="AS754" s="7"/>
      <c r="AT754" s="7"/>
      <c r="AU754" s="7"/>
      <c r="AV754" s="7"/>
      <c r="AW754" s="7"/>
      <c r="AX754" s="7"/>
      <c r="AY754" s="7"/>
      <c r="AZ754" s="7"/>
      <c r="BA754" s="7"/>
      <c r="BB754" s="7"/>
      <c r="BC754" s="7"/>
      <c r="BD754" s="7"/>
      <c r="BE754" s="7"/>
      <c r="BF754" s="7"/>
      <c r="BG754" s="7"/>
    </row>
    <row r="755" customHeight="1" spans="1:59">
      <c r="A755" s="9" t="str">
        <f>IFERROR(__xludf.DUMMYFUNCTION("""COMPUTED_VALUE"""),"microTech 86")</f>
        <v>microTech 86</v>
      </c>
      <c r="B755" s="9" t="str">
        <f>IFERROR(__xludf.DUMMYFUNCTION("""COMPUTED_VALUE"""),"microTech 105")</f>
        <v>microTech 105</v>
      </c>
      <c r="C755" s="5" t="str">
        <f>IFERROR(__xludf.DUMMYFUNCTION("""COMPUTED_VALUE"""),"microTech 52")</f>
        <v>microTech 52</v>
      </c>
      <c r="D755" s="5" t="str">
        <f>IFERROR(__xludf.DUMMYFUNCTION("""COMPUTED_VALUE"""),"Chestnuts on an open fire")</f>
        <v>Chestnuts on an open fire</v>
      </c>
      <c r="E755" s="7" t="str">
        <f>IFERROR(__xludf.DUMMYFUNCTION("""COMPUTED_VALUE"""),"Campfire")</f>
        <v>Campfire</v>
      </c>
      <c r="F755" s="11">
        <f>IFERROR(__xludf.DUMMYFUNCTION("""COMPUTED_VALUE"""),520.693326411756)</f>
        <v>520.693326411756</v>
      </c>
      <c r="G755" s="11">
        <f>IFERROR(__xludf.DUMMYFUNCTION("""COMPUTED_VALUE"""),419.260263867295)</f>
        <v>419.260263867295</v>
      </c>
      <c r="H755" s="11">
        <f>IFERROR(__xludf.DUMMYFUNCTION("""COMPUTED_VALUE"""),743.713993715584)</f>
        <v>743.713993715584</v>
      </c>
      <c r="I755" s="15"/>
      <c r="J755" s="15"/>
      <c r="K755" s="15"/>
      <c r="L755" s="15"/>
      <c r="M755" s="7" t="b">
        <f>IFERROR(__xludf.DUMMYFUNCTION("""COMPUTED_VALUE"""),FALSE)</f>
        <v>0</v>
      </c>
      <c r="N755" s="10">
        <f>IFERROR(__xludf.DUMMYFUNCTION("""COMPUTED_VALUE"""),0)</f>
        <v>0</v>
      </c>
      <c r="O755" s="10">
        <f>IFERROR(__xludf.DUMMYFUNCTION("""COMPUTED_VALUE"""),0)</f>
        <v>0</v>
      </c>
      <c r="P755" s="8"/>
      <c r="Q755" s="7"/>
      <c r="R755" s="16"/>
      <c r="S755" s="17"/>
      <c r="T755" s="8"/>
      <c r="U755" s="8"/>
      <c r="V755" s="22"/>
      <c r="W755" s="12"/>
      <c r="X755" s="12"/>
      <c r="Y755" s="12"/>
      <c r="Z755" s="12"/>
      <c r="AA755" s="7"/>
      <c r="AB755" s="12"/>
      <c r="AC755" s="6"/>
      <c r="AD755" s="6"/>
      <c r="AE755" s="7"/>
      <c r="AF755" s="7"/>
      <c r="AG755" s="7"/>
      <c r="AH755" s="7"/>
      <c r="AI755" s="7"/>
      <c r="AJ755" s="7"/>
      <c r="AK755" s="7"/>
      <c r="AL755" s="7"/>
      <c r="AM755" s="7"/>
      <c r="AN755" s="7"/>
      <c r="AO755" s="6"/>
      <c r="AP755" s="7"/>
      <c r="AQ755" s="7"/>
      <c r="AR755" s="6"/>
      <c r="AS755" s="7"/>
      <c r="AT755" s="7"/>
      <c r="AU755" s="7"/>
      <c r="AV755" s="7"/>
      <c r="AW755" s="7"/>
      <c r="AX755" s="7"/>
      <c r="AY755" s="7"/>
      <c r="AZ755" s="7"/>
      <c r="BA755" s="7"/>
      <c r="BB755" s="7"/>
      <c r="BC755" s="7"/>
      <c r="BD755" s="7"/>
      <c r="BE755" s="7"/>
      <c r="BF755" s="7"/>
      <c r="BG755" s="7"/>
    </row>
    <row r="756" customHeight="1" spans="1:59">
      <c r="A756" s="9" t="str">
        <f>IFERROR(__xludf.DUMMYFUNCTION("""COMPUTED_VALUE"""),"microTech 87")</f>
        <v>microTech 87</v>
      </c>
      <c r="B756" s="5" t="str">
        <f>IFERROR(__xludf.DUMMYFUNCTION("""COMPUTED_VALUE"""),"microTech 106")</f>
        <v>microTech 106</v>
      </c>
      <c r="C756" s="5" t="str">
        <f>IFERROR(__xludf.DUMMYFUNCTION("""COMPUTED_VALUE"""),"microTech 50")</f>
        <v>microTech 50</v>
      </c>
      <c r="D756" s="5" t="str">
        <f>IFERROR(__xludf.DUMMYFUNCTION("""COMPUTED_VALUE"""),"Lakeside Chairs")</f>
        <v>Lakeside Chairs</v>
      </c>
      <c r="E756" s="7" t="str">
        <f>IFERROR(__xludf.DUMMYFUNCTION("""COMPUTED_VALUE"""),"Lake Chair")</f>
        <v>Lake Chair</v>
      </c>
      <c r="F756" s="11">
        <f>IFERROR(__xludf.DUMMYFUNCTION("""COMPUTED_VALUE"""),524.873227220621)</f>
        <v>524.873227220621</v>
      </c>
      <c r="G756" s="11">
        <f>IFERROR(__xludf.DUMMYFUNCTION("""COMPUTED_VALUE"""),425.682953869917)</f>
        <v>425.682953869917</v>
      </c>
      <c r="H756" s="11">
        <f>IFERROR(__xludf.DUMMYFUNCTION("""COMPUTED_VALUE"""),737.102441837138)</f>
        <v>737.102441837138</v>
      </c>
      <c r="I756" s="15"/>
      <c r="J756" s="15"/>
      <c r="K756" s="15"/>
      <c r="L756" s="15"/>
      <c r="M756" s="7" t="b">
        <f>IFERROR(__xludf.DUMMYFUNCTION("""COMPUTED_VALUE"""),FALSE)</f>
        <v>0</v>
      </c>
      <c r="N756" s="10">
        <f>IFERROR(__xludf.DUMMYFUNCTION("""COMPUTED_VALUE"""),0)</f>
        <v>0</v>
      </c>
      <c r="O756" s="10">
        <f>IFERROR(__xludf.DUMMYFUNCTION("""COMPUTED_VALUE"""),0)</f>
        <v>0</v>
      </c>
      <c r="P756" s="8"/>
      <c r="Q756" s="7"/>
      <c r="R756" s="16"/>
      <c r="S756" s="17"/>
      <c r="T756" s="8"/>
      <c r="U756" s="8"/>
      <c r="V756" s="22"/>
      <c r="W756" s="12"/>
      <c r="X756" s="12"/>
      <c r="Y756" s="12"/>
      <c r="Z756" s="12"/>
      <c r="AA756" s="7"/>
      <c r="AB756" s="12"/>
      <c r="AC756" s="6"/>
      <c r="AD756" s="6"/>
      <c r="AE756" s="7"/>
      <c r="AF756" s="7"/>
      <c r="AG756" s="7"/>
      <c r="AH756" s="7"/>
      <c r="AI756" s="7"/>
      <c r="AJ756" s="7"/>
      <c r="AK756" s="7"/>
      <c r="AL756" s="7"/>
      <c r="AM756" s="7"/>
      <c r="AN756" s="7"/>
      <c r="AO756" s="6"/>
      <c r="AP756" s="7"/>
      <c r="AQ756" s="7"/>
      <c r="AR756" s="6"/>
      <c r="AS756" s="7"/>
      <c r="AT756" s="7"/>
      <c r="AU756" s="7"/>
      <c r="AV756" s="7"/>
      <c r="AW756" s="7"/>
      <c r="AX756" s="7"/>
      <c r="AY756" s="7"/>
      <c r="AZ756" s="7"/>
      <c r="BA756" s="7"/>
      <c r="BB756" s="7"/>
      <c r="BC756" s="7"/>
      <c r="BD756" s="7"/>
      <c r="BE756" s="7"/>
      <c r="BF756" s="7"/>
      <c r="BG756" s="7"/>
    </row>
    <row r="757" customHeight="1" spans="1:59">
      <c r="A757" s="9" t="str">
        <f>IFERROR(__xludf.DUMMYFUNCTION("""COMPUTED_VALUE"""),"microTech 88")</f>
        <v>microTech 88</v>
      </c>
      <c r="B757" s="9" t="str">
        <f>IFERROR(__xludf.DUMMYFUNCTION("""COMPUTED_VALUE"""),"microTech 107")</f>
        <v>microTech 107</v>
      </c>
      <c r="C757" s="5" t="str">
        <f>IFERROR(__xludf.DUMMYFUNCTION("""COMPUTED_VALUE"""),"microTech 49")</f>
        <v>microTech 49</v>
      </c>
      <c r="D757" s="5" t="str">
        <f>IFERROR(__xludf.DUMMYFUNCTION("""COMPUTED_VALUE"""),"Mountainside Chairs")</f>
        <v>Mountainside Chairs</v>
      </c>
      <c r="E757" s="7" t="str">
        <f>IFERROR(__xludf.DUMMYFUNCTION("""COMPUTED_VALUE"""),"Mtn Chair")</f>
        <v>Mtn Chair</v>
      </c>
      <c r="F757" s="11">
        <f>IFERROR(__xludf.DUMMYFUNCTION("""COMPUTED_VALUE"""),506.681654210353)</f>
        <v>506.681654210353</v>
      </c>
      <c r="G757" s="11">
        <f>IFERROR(__xludf.DUMMYFUNCTION("""COMPUTED_VALUE"""),421.171165357204)</f>
        <v>421.171165357204</v>
      </c>
      <c r="H757" s="11">
        <f>IFERROR(__xludf.DUMMYFUNCTION("""COMPUTED_VALUE"""),754.682731680966)</f>
        <v>754.682731680966</v>
      </c>
      <c r="I757" s="15"/>
      <c r="J757" s="15"/>
      <c r="K757" s="15"/>
      <c r="L757" s="15"/>
      <c r="M757" s="7" t="b">
        <f>IFERROR(__xludf.DUMMYFUNCTION("""COMPUTED_VALUE"""),FALSE)</f>
        <v>0</v>
      </c>
      <c r="N757" s="10">
        <f>IFERROR(__xludf.DUMMYFUNCTION("""COMPUTED_VALUE"""),0)</f>
        <v>0</v>
      </c>
      <c r="O757" s="10">
        <f>IFERROR(__xludf.DUMMYFUNCTION("""COMPUTED_VALUE"""),0)</f>
        <v>0</v>
      </c>
      <c r="P757" s="8"/>
      <c r="Q757" s="7"/>
      <c r="R757" s="16"/>
      <c r="S757" s="17"/>
      <c r="T757" s="8"/>
      <c r="U757" s="8"/>
      <c r="V757" s="22"/>
      <c r="W757" s="12"/>
      <c r="X757" s="12"/>
      <c r="Y757" s="12"/>
      <c r="Z757" s="12"/>
      <c r="AA757" s="7"/>
      <c r="AB757" s="12"/>
      <c r="AC757" s="6"/>
      <c r="AD757" s="6"/>
      <c r="AE757" s="7"/>
      <c r="AF757" s="7"/>
      <c r="AG757" s="7"/>
      <c r="AH757" s="7"/>
      <c r="AI757" s="7"/>
      <c r="AJ757" s="7"/>
      <c r="AK757" s="7"/>
      <c r="AL757" s="7"/>
      <c r="AM757" s="7"/>
      <c r="AN757" s="7"/>
      <c r="AO757" s="6"/>
      <c r="AP757" s="7"/>
      <c r="AQ757" s="7"/>
      <c r="AR757" s="6"/>
      <c r="AS757" s="7"/>
      <c r="AT757" s="7"/>
      <c r="AU757" s="7"/>
      <c r="AV757" s="7"/>
      <c r="AW757" s="7"/>
      <c r="AX757" s="7"/>
      <c r="AY757" s="7"/>
      <c r="AZ757" s="7"/>
      <c r="BA757" s="7"/>
      <c r="BB757" s="7"/>
      <c r="BC757" s="7"/>
      <c r="BD757" s="7"/>
      <c r="BE757" s="7"/>
      <c r="BF757" s="7"/>
      <c r="BG757" s="7"/>
    </row>
    <row r="758" customHeight="1" spans="1:59">
      <c r="A758" s="9" t="str">
        <f>IFERROR(__xludf.DUMMYFUNCTION("""COMPUTED_VALUE"""),"microTech 89")</f>
        <v>microTech 89</v>
      </c>
      <c r="B758" s="5" t="str">
        <f>IFERROR(__xludf.DUMMYFUNCTION("""COMPUTED_VALUE"""),"microTech 108")</f>
        <v>microTech 108</v>
      </c>
      <c r="C758" s="5" t="str">
        <f>IFERROR(__xludf.DUMMYFUNCTION("""COMPUTED_VALUE"""),"microTech 53")</f>
        <v>microTech 53</v>
      </c>
      <c r="D758" s="5" t="str">
        <f>IFERROR(__xludf.DUMMYFUNCTION("""COMPUTED_VALUE"""),"Tears of Fire Painting")</f>
        <v>Tears of Fire Painting</v>
      </c>
      <c r="E758" s="7" t="str">
        <f>IFERROR(__xludf.DUMMYFUNCTION("""COMPUTED_VALUE"""),"Tears of Fire")</f>
        <v>Tears of Fire</v>
      </c>
      <c r="F758" s="11">
        <f>IFERROR(__xludf.DUMMYFUNCTION("""COMPUTED_VALUE"""),518.388064604595)</f>
        <v>518.388064604595</v>
      </c>
      <c r="G758" s="11">
        <f>IFERROR(__xludf.DUMMYFUNCTION("""COMPUTED_VALUE"""),416.270524745018)</f>
        <v>416.270524745018</v>
      </c>
      <c r="H758" s="11">
        <f>IFERROR(__xludf.DUMMYFUNCTION("""COMPUTED_VALUE"""),747.875548809016)</f>
        <v>747.875548809016</v>
      </c>
      <c r="I758" s="15"/>
      <c r="J758" s="15"/>
      <c r="K758" s="15"/>
      <c r="L758" s="15"/>
      <c r="M758" s="7" t="b">
        <f>IFERROR(__xludf.DUMMYFUNCTION("""COMPUTED_VALUE"""),FALSE)</f>
        <v>0</v>
      </c>
      <c r="N758" s="10">
        <f>IFERROR(__xludf.DUMMYFUNCTION("""COMPUTED_VALUE"""),0)</f>
        <v>0</v>
      </c>
      <c r="O758" s="10">
        <f>IFERROR(__xludf.DUMMYFUNCTION("""COMPUTED_VALUE"""),0)</f>
        <v>0</v>
      </c>
      <c r="P758" s="8"/>
      <c r="Q758" s="7"/>
      <c r="R758" s="16"/>
      <c r="S758" s="17"/>
      <c r="T758" s="8"/>
      <c r="U758" s="8"/>
      <c r="V758" s="22"/>
      <c r="W758" s="12"/>
      <c r="X758" s="12"/>
      <c r="Y758" s="12"/>
      <c r="Z758" s="12"/>
      <c r="AA758" s="9"/>
      <c r="AB758" s="12"/>
      <c r="AC758" s="6"/>
      <c r="AD758" s="6"/>
      <c r="AE758" s="7"/>
      <c r="AF758" s="7"/>
      <c r="AG758" s="7"/>
      <c r="AH758" s="7"/>
      <c r="AI758" s="7"/>
      <c r="AJ758" s="7"/>
      <c r="AK758" s="7"/>
      <c r="AL758" s="7"/>
      <c r="AM758" s="7"/>
      <c r="AN758" s="7"/>
      <c r="AO758" s="6"/>
      <c r="AP758" s="7"/>
      <c r="AQ758" s="7"/>
      <c r="AR758" s="6"/>
      <c r="AS758" s="7"/>
      <c r="AT758" s="7"/>
      <c r="AU758" s="7"/>
      <c r="AV758" s="7"/>
      <c r="AW758" s="7"/>
      <c r="AX758" s="7"/>
      <c r="AY758" s="7"/>
      <c r="AZ758" s="7"/>
      <c r="BA758" s="7"/>
      <c r="BB758" s="7"/>
      <c r="BC758" s="7"/>
      <c r="BD758" s="7"/>
      <c r="BE758" s="7"/>
      <c r="BF758" s="7"/>
      <c r="BG758" s="7"/>
    </row>
    <row r="759" customHeight="1" spans="1:59">
      <c r="A759" s="9"/>
      <c r="B759" s="5"/>
      <c r="C759" s="5"/>
      <c r="D759" s="5"/>
      <c r="E759" s="7"/>
      <c r="F759" s="11"/>
      <c r="G759" s="11"/>
      <c r="H759" s="11"/>
      <c r="I759" s="15"/>
      <c r="J759" s="15"/>
      <c r="K759" s="15"/>
      <c r="L759" s="15"/>
      <c r="M759" s="7"/>
      <c r="N759" s="10"/>
      <c r="O759" s="10"/>
      <c r="P759" s="8"/>
      <c r="Q759" s="7"/>
      <c r="R759" s="16"/>
      <c r="S759" s="17"/>
      <c r="T759" s="8"/>
      <c r="U759" s="8"/>
      <c r="V759" s="22"/>
      <c r="W759" s="12"/>
      <c r="X759" s="12"/>
      <c r="Y759" s="12"/>
      <c r="Z759" s="12"/>
      <c r="AA759" s="9"/>
      <c r="AB759" s="12"/>
      <c r="AC759" s="6"/>
      <c r="AD759" s="6"/>
      <c r="AE759" s="7"/>
      <c r="AF759" s="7"/>
      <c r="AG759" s="7"/>
      <c r="AH759" s="7"/>
      <c r="AI759" s="7"/>
      <c r="AJ759" s="7"/>
      <c r="AK759" s="7"/>
      <c r="AL759" s="7"/>
      <c r="AM759" s="7"/>
      <c r="AN759" s="7"/>
      <c r="AO759" s="6"/>
      <c r="AP759" s="7"/>
      <c r="AQ759" s="7"/>
      <c r="AR759" s="6"/>
      <c r="AS759" s="7"/>
      <c r="AT759" s="7"/>
      <c r="AU759" s="7"/>
      <c r="AV759" s="7"/>
      <c r="AW759" s="7"/>
      <c r="AX759" s="7"/>
      <c r="AY759" s="7"/>
      <c r="AZ759" s="7"/>
      <c r="BA759" s="7"/>
      <c r="BB759" s="7"/>
      <c r="BC759" s="7"/>
      <c r="BD759" s="7"/>
      <c r="BE759" s="7"/>
      <c r="BF759" s="7"/>
      <c r="BG759" s="7"/>
    </row>
    <row r="760" customHeight="1" spans="1:59">
      <c r="A760" s="9" t="str">
        <f>IFERROR(__xludf.DUMMYFUNCTION("""COMPUTED_VALUE"""),"Wala R01")</f>
        <v>Wala R01</v>
      </c>
      <c r="B760" s="5" t="str">
        <f>IFERROR(__xludf.DUMMYFUNCTION("""COMPUTED_VALUE"""),"Wala 50")</f>
        <v>Wala 50</v>
      </c>
      <c r="C760" s="5"/>
      <c r="D760" s="5" t="str">
        <f>IFERROR(__xludf.DUMMYFUNCTION("""COMPUTED_VALUE"""),"OM-1")</f>
        <v>OM-1</v>
      </c>
      <c r="E760" s="7" t="str">
        <f>IFERROR(__xludf.DUMMYFUNCTION("""COMPUTED_VALUE"""),"OM1")</f>
        <v>OM1</v>
      </c>
      <c r="F760" s="11">
        <f>IFERROR(__xludf.DUMMYFUNCTION("""COMPUTED_VALUE"""),0)</f>
        <v>0</v>
      </c>
      <c r="G760" s="11">
        <f>IFERROR(__xludf.DUMMYFUNCTION("""COMPUTED_VALUE"""),0)</f>
        <v>0</v>
      </c>
      <c r="H760" s="11">
        <f>IFERROR(__xludf.DUMMYFUNCTION("""COMPUTED_VALUE"""),413.056)</f>
        <v>413.056</v>
      </c>
      <c r="I760" s="15"/>
      <c r="J760" s="15"/>
      <c r="K760" s="15"/>
      <c r="L760" s="15"/>
      <c r="M760" s="7" t="b">
        <f>IFERROR(__xludf.DUMMYFUNCTION("""COMPUTED_VALUE"""),TRUE)</f>
        <v>1</v>
      </c>
      <c r="N760" s="10">
        <f>IFERROR(__xludf.DUMMYFUNCTION("""COMPUTED_VALUE"""),0)</f>
        <v>0</v>
      </c>
      <c r="O760" s="10">
        <f>IFERROR(__xludf.DUMMYFUNCTION("""COMPUTED_VALUE"""),0)</f>
        <v>0</v>
      </c>
      <c r="P760" s="8"/>
      <c r="Q760" s="7"/>
      <c r="R760" s="16"/>
      <c r="S760" s="17"/>
      <c r="T760" s="8"/>
      <c r="U760" s="8"/>
      <c r="V760" s="22"/>
      <c r="W760" s="12"/>
      <c r="X760" s="12"/>
      <c r="Y760" s="12"/>
      <c r="Z760" s="12"/>
      <c r="AA760" s="7"/>
      <c r="AB760" s="12"/>
      <c r="AC760" s="6"/>
      <c r="AD760" s="6"/>
      <c r="AE760" s="7"/>
      <c r="AF760" s="7"/>
      <c r="AG760" s="7"/>
      <c r="AH760" s="7"/>
      <c r="AI760" s="7"/>
      <c r="AJ760" s="7"/>
      <c r="AK760" s="7"/>
      <c r="AL760" s="7"/>
      <c r="AM760" s="7"/>
      <c r="AN760" s="7"/>
      <c r="AO760" s="6"/>
      <c r="AP760" s="7"/>
      <c r="AQ760" s="7"/>
      <c r="AR760" s="6"/>
      <c r="AS760" s="7"/>
      <c r="AT760" s="7"/>
      <c r="AU760" s="7"/>
      <c r="AV760" s="7"/>
      <c r="AW760" s="7"/>
      <c r="AX760" s="7"/>
      <c r="AY760" s="7"/>
      <c r="AZ760" s="7"/>
      <c r="BA760" s="7"/>
      <c r="BB760" s="7"/>
      <c r="BC760" s="7"/>
      <c r="BD760" s="7"/>
      <c r="BE760" s="7"/>
      <c r="BF760" s="7"/>
      <c r="BG760" s="7"/>
    </row>
    <row r="761" customHeight="1" spans="1:59">
      <c r="A761" s="9" t="str">
        <f>IFERROR(__xludf.DUMMYFUNCTION("""COMPUTED_VALUE"""),"Wala R02")</f>
        <v>Wala R02</v>
      </c>
      <c r="B761" s="5" t="str">
        <f>IFERROR(__xludf.DUMMYFUNCTION("""COMPUTED_VALUE"""),"Wala 51")</f>
        <v>Wala 51</v>
      </c>
      <c r="C761" s="5"/>
      <c r="D761" s="5" t="str">
        <f>IFERROR(__xludf.DUMMYFUNCTION("""COMPUTED_VALUE"""),"OM-2")</f>
        <v>OM-2</v>
      </c>
      <c r="E761" s="7" t="str">
        <f>IFERROR(__xludf.DUMMYFUNCTION("""COMPUTED_VALUE"""),"OM2")</f>
        <v>OM2</v>
      </c>
      <c r="F761" s="8">
        <f>IFERROR(__xludf.DUMMYFUNCTION("""COMPUTED_VALUE"""),0)</f>
        <v>0</v>
      </c>
      <c r="G761" s="8">
        <f>IFERROR(__xludf.DUMMYFUNCTION("""COMPUTED_VALUE"""),0)</f>
        <v>0</v>
      </c>
      <c r="H761" s="8">
        <f>IFERROR(__xludf.DUMMYFUNCTION("""COMPUTED_VALUE"""),-413.056)</f>
        <v>-413.056</v>
      </c>
      <c r="I761" s="14"/>
      <c r="J761" s="14"/>
      <c r="K761" s="14"/>
      <c r="L761" s="14"/>
      <c r="M761" s="7" t="b">
        <f>IFERROR(__xludf.DUMMYFUNCTION("""COMPUTED_VALUE"""),TRUE)</f>
        <v>1</v>
      </c>
      <c r="N761" s="10">
        <f>IFERROR(__xludf.DUMMYFUNCTION("""COMPUTED_VALUE"""),0)</f>
        <v>0</v>
      </c>
      <c r="O761" s="10">
        <f>IFERROR(__xludf.DUMMYFUNCTION("""COMPUTED_VALUE"""),0)</f>
        <v>0</v>
      </c>
      <c r="P761" s="8"/>
      <c r="Q761" s="7"/>
      <c r="R761" s="16"/>
      <c r="S761" s="17"/>
      <c r="T761" s="8"/>
      <c r="U761" s="8"/>
      <c r="V761" s="22"/>
      <c r="W761" s="12"/>
      <c r="X761" s="12"/>
      <c r="Y761" s="12"/>
      <c r="Z761" s="12"/>
      <c r="AA761" s="9"/>
      <c r="AB761" s="12"/>
      <c r="AC761" s="6"/>
      <c r="AD761" s="6"/>
      <c r="AE761" s="7"/>
      <c r="AF761" s="7"/>
      <c r="AG761" s="7"/>
      <c r="AH761" s="7"/>
      <c r="AI761" s="7"/>
      <c r="AJ761" s="7"/>
      <c r="AK761" s="7"/>
      <c r="AL761" s="7"/>
      <c r="AM761" s="7"/>
      <c r="AN761" s="7"/>
      <c r="AO761" s="6"/>
      <c r="AP761" s="7"/>
      <c r="AQ761" s="7"/>
      <c r="AR761" s="6"/>
      <c r="AS761" s="7"/>
      <c r="AT761" s="7"/>
      <c r="AU761" s="7"/>
      <c r="AV761" s="7"/>
      <c r="AW761" s="7"/>
      <c r="AX761" s="7"/>
      <c r="AY761" s="7"/>
      <c r="AZ761" s="7"/>
      <c r="BA761" s="7"/>
      <c r="BB761" s="7"/>
      <c r="BC761" s="7"/>
      <c r="BD761" s="7"/>
      <c r="BE761" s="7"/>
      <c r="BF761" s="7"/>
      <c r="BG761" s="7"/>
    </row>
    <row r="762" customHeight="1" spans="1:59">
      <c r="A762" s="9" t="str">
        <f>IFERROR(__xludf.DUMMYFUNCTION("""COMPUTED_VALUE"""),"Wala R03")</f>
        <v>Wala R03</v>
      </c>
      <c r="B762" s="5" t="str">
        <f>IFERROR(__xludf.DUMMYFUNCTION("""COMPUTED_VALUE"""),"Wala 52")</f>
        <v>Wala 52</v>
      </c>
      <c r="C762" s="5" t="str">
        <f>IFERROR(__xludf.DUMMYFUNCTION("""COMPUTED_VALUE"""),"Wala 12")</f>
        <v>Wala 12</v>
      </c>
      <c r="D762" s="5" t="str">
        <f>IFERROR(__xludf.DUMMYFUNCTION("""COMPUTED_VALUE"""),"OM-3")</f>
        <v>OM-3</v>
      </c>
      <c r="E762" s="7" t="str">
        <f>IFERROR(__xludf.DUMMYFUNCTION("""COMPUTED_VALUE"""),"OM3")</f>
        <v>OM3</v>
      </c>
      <c r="F762" s="8">
        <f>IFERROR(__xludf.DUMMYFUNCTION("""COMPUTED_VALUE"""),0)</f>
        <v>0</v>
      </c>
      <c r="G762" s="8">
        <f>IFERROR(__xludf.DUMMYFUNCTION("""COMPUTED_VALUE"""),413.056)</f>
        <v>413.056</v>
      </c>
      <c r="H762" s="8">
        <f>IFERROR(__xludf.DUMMYFUNCTION("""COMPUTED_VALUE"""),0)</f>
        <v>0</v>
      </c>
      <c r="I762" s="14"/>
      <c r="J762" s="14"/>
      <c r="K762" s="14"/>
      <c r="L762" s="14"/>
      <c r="M762" s="7" t="b">
        <f>IFERROR(__xludf.DUMMYFUNCTION("""COMPUTED_VALUE"""),TRUE)</f>
        <v>1</v>
      </c>
      <c r="N762" s="10">
        <f>IFERROR(__xludf.DUMMYFUNCTION("""COMPUTED_VALUE"""),0)</f>
        <v>0</v>
      </c>
      <c r="O762" s="10">
        <f>IFERROR(__xludf.DUMMYFUNCTION("""COMPUTED_VALUE"""),0)</f>
        <v>0</v>
      </c>
      <c r="P762" s="8"/>
      <c r="Q762" s="7"/>
      <c r="R762" s="16"/>
      <c r="S762" s="17"/>
      <c r="T762" s="8"/>
      <c r="U762" s="8"/>
      <c r="V762" s="22"/>
      <c r="W762" s="12"/>
      <c r="X762" s="12"/>
      <c r="Y762" s="12"/>
      <c r="Z762" s="12"/>
      <c r="AA762" s="9"/>
      <c r="AB762" s="12"/>
      <c r="AC762" s="6"/>
      <c r="AD762" s="6"/>
      <c r="AE762" s="7"/>
      <c r="AF762" s="7"/>
      <c r="AG762" s="7"/>
      <c r="AH762" s="7"/>
      <c r="AI762" s="7"/>
      <c r="AJ762" s="7"/>
      <c r="AK762" s="7"/>
      <c r="AL762" s="7"/>
      <c r="AM762" s="7"/>
      <c r="AN762" s="7"/>
      <c r="AO762" s="6"/>
      <c r="AP762" s="7"/>
      <c r="AQ762" s="7"/>
      <c r="AR762" s="6"/>
      <c r="AS762" s="7"/>
      <c r="AT762" s="7"/>
      <c r="AU762" s="7"/>
      <c r="AV762" s="7"/>
      <c r="AW762" s="7"/>
      <c r="AX762" s="7"/>
      <c r="AY762" s="7"/>
      <c r="AZ762" s="7"/>
      <c r="BA762" s="7"/>
      <c r="BB762" s="7"/>
      <c r="BC762" s="7"/>
      <c r="BD762" s="7"/>
      <c r="BE762" s="7"/>
      <c r="BF762" s="7"/>
      <c r="BG762" s="7"/>
    </row>
    <row r="763" customHeight="1" spans="1:59">
      <c r="A763" s="9" t="str">
        <f>IFERROR(__xludf.DUMMYFUNCTION("""COMPUTED_VALUE"""),"Wala R04")</f>
        <v>Wala R04</v>
      </c>
      <c r="B763" s="5" t="str">
        <f>IFERROR(__xludf.DUMMYFUNCTION("""COMPUTED_VALUE"""),"Wala 53")</f>
        <v>Wala 53</v>
      </c>
      <c r="C763" s="5" t="str">
        <f>IFERROR(__xludf.DUMMYFUNCTION("""COMPUTED_VALUE"""),"Wala 32")</f>
        <v>Wala 32</v>
      </c>
      <c r="D763" s="5" t="str">
        <f>IFERROR(__xludf.DUMMYFUNCTION("""COMPUTED_VALUE"""),"OM-4")</f>
        <v>OM-4</v>
      </c>
      <c r="E763" s="7" t="str">
        <f>IFERROR(__xludf.DUMMYFUNCTION("""COMPUTED_VALUE"""),"OM4")</f>
        <v>OM4</v>
      </c>
      <c r="F763" s="8">
        <f>IFERROR(__xludf.DUMMYFUNCTION("""COMPUTED_VALUE"""),0)</f>
        <v>0</v>
      </c>
      <c r="G763" s="8">
        <f>IFERROR(__xludf.DUMMYFUNCTION("""COMPUTED_VALUE"""),-413.056)</f>
        <v>-413.056</v>
      </c>
      <c r="H763" s="8">
        <f>IFERROR(__xludf.DUMMYFUNCTION("""COMPUTED_VALUE"""),0)</f>
        <v>0</v>
      </c>
      <c r="I763" s="14"/>
      <c r="J763" s="14"/>
      <c r="K763" s="14"/>
      <c r="L763" s="14"/>
      <c r="M763" s="7" t="b">
        <f>IFERROR(__xludf.DUMMYFUNCTION("""COMPUTED_VALUE"""),TRUE)</f>
        <v>1</v>
      </c>
      <c r="N763" s="10">
        <f>IFERROR(__xludf.DUMMYFUNCTION("""COMPUTED_VALUE"""),0)</f>
        <v>0</v>
      </c>
      <c r="O763" s="10">
        <f>IFERROR(__xludf.DUMMYFUNCTION("""COMPUTED_VALUE"""),0)</f>
        <v>0</v>
      </c>
      <c r="P763" s="8"/>
      <c r="Q763" s="7"/>
      <c r="R763" s="16"/>
      <c r="S763" s="17"/>
      <c r="T763" s="8"/>
      <c r="U763" s="8"/>
      <c r="V763" s="22"/>
      <c r="W763" s="12"/>
      <c r="X763" s="12"/>
      <c r="Y763" s="12"/>
      <c r="Z763" s="12"/>
      <c r="AA763" s="9"/>
      <c r="AB763" s="12"/>
      <c r="AC763" s="6"/>
      <c r="AD763" s="6"/>
      <c r="AE763" s="7"/>
      <c r="AF763" s="7"/>
      <c r="AG763" s="7"/>
      <c r="AH763" s="7"/>
      <c r="AI763" s="7"/>
      <c r="AJ763" s="7"/>
      <c r="AK763" s="7"/>
      <c r="AL763" s="7"/>
      <c r="AM763" s="7"/>
      <c r="AN763" s="7"/>
      <c r="AO763" s="6"/>
      <c r="AP763" s="7"/>
      <c r="AQ763" s="7"/>
      <c r="AR763" s="6"/>
      <c r="AS763" s="7"/>
      <c r="AT763" s="7"/>
      <c r="AU763" s="7"/>
      <c r="AV763" s="7"/>
      <c r="AW763" s="7"/>
      <c r="AX763" s="7"/>
      <c r="AY763" s="7"/>
      <c r="AZ763" s="7"/>
      <c r="BA763" s="7"/>
      <c r="BB763" s="7"/>
      <c r="BC763" s="7"/>
      <c r="BD763" s="7"/>
      <c r="BE763" s="7"/>
      <c r="BF763" s="7"/>
      <c r="BG763" s="7"/>
    </row>
    <row r="764" customHeight="1" spans="1:59">
      <c r="A764" s="9" t="str">
        <f>IFERROR(__xludf.DUMMYFUNCTION("""COMPUTED_VALUE"""),"Wala R05")</f>
        <v>Wala R05</v>
      </c>
      <c r="B764" s="5" t="str">
        <f>IFERROR(__xludf.DUMMYFUNCTION("""COMPUTED_VALUE"""),"Wala 54")</f>
        <v>Wala 54</v>
      </c>
      <c r="C764" s="5" t="str">
        <f>IFERROR(__xludf.DUMMYFUNCTION("""COMPUTED_VALUE"""),"Wala 24")</f>
        <v>Wala 24</v>
      </c>
      <c r="D764" s="5" t="str">
        <f>IFERROR(__xludf.DUMMYFUNCTION("""COMPUTED_VALUE"""),"OM-5")</f>
        <v>OM-5</v>
      </c>
      <c r="E764" s="7" t="str">
        <f>IFERROR(__xludf.DUMMYFUNCTION("""COMPUTED_VALUE"""),"OM5")</f>
        <v>OM5</v>
      </c>
      <c r="F764" s="8">
        <f>IFERROR(__xludf.DUMMYFUNCTION("""COMPUTED_VALUE"""),413.056)</f>
        <v>413.056</v>
      </c>
      <c r="G764" s="8">
        <f>IFERROR(__xludf.DUMMYFUNCTION("""COMPUTED_VALUE"""),0)</f>
        <v>0</v>
      </c>
      <c r="H764" s="8">
        <f>IFERROR(__xludf.DUMMYFUNCTION("""COMPUTED_VALUE"""),0)</f>
        <v>0</v>
      </c>
      <c r="I764" s="14"/>
      <c r="J764" s="14"/>
      <c r="K764" s="14"/>
      <c r="L764" s="14"/>
      <c r="M764" s="7" t="b">
        <f>IFERROR(__xludf.DUMMYFUNCTION("""COMPUTED_VALUE"""),TRUE)</f>
        <v>1</v>
      </c>
      <c r="N764" s="10">
        <f>IFERROR(__xludf.DUMMYFUNCTION("""COMPUTED_VALUE"""),0)</f>
        <v>0</v>
      </c>
      <c r="O764" s="10">
        <f>IFERROR(__xludf.DUMMYFUNCTION("""COMPUTED_VALUE"""),0)</f>
        <v>0</v>
      </c>
      <c r="P764" s="8"/>
      <c r="Q764" s="7"/>
      <c r="R764" s="16"/>
      <c r="S764" s="17"/>
      <c r="T764" s="8"/>
      <c r="U764" s="8"/>
      <c r="V764" s="22"/>
      <c r="W764" s="12"/>
      <c r="X764" s="12"/>
      <c r="Y764" s="12"/>
      <c r="Z764" s="12"/>
      <c r="AA764" s="9"/>
      <c r="AB764" s="12"/>
      <c r="AC764" s="6"/>
      <c r="AD764" s="6"/>
      <c r="AE764" s="7"/>
      <c r="AF764" s="7"/>
      <c r="AG764" s="7"/>
      <c r="AH764" s="7"/>
      <c r="AI764" s="7"/>
      <c r="AJ764" s="7"/>
      <c r="AK764" s="7"/>
      <c r="AL764" s="7"/>
      <c r="AM764" s="7"/>
      <c r="AN764" s="7"/>
      <c r="AO764" s="6"/>
      <c r="AP764" s="7"/>
      <c r="AQ764" s="7"/>
      <c r="AR764" s="6"/>
      <c r="AS764" s="7"/>
      <c r="AT764" s="7"/>
      <c r="AU764" s="7"/>
      <c r="AV764" s="7"/>
      <c r="AW764" s="7"/>
      <c r="AX764" s="7"/>
      <c r="AY764" s="7"/>
      <c r="AZ764" s="7"/>
      <c r="BA764" s="7"/>
      <c r="BB764" s="7"/>
      <c r="BC764" s="7"/>
      <c r="BD764" s="7"/>
      <c r="BE764" s="7"/>
      <c r="BF764" s="7"/>
      <c r="BG764" s="7"/>
    </row>
    <row r="765" customHeight="1" spans="1:59">
      <c r="A765" s="9" t="str">
        <f>IFERROR(__xludf.DUMMYFUNCTION("""COMPUTED_VALUE"""),"Wala R06")</f>
        <v>Wala R06</v>
      </c>
      <c r="B765" s="5" t="str">
        <f>IFERROR(__xludf.DUMMYFUNCTION("""COMPUTED_VALUE"""),"Wala 55")</f>
        <v>Wala 55</v>
      </c>
      <c r="C765" s="5" t="str">
        <f>IFERROR(__xludf.DUMMYFUNCTION("""COMPUTED_VALUE"""),"Wala 42")</f>
        <v>Wala 42</v>
      </c>
      <c r="D765" s="5" t="str">
        <f>IFERROR(__xludf.DUMMYFUNCTION("""COMPUTED_VALUE"""),"OM-6")</f>
        <v>OM-6</v>
      </c>
      <c r="E765" s="7" t="str">
        <f>IFERROR(__xludf.DUMMYFUNCTION("""COMPUTED_VALUE"""),"OM6")</f>
        <v>OM6</v>
      </c>
      <c r="F765" s="8">
        <f>IFERROR(__xludf.DUMMYFUNCTION("""COMPUTED_VALUE"""),-413.056)</f>
        <v>-413.056</v>
      </c>
      <c r="G765" s="8">
        <f>IFERROR(__xludf.DUMMYFUNCTION("""COMPUTED_VALUE"""),0)</f>
        <v>0</v>
      </c>
      <c r="H765" s="8">
        <f>IFERROR(__xludf.DUMMYFUNCTION("""COMPUTED_VALUE"""),0)</f>
        <v>0</v>
      </c>
      <c r="I765" s="14"/>
      <c r="J765" s="14"/>
      <c r="K765" s="14"/>
      <c r="L765" s="14"/>
      <c r="M765" s="7" t="b">
        <f>IFERROR(__xludf.DUMMYFUNCTION("""COMPUTED_VALUE"""),TRUE)</f>
        <v>1</v>
      </c>
      <c r="N765" s="10">
        <f>IFERROR(__xludf.DUMMYFUNCTION("""COMPUTED_VALUE"""),0)</f>
        <v>0</v>
      </c>
      <c r="O765" s="10">
        <f>IFERROR(__xludf.DUMMYFUNCTION("""COMPUTED_VALUE"""),0)</f>
        <v>0</v>
      </c>
      <c r="P765" s="8"/>
      <c r="Q765" s="7"/>
      <c r="R765" s="16"/>
      <c r="S765" s="17"/>
      <c r="T765" s="8"/>
      <c r="U765" s="8"/>
      <c r="V765" s="22"/>
      <c r="W765" s="12"/>
      <c r="X765" s="12"/>
      <c r="Y765" s="12"/>
      <c r="Z765" s="12"/>
      <c r="AA765" s="9"/>
      <c r="AB765" s="12"/>
      <c r="AC765" s="6"/>
      <c r="AD765" s="6"/>
      <c r="AE765" s="7"/>
      <c r="AF765" s="7"/>
      <c r="AG765" s="7"/>
      <c r="AH765" s="7"/>
      <c r="AI765" s="7"/>
      <c r="AJ765" s="7"/>
      <c r="AK765" s="7"/>
      <c r="AL765" s="7"/>
      <c r="AM765" s="7"/>
      <c r="AN765" s="7"/>
      <c r="AO765" s="6"/>
      <c r="AP765" s="7"/>
      <c r="AQ765" s="7"/>
      <c r="AR765" s="6"/>
      <c r="AS765" s="7"/>
      <c r="AT765" s="7"/>
      <c r="AU765" s="7"/>
      <c r="AV765" s="7"/>
      <c r="AW765" s="7"/>
      <c r="AX765" s="7"/>
      <c r="AY765" s="7"/>
      <c r="AZ765" s="7"/>
      <c r="BA765" s="7"/>
      <c r="BB765" s="7"/>
      <c r="BC765" s="7"/>
      <c r="BD765" s="7"/>
      <c r="BE765" s="7"/>
      <c r="BF765" s="7"/>
      <c r="BG765" s="7"/>
    </row>
    <row r="766" customHeight="1" spans="1:59">
      <c r="A766" s="9" t="str">
        <f>IFERROR(__xludf.DUMMYFUNCTION("""COMPUTED_VALUE"""),"Wala")</f>
        <v>Wala</v>
      </c>
      <c r="B766" s="5" t="str">
        <f>IFERROR(__xludf.DUMMYFUNCTION("""COMPUTED_VALUE"""),"Wala 00")</f>
        <v>Wala 00</v>
      </c>
      <c r="C766" s="5"/>
      <c r="D766" s="5" t="str">
        <f>IFERROR(__xludf.DUMMYFUNCTION("""COMPUTED_VALUE"""),"Trading Terminals")</f>
        <v>Trading Terminals</v>
      </c>
      <c r="E766" s="7"/>
      <c r="F766" s="8"/>
      <c r="G766" s="8"/>
      <c r="H766" s="8"/>
      <c r="I766" s="14"/>
      <c r="J766" s="14"/>
      <c r="K766" s="14"/>
      <c r="L766" s="14"/>
      <c r="M766" s="7"/>
      <c r="N766" s="10"/>
      <c r="O766" s="10"/>
      <c r="P766" s="8"/>
      <c r="Q766" s="7"/>
      <c r="R766" s="16"/>
      <c r="S766" s="17"/>
      <c r="T766" s="8"/>
      <c r="U766" s="8"/>
      <c r="V766" s="22"/>
      <c r="W766" s="12"/>
      <c r="X766" s="12"/>
      <c r="Y766" s="12"/>
      <c r="Z766" s="12"/>
      <c r="AA766" s="9"/>
      <c r="AB766" s="12"/>
      <c r="AC766" s="6"/>
      <c r="AD766" s="6"/>
      <c r="AE766" s="7"/>
      <c r="AF766" s="7"/>
      <c r="AG766" s="7"/>
      <c r="AH766" s="7"/>
      <c r="AI766" s="7"/>
      <c r="AJ766" s="7"/>
      <c r="AK766" s="7"/>
      <c r="AL766" s="7"/>
      <c r="AM766" s="7"/>
      <c r="AN766" s="7"/>
      <c r="AO766" s="6"/>
      <c r="AP766" s="7"/>
      <c r="AQ766" s="7"/>
      <c r="AR766" s="6"/>
      <c r="AS766" s="7"/>
      <c r="AT766" s="7"/>
      <c r="AU766" s="7"/>
      <c r="AV766" s="7"/>
      <c r="AW766" s="7"/>
      <c r="AX766" s="7"/>
      <c r="AY766" s="7"/>
      <c r="AZ766" s="7"/>
      <c r="BA766" s="7"/>
      <c r="BB766" s="7"/>
      <c r="BC766" s="7"/>
      <c r="BD766" s="7"/>
      <c r="BE766" s="7"/>
      <c r="BF766" s="7"/>
      <c r="BG766" s="7"/>
    </row>
    <row r="767" customHeight="1" spans="1:59">
      <c r="A767" s="9" t="str">
        <f>IFERROR(__xludf.DUMMYFUNCTION("""COMPUTED_VALUE"""),"Wala 01")</f>
        <v>Wala 01</v>
      </c>
      <c r="B767" s="5" t="str">
        <f>IFERROR(__xludf.DUMMYFUNCTION("""COMPUTED_VALUE"""),"Wala 01")</f>
        <v>Wala 01</v>
      </c>
      <c r="C767" s="5" t="str">
        <f>IFERROR(__xludf.DUMMYFUNCTION("""COMPUTED_VALUE"""),"Wala 02")</f>
        <v>Wala 02</v>
      </c>
      <c r="D767" s="5" t="str">
        <f>IFERROR(__xludf.DUMMYFUNCTION("""COMPUTED_VALUE"""),"ArcCorp Mining Area 045 (PB)")</f>
        <v>ArcCorp Mining Area 045 (PB)</v>
      </c>
      <c r="E767" s="7" t="str">
        <f>IFERROR(__xludf.DUMMYFUNCTION("""COMPUTED_VALUE"""),"ArcCorp 045")</f>
        <v>ArcCorp 045</v>
      </c>
      <c r="F767" s="8">
        <f>IFERROR(__xludf.DUMMYFUNCTION("""COMPUTED_VALUE"""),-282.798440474131)</f>
        <v>-282.798440474131</v>
      </c>
      <c r="G767" s="8">
        <f>IFERROR(__xludf.DUMMYFUNCTION("""COMPUTED_VALUE"""),14.1079913593082)</f>
        <v>14.1079913593082</v>
      </c>
      <c r="H767" s="8">
        <f>IFERROR(__xludf.DUMMYFUNCTION("""COMPUTED_VALUE"""),10.6203682757545)</f>
        <v>10.6203682757545</v>
      </c>
      <c r="I767" s="14"/>
      <c r="J767" s="14"/>
      <c r="K767" s="14"/>
      <c r="L767" s="14"/>
      <c r="M767" s="7" t="b">
        <f>IFERROR(__xludf.DUMMYFUNCTION("""COMPUTED_VALUE"""),TRUE)</f>
        <v>1</v>
      </c>
      <c r="N767" s="10">
        <f>IFERROR(__xludf.DUMMYFUNCTION("""COMPUTED_VALUE"""),0)</f>
        <v>0</v>
      </c>
      <c r="O767" s="10">
        <f>IFERROR(__xludf.DUMMYFUNCTION("""COMPUTED_VALUE"""),0)</f>
        <v>0</v>
      </c>
      <c r="P767" s="8"/>
      <c r="Q767" s="7"/>
      <c r="R767" s="16"/>
      <c r="S767" s="17"/>
      <c r="T767" s="8"/>
      <c r="U767" s="8"/>
      <c r="V767" s="22"/>
      <c r="W767" s="12"/>
      <c r="X767" s="12"/>
      <c r="Y767" s="12"/>
      <c r="Z767" s="12"/>
      <c r="AA767" s="9"/>
      <c r="AB767" s="12"/>
      <c r="AC767" s="6"/>
      <c r="AD767" s="6"/>
      <c r="AE767" s="7"/>
      <c r="AF767" s="7"/>
      <c r="AG767" s="7"/>
      <c r="AH767" s="7"/>
      <c r="AI767" s="7"/>
      <c r="AJ767" s="7"/>
      <c r="AK767" s="7"/>
      <c r="AL767" s="7"/>
      <c r="AM767" s="7"/>
      <c r="AN767" s="7"/>
      <c r="AO767" s="6"/>
      <c r="AP767" s="7"/>
      <c r="AQ767" s="7"/>
      <c r="AR767" s="6"/>
      <c r="AS767" s="7"/>
      <c r="AT767" s="7"/>
      <c r="AU767" s="7"/>
      <c r="AV767" s="7"/>
      <c r="AW767" s="7"/>
      <c r="AX767" s="7"/>
      <c r="AY767" s="7"/>
      <c r="AZ767" s="7"/>
      <c r="BA767" s="7"/>
      <c r="BB767" s="7"/>
      <c r="BC767" s="7"/>
      <c r="BD767" s="7"/>
      <c r="BE767" s="7"/>
      <c r="BF767" s="7"/>
      <c r="BG767" s="7"/>
    </row>
    <row r="768" customHeight="1" spans="1:59">
      <c r="A768" s="9" t="str">
        <f>IFERROR(__xludf.DUMMYFUNCTION("""COMPUTED_VALUE"""),"Wala 02")</f>
        <v>Wala 02</v>
      </c>
      <c r="B768" s="5" t="str">
        <f>IFERROR(__xludf.DUMMYFUNCTION("""COMPUTED_VALUE"""),"Wala 02")</f>
        <v>Wala 02</v>
      </c>
      <c r="C768" s="5" t="str">
        <f>IFERROR(__xludf.DUMMYFUNCTION("""COMPUTED_VALUE"""),"Wala 06")</f>
        <v>Wala 06</v>
      </c>
      <c r="D768" s="5" t="str">
        <f>IFERROR(__xludf.DUMMYFUNCTION("""COMPUTED_VALUE"""),"ArcCorp Mining Area 048 (PB)")</f>
        <v>ArcCorp Mining Area 048 (PB)</v>
      </c>
      <c r="E768" s="7" t="str">
        <f>IFERROR(__xludf.DUMMYFUNCTION("""COMPUTED_VALUE"""),"ArcCorp 048")</f>
        <v>ArcCorp 048</v>
      </c>
      <c r="F768" s="10">
        <f>IFERROR(__xludf.DUMMYFUNCTION("""COMPUTED_VALUE"""),-178.192667984196)</f>
        <v>-178.192667984196</v>
      </c>
      <c r="G768" s="10">
        <f>IFERROR(__xludf.DUMMYFUNCTION("""COMPUTED_VALUE"""),97.7564822405057)</f>
        <v>97.7564822405057</v>
      </c>
      <c r="H768" s="10">
        <f>IFERROR(__xludf.DUMMYFUNCTION("""COMPUTED_VALUE"""),-196.339526962963)</f>
        <v>-196.339526962963</v>
      </c>
      <c r="I768" s="13"/>
      <c r="J768" s="13"/>
      <c r="K768" s="13"/>
      <c r="L768" s="13"/>
      <c r="M768" s="7" t="b">
        <f>IFERROR(__xludf.DUMMYFUNCTION("""COMPUTED_VALUE"""),TRUE)</f>
        <v>1</v>
      </c>
      <c r="N768" s="10">
        <f>IFERROR(__xludf.DUMMYFUNCTION("""COMPUTED_VALUE"""),0)</f>
        <v>0</v>
      </c>
      <c r="O768" s="10">
        <f>IFERROR(__xludf.DUMMYFUNCTION("""COMPUTED_VALUE"""),0)</f>
        <v>0</v>
      </c>
      <c r="P768" s="10"/>
      <c r="Q768" s="6"/>
      <c r="R768" s="16"/>
      <c r="S768" s="17"/>
      <c r="T768" s="10"/>
      <c r="U768" s="10"/>
      <c r="V768" s="22"/>
      <c r="W768" s="12"/>
      <c r="X768" s="12"/>
      <c r="Y768" s="12"/>
      <c r="Z768" s="12"/>
      <c r="AA768" s="6"/>
      <c r="AB768" s="12"/>
      <c r="AC768" s="6"/>
      <c r="AD768" s="6"/>
      <c r="AE768" s="7"/>
      <c r="AF768" s="7"/>
      <c r="AG768" s="7"/>
      <c r="AH768" s="7"/>
      <c r="AI768" s="7"/>
      <c r="AJ768" s="7"/>
      <c r="AK768" s="7"/>
      <c r="AL768" s="7"/>
      <c r="AM768" s="7"/>
      <c r="AN768" s="7"/>
      <c r="AO768" s="6"/>
      <c r="AP768" s="7"/>
      <c r="AQ768" s="7"/>
      <c r="AR768" s="6"/>
      <c r="AS768" s="6"/>
      <c r="AT768" s="6"/>
      <c r="AU768" s="6"/>
      <c r="AV768" s="6"/>
      <c r="AW768" s="6"/>
      <c r="AX768" s="6"/>
      <c r="AY768" s="6"/>
      <c r="AZ768" s="6"/>
      <c r="BA768" s="6"/>
      <c r="BB768" s="6"/>
      <c r="BC768" s="6"/>
      <c r="BD768" s="6"/>
      <c r="BE768" s="6"/>
      <c r="BF768" s="6"/>
      <c r="BG768" s="6"/>
    </row>
    <row r="769" customHeight="1" spans="1:59">
      <c r="A769" s="9" t="str">
        <f>IFERROR(__xludf.DUMMYFUNCTION("""COMPUTED_VALUE"""),"Wala 03")</f>
        <v>Wala 03</v>
      </c>
      <c r="B769" s="5" t="str">
        <f>IFERROR(__xludf.DUMMYFUNCTION("""COMPUTED_VALUE"""),"Wala 03")</f>
        <v>Wala 03</v>
      </c>
      <c r="C769" s="5" t="str">
        <f>IFERROR(__xludf.DUMMYFUNCTION("""COMPUTED_VALUE"""),"Wala 27")</f>
        <v>Wala 27</v>
      </c>
      <c r="D769" s="5" t="str">
        <f>IFERROR(__xludf.DUMMYFUNCTION("""COMPUTED_VALUE"""),"ArcCorp Mining Area 056 (PB)")</f>
        <v>ArcCorp Mining Area 056 (PB)</v>
      </c>
      <c r="E769" s="7" t="str">
        <f>IFERROR(__xludf.DUMMYFUNCTION("""COMPUTED_VALUE"""),"ArcCorp 056")</f>
        <v>ArcCorp 056</v>
      </c>
      <c r="F769" s="10">
        <f>IFERROR(__xludf.DUMMYFUNCTION("""COMPUTED_VALUE"""),116.545697035018)</f>
        <v>116.545697035018</v>
      </c>
      <c r="G769" s="10">
        <f>IFERROR(__xludf.DUMMYFUNCTION("""COMPUTED_VALUE"""),-50.1465905849049)</f>
        <v>-50.1465905849049</v>
      </c>
      <c r="H769" s="10">
        <f>IFERROR(__xludf.DUMMYFUNCTION("""COMPUTED_VALUE"""),253.154550616565)</f>
        <v>253.154550616565</v>
      </c>
      <c r="I769" s="13"/>
      <c r="J769" s="13"/>
      <c r="K769" s="13"/>
      <c r="L769" s="13"/>
      <c r="M769" s="7" t="b">
        <f>IFERROR(__xludf.DUMMYFUNCTION("""COMPUTED_VALUE"""),TRUE)</f>
        <v>1</v>
      </c>
      <c r="N769" s="10">
        <f>IFERROR(__xludf.DUMMYFUNCTION("""COMPUTED_VALUE"""),0)</f>
        <v>0</v>
      </c>
      <c r="O769" s="10">
        <f>IFERROR(__xludf.DUMMYFUNCTION("""COMPUTED_VALUE"""),0)</f>
        <v>0</v>
      </c>
      <c r="P769" s="10"/>
      <c r="Q769" s="6"/>
      <c r="R769" s="16"/>
      <c r="S769" s="17"/>
      <c r="T769" s="10"/>
      <c r="U769" s="10"/>
      <c r="V769" s="22"/>
      <c r="W769" s="12"/>
      <c r="X769" s="12"/>
      <c r="Y769" s="12"/>
      <c r="Z769" s="12"/>
      <c r="AA769" s="6"/>
      <c r="AB769" s="12"/>
      <c r="AC769" s="6"/>
      <c r="AD769" s="6"/>
      <c r="AE769" s="7"/>
      <c r="AF769" s="7"/>
      <c r="AG769" s="7"/>
      <c r="AH769" s="7"/>
      <c r="AI769" s="7"/>
      <c r="AJ769" s="7"/>
      <c r="AK769" s="7"/>
      <c r="AL769" s="7"/>
      <c r="AM769" s="7"/>
      <c r="AN769" s="7"/>
      <c r="AO769" s="6"/>
      <c r="AP769" s="7"/>
      <c r="AQ769" s="7"/>
      <c r="AR769" s="6"/>
      <c r="AS769" s="6"/>
      <c r="AT769" s="6"/>
      <c r="AU769" s="6"/>
      <c r="AV769" s="6"/>
      <c r="AW769" s="6"/>
      <c r="AX769" s="6"/>
      <c r="AY769" s="6"/>
      <c r="AZ769" s="6"/>
      <c r="BA769" s="6"/>
      <c r="BB769" s="6"/>
      <c r="BC769" s="6"/>
      <c r="BD769" s="6"/>
      <c r="BE769" s="6"/>
      <c r="BF769" s="6"/>
      <c r="BG769" s="6"/>
    </row>
    <row r="770" customHeight="1" spans="1:59">
      <c r="A770" s="9" t="str">
        <f>IFERROR(__xludf.DUMMYFUNCTION("""COMPUTED_VALUE"""),"Wala 04")</f>
        <v>Wala 04</v>
      </c>
      <c r="B770" s="5" t="str">
        <f>IFERROR(__xludf.DUMMYFUNCTION("""COMPUTED_VALUE"""),"Wala 04")</f>
        <v>Wala 04</v>
      </c>
      <c r="C770" s="5" t="str">
        <f>IFERROR(__xludf.DUMMYFUNCTION("""COMPUTED_VALUE"""),"Wala 33")</f>
        <v>Wala 33</v>
      </c>
      <c r="D770" s="5" t="str">
        <f>IFERROR(__xludf.DUMMYFUNCTION("""COMPUTED_VALUE"""),"ArcCorp Mining Area 061 (PB)")</f>
        <v>ArcCorp Mining Area 061 (PB)</v>
      </c>
      <c r="E770" s="7" t="str">
        <f>IFERROR(__xludf.DUMMYFUNCTION("""COMPUTED_VALUE"""),"ArcCorp 061")</f>
        <v>ArcCorp 061</v>
      </c>
      <c r="F770" s="10">
        <f>IFERROR(__xludf.DUMMYFUNCTION("""COMPUTED_VALUE"""),-21.0398674825543)</f>
        <v>-21.0398674825543</v>
      </c>
      <c r="G770" s="10">
        <f>IFERROR(__xludf.DUMMYFUNCTION("""COMPUTED_VALUE"""),-247.547925346509)</f>
        <v>-247.547925346509</v>
      </c>
      <c r="H770" s="10">
        <f>IFERROR(__xludf.DUMMYFUNCTION("""COMPUTED_VALUE"""),-132.569892484105)</f>
        <v>-132.569892484105</v>
      </c>
      <c r="I770" s="13"/>
      <c r="J770" s="13"/>
      <c r="K770" s="13"/>
      <c r="L770" s="13"/>
      <c r="M770" s="7" t="b">
        <f>IFERROR(__xludf.DUMMYFUNCTION("""COMPUTED_VALUE"""),TRUE)</f>
        <v>1</v>
      </c>
      <c r="N770" s="10">
        <f>IFERROR(__xludf.DUMMYFUNCTION("""COMPUTED_VALUE"""),0)</f>
        <v>0</v>
      </c>
      <c r="O770" s="10">
        <f>IFERROR(__xludf.DUMMYFUNCTION("""COMPUTED_VALUE"""),0)</f>
        <v>0</v>
      </c>
      <c r="P770" s="10"/>
      <c r="Q770" s="6"/>
      <c r="R770" s="16"/>
      <c r="S770" s="17"/>
      <c r="T770" s="10"/>
      <c r="U770" s="10"/>
      <c r="V770" s="22"/>
      <c r="W770" s="12"/>
      <c r="X770" s="12"/>
      <c r="Y770" s="12"/>
      <c r="Z770" s="12"/>
      <c r="AA770" s="6"/>
      <c r="AB770" s="12"/>
      <c r="AC770" s="6"/>
      <c r="AD770" s="6"/>
      <c r="AE770" s="7"/>
      <c r="AF770" s="7"/>
      <c r="AG770" s="7"/>
      <c r="AH770" s="7"/>
      <c r="AI770" s="7"/>
      <c r="AJ770" s="7"/>
      <c r="AK770" s="7"/>
      <c r="AL770" s="7"/>
      <c r="AM770" s="7"/>
      <c r="AN770" s="7"/>
      <c r="AO770" s="6"/>
      <c r="AP770" s="7"/>
      <c r="AQ770" s="7"/>
      <c r="AR770" s="6"/>
      <c r="AS770" s="6"/>
      <c r="AT770" s="6"/>
      <c r="AU770" s="6"/>
      <c r="AV770" s="6"/>
      <c r="AW770" s="6"/>
      <c r="AX770" s="6"/>
      <c r="AY770" s="6"/>
      <c r="AZ770" s="6"/>
      <c r="BA770" s="6"/>
      <c r="BB770" s="6"/>
      <c r="BC770" s="6"/>
      <c r="BD770" s="6"/>
      <c r="BE770" s="6"/>
      <c r="BF770" s="6"/>
      <c r="BG770" s="6"/>
    </row>
    <row r="771" customHeight="1" spans="1:59">
      <c r="A771" s="9" t="str">
        <f>IFERROR(__xludf.DUMMYFUNCTION("""COMPUTED_VALUE"""),"Wala 06")</f>
        <v>Wala 06</v>
      </c>
      <c r="B771" s="5" t="str">
        <f>IFERROR(__xludf.DUMMYFUNCTION("""COMPUTED_VALUE"""),"Wala 06")</f>
        <v>Wala 06</v>
      </c>
      <c r="C771" s="5" t="str">
        <f>IFERROR(__xludf.DUMMYFUNCTION("""COMPUTED_VALUE"""),"Wala 11")</f>
        <v>Wala 11</v>
      </c>
      <c r="D771" s="5" t="str">
        <f>IFERROR(__xludf.DUMMYFUNCTION("""COMPUTED_VALUE"""),"Shady Glen Farms")</f>
        <v>Shady Glen Farms</v>
      </c>
      <c r="E771" s="7" t="str">
        <f>IFERROR(__xludf.DUMMYFUNCTION("""COMPUTED_VALUE"""),"ShadyGlen")</f>
        <v>ShadyGlen</v>
      </c>
      <c r="F771" s="10">
        <f>IFERROR(__xludf.DUMMYFUNCTION("""COMPUTED_VALUE"""),-20.622454704)</f>
        <v>-20.622454704</v>
      </c>
      <c r="G771" s="10">
        <f>IFERROR(__xludf.DUMMYFUNCTION("""COMPUTED_VALUE"""),268.985307624)</f>
        <v>268.985307624</v>
      </c>
      <c r="H771" s="10">
        <f>IFERROR(__xludf.DUMMYFUNCTION("""COMPUTED_VALUE"""),87.5342171629999)</f>
        <v>87.5342171629999</v>
      </c>
      <c r="I771" s="13"/>
      <c r="J771" s="13"/>
      <c r="K771" s="13"/>
      <c r="L771" s="13"/>
      <c r="M771" s="7" t="b">
        <f>IFERROR(__xludf.DUMMYFUNCTION("""COMPUTED_VALUE"""),TRUE)</f>
        <v>1</v>
      </c>
      <c r="N771" s="10">
        <f>IFERROR(__xludf.DUMMYFUNCTION("""COMPUTED_VALUE"""),0)</f>
        <v>0</v>
      </c>
      <c r="O771" s="10">
        <f>IFERROR(__xludf.DUMMYFUNCTION("""COMPUTED_VALUE"""),0)</f>
        <v>0</v>
      </c>
      <c r="P771" s="10"/>
      <c r="Q771" s="6"/>
      <c r="R771" s="16"/>
      <c r="S771" s="17"/>
      <c r="T771" s="10"/>
      <c r="U771" s="10"/>
      <c r="V771" s="22"/>
      <c r="W771" s="12"/>
      <c r="X771" s="12"/>
      <c r="Y771" s="12"/>
      <c r="Z771" s="12"/>
      <c r="AA771" s="6"/>
      <c r="AB771" s="12"/>
      <c r="AC771" s="6"/>
      <c r="AD771" s="6"/>
      <c r="AE771" s="7"/>
      <c r="AF771" s="7"/>
      <c r="AG771" s="7"/>
      <c r="AH771" s="7"/>
      <c r="AI771" s="7"/>
      <c r="AJ771" s="7"/>
      <c r="AK771" s="7"/>
      <c r="AL771" s="7"/>
      <c r="AM771" s="7"/>
      <c r="AN771" s="7"/>
      <c r="AO771" s="6"/>
      <c r="AP771" s="7"/>
      <c r="AQ771" s="7"/>
      <c r="AR771" s="6"/>
      <c r="AS771" s="6"/>
      <c r="AT771" s="6"/>
      <c r="AU771" s="6"/>
      <c r="AV771" s="6"/>
      <c r="AW771" s="6"/>
      <c r="AX771" s="6"/>
      <c r="AY771" s="6"/>
      <c r="AZ771" s="6"/>
      <c r="BA771" s="6"/>
      <c r="BB771" s="6"/>
      <c r="BC771" s="6"/>
      <c r="BD771" s="6"/>
      <c r="BE771" s="6"/>
      <c r="BF771" s="6"/>
      <c r="BG771" s="6"/>
    </row>
    <row r="772" customHeight="1" spans="1:59">
      <c r="A772" s="9" t="str">
        <f>IFERROR(__xludf.DUMMYFUNCTION("""COMPUTED_VALUE"""),"Wala 05")</f>
        <v>Wala 05</v>
      </c>
      <c r="B772" s="5" t="str">
        <f>IFERROR(__xludf.DUMMYFUNCTION("""COMPUTED_VALUE"""),"Wala 05")</f>
        <v>Wala 05</v>
      </c>
      <c r="C772" s="5" t="str">
        <f>IFERROR(__xludf.DUMMYFUNCTION("""COMPUTED_VALUE"""),"Wala 10")</f>
        <v>Wala 10</v>
      </c>
      <c r="D772" s="5" t="str">
        <f>IFERROR(__xludf.DUMMYFUNCTION("""COMPUTED_VALUE"""),"Samson &amp; Son's Salvage Yard")</f>
        <v>Samson &amp; Son's Salvage Yard</v>
      </c>
      <c r="E772" s="7" t="str">
        <f>IFERROR(__xludf.DUMMYFUNCTION("""COMPUTED_VALUE"""),"Samson &amp; Son's")</f>
        <v>Samson &amp; Son's</v>
      </c>
      <c r="F772" s="10">
        <f>IFERROR(__xludf.DUMMYFUNCTION("""COMPUTED_VALUE"""),-42.5452083229999)</f>
        <v>-42.5452083229999</v>
      </c>
      <c r="G772" s="10">
        <f>IFERROR(__xludf.DUMMYFUNCTION("""COMPUTED_VALUE"""),279.059102224999)</f>
        <v>279.059102224999</v>
      </c>
      <c r="H772" s="10">
        <f>IFERROR(__xludf.DUMMYFUNCTION("""COMPUTED_VALUE"""),19.437602153)</f>
        <v>19.437602153</v>
      </c>
      <c r="I772" s="13"/>
      <c r="J772" s="13"/>
      <c r="K772" s="13"/>
      <c r="L772" s="13"/>
      <c r="M772" s="7" t="b">
        <f>IFERROR(__xludf.DUMMYFUNCTION("""COMPUTED_VALUE"""),TRUE)</f>
        <v>1</v>
      </c>
      <c r="N772" s="10">
        <f>IFERROR(__xludf.DUMMYFUNCTION("""COMPUTED_VALUE"""),0)</f>
        <v>0</v>
      </c>
      <c r="O772" s="10">
        <f>IFERROR(__xludf.DUMMYFUNCTION("""COMPUTED_VALUE"""),0)</f>
        <v>0</v>
      </c>
      <c r="P772" s="10"/>
      <c r="Q772" s="6"/>
      <c r="R772" s="16"/>
      <c r="S772" s="17"/>
      <c r="T772" s="10"/>
      <c r="U772" s="10"/>
      <c r="V772" s="22"/>
      <c r="W772" s="12"/>
      <c r="X772" s="12"/>
      <c r="Y772" s="12"/>
      <c r="Z772" s="12"/>
      <c r="AA772" s="6"/>
      <c r="AB772" s="12"/>
      <c r="AC772" s="6"/>
      <c r="AD772" s="6"/>
      <c r="AE772" s="7"/>
      <c r="AF772" s="7"/>
      <c r="AG772" s="7"/>
      <c r="AH772" s="7"/>
      <c r="AI772" s="7"/>
      <c r="AJ772" s="7"/>
      <c r="AK772" s="7"/>
      <c r="AL772" s="7"/>
      <c r="AM772" s="7"/>
      <c r="AN772" s="7"/>
      <c r="AO772" s="6"/>
      <c r="AP772" s="7"/>
      <c r="AQ772" s="7"/>
      <c r="AR772" s="6"/>
      <c r="AS772" s="6"/>
      <c r="AT772" s="6"/>
      <c r="AU772" s="6"/>
      <c r="AV772" s="6"/>
      <c r="AW772" s="6"/>
      <c r="AX772" s="6"/>
      <c r="AY772" s="6"/>
      <c r="AZ772" s="6"/>
      <c r="BA772" s="6"/>
      <c r="BB772" s="6"/>
      <c r="BC772" s="6"/>
      <c r="BD772" s="6"/>
      <c r="BE772" s="6"/>
      <c r="BF772" s="6"/>
      <c r="BG772" s="6"/>
    </row>
    <row r="773" customHeight="1" spans="1:59">
      <c r="A773" s="9" t="str">
        <f>IFERROR(__xludf.DUMMYFUNCTION("""COMPUTED_VALUE"""),"Wala 07")</f>
        <v>Wala 07</v>
      </c>
      <c r="B773" s="5" t="str">
        <f>IFERROR(__xludf.DUMMYFUNCTION("""COMPUTED_VALUE"""),"Wala 07")</f>
        <v>Wala 07</v>
      </c>
      <c r="C773" s="5" t="str">
        <f>IFERROR(__xludf.DUMMYFUNCTION("""COMPUTED_VALUE"""),"Wala 41")</f>
        <v>Wala 41</v>
      </c>
      <c r="D773" s="5" t="str">
        <f>IFERROR(__xludf.DUMMYFUNCTION("""COMPUTED_VALUE"""),"Paradise Cove")</f>
        <v>Paradise Cove</v>
      </c>
      <c r="E773" s="7" t="str">
        <f>IFERROR(__xludf.DUMMYFUNCTION("""COMPUTED_VALUE"""),"Paradise")</f>
        <v>Paradise</v>
      </c>
      <c r="F773" s="10">
        <f>IFERROR(__xludf.DUMMYFUNCTION("""COMPUTED_VALUE"""),79.975409619)</f>
        <v>79.975409619</v>
      </c>
      <c r="G773" s="10">
        <f>IFERROR(__xludf.DUMMYFUNCTION("""COMPUTED_VALUE"""),-217.911185587)</f>
        <v>-217.911185587</v>
      </c>
      <c r="H773" s="10">
        <f>IFERROR(__xludf.DUMMYFUNCTION("""COMPUTED_VALUE"""),162.334817229)</f>
        <v>162.334817229</v>
      </c>
      <c r="I773" s="13"/>
      <c r="J773" s="13"/>
      <c r="K773" s="13"/>
      <c r="L773" s="13"/>
      <c r="M773" s="7" t="b">
        <f>IFERROR(__xludf.DUMMYFUNCTION("""COMPUTED_VALUE"""),FALSE)</f>
        <v>0</v>
      </c>
      <c r="N773" s="10">
        <f>IFERROR(__xludf.DUMMYFUNCTION("""COMPUTED_VALUE"""),0)</f>
        <v>0</v>
      </c>
      <c r="O773" s="10">
        <f>IFERROR(__xludf.DUMMYFUNCTION("""COMPUTED_VALUE"""),0)</f>
        <v>0</v>
      </c>
      <c r="P773" s="10"/>
      <c r="Q773" s="6"/>
      <c r="R773" s="16"/>
      <c r="S773" s="17"/>
      <c r="T773" s="10"/>
      <c r="U773" s="10"/>
      <c r="V773" s="22"/>
      <c r="W773" s="12"/>
      <c r="X773" s="12"/>
      <c r="Y773" s="12"/>
      <c r="Z773" s="12"/>
      <c r="AA773" s="6"/>
      <c r="AB773" s="12"/>
      <c r="AC773" s="6"/>
      <c r="AD773" s="6"/>
      <c r="AE773" s="7"/>
      <c r="AF773" s="7"/>
      <c r="AG773" s="7"/>
      <c r="AH773" s="7"/>
      <c r="AI773" s="7"/>
      <c r="AJ773" s="7"/>
      <c r="AK773" s="7"/>
      <c r="AL773" s="7"/>
      <c r="AM773" s="7"/>
      <c r="AN773" s="7"/>
      <c r="AO773" s="6"/>
      <c r="AP773" s="7"/>
      <c r="AQ773" s="7"/>
      <c r="AR773" s="6"/>
      <c r="AS773" s="6"/>
      <c r="AT773" s="6"/>
      <c r="AU773" s="6"/>
      <c r="AV773" s="6"/>
      <c r="AW773" s="6"/>
      <c r="AX773" s="6"/>
      <c r="AY773" s="6"/>
      <c r="AZ773" s="6"/>
      <c r="BA773" s="6"/>
      <c r="BB773" s="6"/>
      <c r="BC773" s="6"/>
      <c r="BD773" s="6"/>
      <c r="BE773" s="6"/>
      <c r="BF773" s="6"/>
      <c r="BG773" s="6"/>
    </row>
    <row r="774" customHeight="1" spans="1:59">
      <c r="A774" s="9" t="str">
        <f>IFERROR(__xludf.DUMMYFUNCTION("""COMPUTED_VALUE"""),"Wala")</f>
        <v>Wala</v>
      </c>
      <c r="B774" s="5" t="str">
        <f>IFERROR(__xludf.DUMMYFUNCTION("""COMPUTED_VALUE"""),"Wala 09")</f>
        <v>Wala 09</v>
      </c>
      <c r="C774" s="5"/>
      <c r="D774" s="5" t="str">
        <f>IFERROR(__xludf.DUMMYFUNCTION("""COMPUTED_VALUE"""),"Underground Bunker Facilities")</f>
        <v>Underground Bunker Facilities</v>
      </c>
      <c r="E774" s="7"/>
      <c r="F774" s="10"/>
      <c r="G774" s="10"/>
      <c r="H774" s="10"/>
      <c r="I774" s="13"/>
      <c r="J774" s="13"/>
      <c r="K774" s="13"/>
      <c r="L774" s="13"/>
      <c r="M774" s="7"/>
      <c r="N774" s="10"/>
      <c r="O774" s="10"/>
      <c r="P774" s="10"/>
      <c r="Q774" s="6"/>
      <c r="R774" s="16"/>
      <c r="S774" s="17"/>
      <c r="T774" s="10"/>
      <c r="U774" s="10"/>
      <c r="V774" s="22"/>
      <c r="W774" s="12"/>
      <c r="X774" s="12"/>
      <c r="Y774" s="12"/>
      <c r="Z774" s="12"/>
      <c r="AA774" s="6"/>
      <c r="AB774" s="12"/>
      <c r="AC774" s="6"/>
      <c r="AD774" s="6"/>
      <c r="AE774" s="7"/>
      <c r="AF774" s="7"/>
      <c r="AG774" s="7"/>
      <c r="AH774" s="7"/>
      <c r="AI774" s="7"/>
      <c r="AJ774" s="7"/>
      <c r="AK774" s="7"/>
      <c r="AL774" s="7"/>
      <c r="AM774" s="7"/>
      <c r="AN774" s="7"/>
      <c r="AO774" s="6"/>
      <c r="AP774" s="7"/>
      <c r="AQ774" s="7"/>
      <c r="AR774" s="6"/>
      <c r="AS774" s="6"/>
      <c r="AT774" s="6"/>
      <c r="AU774" s="6"/>
      <c r="AV774" s="6"/>
      <c r="AW774" s="6"/>
      <c r="AX774" s="6"/>
      <c r="AY774" s="6"/>
      <c r="AZ774" s="6"/>
      <c r="BA774" s="6"/>
      <c r="BB774" s="6"/>
      <c r="BC774" s="6"/>
      <c r="BD774" s="6"/>
      <c r="BE774" s="6"/>
      <c r="BF774" s="6"/>
      <c r="BG774" s="6"/>
    </row>
    <row r="775" customHeight="1" spans="1:59">
      <c r="A775" s="9" t="str">
        <f>IFERROR(__xludf.DUMMYFUNCTION("""COMPUTED_VALUE"""),"Wala 08")</f>
        <v>Wala 08</v>
      </c>
      <c r="B775" s="5" t="str">
        <f>IFERROR(__xludf.DUMMYFUNCTION("""COMPUTED_VALUE"""),"Wala 10")</f>
        <v>Wala 10</v>
      </c>
      <c r="C775" s="5" t="str">
        <f>IFERROR(__xludf.DUMMYFUNCTION("""COMPUTED_VALUE"""),"Wala 04")</f>
        <v>Wala 04</v>
      </c>
      <c r="D775" s="5" t="str">
        <f>IFERROR(__xludf.DUMMYFUNCTION("""COMPUTED_VALUE"""),"ArcCorp Processing Center 115")</f>
        <v>ArcCorp Processing Center 115</v>
      </c>
      <c r="E775" s="7" t="str">
        <f>IFERROR(__xludf.DUMMYFUNCTION("""COMPUTED_VALUE"""),"ArcCorp 115")</f>
        <v>ArcCorp 115</v>
      </c>
      <c r="F775" s="10">
        <f>IFERROR(__xludf.DUMMYFUNCTION("""COMPUTED_VALUE"""),-277.355976978)</f>
        <v>-277.355976978</v>
      </c>
      <c r="G775" s="10">
        <f>IFERROR(__xludf.DUMMYFUNCTION("""COMPUTED_VALUE"""),50.109954874)</f>
        <v>50.109954874</v>
      </c>
      <c r="H775" s="10">
        <f>IFERROR(__xludf.DUMMYFUNCTION("""COMPUTED_VALUE"""),27.88014772)</f>
        <v>27.88014772</v>
      </c>
      <c r="I775" s="13"/>
      <c r="J775" s="13"/>
      <c r="K775" s="13"/>
      <c r="L775" s="13"/>
      <c r="M775" s="7" t="b">
        <f>IFERROR(__xludf.DUMMYFUNCTION("""COMPUTED_VALUE"""),TRUE)</f>
        <v>1</v>
      </c>
      <c r="N775" s="10"/>
      <c r="O775" s="10"/>
      <c r="P775" s="10"/>
      <c r="Q775" s="6"/>
      <c r="R775" s="16"/>
      <c r="S775" s="17"/>
      <c r="T775" s="10"/>
      <c r="U775" s="10"/>
      <c r="V775" s="22"/>
      <c r="W775" s="12"/>
      <c r="X775" s="12"/>
      <c r="Y775" s="12"/>
      <c r="Z775" s="12"/>
      <c r="AA775" s="6"/>
      <c r="AB775" s="12"/>
      <c r="AC775" s="6"/>
      <c r="AD775" s="6"/>
      <c r="AE775" s="7"/>
      <c r="AF775" s="7"/>
      <c r="AG775" s="7"/>
      <c r="AH775" s="7"/>
      <c r="AI775" s="7"/>
      <c r="AJ775" s="7"/>
      <c r="AK775" s="7"/>
      <c r="AL775" s="7"/>
      <c r="AM775" s="7"/>
      <c r="AN775" s="7"/>
      <c r="AO775" s="6"/>
      <c r="AP775" s="7"/>
      <c r="AQ775" s="7"/>
      <c r="AR775" s="6"/>
      <c r="AS775" s="6"/>
      <c r="AT775" s="6"/>
      <c r="AU775" s="6"/>
      <c r="AV775" s="6"/>
      <c r="AW775" s="6"/>
      <c r="AX775" s="6"/>
      <c r="AY775" s="6"/>
      <c r="AZ775" s="6"/>
      <c r="BA775" s="6"/>
      <c r="BB775" s="6"/>
      <c r="BC775" s="6"/>
      <c r="BD775" s="6"/>
      <c r="BE775" s="6"/>
      <c r="BF775" s="6"/>
      <c r="BG775" s="6"/>
    </row>
    <row r="776" customHeight="1" spans="1:59">
      <c r="A776" s="9" t="str">
        <f>IFERROR(__xludf.DUMMYFUNCTION("""COMPUTED_VALUE"""),"Wala 09")</f>
        <v>Wala 09</v>
      </c>
      <c r="B776" s="5" t="str">
        <f>IFERROR(__xludf.DUMMYFUNCTION("""COMPUTED_VALUE"""),"Wala 11")</f>
        <v>Wala 11</v>
      </c>
      <c r="C776" s="5" t="str">
        <f>IFERROR(__xludf.DUMMYFUNCTION("""COMPUTED_VALUE"""),"Wala 30")</f>
        <v>Wala 30</v>
      </c>
      <c r="D776" s="5" t="str">
        <f>IFERROR(__xludf.DUMMYFUNCTION("""COMPUTED_VALUE"""),"ArcCorp Processing Center 123")</f>
        <v>ArcCorp Processing Center 123</v>
      </c>
      <c r="E776" s="7" t="str">
        <f>IFERROR(__xludf.DUMMYFUNCTION("""COMPUTED_VALUE"""),"ArcCorp 123")</f>
        <v>ArcCorp 123</v>
      </c>
      <c r="F776" s="10">
        <f>IFERROR(__xludf.DUMMYFUNCTION("""COMPUTED_VALUE"""),130.624319533)</f>
        <v>130.624319533</v>
      </c>
      <c r="G776" s="10">
        <f>IFERROR(__xludf.DUMMYFUNCTION("""COMPUTED_VALUE"""),-247.520551264999)</f>
        <v>-247.520551264999</v>
      </c>
      <c r="H776" s="10">
        <f>IFERROR(__xludf.DUMMYFUNCTION("""COMPUTED_VALUE"""),43.128612045)</f>
        <v>43.128612045</v>
      </c>
      <c r="I776" s="13"/>
      <c r="J776" s="13"/>
      <c r="K776" s="13"/>
      <c r="L776" s="13"/>
      <c r="M776" s="7" t="b">
        <f>IFERROR(__xludf.DUMMYFUNCTION("""COMPUTED_VALUE"""),TRUE)</f>
        <v>1</v>
      </c>
      <c r="N776" s="10"/>
      <c r="O776" s="10"/>
      <c r="P776" s="10"/>
      <c r="Q776" s="6"/>
      <c r="R776" s="16"/>
      <c r="S776" s="17"/>
      <c r="T776" s="10"/>
      <c r="U776" s="10"/>
      <c r="V776" s="22"/>
      <c r="W776" s="12"/>
      <c r="X776" s="12"/>
      <c r="Y776" s="12"/>
      <c r="Z776" s="12"/>
      <c r="AA776" s="6"/>
      <c r="AB776" s="12"/>
      <c r="AC776" s="6"/>
      <c r="AD776" s="6"/>
      <c r="AE776" s="7"/>
      <c r="AF776" s="7"/>
      <c r="AG776" s="7"/>
      <c r="AH776" s="7"/>
      <c r="AI776" s="7"/>
      <c r="AJ776" s="7"/>
      <c r="AK776" s="7"/>
      <c r="AL776" s="7"/>
      <c r="AM776" s="7"/>
      <c r="AN776" s="7"/>
      <c r="AO776" s="6"/>
      <c r="AP776" s="7"/>
      <c r="AQ776" s="7"/>
      <c r="AR776" s="6"/>
      <c r="AS776" s="6"/>
      <c r="AT776" s="6"/>
      <c r="AU776" s="6"/>
      <c r="AV776" s="6"/>
      <c r="AW776" s="6"/>
      <c r="AX776" s="6"/>
      <c r="AY776" s="6"/>
      <c r="AZ776" s="6"/>
      <c r="BA776" s="6"/>
      <c r="BB776" s="6"/>
      <c r="BC776" s="6"/>
      <c r="BD776" s="6"/>
      <c r="BE776" s="6"/>
      <c r="BF776" s="6"/>
      <c r="BG776" s="6"/>
    </row>
    <row r="777" customHeight="1" spans="1:59">
      <c r="A777" s="9" t="str">
        <f>IFERROR(__xludf.DUMMYFUNCTION("""COMPUTED_VALUE"""),"Wala 10")</f>
        <v>Wala 10</v>
      </c>
      <c r="B777" s="5" t="str">
        <f>IFERROR(__xludf.DUMMYFUNCTION("""COMPUTED_VALUE"""),"Wala 12")</f>
        <v>Wala 12</v>
      </c>
      <c r="C777" s="5" t="str">
        <f>IFERROR(__xludf.DUMMYFUNCTION("""COMPUTED_VALUE"""),"Wala 08")</f>
        <v>Wala 08</v>
      </c>
      <c r="D777" s="5" t="str">
        <f>IFERROR(__xludf.DUMMYFUNCTION("""COMPUTED_VALUE"""),"Good Times Temple")</f>
        <v>Good Times Temple</v>
      </c>
      <c r="E777" s="7" t="str">
        <f>IFERROR(__xludf.DUMMYFUNCTION("""COMPUTED_VALUE"""),"GoodTimes")</f>
        <v>GoodTimes</v>
      </c>
      <c r="F777" s="10">
        <f>IFERROR(__xludf.DUMMYFUNCTION("""COMPUTED_VALUE"""),-113.299669524)</f>
        <v>-113.299669524</v>
      </c>
      <c r="G777" s="10">
        <f>IFERROR(__xludf.DUMMYFUNCTION("""COMPUTED_VALUE"""),179.510183592999)</f>
        <v>179.510183592999</v>
      </c>
      <c r="H777" s="10">
        <f>IFERROR(__xludf.DUMMYFUNCTION("""COMPUTED_VALUE"""),187.365807493)</f>
        <v>187.365807493</v>
      </c>
      <c r="I777" s="13"/>
      <c r="J777" s="13"/>
      <c r="K777" s="13"/>
      <c r="L777" s="13"/>
      <c r="M777" s="7" t="b">
        <f>IFERROR(__xludf.DUMMYFUNCTION("""COMPUTED_VALUE"""),TRUE)</f>
        <v>1</v>
      </c>
      <c r="N777" s="10"/>
      <c r="O777" s="10"/>
      <c r="P777" s="10"/>
      <c r="Q777" s="6"/>
      <c r="R777" s="16"/>
      <c r="S777" s="17"/>
      <c r="T777" s="10"/>
      <c r="U777" s="10"/>
      <c r="V777" s="22"/>
      <c r="W777" s="12"/>
      <c r="X777" s="12"/>
      <c r="Y777" s="12"/>
      <c r="Z777" s="12"/>
      <c r="AA777" s="6"/>
      <c r="AB777" s="12"/>
      <c r="AC777" s="6"/>
      <c r="AD777" s="6"/>
      <c r="AE777" s="7"/>
      <c r="AF777" s="7"/>
      <c r="AG777" s="7"/>
      <c r="AH777" s="7"/>
      <c r="AI777" s="7"/>
      <c r="AJ777" s="7"/>
      <c r="AK777" s="7"/>
      <c r="AL777" s="7"/>
      <c r="AM777" s="7"/>
      <c r="AN777" s="7"/>
      <c r="AO777" s="6"/>
      <c r="AP777" s="7"/>
      <c r="AQ777" s="7"/>
      <c r="AR777" s="6"/>
      <c r="AS777" s="6"/>
      <c r="AT777" s="6"/>
      <c r="AU777" s="6"/>
      <c r="AV777" s="6"/>
      <c r="AW777" s="6"/>
      <c r="AX777" s="6"/>
      <c r="AY777" s="6"/>
      <c r="AZ777" s="6"/>
      <c r="BA777" s="6"/>
      <c r="BB777" s="6"/>
      <c r="BC777" s="6"/>
      <c r="BD777" s="6"/>
      <c r="BE777" s="6"/>
      <c r="BF777" s="6"/>
      <c r="BG777" s="6"/>
    </row>
    <row r="778" customHeight="1" spans="1:59">
      <c r="A778" s="9" t="str">
        <f>IFERROR(__xludf.DUMMYFUNCTION("""COMPUTED_VALUE"""),"Wala 11")</f>
        <v>Wala 11</v>
      </c>
      <c r="B778" s="5" t="str">
        <f>IFERROR(__xludf.DUMMYFUNCTION("""COMPUTED_VALUE"""),"Wala 13")</f>
        <v>Wala 13</v>
      </c>
      <c r="C778" s="5" t="str">
        <f>IFERROR(__xludf.DUMMYFUNCTION("""COMPUTED_VALUE"""),"Wala 18")</f>
        <v>Wala 18</v>
      </c>
      <c r="D778" s="5" t="str">
        <f>IFERROR(__xludf.DUMMYFUNCTION("""COMPUTED_VALUE"""),"Lost and Found")</f>
        <v>Lost and Found</v>
      </c>
      <c r="E778" s="7" t="str">
        <f>IFERROR(__xludf.DUMMYFUNCTION("""COMPUTED_VALUE"""),"LostFound")</f>
        <v>LostFound</v>
      </c>
      <c r="F778" s="10">
        <f>IFERROR(__xludf.DUMMYFUNCTION("""COMPUTED_VALUE"""),62.556055113)</f>
        <v>62.556055113</v>
      </c>
      <c r="G778" s="10">
        <f>IFERROR(__xludf.DUMMYFUNCTION("""COMPUTED_VALUE"""),114.329512422999)</f>
        <v>114.329512422999</v>
      </c>
      <c r="H778" s="10">
        <f>IFERROR(__xludf.DUMMYFUNCTION("""COMPUTED_VALUE"""),251.558728612)</f>
        <v>251.558728612</v>
      </c>
      <c r="I778" s="13"/>
      <c r="J778" s="13"/>
      <c r="K778" s="13"/>
      <c r="L778" s="13"/>
      <c r="M778" s="7" t="b">
        <f>IFERROR(__xludf.DUMMYFUNCTION("""COMPUTED_VALUE"""),TRUE)</f>
        <v>1</v>
      </c>
      <c r="N778" s="10"/>
      <c r="O778" s="10"/>
      <c r="P778" s="10"/>
      <c r="Q778" s="6"/>
      <c r="R778" s="16"/>
      <c r="S778" s="17"/>
      <c r="T778" s="10"/>
      <c r="U778" s="10"/>
      <c r="V778" s="22"/>
      <c r="W778" s="12"/>
      <c r="X778" s="12"/>
      <c r="Y778" s="12"/>
      <c r="Z778" s="12"/>
      <c r="AA778" s="6"/>
      <c r="AB778" s="12"/>
      <c r="AC778" s="6"/>
      <c r="AD778" s="6"/>
      <c r="AE778" s="7"/>
      <c r="AF778" s="7"/>
      <c r="AG778" s="7"/>
      <c r="AH778" s="7"/>
      <c r="AI778" s="7"/>
      <c r="AJ778" s="7"/>
      <c r="AK778" s="7"/>
      <c r="AL778" s="7"/>
      <c r="AM778" s="7"/>
      <c r="AN778" s="7"/>
      <c r="AO778" s="6"/>
      <c r="AP778" s="7"/>
      <c r="AQ778" s="7"/>
      <c r="AR778" s="6"/>
      <c r="AS778" s="6"/>
      <c r="AT778" s="6"/>
      <c r="AU778" s="6"/>
      <c r="AV778" s="6"/>
      <c r="AW778" s="6"/>
      <c r="AX778" s="6"/>
      <c r="AY778" s="6"/>
      <c r="AZ778" s="6"/>
      <c r="BA778" s="6"/>
      <c r="BB778" s="6"/>
      <c r="BC778" s="6"/>
      <c r="BD778" s="6"/>
      <c r="BE778" s="6"/>
      <c r="BF778" s="6"/>
      <c r="BG778" s="6"/>
    </row>
    <row r="779" customHeight="1" spans="1:59">
      <c r="A779" s="9" t="str">
        <f>IFERROR(__xludf.DUMMYFUNCTION("""COMPUTED_VALUE"""),"Wala")</f>
        <v>Wala</v>
      </c>
      <c r="B779" s="5" t="str">
        <f>IFERROR(__xludf.DUMMYFUNCTION("""COMPUTED_VALUE"""),"Wala 15")</f>
        <v>Wala 15</v>
      </c>
      <c r="C779" s="5"/>
      <c r="D779" s="5" t="str">
        <f>IFERROR(__xludf.DUMMYFUNCTION("""COMPUTED_VALUE"""),"Settlements")</f>
        <v>Settlements</v>
      </c>
      <c r="E779" s="7"/>
      <c r="F779" s="10"/>
      <c r="G779" s="10"/>
      <c r="H779" s="10"/>
      <c r="I779" s="13"/>
      <c r="J779" s="13"/>
      <c r="K779" s="13"/>
      <c r="L779" s="13"/>
      <c r="M779" s="7"/>
      <c r="N779" s="10"/>
      <c r="O779" s="10"/>
      <c r="P779" s="10"/>
      <c r="Q779" s="6"/>
      <c r="R779" s="16"/>
      <c r="S779" s="17"/>
      <c r="T779" s="10"/>
      <c r="U779" s="10"/>
      <c r="V779" s="22"/>
      <c r="W779" s="12"/>
      <c r="X779" s="12"/>
      <c r="Y779" s="12"/>
      <c r="Z779" s="12"/>
      <c r="AA779" s="6"/>
      <c r="AB779" s="12"/>
      <c r="AC779" s="6"/>
      <c r="AD779" s="6"/>
      <c r="AE779" s="7"/>
      <c r="AF779" s="7"/>
      <c r="AG779" s="7"/>
      <c r="AH779" s="7"/>
      <c r="AI779" s="7"/>
      <c r="AJ779" s="7"/>
      <c r="AK779" s="7"/>
      <c r="AL779" s="7"/>
      <c r="AM779" s="7"/>
      <c r="AN779" s="7"/>
      <c r="AO779" s="6"/>
      <c r="AP779" s="7"/>
      <c r="AQ779" s="7"/>
      <c r="AR779" s="6"/>
      <c r="AS779" s="6"/>
      <c r="AT779" s="6"/>
      <c r="AU779" s="6"/>
      <c r="AV779" s="6"/>
      <c r="AW779" s="6"/>
      <c r="AX779" s="6"/>
      <c r="AY779" s="6"/>
      <c r="AZ779" s="6"/>
      <c r="BA779" s="6"/>
      <c r="BB779" s="6"/>
      <c r="BC779" s="6"/>
      <c r="BD779" s="6"/>
      <c r="BE779" s="6"/>
      <c r="BF779" s="6"/>
      <c r="BG779" s="6"/>
    </row>
    <row r="780" customHeight="1" spans="1:59">
      <c r="A780" s="9" t="str">
        <f>IFERROR(__xludf.DUMMYFUNCTION("""COMPUTED_VALUE"""),"Wala 13")</f>
        <v>Wala 13</v>
      </c>
      <c r="B780" s="5" t="str">
        <f>IFERROR(__xludf.DUMMYFUNCTION("""COMPUTED_VALUE"""),"Wala 16")</f>
        <v>Wala 16</v>
      </c>
      <c r="C780" s="5" t="str">
        <f>IFERROR(__xludf.DUMMYFUNCTION("""COMPUTED_VALUE"""),"Wala 03")</f>
        <v>Wala 03</v>
      </c>
      <c r="D780" s="5" t="str">
        <f>IFERROR(__xludf.DUMMYFUNCTION("""COMPUTED_VALUE"""),"Wala Settlement")</f>
        <v>Wala Settlement</v>
      </c>
      <c r="E780" s="7" t="str">
        <f>IFERROR(__xludf.DUMMYFUNCTION("""COMPUTED_VALUE"""),"Settlement 3b")</f>
        <v>Settlement 3b</v>
      </c>
      <c r="F780" s="10">
        <f>IFERROR(__xludf.DUMMYFUNCTION("""COMPUTED_VALUE"""),-282.215569006)</f>
        <v>-282.215569006</v>
      </c>
      <c r="G780" s="10">
        <f>IFERROR(__xludf.DUMMYFUNCTION("""COMPUTED_VALUE"""),24.874644376)</f>
        <v>24.874644376</v>
      </c>
      <c r="H780" s="10">
        <f>IFERROR(__xludf.DUMMYFUNCTION("""COMPUTED_VALUE"""),5.802410767)</f>
        <v>5.802410767</v>
      </c>
      <c r="I780" s="13"/>
      <c r="J780" s="13"/>
      <c r="K780" s="13"/>
      <c r="L780" s="13"/>
      <c r="M780" s="7" t="b">
        <f>IFERROR(__xludf.DUMMYFUNCTION("""COMPUTED_VALUE"""),FALSE)</f>
        <v>0</v>
      </c>
      <c r="N780" s="10">
        <f>IFERROR(__xludf.DUMMYFUNCTION("""COMPUTED_VALUE"""),0)</f>
        <v>0</v>
      </c>
      <c r="O780" s="10">
        <f>IFERROR(__xludf.DUMMYFUNCTION("""COMPUTED_VALUE"""),0)</f>
        <v>0</v>
      </c>
      <c r="P780" s="10"/>
      <c r="Q780" s="6"/>
      <c r="R780" s="16"/>
      <c r="S780" s="17"/>
      <c r="T780" s="10"/>
      <c r="U780" s="10"/>
      <c r="V780" s="22"/>
      <c r="W780" s="12"/>
      <c r="X780" s="12"/>
      <c r="Y780" s="12"/>
      <c r="Z780" s="12"/>
      <c r="AA780" s="6"/>
      <c r="AB780" s="12"/>
      <c r="AC780" s="6"/>
      <c r="AD780" s="6"/>
      <c r="AE780" s="7"/>
      <c r="AF780" s="7"/>
      <c r="AG780" s="7"/>
      <c r="AH780" s="7"/>
      <c r="AI780" s="7"/>
      <c r="AJ780" s="7"/>
      <c r="AK780" s="7"/>
      <c r="AL780" s="7"/>
      <c r="AM780" s="7"/>
      <c r="AN780" s="7"/>
      <c r="AO780" s="6"/>
      <c r="AP780" s="7"/>
      <c r="AQ780" s="7"/>
      <c r="AR780" s="6"/>
      <c r="AS780" s="6"/>
      <c r="AT780" s="6"/>
      <c r="AU780" s="6"/>
      <c r="AV780" s="6"/>
      <c r="AW780" s="6"/>
      <c r="AX780" s="6"/>
      <c r="AY780" s="6"/>
      <c r="AZ780" s="6"/>
      <c r="BA780" s="6"/>
      <c r="BB780" s="6"/>
      <c r="BC780" s="6"/>
      <c r="BD780" s="6"/>
      <c r="BE780" s="6"/>
      <c r="BF780" s="6"/>
      <c r="BG780" s="6"/>
    </row>
    <row r="781" customHeight="1" spans="1:59">
      <c r="A781" s="9" t="str">
        <f>IFERROR(__xludf.DUMMYFUNCTION("""COMPUTED_VALUE"""),"Wala")</f>
        <v>Wala</v>
      </c>
      <c r="B781" s="5" t="str">
        <f>IFERROR(__xludf.DUMMYFUNCTION("""COMPUTED_VALUE"""),"Wala 18")</f>
        <v>Wala 18</v>
      </c>
      <c r="C781" s="5"/>
      <c r="D781" s="5" t="str">
        <f>IFERROR(__xludf.DUMMYFUNCTION("""COMPUTED_VALUE"""),"Caves")</f>
        <v>Caves</v>
      </c>
      <c r="E781" s="7"/>
      <c r="F781" s="10"/>
      <c r="G781" s="10"/>
      <c r="H781" s="10"/>
      <c r="I781" s="13"/>
      <c r="J781" s="13"/>
      <c r="K781" s="13"/>
      <c r="L781" s="13"/>
      <c r="M781" s="7"/>
      <c r="N781" s="10"/>
      <c r="O781" s="10"/>
      <c r="P781" s="10"/>
      <c r="Q781" s="6"/>
      <c r="R781" s="16"/>
      <c r="S781" s="17"/>
      <c r="T781" s="10"/>
      <c r="U781" s="10"/>
      <c r="V781" s="22"/>
      <c r="W781" s="12"/>
      <c r="X781" s="12"/>
      <c r="Y781" s="12"/>
      <c r="Z781" s="12"/>
      <c r="AA781" s="6"/>
      <c r="AB781" s="12"/>
      <c r="AC781" s="6"/>
      <c r="AD781" s="6"/>
      <c r="AE781" s="7"/>
      <c r="AF781" s="7"/>
      <c r="AG781" s="7"/>
      <c r="AH781" s="7"/>
      <c r="AI781" s="7"/>
      <c r="AJ781" s="7"/>
      <c r="AK781" s="7"/>
      <c r="AL781" s="7"/>
      <c r="AM781" s="7"/>
      <c r="AN781" s="7"/>
      <c r="AO781" s="6"/>
      <c r="AP781" s="7"/>
      <c r="AQ781" s="7"/>
      <c r="AR781" s="6"/>
      <c r="AS781" s="6"/>
      <c r="AT781" s="6"/>
      <c r="AU781" s="6"/>
      <c r="AV781" s="6"/>
      <c r="AW781" s="6"/>
      <c r="AX781" s="6"/>
      <c r="AY781" s="6"/>
      <c r="AZ781" s="6"/>
      <c r="BA781" s="6"/>
      <c r="BB781" s="6"/>
      <c r="BC781" s="6"/>
      <c r="BD781" s="6"/>
      <c r="BE781" s="6"/>
      <c r="BF781" s="6"/>
      <c r="BG781" s="6"/>
    </row>
    <row r="782" customHeight="1" spans="1:59">
      <c r="A782" s="9" t="str">
        <f>IFERROR(__xludf.DUMMYFUNCTION("""COMPUTED_VALUE"""),"Wala 30")</f>
        <v>Wala 30</v>
      </c>
      <c r="B782" s="5" t="str">
        <f>IFERROR(__xludf.DUMMYFUNCTION("""COMPUTED_VALUE"""),"Wala 35")</f>
        <v>Wala 35</v>
      </c>
      <c r="C782" s="5" t="str">
        <f>IFERROR(__xludf.DUMMYFUNCTION("""COMPUTED_VALUE"""),"Wala 14")</f>
        <v>Wala 14</v>
      </c>
      <c r="D782" s="5" t="str">
        <f>IFERROR(__xludf.DUMMYFUNCTION("""COMPUTED_VALUE"""),"Sand Cave 42S")</f>
        <v>Sand Cave 42S</v>
      </c>
      <c r="E782" s="7" t="str">
        <f>IFERROR(__xludf.DUMMYFUNCTION("""COMPUTED_VALUE"""),"SCave 42S")</f>
        <v>SCave 42S</v>
      </c>
      <c r="F782" s="11">
        <f>IFERROR(__xludf.DUMMYFUNCTION("""COMPUTED_VALUE"""),75.3781792279999)</f>
        <v>75.3781792279999</v>
      </c>
      <c r="G782" s="11">
        <f>IFERROR(__xludf.DUMMYFUNCTION("""COMPUTED_VALUE"""),224.132840023)</f>
        <v>224.132840023</v>
      </c>
      <c r="H782" s="11">
        <f>IFERROR(__xludf.DUMMYFUNCTION("""COMPUTED_VALUE"""),155.442797820999)</f>
        <v>155.442797820999</v>
      </c>
      <c r="I782" s="15"/>
      <c r="J782" s="15"/>
      <c r="K782" s="15"/>
      <c r="L782" s="15"/>
      <c r="M782" s="7" t="b">
        <f>IFERROR(__xludf.DUMMYFUNCTION("""COMPUTED_VALUE"""),FALSE)</f>
        <v>0</v>
      </c>
      <c r="N782" s="10">
        <f>IFERROR(__xludf.DUMMYFUNCTION("""COMPUTED_VALUE"""),0)</f>
        <v>0</v>
      </c>
      <c r="O782" s="10">
        <f>IFERROR(__xludf.DUMMYFUNCTION("""COMPUTED_VALUE"""),0)</f>
        <v>0</v>
      </c>
      <c r="P782" s="8"/>
      <c r="Q782" s="7"/>
      <c r="R782" s="16"/>
      <c r="S782" s="17"/>
      <c r="T782" s="8"/>
      <c r="U782" s="8"/>
      <c r="V782" s="22"/>
      <c r="W782" s="12"/>
      <c r="X782" s="12"/>
      <c r="Y782" s="12"/>
      <c r="Z782" s="12"/>
      <c r="AA782" s="7"/>
      <c r="AB782" s="12"/>
      <c r="AC782" s="6"/>
      <c r="AD782" s="6"/>
      <c r="AE782" s="7"/>
      <c r="AF782" s="7"/>
      <c r="AG782" s="7"/>
      <c r="AH782" s="7"/>
      <c r="AI782" s="7"/>
      <c r="AJ782" s="7"/>
      <c r="AK782" s="7"/>
      <c r="AL782" s="7"/>
      <c r="AM782" s="7"/>
      <c r="AN782" s="7"/>
      <c r="AO782" s="6"/>
      <c r="AP782" s="7"/>
      <c r="AQ782" s="7"/>
      <c r="AR782" s="6"/>
      <c r="AS782" s="7"/>
      <c r="AT782" s="7"/>
      <c r="AU782" s="7"/>
      <c r="AV782" s="7"/>
      <c r="AW782" s="7"/>
      <c r="AX782" s="7"/>
      <c r="AY782" s="7"/>
      <c r="AZ782" s="7"/>
      <c r="BA782" s="7"/>
      <c r="BB782" s="7"/>
      <c r="BC782" s="7"/>
      <c r="BD782" s="7"/>
      <c r="BE782" s="7"/>
      <c r="BF782" s="7"/>
      <c r="BG782" s="7"/>
    </row>
    <row r="783" customHeight="1" spans="1:59">
      <c r="A783" s="9" t="str">
        <f>IFERROR(__xludf.DUMMYFUNCTION("""COMPUTED_VALUE"""),"Wala 27")</f>
        <v>Wala 27</v>
      </c>
      <c r="B783" s="5" t="str">
        <f>IFERROR(__xludf.DUMMYFUNCTION("""COMPUTED_VALUE"""),"Wala 32")</f>
        <v>Wala 32</v>
      </c>
      <c r="C783" s="5" t="str">
        <f>IFERROR(__xludf.DUMMYFUNCTION("""COMPUTED_VALUE"""),"Wala 17")</f>
        <v>Wala 17</v>
      </c>
      <c r="D783" s="5" t="str">
        <f>IFERROR(__xludf.DUMMYFUNCTION("""COMPUTED_VALUE"""),"Sand Cave 41Q")</f>
        <v>Sand Cave 41Q</v>
      </c>
      <c r="E783" s="7" t="str">
        <f>IFERROR(__xludf.DUMMYFUNCTION("""COMPUTED_VALUE"""),"SCave 41Q")</f>
        <v>SCave 41Q</v>
      </c>
      <c r="F783" s="11">
        <f>IFERROR(__xludf.DUMMYFUNCTION("""COMPUTED_VALUE"""),109.525723191)</f>
        <v>109.525723191</v>
      </c>
      <c r="G783" s="11">
        <f>IFERROR(__xludf.DUMMYFUNCTION("""COMPUTED_VALUE"""),242.627691511)</f>
        <v>242.627691511</v>
      </c>
      <c r="H783" s="11">
        <f>IFERROR(__xludf.DUMMYFUNCTION("""COMPUTED_VALUE"""),99.072811524)</f>
        <v>99.072811524</v>
      </c>
      <c r="I783" s="15"/>
      <c r="J783" s="15"/>
      <c r="K783" s="15"/>
      <c r="L783" s="15"/>
      <c r="M783" s="7" t="b">
        <f>IFERROR(__xludf.DUMMYFUNCTION("""COMPUTED_VALUE"""),FALSE)</f>
        <v>0</v>
      </c>
      <c r="N783" s="10">
        <f>IFERROR(__xludf.DUMMYFUNCTION("""COMPUTED_VALUE"""),0)</f>
        <v>0</v>
      </c>
      <c r="O783" s="10">
        <f>IFERROR(__xludf.DUMMYFUNCTION("""COMPUTED_VALUE"""),0)</f>
        <v>0</v>
      </c>
      <c r="P783" s="8"/>
      <c r="Q783" s="7"/>
      <c r="R783" s="16"/>
      <c r="S783" s="17"/>
      <c r="T783" s="8"/>
      <c r="U783" s="8"/>
      <c r="V783" s="22"/>
      <c r="W783" s="12"/>
      <c r="X783" s="12"/>
      <c r="Y783" s="12"/>
      <c r="Z783" s="12"/>
      <c r="AA783" s="7"/>
      <c r="AB783" s="12"/>
      <c r="AC783" s="6"/>
      <c r="AD783" s="6"/>
      <c r="AE783" s="7"/>
      <c r="AF783" s="7"/>
      <c r="AG783" s="7"/>
      <c r="AH783" s="7"/>
      <c r="AI783" s="7"/>
      <c r="AJ783" s="7"/>
      <c r="AK783" s="7"/>
      <c r="AL783" s="7"/>
      <c r="AM783" s="7"/>
      <c r="AN783" s="7"/>
      <c r="AO783" s="6"/>
      <c r="AP783" s="7"/>
      <c r="AQ783" s="7"/>
      <c r="AR783" s="6"/>
      <c r="AS783" s="7"/>
      <c r="AT783" s="7"/>
      <c r="AU783" s="7"/>
      <c r="AV783" s="7"/>
      <c r="AW783" s="7"/>
      <c r="AX783" s="7"/>
      <c r="AY783" s="7"/>
      <c r="AZ783" s="7"/>
      <c r="BA783" s="7"/>
      <c r="BB783" s="7"/>
      <c r="BC783" s="7"/>
      <c r="BD783" s="7"/>
      <c r="BE783" s="7"/>
      <c r="BF783" s="7"/>
      <c r="BG783" s="7"/>
    </row>
    <row r="784" customHeight="1" spans="1:59">
      <c r="A784" s="9" t="str">
        <f>IFERROR(__xludf.DUMMYFUNCTION("""COMPUTED_VALUE"""),"Wala 29")</f>
        <v>Wala 29</v>
      </c>
      <c r="B784" s="5" t="str">
        <f>IFERROR(__xludf.DUMMYFUNCTION("""COMPUTED_VALUE"""),"Wala 34")</f>
        <v>Wala 34</v>
      </c>
      <c r="C784" s="5" t="str">
        <f>IFERROR(__xludf.DUMMYFUNCTION("""COMPUTED_VALUE"""),"Wala 16")</f>
        <v>Wala 16</v>
      </c>
      <c r="D784" s="5" t="str">
        <f>IFERROR(__xludf.DUMMYFUNCTION("""COMPUTED_VALUE"""),"Sand Cave 42P")</f>
        <v>Sand Cave 42P</v>
      </c>
      <c r="E784" s="7" t="str">
        <f>IFERROR(__xludf.DUMMYFUNCTION("""COMPUTED_VALUE"""),"SCave 42P")</f>
        <v>SCave 42P</v>
      </c>
      <c r="F784" s="11">
        <f>IFERROR(__xludf.DUMMYFUNCTION("""COMPUTED_VALUE"""),99.3419145319998)</f>
        <v>99.3419145319998</v>
      </c>
      <c r="G784" s="11">
        <f>IFERROR(__xludf.DUMMYFUNCTION("""COMPUTED_VALUE"""),259.995649440999)</f>
        <v>259.995649440999</v>
      </c>
      <c r="H784" s="11">
        <f>IFERROR(__xludf.DUMMYFUNCTION("""COMPUTED_VALUE"""),51.610348591)</f>
        <v>51.610348591</v>
      </c>
      <c r="I784" s="15"/>
      <c r="J784" s="15"/>
      <c r="K784" s="15"/>
      <c r="L784" s="15"/>
      <c r="M784" s="7" t="b">
        <f>IFERROR(__xludf.DUMMYFUNCTION("""COMPUTED_VALUE"""),FALSE)</f>
        <v>0</v>
      </c>
      <c r="N784" s="10">
        <f>IFERROR(__xludf.DUMMYFUNCTION("""COMPUTED_VALUE"""),0)</f>
        <v>0</v>
      </c>
      <c r="O784" s="10">
        <f>IFERROR(__xludf.DUMMYFUNCTION("""COMPUTED_VALUE"""),0)</f>
        <v>0</v>
      </c>
      <c r="P784" s="8"/>
      <c r="Q784" s="7"/>
      <c r="R784" s="16"/>
      <c r="S784" s="17"/>
      <c r="T784" s="8"/>
      <c r="U784" s="8"/>
      <c r="V784" s="22"/>
      <c r="W784" s="12"/>
      <c r="X784" s="12"/>
      <c r="Y784" s="12"/>
      <c r="Z784" s="12"/>
      <c r="AA784" s="7"/>
      <c r="AB784" s="12"/>
      <c r="AC784" s="6"/>
      <c r="AD784" s="6"/>
      <c r="AE784" s="7"/>
      <c r="AF784" s="7"/>
      <c r="AG784" s="7"/>
      <c r="AH784" s="7"/>
      <c r="AI784" s="7"/>
      <c r="AJ784" s="7"/>
      <c r="AK784" s="7"/>
      <c r="AL784" s="7"/>
      <c r="AM784" s="7"/>
      <c r="AN784" s="7"/>
      <c r="AO784" s="6"/>
      <c r="AP784" s="7"/>
      <c r="AQ784" s="7"/>
      <c r="AR784" s="6"/>
      <c r="AS784" s="7"/>
      <c r="AT784" s="7"/>
      <c r="AU784" s="7"/>
      <c r="AV784" s="7"/>
      <c r="AW784" s="7"/>
      <c r="AX784" s="7"/>
      <c r="AY784" s="7"/>
      <c r="AZ784" s="7"/>
      <c r="BA784" s="7"/>
      <c r="BB784" s="7"/>
      <c r="BC784" s="7"/>
      <c r="BD784" s="7"/>
      <c r="BE784" s="7"/>
      <c r="BF784" s="7"/>
      <c r="BG784" s="7"/>
    </row>
    <row r="785" customHeight="1" spans="1:59">
      <c r="A785" s="9" t="str">
        <f>IFERROR(__xludf.DUMMYFUNCTION("""COMPUTED_VALUE"""),"Wala 26")</f>
        <v>Wala 26</v>
      </c>
      <c r="B785" s="5" t="str">
        <f>IFERROR(__xludf.DUMMYFUNCTION("""COMPUTED_VALUE"""),"Wala 31")</f>
        <v>Wala 31</v>
      </c>
      <c r="C785" s="5" t="str">
        <f>IFERROR(__xludf.DUMMYFUNCTION("""COMPUTED_VALUE"""),"Wala 19")</f>
        <v>Wala 19</v>
      </c>
      <c r="D785" s="23" t="str">
        <f>IFERROR(__xludf.DUMMYFUNCTION("""COMPUTED_VALUE"""),"Sand Cave 37L")</f>
        <v>Sand Cave 37L</v>
      </c>
      <c r="E785" s="7" t="str">
        <f>IFERROR(__xludf.DUMMYFUNCTION("""COMPUTED_VALUE"""),"SCave 37L")</f>
        <v>SCave 37L</v>
      </c>
      <c r="F785" s="11">
        <f>IFERROR(__xludf.DUMMYFUNCTION("""COMPUTED_VALUE"""),208.809538657)</f>
        <v>208.809538657</v>
      </c>
      <c r="G785" s="11">
        <f>IFERROR(__xludf.DUMMYFUNCTION("""COMPUTED_VALUE"""),185.675666514999)</f>
        <v>185.675666514999</v>
      </c>
      <c r="H785" s="11">
        <f>IFERROR(__xludf.DUMMYFUNCTION("""COMPUTED_VALUE"""),-47.3710333889999)</f>
        <v>-47.3710333889999</v>
      </c>
      <c r="I785" s="15"/>
      <c r="J785" s="15"/>
      <c r="K785" s="15"/>
      <c r="L785" s="15"/>
      <c r="M785" s="7" t="b">
        <f>IFERROR(__xludf.DUMMYFUNCTION("""COMPUTED_VALUE"""),FALSE)</f>
        <v>0</v>
      </c>
      <c r="N785" s="10">
        <f>IFERROR(__xludf.DUMMYFUNCTION("""COMPUTED_VALUE"""),0)</f>
        <v>0</v>
      </c>
      <c r="O785" s="10">
        <f>IFERROR(__xludf.DUMMYFUNCTION("""COMPUTED_VALUE"""),0)</f>
        <v>0</v>
      </c>
      <c r="P785" s="8"/>
      <c r="Q785" s="7"/>
      <c r="R785" s="16"/>
      <c r="S785" s="17"/>
      <c r="T785" s="8"/>
      <c r="U785" s="8"/>
      <c r="V785" s="22"/>
      <c r="W785" s="12"/>
      <c r="X785" s="12"/>
      <c r="Y785" s="12"/>
      <c r="Z785" s="12"/>
      <c r="AA785" s="7"/>
      <c r="AB785" s="12"/>
      <c r="AC785" s="6"/>
      <c r="AD785" s="6"/>
      <c r="AE785" s="7"/>
      <c r="AF785" s="7"/>
      <c r="AG785" s="7"/>
      <c r="AH785" s="7"/>
      <c r="AI785" s="7"/>
      <c r="AJ785" s="7"/>
      <c r="AK785" s="7"/>
      <c r="AL785" s="7"/>
      <c r="AM785" s="7"/>
      <c r="AN785" s="7"/>
      <c r="AO785" s="6"/>
      <c r="AP785" s="7"/>
      <c r="AQ785" s="7"/>
      <c r="AR785" s="6"/>
      <c r="AS785" s="7"/>
      <c r="AT785" s="7"/>
      <c r="AU785" s="7"/>
      <c r="AV785" s="7"/>
      <c r="AW785" s="7"/>
      <c r="AX785" s="7"/>
      <c r="AY785" s="7"/>
      <c r="AZ785" s="7"/>
      <c r="BA785" s="7"/>
      <c r="BB785" s="7"/>
      <c r="BC785" s="7"/>
      <c r="BD785" s="7"/>
      <c r="BE785" s="7"/>
      <c r="BF785" s="7"/>
      <c r="BG785" s="7"/>
    </row>
    <row r="786" customHeight="1" spans="1:59">
      <c r="A786" s="9" t="str">
        <f>IFERROR(__xludf.DUMMYFUNCTION("""COMPUTED_VALUE"""),"Wala 31")</f>
        <v>Wala 31</v>
      </c>
      <c r="B786" s="5" t="str">
        <f>IFERROR(__xludf.DUMMYFUNCTION("""COMPUTED_VALUE"""),"Wala 36")</f>
        <v>Wala 36</v>
      </c>
      <c r="C786" s="5" t="str">
        <f>IFERROR(__xludf.DUMMYFUNCTION("""COMPUTED_VALUE"""),"Wala 13")</f>
        <v>Wala 13</v>
      </c>
      <c r="D786" s="23" t="str">
        <f>IFERROR(__xludf.DUMMYFUNCTION("""COMPUTED_VALUE"""),"Sand Cave 43K")</f>
        <v>Sand Cave 43K</v>
      </c>
      <c r="E786" s="7" t="str">
        <f>IFERROR(__xludf.DUMMYFUNCTION("""COMPUTED_VALUE"""),"SCave 43K")</f>
        <v>SCave 43K</v>
      </c>
      <c r="F786" s="11">
        <f>IFERROR(__xludf.DUMMYFUNCTION("""COMPUTED_VALUE"""),63.7878897149999)</f>
        <v>63.7878897149999</v>
      </c>
      <c r="G786" s="11">
        <f>IFERROR(__xludf.DUMMYFUNCTION("""COMPUTED_VALUE"""),251.641255278)</f>
        <v>251.641255278</v>
      </c>
      <c r="H786" s="11">
        <f>IFERROR(__xludf.DUMMYFUNCTION("""COMPUTED_VALUE"""),-113.115833787)</f>
        <v>-113.115833787</v>
      </c>
      <c r="I786" s="15"/>
      <c r="J786" s="15"/>
      <c r="K786" s="15"/>
      <c r="L786" s="15"/>
      <c r="M786" s="7" t="b">
        <f>IFERROR(__xludf.DUMMYFUNCTION("""COMPUTED_VALUE"""),FALSE)</f>
        <v>0</v>
      </c>
      <c r="N786" s="10">
        <f>IFERROR(__xludf.DUMMYFUNCTION("""COMPUTED_VALUE"""),0)</f>
        <v>0</v>
      </c>
      <c r="O786" s="10">
        <f>IFERROR(__xludf.DUMMYFUNCTION("""COMPUTED_VALUE"""),0)</f>
        <v>0</v>
      </c>
      <c r="P786" s="8"/>
      <c r="Q786" s="7"/>
      <c r="R786" s="16"/>
      <c r="S786" s="17"/>
      <c r="T786" s="8"/>
      <c r="U786" s="8"/>
      <c r="V786" s="22"/>
      <c r="W786" s="12"/>
      <c r="X786" s="12"/>
      <c r="Y786" s="12"/>
      <c r="Z786" s="12"/>
      <c r="AA786" s="7"/>
      <c r="AB786" s="12"/>
      <c r="AC786" s="6"/>
      <c r="AD786" s="6"/>
      <c r="AE786" s="7"/>
      <c r="AF786" s="7"/>
      <c r="AG786" s="7"/>
      <c r="AH786" s="7"/>
      <c r="AI786" s="7"/>
      <c r="AJ786" s="7"/>
      <c r="AK786" s="7"/>
      <c r="AL786" s="7"/>
      <c r="AM786" s="7"/>
      <c r="AN786" s="7"/>
      <c r="AO786" s="6"/>
      <c r="AP786" s="7"/>
      <c r="AQ786" s="7"/>
      <c r="AR786" s="6"/>
      <c r="AS786" s="7"/>
      <c r="AT786" s="7"/>
      <c r="AU786" s="7"/>
      <c r="AV786" s="7"/>
      <c r="AW786" s="7"/>
      <c r="AX786" s="7"/>
      <c r="AY786" s="7"/>
      <c r="AZ786" s="7"/>
      <c r="BA786" s="7"/>
      <c r="BB786" s="7"/>
      <c r="BC786" s="7"/>
      <c r="BD786" s="7"/>
      <c r="BE786" s="7"/>
      <c r="BF786" s="7"/>
      <c r="BG786" s="7"/>
    </row>
    <row r="787" customHeight="1" spans="1:59">
      <c r="A787" s="9" t="str">
        <f>IFERROR(__xludf.DUMMYFUNCTION("""COMPUTED_VALUE"""),"Wala 32")</f>
        <v>Wala 32</v>
      </c>
      <c r="B787" s="5" t="str">
        <f>IFERROR(__xludf.DUMMYFUNCTION("""COMPUTED_VALUE"""),"Wala 37")</f>
        <v>Wala 37</v>
      </c>
      <c r="C787" s="5" t="str">
        <f>IFERROR(__xludf.DUMMYFUNCTION("""COMPUTED_VALUE"""),"Wala 09")</f>
        <v>Wala 09</v>
      </c>
      <c r="D787" s="5" t="str">
        <f>IFERROR(__xludf.DUMMYFUNCTION("""COMPUTED_VALUE"""),"Sand Cave 48L")</f>
        <v>Sand Cave 48L</v>
      </c>
      <c r="E787" s="7" t="str">
        <f>IFERROR(__xludf.DUMMYFUNCTION("""COMPUTED_VALUE"""),"SCave 48L")</f>
        <v>SCave 48L</v>
      </c>
      <c r="F787" s="11">
        <f>IFERROR(__xludf.DUMMYFUNCTION("""COMPUTED_VALUE"""),-61.961991905)</f>
        <v>-61.961991905</v>
      </c>
      <c r="G787" s="11">
        <f>IFERROR(__xludf.DUMMYFUNCTION("""COMPUTED_VALUE"""),273.111300006999)</f>
        <v>273.111300006999</v>
      </c>
      <c r="H787" s="11">
        <f>IFERROR(__xludf.DUMMYFUNCTION("""COMPUTED_VALUE"""),-41.8759401369999)</f>
        <v>-41.8759401369999</v>
      </c>
      <c r="I787" s="15"/>
      <c r="J787" s="15"/>
      <c r="K787" s="15"/>
      <c r="L787" s="15"/>
      <c r="M787" s="7" t="b">
        <f>IFERROR(__xludf.DUMMYFUNCTION("""COMPUTED_VALUE"""),FALSE)</f>
        <v>0</v>
      </c>
      <c r="N787" s="10">
        <f>IFERROR(__xludf.DUMMYFUNCTION("""COMPUTED_VALUE"""),0)</f>
        <v>0</v>
      </c>
      <c r="O787" s="10">
        <f>IFERROR(__xludf.DUMMYFUNCTION("""COMPUTED_VALUE"""),0)</f>
        <v>0</v>
      </c>
      <c r="P787" s="8"/>
      <c r="Q787" s="7"/>
      <c r="R787" s="16"/>
      <c r="S787" s="17"/>
      <c r="T787" s="8"/>
      <c r="U787" s="8"/>
      <c r="V787" s="22"/>
      <c r="W787" s="12"/>
      <c r="X787" s="12"/>
      <c r="Y787" s="12"/>
      <c r="Z787" s="12"/>
      <c r="AA787" s="7"/>
      <c r="AB787" s="12"/>
      <c r="AC787" s="6"/>
      <c r="AD787" s="6"/>
      <c r="AE787" s="7"/>
      <c r="AF787" s="7"/>
      <c r="AG787" s="7"/>
      <c r="AH787" s="7"/>
      <c r="AI787" s="7"/>
      <c r="AJ787" s="7"/>
      <c r="AK787" s="7"/>
      <c r="AL787" s="7"/>
      <c r="AM787" s="7"/>
      <c r="AN787" s="7"/>
      <c r="AO787" s="6"/>
      <c r="AP787" s="7"/>
      <c r="AQ787" s="7"/>
      <c r="AR787" s="6"/>
      <c r="AS787" s="7"/>
      <c r="AT787" s="7"/>
      <c r="AU787" s="7"/>
      <c r="AV787" s="7"/>
      <c r="AW787" s="7"/>
      <c r="AX787" s="7"/>
      <c r="AY787" s="7"/>
      <c r="AZ787" s="7"/>
      <c r="BA787" s="7"/>
      <c r="BB787" s="7"/>
      <c r="BC787" s="7"/>
      <c r="BD787" s="7"/>
      <c r="BE787" s="7"/>
      <c r="BF787" s="7"/>
      <c r="BG787" s="7"/>
    </row>
    <row r="788" customHeight="1" spans="1:59">
      <c r="A788" s="9" t="str">
        <f>IFERROR(__xludf.DUMMYFUNCTION("""COMPUTED_VALUE"""),"Wala 33")</f>
        <v>Wala 33</v>
      </c>
      <c r="B788" s="5" t="str">
        <f>IFERROR(__xludf.DUMMYFUNCTION("""COMPUTED_VALUE"""),"Wala 38")</f>
        <v>Wala 38</v>
      </c>
      <c r="C788" s="5" t="str">
        <f>IFERROR(__xludf.DUMMYFUNCTION("""COMPUTED_VALUE"""),"Wala 07")</f>
        <v>Wala 07</v>
      </c>
      <c r="D788" s="5" t="str">
        <f>IFERROR(__xludf.DUMMYFUNCTION("""COMPUTED_VALUE"""),"Sand Cave 54K")</f>
        <v>Sand Cave 54K</v>
      </c>
      <c r="E788" s="7" t="str">
        <f>IFERROR(__xludf.DUMMYFUNCTION("""COMPUTED_VALUE"""),"SCave 54K")</f>
        <v>SCave 54K</v>
      </c>
      <c r="F788" s="11">
        <f>IFERROR(__xludf.DUMMYFUNCTION("""COMPUTED_VALUE"""),-193.863458707)</f>
        <v>-193.863458707</v>
      </c>
      <c r="G788" s="11">
        <f>IFERROR(__xludf.DUMMYFUNCTION("""COMPUTED_VALUE"""),171.549633154999)</f>
        <v>171.549633154999</v>
      </c>
      <c r="H788" s="11">
        <f>IFERROR(__xludf.DUMMYFUNCTION("""COMPUTED_VALUE"""),-114.353478816)</f>
        <v>-114.353478816</v>
      </c>
      <c r="I788" s="15"/>
      <c r="J788" s="15"/>
      <c r="K788" s="15"/>
      <c r="L788" s="15"/>
      <c r="M788" s="7" t="b">
        <f>IFERROR(__xludf.DUMMYFUNCTION("""COMPUTED_VALUE"""),FALSE)</f>
        <v>0</v>
      </c>
      <c r="N788" s="10">
        <f>IFERROR(__xludf.DUMMYFUNCTION("""COMPUTED_VALUE"""),0)</f>
        <v>0</v>
      </c>
      <c r="O788" s="10">
        <f>IFERROR(__xludf.DUMMYFUNCTION("""COMPUTED_VALUE"""),0)</f>
        <v>0</v>
      </c>
      <c r="P788" s="8"/>
      <c r="Q788" s="7"/>
      <c r="R788" s="16"/>
      <c r="S788" s="17"/>
      <c r="T788" s="8"/>
      <c r="U788" s="8"/>
      <c r="V788" s="22"/>
      <c r="W788" s="12"/>
      <c r="X788" s="12"/>
      <c r="Y788" s="12"/>
      <c r="Z788" s="12"/>
      <c r="AA788" s="7"/>
      <c r="AB788" s="12"/>
      <c r="AC788" s="6"/>
      <c r="AD788" s="6"/>
      <c r="AE788" s="7"/>
      <c r="AF788" s="7"/>
      <c r="AG788" s="7"/>
      <c r="AH788" s="7"/>
      <c r="AI788" s="7"/>
      <c r="AJ788" s="7"/>
      <c r="AK788" s="7"/>
      <c r="AL788" s="7"/>
      <c r="AM788" s="7"/>
      <c r="AN788" s="7"/>
      <c r="AO788" s="6"/>
      <c r="AP788" s="7"/>
      <c r="AQ788" s="7"/>
      <c r="AR788" s="6"/>
      <c r="AS788" s="7"/>
      <c r="AT788" s="7"/>
      <c r="AU788" s="7"/>
      <c r="AV788" s="7"/>
      <c r="AW788" s="7"/>
      <c r="AX788" s="7"/>
      <c r="AY788" s="7"/>
      <c r="AZ788" s="7"/>
      <c r="BA788" s="7"/>
      <c r="BB788" s="7"/>
      <c r="BC788" s="7"/>
      <c r="BD788" s="7"/>
      <c r="BE788" s="7"/>
      <c r="BF788" s="7"/>
      <c r="BG788" s="7"/>
    </row>
    <row r="789" customHeight="1" spans="1:59">
      <c r="A789" s="9" t="str">
        <f>IFERROR(__xludf.DUMMYFUNCTION("""COMPUTED_VALUE"""),"Wala 15")</f>
        <v>Wala 15</v>
      </c>
      <c r="B789" s="5" t="str">
        <f>IFERROR(__xludf.DUMMYFUNCTION("""COMPUTED_VALUE"""),"Wala 20")</f>
        <v>Wala 20</v>
      </c>
      <c r="C789" s="5" t="str">
        <f>IFERROR(__xludf.DUMMYFUNCTION("""COMPUTED_VALUE"""),"Wala 39")</f>
        <v>Wala 39</v>
      </c>
      <c r="D789" s="5" t="str">
        <f>IFERROR(__xludf.DUMMYFUNCTION("""COMPUTED_VALUE"""),"Sand Cave 02J")</f>
        <v>Sand Cave 02J</v>
      </c>
      <c r="E789" s="7" t="str">
        <f>IFERROR(__xludf.DUMMYFUNCTION("""COMPUTED_VALUE"""),"SCave 02J")</f>
        <v>SCave 02J</v>
      </c>
      <c r="F789" s="11">
        <f>IFERROR(__xludf.DUMMYFUNCTION("""COMPUTED_VALUE"""),-243.927328767)</f>
        <v>-243.927328767</v>
      </c>
      <c r="G789" s="11">
        <f>IFERROR(__xludf.DUMMYFUNCTION("""COMPUTED_VALUE"""),-39.222250328)</f>
        <v>-39.222250328</v>
      </c>
      <c r="H789" s="11">
        <f>IFERROR(__xludf.DUMMYFUNCTION("""COMPUTED_VALUE"""),-138.548881571)</f>
        <v>-138.548881571</v>
      </c>
      <c r="I789" s="15"/>
      <c r="J789" s="15"/>
      <c r="K789" s="15"/>
      <c r="L789" s="15"/>
      <c r="M789" s="7" t="b">
        <f>IFERROR(__xludf.DUMMYFUNCTION("""COMPUTED_VALUE"""),FALSE)</f>
        <v>0</v>
      </c>
      <c r="N789" s="10">
        <f>IFERROR(__xludf.DUMMYFUNCTION("""COMPUTED_VALUE"""),0)</f>
        <v>0</v>
      </c>
      <c r="O789" s="10">
        <f>IFERROR(__xludf.DUMMYFUNCTION("""COMPUTED_VALUE"""),0)</f>
        <v>0</v>
      </c>
      <c r="P789" s="8"/>
      <c r="Q789" s="7"/>
      <c r="R789" s="16"/>
      <c r="S789" s="17"/>
      <c r="T789" s="8"/>
      <c r="U789" s="8"/>
      <c r="V789" s="22"/>
      <c r="W789" s="12"/>
      <c r="X789" s="12"/>
      <c r="Y789" s="12"/>
      <c r="Z789" s="12"/>
      <c r="AA789" s="7"/>
      <c r="AB789" s="12"/>
      <c r="AC789" s="6"/>
      <c r="AD789" s="6"/>
      <c r="AE789" s="7"/>
      <c r="AF789" s="7"/>
      <c r="AG789" s="7"/>
      <c r="AH789" s="7"/>
      <c r="AI789" s="7"/>
      <c r="AJ789" s="7"/>
      <c r="AK789" s="7"/>
      <c r="AL789" s="7"/>
      <c r="AM789" s="7"/>
      <c r="AN789" s="7"/>
      <c r="AO789" s="6"/>
      <c r="AP789" s="7"/>
      <c r="AQ789" s="7"/>
      <c r="AR789" s="6"/>
      <c r="AS789" s="7"/>
      <c r="AT789" s="7"/>
      <c r="AU789" s="7"/>
      <c r="AV789" s="7"/>
      <c r="AW789" s="7"/>
      <c r="AX789" s="7"/>
      <c r="AY789" s="7"/>
      <c r="AZ789" s="7"/>
      <c r="BA789" s="7"/>
      <c r="BB789" s="7"/>
      <c r="BC789" s="7"/>
      <c r="BD789" s="7"/>
      <c r="BE789" s="7"/>
      <c r="BF789" s="7"/>
      <c r="BG789" s="7"/>
    </row>
    <row r="790" customHeight="1" spans="1:59">
      <c r="A790" s="9" t="str">
        <f>IFERROR(__xludf.DUMMYFUNCTION("""COMPUTED_VALUE"""),"Wala 16")</f>
        <v>Wala 16</v>
      </c>
      <c r="B790" s="5" t="str">
        <f>IFERROR(__xludf.DUMMYFUNCTION("""COMPUTED_VALUE"""),"Wala 21")</f>
        <v>Wala 21</v>
      </c>
      <c r="C790" s="5" t="str">
        <f>IFERROR(__xludf.DUMMYFUNCTION("""COMPUTED_VALUE"""),"Wala 38")</f>
        <v>Wala 38</v>
      </c>
      <c r="D790" s="5" t="str">
        <f>IFERROR(__xludf.DUMMYFUNCTION("""COMPUTED_VALUE"""),"Sand Cave 07K")</f>
        <v>Sand Cave 07K</v>
      </c>
      <c r="E790" s="7" t="str">
        <f>IFERROR(__xludf.DUMMYFUNCTION("""COMPUTED_VALUE"""),"SCave 07K")</f>
        <v>SCave 07K</v>
      </c>
      <c r="F790" s="11">
        <f>IFERROR(__xludf.DUMMYFUNCTION("""COMPUTED_VALUE"""),-197.960446243)</f>
        <v>-197.960446243</v>
      </c>
      <c r="G790" s="11">
        <f>IFERROR(__xludf.DUMMYFUNCTION("""COMPUTED_VALUE"""),-167.735679001)</f>
        <v>-167.735679001</v>
      </c>
      <c r="H790" s="11">
        <f>IFERROR(__xludf.DUMMYFUNCTION("""COMPUTED_VALUE"""),-112.535451358999)</f>
        <v>-112.535451358999</v>
      </c>
      <c r="I790" s="15"/>
      <c r="J790" s="15"/>
      <c r="K790" s="15"/>
      <c r="L790" s="15"/>
      <c r="M790" s="7" t="b">
        <f>IFERROR(__xludf.DUMMYFUNCTION("""COMPUTED_VALUE"""),FALSE)</f>
        <v>0</v>
      </c>
      <c r="N790" s="10">
        <f>IFERROR(__xludf.DUMMYFUNCTION("""COMPUTED_VALUE"""),0)</f>
        <v>0</v>
      </c>
      <c r="O790" s="10">
        <f>IFERROR(__xludf.DUMMYFUNCTION("""COMPUTED_VALUE"""),0)</f>
        <v>0</v>
      </c>
      <c r="P790" s="8"/>
      <c r="Q790" s="7"/>
      <c r="R790" s="16"/>
      <c r="S790" s="17"/>
      <c r="T790" s="8"/>
      <c r="U790" s="8"/>
      <c r="V790" s="22"/>
      <c r="W790" s="12"/>
      <c r="X790" s="12"/>
      <c r="Y790" s="12"/>
      <c r="Z790" s="12"/>
      <c r="AA790" s="7"/>
      <c r="AB790" s="12"/>
      <c r="AC790" s="6"/>
      <c r="AD790" s="6"/>
      <c r="AE790" s="7"/>
      <c r="AF790" s="7"/>
      <c r="AG790" s="7"/>
      <c r="AH790" s="7"/>
      <c r="AI790" s="7"/>
      <c r="AJ790" s="7"/>
      <c r="AK790" s="7"/>
      <c r="AL790" s="7"/>
      <c r="AM790" s="7"/>
      <c r="AN790" s="7"/>
      <c r="AO790" s="6"/>
      <c r="AP790" s="7"/>
      <c r="AQ790" s="7"/>
      <c r="AR790" s="6"/>
      <c r="AS790" s="7"/>
      <c r="AT790" s="7"/>
      <c r="AU790" s="7"/>
      <c r="AV790" s="7"/>
      <c r="AW790" s="7"/>
      <c r="AX790" s="7"/>
      <c r="AY790" s="7"/>
      <c r="AZ790" s="7"/>
      <c r="BA790" s="7"/>
      <c r="BB790" s="7"/>
      <c r="BC790" s="7"/>
      <c r="BD790" s="7"/>
      <c r="BE790" s="7"/>
      <c r="BF790" s="7"/>
      <c r="BG790" s="7"/>
    </row>
    <row r="791" customHeight="1" spans="1:59">
      <c r="A791" s="9" t="str">
        <f>IFERROR(__xludf.DUMMYFUNCTION("""COMPUTED_VALUE"""),"Wala 18")</f>
        <v>Wala 18</v>
      </c>
      <c r="B791" s="5" t="str">
        <f>IFERROR(__xludf.DUMMYFUNCTION("""COMPUTED_VALUE"""),"Wala 23")</f>
        <v>Wala 23</v>
      </c>
      <c r="C791" s="5" t="str">
        <f>IFERROR(__xludf.DUMMYFUNCTION("""COMPUTED_VALUE"""),"Wala 36")</f>
        <v>Wala 36</v>
      </c>
      <c r="D791" s="5" t="str">
        <f>IFERROR(__xludf.DUMMYFUNCTION("""COMPUTED_VALUE"""),"Sand Cave 10H")</f>
        <v>Sand Cave 10H</v>
      </c>
      <c r="E791" s="7" t="str">
        <f>IFERROR(__xludf.DUMMYFUNCTION("""COMPUTED_VALUE"""),"SCave 10H")</f>
        <v>SCave 10H</v>
      </c>
      <c r="F791" s="11">
        <f>IFERROR(__xludf.DUMMYFUNCTION("""COMPUTED_VALUE"""),-112.33546793)</f>
        <v>-112.33546793</v>
      </c>
      <c r="G791" s="11">
        <f>IFERROR(__xludf.DUMMYFUNCTION("""COMPUTED_VALUE"""),-187.198900564999)</f>
        <v>-187.198900564999</v>
      </c>
      <c r="H791" s="11">
        <f>IFERROR(__xludf.DUMMYFUNCTION("""COMPUTED_VALUE"""),-179.170695882)</f>
        <v>-179.170695882</v>
      </c>
      <c r="I791" s="15"/>
      <c r="J791" s="15"/>
      <c r="K791" s="15"/>
      <c r="L791" s="15"/>
      <c r="M791" s="7" t="b">
        <f>IFERROR(__xludf.DUMMYFUNCTION("""COMPUTED_VALUE"""),FALSE)</f>
        <v>0</v>
      </c>
      <c r="N791" s="10">
        <f>IFERROR(__xludf.DUMMYFUNCTION("""COMPUTED_VALUE"""),0)</f>
        <v>0</v>
      </c>
      <c r="O791" s="10">
        <f>IFERROR(__xludf.DUMMYFUNCTION("""COMPUTED_VALUE"""),0)</f>
        <v>0</v>
      </c>
      <c r="P791" s="8"/>
      <c r="Q791" s="7"/>
      <c r="R791" s="16"/>
      <c r="S791" s="17"/>
      <c r="T791" s="8"/>
      <c r="U791" s="8"/>
      <c r="V791" s="22"/>
      <c r="W791" s="12"/>
      <c r="X791" s="12"/>
      <c r="Y791" s="12"/>
      <c r="Z791" s="12"/>
      <c r="AA791" s="7"/>
      <c r="AB791" s="12"/>
      <c r="AC791" s="6"/>
      <c r="AD791" s="6"/>
      <c r="AE791" s="7"/>
      <c r="AF791" s="7"/>
      <c r="AG791" s="7"/>
      <c r="AH791" s="7"/>
      <c r="AI791" s="7"/>
      <c r="AJ791" s="7"/>
      <c r="AK791" s="7"/>
      <c r="AL791" s="7"/>
      <c r="AM791" s="7"/>
      <c r="AN791" s="7"/>
      <c r="AO791" s="6"/>
      <c r="AP791" s="7"/>
      <c r="AQ791" s="7"/>
      <c r="AR791" s="6"/>
      <c r="AS791" s="7"/>
      <c r="AT791" s="7"/>
      <c r="AU791" s="7"/>
      <c r="AV791" s="7"/>
      <c r="AW791" s="7"/>
      <c r="AX791" s="7"/>
      <c r="AY791" s="7"/>
      <c r="AZ791" s="7"/>
      <c r="BA791" s="7"/>
      <c r="BB791" s="7"/>
      <c r="BC791" s="7"/>
      <c r="BD791" s="7"/>
      <c r="BE791" s="7"/>
      <c r="BF791" s="7"/>
      <c r="BG791" s="7"/>
    </row>
    <row r="792" customHeight="1" spans="1:59">
      <c r="A792" s="9" t="str">
        <f>IFERROR(__xludf.DUMMYFUNCTION("""COMPUTED_VALUE"""),"Wala 17")</f>
        <v>Wala 17</v>
      </c>
      <c r="B792" s="5" t="str">
        <f>IFERROR(__xludf.DUMMYFUNCTION("""COMPUTED_VALUE"""),"Wala 22")</f>
        <v>Wala 22</v>
      </c>
      <c r="C792" s="5" t="str">
        <f>IFERROR(__xludf.DUMMYFUNCTION("""COMPUTED_VALUE"""),"Wala 37")</f>
        <v>Wala 37</v>
      </c>
      <c r="D792" s="5" t="str">
        <f>IFERROR(__xludf.DUMMYFUNCTION("""COMPUTED_VALUE"""),"Sand Cave 09Q")</f>
        <v>Sand Cave 09Q</v>
      </c>
      <c r="E792" s="7" t="str">
        <f>IFERROR(__xludf.DUMMYFUNCTION("""COMPUTED_VALUE"""),"SCave 09Q")</f>
        <v>SCave 09Q</v>
      </c>
      <c r="F792" s="11">
        <f>IFERROR(__xludf.DUMMYFUNCTION("""COMPUTED_VALUE"""),-164.398705934)</f>
        <v>-164.398705934</v>
      </c>
      <c r="G792" s="11">
        <f>IFERROR(__xludf.DUMMYFUNCTION("""COMPUTED_VALUE"""),-209.749606369999)</f>
        <v>-209.749606369999</v>
      </c>
      <c r="H792" s="11">
        <f>IFERROR(__xludf.DUMMYFUNCTION("""COMPUTED_VALUE"""),95.807149114)</f>
        <v>95.807149114</v>
      </c>
      <c r="I792" s="15"/>
      <c r="J792" s="15"/>
      <c r="K792" s="15"/>
      <c r="L792" s="15"/>
      <c r="M792" s="7" t="b">
        <f>IFERROR(__xludf.DUMMYFUNCTION("""COMPUTED_VALUE"""),FALSE)</f>
        <v>0</v>
      </c>
      <c r="N792" s="10">
        <f>IFERROR(__xludf.DUMMYFUNCTION("""COMPUTED_VALUE"""),0)</f>
        <v>0</v>
      </c>
      <c r="O792" s="10">
        <f>IFERROR(__xludf.DUMMYFUNCTION("""COMPUTED_VALUE"""),0)</f>
        <v>0</v>
      </c>
      <c r="P792" s="8"/>
      <c r="Q792" s="7"/>
      <c r="R792" s="16"/>
      <c r="S792" s="17"/>
      <c r="T792" s="8"/>
      <c r="U792" s="8"/>
      <c r="V792" s="22"/>
      <c r="W792" s="12"/>
      <c r="X792" s="12"/>
      <c r="Y792" s="12"/>
      <c r="Z792" s="12"/>
      <c r="AA792" s="7"/>
      <c r="AB792" s="12"/>
      <c r="AC792" s="6"/>
      <c r="AD792" s="6"/>
      <c r="AE792" s="7"/>
      <c r="AF792" s="7"/>
      <c r="AG792" s="7"/>
      <c r="AH792" s="7"/>
      <c r="AI792" s="7"/>
      <c r="AJ792" s="7"/>
      <c r="AK792" s="7"/>
      <c r="AL792" s="7"/>
      <c r="AM792" s="7"/>
      <c r="AN792" s="7"/>
      <c r="AO792" s="6"/>
      <c r="AP792" s="7"/>
      <c r="AQ792" s="7"/>
      <c r="AR792" s="6"/>
      <c r="AS792" s="7"/>
      <c r="AT792" s="7"/>
      <c r="AU792" s="7"/>
      <c r="AV792" s="7"/>
      <c r="AW792" s="7"/>
      <c r="AX792" s="7"/>
      <c r="AY792" s="7"/>
      <c r="AZ792" s="7"/>
      <c r="BA792" s="7"/>
      <c r="BB792" s="7"/>
      <c r="BC792" s="7"/>
      <c r="BD792" s="7"/>
      <c r="BE792" s="7"/>
      <c r="BF792" s="7"/>
      <c r="BG792" s="7"/>
    </row>
    <row r="793" customHeight="1" spans="1:59">
      <c r="A793" s="9" t="str">
        <f>IFERROR(__xludf.DUMMYFUNCTION("""COMPUTED_VALUE"""),"Wala 20")</f>
        <v>Wala 20</v>
      </c>
      <c r="B793" s="5" t="str">
        <f>IFERROR(__xludf.DUMMYFUNCTION("""COMPUTED_VALUE"""),"Wala 25")</f>
        <v>Wala 25</v>
      </c>
      <c r="C793" s="5" t="str">
        <f>IFERROR(__xludf.DUMMYFUNCTION("""COMPUTED_VALUE"""),"Wala 31")</f>
        <v>Wala 31</v>
      </c>
      <c r="D793" s="5" t="str">
        <f>IFERROR(__xludf.DUMMYFUNCTION("""COMPUTED_VALUE"""),"Sand Cave 20S")</f>
        <v>Sand Cave 20S</v>
      </c>
      <c r="E793" s="7" t="str">
        <f>IFERROR(__xludf.DUMMYFUNCTION("""COMPUTED_VALUE"""),"SCave 20S")</f>
        <v>SCave 20S</v>
      </c>
      <c r="F793" s="11">
        <f>IFERROR(__xludf.DUMMYFUNCTION("""COMPUTED_VALUE"""),96.673689782)</f>
        <v>96.673689782</v>
      </c>
      <c r="G793" s="11">
        <f>IFERROR(__xludf.DUMMYFUNCTION("""COMPUTED_VALUE"""),-204.496152153)</f>
        <v>-204.496152153</v>
      </c>
      <c r="H793" s="11">
        <f>IFERROR(__xludf.DUMMYFUNCTION("""COMPUTED_VALUE"""),170.427341833)</f>
        <v>170.427341833</v>
      </c>
      <c r="I793" s="15"/>
      <c r="J793" s="15"/>
      <c r="K793" s="15"/>
      <c r="L793" s="15"/>
      <c r="M793" s="7" t="b">
        <f>IFERROR(__xludf.DUMMYFUNCTION("""COMPUTED_VALUE"""),FALSE)</f>
        <v>0</v>
      </c>
      <c r="N793" s="10">
        <f>IFERROR(__xludf.DUMMYFUNCTION("""COMPUTED_VALUE"""),0)</f>
        <v>0</v>
      </c>
      <c r="O793" s="10">
        <f>IFERROR(__xludf.DUMMYFUNCTION("""COMPUTED_VALUE"""),0)</f>
        <v>0</v>
      </c>
      <c r="P793" s="8"/>
      <c r="Q793" s="7"/>
      <c r="R793" s="16"/>
      <c r="S793" s="17"/>
      <c r="T793" s="8"/>
      <c r="U793" s="8"/>
      <c r="V793" s="22"/>
      <c r="W793" s="12"/>
      <c r="X793" s="12"/>
      <c r="Y793" s="12"/>
      <c r="Z793" s="12"/>
      <c r="AA793" s="7"/>
      <c r="AB793" s="12"/>
      <c r="AC793" s="6"/>
      <c r="AD793" s="6"/>
      <c r="AE793" s="7"/>
      <c r="AF793" s="7"/>
      <c r="AG793" s="7"/>
      <c r="AH793" s="7"/>
      <c r="AI793" s="7"/>
      <c r="AJ793" s="7"/>
      <c r="AK793" s="7"/>
      <c r="AL793" s="7"/>
      <c r="AM793" s="7"/>
      <c r="AN793" s="7"/>
      <c r="AO793" s="6"/>
      <c r="AP793" s="7"/>
      <c r="AQ793" s="7"/>
      <c r="AR793" s="6"/>
      <c r="AS793" s="7"/>
      <c r="AT793" s="7"/>
      <c r="AU793" s="7"/>
      <c r="AV793" s="7"/>
      <c r="AW793" s="7"/>
      <c r="AX793" s="7"/>
      <c r="AY793" s="7"/>
      <c r="AZ793" s="7"/>
      <c r="BA793" s="7"/>
      <c r="BB793" s="7"/>
      <c r="BC793" s="7"/>
      <c r="BD793" s="7"/>
      <c r="BE793" s="7"/>
      <c r="BF793" s="7"/>
      <c r="BG793" s="7"/>
    </row>
    <row r="794" customHeight="1" spans="1:59">
      <c r="A794" s="9" t="str">
        <f>IFERROR(__xludf.DUMMYFUNCTION("""COMPUTED_VALUE"""),"Wala 23")</f>
        <v>Wala 23</v>
      </c>
      <c r="B794" s="5" t="str">
        <f>IFERROR(__xludf.DUMMYFUNCTION("""COMPUTED_VALUE"""),"Wala 28")</f>
        <v>Wala 28</v>
      </c>
      <c r="C794" s="5" t="str">
        <f>IFERROR(__xludf.DUMMYFUNCTION("""COMPUTED_VALUE"""),"Wala 23")</f>
        <v>Wala 23</v>
      </c>
      <c r="D794" s="5" t="str">
        <f>IFERROR(__xludf.DUMMYFUNCTION("""COMPUTED_VALUE"""),"Sand Cave 32L")</f>
        <v>Sand Cave 32L</v>
      </c>
      <c r="E794" s="7" t="str">
        <f>IFERROR(__xludf.DUMMYFUNCTION("""COMPUTED_VALUE"""),"SCave 32L")</f>
        <v>SCave 32L</v>
      </c>
      <c r="F794" s="11">
        <f>IFERROR(__xludf.DUMMYFUNCTION("""COMPUTED_VALUE"""),274.945766813999)</f>
        <v>274.945766813999</v>
      </c>
      <c r="G794" s="11">
        <f>IFERROR(__xludf.DUMMYFUNCTION("""COMPUTED_VALUE"""),31.540046628)</f>
        <v>31.540046628</v>
      </c>
      <c r="H794" s="11">
        <f>IFERROR(__xludf.DUMMYFUNCTION("""COMPUTED_VALUE"""),-58.601162827)</f>
        <v>-58.601162827</v>
      </c>
      <c r="I794" s="15"/>
      <c r="J794" s="15"/>
      <c r="K794" s="15"/>
      <c r="L794" s="15"/>
      <c r="M794" s="7" t="b">
        <f>IFERROR(__xludf.DUMMYFUNCTION("""COMPUTED_VALUE"""),FALSE)</f>
        <v>0</v>
      </c>
      <c r="N794" s="10">
        <f>IFERROR(__xludf.DUMMYFUNCTION("""COMPUTED_VALUE"""),0)</f>
        <v>0</v>
      </c>
      <c r="O794" s="10">
        <f>IFERROR(__xludf.DUMMYFUNCTION("""COMPUTED_VALUE"""),0)</f>
        <v>0</v>
      </c>
      <c r="P794" s="8"/>
      <c r="Q794" s="7"/>
      <c r="R794" s="16"/>
      <c r="S794" s="17"/>
      <c r="T794" s="8"/>
      <c r="U794" s="8"/>
      <c r="V794" s="22"/>
      <c r="W794" s="12"/>
      <c r="X794" s="12"/>
      <c r="Y794" s="12"/>
      <c r="Z794" s="12"/>
      <c r="AA794" s="7"/>
      <c r="AB794" s="12"/>
      <c r="AC794" s="6"/>
      <c r="AD794" s="6"/>
      <c r="AE794" s="7"/>
      <c r="AF794" s="7"/>
      <c r="AG794" s="7"/>
      <c r="AH794" s="7"/>
      <c r="AI794" s="7"/>
      <c r="AJ794" s="7"/>
      <c r="AK794" s="7"/>
      <c r="AL794" s="7"/>
      <c r="AM794" s="7"/>
      <c r="AN794" s="7"/>
      <c r="AO794" s="6"/>
      <c r="AP794" s="7"/>
      <c r="AQ794" s="7"/>
      <c r="AR794" s="6"/>
      <c r="AS794" s="7"/>
      <c r="AT794" s="7"/>
      <c r="AU794" s="7"/>
      <c r="AV794" s="7"/>
      <c r="AW794" s="7"/>
      <c r="AX794" s="7"/>
      <c r="AY794" s="7"/>
      <c r="AZ794" s="7"/>
      <c r="BA794" s="7"/>
      <c r="BB794" s="7"/>
      <c r="BC794" s="7"/>
      <c r="BD794" s="7"/>
      <c r="BE794" s="7"/>
      <c r="BF794" s="7"/>
      <c r="BG794" s="7"/>
    </row>
    <row r="795" customHeight="1" spans="1:59">
      <c r="A795" s="9" t="str">
        <f>IFERROR(__xludf.DUMMYFUNCTION("""COMPUTED_VALUE"""),"Wala 25")</f>
        <v>Wala 25</v>
      </c>
      <c r="B795" s="5" t="str">
        <f>IFERROR(__xludf.DUMMYFUNCTION("""COMPUTED_VALUE"""),"Wala 30")</f>
        <v>Wala 30</v>
      </c>
      <c r="C795" s="5" t="str">
        <f>IFERROR(__xludf.DUMMYFUNCTION("""COMPUTED_VALUE"""),"Wala 20")</f>
        <v>Wala 20</v>
      </c>
      <c r="D795" s="5" t="str">
        <f>IFERROR(__xludf.DUMMYFUNCTION("""COMPUTED_VALUE"""),"Sand Cave 34M")</f>
        <v>Sand Cave 34M</v>
      </c>
      <c r="E795" s="7" t="str">
        <f>IFERROR(__xludf.DUMMYFUNCTION("""COMPUTED_VALUE"""),"SCave 34M")</f>
        <v>SCave 34M</v>
      </c>
      <c r="F795" s="11">
        <f>IFERROR(__xludf.DUMMYFUNCTION("""COMPUTED_VALUE"""),266.763589454)</f>
        <v>266.763589454</v>
      </c>
      <c r="G795" s="11">
        <f>IFERROR(__xludf.DUMMYFUNCTION("""COMPUTED_VALUE"""),91.924458578)</f>
        <v>91.924458578</v>
      </c>
      <c r="H795" s="11">
        <f>IFERROR(__xludf.DUMMYFUNCTION("""COMPUTED_VALUE"""),-0.785379785999998)</f>
        <v>-0.785379785999998</v>
      </c>
      <c r="I795" s="15"/>
      <c r="J795" s="15"/>
      <c r="K795" s="15"/>
      <c r="L795" s="15"/>
      <c r="M795" s="7" t="b">
        <f>IFERROR(__xludf.DUMMYFUNCTION("""COMPUTED_VALUE"""),FALSE)</f>
        <v>0</v>
      </c>
      <c r="N795" s="10">
        <f>IFERROR(__xludf.DUMMYFUNCTION("""COMPUTED_VALUE"""),0)</f>
        <v>0</v>
      </c>
      <c r="O795" s="10">
        <f>IFERROR(__xludf.DUMMYFUNCTION("""COMPUTED_VALUE"""),0)</f>
        <v>0</v>
      </c>
      <c r="P795" s="8"/>
      <c r="Q795" s="7"/>
      <c r="R795" s="16"/>
      <c r="S795" s="17"/>
      <c r="T795" s="8"/>
      <c r="U795" s="8"/>
      <c r="V795" s="22"/>
      <c r="W795" s="12"/>
      <c r="X795" s="12"/>
      <c r="Y795" s="12"/>
      <c r="Z795" s="12"/>
      <c r="AA795" s="7"/>
      <c r="AB795" s="12"/>
      <c r="AC795" s="6"/>
      <c r="AD795" s="6"/>
      <c r="AE795" s="7"/>
      <c r="AF795" s="7"/>
      <c r="AG795" s="7"/>
      <c r="AH795" s="7"/>
      <c r="AI795" s="7"/>
      <c r="AJ795" s="7"/>
      <c r="AK795" s="7"/>
      <c r="AL795" s="7"/>
      <c r="AM795" s="7"/>
      <c r="AN795" s="7"/>
      <c r="AO795" s="6"/>
      <c r="AP795" s="7"/>
      <c r="AQ795" s="7"/>
      <c r="AR795" s="6"/>
      <c r="AS795" s="7"/>
      <c r="AT795" s="7"/>
      <c r="AU795" s="7"/>
      <c r="AV795" s="7"/>
      <c r="AW795" s="7"/>
      <c r="AX795" s="7"/>
      <c r="AY795" s="7"/>
      <c r="AZ795" s="7"/>
      <c r="BA795" s="7"/>
      <c r="BB795" s="7"/>
      <c r="BC795" s="7"/>
      <c r="BD795" s="7"/>
      <c r="BE795" s="7"/>
      <c r="BF795" s="7"/>
      <c r="BG795" s="7"/>
    </row>
    <row r="796" customHeight="1" spans="1:59">
      <c r="A796" s="9" t="str">
        <f>IFERROR(__xludf.DUMMYFUNCTION("""COMPUTED_VALUE"""),"Wala 24")</f>
        <v>Wala 24</v>
      </c>
      <c r="B796" s="5" t="str">
        <f>IFERROR(__xludf.DUMMYFUNCTION("""COMPUTED_VALUE"""),"Wala 29")</f>
        <v>Wala 29</v>
      </c>
      <c r="C796" s="5" t="str">
        <f>IFERROR(__xludf.DUMMYFUNCTION("""COMPUTED_VALUE"""),"Wala 21")</f>
        <v>Wala 21</v>
      </c>
      <c r="D796" s="5" t="str">
        <f>IFERROR(__xludf.DUMMYFUNCTION("""COMPUTED_VALUE"""),"Sand Cave 32N")</f>
        <v>Sand Cave 32N</v>
      </c>
      <c r="E796" s="7" t="str">
        <f>IFERROR(__xludf.DUMMYFUNCTION("""COMPUTED_VALUE"""),"SCave 32N")</f>
        <v>SCave 32N</v>
      </c>
      <c r="F796" s="11">
        <f>IFERROR(__xludf.DUMMYFUNCTION("""COMPUTED_VALUE"""),277.889655071999)</f>
        <v>277.889655071999</v>
      </c>
      <c r="G796" s="11">
        <f>IFERROR(__xludf.DUMMYFUNCTION("""COMPUTED_VALUE"""),47.862433245)</f>
        <v>47.862433245</v>
      </c>
      <c r="H796" s="11">
        <f>IFERROR(__xludf.DUMMYFUNCTION("""COMPUTED_VALUE"""),27.8083953909998)</f>
        <v>27.8083953909998</v>
      </c>
      <c r="I796" s="15"/>
      <c r="J796" s="15"/>
      <c r="K796" s="15"/>
      <c r="L796" s="15"/>
      <c r="M796" s="7" t="b">
        <f>IFERROR(__xludf.DUMMYFUNCTION("""COMPUTED_VALUE"""),FALSE)</f>
        <v>0</v>
      </c>
      <c r="N796" s="10">
        <f>IFERROR(__xludf.DUMMYFUNCTION("""COMPUTED_VALUE"""),0)</f>
        <v>0</v>
      </c>
      <c r="O796" s="10">
        <f>IFERROR(__xludf.DUMMYFUNCTION("""COMPUTED_VALUE"""),0)</f>
        <v>0</v>
      </c>
      <c r="P796" s="8"/>
      <c r="Q796" s="7"/>
      <c r="R796" s="16"/>
      <c r="S796" s="17"/>
      <c r="T796" s="8"/>
      <c r="U796" s="8"/>
      <c r="V796" s="22"/>
      <c r="W796" s="12"/>
      <c r="X796" s="12"/>
      <c r="Y796" s="12"/>
      <c r="Z796" s="12"/>
      <c r="AA796" s="7"/>
      <c r="AB796" s="12"/>
      <c r="AC796" s="6"/>
      <c r="AD796" s="6"/>
      <c r="AE796" s="7"/>
      <c r="AF796" s="7"/>
      <c r="AG796" s="7"/>
      <c r="AH796" s="7"/>
      <c r="AI796" s="7"/>
      <c r="AJ796" s="7"/>
      <c r="AK796" s="7"/>
      <c r="AL796" s="7"/>
      <c r="AM796" s="7"/>
      <c r="AN796" s="7"/>
      <c r="AO796" s="6"/>
      <c r="AP796" s="7"/>
      <c r="AQ796" s="7"/>
      <c r="AR796" s="6"/>
      <c r="AS796" s="7"/>
      <c r="AT796" s="7"/>
      <c r="AU796" s="7"/>
      <c r="AV796" s="7"/>
      <c r="AW796" s="7"/>
      <c r="AX796" s="7"/>
      <c r="AY796" s="7"/>
      <c r="AZ796" s="7"/>
      <c r="BA796" s="7"/>
      <c r="BB796" s="7"/>
      <c r="BC796" s="7"/>
      <c r="BD796" s="7"/>
      <c r="BE796" s="7"/>
      <c r="BF796" s="7"/>
      <c r="BG796" s="7"/>
    </row>
    <row r="797" customHeight="1" spans="1:59">
      <c r="A797" s="9" t="str">
        <f>IFERROR(__xludf.DUMMYFUNCTION("""COMPUTED_VALUE"""),"Wala 21")</f>
        <v>Wala 21</v>
      </c>
      <c r="B797" s="5" t="str">
        <f>IFERROR(__xludf.DUMMYFUNCTION("""COMPUTED_VALUE"""),"Wala 26")</f>
        <v>Wala 26</v>
      </c>
      <c r="C797" s="5" t="str">
        <f>IFERROR(__xludf.DUMMYFUNCTION("""COMPUTED_VALUE"""),"Wala 26")</f>
        <v>Wala 26</v>
      </c>
      <c r="D797" s="5" t="str">
        <f>IFERROR(__xludf.DUMMYFUNCTION("""COMPUTED_VALUE"""),"Sand Cave 27S")</f>
        <v>Sand Cave 27S</v>
      </c>
      <c r="E797" s="7" t="str">
        <f>IFERROR(__xludf.DUMMYFUNCTION("""COMPUTED_VALUE"""),"SCave 27S")</f>
        <v>SCave 27S</v>
      </c>
      <c r="F797" s="11">
        <f>IFERROR(__xludf.DUMMYFUNCTION("""COMPUTED_VALUE"""),204.271057007)</f>
        <v>204.271057007</v>
      </c>
      <c r="G797" s="11">
        <f>IFERROR(__xludf.DUMMYFUNCTION("""COMPUTED_VALUE"""),-83.5827612039999)</f>
        <v>-83.5827612039999</v>
      </c>
      <c r="H797" s="11">
        <f>IFERROR(__xludf.DUMMYFUNCTION("""COMPUTED_VALUE"""),177.352392586)</f>
        <v>177.352392586</v>
      </c>
      <c r="I797" s="15"/>
      <c r="J797" s="15"/>
      <c r="K797" s="15"/>
      <c r="L797" s="15"/>
      <c r="M797" s="7" t="b">
        <f>IFERROR(__xludf.DUMMYFUNCTION("""COMPUTED_VALUE"""),FALSE)</f>
        <v>0</v>
      </c>
      <c r="N797" s="10">
        <f>IFERROR(__xludf.DUMMYFUNCTION("""COMPUTED_VALUE"""),0)</f>
        <v>0</v>
      </c>
      <c r="O797" s="10">
        <f>IFERROR(__xludf.DUMMYFUNCTION("""COMPUTED_VALUE"""),0)</f>
        <v>0</v>
      </c>
      <c r="P797" s="8"/>
      <c r="Q797" s="7"/>
      <c r="R797" s="16"/>
      <c r="S797" s="17"/>
      <c r="T797" s="8"/>
      <c r="U797" s="8"/>
      <c r="V797" s="22"/>
      <c r="W797" s="12"/>
      <c r="X797" s="12"/>
      <c r="Y797" s="12"/>
      <c r="Z797" s="12"/>
      <c r="AA797" s="7"/>
      <c r="AB797" s="12"/>
      <c r="AC797" s="6"/>
      <c r="AD797" s="6"/>
      <c r="AE797" s="7"/>
      <c r="AF797" s="7"/>
      <c r="AG797" s="7"/>
      <c r="AH797" s="7"/>
      <c r="AI797" s="7"/>
      <c r="AJ797" s="7"/>
      <c r="AK797" s="7"/>
      <c r="AL797" s="7"/>
      <c r="AM797" s="7"/>
      <c r="AN797" s="7"/>
      <c r="AO797" s="6"/>
      <c r="AP797" s="7"/>
      <c r="AQ797" s="7"/>
      <c r="AR797" s="6"/>
      <c r="AS797" s="7"/>
      <c r="AT797" s="7"/>
      <c r="AU797" s="7"/>
      <c r="AV797" s="7"/>
      <c r="AW797" s="7"/>
      <c r="AX797" s="7"/>
      <c r="AY797" s="7"/>
      <c r="AZ797" s="7"/>
      <c r="BA797" s="7"/>
      <c r="BB797" s="7"/>
      <c r="BC797" s="7"/>
      <c r="BD797" s="7"/>
      <c r="BE797" s="7"/>
      <c r="BF797" s="7"/>
      <c r="BG797" s="7"/>
    </row>
    <row r="798" customHeight="1" spans="1:59">
      <c r="A798" s="9" t="str">
        <f>IFERROR(__xludf.DUMMYFUNCTION("""COMPUTED_VALUE"""),"Wala 22")</f>
        <v>Wala 22</v>
      </c>
      <c r="B798" s="5" t="str">
        <f>IFERROR(__xludf.DUMMYFUNCTION("""COMPUTED_VALUE"""),"Wala 27")</f>
        <v>Wala 27</v>
      </c>
      <c r="C798" s="5" t="str">
        <f>IFERROR(__xludf.DUMMYFUNCTION("""COMPUTED_VALUE"""),"Wala 25")</f>
        <v>Wala 25</v>
      </c>
      <c r="D798" s="5" t="str">
        <f>IFERROR(__xludf.DUMMYFUNCTION("""COMPUTED_VALUE"""),"Sand Cave 28K")</f>
        <v>Sand Cave 28K</v>
      </c>
      <c r="E798" s="7" t="str">
        <f>IFERROR(__xludf.DUMMYFUNCTION("""COMPUTED_VALUE"""),"SCave 28K")</f>
        <v>SCave 28K</v>
      </c>
      <c r="F798" s="11">
        <f>IFERROR(__xludf.DUMMYFUNCTION("""COMPUTED_VALUE"""),260.271784419)</f>
        <v>260.271784419</v>
      </c>
      <c r="G798" s="11">
        <f>IFERROR(__xludf.DUMMYFUNCTION("""COMPUTED_VALUE"""),-57.7616310509999)</f>
        <v>-57.7616310509999</v>
      </c>
      <c r="H798" s="11">
        <f>IFERROR(__xludf.DUMMYFUNCTION("""COMPUTED_VALUE"""),-93.993780067)</f>
        <v>-93.993780067</v>
      </c>
      <c r="I798" s="15"/>
      <c r="J798" s="15"/>
      <c r="K798" s="15"/>
      <c r="L798" s="15"/>
      <c r="M798" s="7" t="b">
        <f>IFERROR(__xludf.DUMMYFUNCTION("""COMPUTED_VALUE"""),FALSE)</f>
        <v>0</v>
      </c>
      <c r="N798" s="10">
        <f>IFERROR(__xludf.DUMMYFUNCTION("""COMPUTED_VALUE"""),0)</f>
        <v>0</v>
      </c>
      <c r="O798" s="10">
        <f>IFERROR(__xludf.DUMMYFUNCTION("""COMPUTED_VALUE"""),0)</f>
        <v>0</v>
      </c>
      <c r="P798" s="8"/>
      <c r="Q798" s="7"/>
      <c r="R798" s="16"/>
      <c r="S798" s="17"/>
      <c r="T798" s="8"/>
      <c r="U798" s="8"/>
      <c r="V798" s="22"/>
      <c r="W798" s="12"/>
      <c r="X798" s="12"/>
      <c r="Y798" s="12"/>
      <c r="Z798" s="12"/>
      <c r="AA798" s="7"/>
      <c r="AB798" s="12"/>
      <c r="AC798" s="6"/>
      <c r="AD798" s="6"/>
      <c r="AE798" s="7"/>
      <c r="AF798" s="7"/>
      <c r="AG798" s="7"/>
      <c r="AH798" s="7"/>
      <c r="AI798" s="7"/>
      <c r="AJ798" s="7"/>
      <c r="AK798" s="7"/>
      <c r="AL798" s="7"/>
      <c r="AM798" s="7"/>
      <c r="AN798" s="7"/>
      <c r="AO798" s="6"/>
      <c r="AP798" s="7"/>
      <c r="AQ798" s="7"/>
      <c r="AR798" s="6"/>
      <c r="AS798" s="7"/>
      <c r="AT798" s="7"/>
      <c r="AU798" s="7"/>
      <c r="AV798" s="7"/>
      <c r="AW798" s="7"/>
      <c r="AX798" s="7"/>
      <c r="AY798" s="7"/>
      <c r="AZ798" s="7"/>
      <c r="BA798" s="7"/>
      <c r="BB798" s="7"/>
      <c r="BC798" s="7"/>
      <c r="BD798" s="7"/>
      <c r="BE798" s="7"/>
      <c r="BF798" s="7"/>
      <c r="BG798" s="7"/>
    </row>
    <row r="799" customHeight="1" spans="1:59">
      <c r="A799" s="9" t="str">
        <f>IFERROR(__xludf.DUMMYFUNCTION("""COMPUTED_VALUE"""),"Wala 28")</f>
        <v>Wala 28</v>
      </c>
      <c r="B799" s="5" t="str">
        <f>IFERROR(__xludf.DUMMYFUNCTION("""COMPUTED_VALUE"""),"Wala 33")</f>
        <v>Wala 33</v>
      </c>
      <c r="C799" s="5" t="str">
        <f>IFERROR(__xludf.DUMMYFUNCTION("""COMPUTED_VALUE"""),"Wala 15")</f>
        <v>Wala 15</v>
      </c>
      <c r="D799" s="5" t="str">
        <f>IFERROR(__xludf.DUMMYFUNCTION("""COMPUTED_VALUE"""),"Sand Cave 42F")</f>
        <v>Sand Cave 42F</v>
      </c>
      <c r="E799" s="7" t="str">
        <f>IFERROR(__xludf.DUMMYFUNCTION("""COMPUTED_VALUE"""),"SCave 42F")</f>
        <v>SCave 42F</v>
      </c>
      <c r="F799" s="11">
        <f>IFERROR(__xludf.DUMMYFUNCTION("""COMPUTED_VALUE"""),62.803037704)</f>
        <v>62.803037704</v>
      </c>
      <c r="G799" s="11">
        <f>IFERROR(__xludf.DUMMYFUNCTION("""COMPUTED_VALUE"""),165.538969202)</f>
        <v>165.538969202</v>
      </c>
      <c r="H799" s="11">
        <f>IFERROR(__xludf.DUMMYFUNCTION("""COMPUTED_VALUE"""),-220.565922097)</f>
        <v>-220.565922097</v>
      </c>
      <c r="I799" s="15"/>
      <c r="J799" s="15"/>
      <c r="K799" s="15"/>
      <c r="L799" s="15"/>
      <c r="M799" s="7" t="b">
        <f>IFERROR(__xludf.DUMMYFUNCTION("""COMPUTED_VALUE"""),FALSE)</f>
        <v>0</v>
      </c>
      <c r="N799" s="10">
        <f>IFERROR(__xludf.DUMMYFUNCTION("""COMPUTED_VALUE"""),0)</f>
        <v>0</v>
      </c>
      <c r="O799" s="10">
        <f>IFERROR(__xludf.DUMMYFUNCTION("""COMPUTED_VALUE"""),0)</f>
        <v>0</v>
      </c>
      <c r="P799" s="8"/>
      <c r="Q799" s="7"/>
      <c r="R799" s="16"/>
      <c r="S799" s="17"/>
      <c r="T799" s="8"/>
      <c r="U799" s="8"/>
      <c r="V799" s="22"/>
      <c r="W799" s="12"/>
      <c r="X799" s="12"/>
      <c r="Y799" s="12"/>
      <c r="Z799" s="12"/>
      <c r="AA799" s="7"/>
      <c r="AB799" s="12"/>
      <c r="AC799" s="6"/>
      <c r="AD799" s="6"/>
      <c r="AE799" s="7"/>
      <c r="AF799" s="7"/>
      <c r="AG799" s="7"/>
      <c r="AH799" s="7"/>
      <c r="AI799" s="7"/>
      <c r="AJ799" s="7"/>
      <c r="AK799" s="7"/>
      <c r="AL799" s="7"/>
      <c r="AM799" s="7"/>
      <c r="AN799" s="7"/>
      <c r="AO799" s="6"/>
      <c r="AP799" s="7"/>
      <c r="AQ799" s="7"/>
      <c r="AR799" s="6"/>
      <c r="AS799" s="7"/>
      <c r="AT799" s="7"/>
      <c r="AU799" s="7"/>
      <c r="AV799" s="7"/>
      <c r="AW799" s="7"/>
      <c r="AX799" s="7"/>
      <c r="AY799" s="7"/>
      <c r="AZ799" s="7"/>
      <c r="BA799" s="7"/>
      <c r="BB799" s="7"/>
      <c r="BC799" s="7"/>
      <c r="BD799" s="7"/>
      <c r="BE799" s="7"/>
      <c r="BF799" s="7"/>
      <c r="BG799" s="7"/>
    </row>
    <row r="800" customHeight="1" spans="1:59">
      <c r="A800" s="9" t="str">
        <f>IFERROR(__xludf.DUMMYFUNCTION("""COMPUTED_VALUE"""),"Wala 14")</f>
        <v>Wala 14</v>
      </c>
      <c r="B800" s="5" t="str">
        <f>IFERROR(__xludf.DUMMYFUNCTION("""COMPUTED_VALUE"""),"Wala 19")</f>
        <v>Wala 19</v>
      </c>
      <c r="C800" s="5" t="str">
        <f>IFERROR(__xludf.DUMMYFUNCTION("""COMPUTED_VALUE"""),"Wala 40")</f>
        <v>Wala 40</v>
      </c>
      <c r="D800" s="5" t="str">
        <f>IFERROR(__xludf.DUMMYFUNCTION("""COMPUTED_VALUE"""),"Sand Cave 01V")</f>
        <v>Sand Cave 01V</v>
      </c>
      <c r="E800" s="7" t="str">
        <f>IFERROR(__xludf.DUMMYFUNCTION("""COMPUTED_VALUE"""),"SCave 01V")</f>
        <v>SCave 01V</v>
      </c>
      <c r="F800" s="11">
        <f>IFERROR(__xludf.DUMMYFUNCTION("""COMPUTED_VALUE"""),-153.83925841)</f>
        <v>-153.83925841</v>
      </c>
      <c r="G800" s="11">
        <f>IFERROR(__xludf.DUMMYFUNCTION("""COMPUTED_VALUE"""),-15.177891545)</f>
        <v>-15.177891545</v>
      </c>
      <c r="H800" s="11">
        <f>IFERROR(__xludf.DUMMYFUNCTION("""COMPUTED_VALUE"""),236.556934925999)</f>
        <v>236.556934925999</v>
      </c>
      <c r="I800" s="15"/>
      <c r="J800" s="15"/>
      <c r="K800" s="15"/>
      <c r="L800" s="15"/>
      <c r="M800" s="7" t="b">
        <f>IFERROR(__xludf.DUMMYFUNCTION("""COMPUTED_VALUE"""),FALSE)</f>
        <v>0</v>
      </c>
      <c r="N800" s="10">
        <f>IFERROR(__xludf.DUMMYFUNCTION("""COMPUTED_VALUE"""),0)</f>
        <v>0</v>
      </c>
      <c r="O800" s="10">
        <f>IFERROR(__xludf.DUMMYFUNCTION("""COMPUTED_VALUE"""),0)</f>
        <v>0</v>
      </c>
      <c r="P800" s="8"/>
      <c r="Q800" s="7"/>
      <c r="R800" s="16"/>
      <c r="S800" s="17"/>
      <c r="T800" s="8"/>
      <c r="U800" s="8"/>
      <c r="V800" s="22"/>
      <c r="W800" s="12"/>
      <c r="X800" s="12"/>
      <c r="Y800" s="12"/>
      <c r="Z800" s="12"/>
      <c r="AA800" s="7"/>
      <c r="AB800" s="12"/>
      <c r="AC800" s="6"/>
      <c r="AD800" s="6"/>
      <c r="AE800" s="7"/>
      <c r="AF800" s="7"/>
      <c r="AG800" s="7"/>
      <c r="AH800" s="7"/>
      <c r="AI800" s="7"/>
      <c r="AJ800" s="7"/>
      <c r="AK800" s="7"/>
      <c r="AL800" s="7"/>
      <c r="AM800" s="7"/>
      <c r="AN800" s="7"/>
      <c r="AO800" s="6"/>
      <c r="AP800" s="7"/>
      <c r="AQ800" s="7"/>
      <c r="AR800" s="6"/>
      <c r="AS800" s="7"/>
      <c r="AT800" s="7"/>
      <c r="AU800" s="7"/>
      <c r="AV800" s="7"/>
      <c r="AW800" s="7"/>
      <c r="AX800" s="7"/>
      <c r="AY800" s="7"/>
      <c r="AZ800" s="7"/>
      <c r="BA800" s="7"/>
      <c r="BB800" s="7"/>
      <c r="BC800" s="7"/>
      <c r="BD800" s="7"/>
      <c r="BE800" s="7"/>
      <c r="BF800" s="7"/>
      <c r="BG800" s="7"/>
    </row>
    <row r="801" customHeight="1" spans="1:59">
      <c r="A801" s="9" t="str">
        <f>IFERROR(__xludf.DUMMYFUNCTION("""COMPUTED_VALUE"""),"Wala 19")</f>
        <v>Wala 19</v>
      </c>
      <c r="B801" s="5" t="str">
        <f>IFERROR(__xludf.DUMMYFUNCTION("""COMPUTED_VALUE"""),"Wala 24")</f>
        <v>Wala 24</v>
      </c>
      <c r="C801" s="5" t="str">
        <f>IFERROR(__xludf.DUMMYFUNCTION("""COMPUTED_VALUE"""),"Wala 35")</f>
        <v>Wala 35</v>
      </c>
      <c r="D801" s="5" t="str">
        <f>IFERROR(__xludf.DUMMYFUNCTION("""COMPUTED_VALUE"""),"Sand Cave 11U")</f>
        <v>Sand Cave 11U</v>
      </c>
      <c r="E801" s="7" t="str">
        <f>IFERROR(__xludf.DUMMYFUNCTION("""COMPUTED_VALUE"""),"SCave 11U")</f>
        <v>SCave 11U</v>
      </c>
      <c r="F801" s="11">
        <f>IFERROR(__xludf.DUMMYFUNCTION("""COMPUTED_VALUE"""),-68.4199128449999)</f>
        <v>-68.4199128449999</v>
      </c>
      <c r="G801" s="11">
        <f>IFERROR(__xludf.DUMMYFUNCTION("""COMPUTED_VALUE"""),-145.704356189)</f>
        <v>-145.704356189</v>
      </c>
      <c r="H801" s="11">
        <f>IFERROR(__xludf.DUMMYFUNCTION("""COMPUTED_VALUE"""),233.01132195)</f>
        <v>233.01132195</v>
      </c>
      <c r="I801" s="15"/>
      <c r="J801" s="15"/>
      <c r="K801" s="15"/>
      <c r="L801" s="15"/>
      <c r="M801" s="7" t="b">
        <f>IFERROR(__xludf.DUMMYFUNCTION("""COMPUTED_VALUE"""),FALSE)</f>
        <v>0</v>
      </c>
      <c r="N801" s="10">
        <f>IFERROR(__xludf.DUMMYFUNCTION("""COMPUTED_VALUE"""),0)</f>
        <v>0</v>
      </c>
      <c r="O801" s="10">
        <f>IFERROR(__xludf.DUMMYFUNCTION("""COMPUTED_VALUE"""),0)</f>
        <v>0</v>
      </c>
      <c r="P801" s="8"/>
      <c r="Q801" s="7"/>
      <c r="R801" s="16"/>
      <c r="S801" s="17"/>
      <c r="T801" s="8"/>
      <c r="U801" s="8"/>
      <c r="V801" s="22"/>
      <c r="W801" s="12"/>
      <c r="X801" s="12"/>
      <c r="Y801" s="12"/>
      <c r="Z801" s="12"/>
      <c r="AA801" s="7"/>
      <c r="AB801" s="12"/>
      <c r="AC801" s="6"/>
      <c r="AD801" s="6"/>
      <c r="AE801" s="7"/>
      <c r="AF801" s="7"/>
      <c r="AG801" s="7"/>
      <c r="AH801" s="7"/>
      <c r="AI801" s="7"/>
      <c r="AJ801" s="7"/>
      <c r="AK801" s="7"/>
      <c r="AL801" s="7"/>
      <c r="AM801" s="7"/>
      <c r="AN801" s="7"/>
      <c r="AO801" s="6"/>
      <c r="AP801" s="7"/>
      <c r="AQ801" s="7"/>
      <c r="AR801" s="6"/>
      <c r="AS801" s="7"/>
      <c r="AT801" s="7"/>
      <c r="AU801" s="7"/>
      <c r="AV801" s="7"/>
      <c r="AW801" s="7"/>
      <c r="AX801" s="7"/>
      <c r="AY801" s="7"/>
      <c r="AZ801" s="7"/>
      <c r="BA801" s="7"/>
      <c r="BB801" s="7"/>
      <c r="BC801" s="7"/>
      <c r="BD801" s="7"/>
      <c r="BE801" s="7"/>
      <c r="BF801" s="7"/>
      <c r="BG801" s="7"/>
    </row>
    <row r="802" customHeight="1" spans="1:59">
      <c r="A802" s="9" t="str">
        <f>IFERROR(__xludf.DUMMYFUNCTION("""COMPUTED_VALUE"""),"Wala")</f>
        <v>Wala</v>
      </c>
      <c r="B802" s="5" t="str">
        <f>IFERROR(__xludf.DUMMYFUNCTION("""COMPUTED_VALUE"""),"Wala 40")</f>
        <v>Wala 40</v>
      </c>
      <c r="C802" s="5"/>
      <c r="D802" s="5" t="str">
        <f>IFERROR(__xludf.DUMMYFUNCTION("""COMPUTED_VALUE"""),"Wrecks")</f>
        <v>Wrecks</v>
      </c>
      <c r="E802" s="7"/>
      <c r="F802" s="11"/>
      <c r="G802" s="11"/>
      <c r="H802" s="11"/>
      <c r="I802" s="15"/>
      <c r="J802" s="15"/>
      <c r="K802" s="15"/>
      <c r="L802" s="15"/>
      <c r="M802" s="7"/>
      <c r="N802" s="10"/>
      <c r="O802" s="10"/>
      <c r="P802" s="8"/>
      <c r="Q802" s="7"/>
      <c r="R802" s="16"/>
      <c r="S802" s="17"/>
      <c r="T802" s="8"/>
      <c r="U802" s="8"/>
      <c r="V802" s="22"/>
      <c r="W802" s="12"/>
      <c r="X802" s="12"/>
      <c r="Y802" s="12"/>
      <c r="Z802" s="12"/>
      <c r="AA802" s="7"/>
      <c r="AB802" s="12"/>
      <c r="AC802" s="6"/>
      <c r="AD802" s="6"/>
      <c r="AE802" s="7"/>
      <c r="AF802" s="7"/>
      <c r="AG802" s="7"/>
      <c r="AH802" s="7"/>
      <c r="AI802" s="7"/>
      <c r="AJ802" s="7"/>
      <c r="AK802" s="7"/>
      <c r="AL802" s="7"/>
      <c r="AM802" s="7"/>
      <c r="AN802" s="7"/>
      <c r="AO802" s="6"/>
      <c r="AP802" s="7"/>
      <c r="AQ802" s="7"/>
      <c r="AR802" s="6"/>
      <c r="AS802" s="7"/>
      <c r="AT802" s="7"/>
      <c r="AU802" s="7"/>
      <c r="AV802" s="7"/>
      <c r="AW802" s="7"/>
      <c r="AX802" s="7"/>
      <c r="AY802" s="7"/>
      <c r="AZ802" s="7"/>
      <c r="BA802" s="7"/>
      <c r="BB802" s="7"/>
      <c r="BC802" s="7"/>
      <c r="BD802" s="7"/>
      <c r="BE802" s="7"/>
      <c r="BF802" s="7"/>
      <c r="BG802" s="7"/>
    </row>
    <row r="803" customHeight="1" spans="1:59">
      <c r="A803" s="9" t="str">
        <f>IFERROR(__xludf.DUMMYFUNCTION("""COMPUTED_VALUE"""),"Wala 36")</f>
        <v>Wala 36</v>
      </c>
      <c r="B803" s="5" t="str">
        <f>IFERROR(__xludf.DUMMYFUNCTION("""COMPUTED_VALUE"""),"Wala 43")</f>
        <v>Wala 43</v>
      </c>
      <c r="C803" s="5" t="str">
        <f>IFERROR(__xludf.DUMMYFUNCTION("""COMPUTED_VALUE"""),"Wala 01")</f>
        <v>Wala 01</v>
      </c>
      <c r="D803" s="5" t="str">
        <f>IFERROR(__xludf.DUMMYFUNCTION("""COMPUTED_VALUE"""),"Caterpillar Wreck 60M")</f>
        <v>Caterpillar Wreck 60M</v>
      </c>
      <c r="E803" s="7" t="str">
        <f>IFERROR(__xludf.DUMMYFUNCTION("""COMPUTED_VALUE"""),"Caterpillar 60M")</f>
        <v>Caterpillar 60M</v>
      </c>
      <c r="F803" s="11">
        <f>IFERROR(__xludf.DUMMYFUNCTION("""COMPUTED_VALUE"""),-281.801297742999)</f>
        <v>-281.801297742999</v>
      </c>
      <c r="G803" s="11">
        <f>IFERROR(__xludf.DUMMYFUNCTION("""COMPUTED_VALUE"""),10.5471646299999)</f>
        <v>10.5471646299999</v>
      </c>
      <c r="H803" s="11">
        <f>IFERROR(__xludf.DUMMYFUNCTION("""COMPUTED_VALUE"""),-22.471943313)</f>
        <v>-22.471943313</v>
      </c>
      <c r="I803" s="15"/>
      <c r="J803" s="15"/>
      <c r="K803" s="15"/>
      <c r="L803" s="15"/>
      <c r="M803" s="7" t="b">
        <f>IFERROR(__xludf.DUMMYFUNCTION("""COMPUTED_VALUE"""),FALSE)</f>
        <v>0</v>
      </c>
      <c r="N803" s="10">
        <f>IFERROR(__xludf.DUMMYFUNCTION("""COMPUTED_VALUE"""),0)</f>
        <v>0</v>
      </c>
      <c r="O803" s="10">
        <f>IFERROR(__xludf.DUMMYFUNCTION("""COMPUTED_VALUE"""),0)</f>
        <v>0</v>
      </c>
      <c r="P803" s="8"/>
      <c r="Q803" s="7"/>
      <c r="R803" s="16"/>
      <c r="S803" s="17"/>
      <c r="T803" s="8"/>
      <c r="U803" s="8"/>
      <c r="V803" s="22"/>
      <c r="W803" s="12"/>
      <c r="X803" s="12"/>
      <c r="Y803" s="12"/>
      <c r="Z803" s="12"/>
      <c r="AA803" s="7"/>
      <c r="AB803" s="12"/>
      <c r="AC803" s="6"/>
      <c r="AD803" s="6"/>
      <c r="AE803" s="7"/>
      <c r="AF803" s="7"/>
      <c r="AG803" s="7"/>
      <c r="AH803" s="7"/>
      <c r="AI803" s="7"/>
      <c r="AJ803" s="7"/>
      <c r="AK803" s="7"/>
      <c r="AL803" s="7"/>
      <c r="AM803" s="7"/>
      <c r="AN803" s="7"/>
      <c r="AO803" s="6"/>
      <c r="AP803" s="7"/>
      <c r="AQ803" s="7"/>
      <c r="AR803" s="6"/>
      <c r="AS803" s="7"/>
      <c r="AT803" s="7"/>
      <c r="AU803" s="7"/>
      <c r="AV803" s="7"/>
      <c r="AW803" s="7"/>
      <c r="AX803" s="7"/>
      <c r="AY803" s="7"/>
      <c r="AZ803" s="7"/>
      <c r="BA803" s="7"/>
      <c r="BB803" s="7"/>
      <c r="BC803" s="7"/>
      <c r="BD803" s="7"/>
      <c r="BE803" s="7"/>
      <c r="BF803" s="7"/>
      <c r="BG803" s="7"/>
    </row>
    <row r="804" customHeight="1" spans="1:59">
      <c r="A804" s="9" t="str">
        <f>IFERROR(__xludf.DUMMYFUNCTION("""COMPUTED_VALUE"""),"Wala 34")</f>
        <v>Wala 34</v>
      </c>
      <c r="B804" s="5" t="str">
        <f>IFERROR(__xludf.DUMMYFUNCTION("""COMPUTED_VALUE"""),"Wala 41")</f>
        <v>Wala 41</v>
      </c>
      <c r="C804" s="5" t="str">
        <f>IFERROR(__xludf.DUMMYFUNCTION("""COMPUTED_VALUE"""),"Wala 22")</f>
        <v>Wala 22</v>
      </c>
      <c r="D804" s="5" t="str">
        <f>IFERROR(__xludf.DUMMYFUNCTION("""COMPUTED_VALUE"""),"Caterpillar Wreck 32H")</f>
        <v>Caterpillar Wreck 32H</v>
      </c>
      <c r="E804" s="7" t="str">
        <f>IFERROR(__xludf.DUMMYFUNCTION("""COMPUTED_VALUE"""),"Caterpillar 32H")</f>
        <v>Caterpillar 32H</v>
      </c>
      <c r="F804" s="11">
        <f>IFERROR(__xludf.DUMMYFUNCTION("""COMPUTED_VALUE"""),232.944419679278)</f>
        <v>232.944419679278</v>
      </c>
      <c r="G804" s="11">
        <f>IFERROR(__xludf.DUMMYFUNCTION("""COMPUTED_VALUE"""),30.5985524459546)</f>
        <v>30.5985524459546</v>
      </c>
      <c r="H804" s="11">
        <f>IFERROR(__xludf.DUMMYFUNCTION("""COMPUTED_VALUE"""),-156.72579539771)</f>
        <v>-156.72579539771</v>
      </c>
      <c r="I804" s="15"/>
      <c r="J804" s="15"/>
      <c r="K804" s="15"/>
      <c r="L804" s="15"/>
      <c r="M804" s="7" t="b">
        <f>IFERROR(__xludf.DUMMYFUNCTION("""COMPUTED_VALUE"""),FALSE)</f>
        <v>0</v>
      </c>
      <c r="N804" s="10">
        <f>IFERROR(__xludf.DUMMYFUNCTION("""COMPUTED_VALUE"""),0)</f>
        <v>0</v>
      </c>
      <c r="O804" s="10">
        <f>IFERROR(__xludf.DUMMYFUNCTION("""COMPUTED_VALUE"""),0)</f>
        <v>0</v>
      </c>
      <c r="P804" s="8"/>
      <c r="Q804" s="7"/>
      <c r="R804" s="16"/>
      <c r="S804" s="17"/>
      <c r="T804" s="8"/>
      <c r="U804" s="8"/>
      <c r="V804" s="22"/>
      <c r="W804" s="12"/>
      <c r="X804" s="12"/>
      <c r="Y804" s="12"/>
      <c r="Z804" s="12"/>
      <c r="AA804" s="7"/>
      <c r="AB804" s="12"/>
      <c r="AC804" s="6"/>
      <c r="AD804" s="6"/>
      <c r="AE804" s="7"/>
      <c r="AF804" s="7"/>
      <c r="AG804" s="7"/>
      <c r="AH804" s="7"/>
      <c r="AI804" s="7"/>
      <c r="AJ804" s="7"/>
      <c r="AK804" s="7"/>
      <c r="AL804" s="7"/>
      <c r="AM804" s="7"/>
      <c r="AN804" s="7"/>
      <c r="AO804" s="6"/>
      <c r="AP804" s="7"/>
      <c r="AQ804" s="7"/>
      <c r="AR804" s="6"/>
      <c r="AS804" s="7"/>
      <c r="AT804" s="7"/>
      <c r="AU804" s="7"/>
      <c r="AV804" s="7"/>
      <c r="AW804" s="7"/>
      <c r="AX804" s="7"/>
      <c r="AY804" s="7"/>
      <c r="AZ804" s="7"/>
      <c r="BA804" s="7"/>
      <c r="BB804" s="7"/>
      <c r="BC804" s="7"/>
      <c r="BD804" s="7"/>
      <c r="BE804" s="7"/>
      <c r="BF804" s="7"/>
      <c r="BG804" s="7"/>
    </row>
    <row r="805" customHeight="1" spans="1:59">
      <c r="A805" s="9" t="str">
        <f>IFERROR(__xludf.DUMMYFUNCTION("""COMPUTED_VALUE"""),"Wala 35")</f>
        <v>Wala 35</v>
      </c>
      <c r="B805" s="5" t="str">
        <f>IFERROR(__xludf.DUMMYFUNCTION("""COMPUTED_VALUE"""),"Wala 42")</f>
        <v>Wala 42</v>
      </c>
      <c r="C805" s="5" t="str">
        <f>IFERROR(__xludf.DUMMYFUNCTION("""COMPUTED_VALUE"""),"Wala 05")</f>
        <v>Wala 05</v>
      </c>
      <c r="D805" s="5" t="str">
        <f>IFERROR(__xludf.DUMMYFUNCTION("""COMPUTED_VALUE"""),"Caterpillar Wreck 56F")</f>
        <v>Caterpillar Wreck 56F</v>
      </c>
      <c r="E805" s="7" t="str">
        <f>IFERROR(__xludf.DUMMYFUNCTION("""COMPUTED_VALUE"""),"Caterpillar 56F")</f>
        <v>Caterpillar 56F</v>
      </c>
      <c r="F805" s="11">
        <f>IFERROR(__xludf.DUMMYFUNCTION("""COMPUTED_VALUE"""),-164.031)</f>
        <v>-164.031</v>
      </c>
      <c r="G805" s="11">
        <f>IFERROR(__xludf.DUMMYFUNCTION("""COMPUTED_VALUE"""),85.551)</f>
        <v>85.551</v>
      </c>
      <c r="H805" s="11">
        <f>IFERROR(__xludf.DUMMYFUNCTION("""COMPUTED_VALUE"""),-213.83)</f>
        <v>-213.83</v>
      </c>
      <c r="I805" s="15"/>
      <c r="J805" s="15"/>
      <c r="K805" s="15"/>
      <c r="L805" s="15"/>
      <c r="M805" s="7" t="b">
        <f>IFERROR(__xludf.DUMMYFUNCTION("""COMPUTED_VALUE"""),FALSE)</f>
        <v>0</v>
      </c>
      <c r="N805" s="10">
        <f>IFERROR(__xludf.DUMMYFUNCTION("""COMPUTED_VALUE"""),0)</f>
        <v>0</v>
      </c>
      <c r="O805" s="10">
        <f>IFERROR(__xludf.DUMMYFUNCTION("""COMPUTED_VALUE"""),0)</f>
        <v>0</v>
      </c>
      <c r="P805" s="8"/>
      <c r="Q805" s="7"/>
      <c r="R805" s="16"/>
      <c r="S805" s="17"/>
      <c r="T805" s="8"/>
      <c r="U805" s="8"/>
      <c r="V805" s="22"/>
      <c r="W805" s="12"/>
      <c r="X805" s="12"/>
      <c r="Y805" s="12"/>
      <c r="Z805" s="12"/>
      <c r="AA805" s="7"/>
      <c r="AB805" s="12"/>
      <c r="AC805" s="6"/>
      <c r="AD805" s="6"/>
      <c r="AE805" s="7"/>
      <c r="AF805" s="7"/>
      <c r="AG805" s="7"/>
      <c r="AH805" s="7"/>
      <c r="AI805" s="7"/>
      <c r="AJ805" s="7"/>
      <c r="AK805" s="7"/>
      <c r="AL805" s="7"/>
      <c r="AM805" s="7"/>
      <c r="AN805" s="7"/>
      <c r="AO805" s="6"/>
      <c r="AP805" s="7"/>
      <c r="AQ805" s="7"/>
      <c r="AR805" s="6"/>
      <c r="AS805" s="7"/>
      <c r="AT805" s="7"/>
      <c r="AU805" s="7"/>
      <c r="AV805" s="7"/>
      <c r="AW805" s="7"/>
      <c r="AX805" s="7"/>
      <c r="AY805" s="7"/>
      <c r="AZ805" s="7"/>
      <c r="BA805" s="7"/>
      <c r="BB805" s="7"/>
      <c r="BC805" s="7"/>
      <c r="BD805" s="7"/>
      <c r="BE805" s="7"/>
      <c r="BF805" s="7"/>
      <c r="BG805" s="7"/>
    </row>
    <row r="806" customHeight="1" spans="1:59">
      <c r="A806" s="9" t="str">
        <f>IFERROR(__xludf.DUMMYFUNCTION("""COMPUTED_VALUE"""),"Wala 37")</f>
        <v>Wala 37</v>
      </c>
      <c r="B806" s="5" t="str">
        <f>IFERROR(__xludf.DUMMYFUNCTION("""COMPUTED_VALUE"""),"Wala 44")</f>
        <v>Wala 44</v>
      </c>
      <c r="C806" s="5" t="str">
        <f>IFERROR(__xludf.DUMMYFUNCTION("""COMPUTED_VALUE"""),"Wala 29")</f>
        <v>Wala 29</v>
      </c>
      <c r="D806" s="5" t="str">
        <f>IFERROR(__xludf.DUMMYFUNCTION("""COMPUTED_VALUE"""),"Freelancer Wreck")</f>
        <v>Freelancer Wreck</v>
      </c>
      <c r="E806" s="7" t="str">
        <f>IFERROR(__xludf.DUMMYFUNCTION("""COMPUTED_VALUE"""),"Freelancer")</f>
        <v>Freelancer</v>
      </c>
      <c r="F806" s="11">
        <f>IFERROR(__xludf.DUMMYFUNCTION("""COMPUTED_VALUE"""),158.741238590913)</f>
        <v>158.741238590913</v>
      </c>
      <c r="G806" s="11">
        <f>IFERROR(__xludf.DUMMYFUNCTION("""COMPUTED_VALUE"""),-212.548643797474)</f>
        <v>-212.548643797474</v>
      </c>
      <c r="H806" s="11">
        <f>IFERROR(__xludf.DUMMYFUNCTION("""COMPUTED_VALUE"""),-99.0892809628783)</f>
        <v>-99.0892809628783</v>
      </c>
      <c r="I806" s="15"/>
      <c r="J806" s="15"/>
      <c r="K806" s="15"/>
      <c r="L806" s="15"/>
      <c r="M806" s="7" t="b">
        <f>IFERROR(__xludf.DUMMYFUNCTION("""COMPUTED_VALUE"""),FALSE)</f>
        <v>0</v>
      </c>
      <c r="N806" s="10">
        <f>IFERROR(__xludf.DUMMYFUNCTION("""COMPUTED_VALUE"""),0)</f>
        <v>0</v>
      </c>
      <c r="O806" s="10">
        <f>IFERROR(__xludf.DUMMYFUNCTION("""COMPUTED_VALUE"""),0)</f>
        <v>0</v>
      </c>
      <c r="P806" s="8"/>
      <c r="Q806" s="7"/>
      <c r="R806" s="16"/>
      <c r="S806" s="17"/>
      <c r="T806" s="8"/>
      <c r="U806" s="8"/>
      <c r="V806" s="22"/>
      <c r="W806" s="12"/>
      <c r="X806" s="12"/>
      <c r="Y806" s="12"/>
      <c r="Z806" s="12"/>
      <c r="AA806" s="7"/>
      <c r="AB806" s="12"/>
      <c r="AC806" s="6"/>
      <c r="AD806" s="6"/>
      <c r="AE806" s="7"/>
      <c r="AF806" s="7"/>
      <c r="AG806" s="7"/>
      <c r="AH806" s="7"/>
      <c r="AI806" s="7"/>
      <c r="AJ806" s="7"/>
      <c r="AK806" s="7"/>
      <c r="AL806" s="7"/>
      <c r="AM806" s="7"/>
      <c r="AN806" s="7"/>
      <c r="AO806" s="6"/>
      <c r="AP806" s="7"/>
      <c r="AQ806" s="7"/>
      <c r="AR806" s="6"/>
      <c r="AS806" s="7"/>
      <c r="AT806" s="7"/>
      <c r="AU806" s="7"/>
      <c r="AV806" s="7"/>
      <c r="AW806" s="7"/>
      <c r="AX806" s="7"/>
      <c r="AY806" s="7"/>
      <c r="AZ806" s="7"/>
      <c r="BA806" s="7"/>
      <c r="BB806" s="7"/>
      <c r="BC806" s="7"/>
      <c r="BD806" s="7"/>
      <c r="BE806" s="7"/>
      <c r="BF806" s="7"/>
      <c r="BG806" s="7"/>
    </row>
    <row r="807" customHeight="1" spans="1:59">
      <c r="A807" s="9" t="str">
        <f>IFERROR(__xludf.DUMMYFUNCTION("""COMPUTED_VALUE"""),"Wala 38")</f>
        <v>Wala 38</v>
      </c>
      <c r="B807" s="5" t="str">
        <f>IFERROR(__xludf.DUMMYFUNCTION("""COMPUTED_VALUE"""),"Wala 45")</f>
        <v>Wala 45</v>
      </c>
      <c r="C807" s="5" t="str">
        <f>IFERROR(__xludf.DUMMYFUNCTION("""COMPUTED_VALUE"""),"Wala 34")</f>
        <v>Wala 34</v>
      </c>
      <c r="D807" s="5" t="str">
        <f>IFERROR(__xludf.DUMMYFUNCTION("""COMPUTED_VALUE"""),"Starfarer Wreck")</f>
        <v>Starfarer Wreck</v>
      </c>
      <c r="E807" s="7" t="str">
        <f>IFERROR(__xludf.DUMMYFUNCTION("""COMPUTED_VALUE"""),"Starfarer")</f>
        <v>Starfarer</v>
      </c>
      <c r="F807" s="11">
        <f>IFERROR(__xludf.DUMMYFUNCTION("""COMPUTED_VALUE"""),-100.249264566419)</f>
        <v>-100.249264566419</v>
      </c>
      <c r="G807" s="11">
        <f>IFERROR(__xludf.DUMMYFUNCTION("""COMPUTED_VALUE"""),-244.994854275979)</f>
        <v>-244.994854275979</v>
      </c>
      <c r="H807" s="11">
        <f>IFERROR(__xludf.DUMMYFUNCTION("""COMPUTED_VALUE"""),-100.35983566447)</f>
        <v>-100.35983566447</v>
      </c>
      <c r="I807" s="15"/>
      <c r="J807" s="15"/>
      <c r="K807" s="15"/>
      <c r="L807" s="15"/>
      <c r="M807" s="7" t="b">
        <f>IFERROR(__xludf.DUMMYFUNCTION("""COMPUTED_VALUE"""),FALSE)</f>
        <v>0</v>
      </c>
      <c r="N807" s="10">
        <f>IFERROR(__xludf.DUMMYFUNCTION("""COMPUTED_VALUE"""),0)</f>
        <v>0</v>
      </c>
      <c r="O807" s="10">
        <f>IFERROR(__xludf.DUMMYFUNCTION("""COMPUTED_VALUE"""),0)</f>
        <v>0</v>
      </c>
      <c r="P807" s="8"/>
      <c r="Q807" s="7"/>
      <c r="R807" s="16"/>
      <c r="S807" s="17"/>
      <c r="T807" s="8"/>
      <c r="U807" s="8"/>
      <c r="V807" s="22"/>
      <c r="W807" s="12"/>
      <c r="X807" s="12"/>
      <c r="Y807" s="12"/>
      <c r="Z807" s="12"/>
      <c r="AA807" s="7"/>
      <c r="AB807" s="12"/>
      <c r="AC807" s="6"/>
      <c r="AD807" s="6"/>
      <c r="AE807" s="7"/>
      <c r="AF807" s="7"/>
      <c r="AG807" s="7"/>
      <c r="AH807" s="7"/>
      <c r="AI807" s="7"/>
      <c r="AJ807" s="7"/>
      <c r="AK807" s="7"/>
      <c r="AL807" s="7"/>
      <c r="AM807" s="7"/>
      <c r="AN807" s="7"/>
      <c r="AO807" s="6"/>
      <c r="AP807" s="7"/>
      <c r="AQ807" s="7"/>
      <c r="AR807" s="6"/>
      <c r="AS807" s="7"/>
      <c r="AT807" s="7"/>
      <c r="AU807" s="7"/>
      <c r="AV807" s="7"/>
      <c r="AW807" s="7"/>
      <c r="AX807" s="7"/>
      <c r="AY807" s="7"/>
      <c r="AZ807" s="7"/>
      <c r="BA807" s="7"/>
      <c r="BB807" s="7"/>
      <c r="BC807" s="7"/>
      <c r="BD807" s="7"/>
      <c r="BE807" s="7"/>
      <c r="BF807" s="7"/>
      <c r="BG807" s="7"/>
    </row>
    <row r="808" customHeight="1" spans="1:59">
      <c r="A808" s="9" t="str">
        <f>IFERROR(__xludf.DUMMYFUNCTION("""COMPUTED_VALUE"""),"Wala")</f>
        <v>Wala</v>
      </c>
      <c r="B808" s="5" t="str">
        <f>IFERROR(__xludf.DUMMYFUNCTION("""COMPUTED_VALUE"""),"Wala 47")</f>
        <v>Wala 47</v>
      </c>
      <c r="C808" s="5"/>
      <c r="D808" s="5" t="str">
        <f>IFERROR(__xludf.DUMMYFUNCTION("""COMPUTED_VALUE"""),"Comm Array")</f>
        <v>Comm Array</v>
      </c>
      <c r="E808" s="7"/>
      <c r="F808" s="8"/>
      <c r="G808" s="8"/>
      <c r="H808" s="8"/>
      <c r="I808" s="14"/>
      <c r="J808" s="14"/>
      <c r="K808" s="14"/>
      <c r="L808" s="14"/>
      <c r="M808" s="7"/>
      <c r="N808" s="10"/>
      <c r="O808" s="10"/>
      <c r="P808" s="8"/>
      <c r="Q808" s="7"/>
      <c r="R808" s="16"/>
      <c r="S808" s="17"/>
      <c r="T808" s="8"/>
      <c r="U808" s="8"/>
      <c r="V808" s="22"/>
      <c r="W808" s="12"/>
      <c r="X808" s="12"/>
      <c r="Y808" s="12"/>
      <c r="Z808" s="12"/>
      <c r="AA808" s="9"/>
      <c r="AB808" s="12"/>
      <c r="AC808" s="6"/>
      <c r="AD808" s="6"/>
      <c r="AE808" s="7"/>
      <c r="AF808" s="7"/>
      <c r="AG808" s="7"/>
      <c r="AH808" s="7"/>
      <c r="AI808" s="7"/>
      <c r="AJ808" s="7"/>
      <c r="AK808" s="7"/>
      <c r="AL808" s="7"/>
      <c r="AM808" s="7"/>
      <c r="AN808" s="7"/>
      <c r="AO808" s="6"/>
      <c r="AP808" s="7"/>
      <c r="AQ808" s="7"/>
      <c r="AR808" s="6"/>
      <c r="AS808" s="7"/>
      <c r="AT808" s="7"/>
      <c r="AU808" s="7"/>
      <c r="AV808" s="7"/>
      <c r="AW808" s="7"/>
      <c r="AX808" s="7"/>
      <c r="AY808" s="7"/>
      <c r="AZ808" s="7"/>
      <c r="BA808" s="7"/>
      <c r="BB808" s="7"/>
      <c r="BC808" s="7"/>
      <c r="BD808" s="7"/>
      <c r="BE808" s="7"/>
      <c r="BF808" s="7"/>
      <c r="BG808" s="7"/>
    </row>
    <row r="809" customHeight="1" spans="1:59">
      <c r="A809" s="9" t="str">
        <f>IFERROR(__xludf.DUMMYFUNCTION("""COMPUTED_VALUE"""),"Wala 12")</f>
        <v>Wala 12</v>
      </c>
      <c r="B809" s="5" t="str">
        <f>IFERROR(__xludf.DUMMYFUNCTION("""COMPUTED_VALUE"""),"Wala 48")</f>
        <v>Wala 48</v>
      </c>
      <c r="C809" s="5" t="str">
        <f>IFERROR(__xludf.DUMMYFUNCTION("""COMPUTED_VALUE"""),"Wala 28")</f>
        <v>Wala 28</v>
      </c>
      <c r="D809" s="5" t="str">
        <f>IFERROR(__xludf.DUMMYFUNCTION("""COMPUTED_VALUE"""),"Comm Array ST3-35")</f>
        <v>Comm Array ST3-35</v>
      </c>
      <c r="E809" s="7" t="str">
        <f>IFERROR(__xludf.DUMMYFUNCTION("""COMPUTED_VALUE"""),"ST3-35")</f>
        <v>ST3-35</v>
      </c>
      <c r="F809" s="8">
        <f>IFERROR(__xludf.DUMMYFUNCTION("""COMPUTED_VALUE"""),365.821215698242)</f>
        <v>365.821215698242</v>
      </c>
      <c r="G809" s="8">
        <f>IFERROR(__xludf.DUMMYFUNCTION("""COMPUTED_VALUE"""),-257.408219600678)</f>
        <v>-257.408219600678</v>
      </c>
      <c r="H809" s="8">
        <f>IFERROR(__xludf.DUMMYFUNCTION("""COMPUTED_VALUE"""),24)</f>
        <v>24</v>
      </c>
      <c r="I809" s="14"/>
      <c r="J809" s="14"/>
      <c r="K809" s="14"/>
      <c r="L809" s="14"/>
      <c r="M809" s="7" t="b">
        <f>IFERROR(__xludf.DUMMYFUNCTION("""COMPUTED_VALUE"""),TRUE)</f>
        <v>1</v>
      </c>
      <c r="N809" s="10">
        <f>IFERROR(__xludf.DUMMYFUNCTION("""COMPUTED_VALUE"""),0)</f>
        <v>0</v>
      </c>
      <c r="O809" s="10">
        <f>IFERROR(__xludf.DUMMYFUNCTION("""COMPUTED_VALUE"""),0)</f>
        <v>0</v>
      </c>
      <c r="P809" s="8"/>
      <c r="Q809" s="7"/>
      <c r="R809" s="16"/>
      <c r="S809" s="17"/>
      <c r="T809" s="8"/>
      <c r="U809" s="8"/>
      <c r="V809" s="22"/>
      <c r="W809" s="12"/>
      <c r="X809" s="12"/>
      <c r="Y809" s="12"/>
      <c r="Z809" s="12"/>
      <c r="AA809" s="9"/>
      <c r="AB809" s="12"/>
      <c r="AC809" s="6"/>
      <c r="AD809" s="6"/>
      <c r="AE809" s="7"/>
      <c r="AF809" s="7"/>
      <c r="AG809" s="7"/>
      <c r="AH809" s="7"/>
      <c r="AI809" s="7"/>
      <c r="AJ809" s="7"/>
      <c r="AK809" s="7"/>
      <c r="AL809" s="7"/>
      <c r="AM809" s="7"/>
      <c r="AN809" s="7"/>
      <c r="AO809" s="6"/>
      <c r="AP809" s="7"/>
      <c r="AQ809" s="7"/>
      <c r="AR809" s="6"/>
      <c r="AS809" s="7"/>
      <c r="AT809" s="7"/>
      <c r="AU809" s="7"/>
      <c r="AV809" s="7"/>
      <c r="AW809" s="7"/>
      <c r="AX809" s="7"/>
      <c r="AY809" s="7"/>
      <c r="AZ809" s="7"/>
      <c r="BA809" s="7"/>
      <c r="BB809" s="7"/>
      <c r="BC809" s="7"/>
      <c r="BD809" s="7"/>
      <c r="BE809" s="7"/>
      <c r="BF809" s="7"/>
      <c r="BG809" s="7"/>
    </row>
    <row r="810" customHeight="1" spans="1:59">
      <c r="A810" s="9"/>
      <c r="B810" s="5"/>
      <c r="C810" s="5"/>
      <c r="D810" s="5"/>
      <c r="E810" s="7"/>
      <c r="F810" s="8"/>
      <c r="G810" s="8"/>
      <c r="H810" s="8"/>
      <c r="I810" s="14"/>
      <c r="J810" s="14"/>
      <c r="K810" s="14"/>
      <c r="L810" s="14"/>
      <c r="M810" s="7"/>
      <c r="N810" s="10"/>
      <c r="O810" s="10"/>
      <c r="P810" s="8"/>
      <c r="Q810" s="7"/>
      <c r="R810" s="16"/>
      <c r="S810" s="17"/>
      <c r="T810" s="8"/>
      <c r="U810" s="8"/>
      <c r="V810" s="22"/>
      <c r="W810" s="12"/>
      <c r="X810" s="12"/>
      <c r="Y810" s="12"/>
      <c r="Z810" s="12"/>
      <c r="AA810" s="9"/>
      <c r="AB810" s="12"/>
      <c r="AC810" s="6"/>
      <c r="AD810" s="6"/>
      <c r="AE810" s="7"/>
      <c r="AF810" s="7"/>
      <c r="AG810" s="7"/>
      <c r="AH810" s="7"/>
      <c r="AI810" s="7"/>
      <c r="AJ810" s="7"/>
      <c r="AK810" s="7"/>
      <c r="AL810" s="7"/>
      <c r="AM810" s="7"/>
      <c r="AN810" s="7"/>
      <c r="AO810" s="6"/>
      <c r="AP810" s="7"/>
      <c r="AQ810" s="7"/>
      <c r="AR810" s="6"/>
      <c r="AS810" s="7"/>
      <c r="AT810" s="7"/>
      <c r="AU810" s="7"/>
      <c r="AV810" s="7"/>
      <c r="AW810" s="7"/>
      <c r="AX810" s="7"/>
      <c r="AY810" s="7"/>
      <c r="AZ810" s="7"/>
      <c r="BA810" s="7"/>
      <c r="BB810" s="7"/>
      <c r="BC810" s="7"/>
      <c r="BD810" s="7"/>
      <c r="BE810" s="7"/>
      <c r="BF810" s="7"/>
      <c r="BG810" s="7"/>
    </row>
    <row r="811" customHeight="1" spans="1:59">
      <c r="A811" s="9" t="str">
        <f>IFERROR(__xludf.DUMMYFUNCTION("""COMPUTED_VALUE"""),"Yela R01")</f>
        <v>Yela R01</v>
      </c>
      <c r="B811" s="5" t="str">
        <f>IFERROR(__xludf.DUMMYFUNCTION("""COMPUTED_VALUE"""),"Yela 45")</f>
        <v>Yela 45</v>
      </c>
      <c r="C811" s="5"/>
      <c r="D811" s="5" t="str">
        <f>IFERROR(__xludf.DUMMYFUNCTION("""COMPUTED_VALUE"""),"OM-1")</f>
        <v>OM-1</v>
      </c>
      <c r="E811" s="7" t="str">
        <f>IFERROR(__xludf.DUMMYFUNCTION("""COMPUTED_VALUE"""),"OM1")</f>
        <v>OM1</v>
      </c>
      <c r="F811" s="8">
        <f>IFERROR(__xludf.DUMMYFUNCTION("""COMPUTED_VALUE"""),0)</f>
        <v>0</v>
      </c>
      <c r="G811" s="8">
        <f>IFERROR(__xludf.DUMMYFUNCTION("""COMPUTED_VALUE"""),0)</f>
        <v>0</v>
      </c>
      <c r="H811" s="8">
        <f>IFERROR(__xludf.DUMMYFUNCTION("""COMPUTED_VALUE"""),455.483)</f>
        <v>455.483</v>
      </c>
      <c r="I811" s="14"/>
      <c r="J811" s="14"/>
      <c r="K811" s="14"/>
      <c r="L811" s="14"/>
      <c r="M811" s="7" t="b">
        <f>IFERROR(__xludf.DUMMYFUNCTION("""COMPUTED_VALUE"""),TRUE)</f>
        <v>1</v>
      </c>
      <c r="N811" s="10">
        <f>IFERROR(__xludf.DUMMYFUNCTION("""COMPUTED_VALUE"""),0)</f>
        <v>0</v>
      </c>
      <c r="O811" s="10">
        <f>IFERROR(__xludf.DUMMYFUNCTION("""COMPUTED_VALUE"""),0)</f>
        <v>0</v>
      </c>
      <c r="P811" s="8"/>
      <c r="Q811" s="7"/>
      <c r="R811" s="16"/>
      <c r="S811" s="17"/>
      <c r="T811" s="8"/>
      <c r="U811" s="8"/>
      <c r="V811" s="22"/>
      <c r="W811" s="12"/>
      <c r="X811" s="12"/>
      <c r="Y811" s="12"/>
      <c r="Z811" s="12"/>
      <c r="AA811" s="9"/>
      <c r="AB811" s="12"/>
      <c r="AC811" s="6"/>
      <c r="AD811" s="6"/>
      <c r="AE811" s="7"/>
      <c r="AF811" s="7"/>
      <c r="AG811" s="7"/>
      <c r="AH811" s="7"/>
      <c r="AI811" s="7"/>
      <c r="AJ811" s="7"/>
      <c r="AK811" s="7"/>
      <c r="AL811" s="7"/>
      <c r="AM811" s="7"/>
      <c r="AN811" s="7"/>
      <c r="AO811" s="6"/>
      <c r="AP811" s="7"/>
      <c r="AQ811" s="7"/>
      <c r="AR811" s="6"/>
      <c r="AS811" s="7"/>
      <c r="AT811" s="7"/>
      <c r="AU811" s="7"/>
      <c r="AV811" s="7"/>
      <c r="AW811" s="7"/>
      <c r="AX811" s="7"/>
      <c r="AY811" s="7"/>
      <c r="AZ811" s="7"/>
      <c r="BA811" s="7"/>
      <c r="BB811" s="7"/>
      <c r="BC811" s="7"/>
      <c r="BD811" s="7"/>
      <c r="BE811" s="7"/>
      <c r="BF811" s="7"/>
      <c r="BG811" s="7"/>
    </row>
    <row r="812" customHeight="1" spans="1:59">
      <c r="A812" s="9" t="str">
        <f>IFERROR(__xludf.DUMMYFUNCTION("""COMPUTED_VALUE"""),"Yela R02")</f>
        <v>Yela R02</v>
      </c>
      <c r="B812" s="5" t="str">
        <f>IFERROR(__xludf.DUMMYFUNCTION("""COMPUTED_VALUE"""),"Yela 46")</f>
        <v>Yela 46</v>
      </c>
      <c r="C812" s="5"/>
      <c r="D812" s="5" t="str">
        <f>IFERROR(__xludf.DUMMYFUNCTION("""COMPUTED_VALUE"""),"OM-2")</f>
        <v>OM-2</v>
      </c>
      <c r="E812" s="7" t="str">
        <f>IFERROR(__xludf.DUMMYFUNCTION("""COMPUTED_VALUE"""),"OM2")</f>
        <v>OM2</v>
      </c>
      <c r="F812" s="8">
        <f>IFERROR(__xludf.DUMMYFUNCTION("""COMPUTED_VALUE"""),0)</f>
        <v>0</v>
      </c>
      <c r="G812" s="8">
        <f>IFERROR(__xludf.DUMMYFUNCTION("""COMPUTED_VALUE"""),0)</f>
        <v>0</v>
      </c>
      <c r="H812" s="8">
        <f>IFERROR(__xludf.DUMMYFUNCTION("""COMPUTED_VALUE"""),-455.483)</f>
        <v>-455.483</v>
      </c>
      <c r="I812" s="14"/>
      <c r="J812" s="14"/>
      <c r="K812" s="14"/>
      <c r="L812" s="14"/>
      <c r="M812" s="7" t="b">
        <f>IFERROR(__xludf.DUMMYFUNCTION("""COMPUTED_VALUE"""),TRUE)</f>
        <v>1</v>
      </c>
      <c r="N812" s="10">
        <f>IFERROR(__xludf.DUMMYFUNCTION("""COMPUTED_VALUE"""),0)</f>
        <v>0</v>
      </c>
      <c r="O812" s="10">
        <f>IFERROR(__xludf.DUMMYFUNCTION("""COMPUTED_VALUE"""),0)</f>
        <v>0</v>
      </c>
      <c r="P812" s="8"/>
      <c r="Q812" s="7"/>
      <c r="R812" s="16"/>
      <c r="S812" s="17"/>
      <c r="T812" s="8"/>
      <c r="U812" s="8"/>
      <c r="V812" s="22"/>
      <c r="W812" s="12"/>
      <c r="X812" s="12"/>
      <c r="Y812" s="12"/>
      <c r="Z812" s="12"/>
      <c r="AA812" s="9"/>
      <c r="AB812" s="12"/>
      <c r="AC812" s="6"/>
      <c r="AD812" s="6"/>
      <c r="AE812" s="7"/>
      <c r="AF812" s="7"/>
      <c r="AG812" s="7"/>
      <c r="AH812" s="7"/>
      <c r="AI812" s="7"/>
      <c r="AJ812" s="7"/>
      <c r="AK812" s="7"/>
      <c r="AL812" s="7"/>
      <c r="AM812" s="7"/>
      <c r="AN812" s="7"/>
      <c r="AO812" s="6"/>
      <c r="AP812" s="7"/>
      <c r="AQ812" s="7"/>
      <c r="AR812" s="6"/>
      <c r="AS812" s="7"/>
      <c r="AT812" s="7"/>
      <c r="AU812" s="7"/>
      <c r="AV812" s="7"/>
      <c r="AW812" s="7"/>
      <c r="AX812" s="7"/>
      <c r="AY812" s="7"/>
      <c r="AZ812" s="7"/>
      <c r="BA812" s="7"/>
      <c r="BB812" s="7"/>
      <c r="BC812" s="7"/>
      <c r="BD812" s="7"/>
      <c r="BE812" s="7"/>
      <c r="BF812" s="7"/>
      <c r="BG812" s="7"/>
    </row>
    <row r="813" customHeight="1" spans="1:59">
      <c r="A813" s="9" t="str">
        <f>IFERROR(__xludf.DUMMYFUNCTION("""COMPUTED_VALUE"""),"Yela R03")</f>
        <v>Yela R03</v>
      </c>
      <c r="B813" s="5" t="str">
        <f>IFERROR(__xludf.DUMMYFUNCTION("""COMPUTED_VALUE"""),"Yela 47")</f>
        <v>Yela 47</v>
      </c>
      <c r="C813" s="5" t="str">
        <f>IFERROR(__xludf.DUMMYFUNCTION("""COMPUTED_VALUE"""),"Yela 09")</f>
        <v>Yela 09</v>
      </c>
      <c r="D813" s="5" t="str">
        <f>IFERROR(__xludf.DUMMYFUNCTION("""COMPUTED_VALUE"""),"OM-3")</f>
        <v>OM-3</v>
      </c>
      <c r="E813" s="7" t="str">
        <f>IFERROR(__xludf.DUMMYFUNCTION("""COMPUTED_VALUE"""),"OM3")</f>
        <v>OM3</v>
      </c>
      <c r="F813" s="8">
        <f>IFERROR(__xludf.DUMMYFUNCTION("""COMPUTED_VALUE"""),0)</f>
        <v>0</v>
      </c>
      <c r="G813" s="8">
        <f>IFERROR(__xludf.DUMMYFUNCTION("""COMPUTED_VALUE"""),455.483)</f>
        <v>455.483</v>
      </c>
      <c r="H813" s="8">
        <f>IFERROR(__xludf.DUMMYFUNCTION("""COMPUTED_VALUE"""),0)</f>
        <v>0</v>
      </c>
      <c r="I813" s="14"/>
      <c r="J813" s="14"/>
      <c r="K813" s="14"/>
      <c r="L813" s="14"/>
      <c r="M813" s="7" t="b">
        <f>IFERROR(__xludf.DUMMYFUNCTION("""COMPUTED_VALUE"""),TRUE)</f>
        <v>1</v>
      </c>
      <c r="N813" s="10">
        <f>IFERROR(__xludf.DUMMYFUNCTION("""COMPUTED_VALUE"""),0)</f>
        <v>0</v>
      </c>
      <c r="O813" s="10">
        <f>IFERROR(__xludf.DUMMYFUNCTION("""COMPUTED_VALUE"""),0)</f>
        <v>0</v>
      </c>
      <c r="P813" s="8"/>
      <c r="Q813" s="7"/>
      <c r="R813" s="16"/>
      <c r="S813" s="17"/>
      <c r="T813" s="8"/>
      <c r="U813" s="8"/>
      <c r="V813" s="22"/>
      <c r="W813" s="12"/>
      <c r="X813" s="12"/>
      <c r="Y813" s="12"/>
      <c r="Z813" s="12"/>
      <c r="AA813" s="9"/>
      <c r="AB813" s="12"/>
      <c r="AC813" s="6"/>
      <c r="AD813" s="6"/>
      <c r="AE813" s="7"/>
      <c r="AF813" s="7"/>
      <c r="AG813" s="7"/>
      <c r="AH813" s="7"/>
      <c r="AI813" s="7"/>
      <c r="AJ813" s="7"/>
      <c r="AK813" s="7"/>
      <c r="AL813" s="7"/>
      <c r="AM813" s="7"/>
      <c r="AN813" s="7"/>
      <c r="AO813" s="6"/>
      <c r="AP813" s="7"/>
      <c r="AQ813" s="7"/>
      <c r="AR813" s="6"/>
      <c r="AS813" s="7"/>
      <c r="AT813" s="7"/>
      <c r="AU813" s="7"/>
      <c r="AV813" s="7"/>
      <c r="AW813" s="7"/>
      <c r="AX813" s="7"/>
      <c r="AY813" s="7"/>
      <c r="AZ813" s="7"/>
      <c r="BA813" s="7"/>
      <c r="BB813" s="7"/>
      <c r="BC813" s="7"/>
      <c r="BD813" s="7"/>
      <c r="BE813" s="7"/>
      <c r="BF813" s="7"/>
      <c r="BG813" s="7"/>
    </row>
    <row r="814" customHeight="1" spans="1:59">
      <c r="A814" s="9" t="str">
        <f>IFERROR(__xludf.DUMMYFUNCTION("""COMPUTED_VALUE"""),"Yela R04")</f>
        <v>Yela R04</v>
      </c>
      <c r="B814" s="5" t="str">
        <f>IFERROR(__xludf.DUMMYFUNCTION("""COMPUTED_VALUE"""),"Yela 48")</f>
        <v>Yela 48</v>
      </c>
      <c r="C814" s="5" t="str">
        <f>IFERROR(__xludf.DUMMYFUNCTION("""COMPUTED_VALUE"""),"Yela 23")</f>
        <v>Yela 23</v>
      </c>
      <c r="D814" s="5" t="str">
        <f>IFERROR(__xludf.DUMMYFUNCTION("""COMPUTED_VALUE"""),"OM-4")</f>
        <v>OM-4</v>
      </c>
      <c r="E814" s="7" t="str">
        <f>IFERROR(__xludf.DUMMYFUNCTION("""COMPUTED_VALUE"""),"OM4")</f>
        <v>OM4</v>
      </c>
      <c r="F814" s="8">
        <f>IFERROR(__xludf.DUMMYFUNCTION("""COMPUTED_VALUE"""),0)</f>
        <v>0</v>
      </c>
      <c r="G814" s="8">
        <f>IFERROR(__xludf.DUMMYFUNCTION("""COMPUTED_VALUE"""),-455.483)</f>
        <v>-455.483</v>
      </c>
      <c r="H814" s="8">
        <f>IFERROR(__xludf.DUMMYFUNCTION("""COMPUTED_VALUE"""),0)</f>
        <v>0</v>
      </c>
      <c r="I814" s="14"/>
      <c r="J814" s="14"/>
      <c r="K814" s="14"/>
      <c r="L814" s="14"/>
      <c r="M814" s="7" t="b">
        <f>IFERROR(__xludf.DUMMYFUNCTION("""COMPUTED_VALUE"""),TRUE)</f>
        <v>1</v>
      </c>
      <c r="N814" s="10">
        <f>IFERROR(__xludf.DUMMYFUNCTION("""COMPUTED_VALUE"""),0)</f>
        <v>0</v>
      </c>
      <c r="O814" s="10">
        <f>IFERROR(__xludf.DUMMYFUNCTION("""COMPUTED_VALUE"""),0)</f>
        <v>0</v>
      </c>
      <c r="P814" s="8"/>
      <c r="Q814" s="7"/>
      <c r="R814" s="16"/>
      <c r="S814" s="17"/>
      <c r="T814" s="8"/>
      <c r="U814" s="8"/>
      <c r="V814" s="22"/>
      <c r="W814" s="12"/>
      <c r="X814" s="12"/>
      <c r="Y814" s="12"/>
      <c r="Z814" s="12"/>
      <c r="AA814" s="9"/>
      <c r="AB814" s="12"/>
      <c r="AC814" s="6"/>
      <c r="AD814" s="6"/>
      <c r="AE814" s="7"/>
      <c r="AF814" s="7"/>
      <c r="AG814" s="7"/>
      <c r="AH814" s="7"/>
      <c r="AI814" s="7"/>
      <c r="AJ814" s="7"/>
      <c r="AK814" s="7"/>
      <c r="AL814" s="7"/>
      <c r="AM814" s="7"/>
      <c r="AN814" s="7"/>
      <c r="AO814" s="6"/>
      <c r="AP814" s="7"/>
      <c r="AQ814" s="7"/>
      <c r="AR814" s="6"/>
      <c r="AS814" s="7"/>
      <c r="AT814" s="7"/>
      <c r="AU814" s="7"/>
      <c r="AV814" s="7"/>
      <c r="AW814" s="7"/>
      <c r="AX814" s="7"/>
      <c r="AY814" s="7"/>
      <c r="AZ814" s="7"/>
      <c r="BA814" s="7"/>
      <c r="BB814" s="7"/>
      <c r="BC814" s="7"/>
      <c r="BD814" s="7"/>
      <c r="BE814" s="7"/>
      <c r="BF814" s="7"/>
      <c r="BG814" s="7"/>
    </row>
    <row r="815" customHeight="1" spans="1:59">
      <c r="A815" s="9" t="str">
        <f>IFERROR(__xludf.DUMMYFUNCTION("""COMPUTED_VALUE"""),"Yela R05")</f>
        <v>Yela R05</v>
      </c>
      <c r="B815" s="5" t="str">
        <f>IFERROR(__xludf.DUMMYFUNCTION("""COMPUTED_VALUE"""),"Yela 49")</f>
        <v>Yela 49</v>
      </c>
      <c r="C815" s="5" t="str">
        <f>IFERROR(__xludf.DUMMYFUNCTION("""COMPUTED_VALUE"""),"Yela 16")</f>
        <v>Yela 16</v>
      </c>
      <c r="D815" s="5" t="str">
        <f>IFERROR(__xludf.DUMMYFUNCTION("""COMPUTED_VALUE"""),"OM-5")</f>
        <v>OM-5</v>
      </c>
      <c r="E815" s="7" t="str">
        <f>IFERROR(__xludf.DUMMYFUNCTION("""COMPUTED_VALUE"""),"OM5")</f>
        <v>OM5</v>
      </c>
      <c r="F815" s="8">
        <f>IFERROR(__xludf.DUMMYFUNCTION("""COMPUTED_VALUE"""),455.483)</f>
        <v>455.483</v>
      </c>
      <c r="G815" s="8">
        <f>IFERROR(__xludf.DUMMYFUNCTION("""COMPUTED_VALUE"""),0)</f>
        <v>0</v>
      </c>
      <c r="H815" s="8">
        <f>IFERROR(__xludf.DUMMYFUNCTION("""COMPUTED_VALUE"""),0)</f>
        <v>0</v>
      </c>
      <c r="I815" s="14"/>
      <c r="J815" s="14"/>
      <c r="K815" s="14"/>
      <c r="L815" s="14"/>
      <c r="M815" s="7" t="b">
        <f>IFERROR(__xludf.DUMMYFUNCTION("""COMPUTED_VALUE"""),TRUE)</f>
        <v>1</v>
      </c>
      <c r="N815" s="10">
        <f>IFERROR(__xludf.DUMMYFUNCTION("""COMPUTED_VALUE"""),0)</f>
        <v>0</v>
      </c>
      <c r="O815" s="10">
        <f>IFERROR(__xludf.DUMMYFUNCTION("""COMPUTED_VALUE"""),0)</f>
        <v>0</v>
      </c>
      <c r="P815" s="8"/>
      <c r="Q815" s="7"/>
      <c r="R815" s="16"/>
      <c r="S815" s="17"/>
      <c r="T815" s="8"/>
      <c r="U815" s="8"/>
      <c r="V815" s="22"/>
      <c r="W815" s="12"/>
      <c r="X815" s="12"/>
      <c r="Y815" s="12"/>
      <c r="Z815" s="12"/>
      <c r="AA815" s="9"/>
      <c r="AB815" s="12"/>
      <c r="AC815" s="6"/>
      <c r="AD815" s="6"/>
      <c r="AE815" s="7"/>
      <c r="AF815" s="7"/>
      <c r="AG815" s="7"/>
      <c r="AH815" s="7"/>
      <c r="AI815" s="7"/>
      <c r="AJ815" s="7"/>
      <c r="AK815" s="7"/>
      <c r="AL815" s="7"/>
      <c r="AM815" s="7"/>
      <c r="AN815" s="7"/>
      <c r="AO815" s="6"/>
      <c r="AP815" s="7"/>
      <c r="AQ815" s="7"/>
      <c r="AR815" s="6"/>
      <c r="AS815" s="7"/>
      <c r="AT815" s="7"/>
      <c r="AU815" s="7"/>
      <c r="AV815" s="7"/>
      <c r="AW815" s="7"/>
      <c r="AX815" s="7"/>
      <c r="AY815" s="7"/>
      <c r="AZ815" s="7"/>
      <c r="BA815" s="7"/>
      <c r="BB815" s="7"/>
      <c r="BC815" s="7"/>
      <c r="BD815" s="7"/>
      <c r="BE815" s="7"/>
      <c r="BF815" s="7"/>
      <c r="BG815" s="7"/>
    </row>
    <row r="816" customHeight="1" spans="1:59">
      <c r="A816" s="9" t="str">
        <f>IFERROR(__xludf.DUMMYFUNCTION("""COMPUTED_VALUE"""),"Yela R06")</f>
        <v>Yela R06</v>
      </c>
      <c r="B816" s="5" t="str">
        <f>IFERROR(__xludf.DUMMYFUNCTION("""COMPUTED_VALUE"""),"Yela 50")</f>
        <v>Yela 50</v>
      </c>
      <c r="C816" s="5" t="str">
        <f>IFERROR(__xludf.DUMMYFUNCTION("""COMPUTED_VALUE"""),"Yela 31")</f>
        <v>Yela 31</v>
      </c>
      <c r="D816" s="5" t="str">
        <f>IFERROR(__xludf.DUMMYFUNCTION("""COMPUTED_VALUE"""),"OM-6")</f>
        <v>OM-6</v>
      </c>
      <c r="E816" s="7" t="str">
        <f>IFERROR(__xludf.DUMMYFUNCTION("""COMPUTED_VALUE"""),"OM6")</f>
        <v>OM6</v>
      </c>
      <c r="F816" s="8">
        <f>IFERROR(__xludf.DUMMYFUNCTION("""COMPUTED_VALUE"""),-455.483)</f>
        <v>-455.483</v>
      </c>
      <c r="G816" s="8">
        <f>IFERROR(__xludf.DUMMYFUNCTION("""COMPUTED_VALUE"""),0)</f>
        <v>0</v>
      </c>
      <c r="H816" s="8">
        <f>IFERROR(__xludf.DUMMYFUNCTION("""COMPUTED_VALUE"""),0)</f>
        <v>0</v>
      </c>
      <c r="I816" s="14"/>
      <c r="J816" s="14"/>
      <c r="K816" s="14"/>
      <c r="L816" s="14"/>
      <c r="M816" s="7" t="b">
        <f>IFERROR(__xludf.DUMMYFUNCTION("""COMPUTED_VALUE"""),TRUE)</f>
        <v>1</v>
      </c>
      <c r="N816" s="10">
        <f>IFERROR(__xludf.DUMMYFUNCTION("""COMPUTED_VALUE"""),0)</f>
        <v>0</v>
      </c>
      <c r="O816" s="10">
        <f>IFERROR(__xludf.DUMMYFUNCTION("""COMPUTED_VALUE"""),0)</f>
        <v>0</v>
      </c>
      <c r="P816" s="8"/>
      <c r="Q816" s="7"/>
      <c r="R816" s="16"/>
      <c r="S816" s="17"/>
      <c r="T816" s="8"/>
      <c r="U816" s="8"/>
      <c r="V816" s="22"/>
      <c r="W816" s="12"/>
      <c r="X816" s="12"/>
      <c r="Y816" s="12"/>
      <c r="Z816" s="12"/>
      <c r="AA816" s="9"/>
      <c r="AB816" s="12"/>
      <c r="AC816" s="6"/>
      <c r="AD816" s="6"/>
      <c r="AE816" s="7"/>
      <c r="AF816" s="7"/>
      <c r="AG816" s="7"/>
      <c r="AH816" s="7"/>
      <c r="AI816" s="7"/>
      <c r="AJ816" s="7"/>
      <c r="AK816" s="7"/>
      <c r="AL816" s="7"/>
      <c r="AM816" s="7"/>
      <c r="AN816" s="7"/>
      <c r="AO816" s="6"/>
      <c r="AP816" s="7"/>
      <c r="AQ816" s="7"/>
      <c r="AR816" s="6"/>
      <c r="AS816" s="7"/>
      <c r="AT816" s="7"/>
      <c r="AU816" s="7"/>
      <c r="AV816" s="7"/>
      <c r="AW816" s="7"/>
      <c r="AX816" s="7"/>
      <c r="AY816" s="7"/>
      <c r="AZ816" s="7"/>
      <c r="BA816" s="7"/>
      <c r="BB816" s="7"/>
      <c r="BC816" s="7"/>
      <c r="BD816" s="7"/>
      <c r="BE816" s="7"/>
      <c r="BF816" s="7"/>
      <c r="BG816" s="7"/>
    </row>
    <row r="817" customHeight="1" spans="1:59">
      <c r="A817" s="9" t="str">
        <f>IFERROR(__xludf.DUMMYFUNCTION("""COMPUTED_VALUE"""),"Yela")</f>
        <v>Yela</v>
      </c>
      <c r="B817" s="5" t="str">
        <f>IFERROR(__xludf.DUMMYFUNCTION("""COMPUTED_VALUE"""),"Yela 00")</f>
        <v>Yela 00</v>
      </c>
      <c r="C817" s="5"/>
      <c r="D817" s="5" t="str">
        <f>IFERROR(__xludf.DUMMYFUNCTION("""COMPUTED_VALUE"""),"Landing Zone")</f>
        <v>Landing Zone</v>
      </c>
      <c r="E817" s="7"/>
      <c r="F817" s="8"/>
      <c r="G817" s="8"/>
      <c r="H817" s="8"/>
      <c r="I817" s="14"/>
      <c r="J817" s="14"/>
      <c r="K817" s="14"/>
      <c r="L817" s="14"/>
      <c r="M817" s="7"/>
      <c r="N817" s="10"/>
      <c r="O817" s="10"/>
      <c r="P817" s="8"/>
      <c r="Q817" s="7"/>
      <c r="R817" s="16"/>
      <c r="S817" s="17"/>
      <c r="T817" s="8"/>
      <c r="U817" s="8"/>
      <c r="V817" s="22"/>
      <c r="W817" s="12"/>
      <c r="X817" s="12"/>
      <c r="Y817" s="12"/>
      <c r="Z817" s="12"/>
      <c r="AA817" s="9"/>
      <c r="AB817" s="12"/>
      <c r="AC817" s="6"/>
      <c r="AD817" s="6"/>
      <c r="AE817" s="7"/>
      <c r="AF817" s="7"/>
      <c r="AG817" s="7"/>
      <c r="AH817" s="7"/>
      <c r="AI817" s="7"/>
      <c r="AJ817" s="7"/>
      <c r="AK817" s="7"/>
      <c r="AL817" s="7"/>
      <c r="AM817" s="7"/>
      <c r="AN817" s="7"/>
      <c r="AO817" s="6"/>
      <c r="AP817" s="7"/>
      <c r="AQ817" s="7"/>
      <c r="AR817" s="6"/>
      <c r="AS817" s="7"/>
      <c r="AT817" s="7"/>
      <c r="AU817" s="7"/>
      <c r="AV817" s="7"/>
      <c r="AW817" s="7"/>
      <c r="AX817" s="7"/>
      <c r="AY817" s="7"/>
      <c r="AZ817" s="7"/>
      <c r="BA817" s="7"/>
      <c r="BB817" s="7"/>
      <c r="BC817" s="7"/>
      <c r="BD817" s="7"/>
      <c r="BE817" s="7"/>
      <c r="BF817" s="7"/>
      <c r="BG817" s="7"/>
    </row>
    <row r="818" customHeight="1" spans="1:59">
      <c r="A818" s="9" t="str">
        <f>IFERROR(__xludf.DUMMYFUNCTION("""COMPUTED_VALUE"""),"Yela 01")</f>
        <v>Yela 01</v>
      </c>
      <c r="B818" s="5" t="str">
        <f>IFERROR(__xludf.DUMMYFUNCTION("""COMPUTED_VALUE"""),"Yela 01")</f>
        <v>Yela 01</v>
      </c>
      <c r="C818" s="5" t="str">
        <f>IFERROR(__xludf.DUMMYFUNCTION("""COMPUTED_VALUE"""),"Yela 04")</f>
        <v>Yela 04</v>
      </c>
      <c r="D818" s="5" t="str">
        <f>IFERROR(__xludf.DUMMYFUNCTION("""COMPUTED_VALUE"""),"Grim HEX")</f>
        <v>Grim HEX</v>
      </c>
      <c r="E818" s="7" t="str">
        <f>IFERROR(__xludf.DUMMYFUNCTION("""COMPUTED_VALUE"""),"GrimHEX")</f>
        <v>GrimHEX</v>
      </c>
      <c r="F818" s="10">
        <f>IFERROR(__xludf.DUMMYFUNCTION("""COMPUTED_VALUE"""),-568.6586875)</f>
        <v>-568.6586875</v>
      </c>
      <c r="G818" s="10">
        <f>IFERROR(__xludf.DUMMYFUNCTION("""COMPUTED_VALUE"""),383.56525)</f>
        <v>383.56525</v>
      </c>
      <c r="H818" s="10">
        <f>IFERROR(__xludf.DUMMYFUNCTION("""COMPUTED_VALUE"""),-2.042)</f>
        <v>-2.042</v>
      </c>
      <c r="I818" s="13"/>
      <c r="J818" s="13"/>
      <c r="K818" s="13"/>
      <c r="L818" s="13"/>
      <c r="M818" s="7" t="b">
        <f>IFERROR(__xludf.DUMMYFUNCTION("""COMPUTED_VALUE"""),TRUE)</f>
        <v>1</v>
      </c>
      <c r="N818" s="10">
        <f>IFERROR(__xludf.DUMMYFUNCTION("""COMPUTED_VALUE"""),0)</f>
        <v>0</v>
      </c>
      <c r="O818" s="10">
        <f>IFERROR(__xludf.DUMMYFUNCTION("""COMPUTED_VALUE"""),0)</f>
        <v>0</v>
      </c>
      <c r="P818" s="10"/>
      <c r="Q818" s="6"/>
      <c r="R818" s="16"/>
      <c r="S818" s="17"/>
      <c r="T818" s="10"/>
      <c r="U818" s="10"/>
      <c r="V818" s="22"/>
      <c r="W818" s="12"/>
      <c r="X818" s="12"/>
      <c r="Y818" s="12"/>
      <c r="Z818" s="12"/>
      <c r="AA818" s="6"/>
      <c r="AB818" s="12"/>
      <c r="AC818" s="6"/>
      <c r="AD818" s="6"/>
      <c r="AE818" s="7"/>
      <c r="AF818" s="7"/>
      <c r="AG818" s="7"/>
      <c r="AH818" s="7"/>
      <c r="AI818" s="7"/>
      <c r="AJ818" s="7"/>
      <c r="AK818" s="7"/>
      <c r="AL818" s="7"/>
      <c r="AM818" s="7"/>
      <c r="AN818" s="7"/>
      <c r="AO818" s="6"/>
      <c r="AP818" s="7"/>
      <c r="AQ818" s="7"/>
      <c r="AR818" s="6"/>
      <c r="AS818" s="6"/>
      <c r="AT818" s="6"/>
      <c r="AU818" s="6"/>
      <c r="AV818" s="6"/>
      <c r="AW818" s="6"/>
      <c r="AX818" s="6"/>
      <c r="AY818" s="6"/>
      <c r="AZ818" s="6"/>
      <c r="BA818" s="6"/>
      <c r="BB818" s="6"/>
      <c r="BC818" s="6"/>
      <c r="BD818" s="6"/>
      <c r="BE818" s="6"/>
      <c r="BF818" s="6"/>
      <c r="BG818" s="6"/>
    </row>
    <row r="819" customHeight="1" spans="1:59">
      <c r="A819" s="9" t="str">
        <f>IFERROR(__xludf.DUMMYFUNCTION("""COMPUTED_VALUE"""),"Yela")</f>
        <v>Yela</v>
      </c>
      <c r="B819" s="9" t="str">
        <f>IFERROR(__xludf.DUMMYFUNCTION("""COMPUTED_VALUE"""),"Yela 03")</f>
        <v>Yela 03</v>
      </c>
      <c r="C819" s="9"/>
      <c r="D819" s="5" t="str">
        <f>IFERROR(__xludf.DUMMYFUNCTION("""COMPUTED_VALUE"""),"Trading Terminals")</f>
        <v>Trading Terminals</v>
      </c>
      <c r="E819" s="7"/>
      <c r="F819" s="11"/>
      <c r="G819" s="11"/>
      <c r="H819" s="11"/>
      <c r="I819" s="15"/>
      <c r="J819" s="15"/>
      <c r="K819" s="15"/>
      <c r="L819" s="15"/>
      <c r="M819" s="7"/>
      <c r="N819" s="10"/>
      <c r="O819" s="10"/>
      <c r="P819" s="8"/>
      <c r="Q819" s="7"/>
      <c r="R819" s="16"/>
      <c r="S819" s="17"/>
      <c r="T819" s="8"/>
      <c r="U819" s="8"/>
      <c r="V819" s="22"/>
      <c r="W819" s="12"/>
      <c r="X819" s="12"/>
      <c r="Y819" s="12"/>
      <c r="Z819" s="12"/>
      <c r="AA819" s="7"/>
      <c r="AB819" s="12"/>
      <c r="AC819" s="6"/>
      <c r="AD819" s="6"/>
      <c r="AE819" s="7"/>
      <c r="AF819" s="7"/>
      <c r="AG819" s="7"/>
      <c r="AH819" s="7"/>
      <c r="AI819" s="7"/>
      <c r="AJ819" s="7"/>
      <c r="AK819" s="7"/>
      <c r="AL819" s="7"/>
      <c r="AM819" s="7"/>
      <c r="AN819" s="7"/>
      <c r="AO819" s="6"/>
      <c r="AP819" s="7"/>
      <c r="AQ819" s="7"/>
      <c r="AR819" s="6"/>
      <c r="AS819" s="7"/>
      <c r="AT819" s="7"/>
      <c r="AU819" s="7"/>
      <c r="AV819" s="7"/>
      <c r="AW819" s="7"/>
      <c r="AX819" s="7"/>
      <c r="AY819" s="7"/>
      <c r="AZ819" s="7"/>
      <c r="BA819" s="7"/>
      <c r="BB819" s="7"/>
      <c r="BC819" s="7"/>
      <c r="BD819" s="7"/>
      <c r="BE819" s="7"/>
      <c r="BF819" s="7"/>
      <c r="BG819" s="7"/>
    </row>
    <row r="820" customHeight="1" spans="1:59">
      <c r="A820" s="9" t="str">
        <f>IFERROR(__xludf.DUMMYFUNCTION("""COMPUTED_VALUE"""),"Yela 02")</f>
        <v>Yela 02</v>
      </c>
      <c r="B820" s="9" t="str">
        <f>IFERROR(__xludf.DUMMYFUNCTION("""COMPUTED_VALUE"""),"Yela 04")</f>
        <v>Yela 04</v>
      </c>
      <c r="C820" s="9" t="str">
        <f>IFERROR(__xludf.DUMMYFUNCTION("""COMPUTED_VALUE"""),"Yela 10")</f>
        <v>Yela 10</v>
      </c>
      <c r="D820" s="5" t="str">
        <f>IFERROR(__xludf.DUMMYFUNCTION("""COMPUTED_VALUE"""),"ArcCorp Mining Area 157 (PB)")</f>
        <v>ArcCorp Mining Area 157 (PB)</v>
      </c>
      <c r="E820" s="7" t="str">
        <f>IFERROR(__xludf.DUMMYFUNCTION("""COMPUTED_VALUE"""),"ArcCorp 157")</f>
        <v>ArcCorp 157</v>
      </c>
      <c r="F820" s="11">
        <f>IFERROR(__xludf.DUMMYFUNCTION("""COMPUTED_VALUE"""),6.02297747799999)</f>
        <v>6.02297747799999</v>
      </c>
      <c r="G820" s="11">
        <f>IFERROR(__xludf.DUMMYFUNCTION("""COMPUTED_VALUE"""),222.356216484)</f>
        <v>222.356216484</v>
      </c>
      <c r="H820" s="11">
        <f>IFERROR(__xludf.DUMMYFUNCTION("""COMPUTED_VALUE"""),220.312841504999)</f>
        <v>220.312841504999</v>
      </c>
      <c r="I820" s="15"/>
      <c r="J820" s="15"/>
      <c r="K820" s="15"/>
      <c r="L820" s="15"/>
      <c r="M820" s="7" t="b">
        <f>IFERROR(__xludf.DUMMYFUNCTION("""COMPUTED_VALUE"""),TRUE)</f>
        <v>1</v>
      </c>
      <c r="N820" s="10">
        <f>IFERROR(__xludf.DUMMYFUNCTION("""COMPUTED_VALUE"""),0)</f>
        <v>0</v>
      </c>
      <c r="O820" s="10">
        <f>IFERROR(__xludf.DUMMYFUNCTION("""COMPUTED_VALUE"""),0)</f>
        <v>0</v>
      </c>
      <c r="P820" s="8"/>
      <c r="Q820" s="7"/>
      <c r="R820" s="16"/>
      <c r="S820" s="17"/>
      <c r="T820" s="8"/>
      <c r="U820" s="8"/>
      <c r="V820" s="22"/>
      <c r="W820" s="12"/>
      <c r="X820" s="12"/>
      <c r="Y820" s="12"/>
      <c r="Z820" s="12"/>
      <c r="AA820" s="7"/>
      <c r="AB820" s="12"/>
      <c r="AC820" s="6"/>
      <c r="AD820" s="6"/>
      <c r="AE820" s="7"/>
      <c r="AF820" s="7"/>
      <c r="AG820" s="7"/>
      <c r="AH820" s="7"/>
      <c r="AI820" s="7"/>
      <c r="AJ820" s="7"/>
      <c r="AK820" s="7"/>
      <c r="AL820" s="7"/>
      <c r="AM820" s="7"/>
      <c r="AN820" s="7"/>
      <c r="AO820" s="6"/>
      <c r="AP820" s="7"/>
      <c r="AQ820" s="7"/>
      <c r="AR820" s="6"/>
      <c r="AS820" s="7"/>
      <c r="AT820" s="7"/>
      <c r="AU820" s="7"/>
      <c r="AV820" s="7"/>
      <c r="AW820" s="7"/>
      <c r="AX820" s="7"/>
      <c r="AY820" s="7"/>
      <c r="AZ820" s="7"/>
      <c r="BA820" s="7"/>
      <c r="BB820" s="7"/>
      <c r="BC820" s="7"/>
      <c r="BD820" s="7"/>
      <c r="BE820" s="7"/>
      <c r="BF820" s="7"/>
      <c r="BG820" s="7"/>
    </row>
    <row r="821" customHeight="1" spans="1:59">
      <c r="A821" s="9" t="str">
        <f>IFERROR(__xludf.DUMMYFUNCTION("""COMPUTED_VALUE"""),"Yela 03")</f>
        <v>Yela 03</v>
      </c>
      <c r="B821" s="9" t="str">
        <f>IFERROR(__xludf.DUMMYFUNCTION("""COMPUTED_VALUE"""),"Yela 05")</f>
        <v>Yela 05</v>
      </c>
      <c r="C821" s="9" t="str">
        <f>IFERROR(__xludf.DUMMYFUNCTION("""COMPUTED_VALUE"""),"Yela 21")</f>
        <v>Yela 21</v>
      </c>
      <c r="D821" s="5" t="str">
        <f>IFERROR(__xludf.DUMMYFUNCTION("""COMPUTED_VALUE"""),"Benson Mining Outpost")</f>
        <v>Benson Mining Outpost</v>
      </c>
      <c r="E821" s="7" t="str">
        <f>IFERROR(__xludf.DUMMYFUNCTION("""COMPUTED_VALUE"""),"Benson")</f>
        <v>Benson</v>
      </c>
      <c r="F821" s="11">
        <f>IFERROR(__xludf.DUMMYFUNCTION("""COMPUTED_VALUE"""),48.9981152789999)</f>
        <v>48.9981152789999</v>
      </c>
      <c r="G821" s="11">
        <f>IFERROR(__xludf.DUMMYFUNCTION("""COMPUTED_VALUE"""),-275.606333017)</f>
        <v>-275.606333017</v>
      </c>
      <c r="H821" s="11">
        <f>IFERROR(__xludf.DUMMYFUNCTION("""COMPUTED_VALUE"""),-140.136025793)</f>
        <v>-140.136025793</v>
      </c>
      <c r="I821" s="15"/>
      <c r="J821" s="15"/>
      <c r="K821" s="15"/>
      <c r="L821" s="15"/>
      <c r="M821" s="7" t="b">
        <f>IFERROR(__xludf.DUMMYFUNCTION("""COMPUTED_VALUE"""),TRUE)</f>
        <v>1</v>
      </c>
      <c r="N821" s="10">
        <f>IFERROR(__xludf.DUMMYFUNCTION("""COMPUTED_VALUE"""),0)</f>
        <v>0</v>
      </c>
      <c r="O821" s="10">
        <f>IFERROR(__xludf.DUMMYFUNCTION("""COMPUTED_VALUE"""),0)</f>
        <v>0</v>
      </c>
      <c r="P821" s="8"/>
      <c r="Q821" s="7"/>
      <c r="R821" s="16"/>
      <c r="S821" s="17"/>
      <c r="T821" s="8"/>
      <c r="U821" s="8"/>
      <c r="V821" s="22"/>
      <c r="W821" s="12"/>
      <c r="X821" s="12"/>
      <c r="Y821" s="12"/>
      <c r="Z821" s="12"/>
      <c r="AA821" s="7"/>
      <c r="AB821" s="12"/>
      <c r="AC821" s="6"/>
      <c r="AD821" s="6"/>
      <c r="AE821" s="7"/>
      <c r="AF821" s="7"/>
      <c r="AG821" s="7"/>
      <c r="AH821" s="7"/>
      <c r="AI821" s="7"/>
      <c r="AJ821" s="7"/>
      <c r="AK821" s="7"/>
      <c r="AL821" s="7"/>
      <c r="AM821" s="7"/>
      <c r="AN821" s="7"/>
      <c r="AO821" s="6"/>
      <c r="AP821" s="7"/>
      <c r="AQ821" s="7"/>
      <c r="AR821" s="6"/>
      <c r="AS821" s="7"/>
      <c r="AT821" s="7"/>
      <c r="AU821" s="7"/>
      <c r="AV821" s="7"/>
      <c r="AW821" s="7"/>
      <c r="AX821" s="7"/>
      <c r="AY821" s="7"/>
      <c r="AZ821" s="7"/>
      <c r="BA821" s="7"/>
      <c r="BB821" s="7"/>
      <c r="BC821" s="7"/>
      <c r="BD821" s="7"/>
      <c r="BE821" s="7"/>
      <c r="BF821" s="7"/>
      <c r="BG821" s="7"/>
    </row>
    <row r="822" customHeight="1" spans="1:59">
      <c r="A822" s="9" t="str">
        <f>IFERROR(__xludf.DUMMYFUNCTION("""COMPUTED_VALUE"""),"Yela 04")</f>
        <v>Yela 04</v>
      </c>
      <c r="B822" s="9" t="str">
        <f>IFERROR(__xludf.DUMMYFUNCTION("""COMPUTED_VALUE"""),"Yela 06")</f>
        <v>Yela 06</v>
      </c>
      <c r="C822" s="9" t="str">
        <f>IFERROR(__xludf.DUMMYFUNCTION("""COMPUTED_VALUE"""),"Yela 19")</f>
        <v>Yela 19</v>
      </c>
      <c r="D822" s="5" t="str">
        <f>IFERROR(__xludf.DUMMYFUNCTION("""COMPUTED_VALUE"""),"Deakins Research Outpost (PB)")</f>
        <v>Deakins Research Outpost (PB)</v>
      </c>
      <c r="E822" s="7" t="str">
        <f>IFERROR(__xludf.DUMMYFUNCTION("""COMPUTED_VALUE"""),"Deakins")</f>
        <v>Deakins</v>
      </c>
      <c r="F822" s="11">
        <f>IFERROR(__xludf.DUMMYFUNCTION("""COMPUTED_VALUE"""),231.58705872)</f>
        <v>231.58705872</v>
      </c>
      <c r="G822" s="11">
        <f>IFERROR(__xludf.DUMMYFUNCTION("""COMPUTED_VALUE"""),-210.279324693)</f>
        <v>-210.279324693</v>
      </c>
      <c r="H822" s="11">
        <f>IFERROR(__xludf.DUMMYFUNCTION("""COMPUTED_VALUE"""),13.277539822)</f>
        <v>13.277539822</v>
      </c>
      <c r="I822" s="15"/>
      <c r="J822" s="15"/>
      <c r="K822" s="15"/>
      <c r="L822" s="15"/>
      <c r="M822" s="7" t="b">
        <f>IFERROR(__xludf.DUMMYFUNCTION("""COMPUTED_VALUE"""),TRUE)</f>
        <v>1</v>
      </c>
      <c r="N822" s="10">
        <f>IFERROR(__xludf.DUMMYFUNCTION("""COMPUTED_VALUE"""),0)</f>
        <v>0</v>
      </c>
      <c r="O822" s="10">
        <f>IFERROR(__xludf.DUMMYFUNCTION("""COMPUTED_VALUE"""),0)</f>
        <v>0</v>
      </c>
      <c r="P822" s="8"/>
      <c r="Q822" s="7"/>
      <c r="R822" s="16"/>
      <c r="S822" s="17"/>
      <c r="T822" s="8"/>
      <c r="U822" s="8"/>
      <c r="V822" s="22"/>
      <c r="W822" s="12"/>
      <c r="X822" s="12"/>
      <c r="Y822" s="12"/>
      <c r="Z822" s="12"/>
      <c r="AA822" s="7"/>
      <c r="AB822" s="12"/>
      <c r="AC822" s="6"/>
      <c r="AD822" s="6"/>
      <c r="AE822" s="7"/>
      <c r="AF822" s="7"/>
      <c r="AG822" s="7"/>
      <c r="AH822" s="7"/>
      <c r="AI822" s="7"/>
      <c r="AJ822" s="7"/>
      <c r="AK822" s="7"/>
      <c r="AL822" s="7"/>
      <c r="AM822" s="7"/>
      <c r="AN822" s="7"/>
      <c r="AO822" s="6"/>
      <c r="AP822" s="7"/>
      <c r="AQ822" s="7"/>
      <c r="AR822" s="6"/>
      <c r="AS822" s="7"/>
      <c r="AT822" s="7"/>
      <c r="AU822" s="7"/>
      <c r="AV822" s="7"/>
      <c r="AW822" s="7"/>
      <c r="AX822" s="7"/>
      <c r="AY822" s="7"/>
      <c r="AZ822" s="7"/>
      <c r="BA822" s="7"/>
      <c r="BB822" s="7"/>
      <c r="BC822" s="7"/>
      <c r="BD822" s="7"/>
      <c r="BE822" s="7"/>
      <c r="BF822" s="7"/>
      <c r="BG822" s="7"/>
    </row>
    <row r="823" customHeight="1" spans="1:59">
      <c r="A823" s="9" t="str">
        <f>IFERROR(__xludf.DUMMYFUNCTION("""COMPUTED_VALUE"""),"Yela 05")</f>
        <v>Yela 05</v>
      </c>
      <c r="B823" s="9" t="str">
        <f>IFERROR(__xludf.DUMMYFUNCTION("""COMPUTED_VALUE"""),"Yela 07")</f>
        <v>Yela 07</v>
      </c>
      <c r="C823" s="9" t="str">
        <f>IFERROR(__xludf.DUMMYFUNCTION("""COMPUTED_VALUE"""),"Yela 30")</f>
        <v>Yela 30</v>
      </c>
      <c r="D823" s="5" t="str">
        <f>IFERROR(__xludf.DUMMYFUNCTION("""COMPUTED_VALUE"""),"Yela Stash House (NT-999-XX)")</f>
        <v>Yela Stash House (NT-999-XX)</v>
      </c>
      <c r="E823" s="7" t="str">
        <f>IFERROR(__xludf.DUMMYFUNCTION("""COMPUTED_VALUE"""),"Stash House")</f>
        <v>Stash House</v>
      </c>
      <c r="F823" s="11">
        <f>IFERROR(__xludf.DUMMYFUNCTION("""COMPUTED_VALUE"""),-205.658644808999)</f>
        <v>-205.658644808999</v>
      </c>
      <c r="G823" s="11">
        <f>IFERROR(__xludf.DUMMYFUNCTION("""COMPUTED_VALUE"""),-73.9878218179999)</f>
        <v>-73.9878218179999</v>
      </c>
      <c r="H823" s="11">
        <f>IFERROR(__xludf.DUMMYFUNCTION("""COMPUTED_VALUE"""),224.324660814)</f>
        <v>224.324660814</v>
      </c>
      <c r="I823" s="15"/>
      <c r="J823" s="15"/>
      <c r="K823" s="15"/>
      <c r="L823" s="15"/>
      <c r="M823" s="7" t="b">
        <f>IFERROR(__xludf.DUMMYFUNCTION("""COMPUTED_VALUE"""),TRUE)</f>
        <v>1</v>
      </c>
      <c r="N823" s="10">
        <f>IFERROR(__xludf.DUMMYFUNCTION("""COMPUTED_VALUE"""),0)</f>
        <v>0</v>
      </c>
      <c r="O823" s="10">
        <f>IFERROR(__xludf.DUMMYFUNCTION("""COMPUTED_VALUE"""),0)</f>
        <v>0</v>
      </c>
      <c r="P823" s="8"/>
      <c r="Q823" s="7"/>
      <c r="R823" s="16"/>
      <c r="S823" s="17"/>
      <c r="T823" s="8"/>
      <c r="U823" s="8"/>
      <c r="V823" s="22"/>
      <c r="W823" s="12"/>
      <c r="X823" s="12"/>
      <c r="Y823" s="12"/>
      <c r="Z823" s="12"/>
      <c r="AA823" s="7"/>
      <c r="AB823" s="12"/>
      <c r="AC823" s="6"/>
      <c r="AD823" s="6"/>
      <c r="AE823" s="7"/>
      <c r="AF823" s="7"/>
      <c r="AG823" s="7"/>
      <c r="AH823" s="7"/>
      <c r="AI823" s="7"/>
      <c r="AJ823" s="7"/>
      <c r="AK823" s="7"/>
      <c r="AL823" s="7"/>
      <c r="AM823" s="7"/>
      <c r="AN823" s="7"/>
      <c r="AO823" s="6"/>
      <c r="AP823" s="7"/>
      <c r="AQ823" s="7"/>
      <c r="AR823" s="6"/>
      <c r="AS823" s="7"/>
      <c r="AT823" s="7"/>
      <c r="AU823" s="7"/>
      <c r="AV823" s="7"/>
      <c r="AW823" s="7"/>
      <c r="AX823" s="7"/>
      <c r="AY823" s="7"/>
      <c r="AZ823" s="7"/>
      <c r="BA823" s="7"/>
      <c r="BB823" s="7"/>
      <c r="BC823" s="7"/>
      <c r="BD823" s="7"/>
      <c r="BE823" s="7"/>
      <c r="BF823" s="7"/>
      <c r="BG823" s="7"/>
    </row>
    <row r="824" customHeight="1" spans="1:59">
      <c r="A824" s="9" t="str">
        <f>IFERROR(__xludf.DUMMYFUNCTION("""COMPUTED_VALUE"""),"Yela")</f>
        <v>Yela</v>
      </c>
      <c r="B824" s="9" t="str">
        <f>IFERROR(__xludf.DUMMYFUNCTION("""COMPUTED_VALUE"""),"Yela 09")</f>
        <v>Yela 09</v>
      </c>
      <c r="C824" s="9" t="str">
        <f>IFERROR(__xludf.DUMMYFUNCTION("""COMPUTED_VALUE"""),"Yela")</f>
        <v>Yela</v>
      </c>
      <c r="D824" s="5" t="str">
        <f>IFERROR(__xludf.DUMMYFUNCTION("""COMPUTED_VALUE"""),"Underground Bunker Facilities")</f>
        <v>Underground Bunker Facilities</v>
      </c>
      <c r="E824" s="7"/>
      <c r="F824" s="11"/>
      <c r="G824" s="11"/>
      <c r="H824" s="11"/>
      <c r="I824" s="15"/>
      <c r="J824" s="15"/>
      <c r="K824" s="15"/>
      <c r="L824" s="15"/>
      <c r="M824" s="7"/>
      <c r="N824" s="10"/>
      <c r="O824" s="10"/>
      <c r="P824" s="8"/>
      <c r="Q824" s="7"/>
      <c r="R824" s="16"/>
      <c r="S824" s="17"/>
      <c r="T824" s="8"/>
      <c r="U824" s="8"/>
      <c r="V824" s="22"/>
      <c r="W824" s="12"/>
      <c r="X824" s="12"/>
      <c r="Y824" s="12"/>
      <c r="Z824" s="12"/>
      <c r="AA824" s="7"/>
      <c r="AB824" s="12"/>
      <c r="AC824" s="6"/>
      <c r="AD824" s="6"/>
      <c r="AE824" s="7"/>
      <c r="AF824" s="7"/>
      <c r="AG824" s="7"/>
      <c r="AH824" s="7"/>
      <c r="AI824" s="7"/>
      <c r="AJ824" s="7"/>
      <c r="AK824" s="7"/>
      <c r="AL824" s="7"/>
      <c r="AM824" s="7"/>
      <c r="AN824" s="7"/>
      <c r="AO824" s="6"/>
      <c r="AP824" s="7"/>
      <c r="AQ824" s="7"/>
      <c r="AR824" s="6"/>
      <c r="AS824" s="7"/>
      <c r="AT824" s="7"/>
      <c r="AU824" s="7"/>
      <c r="AV824" s="7"/>
      <c r="AW824" s="7"/>
      <c r="AX824" s="7"/>
      <c r="AY824" s="7"/>
      <c r="AZ824" s="7"/>
      <c r="BA824" s="7"/>
      <c r="BB824" s="7"/>
      <c r="BC824" s="7"/>
      <c r="BD824" s="7"/>
      <c r="BE824" s="7"/>
      <c r="BF824" s="7"/>
      <c r="BG824" s="7"/>
    </row>
    <row r="825" customHeight="1" spans="1:59">
      <c r="A825" s="9" t="str">
        <f>IFERROR(__xludf.DUMMYFUNCTION("""COMPUTED_VALUE"""),"Yela 06")</f>
        <v>Yela 06</v>
      </c>
      <c r="B825" s="9" t="str">
        <f>IFERROR(__xludf.DUMMYFUNCTION("""COMPUTED_VALUE"""),"Yela 10")</f>
        <v>Yela 10</v>
      </c>
      <c r="C825" s="9" t="str">
        <f>IFERROR(__xludf.DUMMYFUNCTION("""COMPUTED_VALUE"""),"Yela 29")</f>
        <v>Yela 29</v>
      </c>
      <c r="D825" s="5" t="str">
        <f>IFERROR(__xludf.DUMMYFUNCTION("""COMPUTED_VALUE"""),"Afterlife")</f>
        <v>Afterlife</v>
      </c>
      <c r="E825" s="7" t="str">
        <f>IFERROR(__xludf.DUMMYFUNCTION("""COMPUTED_VALUE"""),"Afterlife")</f>
        <v>Afterlife</v>
      </c>
      <c r="F825" s="11">
        <f>IFERROR(__xludf.DUMMYFUNCTION("""COMPUTED_VALUE"""),-254.263453205)</f>
        <v>-254.263453205</v>
      </c>
      <c r="G825" s="11">
        <f>IFERROR(__xludf.DUMMYFUNCTION("""COMPUTED_VALUE"""),-153.389924824999)</f>
        <v>-153.389924824999</v>
      </c>
      <c r="H825" s="11">
        <f>IFERROR(__xludf.DUMMYFUNCTION("""COMPUTED_VALUE"""),99.057962111)</f>
        <v>99.057962111</v>
      </c>
      <c r="I825" s="15"/>
      <c r="J825" s="15"/>
      <c r="K825" s="15"/>
      <c r="L825" s="15"/>
      <c r="M825" s="7" t="b">
        <f>IFERROR(__xludf.DUMMYFUNCTION("""COMPUTED_VALUE"""),TRUE)</f>
        <v>1</v>
      </c>
      <c r="N825" s="10"/>
      <c r="O825" s="10"/>
      <c r="P825" s="8"/>
      <c r="Q825" s="7"/>
      <c r="R825" s="16"/>
      <c r="S825" s="17"/>
      <c r="T825" s="8"/>
      <c r="U825" s="8"/>
      <c r="V825" s="22"/>
      <c r="W825" s="12"/>
      <c r="X825" s="12"/>
      <c r="Y825" s="12"/>
      <c r="Z825" s="12"/>
      <c r="AA825" s="7"/>
      <c r="AB825" s="12"/>
      <c r="AC825" s="6"/>
      <c r="AD825" s="6"/>
      <c r="AE825" s="7"/>
      <c r="AF825" s="7"/>
      <c r="AG825" s="7"/>
      <c r="AH825" s="7"/>
      <c r="AI825" s="7"/>
      <c r="AJ825" s="7"/>
      <c r="AK825" s="7"/>
      <c r="AL825" s="7"/>
      <c r="AM825" s="7"/>
      <c r="AN825" s="7"/>
      <c r="AO825" s="6"/>
      <c r="AP825" s="7"/>
      <c r="AQ825" s="7"/>
      <c r="AR825" s="6"/>
      <c r="AS825" s="7"/>
      <c r="AT825" s="7"/>
      <c r="AU825" s="7"/>
      <c r="AV825" s="7"/>
      <c r="AW825" s="7"/>
      <c r="AX825" s="7"/>
      <c r="AY825" s="7"/>
      <c r="AZ825" s="7"/>
      <c r="BA825" s="7"/>
      <c r="BB825" s="7"/>
      <c r="BC825" s="7"/>
      <c r="BD825" s="7"/>
      <c r="BE825" s="7"/>
      <c r="BF825" s="7"/>
      <c r="BG825" s="7"/>
    </row>
    <row r="826" customHeight="1" spans="1:59">
      <c r="A826" s="9" t="str">
        <f>IFERROR(__xludf.DUMMYFUNCTION("""COMPUTED_VALUE"""),"Yela 07")</f>
        <v>Yela 07</v>
      </c>
      <c r="B826" s="9" t="str">
        <f>IFERROR(__xludf.DUMMYFUNCTION("""COMPUTED_VALUE"""),"Yela 11")</f>
        <v>Yela 11</v>
      </c>
      <c r="C826" s="9" t="str">
        <f>IFERROR(__xludf.DUMMYFUNCTION("""COMPUTED_VALUE"""),"Yela 27")</f>
        <v>Yela 27</v>
      </c>
      <c r="D826" s="5" t="str">
        <f>IFERROR(__xludf.DUMMYFUNCTION("""COMPUTED_VALUE"""),"Connor's")</f>
        <v>Connor's</v>
      </c>
      <c r="E826" s="7" t="str">
        <f>IFERROR(__xludf.DUMMYFUNCTION("""COMPUTED_VALUE"""),"Connor's")</f>
        <v>Connor's</v>
      </c>
      <c r="F826" s="11">
        <f>IFERROR(__xludf.DUMMYFUNCTION("""COMPUTED_VALUE"""),-139.770339362)</f>
        <v>-139.770339362</v>
      </c>
      <c r="G826" s="11">
        <f>IFERROR(__xludf.DUMMYFUNCTION("""COMPUTED_VALUE"""),-254.309590184)</f>
        <v>-254.309590184</v>
      </c>
      <c r="H826" s="11">
        <f>IFERROR(__xludf.DUMMYFUNCTION("""COMPUTED_VALUE"""),118.129294513999)</f>
        <v>118.129294513999</v>
      </c>
      <c r="I826" s="15"/>
      <c r="J826" s="15"/>
      <c r="K826" s="15"/>
      <c r="L826" s="15"/>
      <c r="M826" s="7" t="b">
        <f>IFERROR(__xludf.DUMMYFUNCTION("""COMPUTED_VALUE"""),TRUE)</f>
        <v>1</v>
      </c>
      <c r="N826" s="10"/>
      <c r="O826" s="10"/>
      <c r="P826" s="8"/>
      <c r="Q826" s="7"/>
      <c r="R826" s="16"/>
      <c r="S826" s="17"/>
      <c r="T826" s="8"/>
      <c r="U826" s="8"/>
      <c r="V826" s="22"/>
      <c r="W826" s="12"/>
      <c r="X826" s="12"/>
      <c r="Y826" s="12"/>
      <c r="Z826" s="12"/>
      <c r="AA826" s="7"/>
      <c r="AB826" s="12"/>
      <c r="AC826" s="6"/>
      <c r="AD826" s="6"/>
      <c r="AE826" s="7"/>
      <c r="AF826" s="7"/>
      <c r="AG826" s="7"/>
      <c r="AH826" s="7"/>
      <c r="AI826" s="7"/>
      <c r="AJ826" s="7"/>
      <c r="AK826" s="7"/>
      <c r="AL826" s="7"/>
      <c r="AM826" s="7"/>
      <c r="AN826" s="7"/>
      <c r="AO826" s="6"/>
      <c r="AP826" s="7"/>
      <c r="AQ826" s="7"/>
      <c r="AR826" s="6"/>
      <c r="AS826" s="7"/>
      <c r="AT826" s="7"/>
      <c r="AU826" s="7"/>
      <c r="AV826" s="7"/>
      <c r="AW826" s="7"/>
      <c r="AX826" s="7"/>
      <c r="AY826" s="7"/>
      <c r="AZ826" s="7"/>
      <c r="BA826" s="7"/>
      <c r="BB826" s="7"/>
      <c r="BC826" s="7"/>
      <c r="BD826" s="7"/>
      <c r="BE826" s="7"/>
      <c r="BF826" s="7"/>
      <c r="BG826" s="7"/>
    </row>
    <row r="827" customHeight="1" spans="1:59">
      <c r="A827" s="9" t="str">
        <f>IFERROR(__xludf.DUMMYFUNCTION("""COMPUTED_VALUE"""),"Yela 08")</f>
        <v>Yela 08</v>
      </c>
      <c r="B827" s="9" t="str">
        <f>IFERROR(__xludf.DUMMYFUNCTION("""COMPUTED_VALUE"""),"Yela 12")</f>
        <v>Yela 12</v>
      </c>
      <c r="C827" s="9" t="str">
        <f>IFERROR(__xludf.DUMMYFUNCTION("""COMPUTED_VALUE"""),"Yela 12")</f>
        <v>Yela 12</v>
      </c>
      <c r="D827" s="5" t="str">
        <f>IFERROR(__xludf.DUMMYFUNCTION("""COMPUTED_VALUE"""),"NT-999-XXII")</f>
        <v>NT-999-XXII</v>
      </c>
      <c r="E827" s="7" t="str">
        <f>IFERROR(__xludf.DUMMYFUNCTION("""COMPUTED_VALUE"""),"NT999XXII")</f>
        <v>NT999XXII</v>
      </c>
      <c r="F827" s="11">
        <f>IFERROR(__xludf.DUMMYFUNCTION("""COMPUTED_VALUE"""),54.5647694419999)</f>
        <v>54.5647694419999</v>
      </c>
      <c r="G827" s="11">
        <f>IFERROR(__xludf.DUMMYFUNCTION("""COMPUTED_VALUE"""),55.9388025229998)</f>
        <v>55.9388025229998</v>
      </c>
      <c r="H827" s="11">
        <f>IFERROR(__xludf.DUMMYFUNCTION("""COMPUTED_VALUE"""),-303.343885916)</f>
        <v>-303.343885916</v>
      </c>
      <c r="I827" s="15"/>
      <c r="J827" s="15"/>
      <c r="K827" s="15"/>
      <c r="L827" s="15"/>
      <c r="M827" s="7" t="b">
        <f>IFERROR(__xludf.DUMMYFUNCTION("""COMPUTED_VALUE"""),TRUE)</f>
        <v>1</v>
      </c>
      <c r="N827" s="10"/>
      <c r="O827" s="10"/>
      <c r="P827" s="8"/>
      <c r="Q827" s="7"/>
      <c r="R827" s="16"/>
      <c r="S827" s="17"/>
      <c r="T827" s="8"/>
      <c r="U827" s="8"/>
      <c r="V827" s="22"/>
      <c r="W827" s="12"/>
      <c r="X827" s="12"/>
      <c r="Y827" s="12"/>
      <c r="Z827" s="12"/>
      <c r="AA827" s="7"/>
      <c r="AB827" s="12"/>
      <c r="AC827" s="6"/>
      <c r="AD827" s="6"/>
      <c r="AE827" s="7"/>
      <c r="AF827" s="7"/>
      <c r="AG827" s="7"/>
      <c r="AH827" s="7"/>
      <c r="AI827" s="7"/>
      <c r="AJ827" s="7"/>
      <c r="AK827" s="7"/>
      <c r="AL827" s="7"/>
      <c r="AM827" s="7"/>
      <c r="AN827" s="7"/>
      <c r="AO827" s="6"/>
      <c r="AP827" s="7"/>
      <c r="AQ827" s="7"/>
      <c r="AR827" s="6"/>
      <c r="AS827" s="7"/>
      <c r="AT827" s="7"/>
      <c r="AU827" s="7"/>
      <c r="AV827" s="7"/>
      <c r="AW827" s="7"/>
      <c r="AX827" s="7"/>
      <c r="AY827" s="7"/>
      <c r="AZ827" s="7"/>
      <c r="BA827" s="7"/>
      <c r="BB827" s="7"/>
      <c r="BC827" s="7"/>
      <c r="BD827" s="7"/>
      <c r="BE827" s="7"/>
      <c r="BF827" s="7"/>
      <c r="BG827" s="7"/>
    </row>
    <row r="828" customHeight="1" spans="1:59">
      <c r="A828" s="9" t="str">
        <f>IFERROR(__xludf.DUMMYFUNCTION("""COMPUTED_VALUE"""),"Yela 09")</f>
        <v>Yela 09</v>
      </c>
      <c r="B828" s="9" t="str">
        <f>IFERROR(__xludf.DUMMYFUNCTION("""COMPUTED_VALUE"""),"Yela 13")</f>
        <v>Yela 13</v>
      </c>
      <c r="C828" s="9" t="str">
        <f>IFERROR(__xludf.DUMMYFUNCTION("""COMPUTED_VALUE"""),"Yela 13")</f>
        <v>Yela 13</v>
      </c>
      <c r="D828" s="5" t="str">
        <f>IFERROR(__xludf.DUMMYFUNCTION("""COMPUTED_VALUE"""),"Security Post Opal")</f>
        <v>Security Post Opal</v>
      </c>
      <c r="E828" s="7" t="str">
        <f>IFERROR(__xludf.DUMMYFUNCTION("""COMPUTED_VALUE"""),"Opal")</f>
        <v>Opal</v>
      </c>
      <c r="F828" s="11">
        <f>IFERROR(__xludf.DUMMYFUNCTION("""COMPUTED_VALUE"""),241.072886134)</f>
        <v>241.072886134</v>
      </c>
      <c r="G828" s="11">
        <f>IFERROR(__xludf.DUMMYFUNCTION("""COMPUTED_VALUE"""),96.2912805249998)</f>
        <v>96.2912805249998</v>
      </c>
      <c r="H828" s="11">
        <f>IFERROR(__xludf.DUMMYFUNCTION("""COMPUTED_VALUE"""),-175.019176981)</f>
        <v>-175.019176981</v>
      </c>
      <c r="I828" s="15"/>
      <c r="J828" s="15"/>
      <c r="K828" s="15"/>
      <c r="L828" s="15"/>
      <c r="M828" s="7" t="b">
        <f>IFERROR(__xludf.DUMMYFUNCTION("""COMPUTED_VALUE"""),TRUE)</f>
        <v>1</v>
      </c>
      <c r="N828" s="10"/>
      <c r="O828" s="10"/>
      <c r="P828" s="8"/>
      <c r="Q828" s="7"/>
      <c r="R828" s="16"/>
      <c r="S828" s="17"/>
      <c r="T828" s="8"/>
      <c r="U828" s="8"/>
      <c r="V828" s="22"/>
      <c r="W828" s="12"/>
      <c r="X828" s="12"/>
      <c r="Y828" s="12"/>
      <c r="Z828" s="12"/>
      <c r="AA828" s="7"/>
      <c r="AB828" s="12"/>
      <c r="AC828" s="6"/>
      <c r="AD828" s="6"/>
      <c r="AE828" s="7"/>
      <c r="AF828" s="7"/>
      <c r="AG828" s="7"/>
      <c r="AH828" s="7"/>
      <c r="AI828" s="7"/>
      <c r="AJ828" s="7"/>
      <c r="AK828" s="7"/>
      <c r="AL828" s="7"/>
      <c r="AM828" s="7"/>
      <c r="AN828" s="7"/>
      <c r="AO828" s="6"/>
      <c r="AP828" s="7"/>
      <c r="AQ828" s="7"/>
      <c r="AR828" s="6"/>
      <c r="AS828" s="7"/>
      <c r="AT828" s="7"/>
      <c r="AU828" s="7"/>
      <c r="AV828" s="7"/>
      <c r="AW828" s="7"/>
      <c r="AX828" s="7"/>
      <c r="AY828" s="7"/>
      <c r="AZ828" s="7"/>
      <c r="BA828" s="7"/>
      <c r="BB828" s="7"/>
      <c r="BC828" s="7"/>
      <c r="BD828" s="7"/>
      <c r="BE828" s="7"/>
      <c r="BF828" s="7"/>
      <c r="BG828" s="7"/>
    </row>
    <row r="829" customHeight="1" spans="1:59">
      <c r="A829" s="9" t="str">
        <f>IFERROR(__xludf.DUMMYFUNCTION("""COMPUTED_VALUE"""),"Yela 10")</f>
        <v>Yela 10</v>
      </c>
      <c r="B829" s="9" t="str">
        <f>IFERROR(__xludf.DUMMYFUNCTION("""COMPUTED_VALUE"""),"Yela 14")</f>
        <v>Yela 14</v>
      </c>
      <c r="C829" s="9" t="str">
        <f>IFERROR(__xludf.DUMMYFUNCTION("""COMPUTED_VALUE"""),"Yela 02")</f>
        <v>Yela 02</v>
      </c>
      <c r="D829" s="5" t="str">
        <f>IFERROR(__xludf.DUMMYFUNCTION("""COMPUTED_VALUE"""),"Security Post Wan")</f>
        <v>Security Post Wan</v>
      </c>
      <c r="E829" s="7" t="str">
        <f>IFERROR(__xludf.DUMMYFUNCTION("""COMPUTED_VALUE"""),"Wan")</f>
        <v>Wan</v>
      </c>
      <c r="F829" s="11">
        <f>IFERROR(__xludf.DUMMYFUNCTION("""COMPUTED_VALUE"""),-208.367486003)</f>
        <v>-208.367486003</v>
      </c>
      <c r="G829" s="11">
        <f>IFERROR(__xludf.DUMMYFUNCTION("""COMPUTED_VALUE"""),53.1655807639999)</f>
        <v>53.1655807639999</v>
      </c>
      <c r="H829" s="11">
        <f>IFERROR(__xludf.DUMMYFUNCTION("""COMPUTED_VALUE"""),-227.453544793)</f>
        <v>-227.453544793</v>
      </c>
      <c r="I829" s="15"/>
      <c r="J829" s="15"/>
      <c r="K829" s="15"/>
      <c r="L829" s="15"/>
      <c r="M829" s="7" t="b">
        <f>IFERROR(__xludf.DUMMYFUNCTION("""COMPUTED_VALUE"""),TRUE)</f>
        <v>1</v>
      </c>
      <c r="N829" s="10"/>
      <c r="O829" s="10"/>
      <c r="P829" s="8"/>
      <c r="Q829" s="7"/>
      <c r="R829" s="16"/>
      <c r="S829" s="17"/>
      <c r="T829" s="8"/>
      <c r="U829" s="8"/>
      <c r="V829" s="22"/>
      <c r="W829" s="12"/>
      <c r="X829" s="12"/>
      <c r="Y829" s="12"/>
      <c r="Z829" s="12"/>
      <c r="AA829" s="7"/>
      <c r="AB829" s="12"/>
      <c r="AC829" s="6"/>
      <c r="AD829" s="6"/>
      <c r="AE829" s="7"/>
      <c r="AF829" s="7"/>
      <c r="AG829" s="7"/>
      <c r="AH829" s="7"/>
      <c r="AI829" s="7"/>
      <c r="AJ829" s="7"/>
      <c r="AK829" s="7"/>
      <c r="AL829" s="7"/>
      <c r="AM829" s="7"/>
      <c r="AN829" s="7"/>
      <c r="AO829" s="6"/>
      <c r="AP829" s="7"/>
      <c r="AQ829" s="7"/>
      <c r="AR829" s="6"/>
      <c r="AS829" s="7"/>
      <c r="AT829" s="7"/>
      <c r="AU829" s="7"/>
      <c r="AV829" s="7"/>
      <c r="AW829" s="7"/>
      <c r="AX829" s="7"/>
      <c r="AY829" s="7"/>
      <c r="AZ829" s="7"/>
      <c r="BA829" s="7"/>
      <c r="BB829" s="7"/>
      <c r="BC829" s="7"/>
      <c r="BD829" s="7"/>
      <c r="BE829" s="7"/>
      <c r="BF829" s="7"/>
      <c r="BG829" s="7"/>
    </row>
    <row r="830" customHeight="1" spans="1:59">
      <c r="A830" s="9" t="str">
        <f>IFERROR(__xludf.DUMMYFUNCTION("""COMPUTED_VALUE"""),"Yela 11")</f>
        <v>Yela 11</v>
      </c>
      <c r="B830" s="9" t="str">
        <f>IFERROR(__xludf.DUMMYFUNCTION("""COMPUTED_VALUE"""),"Yela 15")</f>
        <v>Yela 15</v>
      </c>
      <c r="C830" s="9" t="str">
        <f>IFERROR(__xludf.DUMMYFUNCTION("""COMPUTED_VALUE"""),"Yela 24")</f>
        <v>Yela 24</v>
      </c>
      <c r="D830" s="5" t="str">
        <f>IFERROR(__xludf.DUMMYFUNCTION("""COMPUTED_VALUE"""),"Utopia")</f>
        <v>Utopia</v>
      </c>
      <c r="E830" s="7" t="str">
        <f>IFERROR(__xludf.DUMMYFUNCTION("""COMPUTED_VALUE"""),"Utopia")</f>
        <v>Utopia</v>
      </c>
      <c r="F830" s="11">
        <f>IFERROR(__xludf.DUMMYFUNCTION("""COMPUTED_VALUE"""),-0.172582603)</f>
        <v>-0.172582603</v>
      </c>
      <c r="G830" s="11">
        <f>IFERROR(__xludf.DUMMYFUNCTION("""COMPUTED_VALUE"""),-1.85070725199998)</f>
        <v>-1.85070725199998</v>
      </c>
      <c r="H830" s="11">
        <f>IFERROR(__xludf.DUMMYFUNCTION("""COMPUTED_VALUE"""),-313.079826193)</f>
        <v>-313.079826193</v>
      </c>
      <c r="I830" s="15"/>
      <c r="J830" s="15"/>
      <c r="K830" s="15"/>
      <c r="L830" s="15"/>
      <c r="M830" s="7" t="b">
        <f>IFERROR(__xludf.DUMMYFUNCTION("""COMPUTED_VALUE"""),TRUE)</f>
        <v>1</v>
      </c>
      <c r="N830" s="10"/>
      <c r="O830" s="10"/>
      <c r="P830" s="8"/>
      <c r="Q830" s="7"/>
      <c r="R830" s="16"/>
      <c r="S830" s="17"/>
      <c r="T830" s="8"/>
      <c r="U830" s="8"/>
      <c r="V830" s="22"/>
      <c r="W830" s="12"/>
      <c r="X830" s="12"/>
      <c r="Y830" s="12"/>
      <c r="Z830" s="12"/>
      <c r="AA830" s="7"/>
      <c r="AB830" s="12"/>
      <c r="AC830" s="6"/>
      <c r="AD830" s="6"/>
      <c r="AE830" s="7"/>
      <c r="AF830" s="7"/>
      <c r="AG830" s="7"/>
      <c r="AH830" s="7"/>
      <c r="AI830" s="7"/>
      <c r="AJ830" s="7"/>
      <c r="AK830" s="7"/>
      <c r="AL830" s="7"/>
      <c r="AM830" s="7"/>
      <c r="AN830" s="7"/>
      <c r="AO830" s="6"/>
      <c r="AP830" s="7"/>
      <c r="AQ830" s="7"/>
      <c r="AR830" s="6"/>
      <c r="AS830" s="7"/>
      <c r="AT830" s="7"/>
      <c r="AU830" s="7"/>
      <c r="AV830" s="7"/>
      <c r="AW830" s="7"/>
      <c r="AX830" s="7"/>
      <c r="AY830" s="7"/>
      <c r="AZ830" s="7"/>
      <c r="BA830" s="7"/>
      <c r="BB830" s="7"/>
      <c r="BC830" s="7"/>
      <c r="BD830" s="7"/>
      <c r="BE830" s="7"/>
      <c r="BF830" s="7"/>
      <c r="BG830" s="7"/>
    </row>
    <row r="831" customHeight="1" spans="1:59">
      <c r="A831" s="9" t="str">
        <f>IFERROR(__xludf.DUMMYFUNCTION("""COMPUTED_VALUE"""),"Yela")</f>
        <v>Yela</v>
      </c>
      <c r="B831" s="9" t="str">
        <f>IFERROR(__xludf.DUMMYFUNCTION("""COMPUTED_VALUE"""),"Yela 17")</f>
        <v>Yela 17</v>
      </c>
      <c r="C831" s="5"/>
      <c r="D831" s="5" t="str">
        <f>IFERROR(__xludf.DUMMYFUNCTION("""COMPUTED_VALUE"""),"Emergency Shelters")</f>
        <v>Emergency Shelters</v>
      </c>
      <c r="E831" s="7"/>
      <c r="F831" s="8"/>
      <c r="G831" s="8"/>
      <c r="H831" s="8"/>
      <c r="I831" s="14"/>
      <c r="J831" s="14"/>
      <c r="K831" s="14"/>
      <c r="L831" s="14"/>
      <c r="M831" s="7"/>
      <c r="N831" s="10"/>
      <c r="O831" s="10"/>
      <c r="P831" s="8"/>
      <c r="Q831" s="7"/>
      <c r="R831" s="16"/>
      <c r="S831" s="17"/>
      <c r="T831" s="8"/>
      <c r="U831" s="8"/>
      <c r="V831" s="22"/>
      <c r="W831" s="12"/>
      <c r="X831" s="12"/>
      <c r="Y831" s="12"/>
      <c r="Z831" s="12"/>
      <c r="AA831" s="7"/>
      <c r="AB831" s="12"/>
      <c r="AC831" s="6"/>
      <c r="AD831" s="6"/>
      <c r="AE831" s="7"/>
      <c r="AF831" s="7"/>
      <c r="AG831" s="7"/>
      <c r="AH831" s="7"/>
      <c r="AI831" s="7"/>
      <c r="AJ831" s="7"/>
      <c r="AK831" s="7"/>
      <c r="AL831" s="7"/>
      <c r="AM831" s="7"/>
      <c r="AN831" s="7"/>
      <c r="AO831" s="6"/>
      <c r="AP831" s="7"/>
      <c r="AQ831" s="7"/>
      <c r="AR831" s="6"/>
      <c r="AS831" s="7"/>
      <c r="AT831" s="7"/>
      <c r="AU831" s="7"/>
      <c r="AV831" s="7"/>
      <c r="AW831" s="7"/>
      <c r="AX831" s="7"/>
      <c r="AY831" s="7"/>
      <c r="AZ831" s="7"/>
      <c r="BA831" s="7"/>
      <c r="BB831" s="7"/>
      <c r="BC831" s="7"/>
      <c r="BD831" s="7"/>
      <c r="BE831" s="7"/>
      <c r="BF831" s="7"/>
      <c r="BG831" s="7"/>
    </row>
    <row r="832" customHeight="1" spans="1:59">
      <c r="A832" s="9" t="str">
        <f>IFERROR(__xludf.DUMMYFUNCTION("""COMPUTED_VALUE"""),"Yela 12")</f>
        <v>Yela 12</v>
      </c>
      <c r="B832" s="9" t="str">
        <f>IFERROR(__xludf.DUMMYFUNCTION("""COMPUTED_VALUE"""),"Yela 18")</f>
        <v>Yela 18</v>
      </c>
      <c r="C832" s="5" t="str">
        <f>IFERROR(__xludf.DUMMYFUNCTION("""COMPUTED_VALUE"""),"Yela 15")</f>
        <v>Yela 15</v>
      </c>
      <c r="D832" s="5" t="str">
        <f>IFERROR(__xludf.DUMMYFUNCTION("""COMPUTED_VALUE"""),"Aston Ridge Aid Shelter")</f>
        <v>Aston Ridge Aid Shelter</v>
      </c>
      <c r="E832" s="7" t="str">
        <f>IFERROR(__xludf.DUMMYFUNCTION("""COMPUTED_VALUE"""),"Aston")</f>
        <v>Aston</v>
      </c>
      <c r="F832" s="8">
        <f>IFERROR(__xludf.DUMMYFUNCTION("""COMPUTED_VALUE"""),207.943886512)</f>
        <v>207.943886512</v>
      </c>
      <c r="G832" s="8">
        <f>IFERROR(__xludf.DUMMYFUNCTION("""COMPUTED_VALUE"""),24.050626477)</f>
        <v>24.050626477</v>
      </c>
      <c r="H832" s="8">
        <f>IFERROR(__xludf.DUMMYFUNCTION("""COMPUTED_VALUE"""),-232.78463602)</f>
        <v>-232.78463602</v>
      </c>
      <c r="I832" s="14"/>
      <c r="J832" s="14"/>
      <c r="K832" s="14"/>
      <c r="L832" s="14"/>
      <c r="M832" s="7" t="b">
        <f>IFERROR(__xludf.DUMMYFUNCTION("""COMPUTED_VALUE"""),TRUE)</f>
        <v>1</v>
      </c>
      <c r="N832" s="10">
        <f>IFERROR(__xludf.DUMMYFUNCTION("""COMPUTED_VALUE"""),0)</f>
        <v>0</v>
      </c>
      <c r="O832" s="10">
        <f>IFERROR(__xludf.DUMMYFUNCTION("""COMPUTED_VALUE"""),0)</f>
        <v>0</v>
      </c>
      <c r="P832" s="8"/>
      <c r="Q832" s="7"/>
      <c r="R832" s="16"/>
      <c r="S832" s="17"/>
      <c r="T832" s="8"/>
      <c r="U832" s="8"/>
      <c r="V832" s="22"/>
      <c r="W832" s="12"/>
      <c r="X832" s="12"/>
      <c r="Y832" s="12"/>
      <c r="Z832" s="12"/>
      <c r="AA832" s="7"/>
      <c r="AB832" s="12"/>
      <c r="AC832" s="6"/>
      <c r="AD832" s="6"/>
      <c r="AE832" s="7"/>
      <c r="AF832" s="7"/>
      <c r="AG832" s="7"/>
      <c r="AH832" s="7"/>
      <c r="AI832" s="7"/>
      <c r="AJ832" s="7"/>
      <c r="AK832" s="7"/>
      <c r="AL832" s="7"/>
      <c r="AM832" s="7"/>
      <c r="AN832" s="7"/>
      <c r="AO832" s="6"/>
      <c r="AP832" s="7"/>
      <c r="AQ832" s="7"/>
      <c r="AR832" s="6"/>
      <c r="AS832" s="7"/>
      <c r="AT832" s="7"/>
      <c r="AU832" s="7"/>
      <c r="AV832" s="7"/>
      <c r="AW832" s="7"/>
      <c r="AX832" s="7"/>
      <c r="AY832" s="7"/>
      <c r="AZ832" s="7"/>
      <c r="BA832" s="7"/>
      <c r="BB832" s="7"/>
      <c r="BC832" s="7"/>
      <c r="BD832" s="7"/>
      <c r="BE832" s="7"/>
      <c r="BF832" s="7"/>
      <c r="BG832" s="7"/>
    </row>
    <row r="833" customHeight="1" spans="1:59">
      <c r="A833" s="9" t="str">
        <f>IFERROR(__xludf.DUMMYFUNCTION("""COMPUTED_VALUE"""),"Yela 13")</f>
        <v>Yela 13</v>
      </c>
      <c r="B833" s="9" t="str">
        <f>IFERROR(__xludf.DUMMYFUNCTION("""COMPUTED_VALUE"""),"Yela 19")</f>
        <v>Yela 19</v>
      </c>
      <c r="C833" s="5" t="str">
        <f>IFERROR(__xludf.DUMMYFUNCTION("""COMPUTED_VALUE"""),"Yela 26")</f>
        <v>Yela 26</v>
      </c>
      <c r="D833" s="5" t="str">
        <f>IFERROR(__xludf.DUMMYFUNCTION("""COMPUTED_VALUE"""),"Kosso Basin Aid Shelter")</f>
        <v>Kosso Basin Aid Shelter</v>
      </c>
      <c r="E833" s="7" t="str">
        <f>IFERROR(__xludf.DUMMYFUNCTION("""COMPUTED_VALUE"""),"Kosso")</f>
        <v>Kosso</v>
      </c>
      <c r="F833" s="8">
        <f>IFERROR(__xludf.DUMMYFUNCTION("""COMPUTED_VALUE"""),-31.289482693)</f>
        <v>-31.289482693</v>
      </c>
      <c r="G833" s="8">
        <f>IFERROR(__xludf.DUMMYFUNCTION("""COMPUTED_VALUE"""),-118.13024321)</f>
        <v>-118.13024321</v>
      </c>
      <c r="H833" s="8">
        <f>IFERROR(__xludf.DUMMYFUNCTION("""COMPUTED_VALUE"""),288.314002495)</f>
        <v>288.314002495</v>
      </c>
      <c r="I833" s="14"/>
      <c r="J833" s="14"/>
      <c r="K833" s="14"/>
      <c r="L833" s="14"/>
      <c r="M833" s="7" t="b">
        <f>IFERROR(__xludf.DUMMYFUNCTION("""COMPUTED_VALUE"""),TRUE)</f>
        <v>1</v>
      </c>
      <c r="N833" s="10">
        <f>IFERROR(__xludf.DUMMYFUNCTION("""COMPUTED_VALUE"""),0)</f>
        <v>0</v>
      </c>
      <c r="O833" s="10">
        <f>IFERROR(__xludf.DUMMYFUNCTION("""COMPUTED_VALUE"""),0)</f>
        <v>0</v>
      </c>
      <c r="P833" s="8"/>
      <c r="Q833" s="7"/>
      <c r="R833" s="16"/>
      <c r="S833" s="17"/>
      <c r="T833" s="8"/>
      <c r="U833" s="8"/>
      <c r="V833" s="22"/>
      <c r="W833" s="12"/>
      <c r="X833" s="12"/>
      <c r="Y833" s="12"/>
      <c r="Z833" s="12"/>
      <c r="AA833" s="7"/>
      <c r="AB833" s="12"/>
      <c r="AC833" s="6"/>
      <c r="AD833" s="6"/>
      <c r="AE833" s="7"/>
      <c r="AF833" s="7"/>
      <c r="AG833" s="7"/>
      <c r="AH833" s="7"/>
      <c r="AI833" s="7"/>
      <c r="AJ833" s="7"/>
      <c r="AK833" s="7"/>
      <c r="AL833" s="7"/>
      <c r="AM833" s="7"/>
      <c r="AN833" s="7"/>
      <c r="AO833" s="6"/>
      <c r="AP833" s="7"/>
      <c r="AQ833" s="7"/>
      <c r="AR833" s="6"/>
      <c r="AS833" s="7"/>
      <c r="AT833" s="7"/>
      <c r="AU833" s="7"/>
      <c r="AV833" s="7"/>
      <c r="AW833" s="7"/>
      <c r="AX833" s="7"/>
      <c r="AY833" s="7"/>
      <c r="AZ833" s="7"/>
      <c r="BA833" s="7"/>
      <c r="BB833" s="7"/>
      <c r="BC833" s="7"/>
      <c r="BD833" s="7"/>
      <c r="BE833" s="7"/>
      <c r="BF833" s="7"/>
      <c r="BG833" s="7"/>
    </row>
    <row r="834" customHeight="1" spans="1:59">
      <c r="A834" s="9" t="str">
        <f>IFERROR(__xludf.DUMMYFUNCTION("""COMPUTED_VALUE"""),"Yela 14")</f>
        <v>Yela 14</v>
      </c>
      <c r="B834" s="9" t="str">
        <f>IFERROR(__xludf.DUMMYFUNCTION("""COMPUTED_VALUE"""),"Yela 20")</f>
        <v>Yela 20</v>
      </c>
      <c r="C834" s="5" t="str">
        <f>IFERROR(__xludf.DUMMYFUNCTION("""COMPUTED_VALUE"""),"Yela 03")</f>
        <v>Yela 03</v>
      </c>
      <c r="D834" s="5" t="str">
        <f>IFERROR(__xludf.DUMMYFUNCTION("""COMPUTED_VALUE"""),"Nakamura Valley Aid Shelter")</f>
        <v>Nakamura Valley Aid Shelter</v>
      </c>
      <c r="E834" s="7" t="str">
        <f>IFERROR(__xludf.DUMMYFUNCTION("""COMPUTED_VALUE"""),"Nakamura")</f>
        <v>Nakamura</v>
      </c>
      <c r="F834" s="8">
        <f>IFERROR(__xludf.DUMMYFUNCTION("""COMPUTED_VALUE"""),-275.722186324)</f>
        <v>-275.722186324</v>
      </c>
      <c r="G834" s="8">
        <f>IFERROR(__xludf.DUMMYFUNCTION("""COMPUTED_VALUE"""),124.073726034)</f>
        <v>124.073726034</v>
      </c>
      <c r="H834" s="8">
        <f>IFERROR(__xludf.DUMMYFUNCTION("""COMPUTED_VALUE"""),81.7172809019999)</f>
        <v>81.7172809019999</v>
      </c>
      <c r="I834" s="14"/>
      <c r="J834" s="14"/>
      <c r="K834" s="14"/>
      <c r="L834" s="14"/>
      <c r="M834" s="7" t="b">
        <f>IFERROR(__xludf.DUMMYFUNCTION("""COMPUTED_VALUE"""),TRUE)</f>
        <v>1</v>
      </c>
      <c r="N834" s="10">
        <f>IFERROR(__xludf.DUMMYFUNCTION("""COMPUTED_VALUE"""),0)</f>
        <v>0</v>
      </c>
      <c r="O834" s="10">
        <f>IFERROR(__xludf.DUMMYFUNCTION("""COMPUTED_VALUE"""),0)</f>
        <v>0</v>
      </c>
      <c r="P834" s="8"/>
      <c r="Q834" s="7"/>
      <c r="R834" s="16"/>
      <c r="S834" s="17"/>
      <c r="T834" s="8"/>
      <c r="U834" s="8"/>
      <c r="V834" s="22"/>
      <c r="W834" s="12"/>
      <c r="X834" s="12"/>
      <c r="Y834" s="12"/>
      <c r="Z834" s="12"/>
      <c r="AA834" s="7"/>
      <c r="AB834" s="12"/>
      <c r="AC834" s="6"/>
      <c r="AD834" s="6"/>
      <c r="AE834" s="7"/>
      <c r="AF834" s="7"/>
      <c r="AG834" s="7"/>
      <c r="AH834" s="7"/>
      <c r="AI834" s="7"/>
      <c r="AJ834" s="7"/>
      <c r="AK834" s="7"/>
      <c r="AL834" s="7"/>
      <c r="AM834" s="7"/>
      <c r="AN834" s="7"/>
      <c r="AO834" s="6"/>
      <c r="AP834" s="7"/>
      <c r="AQ834" s="7"/>
      <c r="AR834" s="6"/>
      <c r="AS834" s="7"/>
      <c r="AT834" s="7"/>
      <c r="AU834" s="7"/>
      <c r="AV834" s="7"/>
      <c r="AW834" s="7"/>
      <c r="AX834" s="7"/>
      <c r="AY834" s="7"/>
      <c r="AZ834" s="7"/>
      <c r="BA834" s="7"/>
      <c r="BB834" s="7"/>
      <c r="BC834" s="7"/>
      <c r="BD834" s="7"/>
      <c r="BE834" s="7"/>
      <c r="BF834" s="7"/>
      <c r="BG834" s="7"/>
    </row>
    <row r="835" customHeight="1" spans="1:59">
      <c r="A835" s="9" t="str">
        <f>IFERROR(__xludf.DUMMYFUNCTION("""COMPUTED_VALUE"""),"Yela 15")</f>
        <v>Yela 15</v>
      </c>
      <c r="B835" s="9" t="str">
        <f>IFERROR(__xludf.DUMMYFUNCTION("""COMPUTED_VALUE"""),"Yela 21")</f>
        <v>Yela 21</v>
      </c>
      <c r="C835" s="5" t="str">
        <f>IFERROR(__xludf.DUMMYFUNCTION("""COMPUTED_VALUE"""),"Yela 08")</f>
        <v>Yela 08</v>
      </c>
      <c r="D835" s="5" t="str">
        <f>IFERROR(__xludf.DUMMYFUNCTION("""COMPUTED_VALUE"""),"Talarine Divide Aid Shelter")</f>
        <v>Talarine Divide Aid Shelter</v>
      </c>
      <c r="E835" s="7" t="str">
        <f>IFERROR(__xludf.DUMMYFUNCTION("""COMPUTED_VALUE"""),"Tallarine")</f>
        <v>Tallarine</v>
      </c>
      <c r="F835" s="8">
        <f>IFERROR(__xludf.DUMMYFUNCTION("""COMPUTED_VALUE"""),-21.2211129729999)</f>
        <v>-21.2211129729999</v>
      </c>
      <c r="G835" s="8">
        <f>IFERROR(__xludf.DUMMYFUNCTION("""COMPUTED_VALUE"""),310.789870483)</f>
        <v>310.789870483</v>
      </c>
      <c r="H835" s="8">
        <f>IFERROR(__xludf.DUMMYFUNCTION("""COMPUTED_VALUE"""),30.93234916)</f>
        <v>30.93234916</v>
      </c>
      <c r="I835" s="14"/>
      <c r="J835" s="14"/>
      <c r="K835" s="14"/>
      <c r="L835" s="14"/>
      <c r="M835" s="7" t="b">
        <f>IFERROR(__xludf.DUMMYFUNCTION("""COMPUTED_VALUE"""),TRUE)</f>
        <v>1</v>
      </c>
      <c r="N835" s="10">
        <f>IFERROR(__xludf.DUMMYFUNCTION("""COMPUTED_VALUE"""),0)</f>
        <v>0</v>
      </c>
      <c r="O835" s="10">
        <f>IFERROR(__xludf.DUMMYFUNCTION("""COMPUTED_VALUE"""),0)</f>
        <v>0</v>
      </c>
      <c r="P835" s="8"/>
      <c r="Q835" s="7"/>
      <c r="R835" s="16"/>
      <c r="S835" s="17"/>
      <c r="T835" s="8"/>
      <c r="U835" s="8"/>
      <c r="V835" s="22"/>
      <c r="W835" s="12"/>
      <c r="X835" s="12"/>
      <c r="Y835" s="12"/>
      <c r="Z835" s="12"/>
      <c r="AA835" s="7"/>
      <c r="AB835" s="12"/>
      <c r="AC835" s="6"/>
      <c r="AD835" s="6"/>
      <c r="AE835" s="7"/>
      <c r="AF835" s="7"/>
      <c r="AG835" s="7"/>
      <c r="AH835" s="7"/>
      <c r="AI835" s="7"/>
      <c r="AJ835" s="7"/>
      <c r="AK835" s="7"/>
      <c r="AL835" s="7"/>
      <c r="AM835" s="7"/>
      <c r="AN835" s="7"/>
      <c r="AO835" s="6"/>
      <c r="AP835" s="7"/>
      <c r="AQ835" s="7"/>
      <c r="AR835" s="6"/>
      <c r="AS835" s="7"/>
      <c r="AT835" s="7"/>
      <c r="AU835" s="7"/>
      <c r="AV835" s="7"/>
      <c r="AW835" s="7"/>
      <c r="AX835" s="7"/>
      <c r="AY835" s="7"/>
      <c r="AZ835" s="7"/>
      <c r="BA835" s="7"/>
      <c r="BB835" s="7"/>
      <c r="BC835" s="7"/>
      <c r="BD835" s="7"/>
      <c r="BE835" s="7"/>
      <c r="BF835" s="7"/>
      <c r="BG835" s="7"/>
    </row>
    <row r="836" customHeight="1" spans="1:59">
      <c r="A836" s="9" t="str">
        <f>IFERROR(__xludf.DUMMYFUNCTION("""COMPUTED_VALUE"""),"Yela")</f>
        <v>Yela</v>
      </c>
      <c r="B836" s="5" t="str">
        <f>IFERROR(__xludf.DUMMYFUNCTION("""COMPUTED_VALUE"""),"Yela 23")</f>
        <v>Yela 23</v>
      </c>
      <c r="C836" s="5"/>
      <c r="D836" s="5" t="str">
        <f>IFERROR(__xludf.DUMMYFUNCTION("""COMPUTED_VALUE"""),"Racetracks")</f>
        <v>Racetracks</v>
      </c>
      <c r="E836" s="7"/>
      <c r="F836" s="8"/>
      <c r="G836" s="8"/>
      <c r="H836" s="8"/>
      <c r="I836" s="14"/>
      <c r="J836" s="14"/>
      <c r="K836" s="14"/>
      <c r="L836" s="14"/>
      <c r="M836" s="7"/>
      <c r="N836" s="10"/>
      <c r="O836" s="10"/>
      <c r="P836" s="8"/>
      <c r="Q836" s="7"/>
      <c r="R836" s="16"/>
      <c r="S836" s="17"/>
      <c r="T836" s="8"/>
      <c r="U836" s="8"/>
      <c r="V836" s="22"/>
      <c r="W836" s="12"/>
      <c r="X836" s="12"/>
      <c r="Y836" s="12"/>
      <c r="Z836" s="12"/>
      <c r="AA836" s="7"/>
      <c r="AB836" s="12"/>
      <c r="AC836" s="6"/>
      <c r="AD836" s="6"/>
      <c r="AE836" s="7"/>
      <c r="AF836" s="7"/>
      <c r="AG836" s="7"/>
      <c r="AH836" s="7"/>
      <c r="AI836" s="7"/>
      <c r="AJ836" s="7"/>
      <c r="AK836" s="7"/>
      <c r="AL836" s="7"/>
      <c r="AM836" s="7"/>
      <c r="AN836" s="7"/>
      <c r="AO836" s="6"/>
      <c r="AP836" s="7"/>
      <c r="AQ836" s="7"/>
      <c r="AR836" s="6"/>
      <c r="AS836" s="7"/>
      <c r="AT836" s="7"/>
      <c r="AU836" s="7"/>
      <c r="AV836" s="7"/>
      <c r="AW836" s="7"/>
      <c r="AX836" s="7"/>
      <c r="AY836" s="7"/>
      <c r="AZ836" s="7"/>
      <c r="BA836" s="7"/>
      <c r="BB836" s="7"/>
      <c r="BC836" s="7"/>
      <c r="BD836" s="7"/>
      <c r="BE836" s="7"/>
      <c r="BF836" s="7"/>
      <c r="BG836" s="7"/>
    </row>
    <row r="837" customHeight="1" spans="1:59">
      <c r="A837" s="9" t="str">
        <f>IFERROR(__xludf.DUMMYFUNCTION("""COMPUTED_VALUE"""),"Yela 16")</f>
        <v>Yela 16</v>
      </c>
      <c r="B837" s="5" t="str">
        <f>IFERROR(__xludf.DUMMYFUNCTION("""COMPUTED_VALUE"""),"Yela 24")</f>
        <v>Yela 24</v>
      </c>
      <c r="C837" s="5" t="str">
        <f>IFERROR(__xludf.DUMMYFUNCTION("""COMPUTED_VALUE"""),"Yela 05")</f>
        <v>Yela 05</v>
      </c>
      <c r="D837" s="5" t="str">
        <f>IFERROR(__xludf.DUMMYFUNCTION("""COMPUTED_VALUE"""),"Miner's Lament")</f>
        <v>Miner's Lament</v>
      </c>
      <c r="E837" s="7" t="str">
        <f>IFERROR(__xludf.DUMMYFUNCTION("""COMPUTED_VALUE"""),"Lament")</f>
        <v>Lament</v>
      </c>
      <c r="F837" s="8">
        <f>IFERROR(__xludf.DUMMYFUNCTION("""COMPUTED_VALUE"""),-488.748)</f>
        <v>-488.748</v>
      </c>
      <c r="G837" s="8">
        <f>IFERROR(__xludf.DUMMYFUNCTION("""COMPUTED_VALUE"""),518.902)</f>
        <v>518.902</v>
      </c>
      <c r="H837" s="8">
        <f>IFERROR(__xludf.DUMMYFUNCTION("""COMPUTED_VALUE"""),4.333)</f>
        <v>4.333</v>
      </c>
      <c r="I837" s="14"/>
      <c r="J837" s="14"/>
      <c r="K837" s="14"/>
      <c r="L837" s="14"/>
      <c r="M837" s="7" t="b">
        <f>IFERROR(__xludf.DUMMYFUNCTION("""COMPUTED_VALUE"""),TRUE)</f>
        <v>1</v>
      </c>
      <c r="N837" s="10">
        <f>IFERROR(__xludf.DUMMYFUNCTION("""COMPUTED_VALUE"""),0)</f>
        <v>0</v>
      </c>
      <c r="O837" s="10">
        <f>IFERROR(__xludf.DUMMYFUNCTION("""COMPUTED_VALUE"""),0)</f>
        <v>0</v>
      </c>
      <c r="P837" s="8"/>
      <c r="Q837" s="7"/>
      <c r="R837" s="16"/>
      <c r="S837" s="17"/>
      <c r="T837" s="8"/>
      <c r="U837" s="8"/>
      <c r="V837" s="22"/>
      <c r="W837" s="12"/>
      <c r="X837" s="12"/>
      <c r="Y837" s="12"/>
      <c r="Z837" s="12"/>
      <c r="AA837" s="7"/>
      <c r="AB837" s="12"/>
      <c r="AC837" s="6"/>
      <c r="AD837" s="6"/>
      <c r="AE837" s="7"/>
      <c r="AF837" s="7"/>
      <c r="AG837" s="7"/>
      <c r="AH837" s="7"/>
      <c r="AI837" s="7"/>
      <c r="AJ837" s="7"/>
      <c r="AK837" s="7"/>
      <c r="AL837" s="7"/>
      <c r="AM837" s="7"/>
      <c r="AN837" s="7"/>
      <c r="AO837" s="6"/>
      <c r="AP837" s="7"/>
      <c r="AQ837" s="7"/>
      <c r="AR837" s="6"/>
      <c r="AS837" s="7"/>
      <c r="AT837" s="7"/>
      <c r="AU837" s="7"/>
      <c r="AV837" s="7"/>
      <c r="AW837" s="7"/>
      <c r="AX837" s="7"/>
      <c r="AY837" s="7"/>
      <c r="AZ837" s="7"/>
      <c r="BA837" s="7"/>
      <c r="BB837" s="7"/>
      <c r="BC837" s="7"/>
      <c r="BD837" s="7"/>
      <c r="BE837" s="7"/>
      <c r="BF837" s="7"/>
      <c r="BG837" s="7"/>
    </row>
    <row r="838" customHeight="1" spans="1:59">
      <c r="A838" s="9" t="str">
        <f>IFERROR(__xludf.DUMMYFUNCTION("""COMPUTED_VALUE"""),"Yela")</f>
        <v>Yela</v>
      </c>
      <c r="B838" s="5" t="str">
        <f>IFERROR(__xludf.DUMMYFUNCTION("""COMPUTED_VALUE"""),"Yela 26")</f>
        <v>Yela 26</v>
      </c>
      <c r="C838" s="5"/>
      <c r="D838" s="5" t="str">
        <f>IFERROR(__xludf.DUMMYFUNCTION("""COMPUTED_VALUE"""),"Other Facilities")</f>
        <v>Other Facilities</v>
      </c>
      <c r="E838" s="7"/>
      <c r="F838" s="8"/>
      <c r="G838" s="8"/>
      <c r="H838" s="8"/>
      <c r="I838" s="14"/>
      <c r="J838" s="14"/>
      <c r="K838" s="14"/>
      <c r="L838" s="14"/>
      <c r="M838" s="7"/>
      <c r="N838" s="10"/>
      <c r="O838" s="10"/>
      <c r="P838" s="8"/>
      <c r="Q838" s="7"/>
      <c r="R838" s="16"/>
      <c r="S838" s="17"/>
      <c r="T838" s="8"/>
      <c r="U838" s="8"/>
      <c r="V838" s="22"/>
      <c r="W838" s="12"/>
      <c r="X838" s="12"/>
      <c r="Y838" s="12"/>
      <c r="Z838" s="12"/>
      <c r="AA838" s="7"/>
      <c r="AB838" s="12"/>
      <c r="AC838" s="6"/>
      <c r="AD838" s="6"/>
      <c r="AE838" s="7"/>
      <c r="AF838" s="7"/>
      <c r="AG838" s="7"/>
      <c r="AH838" s="7"/>
      <c r="AI838" s="7"/>
      <c r="AJ838" s="7"/>
      <c r="AK838" s="7"/>
      <c r="AL838" s="7"/>
      <c r="AM838" s="7"/>
      <c r="AN838" s="7"/>
      <c r="AO838" s="6"/>
      <c r="AP838" s="7"/>
      <c r="AQ838" s="7"/>
      <c r="AR838" s="6"/>
      <c r="AS838" s="7"/>
      <c r="AT838" s="7"/>
      <c r="AU838" s="7"/>
      <c r="AV838" s="7"/>
      <c r="AW838" s="7"/>
      <c r="AX838" s="7"/>
      <c r="AY838" s="7"/>
      <c r="AZ838" s="7"/>
      <c r="BA838" s="7"/>
      <c r="BB838" s="7"/>
      <c r="BC838" s="7"/>
      <c r="BD838" s="7"/>
      <c r="BE838" s="7"/>
      <c r="BF838" s="7"/>
      <c r="BG838" s="7"/>
    </row>
    <row r="839" customHeight="1" spans="1:59">
      <c r="A839" s="9" t="str">
        <f>IFERROR(__xludf.DUMMYFUNCTION("""COMPUTED_VALUE"""),"Yela 18")</f>
        <v>Yela 18</v>
      </c>
      <c r="B839" s="5" t="str">
        <f>IFERROR(__xludf.DUMMYFUNCTION("""COMPUTED_VALUE"""),"Yela 27")</f>
        <v>Yela 27</v>
      </c>
      <c r="C839" s="5" t="str">
        <f>IFERROR(__xludf.DUMMYFUNCTION("""COMPUTED_VALUE"""),"Yela 06")</f>
        <v>Yela 06</v>
      </c>
      <c r="D839" s="5" t="str">
        <f>IFERROR(__xludf.DUMMYFUNCTION("""COMPUTED_VALUE"""),"Abandoned Outpost")</f>
        <v>Abandoned Outpost</v>
      </c>
      <c r="E839" s="7" t="str">
        <f>IFERROR(__xludf.DUMMYFUNCTION("""COMPUTED_VALUE"""),"Abandoned")</f>
        <v>Abandoned</v>
      </c>
      <c r="F839" s="8">
        <f>IFERROR(__xludf.DUMMYFUNCTION("""COMPUTED_VALUE"""),-45.3028578599999)</f>
        <v>-45.3028578599999</v>
      </c>
      <c r="G839" s="8">
        <f>IFERROR(__xludf.DUMMYFUNCTION("""COMPUTED_VALUE"""),308.849989670999)</f>
        <v>308.849989670999</v>
      </c>
      <c r="H839" s="8">
        <f>IFERROR(__xludf.DUMMYFUNCTION("""COMPUTED_VALUE"""),28.947575204)</f>
        <v>28.947575204</v>
      </c>
      <c r="I839" s="14"/>
      <c r="J839" s="14"/>
      <c r="K839" s="14"/>
      <c r="L839" s="14"/>
      <c r="M839" s="7" t="b">
        <f>IFERROR(__xludf.DUMMYFUNCTION("""COMPUTED_VALUE"""),FALSE)</f>
        <v>0</v>
      </c>
      <c r="N839" s="10">
        <f>IFERROR(__xludf.DUMMYFUNCTION("""COMPUTED_VALUE"""),0)</f>
        <v>0</v>
      </c>
      <c r="O839" s="10">
        <f>IFERROR(__xludf.DUMMYFUNCTION("""COMPUTED_VALUE"""),0)</f>
        <v>0</v>
      </c>
      <c r="P839" s="8"/>
      <c r="Q839" s="7"/>
      <c r="R839" s="16"/>
      <c r="S839" s="17"/>
      <c r="T839" s="8"/>
      <c r="U839" s="8"/>
      <c r="V839" s="22"/>
      <c r="W839" s="12"/>
      <c r="X839" s="12"/>
      <c r="Y839" s="12"/>
      <c r="Z839" s="12"/>
      <c r="AA839" s="7"/>
      <c r="AB839" s="12"/>
      <c r="AC839" s="6"/>
      <c r="AD839" s="6"/>
      <c r="AE839" s="7"/>
      <c r="AF839" s="7"/>
      <c r="AG839" s="7"/>
      <c r="AH839" s="7"/>
      <c r="AI839" s="7"/>
      <c r="AJ839" s="7"/>
      <c r="AK839" s="7"/>
      <c r="AL839" s="7"/>
      <c r="AM839" s="7"/>
      <c r="AN839" s="7"/>
      <c r="AO839" s="6"/>
      <c r="AP839" s="7"/>
      <c r="AQ839" s="7"/>
      <c r="AR839" s="6"/>
      <c r="AS839" s="7"/>
      <c r="AT839" s="7"/>
      <c r="AU839" s="7"/>
      <c r="AV839" s="7"/>
      <c r="AW839" s="7"/>
      <c r="AX839" s="7"/>
      <c r="AY839" s="7"/>
      <c r="AZ839" s="7"/>
      <c r="BA839" s="7"/>
      <c r="BB839" s="7"/>
      <c r="BC839" s="7"/>
      <c r="BD839" s="7"/>
      <c r="BE839" s="7"/>
      <c r="BF839" s="7"/>
      <c r="BG839" s="7"/>
    </row>
    <row r="840" customHeight="1" spans="1:59">
      <c r="A840" s="9" t="str">
        <f>IFERROR(__xludf.DUMMYFUNCTION("""COMPUTED_VALUE"""),"Yela 19")</f>
        <v>Yela 19</v>
      </c>
      <c r="B840" s="5" t="str">
        <f>IFERROR(__xludf.DUMMYFUNCTION("""COMPUTED_VALUE"""),"Yela 28")</f>
        <v>Yela 28</v>
      </c>
      <c r="C840" s="5" t="str">
        <f>IFERROR(__xludf.DUMMYFUNCTION("""COMPUTED_VALUE"""),"Yela 01")</f>
        <v>Yela 01</v>
      </c>
      <c r="D840" s="5" t="str">
        <f>IFERROR(__xludf.DUMMYFUNCTION("""COMPUTED_VALUE"""),"BennyHenge")</f>
        <v>BennyHenge</v>
      </c>
      <c r="E840" s="7" t="str">
        <f>IFERROR(__xludf.DUMMYFUNCTION("""COMPUTED_VALUE"""),"BennyHenge")</f>
        <v>BennyHenge</v>
      </c>
      <c r="F840" s="8">
        <f>IFERROR(__xludf.DUMMYFUNCTION("""COMPUTED_VALUE"""),-626.6486875)</f>
        <v>-626.6486875</v>
      </c>
      <c r="G840" s="8">
        <f>IFERROR(__xludf.DUMMYFUNCTION("""COMPUTED_VALUE"""),135.682515625)</f>
        <v>135.682515625</v>
      </c>
      <c r="H840" s="8">
        <f>IFERROR(__xludf.DUMMYFUNCTION("""COMPUTED_VALUE"""),-1.81864343299999)</f>
        <v>-1.81864343299999</v>
      </c>
      <c r="I840" s="14"/>
      <c r="J840" s="14"/>
      <c r="K840" s="14"/>
      <c r="L840" s="14"/>
      <c r="M840" s="7" t="b">
        <f>IFERROR(__xludf.DUMMYFUNCTION("""COMPUTED_VALUE"""),FALSE)</f>
        <v>0</v>
      </c>
      <c r="N840" s="10">
        <f>IFERROR(__xludf.DUMMYFUNCTION("""COMPUTED_VALUE"""),0)</f>
        <v>0</v>
      </c>
      <c r="O840" s="10">
        <f>IFERROR(__xludf.DUMMYFUNCTION("""COMPUTED_VALUE"""),0)</f>
        <v>0</v>
      </c>
      <c r="P840" s="8"/>
      <c r="Q840" s="7"/>
      <c r="R840" s="16"/>
      <c r="S840" s="17"/>
      <c r="T840" s="8"/>
      <c r="U840" s="8"/>
      <c r="V840" s="22"/>
      <c r="W840" s="12"/>
      <c r="X840" s="12"/>
      <c r="Y840" s="12"/>
      <c r="Z840" s="12"/>
      <c r="AA840" s="7"/>
      <c r="AB840" s="12"/>
      <c r="AC840" s="6"/>
      <c r="AD840" s="6"/>
      <c r="AE840" s="7"/>
      <c r="AF840" s="7"/>
      <c r="AG840" s="7"/>
      <c r="AH840" s="7"/>
      <c r="AI840" s="7"/>
      <c r="AJ840" s="7"/>
      <c r="AK840" s="7"/>
      <c r="AL840" s="7"/>
      <c r="AM840" s="7"/>
      <c r="AN840" s="7"/>
      <c r="AO840" s="6"/>
      <c r="AP840" s="7"/>
      <c r="AQ840" s="7"/>
      <c r="AR840" s="6"/>
      <c r="AS840" s="7"/>
      <c r="AT840" s="7"/>
      <c r="AU840" s="7"/>
      <c r="AV840" s="7"/>
      <c r="AW840" s="7"/>
      <c r="AX840" s="7"/>
      <c r="AY840" s="7"/>
      <c r="AZ840" s="7"/>
      <c r="BA840" s="7"/>
      <c r="BB840" s="7"/>
      <c r="BC840" s="7"/>
      <c r="BD840" s="7"/>
      <c r="BE840" s="7"/>
      <c r="BF840" s="7"/>
      <c r="BG840" s="7"/>
    </row>
    <row r="841" customHeight="1" spans="1:59">
      <c r="A841" s="9" t="str">
        <f>IFERROR(__xludf.DUMMYFUNCTION("""COMPUTED_VALUE"""),"Yela")</f>
        <v>Yela</v>
      </c>
      <c r="B841" s="28" t="str">
        <f>IFERROR(__xludf.DUMMYFUNCTION("""COMPUTED_VALUE"""),"Yela 30")</f>
        <v>Yela 30</v>
      </c>
      <c r="C841" s="28"/>
      <c r="D841" s="5" t="str">
        <f>IFERROR(__xludf.DUMMYFUNCTION("""COMPUTED_VALUE"""),"Settlements")</f>
        <v>Settlements</v>
      </c>
      <c r="E841" s="7"/>
      <c r="F841" s="8"/>
      <c r="G841" s="8"/>
      <c r="H841" s="8"/>
      <c r="I841" s="14"/>
      <c r="J841" s="14"/>
      <c r="K841" s="14"/>
      <c r="L841" s="14"/>
      <c r="M841" s="7"/>
      <c r="N841" s="10"/>
      <c r="O841" s="10"/>
      <c r="P841" s="8"/>
      <c r="Q841" s="7"/>
      <c r="R841" s="16"/>
      <c r="S841" s="17"/>
      <c r="T841" s="8"/>
      <c r="U841" s="8"/>
      <c r="V841" s="22"/>
      <c r="W841" s="12"/>
      <c r="X841" s="12"/>
      <c r="Y841" s="12"/>
      <c r="Z841" s="12"/>
      <c r="AA841" s="7"/>
      <c r="AB841" s="12"/>
      <c r="AC841" s="6"/>
      <c r="AD841" s="6"/>
      <c r="AE841" s="7"/>
      <c r="AF841" s="7"/>
      <c r="AG841" s="7"/>
      <c r="AH841" s="7"/>
      <c r="AI841" s="7"/>
      <c r="AJ841" s="7"/>
      <c r="AK841" s="7"/>
      <c r="AL841" s="7"/>
      <c r="AM841" s="7"/>
      <c r="AN841" s="7"/>
      <c r="AO841" s="6"/>
      <c r="AP841" s="7"/>
      <c r="AQ841" s="7"/>
      <c r="AR841" s="6"/>
      <c r="AS841" s="7"/>
      <c r="AT841" s="7"/>
      <c r="AU841" s="7"/>
      <c r="AV841" s="7"/>
      <c r="AW841" s="7"/>
      <c r="AX841" s="7"/>
      <c r="AY841" s="7"/>
      <c r="AZ841" s="7"/>
      <c r="BA841" s="7"/>
      <c r="BB841" s="7"/>
      <c r="BC841" s="7"/>
      <c r="BD841" s="7"/>
      <c r="BE841" s="7"/>
      <c r="BF841" s="7"/>
      <c r="BG841" s="7"/>
    </row>
    <row r="842" customHeight="1" spans="1:59">
      <c r="A842" s="9" t="str">
        <f>IFERROR(__xludf.DUMMYFUNCTION("""COMPUTED_VALUE"""),"Yela 20")</f>
        <v>Yela 20</v>
      </c>
      <c r="B842" s="28" t="str">
        <f>IFERROR(__xludf.DUMMYFUNCTION("""COMPUTED_VALUE"""),"Yela 31")</f>
        <v>Yela 31</v>
      </c>
      <c r="C842" s="28" t="str">
        <f>IFERROR(__xludf.DUMMYFUNCTION("""COMPUTED_VALUE"""),"Yela 22")</f>
        <v>Yela 22</v>
      </c>
      <c r="D842" s="5" t="str">
        <f>IFERROR(__xludf.DUMMYFUNCTION("""COMPUTED_VALUE"""),"Settlement 17R")</f>
        <v>Settlement 17R</v>
      </c>
      <c r="E842" s="7" t="str">
        <f>IFERROR(__xludf.DUMMYFUNCTION("""COMPUTED_VALUE"""),"Settlement 17R")</f>
        <v>Settlement 17R</v>
      </c>
      <c r="F842" s="8">
        <f>IFERROR(__xludf.DUMMYFUNCTION("""COMPUTED_VALUE"""),29.651672929)</f>
        <v>29.651672929</v>
      </c>
      <c r="G842" s="8">
        <f>IFERROR(__xludf.DUMMYFUNCTION("""COMPUTED_VALUE"""),-273.746244744999)</f>
        <v>-273.746244744999</v>
      </c>
      <c r="H842" s="8">
        <f>IFERROR(__xludf.DUMMYFUNCTION("""COMPUTED_VALUE"""),149.998433154)</f>
        <v>149.998433154</v>
      </c>
      <c r="I842" s="14"/>
      <c r="J842" s="14"/>
      <c r="K842" s="14"/>
      <c r="L842" s="14"/>
      <c r="M842" s="7" t="b">
        <f>IFERROR(__xludf.DUMMYFUNCTION("""COMPUTED_VALUE"""),FALSE)</f>
        <v>0</v>
      </c>
      <c r="N842" s="10">
        <f>IFERROR(__xludf.DUMMYFUNCTION("""COMPUTED_VALUE"""),0)</f>
        <v>0</v>
      </c>
      <c r="O842" s="10">
        <f>IFERROR(__xludf.DUMMYFUNCTION("""COMPUTED_VALUE"""),0)</f>
        <v>0</v>
      </c>
      <c r="P842" s="8"/>
      <c r="Q842" s="7"/>
      <c r="R842" s="16"/>
      <c r="S842" s="17"/>
      <c r="T842" s="8"/>
      <c r="U842" s="8"/>
      <c r="V842" s="22"/>
      <c r="W842" s="12"/>
      <c r="X842" s="12"/>
      <c r="Y842" s="12"/>
      <c r="Z842" s="12"/>
      <c r="AA842" s="7"/>
      <c r="AB842" s="12"/>
      <c r="AC842" s="6"/>
      <c r="AD842" s="6"/>
      <c r="AE842" s="7"/>
      <c r="AF842" s="7"/>
      <c r="AG842" s="7"/>
      <c r="AH842" s="7"/>
      <c r="AI842" s="7"/>
      <c r="AJ842" s="7"/>
      <c r="AK842" s="7"/>
      <c r="AL842" s="7"/>
      <c r="AM842" s="7"/>
      <c r="AN842" s="7"/>
      <c r="AO842" s="6"/>
      <c r="AP842" s="7"/>
      <c r="AQ842" s="7"/>
      <c r="AR842" s="6"/>
      <c r="AS842" s="7"/>
      <c r="AT842" s="7"/>
      <c r="AU842" s="7"/>
      <c r="AV842" s="7"/>
      <c r="AW842" s="7"/>
      <c r="AX842" s="7"/>
      <c r="AY842" s="7"/>
      <c r="AZ842" s="7"/>
      <c r="BA842" s="7"/>
      <c r="BB842" s="7"/>
      <c r="BC842" s="7"/>
      <c r="BD842" s="7"/>
      <c r="BE842" s="7"/>
      <c r="BF842" s="7"/>
      <c r="BG842" s="7"/>
    </row>
    <row r="843" customHeight="1" spans="1:59">
      <c r="A843" s="9" t="str">
        <f>IFERROR(__xludf.DUMMYFUNCTION("""COMPUTED_VALUE"""),"Yela 21")</f>
        <v>Yela 21</v>
      </c>
      <c r="B843" s="28" t="str">
        <f>IFERROR(__xludf.DUMMYFUNCTION("""COMPUTED_VALUE"""),"Yela 32")</f>
        <v>Yela 32</v>
      </c>
      <c r="C843" s="28" t="str">
        <f>IFERROR(__xludf.DUMMYFUNCTION("""COMPUTED_VALUE"""),"Yela 28")</f>
        <v>Yela 28</v>
      </c>
      <c r="D843" s="5" t="str">
        <f>IFERROR(__xludf.DUMMYFUNCTION("""COMPUTED_VALUE"""),"Settlement AZM")</f>
        <v>Settlement AZM</v>
      </c>
      <c r="E843" s="7" t="str">
        <f>IFERROR(__xludf.DUMMYFUNCTION("""COMPUTED_VALUE"""),"Settlement AZM")</f>
        <v>Settlement AZM</v>
      </c>
      <c r="F843" s="8">
        <f>IFERROR(__xludf.DUMMYFUNCTION("""COMPUTED_VALUE"""),-1.345370901)</f>
        <v>-1.345370901</v>
      </c>
      <c r="G843" s="8">
        <f>IFERROR(__xludf.DUMMYFUNCTION("""COMPUTED_VALUE"""),-1.619482711)</f>
        <v>-1.619482711</v>
      </c>
      <c r="H843" s="8">
        <f>IFERROR(__xludf.DUMMYFUNCTION("""COMPUTED_VALUE"""),-313.096591525)</f>
        <v>-313.096591525</v>
      </c>
      <c r="I843" s="14"/>
      <c r="J843" s="14"/>
      <c r="K843" s="14"/>
      <c r="L843" s="14"/>
      <c r="M843" s="7" t="b">
        <f>IFERROR(__xludf.DUMMYFUNCTION("""COMPUTED_VALUE"""),FALSE)</f>
        <v>0</v>
      </c>
      <c r="N843" s="10">
        <f>IFERROR(__xludf.DUMMYFUNCTION("""COMPUTED_VALUE"""),0)</f>
        <v>0</v>
      </c>
      <c r="O843" s="10">
        <f>IFERROR(__xludf.DUMMYFUNCTION("""COMPUTED_VALUE"""),0)</f>
        <v>0</v>
      </c>
      <c r="P843" s="8"/>
      <c r="Q843" s="7"/>
      <c r="R843" s="16"/>
      <c r="S843" s="17"/>
      <c r="T843" s="8"/>
      <c r="U843" s="8"/>
      <c r="V843" s="22"/>
      <c r="W843" s="12"/>
      <c r="X843" s="12"/>
      <c r="Y843" s="12"/>
      <c r="Z843" s="12"/>
      <c r="AA843" s="7"/>
      <c r="AB843" s="12"/>
      <c r="AC843" s="6"/>
      <c r="AD843" s="6"/>
      <c r="AE843" s="7"/>
      <c r="AF843" s="7"/>
      <c r="AG843" s="7"/>
      <c r="AH843" s="7"/>
      <c r="AI843" s="7"/>
      <c r="AJ843" s="7"/>
      <c r="AK843" s="7"/>
      <c r="AL843" s="7"/>
      <c r="AM843" s="7"/>
      <c r="AN843" s="7"/>
      <c r="AO843" s="6"/>
      <c r="AP843" s="7"/>
      <c r="AQ843" s="7"/>
      <c r="AR843" s="6"/>
      <c r="AS843" s="7"/>
      <c r="AT843" s="7"/>
      <c r="AU843" s="7"/>
      <c r="AV843" s="7"/>
      <c r="AW843" s="7"/>
      <c r="AX843" s="7"/>
      <c r="AY843" s="7"/>
      <c r="AZ843" s="7"/>
      <c r="BA843" s="7"/>
      <c r="BB843" s="7"/>
      <c r="BC843" s="7"/>
      <c r="BD843" s="7"/>
      <c r="BE843" s="7"/>
      <c r="BF843" s="7"/>
      <c r="BG843" s="7"/>
    </row>
    <row r="844" customHeight="1" spans="1:59">
      <c r="A844" s="9" t="str">
        <f>IFERROR(__xludf.DUMMYFUNCTION("""COMPUTED_VALUE"""),"Yela")</f>
        <v>Yela</v>
      </c>
      <c r="B844" s="28" t="str">
        <f>IFERROR(__xludf.DUMMYFUNCTION("""COMPUTED_VALUE"""),"Yela 34")</f>
        <v>Yela 34</v>
      </c>
      <c r="C844" s="28"/>
      <c r="D844" s="5" t="str">
        <f>IFERROR(__xludf.DUMMYFUNCTION("""COMPUTED_VALUE"""),"Wrecks")</f>
        <v>Wrecks</v>
      </c>
      <c r="E844" s="7"/>
      <c r="F844" s="8"/>
      <c r="G844" s="8"/>
      <c r="H844" s="8"/>
      <c r="I844" s="14"/>
      <c r="J844" s="14"/>
      <c r="K844" s="14"/>
      <c r="L844" s="14"/>
      <c r="M844" s="7"/>
      <c r="N844" s="10"/>
      <c r="O844" s="10"/>
      <c r="P844" s="8"/>
      <c r="Q844" s="7"/>
      <c r="R844" s="16"/>
      <c r="S844" s="17"/>
      <c r="T844" s="8"/>
      <c r="U844" s="8"/>
      <c r="V844" s="22"/>
      <c r="W844" s="12"/>
      <c r="X844" s="12"/>
      <c r="Y844" s="12"/>
      <c r="Z844" s="12"/>
      <c r="AA844" s="7"/>
      <c r="AB844" s="12"/>
      <c r="AC844" s="6"/>
      <c r="AD844" s="6"/>
      <c r="AE844" s="7"/>
      <c r="AF844" s="7"/>
      <c r="AG844" s="7"/>
      <c r="AH844" s="7"/>
      <c r="AI844" s="7"/>
      <c r="AJ844" s="7"/>
      <c r="AK844" s="7"/>
      <c r="AL844" s="7"/>
      <c r="AM844" s="7"/>
      <c r="AN844" s="7"/>
      <c r="AO844" s="6"/>
      <c r="AP844" s="7"/>
      <c r="AQ844" s="7"/>
      <c r="AR844" s="6"/>
      <c r="AS844" s="7"/>
      <c r="AT844" s="7"/>
      <c r="AU844" s="7"/>
      <c r="AV844" s="7"/>
      <c r="AW844" s="7"/>
      <c r="AX844" s="7"/>
      <c r="AY844" s="7"/>
      <c r="AZ844" s="7"/>
      <c r="BA844" s="7"/>
      <c r="BB844" s="7"/>
      <c r="BC844" s="7"/>
      <c r="BD844" s="7"/>
      <c r="BE844" s="7"/>
      <c r="BF844" s="7"/>
      <c r="BG844" s="7"/>
    </row>
    <row r="845" customHeight="1" spans="1:59">
      <c r="A845" s="9" t="str">
        <f>IFERROR(__xludf.DUMMYFUNCTION("""COMPUTED_VALUE"""),"Yela 23")</f>
        <v>Yela 23</v>
      </c>
      <c r="B845" s="28" t="str">
        <f>IFERROR(__xludf.DUMMYFUNCTION("""COMPUTED_VALUE"""),"Yela 36")</f>
        <v>Yela 36</v>
      </c>
      <c r="C845" s="28" t="str">
        <f>IFERROR(__xludf.DUMMYFUNCTION("""COMPUTED_VALUE"""),"Yela 07")</f>
        <v>Yela 07</v>
      </c>
      <c r="D845" s="5" t="str">
        <f>IFERROR(__xludf.DUMMYFUNCTION("""COMPUTED_VALUE"""),"Caterpillar Wreck 47T")</f>
        <v>Caterpillar Wreck 47T</v>
      </c>
      <c r="E845" s="7" t="str">
        <f>IFERROR(__xludf.DUMMYFUNCTION("""COMPUTED_VALUE"""),"Caterpillar 47T")</f>
        <v>Caterpillar 47T</v>
      </c>
      <c r="F845" s="8">
        <f>IFERROR(__xludf.DUMMYFUNCTION("""COMPUTED_VALUE"""),-29.543037311)</f>
        <v>-29.543037311</v>
      </c>
      <c r="G845" s="8">
        <f>IFERROR(__xludf.DUMMYFUNCTION("""COMPUTED_VALUE"""),236.610307829)</f>
        <v>236.610307829</v>
      </c>
      <c r="H845" s="8">
        <f>IFERROR(__xludf.DUMMYFUNCTION("""COMPUTED_VALUE"""),203.1991347)</f>
        <v>203.1991347</v>
      </c>
      <c r="I845" s="14"/>
      <c r="J845" s="14"/>
      <c r="K845" s="14"/>
      <c r="L845" s="14"/>
      <c r="M845" s="7" t="b">
        <f>IFERROR(__xludf.DUMMYFUNCTION("""COMPUTED_VALUE"""),FALSE)</f>
        <v>0</v>
      </c>
      <c r="N845" s="10">
        <f>IFERROR(__xludf.DUMMYFUNCTION("""COMPUTED_VALUE"""),0)</f>
        <v>0</v>
      </c>
      <c r="O845" s="10">
        <f>IFERROR(__xludf.DUMMYFUNCTION("""COMPUTED_VALUE"""),0)</f>
        <v>0</v>
      </c>
      <c r="P845" s="8"/>
      <c r="Q845" s="7"/>
      <c r="R845" s="16"/>
      <c r="S845" s="17"/>
      <c r="T845" s="8"/>
      <c r="U845" s="8"/>
      <c r="V845" s="22"/>
      <c r="W845" s="12"/>
      <c r="X845" s="12"/>
      <c r="Y845" s="12"/>
      <c r="Z845" s="12"/>
      <c r="AA845" s="7"/>
      <c r="AB845" s="12"/>
      <c r="AC845" s="6"/>
      <c r="AD845" s="6"/>
      <c r="AE845" s="7"/>
      <c r="AF845" s="7"/>
      <c r="AG845" s="7"/>
      <c r="AH845" s="7"/>
      <c r="AI845" s="7"/>
      <c r="AJ845" s="7"/>
      <c r="AK845" s="7"/>
      <c r="AL845" s="7"/>
      <c r="AM845" s="7"/>
      <c r="AN845" s="7"/>
      <c r="AO845" s="6"/>
      <c r="AP845" s="7"/>
      <c r="AQ845" s="7"/>
      <c r="AR845" s="6"/>
      <c r="AS845" s="7"/>
      <c r="AT845" s="7"/>
      <c r="AU845" s="7"/>
      <c r="AV845" s="7"/>
      <c r="AW845" s="7"/>
      <c r="AX845" s="7"/>
      <c r="AY845" s="7"/>
      <c r="AZ845" s="7"/>
      <c r="BA845" s="7"/>
      <c r="BB845" s="7"/>
      <c r="BC845" s="7"/>
      <c r="BD845" s="7"/>
      <c r="BE845" s="7"/>
      <c r="BF845" s="7"/>
      <c r="BG845" s="7"/>
    </row>
    <row r="846" customHeight="1" spans="1:59">
      <c r="A846" s="9" t="str">
        <f>IFERROR(__xludf.DUMMYFUNCTION("""COMPUTED_VALUE"""),"Yela 22")</f>
        <v>Yela 22</v>
      </c>
      <c r="B846" s="28" t="str">
        <f>IFERROR(__xludf.DUMMYFUNCTION("""COMPUTED_VALUE"""),"Yela 35")</f>
        <v>Yela 35</v>
      </c>
      <c r="C846" s="28" t="str">
        <f>IFERROR(__xludf.DUMMYFUNCTION("""COMPUTED_VALUE"""),"Yela 14")</f>
        <v>Yela 14</v>
      </c>
      <c r="D846" s="5" t="str">
        <f>IFERROR(__xludf.DUMMYFUNCTION("""COMPUTED_VALUE"""),"Caterpillar Wreck 32H")</f>
        <v>Caterpillar Wreck 32H</v>
      </c>
      <c r="E846" s="7" t="str">
        <f>IFERROR(__xludf.DUMMYFUNCTION("""COMPUTED_VALUE"""),"Caterpillar 32H")</f>
        <v>Caterpillar 32H</v>
      </c>
      <c r="F846" s="8">
        <f>IFERROR(__xludf.DUMMYFUNCTION("""COMPUTED_VALUE"""),250.742386713)</f>
        <v>250.742386713</v>
      </c>
      <c r="G846" s="8">
        <f>IFERROR(__xludf.DUMMYFUNCTION("""COMPUTED_VALUE"""),43.616983694)</f>
        <v>43.616983694</v>
      </c>
      <c r="H846" s="8">
        <f>IFERROR(__xludf.DUMMYFUNCTION("""COMPUTED_VALUE"""),-182.451965903)</f>
        <v>-182.451965903</v>
      </c>
      <c r="I846" s="14"/>
      <c r="J846" s="14"/>
      <c r="K846" s="14"/>
      <c r="L846" s="14"/>
      <c r="M846" s="7" t="b">
        <f>IFERROR(__xludf.DUMMYFUNCTION("""COMPUTED_VALUE"""),FALSE)</f>
        <v>0</v>
      </c>
      <c r="N846" s="10">
        <f>IFERROR(__xludf.DUMMYFUNCTION("""COMPUTED_VALUE"""),0)</f>
        <v>0</v>
      </c>
      <c r="O846" s="10">
        <f>IFERROR(__xludf.DUMMYFUNCTION("""COMPUTED_VALUE"""),0)</f>
        <v>0</v>
      </c>
      <c r="P846" s="8"/>
      <c r="Q846" s="7"/>
      <c r="R846" s="16"/>
      <c r="S846" s="17"/>
      <c r="T846" s="8"/>
      <c r="U846" s="8"/>
      <c r="V846" s="22"/>
      <c r="W846" s="12"/>
      <c r="X846" s="12"/>
      <c r="Y846" s="12"/>
      <c r="Z846" s="12"/>
      <c r="AA846" s="7"/>
      <c r="AB846" s="12"/>
      <c r="AC846" s="6"/>
      <c r="AD846" s="6"/>
      <c r="AE846" s="7"/>
      <c r="AF846" s="7"/>
      <c r="AG846" s="7"/>
      <c r="AH846" s="7"/>
      <c r="AI846" s="7"/>
      <c r="AJ846" s="7"/>
      <c r="AK846" s="7"/>
      <c r="AL846" s="7"/>
      <c r="AM846" s="7"/>
      <c r="AN846" s="7"/>
      <c r="AO846" s="6"/>
      <c r="AP846" s="7"/>
      <c r="AQ846" s="7"/>
      <c r="AR846" s="6"/>
      <c r="AS846" s="7"/>
      <c r="AT846" s="7"/>
      <c r="AU846" s="7"/>
      <c r="AV846" s="7"/>
      <c r="AW846" s="7"/>
      <c r="AX846" s="7"/>
      <c r="AY846" s="7"/>
      <c r="AZ846" s="7"/>
      <c r="BA846" s="7"/>
      <c r="BB846" s="7"/>
      <c r="BC846" s="7"/>
      <c r="BD846" s="7"/>
      <c r="BE846" s="7"/>
      <c r="BF846" s="7"/>
      <c r="BG846" s="7"/>
    </row>
    <row r="847" customHeight="1" spans="1:59">
      <c r="A847" s="9" t="str">
        <f>IFERROR(__xludf.DUMMYFUNCTION("""COMPUTED_VALUE"""),"Yela 24")</f>
        <v>Yela 24</v>
      </c>
      <c r="B847" s="9" t="str">
        <f>IFERROR(__xludf.DUMMYFUNCTION("""COMPUTED_VALUE"""),"Yela 37")</f>
        <v>Yela 37</v>
      </c>
      <c r="C847" s="9" t="str">
        <f>IFERROR(__xludf.DUMMYFUNCTION("""COMPUTED_VALUE"""),"Yela 17")</f>
        <v>Yela 17</v>
      </c>
      <c r="D847" s="5" t="str">
        <f>IFERROR(__xludf.DUMMYFUNCTION("""COMPUTED_VALUE"""),"Constellation Wreck")</f>
        <v>Constellation Wreck</v>
      </c>
      <c r="E847" s="7" t="str">
        <f>IFERROR(__xludf.DUMMYFUNCTION("""COMPUTED_VALUE"""),"Constellation")</f>
        <v>Constellation</v>
      </c>
      <c r="F847" s="8">
        <f>IFERROR(__xludf.DUMMYFUNCTION("""COMPUTED_VALUE"""),101.553911166)</f>
        <v>101.553911166</v>
      </c>
      <c r="G847" s="8">
        <f>IFERROR(__xludf.DUMMYFUNCTION("""COMPUTED_VALUE"""),-10.164983108)</f>
        <v>-10.164983108</v>
      </c>
      <c r="H847" s="8">
        <f>IFERROR(__xludf.DUMMYFUNCTION("""COMPUTED_VALUE"""),295.935804057999)</f>
        <v>295.935804057999</v>
      </c>
      <c r="I847" s="14"/>
      <c r="J847" s="14"/>
      <c r="K847" s="14"/>
      <c r="L847" s="14"/>
      <c r="M847" s="7" t="b">
        <f>IFERROR(__xludf.DUMMYFUNCTION("""COMPUTED_VALUE"""),FALSE)</f>
        <v>0</v>
      </c>
      <c r="N847" s="10">
        <f>IFERROR(__xludf.DUMMYFUNCTION("""COMPUTED_VALUE"""),0)</f>
        <v>0</v>
      </c>
      <c r="O847" s="10">
        <f>IFERROR(__xludf.DUMMYFUNCTION("""COMPUTED_VALUE"""),0)</f>
        <v>0</v>
      </c>
      <c r="P847" s="8"/>
      <c r="Q847" s="7"/>
      <c r="R847" s="16"/>
      <c r="S847" s="17"/>
      <c r="T847" s="8"/>
      <c r="U847" s="8"/>
      <c r="V847" s="22"/>
      <c r="W847" s="12"/>
      <c r="X847" s="12"/>
      <c r="Y847" s="12"/>
      <c r="Z847" s="12"/>
      <c r="AA847" s="7"/>
      <c r="AB847" s="12"/>
      <c r="AC847" s="6"/>
      <c r="AD847" s="6"/>
      <c r="AE847" s="7"/>
      <c r="AF847" s="7"/>
      <c r="AG847" s="7"/>
      <c r="AH847" s="7"/>
      <c r="AI847" s="7"/>
      <c r="AJ847" s="7"/>
      <c r="AK847" s="7"/>
      <c r="AL847" s="7"/>
      <c r="AM847" s="7"/>
      <c r="AN847" s="7"/>
      <c r="AO847" s="6"/>
      <c r="AP847" s="7"/>
      <c r="AQ847" s="7"/>
      <c r="AR847" s="6"/>
      <c r="AS847" s="7"/>
      <c r="AT847" s="7"/>
      <c r="AU847" s="7"/>
      <c r="AV847" s="7"/>
      <c r="AW847" s="7"/>
      <c r="AX847" s="7"/>
      <c r="AY847" s="7"/>
      <c r="AZ847" s="7"/>
      <c r="BA847" s="7"/>
      <c r="BB847" s="7"/>
      <c r="BC847" s="7"/>
      <c r="BD847" s="7"/>
      <c r="BE847" s="7"/>
      <c r="BF847" s="7"/>
      <c r="BG847" s="7"/>
    </row>
    <row r="848" customHeight="1" spans="1:59">
      <c r="A848" s="9" t="str">
        <f>IFERROR(__xludf.DUMMYFUNCTION("""COMPUTED_VALUE"""),"Yela 25")</f>
        <v>Yela 25</v>
      </c>
      <c r="B848" s="5" t="str">
        <f>IFERROR(__xludf.DUMMYFUNCTION("""COMPUTED_VALUE"""),"Yela 38")</f>
        <v>Yela 38</v>
      </c>
      <c r="C848" s="5" t="str">
        <f>IFERROR(__xludf.DUMMYFUNCTION("""COMPUTED_VALUE"""),"Yela 18")</f>
        <v>Yela 18</v>
      </c>
      <c r="D848" s="5" t="str">
        <f>IFERROR(__xludf.DUMMYFUNCTION("""COMPUTED_VALUE"""),"Cutlass Wreck")</f>
        <v>Cutlass Wreck</v>
      </c>
      <c r="E848" s="7" t="str">
        <f>IFERROR(__xludf.DUMMYFUNCTION("""COMPUTED_VALUE"""),"Cutlass")</f>
        <v>Cutlass</v>
      </c>
      <c r="F848" s="8">
        <f>IFERROR(__xludf.DUMMYFUNCTION("""COMPUTED_VALUE"""),211.453124130999)</f>
        <v>211.453124130999</v>
      </c>
      <c r="G848" s="8">
        <f>IFERROR(__xludf.DUMMYFUNCTION("""COMPUTED_VALUE"""),-183.570639870999)</f>
        <v>-183.570639870999</v>
      </c>
      <c r="H848" s="8">
        <f>IFERROR(__xludf.DUMMYFUNCTION("""COMPUTED_VALUE"""),-141.022249420999)</f>
        <v>-141.022249420999</v>
      </c>
      <c r="I848" s="14"/>
      <c r="J848" s="14"/>
      <c r="K848" s="14"/>
      <c r="L848" s="14"/>
      <c r="M848" s="7" t="b">
        <f>IFERROR(__xludf.DUMMYFUNCTION("""COMPUTED_VALUE"""),FALSE)</f>
        <v>0</v>
      </c>
      <c r="N848" s="10">
        <f>IFERROR(__xludf.DUMMYFUNCTION("""COMPUTED_VALUE"""),0)</f>
        <v>0</v>
      </c>
      <c r="O848" s="10">
        <f>IFERROR(__xludf.DUMMYFUNCTION("""COMPUTED_VALUE"""),0)</f>
        <v>0</v>
      </c>
      <c r="P848" s="8"/>
      <c r="Q848" s="7"/>
      <c r="R848" s="16"/>
      <c r="S848" s="17"/>
      <c r="T848" s="8"/>
      <c r="U848" s="8"/>
      <c r="V848" s="22"/>
      <c r="W848" s="12"/>
      <c r="X848" s="12"/>
      <c r="Y848" s="12"/>
      <c r="Z848" s="12"/>
      <c r="AA848" s="7"/>
      <c r="AB848" s="12"/>
      <c r="AC848" s="6"/>
      <c r="AD848" s="6"/>
      <c r="AE848" s="7"/>
      <c r="AF848" s="7"/>
      <c r="AG848" s="7"/>
      <c r="AH848" s="7"/>
      <c r="AI848" s="7"/>
      <c r="AJ848" s="7"/>
      <c r="AK848" s="7"/>
      <c r="AL848" s="7"/>
      <c r="AM848" s="7"/>
      <c r="AN848" s="7"/>
      <c r="AO848" s="6"/>
      <c r="AP848" s="7"/>
      <c r="AQ848" s="7"/>
      <c r="AR848" s="6"/>
      <c r="AS848" s="7"/>
      <c r="AT848" s="7"/>
      <c r="AU848" s="7"/>
      <c r="AV848" s="7"/>
      <c r="AW848" s="7"/>
      <c r="AX848" s="7"/>
      <c r="AY848" s="7"/>
      <c r="AZ848" s="7"/>
      <c r="BA848" s="7"/>
      <c r="BB848" s="7"/>
      <c r="BC848" s="7"/>
      <c r="BD848" s="7"/>
      <c r="BE848" s="7"/>
      <c r="BF848" s="7"/>
      <c r="BG848" s="7"/>
    </row>
    <row r="849" customHeight="1" spans="1:59">
      <c r="A849" s="9" t="str">
        <f>IFERROR(__xludf.DUMMYFUNCTION("""COMPUTED_VALUE"""),"Yela 26")</f>
        <v>Yela 26</v>
      </c>
      <c r="B849" s="5" t="str">
        <f>IFERROR(__xludf.DUMMYFUNCTION("""COMPUTED_VALUE"""),"Yela 39")</f>
        <v>Yela 39</v>
      </c>
      <c r="C849" s="5" t="str">
        <f>IFERROR(__xludf.DUMMYFUNCTION("""COMPUTED_VALUE"""),"Yela 25")</f>
        <v>Yela 25</v>
      </c>
      <c r="D849" s="5" t="str">
        <f>IFERROR(__xludf.DUMMYFUNCTION("""COMPUTED_VALUE"""),"Freelancer Wreck")</f>
        <v>Freelancer Wreck</v>
      </c>
      <c r="E849" s="7" t="str">
        <f>IFERROR(__xludf.DUMMYFUNCTION("""COMPUTED_VALUE"""),"Freelancer")</f>
        <v>Freelancer</v>
      </c>
      <c r="F849" s="8">
        <f>IFERROR(__xludf.DUMMYFUNCTION("""COMPUTED_VALUE"""),-31.1610625639999)</f>
        <v>-31.1610625639999</v>
      </c>
      <c r="G849" s="8">
        <f>IFERROR(__xludf.DUMMYFUNCTION("""COMPUTED_VALUE"""),-135.60503153)</f>
        <v>-135.60503153</v>
      </c>
      <c r="H849" s="8">
        <f>IFERROR(__xludf.DUMMYFUNCTION("""COMPUTED_VALUE"""),-280.447406828999)</f>
        <v>-280.447406828999</v>
      </c>
      <c r="I849" s="14"/>
      <c r="J849" s="14"/>
      <c r="K849" s="14"/>
      <c r="L849" s="14"/>
      <c r="M849" s="7" t="b">
        <f>IFERROR(__xludf.DUMMYFUNCTION("""COMPUTED_VALUE"""),FALSE)</f>
        <v>0</v>
      </c>
      <c r="N849" s="10">
        <f>IFERROR(__xludf.DUMMYFUNCTION("""COMPUTED_VALUE"""),0)</f>
        <v>0</v>
      </c>
      <c r="O849" s="10">
        <f>IFERROR(__xludf.DUMMYFUNCTION("""COMPUTED_VALUE"""),0)</f>
        <v>0</v>
      </c>
      <c r="P849" s="8"/>
      <c r="Q849" s="7"/>
      <c r="R849" s="16"/>
      <c r="S849" s="17"/>
      <c r="T849" s="8"/>
      <c r="U849" s="8"/>
      <c r="V849" s="22"/>
      <c r="W849" s="12"/>
      <c r="X849" s="12"/>
      <c r="Y849" s="12"/>
      <c r="Z849" s="12"/>
      <c r="AA849" s="7"/>
      <c r="AB849" s="12"/>
      <c r="AC849" s="6"/>
      <c r="AD849" s="6"/>
      <c r="AE849" s="7"/>
      <c r="AF849" s="7"/>
      <c r="AG849" s="7"/>
      <c r="AH849" s="7"/>
      <c r="AI849" s="7"/>
      <c r="AJ849" s="7"/>
      <c r="AK849" s="7"/>
      <c r="AL849" s="7"/>
      <c r="AM849" s="7"/>
      <c r="AN849" s="7"/>
      <c r="AO849" s="6"/>
      <c r="AP849" s="7"/>
      <c r="AQ849" s="7"/>
      <c r="AR849" s="6"/>
      <c r="AS849" s="7"/>
      <c r="AT849" s="7"/>
      <c r="AU849" s="7"/>
      <c r="AV849" s="7"/>
      <c r="AW849" s="7"/>
      <c r="AX849" s="7"/>
      <c r="AY849" s="7"/>
      <c r="AZ849" s="7"/>
      <c r="BA849" s="7"/>
      <c r="BB849" s="7"/>
      <c r="BC849" s="7"/>
      <c r="BD849" s="7"/>
      <c r="BE849" s="7"/>
      <c r="BF849" s="7"/>
      <c r="BG849" s="7"/>
    </row>
    <row r="850" customHeight="1" spans="1:59">
      <c r="A850" s="9" t="str">
        <f>IFERROR(__xludf.DUMMYFUNCTION("""COMPUTED_VALUE"""),"Yela 27")</f>
        <v>Yela 27</v>
      </c>
      <c r="B850" s="5" t="str">
        <f>IFERROR(__xludf.DUMMYFUNCTION("""COMPUTED_VALUE"""),"Yela 40")</f>
        <v>Yela 40</v>
      </c>
      <c r="C850" s="5" t="str">
        <f>IFERROR(__xludf.DUMMYFUNCTION("""COMPUTED_VALUE"""),"Yela 11")</f>
        <v>Yela 11</v>
      </c>
      <c r="D850" s="5" t="str">
        <f>IFERROR(__xludf.DUMMYFUNCTION("""COMPUTED_VALUE"""),"Starfarer Wreck")</f>
        <v>Starfarer Wreck</v>
      </c>
      <c r="E850" s="7" t="str">
        <f>IFERROR(__xludf.DUMMYFUNCTION("""COMPUTED_VALUE"""),"Starfarer")</f>
        <v>Starfarer</v>
      </c>
      <c r="F850" s="8">
        <f>IFERROR(__xludf.DUMMYFUNCTION("""COMPUTED_VALUE"""),161.233504259999)</f>
        <v>161.233504259999</v>
      </c>
      <c r="G850" s="8">
        <f>IFERROR(__xludf.DUMMYFUNCTION("""COMPUTED_VALUE"""),185.763270533)</f>
        <v>185.763270533</v>
      </c>
      <c r="H850" s="8">
        <f>IFERROR(__xludf.DUMMYFUNCTION("""COMPUTED_VALUE"""),193.758395744)</f>
        <v>193.758395744</v>
      </c>
      <c r="I850" s="14"/>
      <c r="J850" s="14"/>
      <c r="K850" s="14"/>
      <c r="L850" s="14"/>
      <c r="M850" s="7" t="b">
        <f>IFERROR(__xludf.DUMMYFUNCTION("""COMPUTED_VALUE"""),FALSE)</f>
        <v>0</v>
      </c>
      <c r="N850" s="10">
        <f>IFERROR(__xludf.DUMMYFUNCTION("""COMPUTED_VALUE"""),0)</f>
        <v>0</v>
      </c>
      <c r="O850" s="10">
        <f>IFERROR(__xludf.DUMMYFUNCTION("""COMPUTED_VALUE"""),0)</f>
        <v>0</v>
      </c>
      <c r="P850" s="8"/>
      <c r="Q850" s="7"/>
      <c r="R850" s="16"/>
      <c r="S850" s="17"/>
      <c r="T850" s="8"/>
      <c r="U850" s="8"/>
      <c r="V850" s="22"/>
      <c r="W850" s="12"/>
      <c r="X850" s="12"/>
      <c r="Y850" s="12"/>
      <c r="Z850" s="12"/>
      <c r="AA850" s="7"/>
      <c r="AB850" s="12"/>
      <c r="AC850" s="6"/>
      <c r="AD850" s="6"/>
      <c r="AE850" s="7"/>
      <c r="AF850" s="7"/>
      <c r="AG850" s="7"/>
      <c r="AH850" s="7"/>
      <c r="AI850" s="7"/>
      <c r="AJ850" s="7"/>
      <c r="AK850" s="7"/>
      <c r="AL850" s="7"/>
      <c r="AM850" s="7"/>
      <c r="AN850" s="7"/>
      <c r="AO850" s="6"/>
      <c r="AP850" s="7"/>
      <c r="AQ850" s="7"/>
      <c r="AR850" s="6"/>
      <c r="AS850" s="7"/>
      <c r="AT850" s="7"/>
      <c r="AU850" s="7"/>
      <c r="AV850" s="7"/>
      <c r="AW850" s="7"/>
      <c r="AX850" s="7"/>
      <c r="AY850" s="7"/>
      <c r="AZ850" s="7"/>
      <c r="BA850" s="7"/>
      <c r="BB850" s="7"/>
      <c r="BC850" s="7"/>
      <c r="BD850" s="7"/>
      <c r="BE850" s="7"/>
      <c r="BF850" s="7"/>
      <c r="BG850" s="7"/>
    </row>
    <row r="851" customHeight="1" spans="1:59">
      <c r="A851" s="9" t="str">
        <f>IFERROR(__xludf.DUMMYFUNCTION("""COMPUTED_VALUE"""),"Yela")</f>
        <v>Yela</v>
      </c>
      <c r="B851" s="5" t="str">
        <f>IFERROR(__xludf.DUMMYFUNCTION("""COMPUTED_VALUE"""),"Yela 42")</f>
        <v>Yela 42</v>
      </c>
      <c r="C851" s="5"/>
      <c r="D851" s="5" t="str">
        <f>IFERROR(__xludf.DUMMYFUNCTION("""COMPUTED_VALUE"""),"Comm Array")</f>
        <v>Comm Array</v>
      </c>
      <c r="E851" s="7"/>
      <c r="F851" s="8"/>
      <c r="G851" s="8"/>
      <c r="H851" s="8"/>
      <c r="I851" s="14"/>
      <c r="J851" s="14"/>
      <c r="K851" s="14"/>
      <c r="L851" s="14"/>
      <c r="M851" s="7"/>
      <c r="N851" s="10"/>
      <c r="O851" s="10"/>
      <c r="P851" s="8"/>
      <c r="Q851" s="7"/>
      <c r="R851" s="16"/>
      <c r="S851" s="17"/>
      <c r="T851" s="8"/>
      <c r="U851" s="8"/>
      <c r="V851" s="22"/>
      <c r="W851" s="12"/>
      <c r="X851" s="12"/>
      <c r="Y851" s="12"/>
      <c r="Z851" s="12"/>
      <c r="AA851" s="7"/>
      <c r="AB851" s="12"/>
      <c r="AC851" s="6"/>
      <c r="AD851" s="6"/>
      <c r="AE851" s="7"/>
      <c r="AF851" s="7"/>
      <c r="AG851" s="7"/>
      <c r="AH851" s="7"/>
      <c r="AI851" s="7"/>
      <c r="AJ851" s="7"/>
      <c r="AK851" s="7"/>
      <c r="AL851" s="7"/>
      <c r="AM851" s="7"/>
      <c r="AN851" s="7"/>
      <c r="AO851" s="6"/>
      <c r="AP851" s="7"/>
      <c r="AQ851" s="7"/>
      <c r="AR851" s="6"/>
      <c r="AS851" s="7"/>
      <c r="AT851" s="7"/>
      <c r="AU851" s="7"/>
      <c r="AV851" s="7"/>
      <c r="AW851" s="7"/>
      <c r="AX851" s="7"/>
      <c r="AY851" s="7"/>
      <c r="AZ851" s="7"/>
      <c r="BA851" s="7"/>
      <c r="BB851" s="7"/>
      <c r="BC851" s="7"/>
      <c r="BD851" s="7"/>
      <c r="BE851" s="7"/>
      <c r="BF851" s="7"/>
      <c r="BG851" s="7"/>
    </row>
    <row r="852" customHeight="1" spans="1:59">
      <c r="A852" s="23" t="str">
        <f>IFERROR(__xludf.DUMMYFUNCTION("""COMPUTED_VALUE"""),"Yela 17")</f>
        <v>Yela 17</v>
      </c>
      <c r="B852" s="23" t="str">
        <f>IFERROR(__xludf.DUMMYFUNCTION("""COMPUTED_VALUE"""),"Yela 43")</f>
        <v>Yela 43</v>
      </c>
      <c r="C852" s="23" t="str">
        <f>IFERROR(__xludf.DUMMYFUNCTION("""COMPUTED_VALUE"""),"Yela 20")</f>
        <v>Yela 20</v>
      </c>
      <c r="D852" s="23" t="str">
        <f>IFERROR(__xludf.DUMMYFUNCTION("""COMPUTED_VALUE"""),"Comm Array ST2-76")</f>
        <v>Comm Array ST2-76</v>
      </c>
      <c r="E852" s="7" t="str">
        <f>IFERROR(__xludf.DUMMYFUNCTION("""COMPUTED_VALUE"""),"ST2-76")</f>
        <v>ST2-76</v>
      </c>
      <c r="F852" s="11">
        <f>IFERROR(__xludf.DUMMYFUNCTION("""COMPUTED_VALUE"""),150.335658599854)</f>
        <v>150.335658599854</v>
      </c>
      <c r="G852" s="11">
        <f>IFERROR(__xludf.DUMMYFUNCTION("""COMPUTED_VALUE"""),-454.428451650143)</f>
        <v>-454.428451650143</v>
      </c>
      <c r="H852" s="11">
        <f>IFERROR(__xludf.DUMMYFUNCTION("""COMPUTED_VALUE"""),24)</f>
        <v>24</v>
      </c>
      <c r="I852" s="15"/>
      <c r="J852" s="15"/>
      <c r="K852" s="15"/>
      <c r="L852" s="15"/>
      <c r="M852" s="7" t="b">
        <f>IFERROR(__xludf.DUMMYFUNCTION("""COMPUTED_VALUE"""),TRUE)</f>
        <v>1</v>
      </c>
      <c r="N852" s="8">
        <f>IFERROR(__xludf.DUMMYFUNCTION("""COMPUTED_VALUE"""),0)</f>
        <v>0</v>
      </c>
      <c r="O852" s="8">
        <f>IFERROR(__xludf.DUMMYFUNCTION("""COMPUTED_VALUE"""),0)</f>
        <v>0</v>
      </c>
      <c r="P852" s="8"/>
      <c r="Q852" s="7"/>
      <c r="R852" s="16"/>
      <c r="S852" s="17"/>
      <c r="T852" s="8"/>
      <c r="U852" s="8"/>
      <c r="V852" s="22"/>
      <c r="W852" s="12"/>
      <c r="X852" s="12"/>
      <c r="Y852" s="12"/>
      <c r="Z852" s="12"/>
      <c r="AA852" s="7"/>
      <c r="AB852" s="12"/>
      <c r="AC852" s="6"/>
      <c r="AD852" s="6"/>
      <c r="AE852" s="7"/>
      <c r="AF852" s="7"/>
      <c r="AG852" s="7"/>
      <c r="AH852" s="7"/>
      <c r="AI852" s="7"/>
      <c r="AJ852" s="7"/>
      <c r="AK852" s="7"/>
      <c r="AL852" s="7"/>
      <c r="AM852" s="7"/>
      <c r="AN852" s="7"/>
      <c r="AO852" s="6"/>
      <c r="AP852" s="7"/>
      <c r="AQ852" s="7"/>
      <c r="AR852" s="6"/>
      <c r="AS852" s="7"/>
      <c r="AT852" s="7"/>
      <c r="AU852" s="7"/>
      <c r="AV852" s="7"/>
      <c r="AW852" s="7"/>
      <c r="AX852" s="7"/>
      <c r="AY852" s="7"/>
      <c r="AZ852" s="7"/>
      <c r="BA852" s="7"/>
      <c r="BB852" s="7"/>
      <c r="BC852" s="7"/>
      <c r="BD852" s="7"/>
      <c r="BE852" s="7"/>
      <c r="BF852" s="7"/>
      <c r="BG852" s="7"/>
    </row>
    <row r="853" customHeight="1" spans="1:59">
      <c r="A853" s="23"/>
      <c r="B853" s="23"/>
      <c r="C853" s="23"/>
      <c r="D853" s="23"/>
      <c r="E853" s="7"/>
      <c r="F853" s="11"/>
      <c r="G853" s="11"/>
      <c r="H853" s="11"/>
      <c r="I853" s="15"/>
      <c r="J853" s="15"/>
      <c r="K853" s="15"/>
      <c r="L853" s="15"/>
      <c r="M853" s="7"/>
      <c r="N853" s="8"/>
      <c r="O853" s="8"/>
      <c r="P853" s="8"/>
      <c r="Q853" s="7"/>
      <c r="R853" s="16"/>
      <c r="S853" s="17"/>
      <c r="T853" s="8"/>
      <c r="U853" s="8"/>
      <c r="V853" s="22"/>
      <c r="W853" s="12"/>
      <c r="X853" s="12"/>
      <c r="Y853" s="12"/>
      <c r="Z853" s="12"/>
      <c r="AA853" s="7"/>
      <c r="AB853" s="12"/>
      <c r="AC853" s="6"/>
      <c r="AD853" s="6"/>
      <c r="AE853" s="7"/>
      <c r="AF853" s="7"/>
      <c r="AG853" s="7"/>
      <c r="AH853" s="7"/>
      <c r="AI853" s="7"/>
      <c r="AJ853" s="7"/>
      <c r="AK853" s="7"/>
      <c r="AL853" s="7"/>
      <c r="AM853" s="7"/>
      <c r="AN853" s="7"/>
      <c r="AO853" s="6"/>
      <c r="AP853" s="7"/>
      <c r="AQ853" s="7"/>
      <c r="AR853" s="6"/>
      <c r="AS853" s="7"/>
      <c r="AT853" s="7"/>
      <c r="AU853" s="7"/>
      <c r="AV853" s="7"/>
      <c r="AW853" s="7"/>
      <c r="AX853" s="7"/>
      <c r="AY853" s="7"/>
      <c r="AZ853" s="7"/>
      <c r="BA853" s="7"/>
      <c r="BB853" s="7"/>
      <c r="BC853" s="7"/>
      <c r="BD853" s="7"/>
      <c r="BE853" s="7"/>
      <c r="BF853" s="7"/>
      <c r="BG853" s="7"/>
    </row>
    <row r="854" customHeight="1" spans="1:59">
      <c r="A854" s="23"/>
      <c r="B854" s="23"/>
      <c r="C854" s="23"/>
      <c r="D854" s="23"/>
      <c r="E854" s="7"/>
      <c r="F854" s="11"/>
      <c r="G854" s="11"/>
      <c r="H854" s="11"/>
      <c r="I854" s="15"/>
      <c r="J854" s="15"/>
      <c r="K854" s="15"/>
      <c r="L854" s="15"/>
      <c r="M854" s="7"/>
      <c r="N854" s="8"/>
      <c r="O854" s="8"/>
      <c r="P854" s="8"/>
      <c r="Q854" s="7"/>
      <c r="R854" s="16"/>
      <c r="S854" s="17"/>
      <c r="T854" s="8"/>
      <c r="U854" s="8"/>
      <c r="V854" s="22"/>
      <c r="W854" s="12"/>
      <c r="X854" s="12"/>
      <c r="Y854" s="12"/>
      <c r="Z854" s="12"/>
      <c r="AA854" s="7"/>
      <c r="AB854" s="12"/>
      <c r="AC854" s="6"/>
      <c r="AD854" s="6"/>
      <c r="AE854" s="7"/>
      <c r="AF854" s="7"/>
      <c r="AG854" s="7"/>
      <c r="AH854" s="7"/>
      <c r="AI854" s="7"/>
      <c r="AJ854" s="7"/>
      <c r="AK854" s="7"/>
      <c r="AL854" s="7"/>
      <c r="AM854" s="7"/>
      <c r="AN854" s="7"/>
      <c r="AO854" s="6"/>
      <c r="AP854" s="7"/>
      <c r="AQ854" s="7"/>
      <c r="AR854" s="6"/>
      <c r="AS854" s="7"/>
      <c r="AT854" s="7"/>
      <c r="AU854" s="7"/>
      <c r="AV854" s="7"/>
      <c r="AW854" s="7"/>
      <c r="AX854" s="7"/>
      <c r="AY854" s="7"/>
      <c r="AZ854" s="7"/>
      <c r="BA854" s="7"/>
      <c r="BB854" s="7"/>
      <c r="BC854" s="7"/>
      <c r="BD854" s="7"/>
      <c r="BE854" s="7"/>
      <c r="BF854" s="7"/>
      <c r="BG854" s="7"/>
    </row>
    <row r="855" customHeight="1" spans="1:59">
      <c r="A855" s="23"/>
      <c r="B855" s="23"/>
      <c r="C855" s="23"/>
      <c r="D855" s="23"/>
      <c r="E855" s="7"/>
      <c r="F855" s="11"/>
      <c r="G855" s="11"/>
      <c r="H855" s="11"/>
      <c r="I855" s="15"/>
      <c r="J855" s="15"/>
      <c r="K855" s="15"/>
      <c r="L855" s="15"/>
      <c r="M855" s="7"/>
      <c r="N855" s="8"/>
      <c r="O855" s="8"/>
      <c r="P855" s="8"/>
      <c r="Q855" s="7"/>
      <c r="R855" s="16"/>
      <c r="S855" s="17"/>
      <c r="T855" s="8"/>
      <c r="U855" s="8"/>
      <c r="V855" s="22"/>
      <c r="W855" s="12"/>
      <c r="X855" s="12"/>
      <c r="Y855" s="12"/>
      <c r="Z855" s="12"/>
      <c r="AA855" s="7"/>
      <c r="AB855" s="12"/>
      <c r="AC855" s="6"/>
      <c r="AD855" s="6"/>
      <c r="AE855" s="7"/>
      <c r="AF855" s="7"/>
      <c r="AG855" s="7"/>
      <c r="AH855" s="7"/>
      <c r="AI855" s="7"/>
      <c r="AJ855" s="7"/>
      <c r="AK855" s="7"/>
      <c r="AL855" s="7"/>
      <c r="AM855" s="7"/>
      <c r="AN855" s="7"/>
      <c r="AO855" s="6"/>
      <c r="AP855" s="7"/>
      <c r="AQ855" s="7"/>
      <c r="AR855" s="6"/>
      <c r="AS855" s="7"/>
      <c r="AT855" s="7"/>
      <c r="AU855" s="7"/>
      <c r="AV855" s="7"/>
      <c r="AW855" s="7"/>
      <c r="AX855" s="7"/>
      <c r="AY855" s="7"/>
      <c r="AZ855" s="7"/>
      <c r="BA855" s="7"/>
      <c r="BB855" s="7"/>
      <c r="BC855" s="7"/>
      <c r="BD855" s="7"/>
      <c r="BE855" s="7"/>
      <c r="BF855" s="7"/>
      <c r="BG855" s="7"/>
    </row>
    <row r="856" customHeight="1" spans="1:59">
      <c r="A856" s="23"/>
      <c r="B856" s="23"/>
      <c r="C856" s="23"/>
      <c r="D856" s="23"/>
      <c r="E856" s="7"/>
      <c r="F856" s="11"/>
      <c r="G856" s="11"/>
      <c r="H856" s="11"/>
      <c r="I856" s="15"/>
      <c r="J856" s="15"/>
      <c r="K856" s="15"/>
      <c r="L856" s="15"/>
      <c r="M856" s="7"/>
      <c r="N856" s="8"/>
      <c r="O856" s="8"/>
      <c r="P856" s="8"/>
      <c r="Q856" s="7"/>
      <c r="R856" s="16"/>
      <c r="S856" s="17"/>
      <c r="T856" s="8"/>
      <c r="U856" s="8"/>
      <c r="V856" s="22"/>
      <c r="W856" s="12"/>
      <c r="X856" s="12"/>
      <c r="Y856" s="12"/>
      <c r="Z856" s="12"/>
      <c r="AA856" s="7"/>
      <c r="AB856" s="12"/>
      <c r="AC856" s="6"/>
      <c r="AD856" s="6"/>
      <c r="AE856" s="7"/>
      <c r="AF856" s="7"/>
      <c r="AG856" s="7"/>
      <c r="AH856" s="7"/>
      <c r="AI856" s="7"/>
      <c r="AJ856" s="7"/>
      <c r="AK856" s="7"/>
      <c r="AL856" s="7"/>
      <c r="AM856" s="7"/>
      <c r="AN856" s="7"/>
      <c r="AO856" s="6"/>
      <c r="AP856" s="7"/>
      <c r="AQ856" s="7"/>
      <c r="AR856" s="6"/>
      <c r="AS856" s="7"/>
      <c r="AT856" s="7"/>
      <c r="AU856" s="7"/>
      <c r="AV856" s="7"/>
      <c r="AW856" s="7"/>
      <c r="AX856" s="7"/>
      <c r="AY856" s="7"/>
      <c r="AZ856" s="7"/>
      <c r="BA856" s="7"/>
      <c r="BB856" s="7"/>
      <c r="BC856" s="7"/>
      <c r="BD856" s="7"/>
      <c r="BE856" s="7"/>
      <c r="BF856" s="7"/>
      <c r="BG856" s="7"/>
    </row>
    <row r="857" customHeight="1" spans="1:59">
      <c r="A857" s="23"/>
      <c r="B857" s="23"/>
      <c r="C857" s="23"/>
      <c r="D857" s="23"/>
      <c r="E857" s="7"/>
      <c r="F857" s="11"/>
      <c r="G857" s="11"/>
      <c r="H857" s="11"/>
      <c r="I857" s="15"/>
      <c r="J857" s="15"/>
      <c r="K857" s="15"/>
      <c r="L857" s="15"/>
      <c r="M857" s="7"/>
      <c r="N857" s="8"/>
      <c r="O857" s="8"/>
      <c r="P857" s="8"/>
      <c r="Q857" s="7"/>
      <c r="R857" s="16"/>
      <c r="S857" s="17"/>
      <c r="T857" s="8"/>
      <c r="U857" s="8"/>
      <c r="V857" s="22"/>
      <c r="W857" s="12"/>
      <c r="X857" s="12"/>
      <c r="Y857" s="12"/>
      <c r="Z857" s="12"/>
      <c r="AA857" s="7"/>
      <c r="AB857" s="12"/>
      <c r="AC857" s="6"/>
      <c r="AD857" s="6"/>
      <c r="AE857" s="7"/>
      <c r="AF857" s="7"/>
      <c r="AG857" s="7"/>
      <c r="AH857" s="7"/>
      <c r="AI857" s="7"/>
      <c r="AJ857" s="7"/>
      <c r="AK857" s="7"/>
      <c r="AL857" s="7"/>
      <c r="AM857" s="7"/>
      <c r="AN857" s="7"/>
      <c r="AO857" s="6"/>
      <c r="AP857" s="7"/>
      <c r="AQ857" s="7"/>
      <c r="AR857" s="6"/>
      <c r="AS857" s="7"/>
      <c r="AT857" s="7"/>
      <c r="AU857" s="7"/>
      <c r="AV857" s="7"/>
      <c r="AW857" s="7"/>
      <c r="AX857" s="7"/>
      <c r="AY857" s="7"/>
      <c r="AZ857" s="7"/>
      <c r="BA857" s="7"/>
      <c r="BB857" s="7"/>
      <c r="BC857" s="7"/>
      <c r="BD857" s="7"/>
      <c r="BE857" s="7"/>
      <c r="BF857" s="7"/>
      <c r="BG857" s="7"/>
    </row>
    <row r="858" customHeight="1" spans="1:59">
      <c r="A858" s="23"/>
      <c r="B858" s="23"/>
      <c r="C858" s="23"/>
      <c r="D858" s="23"/>
      <c r="E858" s="7"/>
      <c r="F858" s="11"/>
      <c r="G858" s="11"/>
      <c r="H858" s="11"/>
      <c r="I858" s="15"/>
      <c r="J858" s="15"/>
      <c r="K858" s="15"/>
      <c r="L858" s="15"/>
      <c r="M858" s="7"/>
      <c r="N858" s="8"/>
      <c r="O858" s="8"/>
      <c r="P858" s="8"/>
      <c r="Q858" s="7"/>
      <c r="R858" s="16"/>
      <c r="S858" s="17"/>
      <c r="T858" s="8"/>
      <c r="U858" s="8"/>
      <c r="V858" s="22"/>
      <c r="W858" s="12"/>
      <c r="X858" s="12"/>
      <c r="Y858" s="12"/>
      <c r="Z858" s="12"/>
      <c r="AA858" s="7"/>
      <c r="AB858" s="12"/>
      <c r="AC858" s="6"/>
      <c r="AD858" s="6"/>
      <c r="AE858" s="7"/>
      <c r="AF858" s="7"/>
      <c r="AG858" s="7"/>
      <c r="AH858" s="7"/>
      <c r="AI858" s="7"/>
      <c r="AJ858" s="7"/>
      <c r="AK858" s="7"/>
      <c r="AL858" s="7"/>
      <c r="AM858" s="7"/>
      <c r="AN858" s="7"/>
      <c r="AO858" s="6"/>
      <c r="AP858" s="7"/>
      <c r="AQ858" s="7"/>
      <c r="AR858" s="6"/>
      <c r="AS858" s="7"/>
      <c r="AT858" s="7"/>
      <c r="AU858" s="7"/>
      <c r="AV858" s="7"/>
      <c r="AW858" s="7"/>
      <c r="AX858" s="7"/>
      <c r="AY858" s="7"/>
      <c r="AZ858" s="7"/>
      <c r="BA858" s="7"/>
      <c r="BB858" s="7"/>
      <c r="BC858" s="7"/>
      <c r="BD858" s="7"/>
      <c r="BE858" s="7"/>
      <c r="BF858" s="7"/>
      <c r="BG858" s="7"/>
    </row>
    <row r="859" customHeight="1" spans="1:59">
      <c r="A859" s="23"/>
      <c r="B859" s="23"/>
      <c r="C859" s="23"/>
      <c r="D859" s="23"/>
      <c r="E859" s="7"/>
      <c r="F859" s="11"/>
      <c r="G859" s="11"/>
      <c r="H859" s="11"/>
      <c r="I859" s="15"/>
      <c r="J859" s="15"/>
      <c r="K859" s="15"/>
      <c r="L859" s="15"/>
      <c r="M859" s="7"/>
      <c r="N859" s="8"/>
      <c r="O859" s="8"/>
      <c r="P859" s="8"/>
      <c r="Q859" s="7"/>
      <c r="R859" s="16"/>
      <c r="S859" s="17"/>
      <c r="T859" s="8"/>
      <c r="U859" s="8"/>
      <c r="V859" s="22"/>
      <c r="W859" s="12"/>
      <c r="X859" s="12"/>
      <c r="Y859" s="12"/>
      <c r="Z859" s="12"/>
      <c r="AA859" s="7"/>
      <c r="AB859" s="12"/>
      <c r="AC859" s="6"/>
      <c r="AD859" s="6"/>
      <c r="AE859" s="7"/>
      <c r="AF859" s="7"/>
      <c r="AG859" s="7"/>
      <c r="AH859" s="7"/>
      <c r="AI859" s="7"/>
      <c r="AJ859" s="7"/>
      <c r="AK859" s="7"/>
      <c r="AL859" s="7"/>
      <c r="AM859" s="7"/>
      <c r="AN859" s="7"/>
      <c r="AO859" s="6"/>
      <c r="AP859" s="7"/>
      <c r="AQ859" s="7"/>
      <c r="AR859" s="6"/>
      <c r="AS859" s="7"/>
      <c r="AT859" s="7"/>
      <c r="AU859" s="7"/>
      <c r="AV859" s="7"/>
      <c r="AW859" s="7"/>
      <c r="AX859" s="7"/>
      <c r="AY859" s="7"/>
      <c r="AZ859" s="7"/>
      <c r="BA859" s="7"/>
      <c r="BB859" s="7"/>
      <c r="BC859" s="7"/>
      <c r="BD859" s="7"/>
      <c r="BE859" s="7"/>
      <c r="BF859" s="7"/>
      <c r="BG859" s="7"/>
    </row>
    <row r="860" customHeight="1" spans="1:59">
      <c r="A860" s="23"/>
      <c r="B860" s="23"/>
      <c r="C860" s="23"/>
      <c r="D860" s="23"/>
      <c r="E860" s="7"/>
      <c r="F860" s="11"/>
      <c r="G860" s="11"/>
      <c r="H860" s="11"/>
      <c r="I860" s="15"/>
      <c r="J860" s="15"/>
      <c r="K860" s="15"/>
      <c r="L860" s="15"/>
      <c r="M860" s="7"/>
      <c r="N860" s="8"/>
      <c r="O860" s="8"/>
      <c r="P860" s="8"/>
      <c r="Q860" s="7"/>
      <c r="R860" s="16"/>
      <c r="S860" s="17"/>
      <c r="T860" s="8"/>
      <c r="U860" s="8"/>
      <c r="V860" s="22"/>
      <c r="W860" s="12"/>
      <c r="X860" s="12"/>
      <c r="Y860" s="12"/>
      <c r="Z860" s="12"/>
      <c r="AA860" s="7"/>
      <c r="AB860" s="12"/>
      <c r="AC860" s="6"/>
      <c r="AD860" s="6"/>
      <c r="AE860" s="7"/>
      <c r="AF860" s="7"/>
      <c r="AG860" s="7"/>
      <c r="AH860" s="7"/>
      <c r="AI860" s="7"/>
      <c r="AJ860" s="7"/>
      <c r="AK860" s="7"/>
      <c r="AL860" s="7"/>
      <c r="AM860" s="7"/>
      <c r="AN860" s="7"/>
      <c r="AO860" s="6"/>
      <c r="AP860" s="7"/>
      <c r="AQ860" s="7"/>
      <c r="AR860" s="6"/>
      <c r="AS860" s="7"/>
      <c r="AT860" s="7"/>
      <c r="AU860" s="7"/>
      <c r="AV860" s="7"/>
      <c r="AW860" s="7"/>
      <c r="AX860" s="7"/>
      <c r="AY860" s="7"/>
      <c r="AZ860" s="7"/>
      <c r="BA860" s="7"/>
      <c r="BB860" s="7"/>
      <c r="BC860" s="7"/>
      <c r="BD860" s="7"/>
      <c r="BE860" s="7"/>
      <c r="BF860" s="7"/>
      <c r="BG860" s="7"/>
    </row>
    <row r="861" customHeight="1" spans="1:59">
      <c r="A861" s="23"/>
      <c r="B861" s="23"/>
      <c r="C861" s="23"/>
      <c r="D861" s="23"/>
      <c r="E861" s="7"/>
      <c r="F861" s="11"/>
      <c r="G861" s="11"/>
      <c r="H861" s="11"/>
      <c r="I861" s="15"/>
      <c r="J861" s="15"/>
      <c r="K861" s="15"/>
      <c r="L861" s="15"/>
      <c r="M861" s="7"/>
      <c r="N861" s="8"/>
      <c r="O861" s="8"/>
      <c r="P861" s="8"/>
      <c r="Q861" s="7"/>
      <c r="R861" s="16"/>
      <c r="S861" s="17"/>
      <c r="T861" s="8"/>
      <c r="U861" s="8"/>
      <c r="V861" s="22"/>
      <c r="W861" s="12"/>
      <c r="X861" s="12"/>
      <c r="Y861" s="12"/>
      <c r="Z861" s="12"/>
      <c r="AA861" s="7"/>
      <c r="AB861" s="12"/>
      <c r="AC861" s="6"/>
      <c r="AD861" s="6"/>
      <c r="AE861" s="7"/>
      <c r="AF861" s="7"/>
      <c r="AG861" s="7"/>
      <c r="AH861" s="7"/>
      <c r="AI861" s="7"/>
      <c r="AJ861" s="7"/>
      <c r="AK861" s="7"/>
      <c r="AL861" s="7"/>
      <c r="AM861" s="7"/>
      <c r="AN861" s="7"/>
      <c r="AO861" s="6"/>
      <c r="AP861" s="7"/>
      <c r="AQ861" s="7"/>
      <c r="AR861" s="6"/>
      <c r="AS861" s="7"/>
      <c r="AT861" s="7"/>
      <c r="AU861" s="7"/>
      <c r="AV861" s="7"/>
      <c r="AW861" s="7"/>
      <c r="AX861" s="7"/>
      <c r="AY861" s="7"/>
      <c r="AZ861" s="7"/>
      <c r="BA861" s="7"/>
      <c r="BB861" s="7"/>
      <c r="BC861" s="7"/>
      <c r="BD861" s="7"/>
      <c r="BE861" s="7"/>
      <c r="BF861" s="7"/>
      <c r="BG861" s="7"/>
    </row>
    <row r="862" customHeight="1" spans="1:59">
      <c r="A862" s="23"/>
      <c r="B862" s="23"/>
      <c r="C862" s="23"/>
      <c r="D862" s="23"/>
      <c r="E862" s="7"/>
      <c r="F862" s="11"/>
      <c r="G862" s="11"/>
      <c r="H862" s="11"/>
      <c r="I862" s="15"/>
      <c r="J862" s="15"/>
      <c r="K862" s="15"/>
      <c r="L862" s="15"/>
      <c r="M862" s="7"/>
      <c r="N862" s="8"/>
      <c r="O862" s="8"/>
      <c r="P862" s="8"/>
      <c r="Q862" s="7"/>
      <c r="R862" s="16"/>
      <c r="S862" s="17"/>
      <c r="T862" s="8"/>
      <c r="U862" s="8"/>
      <c r="V862" s="22"/>
      <c r="W862" s="12"/>
      <c r="X862" s="12"/>
      <c r="Y862" s="12"/>
      <c r="Z862" s="12"/>
      <c r="AA862" s="6"/>
      <c r="AB862" s="12"/>
      <c r="AC862" s="6"/>
      <c r="AD862" s="6"/>
      <c r="AE862" s="7"/>
      <c r="AF862" s="7"/>
      <c r="AG862" s="7"/>
      <c r="AH862" s="7"/>
      <c r="AI862" s="7"/>
      <c r="AJ862" s="7"/>
      <c r="AK862" s="7"/>
      <c r="AL862" s="7"/>
      <c r="AM862" s="7"/>
      <c r="AN862" s="7"/>
      <c r="AO862" s="6"/>
      <c r="AP862" s="7"/>
      <c r="AQ862" s="7"/>
      <c r="AR862" s="6"/>
      <c r="AS862" s="7"/>
      <c r="AT862" s="7"/>
      <c r="AU862" s="7"/>
      <c r="AV862" s="7"/>
      <c r="AW862" s="7"/>
      <c r="AX862" s="7"/>
      <c r="AY862" s="7"/>
      <c r="AZ862" s="7"/>
      <c r="BA862" s="7"/>
      <c r="BB862" s="7"/>
      <c r="BC862" s="7"/>
      <c r="BD862" s="7"/>
      <c r="BE862" s="7"/>
      <c r="BF862" s="7"/>
      <c r="BG862" s="7"/>
    </row>
    <row r="863" customHeight="1" spans="1:59">
      <c r="A863" s="23"/>
      <c r="B863" s="23"/>
      <c r="C863" s="23"/>
      <c r="D863" s="23"/>
      <c r="E863" s="7"/>
      <c r="F863" s="11"/>
      <c r="G863" s="11"/>
      <c r="H863" s="11"/>
      <c r="I863" s="15"/>
      <c r="J863" s="15"/>
      <c r="K863" s="15"/>
      <c r="L863" s="15"/>
      <c r="M863" s="7"/>
      <c r="N863" s="8"/>
      <c r="O863" s="8"/>
      <c r="P863" s="8"/>
      <c r="Q863" s="7"/>
      <c r="R863" s="16"/>
      <c r="S863" s="17"/>
      <c r="T863" s="8"/>
      <c r="U863" s="8"/>
      <c r="V863" s="22"/>
      <c r="W863" s="12"/>
      <c r="X863" s="12"/>
      <c r="Y863" s="12"/>
      <c r="Z863" s="12"/>
      <c r="AA863" s="7"/>
      <c r="AB863" s="12"/>
      <c r="AC863" s="6"/>
      <c r="AD863" s="6"/>
      <c r="AE863" s="7"/>
      <c r="AF863" s="7"/>
      <c r="AG863" s="7"/>
      <c r="AH863" s="7"/>
      <c r="AI863" s="7"/>
      <c r="AJ863" s="7"/>
      <c r="AK863" s="7"/>
      <c r="AL863" s="7"/>
      <c r="AM863" s="7"/>
      <c r="AN863" s="7"/>
      <c r="AO863" s="6"/>
      <c r="AP863" s="7"/>
      <c r="AQ863" s="7"/>
      <c r="AR863" s="6"/>
      <c r="AS863" s="7"/>
      <c r="AT863" s="7"/>
      <c r="AU863" s="7"/>
      <c r="AV863" s="7"/>
      <c r="AW863" s="7"/>
      <c r="AX863" s="7"/>
      <c r="AY863" s="7"/>
      <c r="AZ863" s="7"/>
      <c r="BA863" s="7"/>
      <c r="BB863" s="7"/>
      <c r="BC863" s="7"/>
      <c r="BD863" s="7"/>
      <c r="BE863" s="7"/>
      <c r="BF863" s="7"/>
      <c r="BG863" s="7"/>
    </row>
    <row r="864" customHeight="1" spans="1:59">
      <c r="A864" s="23"/>
      <c r="B864" s="23"/>
      <c r="C864" s="23"/>
      <c r="D864" s="23"/>
      <c r="E864" s="7"/>
      <c r="F864" s="11"/>
      <c r="G864" s="11"/>
      <c r="H864" s="11"/>
      <c r="I864" s="15"/>
      <c r="J864" s="15"/>
      <c r="K864" s="15"/>
      <c r="L864" s="15"/>
      <c r="M864" s="7"/>
      <c r="N864" s="8"/>
      <c r="O864" s="8"/>
      <c r="P864" s="8"/>
      <c r="Q864" s="7"/>
      <c r="R864" s="16"/>
      <c r="S864" s="17"/>
      <c r="T864" s="8"/>
      <c r="U864" s="8"/>
      <c r="V864" s="22"/>
      <c r="W864" s="12"/>
      <c r="X864" s="12"/>
      <c r="Y864" s="12"/>
      <c r="Z864" s="12"/>
      <c r="AA864" s="7"/>
      <c r="AB864" s="12"/>
      <c r="AC864" s="6"/>
      <c r="AD864" s="6"/>
      <c r="AE864" s="7"/>
      <c r="AF864" s="7"/>
      <c r="AG864" s="7"/>
      <c r="AH864" s="7"/>
      <c r="AI864" s="7"/>
      <c r="AJ864" s="7"/>
      <c r="AK864" s="7"/>
      <c r="AL864" s="7"/>
      <c r="AM864" s="7"/>
      <c r="AN864" s="7"/>
      <c r="AO864" s="6"/>
      <c r="AP864" s="7"/>
      <c r="AQ864" s="7"/>
      <c r="AR864" s="6"/>
      <c r="AS864" s="7"/>
      <c r="AT864" s="7"/>
      <c r="AU864" s="7"/>
      <c r="AV864" s="7"/>
      <c r="AW864" s="7"/>
      <c r="AX864" s="7"/>
      <c r="AY864" s="7"/>
      <c r="AZ864" s="7"/>
      <c r="BA864" s="7"/>
      <c r="BB864" s="7"/>
      <c r="BC864" s="7"/>
      <c r="BD864" s="7"/>
      <c r="BE864" s="7"/>
      <c r="BF864" s="7"/>
      <c r="BG864" s="7"/>
    </row>
    <row r="865" customHeight="1" spans="1:59">
      <c r="A865" s="23"/>
      <c r="B865" s="23"/>
      <c r="C865" s="23"/>
      <c r="D865" s="23"/>
      <c r="E865" s="7"/>
      <c r="F865" s="11"/>
      <c r="G865" s="11"/>
      <c r="H865" s="11"/>
      <c r="I865" s="15"/>
      <c r="J865" s="15"/>
      <c r="K865" s="15"/>
      <c r="L865" s="15"/>
      <c r="M865" s="7"/>
      <c r="N865" s="8"/>
      <c r="O865" s="8"/>
      <c r="P865" s="8"/>
      <c r="Q865" s="7"/>
      <c r="R865" s="16"/>
      <c r="S865" s="17"/>
      <c r="T865" s="8"/>
      <c r="U865" s="8"/>
      <c r="V865" s="22"/>
      <c r="W865" s="12"/>
      <c r="X865" s="12"/>
      <c r="Y865" s="12"/>
      <c r="Z865" s="12"/>
      <c r="AA865" s="7"/>
      <c r="AB865" s="12"/>
      <c r="AC865" s="6"/>
      <c r="AD865" s="6"/>
      <c r="AE865" s="7"/>
      <c r="AF865" s="7"/>
      <c r="AG865" s="7"/>
      <c r="AH865" s="7"/>
      <c r="AI865" s="7"/>
      <c r="AJ865" s="7"/>
      <c r="AK865" s="7"/>
      <c r="AL865" s="7"/>
      <c r="AM865" s="7"/>
      <c r="AN865" s="7"/>
      <c r="AO865" s="6"/>
      <c r="AP865" s="7"/>
      <c r="AQ865" s="7"/>
      <c r="AR865" s="6"/>
      <c r="AS865" s="7"/>
      <c r="AT865" s="7"/>
      <c r="AU865" s="7"/>
      <c r="AV865" s="7"/>
      <c r="AW865" s="7"/>
      <c r="AX865" s="7"/>
      <c r="AY865" s="7"/>
      <c r="AZ865" s="7"/>
      <c r="BA865" s="7"/>
      <c r="BB865" s="7"/>
      <c r="BC865" s="7"/>
      <c r="BD865" s="7"/>
      <c r="BE865" s="7"/>
      <c r="BF865" s="7"/>
      <c r="BG865" s="7"/>
    </row>
    <row r="866" customHeight="1" spans="1:59">
      <c r="A866" s="23"/>
      <c r="B866" s="23"/>
      <c r="C866" s="23"/>
      <c r="D866" s="23"/>
      <c r="E866" s="7"/>
      <c r="F866" s="11"/>
      <c r="G866" s="11"/>
      <c r="H866" s="11"/>
      <c r="I866" s="15"/>
      <c r="J866" s="15"/>
      <c r="K866" s="15"/>
      <c r="L866" s="15"/>
      <c r="M866" s="7"/>
      <c r="N866" s="8"/>
      <c r="O866" s="8"/>
      <c r="P866" s="8"/>
      <c r="Q866" s="7"/>
      <c r="R866" s="16"/>
      <c r="S866" s="17"/>
      <c r="T866" s="8"/>
      <c r="U866" s="8"/>
      <c r="V866" s="22"/>
      <c r="W866" s="12"/>
      <c r="X866" s="12"/>
      <c r="Y866" s="12"/>
      <c r="Z866" s="12"/>
      <c r="AA866" s="7"/>
      <c r="AB866" s="12"/>
      <c r="AC866" s="6"/>
      <c r="AD866" s="6"/>
      <c r="AE866" s="7"/>
      <c r="AF866" s="7"/>
      <c r="AG866" s="7"/>
      <c r="AH866" s="7"/>
      <c r="AI866" s="7"/>
      <c r="AJ866" s="7"/>
      <c r="AK866" s="7"/>
      <c r="AL866" s="7"/>
      <c r="AM866" s="7"/>
      <c r="AN866" s="7"/>
      <c r="AO866" s="6"/>
      <c r="AP866" s="7"/>
      <c r="AQ866" s="7"/>
      <c r="AR866" s="6"/>
      <c r="AS866" s="7"/>
      <c r="AT866" s="7"/>
      <c r="AU866" s="7"/>
      <c r="AV866" s="7"/>
      <c r="AW866" s="7"/>
      <c r="AX866" s="7"/>
      <c r="AY866" s="7"/>
      <c r="AZ866" s="7"/>
      <c r="BA866" s="7"/>
      <c r="BB866" s="7"/>
      <c r="BC866" s="7"/>
      <c r="BD866" s="7"/>
      <c r="BE866" s="7"/>
      <c r="BF866" s="7"/>
      <c r="BG866" s="7"/>
    </row>
    <row r="867" customHeight="1" spans="1:59">
      <c r="A867" s="23"/>
      <c r="B867" s="23"/>
      <c r="C867" s="23"/>
      <c r="D867" s="23"/>
      <c r="E867" s="7"/>
      <c r="F867" s="11"/>
      <c r="G867" s="11"/>
      <c r="H867" s="11"/>
      <c r="I867" s="15"/>
      <c r="J867" s="15"/>
      <c r="K867" s="15"/>
      <c r="L867" s="15"/>
      <c r="M867" s="7"/>
      <c r="N867" s="8"/>
      <c r="O867" s="8"/>
      <c r="P867" s="8"/>
      <c r="Q867" s="7"/>
      <c r="R867" s="16"/>
      <c r="S867" s="17"/>
      <c r="T867" s="8"/>
      <c r="U867" s="8"/>
      <c r="V867" s="22"/>
      <c r="W867" s="12"/>
      <c r="X867" s="12"/>
      <c r="Y867" s="12"/>
      <c r="Z867" s="12"/>
      <c r="AA867" s="7"/>
      <c r="AB867" s="12"/>
      <c r="AC867" s="6"/>
      <c r="AD867" s="6"/>
      <c r="AE867" s="7"/>
      <c r="AF867" s="7"/>
      <c r="AG867" s="7"/>
      <c r="AH867" s="7"/>
      <c r="AI867" s="7"/>
      <c r="AJ867" s="7"/>
      <c r="AK867" s="7"/>
      <c r="AL867" s="7"/>
      <c r="AM867" s="7"/>
      <c r="AN867" s="7"/>
      <c r="AO867" s="6"/>
      <c r="AP867" s="7"/>
      <c r="AQ867" s="7"/>
      <c r="AR867" s="6"/>
      <c r="AS867" s="7"/>
      <c r="AT867" s="7"/>
      <c r="AU867" s="7"/>
      <c r="AV867" s="7"/>
      <c r="AW867" s="7"/>
      <c r="AX867" s="7"/>
      <c r="AY867" s="7"/>
      <c r="AZ867" s="7"/>
      <c r="BA867" s="7"/>
      <c r="BB867" s="7"/>
      <c r="BC867" s="7"/>
      <c r="BD867" s="7"/>
      <c r="BE867" s="7"/>
      <c r="BF867" s="7"/>
      <c r="BG867" s="7"/>
    </row>
    <row r="868" customHeight="1" spans="1:59">
      <c r="A868" s="23"/>
      <c r="B868" s="23"/>
      <c r="C868" s="23"/>
      <c r="D868" s="23"/>
      <c r="E868" s="7"/>
      <c r="F868" s="11"/>
      <c r="G868" s="11"/>
      <c r="H868" s="11"/>
      <c r="I868" s="15"/>
      <c r="J868" s="15"/>
      <c r="K868" s="15"/>
      <c r="L868" s="15"/>
      <c r="M868" s="7"/>
      <c r="N868" s="8"/>
      <c r="O868" s="8"/>
      <c r="P868" s="8"/>
      <c r="Q868" s="7"/>
      <c r="R868" s="16"/>
      <c r="S868" s="17"/>
      <c r="T868" s="8"/>
      <c r="U868" s="8"/>
      <c r="V868" s="22"/>
      <c r="W868" s="12"/>
      <c r="X868" s="12"/>
      <c r="Y868" s="12"/>
      <c r="Z868" s="12"/>
      <c r="AA868" s="7"/>
      <c r="AB868" s="12"/>
      <c r="AC868" s="6"/>
      <c r="AD868" s="6"/>
      <c r="AE868" s="7"/>
      <c r="AF868" s="7"/>
      <c r="AG868" s="7"/>
      <c r="AH868" s="7"/>
      <c r="AI868" s="7"/>
      <c r="AJ868" s="7"/>
      <c r="AK868" s="7"/>
      <c r="AL868" s="7"/>
      <c r="AM868" s="7"/>
      <c r="AN868" s="7"/>
      <c r="AO868" s="6"/>
      <c r="AP868" s="7"/>
      <c r="AQ868" s="7"/>
      <c r="AR868" s="6"/>
      <c r="AS868" s="7"/>
      <c r="AT868" s="7"/>
      <c r="AU868" s="7"/>
      <c r="AV868" s="7"/>
      <c r="AW868" s="7"/>
      <c r="AX868" s="7"/>
      <c r="AY868" s="7"/>
      <c r="AZ868" s="7"/>
      <c r="BA868" s="7"/>
      <c r="BB868" s="7"/>
      <c r="BC868" s="7"/>
      <c r="BD868" s="7"/>
      <c r="BE868" s="7"/>
      <c r="BF868" s="7"/>
      <c r="BG868" s="7"/>
    </row>
    <row r="869" customHeight="1" spans="1:59">
      <c r="A869" s="23"/>
      <c r="B869" s="23"/>
      <c r="C869" s="23"/>
      <c r="D869" s="23"/>
      <c r="E869" s="7"/>
      <c r="F869" s="11"/>
      <c r="G869" s="11"/>
      <c r="H869" s="11"/>
      <c r="I869" s="15"/>
      <c r="J869" s="15"/>
      <c r="K869" s="15"/>
      <c r="L869" s="15"/>
      <c r="M869" s="7"/>
      <c r="N869" s="8"/>
      <c r="O869" s="8"/>
      <c r="P869" s="8"/>
      <c r="Q869" s="7"/>
      <c r="R869" s="16"/>
      <c r="S869" s="17"/>
      <c r="T869" s="8"/>
      <c r="U869" s="8"/>
      <c r="V869" s="22"/>
      <c r="W869" s="12"/>
      <c r="X869" s="12"/>
      <c r="Y869" s="12"/>
      <c r="Z869" s="12"/>
      <c r="AA869" s="7"/>
      <c r="AB869" s="12"/>
      <c r="AC869" s="6"/>
      <c r="AD869" s="6"/>
      <c r="AE869" s="7"/>
      <c r="AF869" s="7"/>
      <c r="AG869" s="7"/>
      <c r="AH869" s="7"/>
      <c r="AI869" s="7"/>
      <c r="AJ869" s="7"/>
      <c r="AK869" s="7"/>
      <c r="AL869" s="7"/>
      <c r="AM869" s="7"/>
      <c r="AN869" s="7"/>
      <c r="AO869" s="6"/>
      <c r="AP869" s="7"/>
      <c r="AQ869" s="7"/>
      <c r="AR869" s="6"/>
      <c r="AS869" s="7"/>
      <c r="AT869" s="7"/>
      <c r="AU869" s="7"/>
      <c r="AV869" s="7"/>
      <c r="AW869" s="7"/>
      <c r="AX869" s="7"/>
      <c r="AY869" s="7"/>
      <c r="AZ869" s="7"/>
      <c r="BA869" s="7"/>
      <c r="BB869" s="7"/>
      <c r="BC869" s="7"/>
      <c r="BD869" s="7"/>
      <c r="BE869" s="7"/>
      <c r="BF869" s="7"/>
      <c r="BG869" s="7"/>
    </row>
    <row r="870" customHeight="1" spans="1:59">
      <c r="A870" s="23"/>
      <c r="B870" s="23"/>
      <c r="C870" s="23"/>
      <c r="D870" s="23"/>
      <c r="E870" s="7"/>
      <c r="F870" s="11"/>
      <c r="G870" s="11"/>
      <c r="H870" s="11"/>
      <c r="I870" s="15"/>
      <c r="J870" s="15"/>
      <c r="K870" s="15"/>
      <c r="L870" s="15"/>
      <c r="M870" s="7"/>
      <c r="N870" s="8"/>
      <c r="O870" s="8"/>
      <c r="P870" s="8"/>
      <c r="Q870" s="7"/>
      <c r="R870" s="16"/>
      <c r="S870" s="17"/>
      <c r="T870" s="8"/>
      <c r="U870" s="8"/>
      <c r="V870" s="22"/>
      <c r="W870" s="12"/>
      <c r="X870" s="12"/>
      <c r="Y870" s="12"/>
      <c r="Z870" s="12"/>
      <c r="AA870" s="7"/>
      <c r="AB870" s="12"/>
      <c r="AC870" s="6"/>
      <c r="AD870" s="6"/>
      <c r="AE870" s="7"/>
      <c r="AF870" s="7"/>
      <c r="AG870" s="7"/>
      <c r="AH870" s="7"/>
      <c r="AI870" s="7"/>
      <c r="AJ870" s="7"/>
      <c r="AK870" s="7"/>
      <c r="AL870" s="7"/>
      <c r="AM870" s="7"/>
      <c r="AN870" s="7"/>
      <c r="AO870" s="6"/>
      <c r="AP870" s="7"/>
      <c r="AQ870" s="7"/>
      <c r="AR870" s="6"/>
      <c r="AS870" s="7"/>
      <c r="AT870" s="7"/>
      <c r="AU870" s="7"/>
      <c r="AV870" s="7"/>
      <c r="AW870" s="7"/>
      <c r="AX870" s="7"/>
      <c r="AY870" s="7"/>
      <c r="AZ870" s="7"/>
      <c r="BA870" s="7"/>
      <c r="BB870" s="7"/>
      <c r="BC870" s="7"/>
      <c r="BD870" s="7"/>
      <c r="BE870" s="7"/>
      <c r="BF870" s="7"/>
      <c r="BG870" s="7"/>
    </row>
    <row r="871" customHeight="1" spans="1:59">
      <c r="A871" s="23"/>
      <c r="B871" s="23"/>
      <c r="C871" s="23"/>
      <c r="D871" s="23"/>
      <c r="E871" s="7"/>
      <c r="F871" s="11"/>
      <c r="G871" s="11"/>
      <c r="H871" s="11"/>
      <c r="I871" s="15"/>
      <c r="J871" s="15"/>
      <c r="K871" s="15"/>
      <c r="L871" s="15"/>
      <c r="M871" s="7"/>
      <c r="N871" s="8"/>
      <c r="O871" s="8"/>
      <c r="P871" s="8"/>
      <c r="Q871" s="7"/>
      <c r="R871" s="16"/>
      <c r="S871" s="17"/>
      <c r="T871" s="8"/>
      <c r="U871" s="8"/>
      <c r="V871" s="22"/>
      <c r="W871" s="12"/>
      <c r="X871" s="12"/>
      <c r="Y871" s="12"/>
      <c r="Z871" s="12"/>
      <c r="AA871" s="7"/>
      <c r="AB871" s="12"/>
      <c r="AC871" s="6"/>
      <c r="AD871" s="6"/>
      <c r="AE871" s="7"/>
      <c r="AF871" s="7"/>
      <c r="AG871" s="7"/>
      <c r="AH871" s="7"/>
      <c r="AI871" s="7"/>
      <c r="AJ871" s="7"/>
      <c r="AK871" s="7"/>
      <c r="AL871" s="7"/>
      <c r="AM871" s="7"/>
      <c r="AN871" s="7"/>
      <c r="AO871" s="6"/>
      <c r="AP871" s="7"/>
      <c r="AQ871" s="7"/>
      <c r="AR871" s="6"/>
      <c r="AS871" s="7"/>
      <c r="AT871" s="7"/>
      <c r="AU871" s="7"/>
      <c r="AV871" s="7"/>
      <c r="AW871" s="7"/>
      <c r="AX871" s="7"/>
      <c r="AY871" s="7"/>
      <c r="AZ871" s="7"/>
      <c r="BA871" s="7"/>
      <c r="BB871" s="7"/>
      <c r="BC871" s="7"/>
      <c r="BD871" s="7"/>
      <c r="BE871" s="7"/>
      <c r="BF871" s="7"/>
      <c r="BG871" s="7"/>
    </row>
    <row r="872" customHeight="1" spans="1:59">
      <c r="A872" s="23"/>
      <c r="B872" s="23"/>
      <c r="C872" s="23"/>
      <c r="D872" s="23"/>
      <c r="E872" s="7"/>
      <c r="F872" s="11"/>
      <c r="G872" s="11"/>
      <c r="H872" s="11"/>
      <c r="I872" s="15"/>
      <c r="J872" s="15"/>
      <c r="K872" s="15"/>
      <c r="L872" s="15"/>
      <c r="M872" s="7"/>
      <c r="N872" s="8"/>
      <c r="O872" s="8"/>
      <c r="P872" s="8"/>
      <c r="Q872" s="7"/>
      <c r="R872" s="16"/>
      <c r="S872" s="17"/>
      <c r="T872" s="8"/>
      <c r="U872" s="8"/>
      <c r="V872" s="22"/>
      <c r="W872" s="12"/>
      <c r="X872" s="12"/>
      <c r="Y872" s="12"/>
      <c r="Z872" s="12"/>
      <c r="AA872" s="7"/>
      <c r="AB872" s="12"/>
      <c r="AC872" s="6"/>
      <c r="AD872" s="6"/>
      <c r="AE872" s="7"/>
      <c r="AF872" s="7"/>
      <c r="AG872" s="7"/>
      <c r="AH872" s="7"/>
      <c r="AI872" s="7"/>
      <c r="AJ872" s="7"/>
      <c r="AK872" s="7"/>
      <c r="AL872" s="7"/>
      <c r="AM872" s="7"/>
      <c r="AN872" s="7"/>
      <c r="AO872" s="6"/>
      <c r="AP872" s="7"/>
      <c r="AQ872" s="7"/>
      <c r="AR872" s="6"/>
      <c r="AS872" s="7"/>
      <c r="AT872" s="7"/>
      <c r="AU872" s="7"/>
      <c r="AV872" s="7"/>
      <c r="AW872" s="7"/>
      <c r="AX872" s="7"/>
      <c r="AY872" s="7"/>
      <c r="AZ872" s="7"/>
      <c r="BA872" s="7"/>
      <c r="BB872" s="7"/>
      <c r="BC872" s="7"/>
      <c r="BD872" s="7"/>
      <c r="BE872" s="7"/>
      <c r="BF872" s="7"/>
      <c r="BG872" s="7"/>
    </row>
    <row r="873" customHeight="1" spans="1:59">
      <c r="A873" s="23"/>
      <c r="B873" s="23"/>
      <c r="C873" s="23"/>
      <c r="D873" s="23"/>
      <c r="E873" s="7"/>
      <c r="F873" s="11"/>
      <c r="G873" s="11"/>
      <c r="H873" s="11"/>
      <c r="I873" s="15"/>
      <c r="J873" s="15"/>
      <c r="K873" s="15"/>
      <c r="L873" s="15"/>
      <c r="M873" s="7"/>
      <c r="N873" s="8"/>
      <c r="O873" s="8"/>
      <c r="P873" s="8"/>
      <c r="Q873" s="7"/>
      <c r="R873" s="16"/>
      <c r="S873" s="17"/>
      <c r="T873" s="8"/>
      <c r="U873" s="8"/>
      <c r="V873" s="22"/>
      <c r="W873" s="12"/>
      <c r="X873" s="12"/>
      <c r="Y873" s="12"/>
      <c r="Z873" s="12"/>
      <c r="AA873" s="7"/>
      <c r="AB873" s="12"/>
      <c r="AC873" s="6"/>
      <c r="AD873" s="6"/>
      <c r="AE873" s="7"/>
      <c r="AF873" s="7"/>
      <c r="AG873" s="7"/>
      <c r="AH873" s="7"/>
      <c r="AI873" s="7"/>
      <c r="AJ873" s="7"/>
      <c r="AK873" s="7"/>
      <c r="AL873" s="7"/>
      <c r="AM873" s="7"/>
      <c r="AN873" s="7"/>
      <c r="AO873" s="6"/>
      <c r="AP873" s="7"/>
      <c r="AQ873" s="7"/>
      <c r="AR873" s="6"/>
      <c r="AS873" s="7"/>
      <c r="AT873" s="7"/>
      <c r="AU873" s="7"/>
      <c r="AV873" s="7"/>
      <c r="AW873" s="7"/>
      <c r="AX873" s="7"/>
      <c r="AY873" s="7"/>
      <c r="AZ873" s="7"/>
      <c r="BA873" s="7"/>
      <c r="BB873" s="7"/>
      <c r="BC873" s="7"/>
      <c r="BD873" s="7"/>
      <c r="BE873" s="7"/>
      <c r="BF873" s="7"/>
      <c r="BG873" s="7"/>
    </row>
    <row r="874" customHeight="1" spans="1:59">
      <c r="A874" s="23"/>
      <c r="B874" s="23"/>
      <c r="C874" s="23"/>
      <c r="D874" s="23"/>
      <c r="E874" s="7"/>
      <c r="F874" s="11"/>
      <c r="G874" s="11"/>
      <c r="H874" s="11"/>
      <c r="I874" s="15"/>
      <c r="J874" s="15"/>
      <c r="K874" s="15"/>
      <c r="L874" s="15"/>
      <c r="M874" s="7"/>
      <c r="N874" s="8"/>
      <c r="O874" s="8"/>
      <c r="P874" s="8"/>
      <c r="Q874" s="7"/>
      <c r="R874" s="16"/>
      <c r="S874" s="17"/>
      <c r="T874" s="8"/>
      <c r="U874" s="8"/>
      <c r="V874" s="22"/>
      <c r="W874" s="12"/>
      <c r="X874" s="12"/>
      <c r="Y874" s="12"/>
      <c r="Z874" s="12"/>
      <c r="AA874" s="7"/>
      <c r="AB874" s="12"/>
      <c r="AC874" s="6"/>
      <c r="AD874" s="6"/>
      <c r="AE874" s="7"/>
      <c r="AF874" s="7"/>
      <c r="AG874" s="7"/>
      <c r="AH874" s="7"/>
      <c r="AI874" s="7"/>
      <c r="AJ874" s="7"/>
      <c r="AK874" s="7"/>
      <c r="AL874" s="7"/>
      <c r="AM874" s="7"/>
      <c r="AN874" s="7"/>
      <c r="AO874" s="6"/>
      <c r="AP874" s="7"/>
      <c r="AQ874" s="7"/>
      <c r="AR874" s="6"/>
      <c r="AS874" s="7"/>
      <c r="AT874" s="7"/>
      <c r="AU874" s="7"/>
      <c r="AV874" s="7"/>
      <c r="AW874" s="7"/>
      <c r="AX874" s="7"/>
      <c r="AY874" s="7"/>
      <c r="AZ874" s="7"/>
      <c r="BA874" s="7"/>
      <c r="BB874" s="7"/>
      <c r="BC874" s="7"/>
      <c r="BD874" s="7"/>
      <c r="BE874" s="7"/>
      <c r="BF874" s="7"/>
      <c r="BG874" s="7"/>
    </row>
    <row r="875" customHeight="1" spans="1:59">
      <c r="A875" s="23"/>
      <c r="B875" s="23"/>
      <c r="C875" s="23"/>
      <c r="D875" s="23"/>
      <c r="E875" s="7"/>
      <c r="F875" s="11"/>
      <c r="G875" s="11"/>
      <c r="H875" s="11"/>
      <c r="I875" s="15"/>
      <c r="J875" s="15"/>
      <c r="K875" s="15"/>
      <c r="L875" s="15"/>
      <c r="M875" s="7"/>
      <c r="N875" s="8"/>
      <c r="O875" s="8"/>
      <c r="P875" s="8"/>
      <c r="Q875" s="7"/>
      <c r="R875" s="16"/>
      <c r="S875" s="17"/>
      <c r="T875" s="8"/>
      <c r="U875" s="8"/>
      <c r="V875" s="22"/>
      <c r="W875" s="12"/>
      <c r="X875" s="12"/>
      <c r="Y875" s="12"/>
      <c r="Z875" s="12"/>
      <c r="AA875" s="7"/>
      <c r="AB875" s="12"/>
      <c r="AC875" s="6"/>
      <c r="AD875" s="6"/>
      <c r="AE875" s="7"/>
      <c r="AF875" s="7"/>
      <c r="AG875" s="7"/>
      <c r="AH875" s="7"/>
      <c r="AI875" s="7"/>
      <c r="AJ875" s="7"/>
      <c r="AK875" s="7"/>
      <c r="AL875" s="7"/>
      <c r="AM875" s="7"/>
      <c r="AN875" s="7"/>
      <c r="AO875" s="6"/>
      <c r="AP875" s="7"/>
      <c r="AQ875" s="7"/>
      <c r="AR875" s="6"/>
      <c r="AS875" s="7"/>
      <c r="AT875" s="7"/>
      <c r="AU875" s="7"/>
      <c r="AV875" s="7"/>
      <c r="AW875" s="7"/>
      <c r="AX875" s="7"/>
      <c r="AY875" s="7"/>
      <c r="AZ875" s="7"/>
      <c r="BA875" s="7"/>
      <c r="BB875" s="7"/>
      <c r="BC875" s="7"/>
      <c r="BD875" s="7"/>
      <c r="BE875" s="7"/>
      <c r="BF875" s="7"/>
      <c r="BG875" s="7"/>
    </row>
    <row r="876" customHeight="1" spans="1:59">
      <c r="A876" s="23"/>
      <c r="B876" s="23"/>
      <c r="C876" s="23"/>
      <c r="D876" s="23"/>
      <c r="E876" s="7"/>
      <c r="F876" s="11"/>
      <c r="G876" s="11"/>
      <c r="H876" s="11"/>
      <c r="I876" s="15"/>
      <c r="J876" s="15"/>
      <c r="K876" s="15"/>
      <c r="L876" s="15"/>
      <c r="M876" s="7"/>
      <c r="N876" s="8"/>
      <c r="O876" s="8"/>
      <c r="P876" s="8"/>
      <c r="Q876" s="7"/>
      <c r="R876" s="16"/>
      <c r="S876" s="17"/>
      <c r="T876" s="8"/>
      <c r="U876" s="8"/>
      <c r="V876" s="22"/>
      <c r="W876" s="12"/>
      <c r="X876" s="12"/>
      <c r="Y876" s="12"/>
      <c r="Z876" s="12"/>
      <c r="AA876" s="7"/>
      <c r="AB876" s="12"/>
      <c r="AC876" s="6"/>
      <c r="AD876" s="6"/>
      <c r="AE876" s="7"/>
      <c r="AF876" s="7"/>
      <c r="AG876" s="7"/>
      <c r="AH876" s="7"/>
      <c r="AI876" s="7"/>
      <c r="AJ876" s="7"/>
      <c r="AK876" s="7"/>
      <c r="AL876" s="7"/>
      <c r="AM876" s="7"/>
      <c r="AN876" s="7"/>
      <c r="AO876" s="6"/>
      <c r="AP876" s="7"/>
      <c r="AQ876" s="7"/>
      <c r="AR876" s="6"/>
      <c r="AS876" s="7"/>
      <c r="AT876" s="7"/>
      <c r="AU876" s="7"/>
      <c r="AV876" s="7"/>
      <c r="AW876" s="7"/>
      <c r="AX876" s="7"/>
      <c r="AY876" s="7"/>
      <c r="AZ876" s="7"/>
      <c r="BA876" s="7"/>
      <c r="BB876" s="7"/>
      <c r="BC876" s="7"/>
      <c r="BD876" s="7"/>
      <c r="BE876" s="7"/>
      <c r="BF876" s="7"/>
      <c r="BG876" s="7"/>
    </row>
    <row r="877" customHeight="1" spans="1:59">
      <c r="A877" s="23"/>
      <c r="B877" s="23"/>
      <c r="C877" s="23"/>
      <c r="D877" s="23"/>
      <c r="E877" s="7"/>
      <c r="F877" s="11"/>
      <c r="G877" s="11"/>
      <c r="H877" s="11"/>
      <c r="I877" s="15"/>
      <c r="J877" s="15"/>
      <c r="K877" s="15"/>
      <c r="L877" s="15"/>
      <c r="M877" s="7"/>
      <c r="N877" s="8"/>
      <c r="O877" s="8"/>
      <c r="P877" s="8"/>
      <c r="Q877" s="7"/>
      <c r="R877" s="16"/>
      <c r="S877" s="17"/>
      <c r="T877" s="8"/>
      <c r="U877" s="8"/>
      <c r="V877" s="22"/>
      <c r="W877" s="12"/>
      <c r="X877" s="12"/>
      <c r="Y877" s="12"/>
      <c r="Z877" s="12"/>
      <c r="AA877" s="7"/>
      <c r="AB877" s="12"/>
      <c r="AC877" s="6"/>
      <c r="AD877" s="6"/>
      <c r="AE877" s="7"/>
      <c r="AF877" s="7"/>
      <c r="AG877" s="7"/>
      <c r="AH877" s="7"/>
      <c r="AI877" s="7"/>
      <c r="AJ877" s="7"/>
      <c r="AK877" s="7"/>
      <c r="AL877" s="7"/>
      <c r="AM877" s="7"/>
      <c r="AN877" s="7"/>
      <c r="AO877" s="6"/>
      <c r="AP877" s="7"/>
      <c r="AQ877" s="7"/>
      <c r="AR877" s="6"/>
      <c r="AS877" s="7"/>
      <c r="AT877" s="7"/>
      <c r="AU877" s="7"/>
      <c r="AV877" s="7"/>
      <c r="AW877" s="7"/>
      <c r="AX877" s="7"/>
      <c r="AY877" s="7"/>
      <c r="AZ877" s="7"/>
      <c r="BA877" s="7"/>
      <c r="BB877" s="7"/>
      <c r="BC877" s="7"/>
      <c r="BD877" s="7"/>
      <c r="BE877" s="7"/>
      <c r="BF877" s="7"/>
      <c r="BG877" s="7"/>
    </row>
    <row r="878" customHeight="1" spans="1:59">
      <c r="A878" s="23"/>
      <c r="B878" s="23"/>
      <c r="C878" s="23"/>
      <c r="D878" s="23"/>
      <c r="E878" s="7"/>
      <c r="F878" s="11"/>
      <c r="G878" s="11"/>
      <c r="H878" s="11"/>
      <c r="I878" s="15"/>
      <c r="J878" s="15"/>
      <c r="K878" s="15"/>
      <c r="L878" s="15"/>
      <c r="M878" s="7"/>
      <c r="N878" s="8"/>
      <c r="O878" s="8"/>
      <c r="P878" s="8"/>
      <c r="Q878" s="7"/>
      <c r="R878" s="16"/>
      <c r="S878" s="17"/>
      <c r="T878" s="8"/>
      <c r="U878" s="8"/>
      <c r="V878" s="22"/>
      <c r="W878" s="12"/>
      <c r="X878" s="12"/>
      <c r="Y878" s="12"/>
      <c r="Z878" s="12"/>
      <c r="AA878" s="7"/>
      <c r="AB878" s="12"/>
      <c r="AC878" s="6"/>
      <c r="AD878" s="6"/>
      <c r="AE878" s="7"/>
      <c r="AF878" s="7"/>
      <c r="AG878" s="7"/>
      <c r="AH878" s="7"/>
      <c r="AI878" s="7"/>
      <c r="AJ878" s="7"/>
      <c r="AK878" s="7"/>
      <c r="AL878" s="7"/>
      <c r="AM878" s="7"/>
      <c r="AN878" s="7"/>
      <c r="AO878" s="6"/>
      <c r="AP878" s="7"/>
      <c r="AQ878" s="7"/>
      <c r="AR878" s="6"/>
      <c r="AS878" s="7"/>
      <c r="AT878" s="7"/>
      <c r="AU878" s="7"/>
      <c r="AV878" s="7"/>
      <c r="AW878" s="7"/>
      <c r="AX878" s="7"/>
      <c r="AY878" s="7"/>
      <c r="AZ878" s="7"/>
      <c r="BA878" s="7"/>
      <c r="BB878" s="7"/>
      <c r="BC878" s="7"/>
      <c r="BD878" s="7"/>
      <c r="BE878" s="7"/>
      <c r="BF878" s="7"/>
      <c r="BG878" s="7"/>
    </row>
    <row r="879" customHeight="1" spans="1:59">
      <c r="A879" s="23"/>
      <c r="B879" s="23"/>
      <c r="C879" s="23"/>
      <c r="D879" s="23"/>
      <c r="E879" s="7"/>
      <c r="F879" s="11"/>
      <c r="G879" s="11"/>
      <c r="H879" s="11"/>
      <c r="I879" s="15"/>
      <c r="J879" s="15"/>
      <c r="K879" s="15"/>
      <c r="L879" s="15"/>
      <c r="M879" s="7"/>
      <c r="N879" s="8"/>
      <c r="O879" s="8"/>
      <c r="P879" s="8"/>
      <c r="Q879" s="7"/>
      <c r="R879" s="16"/>
      <c r="S879" s="17"/>
      <c r="T879" s="8"/>
      <c r="U879" s="8"/>
      <c r="V879" s="22"/>
      <c r="W879" s="12"/>
      <c r="X879" s="12"/>
      <c r="Y879" s="12"/>
      <c r="Z879" s="12"/>
      <c r="AA879" s="7"/>
      <c r="AB879" s="12"/>
      <c r="AC879" s="6"/>
      <c r="AD879" s="6"/>
      <c r="AE879" s="7"/>
      <c r="AF879" s="7"/>
      <c r="AG879" s="7"/>
      <c r="AH879" s="7"/>
      <c r="AI879" s="7"/>
      <c r="AJ879" s="7"/>
      <c r="AK879" s="7"/>
      <c r="AL879" s="7"/>
      <c r="AM879" s="7"/>
      <c r="AN879" s="7"/>
      <c r="AO879" s="6"/>
      <c r="AP879" s="7"/>
      <c r="AQ879" s="7"/>
      <c r="AR879" s="6"/>
      <c r="AS879" s="7"/>
      <c r="AT879" s="7"/>
      <c r="AU879" s="7"/>
      <c r="AV879" s="7"/>
      <c r="AW879" s="7"/>
      <c r="AX879" s="7"/>
      <c r="AY879" s="7"/>
      <c r="AZ879" s="7"/>
      <c r="BA879" s="7"/>
      <c r="BB879" s="7"/>
      <c r="BC879" s="7"/>
      <c r="BD879" s="7"/>
      <c r="BE879" s="7"/>
      <c r="BF879" s="7"/>
      <c r="BG879" s="7"/>
    </row>
    <row r="880" customHeight="1" spans="1:59">
      <c r="A880" s="23"/>
      <c r="B880" s="23"/>
      <c r="C880" s="23"/>
      <c r="D880" s="23"/>
      <c r="E880" s="7"/>
      <c r="F880" s="11"/>
      <c r="G880" s="11"/>
      <c r="H880" s="11"/>
      <c r="I880" s="15"/>
      <c r="J880" s="15"/>
      <c r="K880" s="15"/>
      <c r="L880" s="15"/>
      <c r="M880" s="7"/>
      <c r="N880" s="8"/>
      <c r="O880" s="8"/>
      <c r="P880" s="8"/>
      <c r="Q880" s="7"/>
      <c r="R880" s="16"/>
      <c r="S880" s="17"/>
      <c r="T880" s="8"/>
      <c r="U880" s="8"/>
      <c r="V880" s="22"/>
      <c r="W880" s="12"/>
      <c r="X880" s="12"/>
      <c r="Y880" s="12"/>
      <c r="Z880" s="12"/>
      <c r="AA880" s="7"/>
      <c r="AB880" s="12"/>
      <c r="AC880" s="6"/>
      <c r="AD880" s="6"/>
      <c r="AE880" s="7"/>
      <c r="AF880" s="7"/>
      <c r="AG880" s="7"/>
      <c r="AH880" s="7"/>
      <c r="AI880" s="7"/>
      <c r="AJ880" s="7"/>
      <c r="AK880" s="7"/>
      <c r="AL880" s="7"/>
      <c r="AM880" s="7"/>
      <c r="AN880" s="7"/>
      <c r="AO880" s="6"/>
      <c r="AP880" s="7"/>
      <c r="AQ880" s="7"/>
      <c r="AR880" s="6"/>
      <c r="AS880" s="7"/>
      <c r="AT880" s="7"/>
      <c r="AU880" s="7"/>
      <c r="AV880" s="7"/>
      <c r="AW880" s="7"/>
      <c r="AX880" s="7"/>
      <c r="AY880" s="7"/>
      <c r="AZ880" s="7"/>
      <c r="BA880" s="7"/>
      <c r="BB880" s="7"/>
      <c r="BC880" s="7"/>
      <c r="BD880" s="7"/>
      <c r="BE880" s="7"/>
      <c r="BF880" s="7"/>
      <c r="BG880" s="7"/>
    </row>
    <row r="881" customHeight="1" spans="1:59">
      <c r="A881" s="23"/>
      <c r="B881" s="23"/>
      <c r="C881" s="23"/>
      <c r="D881" s="23"/>
      <c r="E881" s="7"/>
      <c r="F881" s="11"/>
      <c r="G881" s="11"/>
      <c r="H881" s="11"/>
      <c r="I881" s="15"/>
      <c r="J881" s="15"/>
      <c r="K881" s="15"/>
      <c r="L881" s="15"/>
      <c r="M881" s="7"/>
      <c r="N881" s="8"/>
      <c r="O881" s="8"/>
      <c r="P881" s="8"/>
      <c r="Q881" s="7"/>
      <c r="R881" s="16"/>
      <c r="S881" s="17"/>
      <c r="T881" s="8"/>
      <c r="U881" s="8"/>
      <c r="V881" s="22"/>
      <c r="W881" s="12"/>
      <c r="X881" s="12"/>
      <c r="Y881" s="12"/>
      <c r="Z881" s="12"/>
      <c r="AA881" s="7"/>
      <c r="AB881" s="12"/>
      <c r="AC881" s="6"/>
      <c r="AD881" s="6"/>
      <c r="AE881" s="7"/>
      <c r="AF881" s="7"/>
      <c r="AG881" s="7"/>
      <c r="AH881" s="7"/>
      <c r="AI881" s="7"/>
      <c r="AJ881" s="7"/>
      <c r="AK881" s="7"/>
      <c r="AL881" s="7"/>
      <c r="AM881" s="7"/>
      <c r="AN881" s="7"/>
      <c r="AO881" s="6"/>
      <c r="AP881" s="7"/>
      <c r="AQ881" s="7"/>
      <c r="AR881" s="6"/>
      <c r="AS881" s="7"/>
      <c r="AT881" s="7"/>
      <c r="AU881" s="7"/>
      <c r="AV881" s="7"/>
      <c r="AW881" s="7"/>
      <c r="AX881" s="7"/>
      <c r="AY881" s="7"/>
      <c r="AZ881" s="7"/>
      <c r="BA881" s="7"/>
      <c r="BB881" s="7"/>
      <c r="BC881" s="7"/>
      <c r="BD881" s="7"/>
      <c r="BE881" s="7"/>
      <c r="BF881" s="7"/>
      <c r="BG881" s="7"/>
    </row>
    <row r="882" customHeight="1" spans="1:59">
      <c r="A882" s="23"/>
      <c r="B882" s="23"/>
      <c r="C882" s="23"/>
      <c r="D882" s="23"/>
      <c r="E882" s="7"/>
      <c r="F882" s="8"/>
      <c r="G882" s="8"/>
      <c r="H882" s="8"/>
      <c r="I882" s="14"/>
      <c r="J882" s="14"/>
      <c r="K882" s="14"/>
      <c r="L882" s="14"/>
      <c r="M882" s="7"/>
      <c r="N882" s="8"/>
      <c r="O882" s="8"/>
      <c r="P882" s="8"/>
      <c r="Q882" s="7"/>
      <c r="R882" s="16"/>
      <c r="S882" s="17"/>
      <c r="T882" s="8"/>
      <c r="U882" s="8"/>
      <c r="V882" s="22"/>
      <c r="W882" s="12"/>
      <c r="X882" s="12"/>
      <c r="Y882" s="12"/>
      <c r="Z882" s="12"/>
      <c r="AA882" s="7"/>
      <c r="AB882" s="12"/>
      <c r="AC882" s="6"/>
      <c r="AD882" s="6"/>
      <c r="AE882" s="7"/>
      <c r="AF882" s="7"/>
      <c r="AG882" s="7"/>
      <c r="AH882" s="7"/>
      <c r="AI882" s="7"/>
      <c r="AJ882" s="7"/>
      <c r="AK882" s="7"/>
      <c r="AL882" s="7"/>
      <c r="AM882" s="7"/>
      <c r="AN882" s="7"/>
      <c r="AO882" s="6"/>
      <c r="AP882" s="7"/>
      <c r="AQ882" s="7"/>
      <c r="AR882" s="6"/>
      <c r="AS882" s="7"/>
      <c r="AT882" s="7"/>
      <c r="AU882" s="7"/>
      <c r="AV882" s="7"/>
      <c r="AW882" s="7"/>
      <c r="AX882" s="7"/>
      <c r="AY882" s="7"/>
      <c r="AZ882" s="7"/>
      <c r="BA882" s="7"/>
      <c r="BB882" s="7"/>
      <c r="BC882" s="7"/>
      <c r="BD882" s="7"/>
      <c r="BE882" s="7"/>
      <c r="BF882" s="7"/>
      <c r="BG882" s="7"/>
    </row>
    <row r="883" customHeight="1" spans="1:59">
      <c r="A883" s="23"/>
      <c r="B883" s="23"/>
      <c r="C883" s="23"/>
      <c r="D883" s="23"/>
      <c r="E883" s="7"/>
      <c r="F883" s="8"/>
      <c r="G883" s="8"/>
      <c r="H883" s="8"/>
      <c r="I883" s="14"/>
      <c r="J883" s="14"/>
      <c r="K883" s="14"/>
      <c r="L883" s="14"/>
      <c r="M883" s="7"/>
      <c r="N883" s="8"/>
      <c r="O883" s="8"/>
      <c r="P883" s="8"/>
      <c r="Q883" s="7"/>
      <c r="R883" s="16"/>
      <c r="S883" s="17"/>
      <c r="T883" s="8"/>
      <c r="U883" s="8"/>
      <c r="V883" s="22"/>
      <c r="W883" s="12"/>
      <c r="X883" s="12"/>
      <c r="Y883" s="12"/>
      <c r="Z883" s="12"/>
      <c r="AA883" s="7"/>
      <c r="AB883" s="12"/>
      <c r="AC883" s="6"/>
      <c r="AD883" s="6"/>
      <c r="AE883" s="7"/>
      <c r="AF883" s="7"/>
      <c r="AG883" s="7"/>
      <c r="AH883" s="7"/>
      <c r="AI883" s="7"/>
      <c r="AJ883" s="7"/>
      <c r="AK883" s="7"/>
      <c r="AL883" s="7"/>
      <c r="AM883" s="7"/>
      <c r="AN883" s="7"/>
      <c r="AO883" s="6"/>
      <c r="AP883" s="7"/>
      <c r="AQ883" s="7"/>
      <c r="AR883" s="6"/>
      <c r="AS883" s="7"/>
      <c r="AT883" s="7"/>
      <c r="AU883" s="7"/>
      <c r="AV883" s="7"/>
      <c r="AW883" s="7"/>
      <c r="AX883" s="7"/>
      <c r="AY883" s="7"/>
      <c r="AZ883" s="7"/>
      <c r="BA883" s="7"/>
      <c r="BB883" s="7"/>
      <c r="BC883" s="7"/>
      <c r="BD883" s="7"/>
      <c r="BE883" s="7"/>
      <c r="BF883" s="7"/>
      <c r="BG883" s="7"/>
    </row>
    <row r="884" customHeight="1" spans="1:59">
      <c r="A884" s="23"/>
      <c r="B884" s="23"/>
      <c r="C884" s="23"/>
      <c r="D884" s="23"/>
      <c r="E884" s="7"/>
      <c r="F884" s="11"/>
      <c r="G884" s="11"/>
      <c r="H884" s="11"/>
      <c r="I884" s="15"/>
      <c r="J884" s="15"/>
      <c r="K884" s="15"/>
      <c r="L884" s="15"/>
      <c r="M884" s="7"/>
      <c r="N884" s="8"/>
      <c r="O884" s="8"/>
      <c r="P884" s="8"/>
      <c r="Q884" s="7"/>
      <c r="R884" s="16"/>
      <c r="S884" s="17"/>
      <c r="T884" s="8"/>
      <c r="U884" s="8"/>
      <c r="V884" s="22"/>
      <c r="W884" s="12"/>
      <c r="X884" s="12"/>
      <c r="Y884" s="12"/>
      <c r="Z884" s="12"/>
      <c r="AA884" s="7"/>
      <c r="AB884" s="12"/>
      <c r="AC884" s="6"/>
      <c r="AD884" s="6"/>
      <c r="AE884" s="7"/>
      <c r="AF884" s="7"/>
      <c r="AG884" s="7"/>
      <c r="AH884" s="7"/>
      <c r="AI884" s="7"/>
      <c r="AJ884" s="7"/>
      <c r="AK884" s="7"/>
      <c r="AL884" s="7"/>
      <c r="AM884" s="7"/>
      <c r="AN884" s="7"/>
      <c r="AO884" s="6"/>
      <c r="AP884" s="7"/>
      <c r="AQ884" s="7"/>
      <c r="AR884" s="6"/>
      <c r="AS884" s="7"/>
      <c r="AT884" s="7"/>
      <c r="AU884" s="7"/>
      <c r="AV884" s="7"/>
      <c r="AW884" s="7"/>
      <c r="AX884" s="7"/>
      <c r="AY884" s="7"/>
      <c r="AZ884" s="7"/>
      <c r="BA884" s="7"/>
      <c r="BB884" s="7"/>
      <c r="BC884" s="7"/>
      <c r="BD884" s="7"/>
      <c r="BE884" s="7"/>
      <c r="BF884" s="7"/>
      <c r="BG884" s="7"/>
    </row>
    <row r="885" customHeight="1" spans="1:59">
      <c r="A885" s="23"/>
      <c r="B885" s="23"/>
      <c r="C885" s="23"/>
      <c r="D885" s="23"/>
      <c r="E885" s="7"/>
      <c r="F885" s="11"/>
      <c r="G885" s="11"/>
      <c r="H885" s="11"/>
      <c r="I885" s="15"/>
      <c r="J885" s="15"/>
      <c r="K885" s="15"/>
      <c r="L885" s="15"/>
      <c r="M885" s="7"/>
      <c r="N885" s="8"/>
      <c r="O885" s="8"/>
      <c r="P885" s="8"/>
      <c r="Q885" s="7"/>
      <c r="R885" s="16"/>
      <c r="S885" s="17"/>
      <c r="T885" s="8"/>
      <c r="U885" s="8"/>
      <c r="V885" s="22"/>
      <c r="W885" s="12"/>
      <c r="X885" s="12"/>
      <c r="Y885" s="12"/>
      <c r="Z885" s="12"/>
      <c r="AA885" s="7"/>
      <c r="AB885" s="12"/>
      <c r="AC885" s="6"/>
      <c r="AD885" s="6"/>
      <c r="AE885" s="7"/>
      <c r="AF885" s="7"/>
      <c r="AG885" s="7"/>
      <c r="AH885" s="7"/>
      <c r="AI885" s="7"/>
      <c r="AJ885" s="7"/>
      <c r="AK885" s="7"/>
      <c r="AL885" s="7"/>
      <c r="AM885" s="7"/>
      <c r="AN885" s="7"/>
      <c r="AO885" s="6"/>
      <c r="AP885" s="7"/>
      <c r="AQ885" s="7"/>
      <c r="AR885" s="6"/>
      <c r="AS885" s="7"/>
      <c r="AT885" s="7"/>
      <c r="AU885" s="7"/>
      <c r="AV885" s="7"/>
      <c r="AW885" s="7"/>
      <c r="AX885" s="7"/>
      <c r="AY885" s="7"/>
      <c r="AZ885" s="7"/>
      <c r="BA885" s="7"/>
      <c r="BB885" s="7"/>
      <c r="BC885" s="7"/>
      <c r="BD885" s="7"/>
      <c r="BE885" s="7"/>
      <c r="BF885" s="7"/>
      <c r="BG885" s="7"/>
    </row>
    <row r="886" customHeight="1" spans="1:59">
      <c r="A886" s="23"/>
      <c r="B886" s="23"/>
      <c r="C886" s="23"/>
      <c r="D886" s="23"/>
      <c r="E886" s="7"/>
      <c r="F886" s="11"/>
      <c r="G886" s="11"/>
      <c r="H886" s="11"/>
      <c r="I886" s="15"/>
      <c r="J886" s="15"/>
      <c r="K886" s="15"/>
      <c r="L886" s="15"/>
      <c r="M886" s="7"/>
      <c r="N886" s="8"/>
      <c r="O886" s="8"/>
      <c r="P886" s="8"/>
      <c r="Q886" s="7"/>
      <c r="R886" s="16"/>
      <c r="S886" s="17"/>
      <c r="T886" s="8"/>
      <c r="U886" s="8"/>
      <c r="V886" s="22"/>
      <c r="W886" s="12"/>
      <c r="X886" s="12"/>
      <c r="Y886" s="12"/>
      <c r="Z886" s="12"/>
      <c r="AA886" s="7"/>
      <c r="AB886" s="12"/>
      <c r="AC886" s="6"/>
      <c r="AD886" s="6"/>
      <c r="AE886" s="7"/>
      <c r="AF886" s="7"/>
      <c r="AG886" s="7"/>
      <c r="AH886" s="7"/>
      <c r="AI886" s="7"/>
      <c r="AJ886" s="7"/>
      <c r="AK886" s="7"/>
      <c r="AL886" s="7"/>
      <c r="AM886" s="7"/>
      <c r="AN886" s="7"/>
      <c r="AO886" s="6"/>
      <c r="AP886" s="7"/>
      <c r="AQ886" s="7"/>
      <c r="AR886" s="6"/>
      <c r="AS886" s="7"/>
      <c r="AT886" s="7"/>
      <c r="AU886" s="7"/>
      <c r="AV886" s="7"/>
      <c r="AW886" s="7"/>
      <c r="AX886" s="7"/>
      <c r="AY886" s="7"/>
      <c r="AZ886" s="7"/>
      <c r="BA886" s="7"/>
      <c r="BB886" s="7"/>
      <c r="BC886" s="7"/>
      <c r="BD886" s="7"/>
      <c r="BE886" s="7"/>
      <c r="BF886" s="7"/>
      <c r="BG886" s="7"/>
    </row>
    <row r="887" customHeight="1" spans="1:59">
      <c r="A887" s="23"/>
      <c r="B887" s="23"/>
      <c r="C887" s="23"/>
      <c r="D887" s="23"/>
      <c r="E887" s="7"/>
      <c r="F887" s="11"/>
      <c r="G887" s="11"/>
      <c r="H887" s="11"/>
      <c r="I887" s="15"/>
      <c r="J887" s="15"/>
      <c r="K887" s="15"/>
      <c r="L887" s="15"/>
      <c r="M887" s="7"/>
      <c r="N887" s="8"/>
      <c r="O887" s="8"/>
      <c r="P887" s="8"/>
      <c r="Q887" s="7"/>
      <c r="R887" s="16"/>
      <c r="S887" s="17"/>
      <c r="T887" s="8"/>
      <c r="U887" s="8"/>
      <c r="V887" s="22"/>
      <c r="W887" s="12"/>
      <c r="X887" s="12"/>
      <c r="Y887" s="12"/>
      <c r="Z887" s="12"/>
      <c r="AA887" s="7"/>
      <c r="AB887" s="12"/>
      <c r="AC887" s="6"/>
      <c r="AD887" s="6"/>
      <c r="AE887" s="7"/>
      <c r="AF887" s="7"/>
      <c r="AG887" s="7"/>
      <c r="AH887" s="7"/>
      <c r="AI887" s="7"/>
      <c r="AJ887" s="7"/>
      <c r="AK887" s="7"/>
      <c r="AL887" s="7"/>
      <c r="AM887" s="7"/>
      <c r="AN887" s="7"/>
      <c r="AO887" s="6"/>
      <c r="AP887" s="7"/>
      <c r="AQ887" s="7"/>
      <c r="AR887" s="6"/>
      <c r="AS887" s="7"/>
      <c r="AT887" s="7"/>
      <c r="AU887" s="7"/>
      <c r="AV887" s="7"/>
      <c r="AW887" s="7"/>
      <c r="AX887" s="7"/>
      <c r="AY887" s="7"/>
      <c r="AZ887" s="7"/>
      <c r="BA887" s="7"/>
      <c r="BB887" s="7"/>
      <c r="BC887" s="7"/>
      <c r="BD887" s="7"/>
      <c r="BE887" s="7"/>
      <c r="BF887" s="7"/>
      <c r="BG887" s="7"/>
    </row>
    <row r="888" customHeight="1" spans="1:59">
      <c r="A888" s="23"/>
      <c r="B888" s="23"/>
      <c r="C888" s="23"/>
      <c r="D888" s="23"/>
      <c r="E888" s="7"/>
      <c r="F888" s="11"/>
      <c r="G888" s="11"/>
      <c r="H888" s="11"/>
      <c r="I888" s="15"/>
      <c r="J888" s="15"/>
      <c r="K888" s="15"/>
      <c r="L888" s="15"/>
      <c r="M888" s="7"/>
      <c r="N888" s="8"/>
      <c r="O888" s="8"/>
      <c r="P888" s="8"/>
      <c r="Q888" s="7"/>
      <c r="R888" s="16"/>
      <c r="S888" s="17"/>
      <c r="T888" s="8"/>
      <c r="U888" s="8"/>
      <c r="V888" s="22"/>
      <c r="W888" s="12"/>
      <c r="X888" s="12"/>
      <c r="Y888" s="12"/>
      <c r="Z888" s="12"/>
      <c r="AA888" s="7"/>
      <c r="AB888" s="12"/>
      <c r="AC888" s="6"/>
      <c r="AD888" s="6"/>
      <c r="AE888" s="7"/>
      <c r="AF888" s="7"/>
      <c r="AG888" s="7"/>
      <c r="AH888" s="7"/>
      <c r="AI888" s="7"/>
      <c r="AJ888" s="7"/>
      <c r="AK888" s="7"/>
      <c r="AL888" s="7"/>
      <c r="AM888" s="7"/>
      <c r="AN888" s="7"/>
      <c r="AO888" s="6"/>
      <c r="AP888" s="7"/>
      <c r="AQ888" s="7"/>
      <c r="AR888" s="6"/>
      <c r="AS888" s="7"/>
      <c r="AT888" s="7"/>
      <c r="AU888" s="7"/>
      <c r="AV888" s="7"/>
      <c r="AW888" s="7"/>
      <c r="AX888" s="7"/>
      <c r="AY888" s="7"/>
      <c r="AZ888" s="7"/>
      <c r="BA888" s="7"/>
      <c r="BB888" s="7"/>
      <c r="BC888" s="7"/>
      <c r="BD888" s="7"/>
      <c r="BE888" s="7"/>
      <c r="BF888" s="7"/>
      <c r="BG888" s="7"/>
    </row>
    <row r="889" customHeight="1" spans="1:59">
      <c r="A889" s="23"/>
      <c r="B889" s="23"/>
      <c r="C889" s="23"/>
      <c r="D889" s="23"/>
      <c r="E889" s="7"/>
      <c r="F889" s="11"/>
      <c r="G889" s="11"/>
      <c r="H889" s="11"/>
      <c r="I889" s="15"/>
      <c r="J889" s="15"/>
      <c r="K889" s="15"/>
      <c r="L889" s="15"/>
      <c r="M889" s="7"/>
      <c r="N889" s="8"/>
      <c r="O889" s="8"/>
      <c r="P889" s="8"/>
      <c r="Q889" s="7"/>
      <c r="R889" s="16"/>
      <c r="S889" s="17"/>
      <c r="T889" s="8"/>
      <c r="U889" s="8"/>
      <c r="V889" s="22"/>
      <c r="W889" s="12"/>
      <c r="X889" s="12"/>
      <c r="Y889" s="12"/>
      <c r="Z889" s="12"/>
      <c r="AA889" s="7"/>
      <c r="AB889" s="12"/>
      <c r="AC889" s="6"/>
      <c r="AD889" s="6"/>
      <c r="AE889" s="7"/>
      <c r="AF889" s="7"/>
      <c r="AG889" s="7"/>
      <c r="AH889" s="7"/>
      <c r="AI889" s="7"/>
      <c r="AJ889" s="7"/>
      <c r="AK889" s="7"/>
      <c r="AL889" s="7"/>
      <c r="AM889" s="7"/>
      <c r="AN889" s="7"/>
      <c r="AO889" s="6"/>
      <c r="AP889" s="7"/>
      <c r="AQ889" s="7"/>
      <c r="AR889" s="6"/>
      <c r="AS889" s="7"/>
      <c r="AT889" s="7"/>
      <c r="AU889" s="7"/>
      <c r="AV889" s="7"/>
      <c r="AW889" s="7"/>
      <c r="AX889" s="7"/>
      <c r="AY889" s="7"/>
      <c r="AZ889" s="7"/>
      <c r="BA889" s="7"/>
      <c r="BB889" s="7"/>
      <c r="BC889" s="7"/>
      <c r="BD889" s="7"/>
      <c r="BE889" s="7"/>
      <c r="BF889" s="7"/>
      <c r="BG889" s="7"/>
    </row>
    <row r="890" customHeight="1" spans="1:59">
      <c r="A890" s="23"/>
      <c r="B890" s="23"/>
      <c r="C890" s="23"/>
      <c r="D890" s="23"/>
      <c r="E890" s="7"/>
      <c r="F890" s="11"/>
      <c r="G890" s="11"/>
      <c r="H890" s="11"/>
      <c r="I890" s="15"/>
      <c r="J890" s="15"/>
      <c r="K890" s="15"/>
      <c r="L890" s="15"/>
      <c r="M890" s="7"/>
      <c r="N890" s="8"/>
      <c r="O890" s="8"/>
      <c r="P890" s="8"/>
      <c r="Q890" s="7"/>
      <c r="R890" s="16"/>
      <c r="S890" s="17"/>
      <c r="T890" s="8"/>
      <c r="U890" s="8"/>
      <c r="V890" s="22"/>
      <c r="W890" s="12"/>
      <c r="X890" s="12"/>
      <c r="Y890" s="12"/>
      <c r="Z890" s="12"/>
      <c r="AA890" s="7"/>
      <c r="AB890" s="12"/>
      <c r="AC890" s="6"/>
      <c r="AD890" s="6"/>
      <c r="AE890" s="7"/>
      <c r="AF890" s="7"/>
      <c r="AG890" s="7"/>
      <c r="AH890" s="7"/>
      <c r="AI890" s="7"/>
      <c r="AJ890" s="7"/>
      <c r="AK890" s="7"/>
      <c r="AL890" s="7"/>
      <c r="AM890" s="7"/>
      <c r="AN890" s="7"/>
      <c r="AO890" s="6"/>
      <c r="AP890" s="7"/>
      <c r="AQ890" s="7"/>
      <c r="AR890" s="6"/>
      <c r="AS890" s="7"/>
      <c r="AT890" s="7"/>
      <c r="AU890" s="7"/>
      <c r="AV890" s="7"/>
      <c r="AW890" s="7"/>
      <c r="AX890" s="7"/>
      <c r="AY890" s="7"/>
      <c r="AZ890" s="7"/>
      <c r="BA890" s="7"/>
      <c r="BB890" s="7"/>
      <c r="BC890" s="7"/>
      <c r="BD890" s="7"/>
      <c r="BE890" s="7"/>
      <c r="BF890" s="7"/>
      <c r="BG890" s="7"/>
    </row>
    <row r="891" customHeight="1" spans="1:59">
      <c r="A891" s="23"/>
      <c r="B891" s="23"/>
      <c r="C891" s="23"/>
      <c r="D891" s="23"/>
      <c r="E891" s="7"/>
      <c r="F891" s="11"/>
      <c r="G891" s="11"/>
      <c r="H891" s="11"/>
      <c r="I891" s="15"/>
      <c r="J891" s="15"/>
      <c r="K891" s="15"/>
      <c r="L891" s="15"/>
      <c r="M891" s="7"/>
      <c r="N891" s="8"/>
      <c r="O891" s="8"/>
      <c r="P891" s="8"/>
      <c r="Q891" s="7"/>
      <c r="R891" s="16"/>
      <c r="S891" s="17"/>
      <c r="T891" s="8"/>
      <c r="U891" s="8"/>
      <c r="V891" s="22"/>
      <c r="W891" s="12"/>
      <c r="X891" s="12"/>
      <c r="Y891" s="12"/>
      <c r="Z891" s="12"/>
      <c r="AA891" s="7"/>
      <c r="AB891" s="12"/>
      <c r="AC891" s="6"/>
      <c r="AD891" s="6"/>
      <c r="AE891" s="7"/>
      <c r="AF891" s="7"/>
      <c r="AG891" s="7"/>
      <c r="AH891" s="7"/>
      <c r="AI891" s="7"/>
      <c r="AJ891" s="7"/>
      <c r="AK891" s="7"/>
      <c r="AL891" s="7"/>
      <c r="AM891" s="7"/>
      <c r="AN891" s="7"/>
      <c r="AO891" s="6"/>
      <c r="AP891" s="7"/>
      <c r="AQ891" s="7"/>
      <c r="AR891" s="6"/>
      <c r="AS891" s="7"/>
      <c r="AT891" s="7"/>
      <c r="AU891" s="7"/>
      <c r="AV891" s="7"/>
      <c r="AW891" s="7"/>
      <c r="AX891" s="7"/>
      <c r="AY891" s="7"/>
      <c r="AZ891" s="7"/>
      <c r="BA891" s="7"/>
      <c r="BB891" s="7"/>
      <c r="BC891" s="7"/>
      <c r="BD891" s="7"/>
      <c r="BE891" s="7"/>
      <c r="BF891" s="7"/>
      <c r="BG891" s="7"/>
    </row>
    <row r="892" customHeight="1" spans="1:59">
      <c r="A892" s="23"/>
      <c r="B892" s="23"/>
      <c r="C892" s="23"/>
      <c r="D892" s="23"/>
      <c r="E892" s="7"/>
      <c r="F892" s="11"/>
      <c r="G892" s="11"/>
      <c r="H892" s="11"/>
      <c r="I892" s="15"/>
      <c r="J892" s="15"/>
      <c r="K892" s="15"/>
      <c r="L892" s="15"/>
      <c r="M892" s="7"/>
      <c r="N892" s="8"/>
      <c r="O892" s="8"/>
      <c r="P892" s="8"/>
      <c r="Q892" s="7"/>
      <c r="R892" s="16"/>
      <c r="S892" s="17"/>
      <c r="T892" s="8"/>
      <c r="U892" s="8"/>
      <c r="V892" s="22"/>
      <c r="W892" s="12"/>
      <c r="X892" s="12"/>
      <c r="Y892" s="12"/>
      <c r="Z892" s="12"/>
      <c r="AA892" s="7"/>
      <c r="AB892" s="12"/>
      <c r="AC892" s="6"/>
      <c r="AD892" s="6"/>
      <c r="AE892" s="7"/>
      <c r="AF892" s="7"/>
      <c r="AG892" s="7"/>
      <c r="AH892" s="7"/>
      <c r="AI892" s="7"/>
      <c r="AJ892" s="7"/>
      <c r="AK892" s="7"/>
      <c r="AL892" s="7"/>
      <c r="AM892" s="7"/>
      <c r="AN892" s="7"/>
      <c r="AO892" s="6"/>
      <c r="AP892" s="7"/>
      <c r="AQ892" s="7"/>
      <c r="AR892" s="6"/>
      <c r="AS892" s="7"/>
      <c r="AT892" s="7"/>
      <c r="AU892" s="7"/>
      <c r="AV892" s="7"/>
      <c r="AW892" s="7"/>
      <c r="AX892" s="7"/>
      <c r="AY892" s="7"/>
      <c r="AZ892" s="7"/>
      <c r="BA892" s="7"/>
      <c r="BB892" s="7"/>
      <c r="BC892" s="7"/>
      <c r="BD892" s="7"/>
      <c r="BE892" s="7"/>
      <c r="BF892" s="7"/>
      <c r="BG892" s="7"/>
    </row>
    <row r="893" customHeight="1" spans="1:59">
      <c r="A893" s="23"/>
      <c r="B893" s="23"/>
      <c r="C893" s="23"/>
      <c r="D893" s="23"/>
      <c r="E893" s="7"/>
      <c r="F893" s="11"/>
      <c r="G893" s="11"/>
      <c r="H893" s="11"/>
      <c r="I893" s="15"/>
      <c r="J893" s="15"/>
      <c r="K893" s="15"/>
      <c r="L893" s="15"/>
      <c r="M893" s="7"/>
      <c r="N893" s="8"/>
      <c r="O893" s="8"/>
      <c r="P893" s="8"/>
      <c r="Q893" s="7"/>
      <c r="R893" s="16"/>
      <c r="S893" s="17"/>
      <c r="T893" s="8"/>
      <c r="U893" s="8"/>
      <c r="V893" s="22"/>
      <c r="W893" s="12"/>
      <c r="X893" s="12"/>
      <c r="Y893" s="12"/>
      <c r="Z893" s="12"/>
      <c r="AA893" s="7"/>
      <c r="AB893" s="12"/>
      <c r="AC893" s="6"/>
      <c r="AD893" s="6"/>
      <c r="AE893" s="7"/>
      <c r="AF893" s="7"/>
      <c r="AG893" s="7"/>
      <c r="AH893" s="7"/>
      <c r="AI893" s="7"/>
      <c r="AJ893" s="7"/>
      <c r="AK893" s="7"/>
      <c r="AL893" s="7"/>
      <c r="AM893" s="7"/>
      <c r="AN893" s="7"/>
      <c r="AO893" s="6"/>
      <c r="AP893" s="7"/>
      <c r="AQ893" s="7"/>
      <c r="AR893" s="6"/>
      <c r="AS893" s="7"/>
      <c r="AT893" s="7"/>
      <c r="AU893" s="7"/>
      <c r="AV893" s="7"/>
      <c r="AW893" s="7"/>
      <c r="AX893" s="7"/>
      <c r="AY893" s="7"/>
      <c r="AZ893" s="7"/>
      <c r="BA893" s="7"/>
      <c r="BB893" s="7"/>
      <c r="BC893" s="7"/>
      <c r="BD893" s="7"/>
      <c r="BE893" s="7"/>
      <c r="BF893" s="7"/>
      <c r="BG893" s="7"/>
    </row>
    <row r="894" customHeight="1" spans="1:59">
      <c r="A894" s="23"/>
      <c r="B894" s="23"/>
      <c r="C894" s="23"/>
      <c r="D894" s="23"/>
      <c r="E894" s="7"/>
      <c r="F894" s="11"/>
      <c r="G894" s="11"/>
      <c r="H894" s="11"/>
      <c r="I894" s="15"/>
      <c r="J894" s="15"/>
      <c r="K894" s="15"/>
      <c r="L894" s="15"/>
      <c r="M894" s="7"/>
      <c r="N894" s="8"/>
      <c r="O894" s="8"/>
      <c r="P894" s="8"/>
      <c r="Q894" s="7"/>
      <c r="R894" s="16"/>
      <c r="S894" s="17"/>
      <c r="T894" s="8"/>
      <c r="U894" s="8"/>
      <c r="V894" s="22"/>
      <c r="W894" s="12"/>
      <c r="X894" s="12"/>
      <c r="Y894" s="12"/>
      <c r="Z894" s="12"/>
      <c r="AA894" s="7"/>
      <c r="AB894" s="12"/>
      <c r="AC894" s="6"/>
      <c r="AD894" s="6"/>
      <c r="AE894" s="7"/>
      <c r="AF894" s="7"/>
      <c r="AG894" s="7"/>
      <c r="AH894" s="7"/>
      <c r="AI894" s="7"/>
      <c r="AJ894" s="7"/>
      <c r="AK894" s="7"/>
      <c r="AL894" s="7"/>
      <c r="AM894" s="7"/>
      <c r="AN894" s="7"/>
      <c r="AO894" s="6"/>
      <c r="AP894" s="7"/>
      <c r="AQ894" s="7"/>
      <c r="AR894" s="6"/>
      <c r="AS894" s="7"/>
      <c r="AT894" s="7"/>
      <c r="AU894" s="7"/>
      <c r="AV894" s="7"/>
      <c r="AW894" s="7"/>
      <c r="AX894" s="7"/>
      <c r="AY894" s="7"/>
      <c r="AZ894" s="7"/>
      <c r="BA894" s="7"/>
      <c r="BB894" s="7"/>
      <c r="BC894" s="7"/>
      <c r="BD894" s="7"/>
      <c r="BE894" s="7"/>
      <c r="BF894" s="7"/>
      <c r="BG894" s="7"/>
    </row>
    <row r="895" customHeight="1" spans="1:59">
      <c r="A895" s="23"/>
      <c r="B895" s="23"/>
      <c r="C895" s="23"/>
      <c r="D895" s="23"/>
      <c r="E895" s="7"/>
      <c r="F895" s="11"/>
      <c r="G895" s="11"/>
      <c r="H895" s="11"/>
      <c r="I895" s="15"/>
      <c r="J895" s="15"/>
      <c r="K895" s="15"/>
      <c r="L895" s="15"/>
      <c r="M895" s="7"/>
      <c r="N895" s="8"/>
      <c r="O895" s="8"/>
      <c r="P895" s="8"/>
      <c r="Q895" s="7"/>
      <c r="R895" s="16"/>
      <c r="S895" s="17"/>
      <c r="T895" s="8"/>
      <c r="U895" s="8"/>
      <c r="V895" s="22"/>
      <c r="W895" s="12"/>
      <c r="X895" s="12"/>
      <c r="Y895" s="12"/>
      <c r="Z895" s="12"/>
      <c r="AA895" s="7"/>
      <c r="AB895" s="12"/>
      <c r="AC895" s="6"/>
      <c r="AD895" s="6"/>
      <c r="AE895" s="7"/>
      <c r="AF895" s="7"/>
      <c r="AG895" s="7"/>
      <c r="AH895" s="7"/>
      <c r="AI895" s="7"/>
      <c r="AJ895" s="7"/>
      <c r="AK895" s="7"/>
      <c r="AL895" s="7"/>
      <c r="AM895" s="7"/>
      <c r="AN895" s="7"/>
      <c r="AO895" s="6"/>
      <c r="AP895" s="7"/>
      <c r="AQ895" s="7"/>
      <c r="AR895" s="6"/>
      <c r="AS895" s="7"/>
      <c r="AT895" s="7"/>
      <c r="AU895" s="7"/>
      <c r="AV895" s="7"/>
      <c r="AW895" s="7"/>
      <c r="AX895" s="7"/>
      <c r="AY895" s="7"/>
      <c r="AZ895" s="7"/>
      <c r="BA895" s="7"/>
      <c r="BB895" s="7"/>
      <c r="BC895" s="7"/>
      <c r="BD895" s="7"/>
      <c r="BE895" s="7"/>
      <c r="BF895" s="7"/>
      <c r="BG895" s="7"/>
    </row>
    <row r="896" customHeight="1" spans="1:59">
      <c r="A896" s="23"/>
      <c r="B896" s="23"/>
      <c r="C896" s="23"/>
      <c r="D896" s="23"/>
      <c r="E896" s="7"/>
      <c r="F896" s="11"/>
      <c r="G896" s="11"/>
      <c r="H896" s="11"/>
      <c r="I896" s="15"/>
      <c r="J896" s="15"/>
      <c r="K896" s="15"/>
      <c r="L896" s="15"/>
      <c r="M896" s="7"/>
      <c r="N896" s="8"/>
      <c r="O896" s="8"/>
      <c r="P896" s="8"/>
      <c r="Q896" s="7"/>
      <c r="R896" s="16"/>
      <c r="S896" s="17"/>
      <c r="T896" s="8"/>
      <c r="U896" s="8"/>
      <c r="V896" s="22"/>
      <c r="W896" s="12"/>
      <c r="X896" s="12"/>
      <c r="Y896" s="12"/>
      <c r="Z896" s="12"/>
      <c r="AA896" s="7"/>
      <c r="AB896" s="12"/>
      <c r="AC896" s="6"/>
      <c r="AD896" s="6"/>
      <c r="AE896" s="7"/>
      <c r="AF896" s="7"/>
      <c r="AG896" s="7"/>
      <c r="AH896" s="7"/>
      <c r="AI896" s="7"/>
      <c r="AJ896" s="7"/>
      <c r="AK896" s="7"/>
      <c r="AL896" s="7"/>
      <c r="AM896" s="7"/>
      <c r="AN896" s="7"/>
      <c r="AO896" s="6"/>
      <c r="AP896" s="7"/>
      <c r="AQ896" s="7"/>
      <c r="AR896" s="6"/>
      <c r="AS896" s="7"/>
      <c r="AT896" s="7"/>
      <c r="AU896" s="7"/>
      <c r="AV896" s="7"/>
      <c r="AW896" s="7"/>
      <c r="AX896" s="7"/>
      <c r="AY896" s="7"/>
      <c r="AZ896" s="7"/>
      <c r="BA896" s="7"/>
      <c r="BB896" s="7"/>
      <c r="BC896" s="7"/>
      <c r="BD896" s="7"/>
      <c r="BE896" s="7"/>
      <c r="BF896" s="7"/>
      <c r="BG896" s="7"/>
    </row>
    <row r="897" customHeight="1" spans="1:59">
      <c r="A897" s="23"/>
      <c r="B897" s="23"/>
      <c r="C897" s="23"/>
      <c r="D897" s="23"/>
      <c r="E897" s="7"/>
      <c r="F897" s="11"/>
      <c r="G897" s="11"/>
      <c r="H897" s="11"/>
      <c r="I897" s="15"/>
      <c r="J897" s="15"/>
      <c r="K897" s="15"/>
      <c r="L897" s="15"/>
      <c r="M897" s="7"/>
      <c r="N897" s="8"/>
      <c r="O897" s="8"/>
      <c r="P897" s="8"/>
      <c r="Q897" s="7"/>
      <c r="R897" s="16"/>
      <c r="S897" s="17"/>
      <c r="T897" s="8"/>
      <c r="U897" s="8"/>
      <c r="V897" s="22"/>
      <c r="W897" s="12"/>
      <c r="X897" s="12"/>
      <c r="Y897" s="12"/>
      <c r="Z897" s="12"/>
      <c r="AA897" s="7"/>
      <c r="AB897" s="12"/>
      <c r="AC897" s="6"/>
      <c r="AD897" s="6"/>
      <c r="AE897" s="7"/>
      <c r="AF897" s="7"/>
      <c r="AG897" s="7"/>
      <c r="AH897" s="7"/>
      <c r="AI897" s="7"/>
      <c r="AJ897" s="7"/>
      <c r="AK897" s="7"/>
      <c r="AL897" s="7"/>
      <c r="AM897" s="7"/>
      <c r="AN897" s="7"/>
      <c r="AO897" s="6"/>
      <c r="AP897" s="7"/>
      <c r="AQ897" s="7"/>
      <c r="AR897" s="6"/>
      <c r="AS897" s="7"/>
      <c r="AT897" s="7"/>
      <c r="AU897" s="7"/>
      <c r="AV897" s="7"/>
      <c r="AW897" s="7"/>
      <c r="AX897" s="7"/>
      <c r="AY897" s="7"/>
      <c r="AZ897" s="7"/>
      <c r="BA897" s="7"/>
      <c r="BB897" s="7"/>
      <c r="BC897" s="7"/>
      <c r="BD897" s="7"/>
      <c r="BE897" s="7"/>
      <c r="BF897" s="7"/>
      <c r="BG897" s="7"/>
    </row>
    <row r="898" customHeight="1" spans="1:59">
      <c r="A898" s="23"/>
      <c r="B898" s="23"/>
      <c r="C898" s="23"/>
      <c r="D898" s="23"/>
      <c r="E898" s="7"/>
      <c r="F898" s="11"/>
      <c r="G898" s="11"/>
      <c r="H898" s="11"/>
      <c r="I898" s="15"/>
      <c r="J898" s="15"/>
      <c r="K898" s="15"/>
      <c r="L898" s="15"/>
      <c r="M898" s="7"/>
      <c r="N898" s="8"/>
      <c r="O898" s="8"/>
      <c r="P898" s="8"/>
      <c r="Q898" s="7"/>
      <c r="R898" s="16"/>
      <c r="S898" s="17"/>
      <c r="T898" s="8"/>
      <c r="U898" s="8"/>
      <c r="V898" s="22"/>
      <c r="W898" s="12"/>
      <c r="X898" s="12"/>
      <c r="Y898" s="12"/>
      <c r="Z898" s="12"/>
      <c r="AA898" s="7"/>
      <c r="AB898" s="12"/>
      <c r="AC898" s="6"/>
      <c r="AD898" s="6"/>
      <c r="AE898" s="7"/>
      <c r="AF898" s="7"/>
      <c r="AG898" s="7"/>
      <c r="AH898" s="7"/>
      <c r="AI898" s="7"/>
      <c r="AJ898" s="7"/>
      <c r="AK898" s="7"/>
      <c r="AL898" s="7"/>
      <c r="AM898" s="7"/>
      <c r="AN898" s="7"/>
      <c r="AO898" s="6"/>
      <c r="AP898" s="7"/>
      <c r="AQ898" s="7"/>
      <c r="AR898" s="6"/>
      <c r="AS898" s="7"/>
      <c r="AT898" s="7"/>
      <c r="AU898" s="7"/>
      <c r="AV898" s="7"/>
      <c r="AW898" s="7"/>
      <c r="AX898" s="7"/>
      <c r="AY898" s="7"/>
      <c r="AZ898" s="7"/>
      <c r="BA898" s="7"/>
      <c r="BB898" s="7"/>
      <c r="BC898" s="7"/>
      <c r="BD898" s="7"/>
      <c r="BE898" s="7"/>
      <c r="BF898" s="7"/>
      <c r="BG898" s="7"/>
    </row>
    <row r="899" customHeight="1" spans="1:59">
      <c r="A899" s="23"/>
      <c r="B899" s="23"/>
      <c r="C899" s="23"/>
      <c r="D899" s="23"/>
      <c r="E899" s="7"/>
      <c r="F899" s="11"/>
      <c r="G899" s="11"/>
      <c r="H899" s="11"/>
      <c r="I899" s="15"/>
      <c r="J899" s="15"/>
      <c r="K899" s="15"/>
      <c r="L899" s="15"/>
      <c r="M899" s="7"/>
      <c r="N899" s="8"/>
      <c r="O899" s="8"/>
      <c r="P899" s="8"/>
      <c r="Q899" s="7"/>
      <c r="R899" s="16"/>
      <c r="S899" s="17"/>
      <c r="T899" s="8"/>
      <c r="U899" s="8"/>
      <c r="V899" s="22"/>
      <c r="W899" s="12"/>
      <c r="X899" s="12"/>
      <c r="Y899" s="12"/>
      <c r="Z899" s="12"/>
      <c r="AA899" s="9"/>
      <c r="AB899" s="12"/>
      <c r="AC899" s="6"/>
      <c r="AD899" s="6"/>
      <c r="AE899" s="7"/>
      <c r="AF899" s="7"/>
      <c r="AG899" s="7"/>
      <c r="AH899" s="7"/>
      <c r="AI899" s="7"/>
      <c r="AJ899" s="7"/>
      <c r="AK899" s="7"/>
      <c r="AL899" s="7"/>
      <c r="AM899" s="7"/>
      <c r="AN899" s="7"/>
      <c r="AO899" s="6"/>
      <c r="AP899" s="7"/>
      <c r="AQ899" s="7"/>
      <c r="AR899" s="6"/>
      <c r="AS899" s="7"/>
      <c r="AT899" s="7"/>
      <c r="AU899" s="7"/>
      <c r="AV899" s="7"/>
      <c r="AW899" s="7"/>
      <c r="AX899" s="7"/>
      <c r="AY899" s="7"/>
      <c r="AZ899" s="7"/>
      <c r="BA899" s="7"/>
      <c r="BB899" s="7"/>
      <c r="BC899" s="7"/>
      <c r="BD899" s="7"/>
      <c r="BE899" s="7"/>
      <c r="BF899" s="7"/>
      <c r="BG899" s="7"/>
    </row>
    <row r="900" customHeight="1" spans="1:59">
      <c r="A900" s="23"/>
      <c r="B900" s="23"/>
      <c r="C900" s="23"/>
      <c r="D900" s="23"/>
      <c r="E900" s="7"/>
      <c r="F900" s="11"/>
      <c r="G900" s="11"/>
      <c r="H900" s="11"/>
      <c r="I900" s="15"/>
      <c r="J900" s="15"/>
      <c r="K900" s="15"/>
      <c r="L900" s="15"/>
      <c r="M900" s="7"/>
      <c r="N900" s="8"/>
      <c r="O900" s="8"/>
      <c r="P900" s="8"/>
      <c r="Q900" s="7"/>
      <c r="R900" s="16"/>
      <c r="S900" s="17"/>
      <c r="T900" s="8"/>
      <c r="U900" s="8"/>
      <c r="V900" s="22"/>
      <c r="W900" s="12"/>
      <c r="X900" s="12"/>
      <c r="Y900" s="12"/>
      <c r="Z900" s="12"/>
      <c r="AA900" s="9"/>
      <c r="AB900" s="12"/>
      <c r="AC900" s="6"/>
      <c r="AD900" s="6"/>
      <c r="AE900" s="7"/>
      <c r="AF900" s="7"/>
      <c r="AG900" s="7"/>
      <c r="AH900" s="7"/>
      <c r="AI900" s="7"/>
      <c r="AJ900" s="7"/>
      <c r="AK900" s="7"/>
      <c r="AL900" s="7"/>
      <c r="AM900" s="7"/>
      <c r="AN900" s="7"/>
      <c r="AO900" s="6"/>
      <c r="AP900" s="7"/>
      <c r="AQ900" s="7"/>
      <c r="AR900" s="6"/>
      <c r="AS900" s="7"/>
      <c r="AT900" s="7"/>
      <c r="AU900" s="7"/>
      <c r="AV900" s="7"/>
      <c r="AW900" s="7"/>
      <c r="AX900" s="7"/>
      <c r="AY900" s="7"/>
      <c r="AZ900" s="7"/>
      <c r="BA900" s="7"/>
      <c r="BB900" s="7"/>
      <c r="BC900" s="7"/>
      <c r="BD900" s="7"/>
      <c r="BE900" s="7"/>
      <c r="BF900" s="7"/>
      <c r="BG900" s="7"/>
    </row>
    <row r="901" customHeight="1" spans="1:59">
      <c r="A901" s="23"/>
      <c r="B901" s="23"/>
      <c r="C901" s="23"/>
      <c r="D901" s="23"/>
      <c r="E901" s="7"/>
      <c r="F901" s="11"/>
      <c r="G901" s="11"/>
      <c r="H901" s="11"/>
      <c r="I901" s="15"/>
      <c r="J901" s="15"/>
      <c r="K901" s="15"/>
      <c r="L901" s="15"/>
      <c r="M901" s="7"/>
      <c r="N901" s="8"/>
      <c r="O901" s="8"/>
      <c r="P901" s="8"/>
      <c r="Q901" s="7"/>
      <c r="R901" s="16"/>
      <c r="S901" s="17"/>
      <c r="T901" s="8"/>
      <c r="U901" s="8"/>
      <c r="V901" s="22"/>
      <c r="W901" s="12"/>
      <c r="X901" s="12"/>
      <c r="Y901" s="12"/>
      <c r="Z901" s="12"/>
      <c r="AA901" s="9"/>
      <c r="AB901" s="12"/>
      <c r="AC901" s="6"/>
      <c r="AD901" s="6"/>
      <c r="AE901" s="7"/>
      <c r="AF901" s="7"/>
      <c r="AG901" s="7"/>
      <c r="AH901" s="7"/>
      <c r="AI901" s="7"/>
      <c r="AJ901" s="7"/>
      <c r="AK901" s="7"/>
      <c r="AL901" s="7"/>
      <c r="AM901" s="7"/>
      <c r="AN901" s="7"/>
      <c r="AO901" s="6"/>
      <c r="AP901" s="7"/>
      <c r="AQ901" s="7"/>
      <c r="AR901" s="6"/>
      <c r="AS901" s="7"/>
      <c r="AT901" s="7"/>
      <c r="AU901" s="7"/>
      <c r="AV901" s="7"/>
      <c r="AW901" s="7"/>
      <c r="AX901" s="7"/>
      <c r="AY901" s="7"/>
      <c r="AZ901" s="7"/>
      <c r="BA901" s="7"/>
      <c r="BB901" s="7"/>
      <c r="BC901" s="7"/>
      <c r="BD901" s="7"/>
      <c r="BE901" s="7"/>
      <c r="BF901" s="7"/>
      <c r="BG901" s="7"/>
    </row>
    <row r="902" customHeight="1" spans="1:59">
      <c r="A902" s="23"/>
      <c r="B902" s="23"/>
      <c r="C902" s="23"/>
      <c r="D902" s="23"/>
      <c r="E902" s="7"/>
      <c r="F902" s="11"/>
      <c r="G902" s="11"/>
      <c r="H902" s="11"/>
      <c r="I902" s="15"/>
      <c r="J902" s="15"/>
      <c r="K902" s="15"/>
      <c r="L902" s="15"/>
      <c r="M902" s="7"/>
      <c r="N902" s="8"/>
      <c r="O902" s="8"/>
      <c r="P902" s="8"/>
      <c r="Q902" s="7"/>
      <c r="R902" s="16"/>
      <c r="S902" s="17"/>
      <c r="T902" s="8"/>
      <c r="U902" s="8"/>
      <c r="V902" s="22"/>
      <c r="W902" s="12"/>
      <c r="X902" s="12"/>
      <c r="Y902" s="12"/>
      <c r="Z902" s="12"/>
      <c r="AA902" s="9"/>
      <c r="AB902" s="12"/>
      <c r="AC902" s="6"/>
      <c r="AD902" s="6"/>
      <c r="AE902" s="7"/>
      <c r="AF902" s="7"/>
      <c r="AG902" s="7"/>
      <c r="AH902" s="7"/>
      <c r="AI902" s="7"/>
      <c r="AJ902" s="7"/>
      <c r="AK902" s="7"/>
      <c r="AL902" s="7"/>
      <c r="AM902" s="7"/>
      <c r="AN902" s="7"/>
      <c r="AO902" s="6"/>
      <c r="AP902" s="7"/>
      <c r="AQ902" s="7"/>
      <c r="AR902" s="6"/>
      <c r="AS902" s="7"/>
      <c r="AT902" s="7"/>
      <c r="AU902" s="7"/>
      <c r="AV902" s="7"/>
      <c r="AW902" s="7"/>
      <c r="AX902" s="7"/>
      <c r="AY902" s="7"/>
      <c r="AZ902" s="7"/>
      <c r="BA902" s="7"/>
      <c r="BB902" s="7"/>
      <c r="BC902" s="7"/>
      <c r="BD902" s="7"/>
      <c r="BE902" s="7"/>
      <c r="BF902" s="7"/>
      <c r="BG902" s="7"/>
    </row>
    <row r="903" customHeight="1" spans="1:59">
      <c r="A903" s="23"/>
      <c r="B903" s="23"/>
      <c r="C903" s="23"/>
      <c r="D903" s="23"/>
      <c r="E903" s="7"/>
      <c r="F903" s="11"/>
      <c r="G903" s="11"/>
      <c r="H903" s="11"/>
      <c r="I903" s="15"/>
      <c r="J903" s="15"/>
      <c r="K903" s="15"/>
      <c r="L903" s="15"/>
      <c r="M903" s="7"/>
      <c r="N903" s="8"/>
      <c r="O903" s="8"/>
      <c r="P903" s="8"/>
      <c r="Q903" s="7"/>
      <c r="R903" s="16"/>
      <c r="S903" s="17"/>
      <c r="T903" s="8"/>
      <c r="U903" s="8"/>
      <c r="V903" s="22"/>
      <c r="W903" s="12"/>
      <c r="X903" s="12"/>
      <c r="Y903" s="12"/>
      <c r="Z903" s="12"/>
      <c r="AA903" s="9"/>
      <c r="AB903" s="12"/>
      <c r="AC903" s="6"/>
      <c r="AD903" s="6"/>
      <c r="AE903" s="7"/>
      <c r="AF903" s="7"/>
      <c r="AG903" s="7"/>
      <c r="AH903" s="7"/>
      <c r="AI903" s="7"/>
      <c r="AJ903" s="7"/>
      <c r="AK903" s="7"/>
      <c r="AL903" s="7"/>
      <c r="AM903" s="7"/>
      <c r="AN903" s="7"/>
      <c r="AO903" s="6"/>
      <c r="AP903" s="7"/>
      <c r="AQ903" s="7"/>
      <c r="AR903" s="6"/>
      <c r="AS903" s="7"/>
      <c r="AT903" s="7"/>
      <c r="AU903" s="7"/>
      <c r="AV903" s="7"/>
      <c r="AW903" s="7"/>
      <c r="AX903" s="7"/>
      <c r="AY903" s="7"/>
      <c r="AZ903" s="7"/>
      <c r="BA903" s="7"/>
      <c r="BB903" s="7"/>
      <c r="BC903" s="7"/>
      <c r="BD903" s="7"/>
      <c r="BE903" s="7"/>
      <c r="BF903" s="7"/>
      <c r="BG903" s="7"/>
    </row>
    <row r="904" customHeight="1" spans="1:59">
      <c r="A904" s="23"/>
      <c r="B904" s="23"/>
      <c r="C904" s="23"/>
      <c r="D904" s="23"/>
      <c r="E904" s="7"/>
      <c r="F904" s="11"/>
      <c r="G904" s="11"/>
      <c r="H904" s="11"/>
      <c r="I904" s="15"/>
      <c r="J904" s="15"/>
      <c r="K904" s="15"/>
      <c r="L904" s="15"/>
      <c r="M904" s="7"/>
      <c r="N904" s="8"/>
      <c r="O904" s="8"/>
      <c r="P904" s="8"/>
      <c r="Q904" s="7"/>
      <c r="R904" s="16"/>
      <c r="S904" s="17"/>
      <c r="T904" s="8"/>
      <c r="U904" s="8"/>
      <c r="V904" s="22"/>
      <c r="W904" s="12"/>
      <c r="X904" s="12"/>
      <c r="Y904" s="12"/>
      <c r="Z904" s="12"/>
      <c r="AA904" s="9"/>
      <c r="AB904" s="12"/>
      <c r="AC904" s="6"/>
      <c r="AD904" s="6"/>
      <c r="AE904" s="7"/>
      <c r="AF904" s="7"/>
      <c r="AG904" s="7"/>
      <c r="AH904" s="7"/>
      <c r="AI904" s="7"/>
      <c r="AJ904" s="7"/>
      <c r="AK904" s="7"/>
      <c r="AL904" s="7"/>
      <c r="AM904" s="7"/>
      <c r="AN904" s="7"/>
      <c r="AO904" s="6"/>
      <c r="AP904" s="7"/>
      <c r="AQ904" s="7"/>
      <c r="AR904" s="6"/>
      <c r="AS904" s="7"/>
      <c r="AT904" s="7"/>
      <c r="AU904" s="7"/>
      <c r="AV904" s="7"/>
      <c r="AW904" s="7"/>
      <c r="AX904" s="7"/>
      <c r="AY904" s="7"/>
      <c r="AZ904" s="7"/>
      <c r="BA904" s="7"/>
      <c r="BB904" s="7"/>
      <c r="BC904" s="7"/>
      <c r="BD904" s="7"/>
      <c r="BE904" s="7"/>
      <c r="BF904" s="7"/>
      <c r="BG904" s="7"/>
    </row>
    <row r="905" customHeight="1" spans="1:59">
      <c r="A905" s="23"/>
      <c r="B905" s="23"/>
      <c r="C905" s="23"/>
      <c r="D905" s="23"/>
      <c r="E905" s="7"/>
      <c r="F905" s="11"/>
      <c r="G905" s="11"/>
      <c r="H905" s="11"/>
      <c r="I905" s="15"/>
      <c r="J905" s="15"/>
      <c r="K905" s="15"/>
      <c r="L905" s="15"/>
      <c r="M905" s="7"/>
      <c r="N905" s="8"/>
      <c r="O905" s="8"/>
      <c r="P905" s="10"/>
      <c r="Q905" s="6"/>
      <c r="R905" s="16"/>
      <c r="S905" s="17"/>
      <c r="T905" s="10"/>
      <c r="U905" s="10"/>
      <c r="V905" s="22"/>
      <c r="W905" s="12"/>
      <c r="X905" s="12"/>
      <c r="Y905" s="12"/>
      <c r="Z905" s="12"/>
      <c r="AA905" s="6"/>
      <c r="AB905" s="12"/>
      <c r="AC905" s="6"/>
      <c r="AD905" s="6"/>
      <c r="AE905" s="7"/>
      <c r="AF905" s="7"/>
      <c r="AG905" s="7"/>
      <c r="AH905" s="7"/>
      <c r="AI905" s="7"/>
      <c r="AJ905" s="7"/>
      <c r="AK905" s="7"/>
      <c r="AL905" s="7"/>
      <c r="AM905" s="7"/>
      <c r="AN905" s="7"/>
      <c r="AO905" s="6"/>
      <c r="AP905" s="7"/>
      <c r="AQ905" s="7"/>
      <c r="AR905" s="6"/>
      <c r="AS905" s="6"/>
      <c r="AT905" s="6"/>
      <c r="AU905" s="6"/>
      <c r="AV905" s="6"/>
      <c r="AW905" s="6"/>
      <c r="AX905" s="6"/>
      <c r="AY905" s="6"/>
      <c r="AZ905" s="6"/>
      <c r="BA905" s="6"/>
      <c r="BB905" s="6"/>
      <c r="BC905" s="6"/>
      <c r="BD905" s="6"/>
      <c r="BE905" s="6"/>
      <c r="BF905" s="6"/>
      <c r="BG905" s="6"/>
    </row>
    <row r="906" customHeight="1" spans="1:59">
      <c r="A906" s="23"/>
      <c r="B906" s="23"/>
      <c r="C906" s="23"/>
      <c r="D906" s="23"/>
      <c r="E906" s="7"/>
      <c r="F906" s="8"/>
      <c r="G906" s="8"/>
      <c r="H906" s="8"/>
      <c r="I906" s="14"/>
      <c r="J906" s="14"/>
      <c r="K906" s="14"/>
      <c r="L906" s="14"/>
      <c r="M906" s="7"/>
      <c r="N906" s="8"/>
      <c r="O906" s="8"/>
      <c r="P906" s="8"/>
      <c r="Q906" s="7"/>
      <c r="R906" s="16"/>
      <c r="S906" s="17"/>
      <c r="T906" s="8"/>
      <c r="U906" s="8"/>
      <c r="V906" s="22"/>
      <c r="W906" s="12"/>
      <c r="X906" s="12"/>
      <c r="Y906" s="12"/>
      <c r="Z906" s="12"/>
      <c r="AA906" s="7"/>
      <c r="AB906" s="12"/>
      <c r="AC906" s="6"/>
      <c r="AD906" s="6"/>
      <c r="AE906" s="7"/>
      <c r="AF906" s="7"/>
      <c r="AG906" s="7"/>
      <c r="AH906" s="7"/>
      <c r="AI906" s="7"/>
      <c r="AJ906" s="7"/>
      <c r="AK906" s="7"/>
      <c r="AL906" s="7"/>
      <c r="AM906" s="7"/>
      <c r="AN906" s="7"/>
      <c r="AO906" s="6"/>
      <c r="AP906" s="7"/>
      <c r="AQ906" s="7"/>
      <c r="AR906" s="6"/>
      <c r="AS906" s="7"/>
      <c r="AT906" s="7"/>
      <c r="AU906" s="7"/>
      <c r="AV906" s="7"/>
      <c r="AW906" s="7"/>
      <c r="AX906" s="7"/>
      <c r="AY906" s="7"/>
      <c r="AZ906" s="7"/>
      <c r="BA906" s="7"/>
      <c r="BB906" s="7"/>
      <c r="BC906" s="7"/>
      <c r="BD906" s="7"/>
      <c r="BE906" s="7"/>
      <c r="BF906" s="7"/>
      <c r="BG906" s="7"/>
    </row>
    <row r="907" customHeight="1" spans="1:59">
      <c r="A907" s="23"/>
      <c r="B907" s="23"/>
      <c r="C907" s="23"/>
      <c r="D907" s="23"/>
      <c r="E907" s="7"/>
      <c r="F907" s="8"/>
      <c r="G907" s="8"/>
      <c r="H907" s="8"/>
      <c r="I907" s="14"/>
      <c r="J907" s="14"/>
      <c r="K907" s="14"/>
      <c r="L907" s="14"/>
      <c r="M907" s="7"/>
      <c r="N907" s="8"/>
      <c r="O907" s="8"/>
      <c r="P907" s="8"/>
      <c r="Q907" s="7"/>
      <c r="R907" s="16"/>
      <c r="S907" s="17"/>
      <c r="T907" s="8"/>
      <c r="U907" s="8"/>
      <c r="V907" s="22"/>
      <c r="W907" s="12"/>
      <c r="X907" s="12"/>
      <c r="Y907" s="12"/>
      <c r="Z907" s="12"/>
      <c r="AA907" s="7"/>
      <c r="AB907" s="12"/>
      <c r="AC907" s="6"/>
      <c r="AD907" s="6"/>
      <c r="AE907" s="7"/>
      <c r="AF907" s="7"/>
      <c r="AG907" s="7"/>
      <c r="AH907" s="7"/>
      <c r="AI907" s="7"/>
      <c r="AJ907" s="7"/>
      <c r="AK907" s="7"/>
      <c r="AL907" s="7"/>
      <c r="AM907" s="7"/>
      <c r="AN907" s="7"/>
      <c r="AO907" s="6"/>
      <c r="AP907" s="7"/>
      <c r="AQ907" s="7"/>
      <c r="AR907" s="6"/>
      <c r="AS907" s="7"/>
      <c r="AT907" s="7"/>
      <c r="AU907" s="7"/>
      <c r="AV907" s="7"/>
      <c r="AW907" s="7"/>
      <c r="AX907" s="7"/>
      <c r="AY907" s="7"/>
      <c r="AZ907" s="7"/>
      <c r="BA907" s="7"/>
      <c r="BB907" s="7"/>
      <c r="BC907" s="7"/>
      <c r="BD907" s="7"/>
      <c r="BE907" s="7"/>
      <c r="BF907" s="7"/>
      <c r="BG907" s="7"/>
    </row>
    <row r="908" customHeight="1" spans="1:59">
      <c r="A908" s="23"/>
      <c r="B908" s="23"/>
      <c r="C908" s="23"/>
      <c r="D908" s="23"/>
      <c r="E908" s="7"/>
      <c r="F908" s="8"/>
      <c r="G908" s="8"/>
      <c r="H908" s="8"/>
      <c r="I908" s="14"/>
      <c r="J908" s="14"/>
      <c r="K908" s="14"/>
      <c r="L908" s="14"/>
      <c r="M908" s="7"/>
      <c r="N908" s="8"/>
      <c r="O908" s="8"/>
      <c r="P908" s="8"/>
      <c r="Q908" s="7"/>
      <c r="R908" s="16"/>
      <c r="S908" s="17"/>
      <c r="T908" s="8"/>
      <c r="U908" s="8"/>
      <c r="V908" s="22"/>
      <c r="W908" s="12"/>
      <c r="X908" s="12"/>
      <c r="Y908" s="12"/>
      <c r="Z908" s="12"/>
      <c r="AA908" s="7"/>
      <c r="AB908" s="12"/>
      <c r="AC908" s="6"/>
      <c r="AD908" s="6"/>
      <c r="AE908" s="7"/>
      <c r="AF908" s="7"/>
      <c r="AG908" s="7"/>
      <c r="AH908" s="7"/>
      <c r="AI908" s="7"/>
      <c r="AJ908" s="7"/>
      <c r="AK908" s="7"/>
      <c r="AL908" s="7"/>
      <c r="AM908" s="7"/>
      <c r="AN908" s="7"/>
      <c r="AO908" s="6"/>
      <c r="AP908" s="7"/>
      <c r="AQ908" s="7"/>
      <c r="AR908" s="6"/>
      <c r="AS908" s="7"/>
      <c r="AT908" s="7"/>
      <c r="AU908" s="7"/>
      <c r="AV908" s="7"/>
      <c r="AW908" s="7"/>
      <c r="AX908" s="7"/>
      <c r="AY908" s="7"/>
      <c r="AZ908" s="7"/>
      <c r="BA908" s="7"/>
      <c r="BB908" s="7"/>
      <c r="BC908" s="7"/>
      <c r="BD908" s="7"/>
      <c r="BE908" s="7"/>
      <c r="BF908" s="7"/>
      <c r="BG908" s="7"/>
    </row>
    <row r="909" customHeight="1" spans="1:59">
      <c r="A909" s="23"/>
      <c r="B909" s="23"/>
      <c r="C909" s="23"/>
      <c r="D909" s="23"/>
      <c r="E909" s="7"/>
      <c r="F909" s="8"/>
      <c r="G909" s="8"/>
      <c r="H909" s="8"/>
      <c r="I909" s="14"/>
      <c r="J909" s="14"/>
      <c r="K909" s="14"/>
      <c r="L909" s="14"/>
      <c r="M909" s="7"/>
      <c r="N909" s="8"/>
      <c r="O909" s="8"/>
      <c r="P909" s="8"/>
      <c r="Q909" s="7"/>
      <c r="R909" s="16"/>
      <c r="S909" s="17"/>
      <c r="T909" s="8"/>
      <c r="U909" s="8"/>
      <c r="V909" s="22"/>
      <c r="W909" s="12"/>
      <c r="X909" s="12"/>
      <c r="Y909" s="12"/>
      <c r="Z909" s="12"/>
      <c r="AA909" s="7"/>
      <c r="AB909" s="12"/>
      <c r="AC909" s="6"/>
      <c r="AD909" s="6"/>
      <c r="AE909" s="7"/>
      <c r="AF909" s="7"/>
      <c r="AG909" s="7"/>
      <c r="AH909" s="7"/>
      <c r="AI909" s="7"/>
      <c r="AJ909" s="7"/>
      <c r="AK909" s="7"/>
      <c r="AL909" s="7"/>
      <c r="AM909" s="7"/>
      <c r="AN909" s="7"/>
      <c r="AO909" s="6"/>
      <c r="AP909" s="7"/>
      <c r="AQ909" s="7"/>
      <c r="AR909" s="6"/>
      <c r="AS909" s="7"/>
      <c r="AT909" s="7"/>
      <c r="AU909" s="7"/>
      <c r="AV909" s="7"/>
      <c r="AW909" s="7"/>
      <c r="AX909" s="7"/>
      <c r="AY909" s="7"/>
      <c r="AZ909" s="7"/>
      <c r="BA909" s="7"/>
      <c r="BB909" s="7"/>
      <c r="BC909" s="7"/>
      <c r="BD909" s="7"/>
      <c r="BE909" s="7"/>
      <c r="BF909" s="7"/>
      <c r="BG909" s="7"/>
    </row>
    <row r="910" customHeight="1" spans="1:59">
      <c r="A910" s="23"/>
      <c r="B910" s="23"/>
      <c r="C910" s="23"/>
      <c r="D910" s="23"/>
      <c r="E910" s="7"/>
      <c r="F910" s="8"/>
      <c r="G910" s="8"/>
      <c r="H910" s="8"/>
      <c r="I910" s="14"/>
      <c r="J910" s="14"/>
      <c r="K910" s="14"/>
      <c r="L910" s="14"/>
      <c r="M910" s="7"/>
      <c r="N910" s="8"/>
      <c r="O910" s="8"/>
      <c r="P910" s="8"/>
      <c r="Q910" s="7"/>
      <c r="R910" s="16"/>
      <c r="S910" s="17"/>
      <c r="T910" s="8"/>
      <c r="U910" s="8"/>
      <c r="V910" s="22"/>
      <c r="W910" s="12"/>
      <c r="X910" s="12"/>
      <c r="Y910" s="12"/>
      <c r="Z910" s="12"/>
      <c r="AA910" s="7"/>
      <c r="AB910" s="12"/>
      <c r="AC910" s="6"/>
      <c r="AD910" s="6"/>
      <c r="AE910" s="7"/>
      <c r="AF910" s="7"/>
      <c r="AG910" s="7"/>
      <c r="AH910" s="7"/>
      <c r="AI910" s="7"/>
      <c r="AJ910" s="7"/>
      <c r="AK910" s="7"/>
      <c r="AL910" s="7"/>
      <c r="AM910" s="7"/>
      <c r="AN910" s="7"/>
      <c r="AO910" s="6"/>
      <c r="AP910" s="7"/>
      <c r="AQ910" s="7"/>
      <c r="AR910" s="6"/>
      <c r="AS910" s="7"/>
      <c r="AT910" s="7"/>
      <c r="AU910" s="7"/>
      <c r="AV910" s="7"/>
      <c r="AW910" s="7"/>
      <c r="AX910" s="7"/>
      <c r="AY910" s="7"/>
      <c r="AZ910" s="7"/>
      <c r="BA910" s="7"/>
      <c r="BB910" s="7"/>
      <c r="BC910" s="7"/>
      <c r="BD910" s="7"/>
      <c r="BE910" s="7"/>
      <c r="BF910" s="7"/>
      <c r="BG910" s="7"/>
    </row>
    <row r="911" customHeight="1" spans="1:59">
      <c r="A911" s="23"/>
      <c r="B911" s="23"/>
      <c r="C911" s="23"/>
      <c r="D911" s="23"/>
      <c r="E911" s="7"/>
      <c r="F911" s="8"/>
      <c r="G911" s="8"/>
      <c r="H911" s="8"/>
      <c r="I911" s="14"/>
      <c r="J911" s="14"/>
      <c r="K911" s="14"/>
      <c r="L911" s="14"/>
      <c r="M911" s="7"/>
      <c r="N911" s="8"/>
      <c r="O911" s="8"/>
      <c r="P911" s="8"/>
      <c r="Q911" s="7"/>
      <c r="R911" s="16"/>
      <c r="S911" s="17"/>
      <c r="T911" s="8"/>
      <c r="U911" s="8"/>
      <c r="V911" s="22"/>
      <c r="W911" s="12"/>
      <c r="X911" s="12"/>
      <c r="Y911" s="12"/>
      <c r="Z911" s="12"/>
      <c r="AA911" s="7"/>
      <c r="AB911" s="12"/>
      <c r="AC911" s="6"/>
      <c r="AD911" s="6"/>
      <c r="AE911" s="7"/>
      <c r="AF911" s="7"/>
      <c r="AG911" s="7"/>
      <c r="AH911" s="7"/>
      <c r="AI911" s="7"/>
      <c r="AJ911" s="7"/>
      <c r="AK911" s="7"/>
      <c r="AL911" s="7"/>
      <c r="AM911" s="7"/>
      <c r="AN911" s="7"/>
      <c r="AO911" s="6"/>
      <c r="AP911" s="7"/>
      <c r="AQ911" s="7"/>
      <c r="AR911" s="6"/>
      <c r="AS911" s="7"/>
      <c r="AT911" s="7"/>
      <c r="AU911" s="7"/>
      <c r="AV911" s="7"/>
      <c r="AW911" s="7"/>
      <c r="AX911" s="7"/>
      <c r="AY911" s="7"/>
      <c r="AZ911" s="7"/>
      <c r="BA911" s="7"/>
      <c r="BB911" s="7"/>
      <c r="BC911" s="7"/>
      <c r="BD911" s="7"/>
      <c r="BE911" s="7"/>
      <c r="BF911" s="7"/>
      <c r="BG911" s="7"/>
    </row>
    <row r="912" customHeight="1" spans="1:59">
      <c r="A912" s="23"/>
      <c r="B912" s="23"/>
      <c r="C912" s="23"/>
      <c r="D912" s="23"/>
      <c r="E912" s="7"/>
      <c r="F912" s="8"/>
      <c r="G912" s="8"/>
      <c r="H912" s="8"/>
      <c r="I912" s="14"/>
      <c r="J912" s="14"/>
      <c r="K912" s="14"/>
      <c r="L912" s="14"/>
      <c r="M912" s="7"/>
      <c r="N912" s="8"/>
      <c r="O912" s="8"/>
      <c r="P912" s="8"/>
      <c r="Q912" s="7"/>
      <c r="R912" s="16"/>
      <c r="S912" s="17"/>
      <c r="T912" s="8"/>
      <c r="U912" s="8"/>
      <c r="V912" s="22"/>
      <c r="W912" s="12"/>
      <c r="X912" s="12"/>
      <c r="Y912" s="12"/>
      <c r="Z912" s="12"/>
      <c r="AA912" s="7"/>
      <c r="AB912" s="12"/>
      <c r="AC912" s="6"/>
      <c r="AD912" s="6"/>
      <c r="AE912" s="7"/>
      <c r="AF912" s="7"/>
      <c r="AG912" s="7"/>
      <c r="AH912" s="7"/>
      <c r="AI912" s="7"/>
      <c r="AJ912" s="7"/>
      <c r="AK912" s="7"/>
      <c r="AL912" s="7"/>
      <c r="AM912" s="7"/>
      <c r="AN912" s="7"/>
      <c r="AO912" s="6"/>
      <c r="AP912" s="7"/>
      <c r="AQ912" s="7"/>
      <c r="AR912" s="6"/>
      <c r="AS912" s="7"/>
      <c r="AT912" s="7"/>
      <c r="AU912" s="7"/>
      <c r="AV912" s="7"/>
      <c r="AW912" s="7"/>
      <c r="AX912" s="7"/>
      <c r="AY912" s="7"/>
      <c r="AZ912" s="7"/>
      <c r="BA912" s="7"/>
      <c r="BB912" s="7"/>
      <c r="BC912" s="7"/>
      <c r="BD912" s="7"/>
      <c r="BE912" s="7"/>
      <c r="BF912" s="7"/>
      <c r="BG912" s="7"/>
    </row>
    <row r="913" customHeight="1" spans="1:59">
      <c r="A913" s="23"/>
      <c r="B913" s="23"/>
      <c r="C913" s="23"/>
      <c r="D913" s="23"/>
      <c r="E913" s="7"/>
      <c r="F913" s="8"/>
      <c r="G913" s="8"/>
      <c r="H913" s="8"/>
      <c r="I913" s="14"/>
      <c r="J913" s="14"/>
      <c r="K913" s="14"/>
      <c r="L913" s="14"/>
      <c r="M913" s="7"/>
      <c r="N913" s="8"/>
      <c r="O913" s="8"/>
      <c r="P913" s="8"/>
      <c r="Q913" s="7"/>
      <c r="R913" s="16"/>
      <c r="S913" s="17"/>
      <c r="T913" s="8"/>
      <c r="U913" s="8"/>
      <c r="V913" s="22"/>
      <c r="W913" s="12"/>
      <c r="X913" s="12"/>
      <c r="Y913" s="12"/>
      <c r="Z913" s="12"/>
      <c r="AA913" s="7"/>
      <c r="AB913" s="12"/>
      <c r="AC913" s="6"/>
      <c r="AD913" s="6"/>
      <c r="AE913" s="7"/>
      <c r="AF913" s="7"/>
      <c r="AG913" s="7"/>
      <c r="AH913" s="7"/>
      <c r="AI913" s="7"/>
      <c r="AJ913" s="7"/>
      <c r="AK913" s="7"/>
      <c r="AL913" s="7"/>
      <c r="AM913" s="7"/>
      <c r="AN913" s="7"/>
      <c r="AO913" s="6"/>
      <c r="AP913" s="7"/>
      <c r="AQ913" s="7"/>
      <c r="AR913" s="6"/>
      <c r="AS913" s="7"/>
      <c r="AT913" s="7"/>
      <c r="AU913" s="7"/>
      <c r="AV913" s="7"/>
      <c r="AW913" s="7"/>
      <c r="AX913" s="7"/>
      <c r="AY913" s="7"/>
      <c r="AZ913" s="7"/>
      <c r="BA913" s="7"/>
      <c r="BB913" s="7"/>
      <c r="BC913" s="7"/>
      <c r="BD913" s="7"/>
      <c r="BE913" s="7"/>
      <c r="BF913" s="7"/>
      <c r="BG913" s="7"/>
    </row>
    <row r="914" customHeight="1" spans="1:59">
      <c r="A914" s="23"/>
      <c r="B914" s="23"/>
      <c r="C914" s="23"/>
      <c r="D914" s="23"/>
      <c r="E914" s="7"/>
      <c r="F914" s="8"/>
      <c r="G914" s="8"/>
      <c r="H914" s="8"/>
      <c r="I914" s="14"/>
      <c r="J914" s="14"/>
      <c r="K914" s="14"/>
      <c r="L914" s="14"/>
      <c r="M914" s="7"/>
      <c r="N914" s="8"/>
      <c r="O914" s="8"/>
      <c r="P914" s="8"/>
      <c r="Q914" s="7"/>
      <c r="R914" s="16"/>
      <c r="S914" s="17"/>
      <c r="T914" s="8"/>
      <c r="U914" s="8"/>
      <c r="V914" s="22"/>
      <c r="W914" s="12"/>
      <c r="X914" s="12"/>
      <c r="Y914" s="12"/>
      <c r="Z914" s="12"/>
      <c r="AA914" s="7"/>
      <c r="AB914" s="12"/>
      <c r="AC914" s="6"/>
      <c r="AD914" s="6"/>
      <c r="AE914" s="7"/>
      <c r="AF914" s="7"/>
      <c r="AG914" s="7"/>
      <c r="AH914" s="7"/>
      <c r="AI914" s="7"/>
      <c r="AJ914" s="7"/>
      <c r="AK914" s="7"/>
      <c r="AL914" s="7"/>
      <c r="AM914" s="7"/>
      <c r="AN914" s="7"/>
      <c r="AO914" s="6"/>
      <c r="AP914" s="7"/>
      <c r="AQ914" s="7"/>
      <c r="AR914" s="6"/>
      <c r="AS914" s="7"/>
      <c r="AT914" s="7"/>
      <c r="AU914" s="7"/>
      <c r="AV914" s="7"/>
      <c r="AW914" s="7"/>
      <c r="AX914" s="7"/>
      <c r="AY914" s="7"/>
      <c r="AZ914" s="7"/>
      <c r="BA914" s="7"/>
      <c r="BB914" s="7"/>
      <c r="BC914" s="7"/>
      <c r="BD914" s="7"/>
      <c r="BE914" s="7"/>
      <c r="BF914" s="7"/>
      <c r="BG914" s="7"/>
    </row>
    <row r="915" customHeight="1" spans="1:59">
      <c r="A915" s="23"/>
      <c r="B915" s="23"/>
      <c r="C915" s="23"/>
      <c r="D915" s="23"/>
      <c r="E915" s="7"/>
      <c r="F915" s="8"/>
      <c r="G915" s="8"/>
      <c r="H915" s="8"/>
      <c r="I915" s="14"/>
      <c r="J915" s="14"/>
      <c r="K915" s="14"/>
      <c r="L915" s="14"/>
      <c r="M915" s="7"/>
      <c r="N915" s="8"/>
      <c r="O915" s="8"/>
      <c r="P915" s="8"/>
      <c r="Q915" s="7"/>
      <c r="R915" s="16"/>
      <c r="S915" s="17"/>
      <c r="T915" s="8"/>
      <c r="U915" s="8"/>
      <c r="V915" s="22"/>
      <c r="W915" s="12"/>
      <c r="X915" s="12"/>
      <c r="Y915" s="12"/>
      <c r="Z915" s="12"/>
      <c r="AA915" s="7"/>
      <c r="AB915" s="12"/>
      <c r="AC915" s="6"/>
      <c r="AD915" s="6"/>
      <c r="AE915" s="7"/>
      <c r="AF915" s="7"/>
      <c r="AG915" s="7"/>
      <c r="AH915" s="7"/>
      <c r="AI915" s="7"/>
      <c r="AJ915" s="7"/>
      <c r="AK915" s="7"/>
      <c r="AL915" s="7"/>
      <c r="AM915" s="7"/>
      <c r="AN915" s="7"/>
      <c r="AO915" s="6"/>
      <c r="AP915" s="7"/>
      <c r="AQ915" s="7"/>
      <c r="AR915" s="6"/>
      <c r="AS915" s="7"/>
      <c r="AT915" s="7"/>
      <c r="AU915" s="7"/>
      <c r="AV915" s="7"/>
      <c r="AW915" s="7"/>
      <c r="AX915" s="7"/>
      <c r="AY915" s="7"/>
      <c r="AZ915" s="7"/>
      <c r="BA915" s="7"/>
      <c r="BB915" s="7"/>
      <c r="BC915" s="7"/>
      <c r="BD915" s="7"/>
      <c r="BE915" s="7"/>
      <c r="BF915" s="7"/>
      <c r="BG915" s="7"/>
    </row>
    <row r="916" customHeight="1" spans="1:59">
      <c r="A916" s="23"/>
      <c r="B916" s="23"/>
      <c r="C916" s="23"/>
      <c r="D916" s="23"/>
      <c r="E916" s="7"/>
      <c r="F916" s="8"/>
      <c r="G916" s="8"/>
      <c r="H916" s="8"/>
      <c r="I916" s="14"/>
      <c r="J916" s="14"/>
      <c r="K916" s="14"/>
      <c r="L916" s="14"/>
      <c r="M916" s="7"/>
      <c r="N916" s="8"/>
      <c r="O916" s="8"/>
      <c r="P916" s="8"/>
      <c r="Q916" s="7"/>
      <c r="R916" s="16"/>
      <c r="S916" s="17"/>
      <c r="T916" s="8"/>
      <c r="U916" s="8"/>
      <c r="V916" s="22"/>
      <c r="W916" s="12"/>
      <c r="X916" s="12"/>
      <c r="Y916" s="12"/>
      <c r="Z916" s="12"/>
      <c r="AA916" s="7"/>
      <c r="AB916" s="12"/>
      <c r="AC916" s="6"/>
      <c r="AD916" s="6"/>
      <c r="AE916" s="7"/>
      <c r="AF916" s="7"/>
      <c r="AG916" s="7"/>
      <c r="AH916" s="7"/>
      <c r="AI916" s="7"/>
      <c r="AJ916" s="7"/>
      <c r="AK916" s="7"/>
      <c r="AL916" s="7"/>
      <c r="AM916" s="7"/>
      <c r="AN916" s="7"/>
      <c r="AO916" s="6"/>
      <c r="AP916" s="7"/>
      <c r="AQ916" s="7"/>
      <c r="AR916" s="6"/>
      <c r="AS916" s="7"/>
      <c r="AT916" s="7"/>
      <c r="AU916" s="7"/>
      <c r="AV916" s="7"/>
      <c r="AW916" s="7"/>
      <c r="AX916" s="7"/>
      <c r="AY916" s="7"/>
      <c r="AZ916" s="7"/>
      <c r="BA916" s="7"/>
      <c r="BB916" s="7"/>
      <c r="BC916" s="7"/>
      <c r="BD916" s="7"/>
      <c r="BE916" s="7"/>
      <c r="BF916" s="7"/>
      <c r="BG916" s="7"/>
    </row>
    <row r="917" customHeight="1" spans="1:59">
      <c r="A917" s="23"/>
      <c r="B917" s="23"/>
      <c r="C917" s="23"/>
      <c r="D917" s="23"/>
      <c r="E917" s="7"/>
      <c r="F917" s="8"/>
      <c r="G917" s="8"/>
      <c r="H917" s="8"/>
      <c r="I917" s="14"/>
      <c r="J917" s="14"/>
      <c r="K917" s="14"/>
      <c r="L917" s="14"/>
      <c r="M917" s="7"/>
      <c r="N917" s="8"/>
      <c r="O917" s="8"/>
      <c r="P917" s="8"/>
      <c r="Q917" s="7"/>
      <c r="R917" s="16"/>
      <c r="S917" s="17"/>
      <c r="T917" s="8"/>
      <c r="U917" s="8"/>
      <c r="V917" s="22"/>
      <c r="W917" s="12"/>
      <c r="X917" s="12"/>
      <c r="Y917" s="12"/>
      <c r="Z917" s="12"/>
      <c r="AA917" s="7"/>
      <c r="AB917" s="12"/>
      <c r="AC917" s="6"/>
      <c r="AD917" s="6"/>
      <c r="AE917" s="7"/>
      <c r="AF917" s="7"/>
      <c r="AG917" s="7"/>
      <c r="AH917" s="7"/>
      <c r="AI917" s="7"/>
      <c r="AJ917" s="7"/>
      <c r="AK917" s="7"/>
      <c r="AL917" s="7"/>
      <c r="AM917" s="7"/>
      <c r="AN917" s="7"/>
      <c r="AO917" s="6"/>
      <c r="AP917" s="7"/>
      <c r="AQ917" s="7"/>
      <c r="AR917" s="6"/>
      <c r="AS917" s="7"/>
      <c r="AT917" s="7"/>
      <c r="AU917" s="7"/>
      <c r="AV917" s="7"/>
      <c r="AW917" s="7"/>
      <c r="AX917" s="7"/>
      <c r="AY917" s="7"/>
      <c r="AZ917" s="7"/>
      <c r="BA917" s="7"/>
      <c r="BB917" s="7"/>
      <c r="BC917" s="7"/>
      <c r="BD917" s="7"/>
      <c r="BE917" s="7"/>
      <c r="BF917" s="7"/>
      <c r="BG917" s="7"/>
    </row>
    <row r="918" customHeight="1" spans="1:59">
      <c r="A918" s="23"/>
      <c r="B918" s="23"/>
      <c r="C918" s="23"/>
      <c r="D918" s="23"/>
      <c r="E918" s="7"/>
      <c r="F918" s="8"/>
      <c r="G918" s="8"/>
      <c r="H918" s="8"/>
      <c r="I918" s="14"/>
      <c r="J918" s="14"/>
      <c r="K918" s="14"/>
      <c r="L918" s="14"/>
      <c r="M918" s="7"/>
      <c r="N918" s="8"/>
      <c r="O918" s="8"/>
      <c r="P918" s="8"/>
      <c r="Q918" s="7"/>
      <c r="R918" s="16"/>
      <c r="S918" s="17"/>
      <c r="T918" s="8"/>
      <c r="U918" s="8"/>
      <c r="V918" s="22"/>
      <c r="W918" s="12"/>
      <c r="X918" s="12"/>
      <c r="Y918" s="12"/>
      <c r="Z918" s="12"/>
      <c r="AA918" s="7"/>
      <c r="AB918" s="12"/>
      <c r="AC918" s="6"/>
      <c r="AD918" s="6"/>
      <c r="AE918" s="7"/>
      <c r="AF918" s="7"/>
      <c r="AG918" s="7"/>
      <c r="AH918" s="7"/>
      <c r="AI918" s="7"/>
      <c r="AJ918" s="7"/>
      <c r="AK918" s="7"/>
      <c r="AL918" s="7"/>
      <c r="AM918" s="7"/>
      <c r="AN918" s="7"/>
      <c r="AO918" s="6"/>
      <c r="AP918" s="7"/>
      <c r="AQ918" s="7"/>
      <c r="AR918" s="6"/>
      <c r="AS918" s="7"/>
      <c r="AT918" s="7"/>
      <c r="AU918" s="7"/>
      <c r="AV918" s="7"/>
      <c r="AW918" s="7"/>
      <c r="AX918" s="7"/>
      <c r="AY918" s="7"/>
      <c r="AZ918" s="7"/>
      <c r="BA918" s="7"/>
      <c r="BB918" s="7"/>
      <c r="BC918" s="7"/>
      <c r="BD918" s="7"/>
      <c r="BE918" s="7"/>
      <c r="BF918" s="7"/>
      <c r="BG918" s="7"/>
    </row>
    <row r="919" customHeight="1" spans="1:59">
      <c r="A919" s="23"/>
      <c r="B919" s="23"/>
      <c r="C919" s="23"/>
      <c r="D919" s="23"/>
      <c r="E919" s="7"/>
      <c r="F919" s="8"/>
      <c r="G919" s="8"/>
      <c r="H919" s="8"/>
      <c r="I919" s="14"/>
      <c r="J919" s="14"/>
      <c r="K919" s="14"/>
      <c r="L919" s="14"/>
      <c r="M919" s="7"/>
      <c r="N919" s="8"/>
      <c r="O919" s="8"/>
      <c r="P919" s="8"/>
      <c r="Q919" s="7"/>
      <c r="R919" s="16"/>
      <c r="S919" s="17"/>
      <c r="T919" s="8"/>
      <c r="U919" s="8"/>
      <c r="V919" s="22"/>
      <c r="W919" s="12"/>
      <c r="X919" s="12"/>
      <c r="Y919" s="12"/>
      <c r="Z919" s="12"/>
      <c r="AA919" s="7"/>
      <c r="AB919" s="12"/>
      <c r="AC919" s="6"/>
      <c r="AD919" s="6"/>
      <c r="AE919" s="7"/>
      <c r="AF919" s="7"/>
      <c r="AG919" s="7"/>
      <c r="AH919" s="7"/>
      <c r="AI919" s="7"/>
      <c r="AJ919" s="7"/>
      <c r="AK919" s="7"/>
      <c r="AL919" s="7"/>
      <c r="AM919" s="7"/>
      <c r="AN919" s="7"/>
      <c r="AO919" s="6"/>
      <c r="AP919" s="7"/>
      <c r="AQ919" s="7"/>
      <c r="AR919" s="6"/>
      <c r="AS919" s="7"/>
      <c r="AT919" s="7"/>
      <c r="AU919" s="7"/>
      <c r="AV919" s="7"/>
      <c r="AW919" s="7"/>
      <c r="AX919" s="7"/>
      <c r="AY919" s="7"/>
      <c r="AZ919" s="7"/>
      <c r="BA919" s="7"/>
      <c r="BB919" s="7"/>
      <c r="BC919" s="7"/>
      <c r="BD919" s="7"/>
      <c r="BE919" s="7"/>
      <c r="BF919" s="7"/>
      <c r="BG919" s="7"/>
    </row>
    <row r="920" customHeight="1" spans="1:59">
      <c r="A920" s="9"/>
      <c r="B920" s="5"/>
      <c r="C920" s="5"/>
      <c r="D920" s="5"/>
      <c r="E920" s="7"/>
      <c r="F920" s="8"/>
      <c r="G920" s="8"/>
      <c r="H920" s="8"/>
      <c r="I920" s="14"/>
      <c r="J920" s="14"/>
      <c r="K920" s="14"/>
      <c r="L920" s="14"/>
      <c r="M920" s="7"/>
      <c r="N920" s="10"/>
      <c r="O920" s="10"/>
      <c r="P920" s="8"/>
      <c r="Q920" s="7"/>
      <c r="R920" s="16"/>
      <c r="S920" s="17"/>
      <c r="T920" s="8"/>
      <c r="U920" s="8"/>
      <c r="V920" s="22"/>
      <c r="W920" s="12"/>
      <c r="X920" s="12"/>
      <c r="Y920" s="12"/>
      <c r="Z920" s="12"/>
      <c r="AA920" s="7"/>
      <c r="AB920" s="12"/>
      <c r="AC920" s="6"/>
      <c r="AD920" s="6"/>
      <c r="AE920" s="7"/>
      <c r="AF920" s="7"/>
      <c r="AG920" s="7"/>
      <c r="AH920" s="7"/>
      <c r="AI920" s="7"/>
      <c r="AJ920" s="7"/>
      <c r="AK920" s="7"/>
      <c r="AL920" s="7"/>
      <c r="AM920" s="7"/>
      <c r="AN920" s="7"/>
      <c r="AO920" s="6"/>
      <c r="AP920" s="7"/>
      <c r="AQ920" s="7"/>
      <c r="AR920" s="6"/>
      <c r="AS920" s="7"/>
      <c r="AT920" s="7"/>
      <c r="AU920" s="7"/>
      <c r="AV920" s="7"/>
      <c r="AW920" s="7"/>
      <c r="AX920" s="7"/>
      <c r="AY920" s="7"/>
      <c r="AZ920" s="7"/>
      <c r="BA920" s="7"/>
      <c r="BB920" s="7"/>
      <c r="BC920" s="7"/>
      <c r="BD920" s="7"/>
      <c r="BE920" s="7"/>
      <c r="BF920" s="7"/>
      <c r="BG920" s="7"/>
    </row>
    <row r="921" customHeight="1" spans="1:59">
      <c r="A921" s="9"/>
      <c r="B921" s="5"/>
      <c r="C921" s="5"/>
      <c r="D921" s="5"/>
      <c r="E921" s="7"/>
      <c r="F921" s="8"/>
      <c r="G921" s="8"/>
      <c r="H921" s="8"/>
      <c r="I921" s="14"/>
      <c r="J921" s="14"/>
      <c r="K921" s="14"/>
      <c r="L921" s="14"/>
      <c r="M921" s="7"/>
      <c r="N921" s="10"/>
      <c r="O921" s="10"/>
      <c r="P921" s="8"/>
      <c r="Q921" s="7"/>
      <c r="R921" s="16"/>
      <c r="S921" s="17"/>
      <c r="T921" s="8"/>
      <c r="U921" s="8"/>
      <c r="V921" s="22"/>
      <c r="W921" s="12"/>
      <c r="X921" s="12"/>
      <c r="Y921" s="12"/>
      <c r="Z921" s="12"/>
      <c r="AA921" s="7"/>
      <c r="AB921" s="12"/>
      <c r="AC921" s="6"/>
      <c r="AD921" s="6"/>
      <c r="AE921" s="7"/>
      <c r="AF921" s="7"/>
      <c r="AG921" s="7"/>
      <c r="AH921" s="7"/>
      <c r="AI921" s="7"/>
      <c r="AJ921" s="7"/>
      <c r="AK921" s="7"/>
      <c r="AL921" s="7"/>
      <c r="AM921" s="7"/>
      <c r="AN921" s="7"/>
      <c r="AO921" s="6"/>
      <c r="AP921" s="7"/>
      <c r="AQ921" s="7"/>
      <c r="AR921" s="6"/>
      <c r="AS921" s="7"/>
      <c r="AT921" s="7"/>
      <c r="AU921" s="7"/>
      <c r="AV921" s="7"/>
      <c r="AW921" s="7"/>
      <c r="AX921" s="7"/>
      <c r="AY921" s="7"/>
      <c r="AZ921" s="7"/>
      <c r="BA921" s="7"/>
      <c r="BB921" s="7"/>
      <c r="BC921" s="7"/>
      <c r="BD921" s="7"/>
      <c r="BE921" s="7"/>
      <c r="BF921" s="7"/>
      <c r="BG921" s="7"/>
    </row>
    <row r="922" customHeight="1" spans="1:59">
      <c r="A922" s="9"/>
      <c r="B922" s="5"/>
      <c r="C922" s="5"/>
      <c r="D922" s="5"/>
      <c r="E922" s="7"/>
      <c r="F922" s="8"/>
      <c r="G922" s="8"/>
      <c r="H922" s="8"/>
      <c r="I922" s="14"/>
      <c r="J922" s="14"/>
      <c r="K922" s="14"/>
      <c r="L922" s="14"/>
      <c r="M922" s="7"/>
      <c r="N922" s="10"/>
      <c r="O922" s="10"/>
      <c r="P922" s="8"/>
      <c r="Q922" s="7"/>
      <c r="R922" s="16"/>
      <c r="S922" s="17"/>
      <c r="T922" s="8"/>
      <c r="U922" s="8"/>
      <c r="V922" s="22"/>
      <c r="W922" s="12"/>
      <c r="X922" s="12"/>
      <c r="Y922" s="12"/>
      <c r="Z922" s="12"/>
      <c r="AA922" s="7"/>
      <c r="AB922" s="12"/>
      <c r="AC922" s="6"/>
      <c r="AD922" s="6"/>
      <c r="AE922" s="7"/>
      <c r="AF922" s="7"/>
      <c r="AG922" s="7"/>
      <c r="AH922" s="7"/>
      <c r="AI922" s="7"/>
      <c r="AJ922" s="7"/>
      <c r="AK922" s="7"/>
      <c r="AL922" s="7"/>
      <c r="AM922" s="7"/>
      <c r="AN922" s="7"/>
      <c r="AO922" s="6"/>
      <c r="AP922" s="7"/>
      <c r="AQ922" s="7"/>
      <c r="AR922" s="6"/>
      <c r="AS922" s="7"/>
      <c r="AT922" s="7"/>
      <c r="AU922" s="7"/>
      <c r="AV922" s="7"/>
      <c r="AW922" s="7"/>
      <c r="AX922" s="7"/>
      <c r="AY922" s="7"/>
      <c r="AZ922" s="7"/>
      <c r="BA922" s="7"/>
      <c r="BB922" s="7"/>
      <c r="BC922" s="7"/>
      <c r="BD922" s="7"/>
      <c r="BE922" s="7"/>
      <c r="BF922" s="7"/>
      <c r="BG922" s="7"/>
    </row>
    <row r="923" customHeight="1" spans="1:59">
      <c r="A923" s="9"/>
      <c r="B923" s="5"/>
      <c r="C923" s="5"/>
      <c r="D923" s="5"/>
      <c r="E923" s="7"/>
      <c r="F923" s="8"/>
      <c r="G923" s="8"/>
      <c r="H923" s="8"/>
      <c r="I923" s="14"/>
      <c r="J923" s="14"/>
      <c r="K923" s="14"/>
      <c r="L923" s="14"/>
      <c r="M923" s="7"/>
      <c r="N923" s="10"/>
      <c r="O923" s="10"/>
      <c r="P923" s="8"/>
      <c r="Q923" s="7"/>
      <c r="R923" s="16"/>
      <c r="S923" s="17"/>
      <c r="T923" s="8"/>
      <c r="U923" s="8"/>
      <c r="V923" s="22"/>
      <c r="W923" s="12"/>
      <c r="X923" s="12"/>
      <c r="Y923" s="12"/>
      <c r="Z923" s="12"/>
      <c r="AA923" s="7"/>
      <c r="AB923" s="12"/>
      <c r="AC923" s="6"/>
      <c r="AD923" s="6"/>
      <c r="AE923" s="7"/>
      <c r="AF923" s="7"/>
      <c r="AG923" s="7"/>
      <c r="AH923" s="7"/>
      <c r="AI923" s="7"/>
      <c r="AJ923" s="7"/>
      <c r="AK923" s="7"/>
      <c r="AL923" s="7"/>
      <c r="AM923" s="7"/>
      <c r="AN923" s="7"/>
      <c r="AO923" s="6"/>
      <c r="AP923" s="7"/>
      <c r="AQ923" s="7"/>
      <c r="AR923" s="6"/>
      <c r="AS923" s="7"/>
      <c r="AT923" s="7"/>
      <c r="AU923" s="7"/>
      <c r="AV923" s="7"/>
      <c r="AW923" s="7"/>
      <c r="AX923" s="7"/>
      <c r="AY923" s="7"/>
      <c r="AZ923" s="7"/>
      <c r="BA923" s="7"/>
      <c r="BB923" s="7"/>
      <c r="BC923" s="7"/>
      <c r="BD923" s="7"/>
      <c r="BE923" s="7"/>
      <c r="BF923" s="7"/>
      <c r="BG923" s="7"/>
    </row>
    <row r="924" customHeight="1" spans="1:59">
      <c r="A924" s="9"/>
      <c r="B924" s="5"/>
      <c r="C924" s="5"/>
      <c r="D924" s="5"/>
      <c r="E924" s="7"/>
      <c r="F924" s="8"/>
      <c r="G924" s="8"/>
      <c r="H924" s="8"/>
      <c r="I924" s="14"/>
      <c r="J924" s="14"/>
      <c r="K924" s="14"/>
      <c r="L924" s="14"/>
      <c r="M924" s="7"/>
      <c r="N924" s="10"/>
      <c r="O924" s="10"/>
      <c r="P924" s="8"/>
      <c r="Q924" s="7"/>
      <c r="R924" s="16"/>
      <c r="S924" s="17"/>
      <c r="T924" s="8"/>
      <c r="U924" s="8"/>
      <c r="V924" s="22"/>
      <c r="W924" s="12"/>
      <c r="X924" s="12"/>
      <c r="Y924" s="12"/>
      <c r="Z924" s="12"/>
      <c r="AA924" s="7"/>
      <c r="AB924" s="12"/>
      <c r="AC924" s="6"/>
      <c r="AD924" s="6"/>
      <c r="AE924" s="7"/>
      <c r="AF924" s="7"/>
      <c r="AG924" s="7"/>
      <c r="AH924" s="7"/>
      <c r="AI924" s="7"/>
      <c r="AJ924" s="7"/>
      <c r="AK924" s="7"/>
      <c r="AL924" s="7"/>
      <c r="AM924" s="7"/>
      <c r="AN924" s="7"/>
      <c r="AO924" s="6"/>
      <c r="AP924" s="7"/>
      <c r="AQ924" s="7"/>
      <c r="AR924" s="6"/>
      <c r="AS924" s="7"/>
      <c r="AT924" s="7"/>
      <c r="AU924" s="7"/>
      <c r="AV924" s="7"/>
      <c r="AW924" s="7"/>
      <c r="AX924" s="7"/>
      <c r="AY924" s="7"/>
      <c r="AZ924" s="7"/>
      <c r="BA924" s="7"/>
      <c r="BB924" s="7"/>
      <c r="BC924" s="7"/>
      <c r="BD924" s="7"/>
      <c r="BE924" s="7"/>
      <c r="BF924" s="7"/>
      <c r="BG924" s="7"/>
    </row>
    <row r="925" customHeight="1" spans="1:59">
      <c r="A925" s="9"/>
      <c r="B925" s="5"/>
      <c r="C925" s="5"/>
      <c r="D925" s="5"/>
      <c r="E925" s="7"/>
      <c r="F925" s="8"/>
      <c r="G925" s="8"/>
      <c r="H925" s="8"/>
      <c r="I925" s="14"/>
      <c r="J925" s="14"/>
      <c r="K925" s="14"/>
      <c r="L925" s="14"/>
      <c r="M925" s="7"/>
      <c r="N925" s="10"/>
      <c r="O925" s="10"/>
      <c r="P925" s="8"/>
      <c r="Q925" s="7"/>
      <c r="R925" s="16"/>
      <c r="S925" s="17"/>
      <c r="T925" s="8"/>
      <c r="U925" s="8"/>
      <c r="V925" s="22"/>
      <c r="W925" s="12"/>
      <c r="X925" s="12"/>
      <c r="Y925" s="12"/>
      <c r="Z925" s="12"/>
      <c r="AA925" s="7"/>
      <c r="AB925" s="12"/>
      <c r="AC925" s="6"/>
      <c r="AD925" s="6"/>
      <c r="AE925" s="7"/>
      <c r="AF925" s="7"/>
      <c r="AG925" s="7"/>
      <c r="AH925" s="7"/>
      <c r="AI925" s="7"/>
      <c r="AJ925" s="7"/>
      <c r="AK925" s="7"/>
      <c r="AL925" s="7"/>
      <c r="AM925" s="7"/>
      <c r="AN925" s="7"/>
      <c r="AO925" s="6"/>
      <c r="AP925" s="7"/>
      <c r="AQ925" s="7"/>
      <c r="AR925" s="6"/>
      <c r="AS925" s="7"/>
      <c r="AT925" s="7"/>
      <c r="AU925" s="7"/>
      <c r="AV925" s="7"/>
      <c r="AW925" s="7"/>
      <c r="AX925" s="7"/>
      <c r="AY925" s="7"/>
      <c r="AZ925" s="7"/>
      <c r="BA925" s="7"/>
      <c r="BB925" s="7"/>
      <c r="BC925" s="7"/>
      <c r="BD925" s="7"/>
      <c r="BE925" s="7"/>
      <c r="BF925" s="7"/>
      <c r="BG925" s="7"/>
    </row>
    <row r="926" customHeight="1" spans="1:59">
      <c r="A926" s="9"/>
      <c r="B926" s="5"/>
      <c r="C926" s="5"/>
      <c r="D926" s="5"/>
      <c r="E926" s="7"/>
      <c r="F926" s="8"/>
      <c r="G926" s="8"/>
      <c r="H926" s="8"/>
      <c r="I926" s="14"/>
      <c r="J926" s="14"/>
      <c r="K926" s="14"/>
      <c r="L926" s="14"/>
      <c r="M926" s="7"/>
      <c r="N926" s="10"/>
      <c r="O926" s="10"/>
      <c r="P926" s="8"/>
      <c r="Q926" s="7"/>
      <c r="R926" s="16"/>
      <c r="S926" s="17"/>
      <c r="T926" s="8"/>
      <c r="U926" s="8"/>
      <c r="V926" s="22"/>
      <c r="W926" s="12"/>
      <c r="X926" s="12"/>
      <c r="Y926" s="12"/>
      <c r="Z926" s="12"/>
      <c r="AA926" s="7"/>
      <c r="AB926" s="12"/>
      <c r="AC926" s="6"/>
      <c r="AD926" s="6"/>
      <c r="AE926" s="7"/>
      <c r="AF926" s="7"/>
      <c r="AG926" s="7"/>
      <c r="AH926" s="7"/>
      <c r="AI926" s="7"/>
      <c r="AJ926" s="7"/>
      <c r="AK926" s="7"/>
      <c r="AL926" s="7"/>
      <c r="AM926" s="7"/>
      <c r="AN926" s="7"/>
      <c r="AO926" s="6"/>
      <c r="AP926" s="7"/>
      <c r="AQ926" s="7"/>
      <c r="AR926" s="6"/>
      <c r="AS926" s="7"/>
      <c r="AT926" s="7"/>
      <c r="AU926" s="7"/>
      <c r="AV926" s="7"/>
      <c r="AW926" s="7"/>
      <c r="AX926" s="7"/>
      <c r="AY926" s="7"/>
      <c r="AZ926" s="7"/>
      <c r="BA926" s="7"/>
      <c r="BB926" s="7"/>
      <c r="BC926" s="7"/>
      <c r="BD926" s="7"/>
      <c r="BE926" s="7"/>
      <c r="BF926" s="7"/>
      <c r="BG926" s="7"/>
    </row>
    <row r="927" customHeight="1" spans="1:59">
      <c r="A927" s="9"/>
      <c r="B927" s="5"/>
      <c r="C927" s="5"/>
      <c r="D927" s="5"/>
      <c r="E927" s="7"/>
      <c r="F927" s="8"/>
      <c r="G927" s="8"/>
      <c r="H927" s="8"/>
      <c r="I927" s="14"/>
      <c r="J927" s="14"/>
      <c r="K927" s="14"/>
      <c r="L927" s="14"/>
      <c r="M927" s="7"/>
      <c r="N927" s="10"/>
      <c r="O927" s="10"/>
      <c r="P927" s="8"/>
      <c r="Q927" s="7"/>
      <c r="R927" s="16"/>
      <c r="S927" s="17"/>
      <c r="T927" s="8"/>
      <c r="U927" s="8"/>
      <c r="V927" s="22"/>
      <c r="W927" s="12"/>
      <c r="X927" s="12"/>
      <c r="Y927" s="12"/>
      <c r="Z927" s="12"/>
      <c r="AA927" s="7"/>
      <c r="AB927" s="12"/>
      <c r="AC927" s="6"/>
      <c r="AD927" s="6"/>
      <c r="AE927" s="7"/>
      <c r="AF927" s="7"/>
      <c r="AG927" s="7"/>
      <c r="AH927" s="7"/>
      <c r="AI927" s="7"/>
      <c r="AJ927" s="7"/>
      <c r="AK927" s="7"/>
      <c r="AL927" s="7"/>
      <c r="AM927" s="7"/>
      <c r="AN927" s="7"/>
      <c r="AO927" s="6"/>
      <c r="AP927" s="7"/>
      <c r="AQ927" s="7"/>
      <c r="AR927" s="6"/>
      <c r="AS927" s="7"/>
      <c r="AT927" s="7"/>
      <c r="AU927" s="7"/>
      <c r="AV927" s="7"/>
      <c r="AW927" s="7"/>
      <c r="AX927" s="7"/>
      <c r="AY927" s="7"/>
      <c r="AZ927" s="7"/>
      <c r="BA927" s="7"/>
      <c r="BB927" s="7"/>
      <c r="BC927" s="7"/>
      <c r="BD927" s="7"/>
      <c r="BE927" s="7"/>
      <c r="BF927" s="7"/>
      <c r="BG927" s="7"/>
    </row>
    <row r="928" customHeight="1" spans="1:59">
      <c r="A928" s="9"/>
      <c r="B928" s="5"/>
      <c r="C928" s="5"/>
      <c r="D928" s="5"/>
      <c r="E928" s="7"/>
      <c r="F928" s="8"/>
      <c r="G928" s="8"/>
      <c r="H928" s="8"/>
      <c r="I928" s="14"/>
      <c r="J928" s="14"/>
      <c r="K928" s="14"/>
      <c r="L928" s="14"/>
      <c r="M928" s="7"/>
      <c r="N928" s="10"/>
      <c r="O928" s="10"/>
      <c r="P928" s="8"/>
      <c r="Q928" s="7"/>
      <c r="R928" s="16"/>
      <c r="S928" s="17"/>
      <c r="T928" s="8"/>
      <c r="U928" s="8"/>
      <c r="V928" s="22"/>
      <c r="W928" s="12"/>
      <c r="X928" s="12"/>
      <c r="Y928" s="12"/>
      <c r="Z928" s="12"/>
      <c r="AA928" s="7"/>
      <c r="AB928" s="12"/>
      <c r="AC928" s="6"/>
      <c r="AD928" s="6"/>
      <c r="AE928" s="7"/>
      <c r="AF928" s="7"/>
      <c r="AG928" s="7"/>
      <c r="AH928" s="7"/>
      <c r="AI928" s="7"/>
      <c r="AJ928" s="7"/>
      <c r="AK928" s="7"/>
      <c r="AL928" s="7"/>
      <c r="AM928" s="7"/>
      <c r="AN928" s="7"/>
      <c r="AO928" s="6"/>
      <c r="AP928" s="7"/>
      <c r="AQ928" s="7"/>
      <c r="AR928" s="6"/>
      <c r="AS928" s="7"/>
      <c r="AT928" s="7"/>
      <c r="AU928" s="7"/>
      <c r="AV928" s="7"/>
      <c r="AW928" s="7"/>
      <c r="AX928" s="7"/>
      <c r="AY928" s="7"/>
      <c r="AZ928" s="7"/>
      <c r="BA928" s="7"/>
      <c r="BB928" s="7"/>
      <c r="BC928" s="7"/>
      <c r="BD928" s="7"/>
      <c r="BE928" s="7"/>
      <c r="BF928" s="7"/>
      <c r="BG928" s="7"/>
    </row>
    <row r="929" customHeight="1" spans="1:59">
      <c r="A929" s="9"/>
      <c r="B929" s="5"/>
      <c r="C929" s="5"/>
      <c r="D929" s="5"/>
      <c r="E929" s="7"/>
      <c r="F929" s="8"/>
      <c r="G929" s="8"/>
      <c r="H929" s="8"/>
      <c r="I929" s="14"/>
      <c r="J929" s="14"/>
      <c r="K929" s="14"/>
      <c r="L929" s="14"/>
      <c r="M929" s="7"/>
      <c r="N929" s="10"/>
      <c r="O929" s="10"/>
      <c r="P929" s="8"/>
      <c r="Q929" s="7"/>
      <c r="R929" s="16"/>
      <c r="S929" s="17"/>
      <c r="T929" s="8"/>
      <c r="U929" s="8"/>
      <c r="V929" s="22"/>
      <c r="W929" s="12"/>
      <c r="X929" s="12"/>
      <c r="Y929" s="12"/>
      <c r="Z929" s="12"/>
      <c r="AA929" s="7"/>
      <c r="AB929" s="12"/>
      <c r="AC929" s="6"/>
      <c r="AD929" s="6"/>
      <c r="AE929" s="7"/>
      <c r="AF929" s="7"/>
      <c r="AG929" s="7"/>
      <c r="AH929" s="7"/>
      <c r="AI929" s="7"/>
      <c r="AJ929" s="7"/>
      <c r="AK929" s="7"/>
      <c r="AL929" s="7"/>
      <c r="AM929" s="7"/>
      <c r="AN929" s="7"/>
      <c r="AO929" s="6"/>
      <c r="AP929" s="7"/>
      <c r="AQ929" s="7"/>
      <c r="AR929" s="6"/>
      <c r="AS929" s="7"/>
      <c r="AT929" s="7"/>
      <c r="AU929" s="7"/>
      <c r="AV929" s="7"/>
      <c r="AW929" s="7"/>
      <c r="AX929" s="7"/>
      <c r="AY929" s="7"/>
      <c r="AZ929" s="7"/>
      <c r="BA929" s="7"/>
      <c r="BB929" s="7"/>
      <c r="BC929" s="7"/>
      <c r="BD929" s="7"/>
      <c r="BE929" s="7"/>
      <c r="BF929" s="7"/>
      <c r="BG929" s="7"/>
    </row>
    <row r="930" customHeight="1" spans="1:59">
      <c r="A930" s="9"/>
      <c r="B930" s="5"/>
      <c r="C930" s="5"/>
      <c r="D930" s="5"/>
      <c r="E930" s="7"/>
      <c r="F930" s="8"/>
      <c r="G930" s="8"/>
      <c r="H930" s="8"/>
      <c r="I930" s="14"/>
      <c r="J930" s="14"/>
      <c r="K930" s="14"/>
      <c r="L930" s="14"/>
      <c r="M930" s="7"/>
      <c r="N930" s="10"/>
      <c r="O930" s="10"/>
      <c r="P930" s="8"/>
      <c r="Q930" s="7"/>
      <c r="R930" s="16"/>
      <c r="S930" s="17"/>
      <c r="T930" s="8"/>
      <c r="U930" s="8"/>
      <c r="V930" s="22"/>
      <c r="W930" s="12"/>
      <c r="X930" s="12"/>
      <c r="Y930" s="12"/>
      <c r="Z930" s="12"/>
      <c r="AA930" s="7"/>
      <c r="AB930" s="12"/>
      <c r="AC930" s="6"/>
      <c r="AD930" s="6"/>
      <c r="AE930" s="7"/>
      <c r="AF930" s="7"/>
      <c r="AG930" s="7"/>
      <c r="AH930" s="7"/>
      <c r="AI930" s="7"/>
      <c r="AJ930" s="7"/>
      <c r="AK930" s="7"/>
      <c r="AL930" s="7"/>
      <c r="AM930" s="7"/>
      <c r="AN930" s="7"/>
      <c r="AO930" s="6"/>
      <c r="AP930" s="7"/>
      <c r="AQ930" s="7"/>
      <c r="AR930" s="6"/>
      <c r="AS930" s="7"/>
      <c r="AT930" s="7"/>
      <c r="AU930" s="7"/>
      <c r="AV930" s="7"/>
      <c r="AW930" s="7"/>
      <c r="AX930" s="7"/>
      <c r="AY930" s="7"/>
      <c r="AZ930" s="7"/>
      <c r="BA930" s="7"/>
      <c r="BB930" s="7"/>
      <c r="BC930" s="7"/>
      <c r="BD930" s="7"/>
      <c r="BE930" s="7"/>
      <c r="BF930" s="7"/>
      <c r="BG930" s="7"/>
    </row>
    <row r="931" customHeight="1" spans="1:59">
      <c r="A931" s="9"/>
      <c r="B931" s="5"/>
      <c r="C931" s="23"/>
      <c r="D931" s="5"/>
      <c r="E931" s="7"/>
      <c r="F931" s="8"/>
      <c r="G931" s="8"/>
      <c r="H931" s="8"/>
      <c r="I931" s="14"/>
      <c r="J931" s="14"/>
      <c r="K931" s="14"/>
      <c r="L931" s="14"/>
      <c r="M931" s="7"/>
      <c r="N931" s="10"/>
      <c r="O931" s="10"/>
      <c r="P931" s="8"/>
      <c r="Q931" s="7"/>
      <c r="R931" s="16"/>
      <c r="S931" s="17"/>
      <c r="T931" s="8"/>
      <c r="U931" s="8"/>
      <c r="V931" s="22"/>
      <c r="W931" s="12"/>
      <c r="X931" s="12"/>
      <c r="Y931" s="12"/>
      <c r="Z931" s="12"/>
      <c r="AA931" s="7"/>
      <c r="AB931" s="12"/>
      <c r="AC931" s="6"/>
      <c r="AD931" s="6"/>
      <c r="AE931" s="7"/>
      <c r="AF931" s="7"/>
      <c r="AG931" s="7"/>
      <c r="AH931" s="7"/>
      <c r="AI931" s="7"/>
      <c r="AJ931" s="7"/>
      <c r="AK931" s="7"/>
      <c r="AL931" s="7"/>
      <c r="AM931" s="7"/>
      <c r="AN931" s="7"/>
      <c r="AO931" s="6"/>
      <c r="AP931" s="7"/>
      <c r="AQ931" s="7"/>
      <c r="AR931" s="6"/>
      <c r="AS931" s="7"/>
      <c r="AT931" s="7"/>
      <c r="AU931" s="7"/>
      <c r="AV931" s="7"/>
      <c r="AW931" s="7"/>
      <c r="AX931" s="7"/>
      <c r="AY931" s="7"/>
      <c r="AZ931" s="7"/>
      <c r="BA931" s="7"/>
      <c r="BB931" s="7"/>
      <c r="BC931" s="7"/>
      <c r="BD931" s="7"/>
      <c r="BE931" s="7"/>
      <c r="BF931" s="7"/>
      <c r="BG931" s="7"/>
    </row>
    <row r="932" customHeight="1" spans="1:59">
      <c r="A932" s="9"/>
      <c r="B932" s="5"/>
      <c r="C932" s="23"/>
      <c r="D932" s="5"/>
      <c r="E932" s="7"/>
      <c r="F932" s="8"/>
      <c r="G932" s="8"/>
      <c r="H932" s="8"/>
      <c r="I932" s="14"/>
      <c r="J932" s="14"/>
      <c r="K932" s="14"/>
      <c r="L932" s="14"/>
      <c r="M932" s="7"/>
      <c r="N932" s="10"/>
      <c r="O932" s="10"/>
      <c r="P932" s="8"/>
      <c r="Q932" s="7"/>
      <c r="R932" s="16"/>
      <c r="S932" s="17"/>
      <c r="T932" s="8"/>
      <c r="U932" s="8"/>
      <c r="V932" s="22"/>
      <c r="W932" s="12"/>
      <c r="X932" s="12"/>
      <c r="Y932" s="12"/>
      <c r="Z932" s="12"/>
      <c r="AA932" s="7"/>
      <c r="AB932" s="12"/>
      <c r="AC932" s="6"/>
      <c r="AD932" s="6"/>
      <c r="AE932" s="7"/>
      <c r="AF932" s="7"/>
      <c r="AG932" s="7"/>
      <c r="AH932" s="7"/>
      <c r="AI932" s="7"/>
      <c r="AJ932" s="7"/>
      <c r="AK932" s="7"/>
      <c r="AL932" s="7"/>
      <c r="AM932" s="7"/>
      <c r="AN932" s="7"/>
      <c r="AO932" s="6"/>
      <c r="AP932" s="7"/>
      <c r="AQ932" s="7"/>
      <c r="AR932" s="6"/>
      <c r="AS932" s="7"/>
      <c r="AT932" s="7"/>
      <c r="AU932" s="7"/>
      <c r="AV932" s="7"/>
      <c r="AW932" s="7"/>
      <c r="AX932" s="7"/>
      <c r="AY932" s="7"/>
      <c r="AZ932" s="7"/>
      <c r="BA932" s="7"/>
      <c r="BB932" s="7"/>
      <c r="BC932" s="7"/>
      <c r="BD932" s="7"/>
      <c r="BE932" s="7"/>
      <c r="BF932" s="7"/>
      <c r="BG932" s="7"/>
    </row>
    <row r="933" customHeight="1" spans="1:59">
      <c r="A933" s="9"/>
      <c r="B933" s="5"/>
      <c r="C933" s="23"/>
      <c r="D933" s="5"/>
      <c r="E933" s="7"/>
      <c r="F933" s="8"/>
      <c r="G933" s="8"/>
      <c r="H933" s="8"/>
      <c r="I933" s="14"/>
      <c r="J933" s="14"/>
      <c r="K933" s="14"/>
      <c r="L933" s="14"/>
      <c r="M933" s="7"/>
      <c r="N933" s="10"/>
      <c r="O933" s="10"/>
      <c r="P933" s="8"/>
      <c r="Q933" s="7"/>
      <c r="R933" s="16"/>
      <c r="S933" s="17"/>
      <c r="T933" s="8"/>
      <c r="U933" s="8"/>
      <c r="V933" s="22"/>
      <c r="W933" s="12"/>
      <c r="X933" s="12"/>
      <c r="Y933" s="12"/>
      <c r="Z933" s="12"/>
      <c r="AA933" s="7"/>
      <c r="AB933" s="12"/>
      <c r="AC933" s="6"/>
      <c r="AD933" s="6"/>
      <c r="AE933" s="7"/>
      <c r="AF933" s="7"/>
      <c r="AG933" s="7"/>
      <c r="AH933" s="7"/>
      <c r="AI933" s="7"/>
      <c r="AJ933" s="7"/>
      <c r="AK933" s="7"/>
      <c r="AL933" s="7"/>
      <c r="AM933" s="7"/>
      <c r="AN933" s="7"/>
      <c r="AO933" s="6"/>
      <c r="AP933" s="7"/>
      <c r="AQ933" s="7"/>
      <c r="AR933" s="6"/>
      <c r="AS933" s="7"/>
      <c r="AT933" s="7"/>
      <c r="AU933" s="7"/>
      <c r="AV933" s="7"/>
      <c r="AW933" s="7"/>
      <c r="AX933" s="7"/>
      <c r="AY933" s="7"/>
      <c r="AZ933" s="7"/>
      <c r="BA933" s="7"/>
      <c r="BB933" s="7"/>
      <c r="BC933" s="7"/>
      <c r="BD933" s="7"/>
      <c r="BE933" s="7"/>
      <c r="BF933" s="7"/>
      <c r="BG933" s="7"/>
    </row>
    <row r="934" customHeight="1" spans="1:59">
      <c r="A934" s="9"/>
      <c r="B934" s="5"/>
      <c r="C934" s="23"/>
      <c r="D934" s="5"/>
      <c r="E934" s="7"/>
      <c r="F934" s="8"/>
      <c r="G934" s="8"/>
      <c r="H934" s="8"/>
      <c r="I934" s="14"/>
      <c r="J934" s="14"/>
      <c r="K934" s="14"/>
      <c r="L934" s="14"/>
      <c r="M934" s="7"/>
      <c r="N934" s="10"/>
      <c r="O934" s="10"/>
      <c r="P934" s="8"/>
      <c r="Q934" s="7"/>
      <c r="R934" s="16"/>
      <c r="S934" s="17"/>
      <c r="T934" s="8"/>
      <c r="U934" s="8"/>
      <c r="V934" s="22"/>
      <c r="W934" s="12"/>
      <c r="X934" s="12"/>
      <c r="Y934" s="12"/>
      <c r="Z934" s="12"/>
      <c r="AA934" s="7"/>
      <c r="AB934" s="12"/>
      <c r="AC934" s="6"/>
      <c r="AD934" s="6"/>
      <c r="AE934" s="7"/>
      <c r="AF934" s="7"/>
      <c r="AG934" s="7"/>
      <c r="AH934" s="7"/>
      <c r="AI934" s="7"/>
      <c r="AJ934" s="7"/>
      <c r="AK934" s="7"/>
      <c r="AL934" s="7"/>
      <c r="AM934" s="7"/>
      <c r="AN934" s="7"/>
      <c r="AO934" s="6"/>
      <c r="AP934" s="7"/>
      <c r="AQ934" s="7"/>
      <c r="AR934" s="6"/>
      <c r="AS934" s="7"/>
      <c r="AT934" s="7"/>
      <c r="AU934" s="7"/>
      <c r="AV934" s="7"/>
      <c r="AW934" s="7"/>
      <c r="AX934" s="7"/>
      <c r="AY934" s="7"/>
      <c r="AZ934" s="7"/>
      <c r="BA934" s="7"/>
      <c r="BB934" s="7"/>
      <c r="BC934" s="7"/>
      <c r="BD934" s="7"/>
      <c r="BE934" s="7"/>
      <c r="BF934" s="7"/>
      <c r="BG934" s="7"/>
    </row>
    <row r="935" customHeight="1" spans="1:59">
      <c r="A935" s="9"/>
      <c r="B935" s="5"/>
      <c r="C935" s="5"/>
      <c r="D935" s="5"/>
      <c r="E935" s="7"/>
      <c r="F935" s="11"/>
      <c r="G935" s="11"/>
      <c r="H935" s="11"/>
      <c r="I935" s="15"/>
      <c r="J935" s="15"/>
      <c r="K935" s="15"/>
      <c r="L935" s="15"/>
      <c r="M935" s="7"/>
      <c r="N935" s="10"/>
      <c r="O935" s="10"/>
      <c r="P935" s="8"/>
      <c r="Q935" s="7"/>
      <c r="R935" s="16"/>
      <c r="S935" s="17"/>
      <c r="T935" s="8"/>
      <c r="U935" s="8"/>
      <c r="V935" s="22"/>
      <c r="W935" s="12"/>
      <c r="X935" s="12"/>
      <c r="Y935" s="12"/>
      <c r="Z935" s="12"/>
      <c r="AA935" s="7"/>
      <c r="AB935" s="12"/>
      <c r="AC935" s="6"/>
      <c r="AD935" s="6"/>
      <c r="AE935" s="7"/>
      <c r="AF935" s="7"/>
      <c r="AG935" s="7"/>
      <c r="AH935" s="7"/>
      <c r="AI935" s="7"/>
      <c r="AJ935" s="7"/>
      <c r="AK935" s="7"/>
      <c r="AL935" s="7"/>
      <c r="AM935" s="7"/>
      <c r="AN935" s="7"/>
      <c r="AO935" s="6"/>
      <c r="AP935" s="7"/>
      <c r="AQ935" s="7"/>
      <c r="AR935" s="6"/>
      <c r="AS935" s="7"/>
      <c r="AT935" s="7"/>
      <c r="AU935" s="7"/>
      <c r="AV935" s="7"/>
      <c r="AW935" s="7"/>
      <c r="AX935" s="7"/>
      <c r="AY935" s="7"/>
      <c r="AZ935" s="7"/>
      <c r="BA935" s="7"/>
      <c r="BB935" s="7"/>
      <c r="BC935" s="7"/>
      <c r="BD935" s="7"/>
      <c r="BE935" s="7"/>
      <c r="BF935" s="7"/>
      <c r="BG935" s="7"/>
    </row>
    <row r="936" customHeight="1" spans="1:59">
      <c r="A936" s="9"/>
      <c r="B936" s="5"/>
      <c r="C936" s="5"/>
      <c r="D936" s="5"/>
      <c r="E936" s="7"/>
      <c r="F936" s="11"/>
      <c r="G936" s="11"/>
      <c r="H936" s="11"/>
      <c r="I936" s="15"/>
      <c r="J936" s="15"/>
      <c r="K936" s="15"/>
      <c r="L936" s="15"/>
      <c r="M936" s="7"/>
      <c r="N936" s="10"/>
      <c r="O936" s="10"/>
      <c r="P936" s="8"/>
      <c r="Q936" s="7"/>
      <c r="R936" s="16"/>
      <c r="S936" s="17"/>
      <c r="T936" s="8"/>
      <c r="U936" s="8"/>
      <c r="V936" s="22"/>
      <c r="W936" s="12"/>
      <c r="X936" s="12"/>
      <c r="Y936" s="12"/>
      <c r="Z936" s="12"/>
      <c r="AA936" s="7"/>
      <c r="AB936" s="12"/>
      <c r="AC936" s="6"/>
      <c r="AD936" s="6"/>
      <c r="AE936" s="7"/>
      <c r="AF936" s="7"/>
      <c r="AG936" s="7"/>
      <c r="AH936" s="7"/>
      <c r="AI936" s="7"/>
      <c r="AJ936" s="7"/>
      <c r="AK936" s="7"/>
      <c r="AL936" s="7"/>
      <c r="AM936" s="7"/>
      <c r="AN936" s="7"/>
      <c r="AO936" s="6"/>
      <c r="AP936" s="7"/>
      <c r="AQ936" s="7"/>
      <c r="AR936" s="6"/>
      <c r="AS936" s="7"/>
      <c r="AT936" s="7"/>
      <c r="AU936" s="7"/>
      <c r="AV936" s="7"/>
      <c r="AW936" s="7"/>
      <c r="AX936" s="7"/>
      <c r="AY936" s="7"/>
      <c r="AZ936" s="7"/>
      <c r="BA936" s="7"/>
      <c r="BB936" s="7"/>
      <c r="BC936" s="7"/>
      <c r="BD936" s="7"/>
      <c r="BE936" s="7"/>
      <c r="BF936" s="7"/>
      <c r="BG936" s="7"/>
    </row>
    <row r="937" customHeight="1" spans="1:59">
      <c r="A937" s="9"/>
      <c r="B937" s="5"/>
      <c r="C937" s="5"/>
      <c r="D937" s="5"/>
      <c r="E937" s="7"/>
      <c r="F937" s="11"/>
      <c r="G937" s="11"/>
      <c r="H937" s="11"/>
      <c r="I937" s="15"/>
      <c r="J937" s="15"/>
      <c r="K937" s="15"/>
      <c r="L937" s="15"/>
      <c r="M937" s="7"/>
      <c r="N937" s="10"/>
      <c r="O937" s="10"/>
      <c r="P937" s="8"/>
      <c r="Q937" s="7"/>
      <c r="R937" s="16"/>
      <c r="S937" s="17"/>
      <c r="T937" s="8"/>
      <c r="U937" s="8"/>
      <c r="V937" s="22"/>
      <c r="W937" s="12"/>
      <c r="X937" s="12"/>
      <c r="Y937" s="12"/>
      <c r="Z937" s="12"/>
      <c r="AA937" s="7"/>
      <c r="AB937" s="12"/>
      <c r="AC937" s="6"/>
      <c r="AD937" s="6"/>
      <c r="AE937" s="7"/>
      <c r="AF937" s="7"/>
      <c r="AG937" s="7"/>
      <c r="AH937" s="7"/>
      <c r="AI937" s="7"/>
      <c r="AJ937" s="7"/>
      <c r="AK937" s="7"/>
      <c r="AL937" s="7"/>
      <c r="AM937" s="7"/>
      <c r="AN937" s="7"/>
      <c r="AO937" s="6"/>
      <c r="AP937" s="7"/>
      <c r="AQ937" s="7"/>
      <c r="AR937" s="6"/>
      <c r="AS937" s="7"/>
      <c r="AT937" s="7"/>
      <c r="AU937" s="7"/>
      <c r="AV937" s="7"/>
      <c r="AW937" s="7"/>
      <c r="AX937" s="7"/>
      <c r="AY937" s="7"/>
      <c r="AZ937" s="7"/>
      <c r="BA937" s="7"/>
      <c r="BB937" s="7"/>
      <c r="BC937" s="7"/>
      <c r="BD937" s="7"/>
      <c r="BE937" s="7"/>
      <c r="BF937" s="7"/>
      <c r="BG937" s="7"/>
    </row>
    <row r="938" customHeight="1" spans="1:59">
      <c r="A938" s="9"/>
      <c r="B938" s="5"/>
      <c r="C938" s="5"/>
      <c r="D938" s="5"/>
      <c r="E938" s="7"/>
      <c r="F938" s="11"/>
      <c r="G938" s="11"/>
      <c r="H938" s="11"/>
      <c r="I938" s="15"/>
      <c r="J938" s="15"/>
      <c r="K938" s="15"/>
      <c r="L938" s="15"/>
      <c r="M938" s="7"/>
      <c r="N938" s="10"/>
      <c r="O938" s="10"/>
      <c r="P938" s="8"/>
      <c r="Q938" s="7"/>
      <c r="R938" s="16"/>
      <c r="S938" s="17"/>
      <c r="T938" s="8"/>
      <c r="U938" s="8"/>
      <c r="V938" s="22"/>
      <c r="W938" s="12"/>
      <c r="X938" s="12"/>
      <c r="Y938" s="12"/>
      <c r="Z938" s="12"/>
      <c r="AA938" s="7"/>
      <c r="AB938" s="12"/>
      <c r="AC938" s="6"/>
      <c r="AD938" s="6"/>
      <c r="AE938" s="7"/>
      <c r="AF938" s="7"/>
      <c r="AG938" s="7"/>
      <c r="AH938" s="7"/>
      <c r="AI938" s="7"/>
      <c r="AJ938" s="7"/>
      <c r="AK938" s="7"/>
      <c r="AL938" s="7"/>
      <c r="AM938" s="7"/>
      <c r="AN938" s="7"/>
      <c r="AO938" s="6"/>
      <c r="AP938" s="7"/>
      <c r="AQ938" s="7"/>
      <c r="AR938" s="6"/>
      <c r="AS938" s="7"/>
      <c r="AT938" s="7"/>
      <c r="AU938" s="7"/>
      <c r="AV938" s="7"/>
      <c r="AW938" s="7"/>
      <c r="AX938" s="7"/>
      <c r="AY938" s="7"/>
      <c r="AZ938" s="7"/>
      <c r="BA938" s="7"/>
      <c r="BB938" s="7"/>
      <c r="BC938" s="7"/>
      <c r="BD938" s="7"/>
      <c r="BE938" s="7"/>
      <c r="BF938" s="7"/>
      <c r="BG938" s="7"/>
    </row>
    <row r="939" customHeight="1" spans="1:59">
      <c r="A939" s="9"/>
      <c r="B939" s="5"/>
      <c r="C939" s="5"/>
      <c r="D939" s="5"/>
      <c r="E939" s="7"/>
      <c r="F939" s="11"/>
      <c r="G939" s="11"/>
      <c r="H939" s="11"/>
      <c r="I939" s="15"/>
      <c r="J939" s="15"/>
      <c r="K939" s="15"/>
      <c r="L939" s="15"/>
      <c r="M939" s="7"/>
      <c r="N939" s="10"/>
      <c r="O939" s="10"/>
      <c r="P939" s="8"/>
      <c r="Q939" s="7"/>
      <c r="R939" s="16"/>
      <c r="S939" s="17"/>
      <c r="T939" s="8"/>
      <c r="U939" s="8"/>
      <c r="V939" s="22"/>
      <c r="W939" s="12"/>
      <c r="X939" s="12"/>
      <c r="Y939" s="12"/>
      <c r="Z939" s="12"/>
      <c r="AA939" s="7"/>
      <c r="AB939" s="12"/>
      <c r="AC939" s="6"/>
      <c r="AD939" s="6"/>
      <c r="AE939" s="7"/>
      <c r="AF939" s="7"/>
      <c r="AG939" s="7"/>
      <c r="AH939" s="7"/>
      <c r="AI939" s="7"/>
      <c r="AJ939" s="7"/>
      <c r="AK939" s="7"/>
      <c r="AL939" s="7"/>
      <c r="AM939" s="7"/>
      <c r="AN939" s="7"/>
      <c r="AO939" s="6"/>
      <c r="AP939" s="7"/>
      <c r="AQ939" s="7"/>
      <c r="AR939" s="6"/>
      <c r="AS939" s="7"/>
      <c r="AT939" s="7"/>
      <c r="AU939" s="7"/>
      <c r="AV939" s="7"/>
      <c r="AW939" s="7"/>
      <c r="AX939" s="7"/>
      <c r="AY939" s="7"/>
      <c r="AZ939" s="7"/>
      <c r="BA939" s="7"/>
      <c r="BB939" s="7"/>
      <c r="BC939" s="7"/>
      <c r="BD939" s="7"/>
      <c r="BE939" s="7"/>
      <c r="BF939" s="7"/>
      <c r="BG939" s="7"/>
    </row>
    <row r="940" customHeight="1" spans="1:59">
      <c r="A940" s="9"/>
      <c r="B940" s="5"/>
      <c r="C940" s="5"/>
      <c r="D940" s="5"/>
      <c r="E940" s="7"/>
      <c r="F940" s="11"/>
      <c r="G940" s="11"/>
      <c r="H940" s="11"/>
      <c r="I940" s="15"/>
      <c r="J940" s="15"/>
      <c r="K940" s="15"/>
      <c r="L940" s="15"/>
      <c r="M940" s="7"/>
      <c r="N940" s="10"/>
      <c r="O940" s="10"/>
      <c r="P940" s="8"/>
      <c r="Q940" s="7"/>
      <c r="R940" s="16"/>
      <c r="S940" s="17"/>
      <c r="T940" s="8"/>
      <c r="U940" s="8"/>
      <c r="V940" s="22"/>
      <c r="W940" s="12"/>
      <c r="X940" s="12"/>
      <c r="Y940" s="12"/>
      <c r="Z940" s="12"/>
      <c r="AA940" s="7"/>
      <c r="AB940" s="12"/>
      <c r="AC940" s="6"/>
      <c r="AD940" s="6"/>
      <c r="AE940" s="7"/>
      <c r="AF940" s="7"/>
      <c r="AG940" s="7"/>
      <c r="AH940" s="7"/>
      <c r="AI940" s="7"/>
      <c r="AJ940" s="7"/>
      <c r="AK940" s="7"/>
      <c r="AL940" s="7"/>
      <c r="AM940" s="7"/>
      <c r="AN940" s="7"/>
      <c r="AO940" s="6"/>
      <c r="AP940" s="7"/>
      <c r="AQ940" s="7"/>
      <c r="AR940" s="6"/>
      <c r="AS940" s="7"/>
      <c r="AT940" s="7"/>
      <c r="AU940" s="7"/>
      <c r="AV940" s="7"/>
      <c r="AW940" s="7"/>
      <c r="AX940" s="7"/>
      <c r="AY940" s="7"/>
      <c r="AZ940" s="7"/>
      <c r="BA940" s="7"/>
      <c r="BB940" s="7"/>
      <c r="BC940" s="7"/>
      <c r="BD940" s="7"/>
      <c r="BE940" s="7"/>
      <c r="BF940" s="7"/>
      <c r="BG940" s="7"/>
    </row>
    <row r="941" customHeight="1" spans="1:59">
      <c r="A941" s="9"/>
      <c r="B941" s="5"/>
      <c r="C941" s="5"/>
      <c r="D941" s="5"/>
      <c r="E941" s="7"/>
      <c r="F941" s="11"/>
      <c r="G941" s="11"/>
      <c r="H941" s="11"/>
      <c r="I941" s="15"/>
      <c r="J941" s="15"/>
      <c r="K941" s="15"/>
      <c r="L941" s="15"/>
      <c r="M941" s="7"/>
      <c r="N941" s="10"/>
      <c r="O941" s="10"/>
      <c r="P941" s="8"/>
      <c r="Q941" s="7"/>
      <c r="R941" s="16"/>
      <c r="S941" s="17"/>
      <c r="T941" s="8"/>
      <c r="U941" s="8"/>
      <c r="V941" s="22"/>
      <c r="W941" s="12"/>
      <c r="X941" s="12"/>
      <c r="Y941" s="12"/>
      <c r="Z941" s="12"/>
      <c r="AA941" s="7"/>
      <c r="AB941" s="12"/>
      <c r="AC941" s="6"/>
      <c r="AD941" s="6"/>
      <c r="AE941" s="7"/>
      <c r="AF941" s="7"/>
      <c r="AG941" s="7"/>
      <c r="AH941" s="7"/>
      <c r="AI941" s="7"/>
      <c r="AJ941" s="7"/>
      <c r="AK941" s="7"/>
      <c r="AL941" s="7"/>
      <c r="AM941" s="7"/>
      <c r="AN941" s="7"/>
      <c r="AO941" s="6"/>
      <c r="AP941" s="7"/>
      <c r="AQ941" s="7"/>
      <c r="AR941" s="6"/>
      <c r="AS941" s="7"/>
      <c r="AT941" s="7"/>
      <c r="AU941" s="7"/>
      <c r="AV941" s="7"/>
      <c r="AW941" s="7"/>
      <c r="AX941" s="7"/>
      <c r="AY941" s="7"/>
      <c r="AZ941" s="7"/>
      <c r="BA941" s="7"/>
      <c r="BB941" s="7"/>
      <c r="BC941" s="7"/>
      <c r="BD941" s="7"/>
      <c r="BE941" s="7"/>
      <c r="BF941" s="7"/>
      <c r="BG941" s="7"/>
    </row>
    <row r="942" customHeight="1" spans="1:59">
      <c r="A942" s="9"/>
      <c r="B942" s="5"/>
      <c r="C942" s="5"/>
      <c r="D942" s="5"/>
      <c r="E942" s="7"/>
      <c r="F942" s="11"/>
      <c r="G942" s="11"/>
      <c r="H942" s="11"/>
      <c r="I942" s="15"/>
      <c r="J942" s="15"/>
      <c r="K942" s="15"/>
      <c r="L942" s="15"/>
      <c r="M942" s="7"/>
      <c r="N942" s="10"/>
      <c r="O942" s="10"/>
      <c r="P942" s="8"/>
      <c r="Q942" s="7"/>
      <c r="R942" s="16"/>
      <c r="S942" s="17"/>
      <c r="T942" s="8"/>
      <c r="U942" s="8"/>
      <c r="V942" s="22"/>
      <c r="W942" s="12"/>
      <c r="X942" s="12"/>
      <c r="Y942" s="12"/>
      <c r="Z942" s="12"/>
      <c r="AA942" s="7"/>
      <c r="AB942" s="12"/>
      <c r="AC942" s="6"/>
      <c r="AD942" s="6"/>
      <c r="AE942" s="7"/>
      <c r="AF942" s="7"/>
      <c r="AG942" s="7"/>
      <c r="AH942" s="7"/>
      <c r="AI942" s="7"/>
      <c r="AJ942" s="7"/>
      <c r="AK942" s="7"/>
      <c r="AL942" s="7"/>
      <c r="AM942" s="7"/>
      <c r="AN942" s="7"/>
      <c r="AO942" s="6"/>
      <c r="AP942" s="7"/>
      <c r="AQ942" s="7"/>
      <c r="AR942" s="6"/>
      <c r="AS942" s="7"/>
      <c r="AT942" s="7"/>
      <c r="AU942" s="7"/>
      <c r="AV942" s="7"/>
      <c r="AW942" s="7"/>
      <c r="AX942" s="7"/>
      <c r="AY942" s="7"/>
      <c r="AZ942" s="7"/>
      <c r="BA942" s="7"/>
      <c r="BB942" s="7"/>
      <c r="BC942" s="7"/>
      <c r="BD942" s="7"/>
      <c r="BE942" s="7"/>
      <c r="BF942" s="7"/>
      <c r="BG942" s="7"/>
    </row>
    <row r="943" customHeight="1" spans="1:59">
      <c r="A943" s="9"/>
      <c r="B943" s="5"/>
      <c r="C943" s="5"/>
      <c r="D943" s="5"/>
      <c r="E943" s="7"/>
      <c r="F943" s="11"/>
      <c r="G943" s="11"/>
      <c r="H943" s="11"/>
      <c r="I943" s="15"/>
      <c r="J943" s="15"/>
      <c r="K943" s="15"/>
      <c r="L943" s="15"/>
      <c r="M943" s="7"/>
      <c r="N943" s="10"/>
      <c r="O943" s="10"/>
      <c r="P943" s="8"/>
      <c r="Q943" s="7"/>
      <c r="R943" s="16"/>
      <c r="S943" s="17"/>
      <c r="T943" s="8"/>
      <c r="U943" s="8"/>
      <c r="V943" s="22"/>
      <c r="W943" s="12"/>
      <c r="X943" s="12"/>
      <c r="Y943" s="12"/>
      <c r="Z943" s="12"/>
      <c r="AA943" s="7"/>
      <c r="AB943" s="12"/>
      <c r="AC943" s="6"/>
      <c r="AD943" s="6"/>
      <c r="AE943" s="7"/>
      <c r="AF943" s="7"/>
      <c r="AG943" s="7"/>
      <c r="AH943" s="7"/>
      <c r="AI943" s="7"/>
      <c r="AJ943" s="7"/>
      <c r="AK943" s="7"/>
      <c r="AL943" s="7"/>
      <c r="AM943" s="7"/>
      <c r="AN943" s="7"/>
      <c r="AO943" s="6"/>
      <c r="AP943" s="7"/>
      <c r="AQ943" s="7"/>
      <c r="AR943" s="6"/>
      <c r="AS943" s="7"/>
      <c r="AT943" s="7"/>
      <c r="AU943" s="7"/>
      <c r="AV943" s="7"/>
      <c r="AW943" s="7"/>
      <c r="AX943" s="7"/>
      <c r="AY943" s="7"/>
      <c r="AZ943" s="7"/>
      <c r="BA943" s="7"/>
      <c r="BB943" s="7"/>
      <c r="BC943" s="7"/>
      <c r="BD943" s="7"/>
      <c r="BE943" s="7"/>
      <c r="BF943" s="7"/>
      <c r="BG943" s="7"/>
    </row>
    <row r="944" customHeight="1" spans="1:59">
      <c r="A944" s="9"/>
      <c r="B944" s="5"/>
      <c r="C944" s="5"/>
      <c r="D944" s="5"/>
      <c r="E944" s="7"/>
      <c r="F944" s="11"/>
      <c r="G944" s="11"/>
      <c r="H944" s="11"/>
      <c r="I944" s="15"/>
      <c r="J944" s="15"/>
      <c r="K944" s="15"/>
      <c r="L944" s="15"/>
      <c r="M944" s="7"/>
      <c r="N944" s="10"/>
      <c r="O944" s="10"/>
      <c r="P944" s="8"/>
      <c r="Q944" s="7"/>
      <c r="R944" s="16"/>
      <c r="S944" s="17"/>
      <c r="T944" s="8"/>
      <c r="U944" s="8"/>
      <c r="V944" s="22"/>
      <c r="W944" s="12"/>
      <c r="X944" s="12"/>
      <c r="Y944" s="12"/>
      <c r="Z944" s="12"/>
      <c r="AA944" s="7"/>
      <c r="AB944" s="12"/>
      <c r="AC944" s="6"/>
      <c r="AD944" s="6"/>
      <c r="AE944" s="7"/>
      <c r="AF944" s="7"/>
      <c r="AG944" s="7"/>
      <c r="AH944" s="7"/>
      <c r="AI944" s="7"/>
      <c r="AJ944" s="7"/>
      <c r="AK944" s="7"/>
      <c r="AL944" s="7"/>
      <c r="AM944" s="7"/>
      <c r="AN944" s="7"/>
      <c r="AO944" s="6"/>
      <c r="AP944" s="7"/>
      <c r="AQ944" s="7"/>
      <c r="AR944" s="6"/>
      <c r="AS944" s="7"/>
      <c r="AT944" s="7"/>
      <c r="AU944" s="7"/>
      <c r="AV944" s="7"/>
      <c r="AW944" s="7"/>
      <c r="AX944" s="7"/>
      <c r="AY944" s="7"/>
      <c r="AZ944" s="7"/>
      <c r="BA944" s="7"/>
      <c r="BB944" s="7"/>
      <c r="BC944" s="7"/>
      <c r="BD944" s="7"/>
      <c r="BE944" s="7"/>
      <c r="BF944" s="7"/>
      <c r="BG944" s="7"/>
    </row>
    <row r="945" customHeight="1" spans="1:59">
      <c r="A945" s="9"/>
      <c r="B945" s="5"/>
      <c r="C945" s="5"/>
      <c r="D945" s="5"/>
      <c r="E945" s="7"/>
      <c r="F945" s="11"/>
      <c r="G945" s="11"/>
      <c r="H945" s="11"/>
      <c r="I945" s="15"/>
      <c r="J945" s="15"/>
      <c r="K945" s="15"/>
      <c r="L945" s="15"/>
      <c r="M945" s="7"/>
      <c r="N945" s="10"/>
      <c r="O945" s="10"/>
      <c r="P945" s="8"/>
      <c r="Q945" s="7"/>
      <c r="R945" s="16"/>
      <c r="S945" s="17"/>
      <c r="T945" s="8"/>
      <c r="U945" s="8"/>
      <c r="V945" s="22"/>
      <c r="W945" s="12"/>
      <c r="X945" s="12"/>
      <c r="Y945" s="12"/>
      <c r="Z945" s="12"/>
      <c r="AA945" s="7"/>
      <c r="AB945" s="12"/>
      <c r="AC945" s="6"/>
      <c r="AD945" s="6"/>
      <c r="AE945" s="7"/>
      <c r="AF945" s="7"/>
      <c r="AG945" s="7"/>
      <c r="AH945" s="7"/>
      <c r="AI945" s="7"/>
      <c r="AJ945" s="7"/>
      <c r="AK945" s="7"/>
      <c r="AL945" s="7"/>
      <c r="AM945" s="7"/>
      <c r="AN945" s="7"/>
      <c r="AO945" s="6"/>
      <c r="AP945" s="7"/>
      <c r="AQ945" s="7"/>
      <c r="AR945" s="6"/>
      <c r="AS945" s="7"/>
      <c r="AT945" s="7"/>
      <c r="AU945" s="7"/>
      <c r="AV945" s="7"/>
      <c r="AW945" s="7"/>
      <c r="AX945" s="7"/>
      <c r="AY945" s="7"/>
      <c r="AZ945" s="7"/>
      <c r="BA945" s="7"/>
      <c r="BB945" s="7"/>
      <c r="BC945" s="7"/>
      <c r="BD945" s="7"/>
      <c r="BE945" s="7"/>
      <c r="BF945" s="7"/>
      <c r="BG945" s="7"/>
    </row>
    <row r="946" customHeight="1" spans="1:59">
      <c r="A946" s="9"/>
      <c r="B946" s="5"/>
      <c r="C946" s="5"/>
      <c r="D946" s="5"/>
      <c r="E946" s="7"/>
      <c r="F946" s="11"/>
      <c r="G946" s="11"/>
      <c r="H946" s="11"/>
      <c r="I946" s="15"/>
      <c r="J946" s="15"/>
      <c r="K946" s="15"/>
      <c r="L946" s="15"/>
      <c r="M946" s="7"/>
      <c r="N946" s="10"/>
      <c r="O946" s="10"/>
      <c r="P946" s="8"/>
      <c r="Q946" s="7"/>
      <c r="R946" s="16"/>
      <c r="S946" s="17"/>
      <c r="T946" s="8"/>
      <c r="U946" s="8"/>
      <c r="V946" s="22"/>
      <c r="W946" s="12"/>
      <c r="X946" s="12"/>
      <c r="Y946" s="12"/>
      <c r="Z946" s="12"/>
      <c r="AA946" s="7"/>
      <c r="AB946" s="12"/>
      <c r="AC946" s="6"/>
      <c r="AD946" s="6"/>
      <c r="AE946" s="7"/>
      <c r="AF946" s="7"/>
      <c r="AG946" s="7"/>
      <c r="AH946" s="7"/>
      <c r="AI946" s="7"/>
      <c r="AJ946" s="7"/>
      <c r="AK946" s="7"/>
      <c r="AL946" s="7"/>
      <c r="AM946" s="7"/>
      <c r="AN946" s="7"/>
      <c r="AO946" s="6"/>
      <c r="AP946" s="7"/>
      <c r="AQ946" s="7"/>
      <c r="AR946" s="6"/>
      <c r="AS946" s="7"/>
      <c r="AT946" s="7"/>
      <c r="AU946" s="7"/>
      <c r="AV946" s="7"/>
      <c r="AW946" s="7"/>
      <c r="AX946" s="7"/>
      <c r="AY946" s="7"/>
      <c r="AZ946" s="7"/>
      <c r="BA946" s="7"/>
      <c r="BB946" s="7"/>
      <c r="BC946" s="7"/>
      <c r="BD946" s="7"/>
      <c r="BE946" s="7"/>
      <c r="BF946" s="7"/>
      <c r="BG946" s="7"/>
    </row>
    <row r="947" customHeight="1" spans="1:59">
      <c r="A947" s="9"/>
      <c r="B947" s="5"/>
      <c r="C947" s="5"/>
      <c r="D947" s="5"/>
      <c r="E947" s="7"/>
      <c r="F947" s="11"/>
      <c r="G947" s="11"/>
      <c r="H947" s="11"/>
      <c r="I947" s="15"/>
      <c r="J947" s="15"/>
      <c r="K947" s="15"/>
      <c r="L947" s="15"/>
      <c r="M947" s="7"/>
      <c r="N947" s="10"/>
      <c r="O947" s="10"/>
      <c r="P947" s="8"/>
      <c r="Q947" s="7"/>
      <c r="R947" s="16"/>
      <c r="S947" s="17"/>
      <c r="T947" s="8"/>
      <c r="U947" s="8"/>
      <c r="V947" s="22"/>
      <c r="W947" s="12"/>
      <c r="X947" s="12"/>
      <c r="Y947" s="12"/>
      <c r="Z947" s="12"/>
      <c r="AA947" s="7"/>
      <c r="AB947" s="12"/>
      <c r="AC947" s="6"/>
      <c r="AD947" s="6"/>
      <c r="AE947" s="7"/>
      <c r="AF947" s="7"/>
      <c r="AG947" s="7"/>
      <c r="AH947" s="7"/>
      <c r="AI947" s="7"/>
      <c r="AJ947" s="7"/>
      <c r="AK947" s="7"/>
      <c r="AL947" s="7"/>
      <c r="AM947" s="7"/>
      <c r="AN947" s="7"/>
      <c r="AO947" s="6"/>
      <c r="AP947" s="7"/>
      <c r="AQ947" s="7"/>
      <c r="AR947" s="6"/>
      <c r="AS947" s="7"/>
      <c r="AT947" s="7"/>
      <c r="AU947" s="7"/>
      <c r="AV947" s="7"/>
      <c r="AW947" s="7"/>
      <c r="AX947" s="7"/>
      <c r="AY947" s="7"/>
      <c r="AZ947" s="7"/>
      <c r="BA947" s="7"/>
      <c r="BB947" s="7"/>
      <c r="BC947" s="7"/>
      <c r="BD947" s="7"/>
      <c r="BE947" s="7"/>
      <c r="BF947" s="7"/>
      <c r="BG947" s="7"/>
    </row>
    <row r="948" customHeight="1" spans="1:59">
      <c r="A948" s="9"/>
      <c r="B948" s="5"/>
      <c r="C948" s="5"/>
      <c r="D948" s="5"/>
      <c r="E948" s="7"/>
      <c r="F948" s="11"/>
      <c r="G948" s="11"/>
      <c r="H948" s="11"/>
      <c r="I948" s="15"/>
      <c r="J948" s="15"/>
      <c r="K948" s="15"/>
      <c r="L948" s="15"/>
      <c r="M948" s="7"/>
      <c r="N948" s="10"/>
      <c r="O948" s="10"/>
      <c r="P948" s="8"/>
      <c r="Q948" s="7"/>
      <c r="R948" s="16"/>
      <c r="S948" s="17"/>
      <c r="T948" s="8"/>
      <c r="U948" s="8"/>
      <c r="V948" s="22"/>
      <c r="W948" s="12"/>
      <c r="X948" s="12"/>
      <c r="Y948" s="12"/>
      <c r="Z948" s="12"/>
      <c r="AA948" s="7"/>
      <c r="AB948" s="12"/>
      <c r="AC948" s="6"/>
      <c r="AD948" s="6"/>
      <c r="AE948" s="7"/>
      <c r="AF948" s="7"/>
      <c r="AG948" s="7"/>
      <c r="AH948" s="7"/>
      <c r="AI948" s="7"/>
      <c r="AJ948" s="7"/>
      <c r="AK948" s="7"/>
      <c r="AL948" s="7"/>
      <c r="AM948" s="7"/>
      <c r="AN948" s="7"/>
      <c r="AO948" s="6"/>
      <c r="AP948" s="7"/>
      <c r="AQ948" s="7"/>
      <c r="AR948" s="6"/>
      <c r="AS948" s="7"/>
      <c r="AT948" s="7"/>
      <c r="AU948" s="7"/>
      <c r="AV948" s="7"/>
      <c r="AW948" s="7"/>
      <c r="AX948" s="7"/>
      <c r="AY948" s="7"/>
      <c r="AZ948" s="7"/>
      <c r="BA948" s="7"/>
      <c r="BB948" s="7"/>
      <c r="BC948" s="7"/>
      <c r="BD948" s="7"/>
      <c r="BE948" s="7"/>
      <c r="BF948" s="7"/>
      <c r="BG948" s="7"/>
    </row>
    <row r="949" customHeight="1" spans="1:59">
      <c r="A949" s="9"/>
      <c r="B949" s="5"/>
      <c r="C949" s="5"/>
      <c r="D949" s="5"/>
      <c r="E949" s="7"/>
      <c r="F949" s="8"/>
      <c r="G949" s="8"/>
      <c r="H949" s="8"/>
      <c r="I949" s="14"/>
      <c r="J949" s="14"/>
      <c r="K949" s="14"/>
      <c r="L949" s="14"/>
      <c r="M949" s="7"/>
      <c r="N949" s="10"/>
      <c r="O949" s="10"/>
      <c r="P949" s="8"/>
      <c r="Q949" s="7"/>
      <c r="R949" s="16"/>
      <c r="S949" s="17"/>
      <c r="T949" s="8"/>
      <c r="U949" s="8"/>
      <c r="V949" s="22"/>
      <c r="W949" s="12"/>
      <c r="X949" s="12"/>
      <c r="Y949" s="12"/>
      <c r="Z949" s="12"/>
      <c r="AA949" s="9"/>
      <c r="AB949" s="12"/>
      <c r="AC949" s="6"/>
      <c r="AD949" s="6"/>
      <c r="AE949" s="7"/>
      <c r="AF949" s="7"/>
      <c r="AG949" s="7"/>
      <c r="AH949" s="7"/>
      <c r="AI949" s="7"/>
      <c r="AJ949" s="7"/>
      <c r="AK949" s="7"/>
      <c r="AL949" s="7"/>
      <c r="AM949" s="7"/>
      <c r="AN949" s="7"/>
      <c r="AO949" s="6"/>
      <c r="AP949" s="7"/>
      <c r="AQ949" s="7"/>
      <c r="AR949" s="6"/>
      <c r="AS949" s="7"/>
      <c r="AT949" s="7"/>
      <c r="AU949" s="7"/>
      <c r="AV949" s="7"/>
      <c r="AW949" s="7"/>
      <c r="AX949" s="7"/>
      <c r="AY949" s="7"/>
      <c r="AZ949" s="7"/>
      <c r="BA949" s="7"/>
      <c r="BB949" s="7"/>
      <c r="BC949" s="7"/>
      <c r="BD949" s="7"/>
      <c r="BE949" s="7"/>
      <c r="BF949" s="7"/>
      <c r="BG949" s="7"/>
    </row>
    <row r="950" customHeight="1" spans="1:59">
      <c r="A950" s="9"/>
      <c r="B950" s="5"/>
      <c r="C950" s="5"/>
      <c r="D950" s="5"/>
      <c r="E950" s="7"/>
      <c r="F950" s="8"/>
      <c r="G950" s="8"/>
      <c r="H950" s="8"/>
      <c r="I950" s="14"/>
      <c r="J950" s="14"/>
      <c r="K950" s="14"/>
      <c r="L950" s="14"/>
      <c r="M950" s="7"/>
      <c r="N950" s="10"/>
      <c r="O950" s="10"/>
      <c r="P950" s="8"/>
      <c r="Q950" s="7"/>
      <c r="R950" s="16"/>
      <c r="S950" s="17"/>
      <c r="T950" s="8"/>
      <c r="U950" s="8"/>
      <c r="V950" s="22"/>
      <c r="W950" s="12"/>
      <c r="X950" s="12"/>
      <c r="Y950" s="12"/>
      <c r="Z950" s="12"/>
      <c r="AA950" s="9"/>
      <c r="AB950" s="12"/>
      <c r="AC950" s="6"/>
      <c r="AD950" s="6"/>
      <c r="AE950" s="7"/>
      <c r="AF950" s="7"/>
      <c r="AG950" s="7"/>
      <c r="AH950" s="7"/>
      <c r="AI950" s="7"/>
      <c r="AJ950" s="7"/>
      <c r="AK950" s="7"/>
      <c r="AL950" s="7"/>
      <c r="AM950" s="7"/>
      <c r="AN950" s="7"/>
      <c r="AO950" s="6"/>
      <c r="AP950" s="7"/>
      <c r="AQ950" s="7"/>
      <c r="AR950" s="6"/>
      <c r="AS950" s="7"/>
      <c r="AT950" s="7"/>
      <c r="AU950" s="7"/>
      <c r="AV950" s="7"/>
      <c r="AW950" s="7"/>
      <c r="AX950" s="7"/>
      <c r="AY950" s="7"/>
      <c r="AZ950" s="7"/>
      <c r="BA950" s="7"/>
      <c r="BB950" s="7"/>
      <c r="BC950" s="7"/>
      <c r="BD950" s="7"/>
      <c r="BE950" s="7"/>
      <c r="BF950" s="7"/>
      <c r="BG950" s="7"/>
    </row>
    <row r="951" customHeight="1" spans="1:59">
      <c r="A951" s="9"/>
      <c r="B951" s="5"/>
      <c r="C951" s="5"/>
      <c r="D951" s="5"/>
      <c r="E951" s="7"/>
      <c r="F951" s="8"/>
      <c r="G951" s="8"/>
      <c r="H951" s="8"/>
      <c r="I951" s="14"/>
      <c r="J951" s="14"/>
      <c r="K951" s="14"/>
      <c r="L951" s="14"/>
      <c r="M951" s="7"/>
      <c r="N951" s="10"/>
      <c r="O951" s="10"/>
      <c r="P951" s="8"/>
      <c r="Q951" s="7"/>
      <c r="R951" s="16"/>
      <c r="S951" s="17"/>
      <c r="T951" s="8"/>
      <c r="U951" s="8"/>
      <c r="V951" s="22"/>
      <c r="W951" s="12"/>
      <c r="X951" s="12"/>
      <c r="Y951" s="12"/>
      <c r="Z951" s="12"/>
      <c r="AA951" s="9"/>
      <c r="AB951" s="12"/>
      <c r="AC951" s="6"/>
      <c r="AD951" s="6"/>
      <c r="AE951" s="7"/>
      <c r="AF951" s="7"/>
      <c r="AG951" s="7"/>
      <c r="AH951" s="7"/>
      <c r="AI951" s="7"/>
      <c r="AJ951" s="7"/>
      <c r="AK951" s="7"/>
      <c r="AL951" s="7"/>
      <c r="AM951" s="7"/>
      <c r="AN951" s="7"/>
      <c r="AO951" s="6"/>
      <c r="AP951" s="7"/>
      <c r="AQ951" s="7"/>
      <c r="AR951" s="6"/>
      <c r="AS951" s="7"/>
      <c r="AT951" s="7"/>
      <c r="AU951" s="7"/>
      <c r="AV951" s="7"/>
      <c r="AW951" s="7"/>
      <c r="AX951" s="7"/>
      <c r="AY951" s="7"/>
      <c r="AZ951" s="7"/>
      <c r="BA951" s="7"/>
      <c r="BB951" s="7"/>
      <c r="BC951" s="7"/>
      <c r="BD951" s="7"/>
      <c r="BE951" s="7"/>
      <c r="BF951" s="7"/>
      <c r="BG951" s="7"/>
    </row>
    <row r="952" customHeight="1" spans="1:59">
      <c r="A952" s="9"/>
      <c r="B952" s="5"/>
      <c r="C952" s="5"/>
      <c r="D952" s="5"/>
      <c r="E952" s="7"/>
      <c r="F952" s="8"/>
      <c r="G952" s="8"/>
      <c r="H952" s="8"/>
      <c r="I952" s="14"/>
      <c r="J952" s="14"/>
      <c r="K952" s="14"/>
      <c r="L952" s="14"/>
      <c r="M952" s="7"/>
      <c r="N952" s="10"/>
      <c r="O952" s="10"/>
      <c r="P952" s="8"/>
      <c r="Q952" s="7"/>
      <c r="R952" s="16"/>
      <c r="S952" s="17"/>
      <c r="T952" s="8"/>
      <c r="U952" s="8"/>
      <c r="V952" s="22"/>
      <c r="W952" s="12"/>
      <c r="X952" s="12"/>
      <c r="Y952" s="12"/>
      <c r="Z952" s="12"/>
      <c r="AA952" s="9"/>
      <c r="AB952" s="12"/>
      <c r="AC952" s="6"/>
      <c r="AD952" s="6"/>
      <c r="AE952" s="7"/>
      <c r="AF952" s="7"/>
      <c r="AG952" s="7"/>
      <c r="AH952" s="7"/>
      <c r="AI952" s="7"/>
      <c r="AJ952" s="7"/>
      <c r="AK952" s="7"/>
      <c r="AL952" s="7"/>
      <c r="AM952" s="7"/>
      <c r="AN952" s="7"/>
      <c r="AO952" s="6"/>
      <c r="AP952" s="7"/>
      <c r="AQ952" s="7"/>
      <c r="AR952" s="6"/>
      <c r="AS952" s="7"/>
      <c r="AT952" s="7"/>
      <c r="AU952" s="7"/>
      <c r="AV952" s="7"/>
      <c r="AW952" s="7"/>
      <c r="AX952" s="7"/>
      <c r="AY952" s="7"/>
      <c r="AZ952" s="7"/>
      <c r="BA952" s="7"/>
      <c r="BB952" s="7"/>
      <c r="BC952" s="7"/>
      <c r="BD952" s="7"/>
      <c r="BE952" s="7"/>
      <c r="BF952" s="7"/>
      <c r="BG952" s="7"/>
    </row>
    <row r="953" customHeight="1" spans="1:59">
      <c r="A953" s="9"/>
      <c r="B953" s="5"/>
      <c r="C953" s="5"/>
      <c r="D953" s="5"/>
      <c r="E953" s="7"/>
      <c r="F953" s="8"/>
      <c r="G953" s="8"/>
      <c r="H953" s="8"/>
      <c r="I953" s="14"/>
      <c r="J953" s="14"/>
      <c r="K953" s="14"/>
      <c r="L953" s="14"/>
      <c r="M953" s="7"/>
      <c r="N953" s="10"/>
      <c r="O953" s="10"/>
      <c r="P953" s="8"/>
      <c r="Q953" s="7"/>
      <c r="R953" s="16"/>
      <c r="S953" s="17"/>
      <c r="T953" s="8"/>
      <c r="U953" s="8"/>
      <c r="V953" s="22"/>
      <c r="W953" s="12"/>
      <c r="X953" s="12"/>
      <c r="Y953" s="12"/>
      <c r="Z953" s="12"/>
      <c r="AA953" s="9"/>
      <c r="AB953" s="12"/>
      <c r="AC953" s="6"/>
      <c r="AD953" s="6"/>
      <c r="AE953" s="7"/>
      <c r="AF953" s="7"/>
      <c r="AG953" s="7"/>
      <c r="AH953" s="7"/>
      <c r="AI953" s="7"/>
      <c r="AJ953" s="7"/>
      <c r="AK953" s="7"/>
      <c r="AL953" s="7"/>
      <c r="AM953" s="7"/>
      <c r="AN953" s="7"/>
      <c r="AO953" s="6"/>
      <c r="AP953" s="7"/>
      <c r="AQ953" s="7"/>
      <c r="AR953" s="6"/>
      <c r="AS953" s="7"/>
      <c r="AT953" s="7"/>
      <c r="AU953" s="7"/>
      <c r="AV953" s="7"/>
      <c r="AW953" s="7"/>
      <c r="AX953" s="7"/>
      <c r="AY953" s="7"/>
      <c r="AZ953" s="7"/>
      <c r="BA953" s="7"/>
      <c r="BB953" s="7"/>
      <c r="BC953" s="7"/>
      <c r="BD953" s="7"/>
      <c r="BE953" s="7"/>
      <c r="BF953" s="7"/>
      <c r="BG953" s="7"/>
    </row>
    <row r="954" customHeight="1" spans="1:59">
      <c r="A954" s="9"/>
      <c r="B954" s="5"/>
      <c r="C954" s="5"/>
      <c r="D954" s="5"/>
      <c r="E954" s="7"/>
      <c r="F954" s="8"/>
      <c r="G954" s="8"/>
      <c r="H954" s="8"/>
      <c r="I954" s="14"/>
      <c r="J954" s="14"/>
      <c r="K954" s="14"/>
      <c r="L954" s="14"/>
      <c r="M954" s="7"/>
      <c r="N954" s="10"/>
      <c r="O954" s="10"/>
      <c r="P954" s="8"/>
      <c r="Q954" s="7"/>
      <c r="R954" s="16"/>
      <c r="S954" s="17"/>
      <c r="T954" s="8"/>
      <c r="U954" s="8"/>
      <c r="V954" s="22"/>
      <c r="W954" s="12"/>
      <c r="X954" s="12"/>
      <c r="Y954" s="12"/>
      <c r="Z954" s="12"/>
      <c r="AA954" s="9"/>
      <c r="AB954" s="12"/>
      <c r="AC954" s="6"/>
      <c r="AD954" s="6"/>
      <c r="AE954" s="7"/>
      <c r="AF954" s="7"/>
      <c r="AG954" s="7"/>
      <c r="AH954" s="7"/>
      <c r="AI954" s="7"/>
      <c r="AJ954" s="7"/>
      <c r="AK954" s="7"/>
      <c r="AL954" s="7"/>
      <c r="AM954" s="7"/>
      <c r="AN954" s="7"/>
      <c r="AO954" s="6"/>
      <c r="AP954" s="7"/>
      <c r="AQ954" s="7"/>
      <c r="AR954" s="6"/>
      <c r="AS954" s="7"/>
      <c r="AT954" s="7"/>
      <c r="AU954" s="7"/>
      <c r="AV954" s="7"/>
      <c r="AW954" s="7"/>
      <c r="AX954" s="7"/>
      <c r="AY954" s="7"/>
      <c r="AZ954" s="7"/>
      <c r="BA954" s="7"/>
      <c r="BB954" s="7"/>
      <c r="BC954" s="7"/>
      <c r="BD954" s="7"/>
      <c r="BE954" s="7"/>
      <c r="BF954" s="7"/>
      <c r="BG954" s="7"/>
    </row>
    <row r="955" customHeight="1" spans="1:59">
      <c r="A955" s="9"/>
      <c r="B955" s="5"/>
      <c r="C955" s="5"/>
      <c r="D955" s="5"/>
      <c r="E955" s="7"/>
      <c r="F955" s="8"/>
      <c r="G955" s="8"/>
      <c r="H955" s="8"/>
      <c r="I955" s="14"/>
      <c r="J955" s="14"/>
      <c r="K955" s="14"/>
      <c r="L955" s="14"/>
      <c r="M955" s="7"/>
      <c r="N955" s="10"/>
      <c r="O955" s="10"/>
      <c r="P955" s="8"/>
      <c r="Q955" s="7"/>
      <c r="R955" s="16"/>
      <c r="S955" s="17"/>
      <c r="T955" s="8"/>
      <c r="U955" s="8"/>
      <c r="V955" s="22"/>
      <c r="W955" s="12"/>
      <c r="X955" s="12"/>
      <c r="Y955" s="12"/>
      <c r="Z955" s="12"/>
      <c r="AA955" s="9"/>
      <c r="AB955" s="12"/>
      <c r="AC955" s="6"/>
      <c r="AD955" s="6"/>
      <c r="AE955" s="7"/>
      <c r="AF955" s="7"/>
      <c r="AG955" s="7"/>
      <c r="AH955" s="7"/>
      <c r="AI955" s="7"/>
      <c r="AJ955" s="7"/>
      <c r="AK955" s="7"/>
      <c r="AL955" s="7"/>
      <c r="AM955" s="7"/>
      <c r="AN955" s="7"/>
      <c r="AO955" s="6"/>
      <c r="AP955" s="7"/>
      <c r="AQ955" s="7"/>
      <c r="AR955" s="6"/>
      <c r="AS955" s="7"/>
      <c r="AT955" s="7"/>
      <c r="AU955" s="7"/>
      <c r="AV955" s="7"/>
      <c r="AW955" s="7"/>
      <c r="AX955" s="7"/>
      <c r="AY955" s="7"/>
      <c r="AZ955" s="7"/>
      <c r="BA955" s="7"/>
      <c r="BB955" s="7"/>
      <c r="BC955" s="7"/>
      <c r="BD955" s="7"/>
      <c r="BE955" s="7"/>
      <c r="BF955" s="7"/>
      <c r="BG955" s="7"/>
    </row>
    <row r="956" customHeight="1" spans="1:59">
      <c r="A956" s="9"/>
      <c r="B956" s="5"/>
      <c r="C956" s="5"/>
      <c r="D956" s="5"/>
      <c r="E956" s="7"/>
      <c r="F956" s="10"/>
      <c r="G956" s="10"/>
      <c r="H956" s="10"/>
      <c r="I956" s="13"/>
      <c r="J956" s="13"/>
      <c r="K956" s="13"/>
      <c r="L956" s="13"/>
      <c r="M956" s="7"/>
      <c r="N956" s="10"/>
      <c r="O956" s="10"/>
      <c r="P956" s="10"/>
      <c r="Q956" s="6"/>
      <c r="R956" s="16"/>
      <c r="S956" s="17"/>
      <c r="T956" s="10"/>
      <c r="U956" s="10"/>
      <c r="V956" s="22"/>
      <c r="W956" s="12"/>
      <c r="X956" s="12"/>
      <c r="Y956" s="12"/>
      <c r="Z956" s="12"/>
      <c r="AA956" s="6"/>
      <c r="AB956" s="12"/>
      <c r="AC956" s="6"/>
      <c r="AD956" s="6"/>
      <c r="AE956" s="7"/>
      <c r="AF956" s="7"/>
      <c r="AG956" s="7"/>
      <c r="AH956" s="7"/>
      <c r="AI956" s="7"/>
      <c r="AJ956" s="7"/>
      <c r="AK956" s="7"/>
      <c r="AL956" s="7"/>
      <c r="AM956" s="7"/>
      <c r="AN956" s="7"/>
      <c r="AO956" s="6"/>
      <c r="AP956" s="7"/>
      <c r="AQ956" s="7"/>
      <c r="AR956" s="6"/>
      <c r="AS956" s="6"/>
      <c r="AT956" s="6"/>
      <c r="AU956" s="6"/>
      <c r="AV956" s="6"/>
      <c r="AW956" s="6"/>
      <c r="AX956" s="6"/>
      <c r="AY956" s="6"/>
      <c r="AZ956" s="6"/>
      <c r="BA956" s="6"/>
      <c r="BB956" s="6"/>
      <c r="BC956" s="6"/>
      <c r="BD956" s="6"/>
      <c r="BE956" s="6"/>
      <c r="BF956" s="6"/>
      <c r="BG956" s="6"/>
    </row>
    <row r="957" customHeight="1" spans="1:59">
      <c r="A957" s="9"/>
      <c r="B957" s="5"/>
      <c r="C957" s="5"/>
      <c r="D957" s="5"/>
      <c r="E957" s="7"/>
      <c r="F957" s="8"/>
      <c r="G957" s="8"/>
      <c r="H957" s="8"/>
      <c r="I957" s="14"/>
      <c r="J957" s="14"/>
      <c r="K957" s="14"/>
      <c r="L957" s="14"/>
      <c r="M957" s="7"/>
      <c r="N957" s="10"/>
      <c r="O957" s="10"/>
      <c r="P957" s="8"/>
      <c r="Q957" s="7"/>
      <c r="R957" s="16"/>
      <c r="S957" s="17"/>
      <c r="T957" s="2"/>
      <c r="U957" s="8"/>
      <c r="V957" s="22"/>
      <c r="W957" s="12"/>
      <c r="X957" s="12"/>
      <c r="Y957" s="12"/>
      <c r="Z957" s="12"/>
      <c r="AA957" s="7"/>
      <c r="AB957" s="12"/>
      <c r="AC957" s="6"/>
      <c r="AD957" s="6"/>
      <c r="AE957" s="7"/>
      <c r="AF957" s="7"/>
      <c r="AG957" s="7"/>
      <c r="AH957" s="7"/>
      <c r="AI957" s="7"/>
      <c r="AJ957" s="7"/>
      <c r="AK957" s="7"/>
      <c r="AL957" s="7"/>
      <c r="AM957" s="7"/>
      <c r="AN957" s="7"/>
      <c r="AO957" s="6"/>
      <c r="AP957" s="7"/>
      <c r="AQ957" s="7"/>
      <c r="AR957" s="6"/>
      <c r="AS957" s="7"/>
      <c r="AT957" s="7"/>
      <c r="AU957" s="7"/>
      <c r="AV957" s="7"/>
      <c r="AW957" s="7"/>
      <c r="AX957" s="7"/>
      <c r="AY957" s="7"/>
      <c r="AZ957" s="7"/>
      <c r="BA957" s="7"/>
      <c r="BB957" s="7"/>
      <c r="BC957" s="7"/>
      <c r="BD957" s="7"/>
      <c r="BE957" s="7"/>
      <c r="BF957" s="7"/>
      <c r="BG957" s="7"/>
    </row>
    <row r="958" customHeight="1" spans="1:59">
      <c r="A958" s="9"/>
      <c r="B958" s="5"/>
      <c r="C958" s="5"/>
      <c r="D958" s="5"/>
      <c r="E958" s="7"/>
      <c r="F958" s="8"/>
      <c r="G958" s="8"/>
      <c r="H958" s="8"/>
      <c r="I958" s="14"/>
      <c r="J958" s="14"/>
      <c r="K958" s="14"/>
      <c r="L958" s="14"/>
      <c r="M958" s="7"/>
      <c r="N958" s="10"/>
      <c r="O958" s="10"/>
      <c r="P958" s="8"/>
      <c r="Q958" s="7"/>
      <c r="R958" s="16"/>
      <c r="S958" s="17"/>
      <c r="T958" s="2"/>
      <c r="U958" s="8"/>
      <c r="V958" s="22"/>
      <c r="W958" s="12"/>
      <c r="X958" s="12"/>
      <c r="Y958" s="12"/>
      <c r="Z958" s="12"/>
      <c r="AA958" s="7"/>
      <c r="AB958" s="12"/>
      <c r="AC958" s="6"/>
      <c r="AD958" s="6"/>
      <c r="AE958" s="7"/>
      <c r="AF958" s="7"/>
      <c r="AG958" s="7"/>
      <c r="AH958" s="7"/>
      <c r="AI958" s="7"/>
      <c r="AJ958" s="7"/>
      <c r="AK958" s="7"/>
      <c r="AL958" s="7"/>
      <c r="AM958" s="7"/>
      <c r="AN958" s="7"/>
      <c r="AO958" s="6"/>
      <c r="AP958" s="7"/>
      <c r="AQ958" s="7"/>
      <c r="AR958" s="6"/>
      <c r="AS958" s="7"/>
      <c r="AT958" s="7"/>
      <c r="AU958" s="7"/>
      <c r="AV958" s="7"/>
      <c r="AW958" s="7"/>
      <c r="AX958" s="7"/>
      <c r="AY958" s="7"/>
      <c r="AZ958" s="7"/>
      <c r="BA958" s="7"/>
      <c r="BB958" s="7"/>
      <c r="BC958" s="7"/>
      <c r="BD958" s="7"/>
      <c r="BE958" s="7"/>
      <c r="BF958" s="7"/>
      <c r="BG958" s="7"/>
    </row>
    <row r="959" customHeight="1" spans="1:59">
      <c r="A959" s="9"/>
      <c r="B959" s="5"/>
      <c r="C959" s="5"/>
      <c r="D959" s="5"/>
      <c r="E959" s="7"/>
      <c r="F959" s="8"/>
      <c r="G959" s="8"/>
      <c r="H959" s="8"/>
      <c r="I959" s="14"/>
      <c r="J959" s="14"/>
      <c r="K959" s="14"/>
      <c r="L959" s="14"/>
      <c r="M959" s="7"/>
      <c r="N959" s="10"/>
      <c r="O959" s="10"/>
      <c r="P959" s="8"/>
      <c r="Q959" s="7"/>
      <c r="R959" s="16"/>
      <c r="S959" s="17"/>
      <c r="T959" s="2"/>
      <c r="U959" s="8"/>
      <c r="V959" s="22"/>
      <c r="W959" s="12"/>
      <c r="X959" s="12"/>
      <c r="Y959" s="12"/>
      <c r="Z959" s="12"/>
      <c r="AA959" s="7"/>
      <c r="AB959" s="12"/>
      <c r="AC959" s="6"/>
      <c r="AD959" s="6"/>
      <c r="AE959" s="7"/>
      <c r="AF959" s="7"/>
      <c r="AG959" s="7"/>
      <c r="AH959" s="7"/>
      <c r="AI959" s="7"/>
      <c r="AJ959" s="7"/>
      <c r="AK959" s="7"/>
      <c r="AL959" s="7"/>
      <c r="AM959" s="7"/>
      <c r="AN959" s="7"/>
      <c r="AO959" s="6"/>
      <c r="AP959" s="7"/>
      <c r="AQ959" s="7"/>
      <c r="AR959" s="6"/>
      <c r="AS959" s="7"/>
      <c r="AT959" s="7"/>
      <c r="AU959" s="7"/>
      <c r="AV959" s="7"/>
      <c r="AW959" s="7"/>
      <c r="AX959" s="7"/>
      <c r="AY959" s="7"/>
      <c r="AZ959" s="7"/>
      <c r="BA959" s="7"/>
      <c r="BB959" s="7"/>
      <c r="BC959" s="7"/>
      <c r="BD959" s="7"/>
      <c r="BE959" s="7"/>
      <c r="BF959" s="7"/>
      <c r="BG959" s="7"/>
    </row>
    <row r="960" customHeight="1" spans="1:59">
      <c r="A960" s="9"/>
      <c r="B960" s="5"/>
      <c r="C960" s="5"/>
      <c r="D960" s="5"/>
      <c r="E960" s="7"/>
      <c r="F960" s="8"/>
      <c r="G960" s="8"/>
      <c r="H960" s="8"/>
      <c r="I960" s="14"/>
      <c r="J960" s="14"/>
      <c r="K960" s="14"/>
      <c r="L960" s="14"/>
      <c r="M960" s="7"/>
      <c r="N960" s="10"/>
      <c r="O960" s="10"/>
      <c r="P960" s="8"/>
      <c r="Q960" s="7"/>
      <c r="R960" s="16"/>
      <c r="S960" s="17"/>
      <c r="T960" s="2"/>
      <c r="U960" s="8"/>
      <c r="V960" s="22"/>
      <c r="W960" s="12"/>
      <c r="X960" s="12"/>
      <c r="Y960" s="12"/>
      <c r="Z960" s="12"/>
      <c r="AA960" s="7"/>
      <c r="AB960" s="12"/>
      <c r="AC960" s="6"/>
      <c r="AD960" s="6"/>
      <c r="AE960" s="7"/>
      <c r="AF960" s="7"/>
      <c r="AG960" s="7"/>
      <c r="AH960" s="7"/>
      <c r="AI960" s="7"/>
      <c r="AJ960" s="7"/>
      <c r="AK960" s="7"/>
      <c r="AL960" s="7"/>
      <c r="AM960" s="7"/>
      <c r="AN960" s="7"/>
      <c r="AO960" s="6"/>
      <c r="AP960" s="7"/>
      <c r="AQ960" s="7"/>
      <c r="AR960" s="6"/>
      <c r="AS960" s="7"/>
      <c r="AT960" s="7"/>
      <c r="AU960" s="7"/>
      <c r="AV960" s="7"/>
      <c r="AW960" s="7"/>
      <c r="AX960" s="7"/>
      <c r="AY960" s="7"/>
      <c r="AZ960" s="7"/>
      <c r="BA960" s="7"/>
      <c r="BB960" s="7"/>
      <c r="BC960" s="7"/>
      <c r="BD960" s="7"/>
      <c r="BE960" s="7"/>
      <c r="BF960" s="7"/>
      <c r="BG960" s="7"/>
    </row>
    <row r="961" customHeight="1" spans="1:59">
      <c r="A961" s="9"/>
      <c r="B961" s="5"/>
      <c r="C961" s="5"/>
      <c r="D961" s="5"/>
      <c r="E961" s="7"/>
      <c r="F961" s="8"/>
      <c r="G961" s="8"/>
      <c r="H961" s="8"/>
      <c r="I961" s="14"/>
      <c r="J961" s="14"/>
      <c r="K961" s="14"/>
      <c r="L961" s="14"/>
      <c r="M961" s="7"/>
      <c r="N961" s="10"/>
      <c r="O961" s="10"/>
      <c r="P961" s="8"/>
      <c r="Q961" s="7"/>
      <c r="R961" s="16"/>
      <c r="S961" s="17"/>
      <c r="T961" s="2"/>
      <c r="U961" s="8"/>
      <c r="V961" s="22"/>
      <c r="W961" s="12"/>
      <c r="X961" s="12"/>
      <c r="Y961" s="12"/>
      <c r="Z961" s="12"/>
      <c r="AA961" s="7"/>
      <c r="AB961" s="12"/>
      <c r="AC961" s="6"/>
      <c r="AD961" s="6"/>
      <c r="AE961" s="7"/>
      <c r="AF961" s="7"/>
      <c r="AG961" s="7"/>
      <c r="AH961" s="7"/>
      <c r="AI961" s="7"/>
      <c r="AJ961" s="7"/>
      <c r="AK961" s="7"/>
      <c r="AL961" s="7"/>
      <c r="AM961" s="7"/>
      <c r="AN961" s="7"/>
      <c r="AO961" s="6"/>
      <c r="AP961" s="7"/>
      <c r="AQ961" s="7"/>
      <c r="AR961" s="6"/>
      <c r="AS961" s="7"/>
      <c r="AT961" s="7"/>
      <c r="AU961" s="7"/>
      <c r="AV961" s="7"/>
      <c r="AW961" s="7"/>
      <c r="AX961" s="7"/>
      <c r="AY961" s="7"/>
      <c r="AZ961" s="7"/>
      <c r="BA961" s="7"/>
      <c r="BB961" s="7"/>
      <c r="BC961" s="7"/>
      <c r="BD961" s="7"/>
      <c r="BE961" s="7"/>
      <c r="BF961" s="7"/>
      <c r="BG961" s="7"/>
    </row>
    <row r="962" customHeight="1" spans="1:59">
      <c r="A962" s="9"/>
      <c r="B962" s="5"/>
      <c r="C962" s="5"/>
      <c r="D962" s="5"/>
      <c r="E962" s="7"/>
      <c r="F962" s="8"/>
      <c r="G962" s="8"/>
      <c r="H962" s="8"/>
      <c r="I962" s="14"/>
      <c r="J962" s="14"/>
      <c r="K962" s="14"/>
      <c r="L962" s="14"/>
      <c r="M962" s="7"/>
      <c r="N962" s="10"/>
      <c r="O962" s="10"/>
      <c r="P962" s="8"/>
      <c r="Q962" s="7"/>
      <c r="R962" s="16"/>
      <c r="S962" s="17"/>
      <c r="T962" s="2"/>
      <c r="U962" s="8"/>
      <c r="V962" s="22"/>
      <c r="W962" s="12"/>
      <c r="X962" s="12"/>
      <c r="Y962" s="12"/>
      <c r="Z962" s="12"/>
      <c r="AA962" s="7"/>
      <c r="AB962" s="12"/>
      <c r="AC962" s="6"/>
      <c r="AD962" s="6"/>
      <c r="AE962" s="7"/>
      <c r="AF962" s="7"/>
      <c r="AG962" s="7"/>
      <c r="AH962" s="7"/>
      <c r="AI962" s="7"/>
      <c r="AJ962" s="7"/>
      <c r="AK962" s="7"/>
      <c r="AL962" s="7"/>
      <c r="AM962" s="7"/>
      <c r="AN962" s="7"/>
      <c r="AO962" s="6"/>
      <c r="AP962" s="7"/>
      <c r="AQ962" s="7"/>
      <c r="AR962" s="6"/>
      <c r="AS962" s="7"/>
      <c r="AT962" s="7"/>
      <c r="AU962" s="7"/>
      <c r="AV962" s="7"/>
      <c r="AW962" s="7"/>
      <c r="AX962" s="7"/>
      <c r="AY962" s="7"/>
      <c r="AZ962" s="7"/>
      <c r="BA962" s="7"/>
      <c r="BB962" s="7"/>
      <c r="BC962" s="7"/>
      <c r="BD962" s="7"/>
      <c r="BE962" s="7"/>
      <c r="BF962" s="7"/>
      <c r="BG962" s="7"/>
    </row>
    <row r="963" customHeight="1" spans="1:59">
      <c r="A963" s="9"/>
      <c r="B963" s="5"/>
      <c r="C963" s="5"/>
      <c r="D963" s="5"/>
      <c r="E963" s="7"/>
      <c r="F963" s="8"/>
      <c r="G963" s="8"/>
      <c r="H963" s="8"/>
      <c r="I963" s="14"/>
      <c r="J963" s="14"/>
      <c r="K963" s="14"/>
      <c r="L963" s="14"/>
      <c r="M963" s="7"/>
      <c r="N963" s="10"/>
      <c r="O963" s="10"/>
      <c r="P963" s="8"/>
      <c r="Q963" s="7"/>
      <c r="R963" s="16"/>
      <c r="S963" s="17"/>
      <c r="T963" s="2"/>
      <c r="U963" s="8"/>
      <c r="V963" s="22"/>
      <c r="W963" s="12"/>
      <c r="X963" s="12"/>
      <c r="Y963" s="12"/>
      <c r="Z963" s="12"/>
      <c r="AA963" s="7"/>
      <c r="AB963" s="12"/>
      <c r="AC963" s="6"/>
      <c r="AD963" s="6"/>
      <c r="AE963" s="7"/>
      <c r="AF963" s="7"/>
      <c r="AG963" s="7"/>
      <c r="AH963" s="7"/>
      <c r="AI963" s="7"/>
      <c r="AJ963" s="7"/>
      <c r="AK963" s="7"/>
      <c r="AL963" s="7"/>
      <c r="AM963" s="7"/>
      <c r="AN963" s="7"/>
      <c r="AO963" s="6"/>
      <c r="AP963" s="7"/>
      <c r="AQ963" s="7"/>
      <c r="AR963" s="6"/>
      <c r="AS963" s="7"/>
      <c r="AT963" s="7"/>
      <c r="AU963" s="7"/>
      <c r="AV963" s="7"/>
      <c r="AW963" s="7"/>
      <c r="AX963" s="7"/>
      <c r="AY963" s="7"/>
      <c r="AZ963" s="7"/>
      <c r="BA963" s="7"/>
      <c r="BB963" s="7"/>
      <c r="BC963" s="7"/>
      <c r="BD963" s="7"/>
      <c r="BE963" s="7"/>
      <c r="BF963" s="7"/>
      <c r="BG963" s="7"/>
    </row>
    <row r="964" customHeight="1" spans="1:59">
      <c r="A964" s="9"/>
      <c r="B964" s="5"/>
      <c r="C964" s="5"/>
      <c r="D964" s="5"/>
      <c r="E964" s="7"/>
      <c r="F964" s="8"/>
      <c r="G964" s="8"/>
      <c r="H964" s="8"/>
      <c r="I964" s="14"/>
      <c r="J964" s="14"/>
      <c r="K964" s="14"/>
      <c r="L964" s="14"/>
      <c r="M964" s="7"/>
      <c r="N964" s="10"/>
      <c r="O964" s="10"/>
      <c r="P964" s="8"/>
      <c r="Q964" s="7"/>
      <c r="R964" s="16"/>
      <c r="S964" s="17"/>
      <c r="T964" s="2"/>
      <c r="U964" s="8"/>
      <c r="V964" s="22"/>
      <c r="W964" s="12"/>
      <c r="X964" s="12"/>
      <c r="Y964" s="12"/>
      <c r="Z964" s="12"/>
      <c r="AA964" s="7"/>
      <c r="AB964" s="12"/>
      <c r="AC964" s="6"/>
      <c r="AD964" s="6"/>
      <c r="AE964" s="7"/>
      <c r="AF964" s="7"/>
      <c r="AG964" s="7"/>
      <c r="AH964" s="7"/>
      <c r="AI964" s="7"/>
      <c r="AJ964" s="7"/>
      <c r="AK964" s="7"/>
      <c r="AL964" s="7"/>
      <c r="AM964" s="7"/>
      <c r="AN964" s="7"/>
      <c r="AO964" s="6"/>
      <c r="AP964" s="7"/>
      <c r="AQ964" s="7"/>
      <c r="AR964" s="6"/>
      <c r="AS964" s="7"/>
      <c r="AT964" s="7"/>
      <c r="AU964" s="7"/>
      <c r="AV964" s="7"/>
      <c r="AW964" s="7"/>
      <c r="AX964" s="7"/>
      <c r="AY964" s="7"/>
      <c r="AZ964" s="7"/>
      <c r="BA964" s="7"/>
      <c r="BB964" s="7"/>
      <c r="BC964" s="7"/>
      <c r="BD964" s="7"/>
      <c r="BE964" s="7"/>
      <c r="BF964" s="7"/>
      <c r="BG964" s="7"/>
    </row>
    <row r="965" customHeight="1" spans="1:59">
      <c r="A965" s="9"/>
      <c r="B965" s="5"/>
      <c r="C965" s="5"/>
      <c r="D965" s="5"/>
      <c r="E965" s="7"/>
      <c r="F965" s="8"/>
      <c r="G965" s="8"/>
      <c r="H965" s="8"/>
      <c r="I965" s="14"/>
      <c r="J965" s="14"/>
      <c r="K965" s="14"/>
      <c r="L965" s="14"/>
      <c r="M965" s="7"/>
      <c r="N965" s="10"/>
      <c r="O965" s="10"/>
      <c r="P965" s="8"/>
      <c r="Q965" s="7"/>
      <c r="R965" s="16"/>
      <c r="S965" s="17"/>
      <c r="T965" s="2"/>
      <c r="U965" s="8"/>
      <c r="V965" s="22"/>
      <c r="W965" s="12"/>
      <c r="X965" s="12"/>
      <c r="Y965" s="12"/>
      <c r="Z965" s="12"/>
      <c r="AA965" s="7"/>
      <c r="AB965" s="12"/>
      <c r="AC965" s="6"/>
      <c r="AD965" s="6"/>
      <c r="AE965" s="7"/>
      <c r="AF965" s="7"/>
      <c r="AG965" s="7"/>
      <c r="AH965" s="7"/>
      <c r="AI965" s="7"/>
      <c r="AJ965" s="7"/>
      <c r="AK965" s="7"/>
      <c r="AL965" s="7"/>
      <c r="AM965" s="7"/>
      <c r="AN965" s="7"/>
      <c r="AO965" s="6"/>
      <c r="AP965" s="7"/>
      <c r="AQ965" s="7"/>
      <c r="AR965" s="6"/>
      <c r="AS965" s="7"/>
      <c r="AT965" s="7"/>
      <c r="AU965" s="7"/>
      <c r="AV965" s="7"/>
      <c r="AW965" s="7"/>
      <c r="AX965" s="7"/>
      <c r="AY965" s="7"/>
      <c r="AZ965" s="7"/>
      <c r="BA965" s="7"/>
      <c r="BB965" s="7"/>
      <c r="BC965" s="7"/>
      <c r="BD965" s="7"/>
      <c r="BE965" s="7"/>
      <c r="BF965" s="7"/>
      <c r="BG965" s="7"/>
    </row>
    <row r="966" customHeight="1" spans="1:59">
      <c r="A966" s="9"/>
      <c r="B966" s="5"/>
      <c r="C966" s="23"/>
      <c r="D966" s="5"/>
      <c r="E966" s="7"/>
      <c r="F966" s="8"/>
      <c r="G966" s="8"/>
      <c r="H966" s="8"/>
      <c r="I966" s="14"/>
      <c r="J966" s="14"/>
      <c r="K966" s="14"/>
      <c r="L966" s="14"/>
      <c r="M966" s="7"/>
      <c r="N966" s="10"/>
      <c r="O966" s="10"/>
      <c r="P966" s="8"/>
      <c r="Q966" s="7"/>
      <c r="R966" s="16"/>
      <c r="S966" s="17"/>
      <c r="T966" s="2"/>
      <c r="U966" s="8"/>
      <c r="V966" s="22"/>
      <c r="W966" s="12"/>
      <c r="X966" s="12"/>
      <c r="Y966" s="12"/>
      <c r="Z966" s="12"/>
      <c r="AA966" s="7"/>
      <c r="AB966" s="12"/>
      <c r="AC966" s="6"/>
      <c r="AD966" s="6"/>
      <c r="AE966" s="7"/>
      <c r="AF966" s="7"/>
      <c r="AG966" s="7"/>
      <c r="AH966" s="7"/>
      <c r="AI966" s="7"/>
      <c r="AJ966" s="7"/>
      <c r="AK966" s="7"/>
      <c r="AL966" s="7"/>
      <c r="AM966" s="7"/>
      <c r="AN966" s="7"/>
      <c r="AO966" s="6"/>
      <c r="AP966" s="7"/>
      <c r="AQ966" s="7"/>
      <c r="AR966" s="6"/>
      <c r="AS966" s="7"/>
      <c r="AT966" s="7"/>
      <c r="AU966" s="7"/>
      <c r="AV966" s="7"/>
      <c r="AW966" s="7"/>
      <c r="AX966" s="7"/>
      <c r="AY966" s="7"/>
      <c r="AZ966" s="7"/>
      <c r="BA966" s="7"/>
      <c r="BB966" s="7"/>
      <c r="BC966" s="7"/>
      <c r="BD966" s="7"/>
      <c r="BE966" s="7"/>
      <c r="BF966" s="7"/>
      <c r="BG966" s="7"/>
    </row>
    <row r="967" customHeight="1" spans="1:59">
      <c r="A967" s="9"/>
      <c r="B967" s="5"/>
      <c r="C967" s="23"/>
      <c r="D967" s="5"/>
      <c r="E967" s="7"/>
      <c r="F967" s="8"/>
      <c r="G967" s="8"/>
      <c r="H967" s="8"/>
      <c r="I967" s="14"/>
      <c r="J967" s="14"/>
      <c r="K967" s="14"/>
      <c r="L967" s="14"/>
      <c r="M967" s="7"/>
      <c r="N967" s="10"/>
      <c r="O967" s="10"/>
      <c r="P967" s="8"/>
      <c r="Q967" s="7"/>
      <c r="R967" s="16"/>
      <c r="S967" s="17"/>
      <c r="T967" s="8"/>
      <c r="U967" s="8"/>
      <c r="V967" s="22"/>
      <c r="W967" s="12"/>
      <c r="X967" s="12"/>
      <c r="Y967" s="12"/>
      <c r="Z967" s="12"/>
      <c r="AA967" s="7"/>
      <c r="AB967" s="12"/>
      <c r="AC967" s="6"/>
      <c r="AD967" s="6"/>
      <c r="AE967" s="7"/>
      <c r="AF967" s="7"/>
      <c r="AG967" s="7"/>
      <c r="AH967" s="7"/>
      <c r="AI967" s="7"/>
      <c r="AJ967" s="7"/>
      <c r="AK967" s="7"/>
      <c r="AL967" s="7"/>
      <c r="AM967" s="7"/>
      <c r="AN967" s="7"/>
      <c r="AO967" s="6"/>
      <c r="AP967" s="7"/>
      <c r="AQ967" s="7"/>
      <c r="AR967" s="6"/>
      <c r="AS967" s="7"/>
      <c r="AT967" s="7"/>
      <c r="AU967" s="7"/>
      <c r="AV967" s="7"/>
      <c r="AW967" s="7"/>
      <c r="AX967" s="7"/>
      <c r="AY967" s="7"/>
      <c r="AZ967" s="7"/>
      <c r="BA967" s="7"/>
      <c r="BB967" s="7"/>
      <c r="BC967" s="7"/>
      <c r="BD967" s="7"/>
      <c r="BE967" s="7"/>
      <c r="BF967" s="7"/>
      <c r="BG967" s="7"/>
    </row>
    <row r="968" customHeight="1" spans="1:59">
      <c r="A968" s="9"/>
      <c r="B968" s="5"/>
      <c r="C968" s="23"/>
      <c r="D968" s="5"/>
      <c r="E968" s="7"/>
      <c r="F968" s="8"/>
      <c r="G968" s="8"/>
      <c r="H968" s="8"/>
      <c r="I968" s="14"/>
      <c r="J968" s="14"/>
      <c r="K968" s="14"/>
      <c r="L968" s="14"/>
      <c r="M968" s="7"/>
      <c r="N968" s="10"/>
      <c r="O968" s="10"/>
      <c r="P968" s="8"/>
      <c r="Q968" s="7"/>
      <c r="R968" s="16"/>
      <c r="S968" s="17"/>
      <c r="T968" s="8"/>
      <c r="U968" s="8"/>
      <c r="V968" s="22"/>
      <c r="W968" s="12"/>
      <c r="X968" s="12"/>
      <c r="Y968" s="12"/>
      <c r="Z968" s="12"/>
      <c r="AA968" s="7"/>
      <c r="AB968" s="12"/>
      <c r="AC968" s="6"/>
      <c r="AD968" s="6"/>
      <c r="AE968" s="7"/>
      <c r="AF968" s="7"/>
      <c r="AG968" s="7"/>
      <c r="AH968" s="7"/>
      <c r="AI968" s="7"/>
      <c r="AJ968" s="7"/>
      <c r="AK968" s="7"/>
      <c r="AL968" s="7"/>
      <c r="AM968" s="7"/>
      <c r="AN968" s="7"/>
      <c r="AO968" s="6"/>
      <c r="AP968" s="7"/>
      <c r="AQ968" s="7"/>
      <c r="AR968" s="6"/>
      <c r="AS968" s="7"/>
      <c r="AT968" s="7"/>
      <c r="AU968" s="7"/>
      <c r="AV968" s="7"/>
      <c r="AW968" s="7"/>
      <c r="AX968" s="7"/>
      <c r="AY968" s="7"/>
      <c r="AZ968" s="7"/>
      <c r="BA968" s="7"/>
      <c r="BB968" s="7"/>
      <c r="BC968" s="7"/>
      <c r="BD968" s="7"/>
      <c r="BE968" s="7"/>
      <c r="BF968" s="7"/>
      <c r="BG968" s="7"/>
    </row>
    <row r="969" customHeight="1" spans="1:59">
      <c r="A969" s="9"/>
      <c r="B969" s="5"/>
      <c r="C969" s="23"/>
      <c r="D969" s="5"/>
      <c r="E969" s="7"/>
      <c r="F969" s="8"/>
      <c r="G969" s="8"/>
      <c r="H969" s="8"/>
      <c r="I969" s="14"/>
      <c r="J969" s="14"/>
      <c r="K969" s="14"/>
      <c r="L969" s="14"/>
      <c r="M969" s="7"/>
      <c r="N969" s="10"/>
      <c r="O969" s="10"/>
      <c r="P969" s="8"/>
      <c r="Q969" s="7"/>
      <c r="R969" s="16"/>
      <c r="S969" s="17"/>
      <c r="T969" s="8"/>
      <c r="U969" s="8"/>
      <c r="V969" s="22"/>
      <c r="W969" s="12"/>
      <c r="X969" s="12"/>
      <c r="Y969" s="12"/>
      <c r="Z969" s="12"/>
      <c r="AA969" s="7"/>
      <c r="AB969" s="12"/>
      <c r="AC969" s="6"/>
      <c r="AD969" s="6"/>
      <c r="AE969" s="7"/>
      <c r="AF969" s="7"/>
      <c r="AG969" s="7"/>
      <c r="AH969" s="7"/>
      <c r="AI969" s="7"/>
      <c r="AJ969" s="7"/>
      <c r="AK969" s="7"/>
      <c r="AL969" s="7"/>
      <c r="AM969" s="7"/>
      <c r="AN969" s="7"/>
      <c r="AO969" s="6"/>
      <c r="AP969" s="7"/>
      <c r="AQ969" s="7"/>
      <c r="AR969" s="6"/>
      <c r="AS969" s="7"/>
      <c r="AT969" s="7"/>
      <c r="AU969" s="7"/>
      <c r="AV969" s="7"/>
      <c r="AW969" s="7"/>
      <c r="AX969" s="7"/>
      <c r="AY969" s="7"/>
      <c r="AZ969" s="7"/>
      <c r="BA969" s="7"/>
      <c r="BB969" s="7"/>
      <c r="BC969" s="7"/>
      <c r="BD969" s="7"/>
      <c r="BE969" s="7"/>
      <c r="BF969" s="7"/>
      <c r="BG969" s="7"/>
    </row>
    <row r="970" customHeight="1" spans="1:59">
      <c r="A970" s="23"/>
      <c r="B970" s="23"/>
      <c r="C970" s="23"/>
      <c r="D970" s="23"/>
      <c r="E970" s="7"/>
      <c r="F970" s="11"/>
      <c r="G970" s="11"/>
      <c r="H970" s="11"/>
      <c r="I970" s="15"/>
      <c r="J970" s="15"/>
      <c r="K970" s="15"/>
      <c r="L970" s="15"/>
      <c r="M970" s="7"/>
      <c r="N970" s="8"/>
      <c r="O970" s="8"/>
      <c r="P970" s="8"/>
      <c r="Q970" s="7"/>
      <c r="R970" s="16"/>
      <c r="S970" s="17"/>
      <c r="T970" s="8"/>
      <c r="U970" s="8"/>
      <c r="V970" s="22"/>
      <c r="W970" s="12"/>
      <c r="X970" s="12"/>
      <c r="Y970" s="12"/>
      <c r="Z970" s="12"/>
      <c r="AA970" s="7"/>
      <c r="AB970" s="12"/>
      <c r="AC970" s="6"/>
      <c r="AD970" s="6"/>
      <c r="AE970" s="7"/>
      <c r="AF970" s="7"/>
      <c r="AG970" s="7"/>
      <c r="AH970" s="7"/>
      <c r="AI970" s="7"/>
      <c r="AJ970" s="7"/>
      <c r="AK970" s="7"/>
      <c r="AL970" s="7"/>
      <c r="AM970" s="7"/>
      <c r="AN970" s="7"/>
      <c r="AO970" s="6"/>
      <c r="AP970" s="7"/>
      <c r="AQ970" s="7"/>
      <c r="AR970" s="6"/>
      <c r="AS970" s="7"/>
      <c r="AT970" s="7"/>
      <c r="AU970" s="7"/>
      <c r="AV970" s="7"/>
      <c r="AW970" s="7"/>
      <c r="AX970" s="7"/>
      <c r="AY970" s="7"/>
      <c r="AZ970" s="7"/>
      <c r="BA970" s="7"/>
      <c r="BB970" s="7"/>
      <c r="BC970" s="7"/>
      <c r="BD970" s="7"/>
      <c r="BE970" s="7"/>
      <c r="BF970" s="7"/>
      <c r="BG970" s="7"/>
    </row>
    <row r="971" customHeight="1" spans="1:59">
      <c r="A971" s="23"/>
      <c r="B971" s="23"/>
      <c r="C971" s="23"/>
      <c r="D971" s="23"/>
      <c r="E971" s="7"/>
      <c r="F971" s="11"/>
      <c r="G971" s="11"/>
      <c r="H971" s="11"/>
      <c r="I971" s="15"/>
      <c r="J971" s="15"/>
      <c r="K971" s="15"/>
      <c r="L971" s="15"/>
      <c r="M971" s="7"/>
      <c r="N971" s="8"/>
      <c r="O971" s="8"/>
      <c r="P971" s="8"/>
      <c r="Q971" s="7"/>
      <c r="R971" s="16"/>
      <c r="S971" s="17"/>
      <c r="T971" s="8"/>
      <c r="U971" s="8"/>
      <c r="V971" s="22"/>
      <c r="W971" s="12"/>
      <c r="X971" s="12"/>
      <c r="Y971" s="12"/>
      <c r="Z971" s="12"/>
      <c r="AA971" s="7"/>
      <c r="AB971" s="12"/>
      <c r="AC971" s="6"/>
      <c r="AD971" s="6"/>
      <c r="AE971" s="7"/>
      <c r="AF971" s="7"/>
      <c r="AG971" s="7"/>
      <c r="AH971" s="7"/>
      <c r="AI971" s="7"/>
      <c r="AJ971" s="7"/>
      <c r="AK971" s="7"/>
      <c r="AL971" s="7"/>
      <c r="AM971" s="7"/>
      <c r="AN971" s="7"/>
      <c r="AO971" s="6"/>
      <c r="AP971" s="7"/>
      <c r="AQ971" s="7"/>
      <c r="AR971" s="6"/>
      <c r="AS971" s="7"/>
      <c r="AT971" s="7"/>
      <c r="AU971" s="7"/>
      <c r="AV971" s="7"/>
      <c r="AW971" s="7"/>
      <c r="AX971" s="7"/>
      <c r="AY971" s="7"/>
      <c r="AZ971" s="7"/>
      <c r="BA971" s="7"/>
      <c r="BB971" s="7"/>
      <c r="BC971" s="7"/>
      <c r="BD971" s="7"/>
      <c r="BE971" s="7"/>
      <c r="BF971" s="7"/>
      <c r="BG971" s="7"/>
    </row>
    <row r="972" customHeight="1" spans="1:59">
      <c r="A972" s="23"/>
      <c r="B972" s="23"/>
      <c r="C972" s="23"/>
      <c r="D972" s="23"/>
      <c r="E972" s="7"/>
      <c r="F972" s="11"/>
      <c r="G972" s="11"/>
      <c r="H972" s="11"/>
      <c r="I972" s="15"/>
      <c r="J972" s="15"/>
      <c r="K972" s="15"/>
      <c r="L972" s="15"/>
      <c r="M972" s="7"/>
      <c r="N972" s="8"/>
      <c r="O972" s="8"/>
      <c r="P972" s="8"/>
      <c r="Q972" s="7"/>
      <c r="R972" s="16"/>
      <c r="S972" s="17"/>
      <c r="T972" s="8"/>
      <c r="U972" s="8"/>
      <c r="V972" s="22"/>
      <c r="W972" s="12"/>
      <c r="X972" s="12"/>
      <c r="Y972" s="12"/>
      <c r="Z972" s="12"/>
      <c r="AA972" s="7"/>
      <c r="AB972" s="12"/>
      <c r="AC972" s="6"/>
      <c r="AD972" s="6"/>
      <c r="AE972" s="7"/>
      <c r="AF972" s="7"/>
      <c r="AG972" s="7"/>
      <c r="AH972" s="7"/>
      <c r="AI972" s="7"/>
      <c r="AJ972" s="7"/>
      <c r="AK972" s="7"/>
      <c r="AL972" s="7"/>
      <c r="AM972" s="7"/>
      <c r="AN972" s="7"/>
      <c r="AO972" s="6"/>
      <c r="AP972" s="7"/>
      <c r="AQ972" s="7"/>
      <c r="AR972" s="6"/>
      <c r="AS972" s="7"/>
      <c r="AT972" s="7"/>
      <c r="AU972" s="7"/>
      <c r="AV972" s="7"/>
      <c r="AW972" s="7"/>
      <c r="AX972" s="7"/>
      <c r="AY972" s="7"/>
      <c r="AZ972" s="7"/>
      <c r="BA972" s="7"/>
      <c r="BB972" s="7"/>
      <c r="BC972" s="7"/>
      <c r="BD972" s="7"/>
      <c r="BE972" s="7"/>
      <c r="BF972" s="7"/>
      <c r="BG972" s="7"/>
    </row>
    <row r="973" customHeight="1" spans="1:59">
      <c r="A973" s="23"/>
      <c r="B973" s="23"/>
      <c r="C973" s="23"/>
      <c r="D973" s="23"/>
      <c r="E973" s="7"/>
      <c r="F973" s="11"/>
      <c r="G973" s="11"/>
      <c r="H973" s="11"/>
      <c r="I973" s="15"/>
      <c r="J973" s="15"/>
      <c r="K973" s="15"/>
      <c r="L973" s="15"/>
      <c r="M973" s="7"/>
      <c r="N973" s="8"/>
      <c r="O973" s="8"/>
      <c r="P973" s="8"/>
      <c r="Q973" s="7"/>
      <c r="R973" s="16"/>
      <c r="S973" s="17"/>
      <c r="T973" s="8"/>
      <c r="U973" s="8"/>
      <c r="V973" s="22"/>
      <c r="W973" s="12"/>
      <c r="X973" s="12"/>
      <c r="Y973" s="12"/>
      <c r="Z973" s="12"/>
      <c r="AA973" s="7"/>
      <c r="AB973" s="12"/>
      <c r="AC973" s="6"/>
      <c r="AD973" s="6"/>
      <c r="AE973" s="7"/>
      <c r="AF973" s="7"/>
      <c r="AG973" s="7"/>
      <c r="AH973" s="7"/>
      <c r="AI973" s="7"/>
      <c r="AJ973" s="7"/>
      <c r="AK973" s="7"/>
      <c r="AL973" s="7"/>
      <c r="AM973" s="7"/>
      <c r="AN973" s="7"/>
      <c r="AO973" s="6"/>
      <c r="AP973" s="7"/>
      <c r="AQ973" s="7"/>
      <c r="AR973" s="6"/>
      <c r="AS973" s="7"/>
      <c r="AT973" s="7"/>
      <c r="AU973" s="7"/>
      <c r="AV973" s="7"/>
      <c r="AW973" s="7"/>
      <c r="AX973" s="7"/>
      <c r="AY973" s="7"/>
      <c r="AZ973" s="7"/>
      <c r="BA973" s="7"/>
      <c r="BB973" s="7"/>
      <c r="BC973" s="7"/>
      <c r="BD973" s="7"/>
      <c r="BE973" s="7"/>
      <c r="BF973" s="7"/>
      <c r="BG973" s="7"/>
    </row>
    <row r="974" customHeight="1" spans="1:59">
      <c r="A974" s="23"/>
      <c r="B974" s="23"/>
      <c r="C974" s="23"/>
      <c r="D974" s="23"/>
      <c r="E974" s="7"/>
      <c r="F974" s="11"/>
      <c r="G974" s="11"/>
      <c r="H974" s="11"/>
      <c r="I974" s="15"/>
      <c r="J974" s="15"/>
      <c r="K974" s="15"/>
      <c r="L974" s="15"/>
      <c r="M974" s="7"/>
      <c r="N974" s="8"/>
      <c r="O974" s="8"/>
      <c r="P974" s="8"/>
      <c r="Q974" s="7"/>
      <c r="R974" s="16"/>
      <c r="S974" s="17"/>
      <c r="T974" s="8"/>
      <c r="U974" s="8"/>
      <c r="V974" s="22"/>
      <c r="W974" s="12"/>
      <c r="X974" s="12"/>
      <c r="Y974" s="12"/>
      <c r="Z974" s="12"/>
      <c r="AA974" s="7"/>
      <c r="AB974" s="12"/>
      <c r="AC974" s="6"/>
      <c r="AD974" s="6"/>
      <c r="AE974" s="7"/>
      <c r="AF974" s="7"/>
      <c r="AG974" s="7"/>
      <c r="AH974" s="7"/>
      <c r="AI974" s="7"/>
      <c r="AJ974" s="7"/>
      <c r="AK974" s="7"/>
      <c r="AL974" s="7"/>
      <c r="AM974" s="7"/>
      <c r="AN974" s="7"/>
      <c r="AO974" s="6"/>
      <c r="AP974" s="7"/>
      <c r="AQ974" s="7"/>
      <c r="AR974" s="6"/>
      <c r="AS974" s="7"/>
      <c r="AT974" s="7"/>
      <c r="AU974" s="7"/>
      <c r="AV974" s="7"/>
      <c r="AW974" s="7"/>
      <c r="AX974" s="7"/>
      <c r="AY974" s="7"/>
      <c r="AZ974" s="7"/>
      <c r="BA974" s="7"/>
      <c r="BB974" s="7"/>
      <c r="BC974" s="7"/>
      <c r="BD974" s="7"/>
      <c r="BE974" s="7"/>
      <c r="BF974" s="7"/>
      <c r="BG974" s="7"/>
    </row>
    <row r="975" customHeight="1" spans="1:59">
      <c r="A975" s="23"/>
      <c r="B975" s="23"/>
      <c r="C975" s="23"/>
      <c r="D975" s="23"/>
      <c r="E975" s="7"/>
      <c r="F975" s="11"/>
      <c r="G975" s="11"/>
      <c r="H975" s="11"/>
      <c r="I975" s="15"/>
      <c r="J975" s="15"/>
      <c r="K975" s="15"/>
      <c r="L975" s="15"/>
      <c r="M975" s="7"/>
      <c r="N975" s="8"/>
      <c r="O975" s="8"/>
      <c r="P975" s="8"/>
      <c r="Q975" s="7"/>
      <c r="R975" s="16"/>
      <c r="S975" s="17"/>
      <c r="T975" s="8"/>
      <c r="U975" s="8"/>
      <c r="V975" s="22"/>
      <c r="W975" s="12"/>
      <c r="X975" s="12"/>
      <c r="Y975" s="12"/>
      <c r="Z975" s="12"/>
      <c r="AA975" s="7"/>
      <c r="AB975" s="12"/>
      <c r="AC975" s="6"/>
      <c r="AD975" s="6"/>
      <c r="AE975" s="7"/>
      <c r="AF975" s="7"/>
      <c r="AG975" s="7"/>
      <c r="AH975" s="7"/>
      <c r="AI975" s="7"/>
      <c r="AJ975" s="7"/>
      <c r="AK975" s="7"/>
      <c r="AL975" s="7"/>
      <c r="AM975" s="7"/>
      <c r="AN975" s="7"/>
      <c r="AO975" s="6"/>
      <c r="AP975" s="7"/>
      <c r="AQ975" s="7"/>
      <c r="AR975" s="6"/>
      <c r="AS975" s="7"/>
      <c r="AT975" s="7"/>
      <c r="AU975" s="7"/>
      <c r="AV975" s="7"/>
      <c r="AW975" s="7"/>
      <c r="AX975" s="7"/>
      <c r="AY975" s="7"/>
      <c r="AZ975" s="7"/>
      <c r="BA975" s="7"/>
      <c r="BB975" s="7"/>
      <c r="BC975" s="7"/>
      <c r="BD975" s="7"/>
      <c r="BE975" s="7"/>
      <c r="BF975" s="7"/>
      <c r="BG975" s="7"/>
    </row>
    <row r="976" customHeight="1" spans="1:59">
      <c r="A976" s="23"/>
      <c r="B976" s="23"/>
      <c r="C976" s="23"/>
      <c r="D976" s="23"/>
      <c r="E976" s="7"/>
      <c r="F976" s="11"/>
      <c r="G976" s="11"/>
      <c r="H976" s="11"/>
      <c r="I976" s="15"/>
      <c r="J976" s="15"/>
      <c r="K976" s="15"/>
      <c r="L976" s="15"/>
      <c r="M976" s="7"/>
      <c r="N976" s="8"/>
      <c r="O976" s="8"/>
      <c r="P976" s="8"/>
      <c r="Q976" s="7"/>
      <c r="R976" s="16"/>
      <c r="S976" s="17"/>
      <c r="T976" s="8"/>
      <c r="U976" s="8"/>
      <c r="V976" s="22"/>
      <c r="W976" s="12"/>
      <c r="X976" s="12"/>
      <c r="Y976" s="12"/>
      <c r="Z976" s="12"/>
      <c r="AA976" s="7"/>
      <c r="AB976" s="12"/>
      <c r="AC976" s="6"/>
      <c r="AD976" s="6"/>
      <c r="AE976" s="7"/>
      <c r="AF976" s="7"/>
      <c r="AG976" s="7"/>
      <c r="AH976" s="7"/>
      <c r="AI976" s="7"/>
      <c r="AJ976" s="7"/>
      <c r="AK976" s="7"/>
      <c r="AL976" s="7"/>
      <c r="AM976" s="7"/>
      <c r="AN976" s="7"/>
      <c r="AO976" s="6"/>
      <c r="AP976" s="7"/>
      <c r="AQ976" s="7"/>
      <c r="AR976" s="6"/>
      <c r="AS976" s="7"/>
      <c r="AT976" s="7"/>
      <c r="AU976" s="7"/>
      <c r="AV976" s="7"/>
      <c r="AW976" s="7"/>
      <c r="AX976" s="7"/>
      <c r="AY976" s="7"/>
      <c r="AZ976" s="7"/>
      <c r="BA976" s="7"/>
      <c r="BB976" s="7"/>
      <c r="BC976" s="7"/>
      <c r="BD976" s="7"/>
      <c r="BE976" s="7"/>
      <c r="BF976" s="7"/>
      <c r="BG976" s="7"/>
    </row>
    <row r="977" customHeight="1" spans="1:59">
      <c r="A977" s="23"/>
      <c r="B977" s="23"/>
      <c r="C977" s="23"/>
      <c r="D977" s="23"/>
      <c r="E977" s="7"/>
      <c r="F977" s="11"/>
      <c r="G977" s="11"/>
      <c r="H977" s="11"/>
      <c r="I977" s="15"/>
      <c r="J977" s="15"/>
      <c r="K977" s="15"/>
      <c r="L977" s="15"/>
      <c r="M977" s="7"/>
      <c r="N977" s="8"/>
      <c r="O977" s="8"/>
      <c r="P977" s="8"/>
      <c r="Q977" s="7"/>
      <c r="R977" s="16"/>
      <c r="S977" s="17"/>
      <c r="T977" s="2"/>
      <c r="U977" s="8"/>
      <c r="V977" s="22"/>
      <c r="W977" s="12"/>
      <c r="X977" s="12"/>
      <c r="Y977" s="12"/>
      <c r="Z977" s="12"/>
      <c r="AA977" s="7"/>
      <c r="AB977" s="12"/>
      <c r="AC977" s="6"/>
      <c r="AD977" s="6"/>
      <c r="AE977" s="7"/>
      <c r="AF977" s="7"/>
      <c r="AG977" s="7"/>
      <c r="AH977" s="7"/>
      <c r="AI977" s="7"/>
      <c r="AJ977" s="7"/>
      <c r="AK977" s="7"/>
      <c r="AL977" s="7"/>
      <c r="AM977" s="7"/>
      <c r="AN977" s="7"/>
      <c r="AO977" s="6"/>
      <c r="AP977" s="7"/>
      <c r="AQ977" s="7"/>
      <c r="AR977" s="6"/>
      <c r="AS977" s="7"/>
      <c r="AT977" s="7"/>
      <c r="AU977" s="7"/>
      <c r="AV977" s="7"/>
      <c r="AW977" s="7"/>
      <c r="AX977" s="7"/>
      <c r="AY977" s="7"/>
      <c r="AZ977" s="7"/>
      <c r="BA977" s="7"/>
      <c r="BB977" s="7"/>
      <c r="BC977" s="7"/>
      <c r="BD977" s="7"/>
      <c r="BE977" s="7"/>
      <c r="BF977" s="7"/>
      <c r="BG977" s="7"/>
    </row>
    <row r="978" customHeight="1" spans="1:59">
      <c r="A978" s="23"/>
      <c r="B978" s="23"/>
      <c r="C978" s="23"/>
      <c r="D978" s="23"/>
      <c r="E978" s="7"/>
      <c r="F978" s="11"/>
      <c r="G978" s="11"/>
      <c r="H978" s="11"/>
      <c r="I978" s="15"/>
      <c r="J978" s="15"/>
      <c r="K978" s="15"/>
      <c r="L978" s="15"/>
      <c r="M978" s="7"/>
      <c r="N978" s="8"/>
      <c r="O978" s="8"/>
      <c r="P978" s="8"/>
      <c r="Q978" s="7"/>
      <c r="R978" s="16"/>
      <c r="S978" s="17"/>
      <c r="T978" s="8"/>
      <c r="U978" s="8"/>
      <c r="V978" s="22"/>
      <c r="W978" s="12"/>
      <c r="X978" s="12"/>
      <c r="Y978" s="12"/>
      <c r="Z978" s="12"/>
      <c r="AA978" s="7"/>
      <c r="AB978" s="12"/>
      <c r="AC978" s="6"/>
      <c r="AD978" s="6"/>
      <c r="AE978" s="7"/>
      <c r="AF978" s="7"/>
      <c r="AG978" s="7"/>
      <c r="AH978" s="7"/>
      <c r="AI978" s="7"/>
      <c r="AJ978" s="7"/>
      <c r="AK978" s="7"/>
      <c r="AL978" s="7"/>
      <c r="AM978" s="7"/>
      <c r="AN978" s="7"/>
      <c r="AO978" s="6"/>
      <c r="AP978" s="7"/>
      <c r="AQ978" s="7"/>
      <c r="AR978" s="6"/>
      <c r="AS978" s="7"/>
      <c r="AT978" s="7"/>
      <c r="AU978" s="7"/>
      <c r="AV978" s="7"/>
      <c r="AW978" s="7"/>
      <c r="AX978" s="7"/>
      <c r="AY978" s="7"/>
      <c r="AZ978" s="7"/>
      <c r="BA978" s="7"/>
      <c r="BB978" s="7"/>
      <c r="BC978" s="7"/>
      <c r="BD978" s="7"/>
      <c r="BE978" s="7"/>
      <c r="BF978" s="7"/>
      <c r="BG978" s="7"/>
    </row>
    <row r="979" customHeight="1" spans="1:59">
      <c r="A979" s="23"/>
      <c r="B979" s="23"/>
      <c r="C979" s="23"/>
      <c r="D979" s="23"/>
      <c r="E979" s="7"/>
      <c r="F979" s="11"/>
      <c r="G979" s="11"/>
      <c r="H979" s="11"/>
      <c r="I979" s="15"/>
      <c r="J979" s="15"/>
      <c r="K979" s="15"/>
      <c r="L979" s="15"/>
      <c r="M979" s="7"/>
      <c r="N979" s="8"/>
      <c r="O979" s="8"/>
      <c r="P979" s="8"/>
      <c r="Q979" s="7"/>
      <c r="R979" s="16"/>
      <c r="S979" s="17"/>
      <c r="T979" s="8"/>
      <c r="U979" s="8"/>
      <c r="V979" s="22"/>
      <c r="W979" s="12"/>
      <c r="X979" s="12"/>
      <c r="Y979" s="12"/>
      <c r="Z979" s="12"/>
      <c r="AA979" s="7"/>
      <c r="AB979" s="12"/>
      <c r="AC979" s="6"/>
      <c r="AD979" s="6"/>
      <c r="AE979" s="7"/>
      <c r="AF979" s="7"/>
      <c r="AG979" s="7"/>
      <c r="AH979" s="7"/>
      <c r="AI979" s="7"/>
      <c r="AJ979" s="7"/>
      <c r="AK979" s="7"/>
      <c r="AL979" s="7"/>
      <c r="AM979" s="7"/>
      <c r="AN979" s="7"/>
      <c r="AO979" s="6"/>
      <c r="AP979" s="7"/>
      <c r="AQ979" s="7"/>
      <c r="AR979" s="6"/>
      <c r="AS979" s="7"/>
      <c r="AT979" s="7"/>
      <c r="AU979" s="7"/>
      <c r="AV979" s="7"/>
      <c r="AW979" s="7"/>
      <c r="AX979" s="7"/>
      <c r="AY979" s="7"/>
      <c r="AZ979" s="7"/>
      <c r="BA979" s="7"/>
      <c r="BB979" s="7"/>
      <c r="BC979" s="7"/>
      <c r="BD979" s="7"/>
      <c r="BE979" s="7"/>
      <c r="BF979" s="7"/>
      <c r="BG979" s="7"/>
    </row>
    <row r="980" customHeight="1" spans="1:59">
      <c r="A980" s="23"/>
      <c r="B980" s="23"/>
      <c r="C980" s="23"/>
      <c r="D980" s="23"/>
      <c r="E980" s="7"/>
      <c r="F980" s="11"/>
      <c r="G980" s="11"/>
      <c r="H980" s="11"/>
      <c r="I980" s="15"/>
      <c r="J980" s="15"/>
      <c r="K980" s="15"/>
      <c r="L980" s="15"/>
      <c r="M980" s="7"/>
      <c r="N980" s="8"/>
      <c r="O980" s="8"/>
      <c r="P980" s="8"/>
      <c r="Q980" s="7"/>
      <c r="R980" s="16"/>
      <c r="S980" s="17"/>
      <c r="T980" s="8"/>
      <c r="U980" s="8"/>
      <c r="V980" s="22"/>
      <c r="W980" s="12"/>
      <c r="X980" s="12"/>
      <c r="Y980" s="12"/>
      <c r="Z980" s="12"/>
      <c r="AA980" s="7"/>
      <c r="AB980" s="12"/>
      <c r="AC980" s="6"/>
      <c r="AD980" s="6"/>
      <c r="AE980" s="7"/>
      <c r="AF980" s="7"/>
      <c r="AG980" s="7"/>
      <c r="AH980" s="7"/>
      <c r="AI980" s="7"/>
      <c r="AJ980" s="7"/>
      <c r="AK980" s="7"/>
      <c r="AL980" s="7"/>
      <c r="AM980" s="7"/>
      <c r="AN980" s="7"/>
      <c r="AO980" s="6"/>
      <c r="AP980" s="7"/>
      <c r="AQ980" s="7"/>
      <c r="AR980" s="6"/>
      <c r="AS980" s="7"/>
      <c r="AT980" s="7"/>
      <c r="AU980" s="7"/>
      <c r="AV980" s="7"/>
      <c r="AW980" s="7"/>
      <c r="AX980" s="7"/>
      <c r="AY980" s="7"/>
      <c r="AZ980" s="7"/>
      <c r="BA980" s="7"/>
      <c r="BB980" s="7"/>
      <c r="BC980" s="7"/>
      <c r="BD980" s="7"/>
      <c r="BE980" s="7"/>
      <c r="BF980" s="7"/>
      <c r="BG980" s="7"/>
    </row>
    <row r="981" customHeight="1" spans="1:59">
      <c r="A981" s="23"/>
      <c r="B981" s="23"/>
      <c r="C981" s="23"/>
      <c r="D981" s="23"/>
      <c r="E981" s="7"/>
      <c r="F981" s="11"/>
      <c r="G981" s="11"/>
      <c r="H981" s="11"/>
      <c r="I981" s="15"/>
      <c r="J981" s="15"/>
      <c r="K981" s="15"/>
      <c r="L981" s="15"/>
      <c r="M981" s="7"/>
      <c r="N981" s="8"/>
      <c r="O981" s="8"/>
      <c r="P981" s="8"/>
      <c r="Q981" s="7"/>
      <c r="R981" s="16"/>
      <c r="S981" s="17"/>
      <c r="T981" s="8"/>
      <c r="U981" s="8"/>
      <c r="V981" s="22"/>
      <c r="W981" s="12"/>
      <c r="X981" s="12"/>
      <c r="Y981" s="12"/>
      <c r="Z981" s="12"/>
      <c r="AA981" s="7"/>
      <c r="AB981" s="12"/>
      <c r="AC981" s="6"/>
      <c r="AD981" s="6"/>
      <c r="AE981" s="7"/>
      <c r="AF981" s="7"/>
      <c r="AG981" s="7"/>
      <c r="AH981" s="7"/>
      <c r="AI981" s="7"/>
      <c r="AJ981" s="7"/>
      <c r="AK981" s="7"/>
      <c r="AL981" s="7"/>
      <c r="AM981" s="7"/>
      <c r="AN981" s="7"/>
      <c r="AO981" s="6"/>
      <c r="AP981" s="7"/>
      <c r="AQ981" s="7"/>
      <c r="AR981" s="6"/>
      <c r="AS981" s="7"/>
      <c r="AT981" s="7"/>
      <c r="AU981" s="7"/>
      <c r="AV981" s="7"/>
      <c r="AW981" s="7"/>
      <c r="AX981" s="7"/>
      <c r="AY981" s="7"/>
      <c r="AZ981" s="7"/>
      <c r="BA981" s="7"/>
      <c r="BB981" s="7"/>
      <c r="BC981" s="7"/>
      <c r="BD981" s="7"/>
      <c r="BE981" s="7"/>
      <c r="BF981" s="7"/>
      <c r="BG981" s="7"/>
    </row>
    <row r="982" customHeight="1" spans="1:59">
      <c r="A982" s="23"/>
      <c r="B982" s="23"/>
      <c r="C982" s="23"/>
      <c r="D982" s="23"/>
      <c r="E982" s="7"/>
      <c r="F982" s="11"/>
      <c r="G982" s="11"/>
      <c r="H982" s="11"/>
      <c r="I982" s="15"/>
      <c r="J982" s="15"/>
      <c r="K982" s="15"/>
      <c r="L982" s="15"/>
      <c r="M982" s="7"/>
      <c r="N982" s="8"/>
      <c r="O982" s="8"/>
      <c r="P982" s="8"/>
      <c r="Q982" s="7"/>
      <c r="R982" s="16"/>
      <c r="S982" s="17"/>
      <c r="T982" s="8"/>
      <c r="U982" s="8"/>
      <c r="V982" s="22"/>
      <c r="W982" s="12"/>
      <c r="X982" s="12"/>
      <c r="Y982" s="12"/>
      <c r="Z982" s="12"/>
      <c r="AA982" s="7"/>
      <c r="AB982" s="12"/>
      <c r="AC982" s="6"/>
      <c r="AD982" s="6"/>
      <c r="AE982" s="7"/>
      <c r="AF982" s="7"/>
      <c r="AG982" s="7"/>
      <c r="AH982" s="7"/>
      <c r="AI982" s="7"/>
      <c r="AJ982" s="7"/>
      <c r="AK982" s="7"/>
      <c r="AL982" s="7"/>
      <c r="AM982" s="7"/>
      <c r="AN982" s="7"/>
      <c r="AO982" s="6"/>
      <c r="AP982" s="7"/>
      <c r="AQ982" s="7"/>
      <c r="AR982" s="6"/>
      <c r="AS982" s="7"/>
      <c r="AT982" s="7"/>
      <c r="AU982" s="7"/>
      <c r="AV982" s="7"/>
      <c r="AW982" s="7"/>
      <c r="AX982" s="7"/>
      <c r="AY982" s="7"/>
      <c r="AZ982" s="7"/>
      <c r="BA982" s="7"/>
      <c r="BB982" s="7"/>
      <c r="BC982" s="7"/>
      <c r="BD982" s="7"/>
      <c r="BE982" s="7"/>
      <c r="BF982" s="7"/>
      <c r="BG982" s="7"/>
    </row>
    <row r="983" customHeight="1" spans="1:59">
      <c r="A983" s="23"/>
      <c r="B983" s="23"/>
      <c r="C983" s="23"/>
      <c r="D983" s="23"/>
      <c r="E983" s="7"/>
      <c r="F983" s="11"/>
      <c r="G983" s="11"/>
      <c r="H983" s="11"/>
      <c r="I983" s="15"/>
      <c r="J983" s="15"/>
      <c r="K983" s="15"/>
      <c r="L983" s="15"/>
      <c r="M983" s="7"/>
      <c r="N983" s="8"/>
      <c r="O983" s="8"/>
      <c r="P983" s="8"/>
      <c r="Q983" s="7"/>
      <c r="R983" s="16"/>
      <c r="S983" s="17"/>
      <c r="T983" s="8"/>
      <c r="U983" s="8"/>
      <c r="V983" s="22"/>
      <c r="W983" s="12"/>
      <c r="X983" s="12"/>
      <c r="Y983" s="12"/>
      <c r="Z983" s="12"/>
      <c r="AA983" s="7"/>
      <c r="AB983" s="12"/>
      <c r="AC983" s="6"/>
      <c r="AD983" s="6"/>
      <c r="AE983" s="7"/>
      <c r="AF983" s="7"/>
      <c r="AG983" s="7"/>
      <c r="AH983" s="7"/>
      <c r="AI983" s="7"/>
      <c r="AJ983" s="7"/>
      <c r="AK983" s="7"/>
      <c r="AL983" s="7"/>
      <c r="AM983" s="7"/>
      <c r="AN983" s="7"/>
      <c r="AO983" s="6"/>
      <c r="AP983" s="7"/>
      <c r="AQ983" s="7"/>
      <c r="AR983" s="6"/>
      <c r="AS983" s="7"/>
      <c r="AT983" s="7"/>
      <c r="AU983" s="7"/>
      <c r="AV983" s="7"/>
      <c r="AW983" s="7"/>
      <c r="AX983" s="7"/>
      <c r="AY983" s="7"/>
      <c r="AZ983" s="7"/>
      <c r="BA983" s="7"/>
      <c r="BB983" s="7"/>
      <c r="BC983" s="7"/>
      <c r="BD983" s="7"/>
      <c r="BE983" s="7"/>
      <c r="BF983" s="7"/>
      <c r="BG983" s="7"/>
    </row>
    <row r="984" customHeight="1" spans="1:59">
      <c r="A984" s="23"/>
      <c r="B984" s="23"/>
      <c r="C984" s="23"/>
      <c r="D984" s="23"/>
      <c r="E984" s="7"/>
      <c r="F984" s="11"/>
      <c r="G984" s="11"/>
      <c r="H984" s="11"/>
      <c r="I984" s="15"/>
      <c r="J984" s="15"/>
      <c r="K984" s="15"/>
      <c r="L984" s="15"/>
      <c r="M984" s="7"/>
      <c r="N984" s="8"/>
      <c r="O984" s="8"/>
      <c r="P984" s="8"/>
      <c r="Q984" s="7"/>
      <c r="R984" s="16"/>
      <c r="S984" s="17"/>
      <c r="T984" s="8"/>
      <c r="U984" s="8"/>
      <c r="V984" s="22"/>
      <c r="W984" s="12"/>
      <c r="X984" s="12"/>
      <c r="Y984" s="12"/>
      <c r="Z984" s="12"/>
      <c r="AA984" s="7"/>
      <c r="AB984" s="12"/>
      <c r="AC984" s="6"/>
      <c r="AD984" s="6"/>
      <c r="AE984" s="7"/>
      <c r="AF984" s="7"/>
      <c r="AG984" s="7"/>
      <c r="AH984" s="7"/>
      <c r="AI984" s="7"/>
      <c r="AJ984" s="7"/>
      <c r="AK984" s="7"/>
      <c r="AL984" s="7"/>
      <c r="AM984" s="7"/>
      <c r="AN984" s="7"/>
      <c r="AO984" s="6"/>
      <c r="AP984" s="7"/>
      <c r="AQ984" s="7"/>
      <c r="AR984" s="6"/>
      <c r="AS984" s="7"/>
      <c r="AT984" s="7"/>
      <c r="AU984" s="7"/>
      <c r="AV984" s="7"/>
      <c r="AW984" s="7"/>
      <c r="AX984" s="7"/>
      <c r="AY984" s="7"/>
      <c r="AZ984" s="7"/>
      <c r="BA984" s="7"/>
      <c r="BB984" s="7"/>
      <c r="BC984" s="7"/>
      <c r="BD984" s="7"/>
      <c r="BE984" s="7"/>
      <c r="BF984" s="7"/>
      <c r="BG984" s="7"/>
    </row>
    <row r="985" customHeight="1" spans="1:59">
      <c r="A985" s="23"/>
      <c r="B985" s="23"/>
      <c r="C985" s="23"/>
      <c r="D985" s="23"/>
      <c r="E985" s="7"/>
      <c r="F985" s="11"/>
      <c r="G985" s="11"/>
      <c r="H985" s="11"/>
      <c r="I985" s="15"/>
      <c r="J985" s="15"/>
      <c r="K985" s="15"/>
      <c r="L985" s="15"/>
      <c r="M985" s="7"/>
      <c r="N985" s="8"/>
      <c r="O985" s="8"/>
      <c r="P985" s="8"/>
      <c r="Q985" s="7"/>
      <c r="R985" s="16"/>
      <c r="S985" s="17"/>
      <c r="T985" s="8"/>
      <c r="U985" s="8"/>
      <c r="V985" s="22"/>
      <c r="W985" s="12"/>
      <c r="X985" s="12"/>
      <c r="Y985" s="12"/>
      <c r="Z985" s="12"/>
      <c r="AA985" s="7"/>
      <c r="AB985" s="12"/>
      <c r="AC985" s="6"/>
      <c r="AD985" s="6"/>
      <c r="AE985" s="7"/>
      <c r="AF985" s="7"/>
      <c r="AG985" s="7"/>
      <c r="AH985" s="7"/>
      <c r="AI985" s="7"/>
      <c r="AJ985" s="7"/>
      <c r="AK985" s="7"/>
      <c r="AL985" s="7"/>
      <c r="AM985" s="7"/>
      <c r="AN985" s="7"/>
      <c r="AO985" s="6"/>
      <c r="AP985" s="7"/>
      <c r="AQ985" s="7"/>
      <c r="AR985" s="6"/>
      <c r="AS985" s="7"/>
      <c r="AT985" s="7"/>
      <c r="AU985" s="7"/>
      <c r="AV985" s="7"/>
      <c r="AW985" s="7"/>
      <c r="AX985" s="7"/>
      <c r="AY985" s="7"/>
      <c r="AZ985" s="7"/>
      <c r="BA985" s="7"/>
      <c r="BB985" s="7"/>
      <c r="BC985" s="7"/>
      <c r="BD985" s="7"/>
      <c r="BE985" s="7"/>
      <c r="BF985" s="7"/>
      <c r="BG985" s="7"/>
    </row>
    <row r="986" customHeight="1" spans="1:59">
      <c r="A986" s="23"/>
      <c r="B986" s="23"/>
      <c r="C986" s="23"/>
      <c r="D986" s="23"/>
      <c r="E986" s="7"/>
      <c r="F986" s="11"/>
      <c r="G986" s="11"/>
      <c r="H986" s="11"/>
      <c r="I986" s="15"/>
      <c r="J986" s="15"/>
      <c r="K986" s="15"/>
      <c r="L986" s="15"/>
      <c r="M986" s="7"/>
      <c r="N986" s="8"/>
      <c r="O986" s="8"/>
      <c r="P986" s="8"/>
      <c r="Q986" s="7"/>
      <c r="R986" s="16"/>
      <c r="S986" s="17"/>
      <c r="T986" s="8"/>
      <c r="U986" s="8"/>
      <c r="V986" s="22"/>
      <c r="W986" s="12"/>
      <c r="X986" s="12"/>
      <c r="Y986" s="12"/>
      <c r="Z986" s="12"/>
      <c r="AA986" s="7"/>
      <c r="AB986" s="12"/>
      <c r="AC986" s="6"/>
      <c r="AD986" s="6"/>
      <c r="AE986" s="7"/>
      <c r="AF986" s="7"/>
      <c r="AG986" s="7"/>
      <c r="AH986" s="7"/>
      <c r="AI986" s="7"/>
      <c r="AJ986" s="7"/>
      <c r="AK986" s="7"/>
      <c r="AL986" s="7"/>
      <c r="AM986" s="7"/>
      <c r="AN986" s="7"/>
      <c r="AO986" s="6"/>
      <c r="AP986" s="7"/>
      <c r="AQ986" s="7"/>
      <c r="AR986" s="6"/>
      <c r="AS986" s="7"/>
      <c r="AT986" s="7"/>
      <c r="AU986" s="7"/>
      <c r="AV986" s="7"/>
      <c r="AW986" s="7"/>
      <c r="AX986" s="7"/>
      <c r="AY986" s="7"/>
      <c r="AZ986" s="7"/>
      <c r="BA986" s="7"/>
      <c r="BB986" s="7"/>
      <c r="BC986" s="7"/>
      <c r="BD986" s="7"/>
      <c r="BE986" s="7"/>
      <c r="BF986" s="7"/>
      <c r="BG986" s="7"/>
    </row>
    <row r="987" customHeight="1" spans="1:59">
      <c r="A987" s="23"/>
      <c r="B987" s="23"/>
      <c r="C987" s="23"/>
      <c r="D987" s="23"/>
      <c r="E987" s="7"/>
      <c r="F987" s="11"/>
      <c r="G987" s="11"/>
      <c r="H987" s="11"/>
      <c r="I987" s="15"/>
      <c r="J987" s="15"/>
      <c r="K987" s="15"/>
      <c r="L987" s="15"/>
      <c r="M987" s="7"/>
      <c r="N987" s="8"/>
      <c r="O987" s="8"/>
      <c r="P987" s="8"/>
      <c r="Q987" s="7"/>
      <c r="R987" s="16"/>
      <c r="S987" s="17"/>
      <c r="T987" s="8"/>
      <c r="U987" s="8"/>
      <c r="V987" s="22"/>
      <c r="W987" s="12"/>
      <c r="X987" s="12"/>
      <c r="Y987" s="12"/>
      <c r="Z987" s="12"/>
      <c r="AA987" s="7"/>
      <c r="AB987" s="12"/>
      <c r="AC987" s="6"/>
      <c r="AD987" s="6"/>
      <c r="AE987" s="7"/>
      <c r="AF987" s="7"/>
      <c r="AG987" s="7"/>
      <c r="AH987" s="7"/>
      <c r="AI987" s="7"/>
      <c r="AJ987" s="7"/>
      <c r="AK987" s="7"/>
      <c r="AL987" s="7"/>
      <c r="AM987" s="7"/>
      <c r="AN987" s="7"/>
      <c r="AO987" s="6"/>
      <c r="AP987" s="7"/>
      <c r="AQ987" s="7"/>
      <c r="AR987" s="6"/>
      <c r="AS987" s="7"/>
      <c r="AT987" s="7"/>
      <c r="AU987" s="7"/>
      <c r="AV987" s="7"/>
      <c r="AW987" s="7"/>
      <c r="AX987" s="7"/>
      <c r="AY987" s="7"/>
      <c r="AZ987" s="7"/>
      <c r="BA987" s="7"/>
      <c r="BB987" s="7"/>
      <c r="BC987" s="7"/>
      <c r="BD987" s="7"/>
      <c r="BE987" s="7"/>
      <c r="BF987" s="7"/>
      <c r="BG987" s="7"/>
    </row>
    <row r="988" customHeight="1" spans="1:59">
      <c r="A988" s="23"/>
      <c r="B988" s="23"/>
      <c r="C988" s="23"/>
      <c r="D988" s="23"/>
      <c r="E988" s="7"/>
      <c r="F988" s="11"/>
      <c r="G988" s="11"/>
      <c r="H988" s="11"/>
      <c r="I988" s="15"/>
      <c r="J988" s="15"/>
      <c r="K988" s="15"/>
      <c r="L988" s="15"/>
      <c r="M988" s="7"/>
      <c r="N988" s="8"/>
      <c r="O988" s="8"/>
      <c r="P988" s="8"/>
      <c r="Q988" s="7"/>
      <c r="R988" s="16"/>
      <c r="S988" s="17"/>
      <c r="T988" s="8"/>
      <c r="U988" s="8"/>
      <c r="V988" s="22"/>
      <c r="W988" s="12"/>
      <c r="X988" s="12"/>
      <c r="Y988" s="12"/>
      <c r="Z988" s="12"/>
      <c r="AA988" s="7"/>
      <c r="AB988" s="12"/>
      <c r="AC988" s="6"/>
      <c r="AD988" s="6"/>
      <c r="AE988" s="7"/>
      <c r="AF988" s="7"/>
      <c r="AG988" s="7"/>
      <c r="AH988" s="7"/>
      <c r="AI988" s="7"/>
      <c r="AJ988" s="7"/>
      <c r="AK988" s="7"/>
      <c r="AL988" s="7"/>
      <c r="AM988" s="7"/>
      <c r="AN988" s="7"/>
      <c r="AO988" s="6"/>
      <c r="AP988" s="7"/>
      <c r="AQ988" s="7"/>
      <c r="AR988" s="6"/>
      <c r="AS988" s="7"/>
      <c r="AT988" s="7"/>
      <c r="AU988" s="7"/>
      <c r="AV988" s="7"/>
      <c r="AW988" s="7"/>
      <c r="AX988" s="7"/>
      <c r="AY988" s="7"/>
      <c r="AZ988" s="7"/>
      <c r="BA988" s="7"/>
      <c r="BB988" s="7"/>
      <c r="BC988" s="7"/>
      <c r="BD988" s="7"/>
      <c r="BE988" s="7"/>
      <c r="BF988" s="7"/>
      <c r="BG988" s="7"/>
    </row>
    <row r="989" customHeight="1" spans="1:59">
      <c r="A989" s="23"/>
      <c r="B989" s="23"/>
      <c r="C989" s="23"/>
      <c r="D989" s="23"/>
      <c r="E989" s="7"/>
      <c r="F989" s="11"/>
      <c r="G989" s="11"/>
      <c r="H989" s="11"/>
      <c r="I989" s="15"/>
      <c r="J989" s="15"/>
      <c r="K989" s="15"/>
      <c r="L989" s="15"/>
      <c r="M989" s="7"/>
      <c r="N989" s="8"/>
      <c r="O989" s="8"/>
      <c r="P989" s="8"/>
      <c r="Q989" s="7"/>
      <c r="R989" s="16"/>
      <c r="S989" s="17"/>
      <c r="T989" s="8"/>
      <c r="U989" s="8"/>
      <c r="V989" s="22"/>
      <c r="W989" s="12"/>
      <c r="X989" s="12"/>
      <c r="Y989" s="12"/>
      <c r="Z989" s="12"/>
      <c r="AA989" s="7"/>
      <c r="AB989" s="12"/>
      <c r="AC989" s="6"/>
      <c r="AD989" s="6"/>
      <c r="AE989" s="7"/>
      <c r="AF989" s="7"/>
      <c r="AG989" s="7"/>
      <c r="AH989" s="7"/>
      <c r="AI989" s="7"/>
      <c r="AJ989" s="7"/>
      <c r="AK989" s="7"/>
      <c r="AL989" s="7"/>
      <c r="AM989" s="7"/>
      <c r="AN989" s="7"/>
      <c r="AO989" s="6"/>
      <c r="AP989" s="7"/>
      <c r="AQ989" s="7"/>
      <c r="AR989" s="6"/>
      <c r="AS989" s="7"/>
      <c r="AT989" s="7"/>
      <c r="AU989" s="7"/>
      <c r="AV989" s="7"/>
      <c r="AW989" s="7"/>
      <c r="AX989" s="7"/>
      <c r="AY989" s="7"/>
      <c r="AZ989" s="7"/>
      <c r="BA989" s="7"/>
      <c r="BB989" s="7"/>
      <c r="BC989" s="7"/>
      <c r="BD989" s="7"/>
      <c r="BE989" s="7"/>
      <c r="BF989" s="7"/>
      <c r="BG989" s="7"/>
    </row>
    <row r="990" customHeight="1" spans="1:59">
      <c r="A990" s="23"/>
      <c r="B990" s="23"/>
      <c r="C990" s="23"/>
      <c r="D990" s="23"/>
      <c r="E990" s="7"/>
      <c r="F990" s="11"/>
      <c r="G990" s="11"/>
      <c r="H990" s="11"/>
      <c r="I990" s="15"/>
      <c r="J990" s="15"/>
      <c r="K990" s="15"/>
      <c r="L990" s="15"/>
      <c r="M990" s="7"/>
      <c r="N990" s="8"/>
      <c r="O990" s="8"/>
      <c r="P990" s="8"/>
      <c r="Q990" s="7"/>
      <c r="R990" s="16"/>
      <c r="S990" s="17"/>
      <c r="T990" s="8"/>
      <c r="U990" s="8"/>
      <c r="V990" s="22"/>
      <c r="W990" s="12"/>
      <c r="X990" s="12"/>
      <c r="Y990" s="12"/>
      <c r="Z990" s="12"/>
      <c r="AA990" s="7"/>
      <c r="AB990" s="12"/>
      <c r="AC990" s="6"/>
      <c r="AD990" s="6"/>
      <c r="AE990" s="7"/>
      <c r="AF990" s="7"/>
      <c r="AG990" s="7"/>
      <c r="AH990" s="7"/>
      <c r="AI990" s="7"/>
      <c r="AJ990" s="7"/>
      <c r="AK990" s="7"/>
      <c r="AL990" s="7"/>
      <c r="AM990" s="7"/>
      <c r="AN990" s="7"/>
      <c r="AO990" s="6"/>
      <c r="AP990" s="7"/>
      <c r="AQ990" s="7"/>
      <c r="AR990" s="6"/>
      <c r="AS990" s="7"/>
      <c r="AT990" s="7"/>
      <c r="AU990" s="7"/>
      <c r="AV990" s="7"/>
      <c r="AW990" s="7"/>
      <c r="AX990" s="7"/>
      <c r="AY990" s="7"/>
      <c r="AZ990" s="7"/>
      <c r="BA990" s="7"/>
      <c r="BB990" s="7"/>
      <c r="BC990" s="7"/>
      <c r="BD990" s="7"/>
      <c r="BE990" s="7"/>
      <c r="BF990" s="7"/>
      <c r="BG990" s="7"/>
    </row>
    <row r="991" customHeight="1" spans="1:59">
      <c r="A991" s="23"/>
      <c r="B991" s="23"/>
      <c r="C991" s="23"/>
      <c r="D991" s="23"/>
      <c r="E991" s="7"/>
      <c r="F991" s="11"/>
      <c r="G991" s="11"/>
      <c r="H991" s="11"/>
      <c r="I991" s="15"/>
      <c r="J991" s="15"/>
      <c r="K991" s="15"/>
      <c r="L991" s="15"/>
      <c r="M991" s="7"/>
      <c r="N991" s="8"/>
      <c r="O991" s="8"/>
      <c r="P991" s="8"/>
      <c r="Q991" s="7"/>
      <c r="R991" s="16"/>
      <c r="S991" s="17"/>
      <c r="T991" s="8"/>
      <c r="U991" s="8"/>
      <c r="V991" s="22"/>
      <c r="W991" s="12"/>
      <c r="X991" s="12"/>
      <c r="Y991" s="12"/>
      <c r="Z991" s="12"/>
      <c r="AA991" s="7"/>
      <c r="AB991" s="12"/>
      <c r="AC991" s="6"/>
      <c r="AD991" s="6"/>
      <c r="AE991" s="7"/>
      <c r="AF991" s="7"/>
      <c r="AG991" s="7"/>
      <c r="AH991" s="7"/>
      <c r="AI991" s="7"/>
      <c r="AJ991" s="7"/>
      <c r="AK991" s="7"/>
      <c r="AL991" s="7"/>
      <c r="AM991" s="7"/>
      <c r="AN991" s="7"/>
      <c r="AO991" s="6"/>
      <c r="AP991" s="7"/>
      <c r="AQ991" s="7"/>
      <c r="AR991" s="6"/>
      <c r="AS991" s="7"/>
      <c r="AT991" s="7"/>
      <c r="AU991" s="7"/>
      <c r="AV991" s="7"/>
      <c r="AW991" s="7"/>
      <c r="AX991" s="7"/>
      <c r="AY991" s="7"/>
      <c r="AZ991" s="7"/>
      <c r="BA991" s="7"/>
      <c r="BB991" s="7"/>
      <c r="BC991" s="7"/>
      <c r="BD991" s="7"/>
      <c r="BE991" s="7"/>
      <c r="BF991" s="7"/>
      <c r="BG991" s="7"/>
    </row>
    <row r="992" customHeight="1" spans="1:59">
      <c r="A992" s="23"/>
      <c r="B992" s="23"/>
      <c r="C992" s="23"/>
      <c r="D992" s="23"/>
      <c r="E992" s="7"/>
      <c r="F992" s="8"/>
      <c r="G992" s="8"/>
      <c r="H992" s="8"/>
      <c r="I992" s="27"/>
      <c r="J992" s="27"/>
      <c r="K992" s="27"/>
      <c r="L992" s="27"/>
      <c r="M992" s="7"/>
      <c r="N992" s="8"/>
      <c r="O992" s="8"/>
      <c r="P992" s="8"/>
      <c r="Q992" s="7"/>
      <c r="R992" s="16"/>
      <c r="S992" s="17"/>
      <c r="T992" s="8"/>
      <c r="U992" s="8"/>
      <c r="V992" s="22"/>
      <c r="W992" s="12"/>
      <c r="X992" s="12"/>
      <c r="Y992" s="12"/>
      <c r="Z992" s="12"/>
      <c r="AA992" s="7"/>
      <c r="AB992" s="12"/>
      <c r="AC992" s="6"/>
      <c r="AD992" s="6"/>
      <c r="AE992" s="7"/>
      <c r="AF992" s="7"/>
      <c r="AG992" s="7"/>
      <c r="AH992" s="7"/>
      <c r="AI992" s="7"/>
      <c r="AJ992" s="7"/>
      <c r="AK992" s="7"/>
      <c r="AL992" s="7"/>
      <c r="AM992" s="7"/>
      <c r="AN992" s="7"/>
      <c r="AO992" s="6"/>
      <c r="AP992" s="7"/>
      <c r="AQ992" s="7"/>
      <c r="AR992" s="6"/>
      <c r="AS992" s="7"/>
      <c r="AT992" s="7"/>
      <c r="AU992" s="7"/>
      <c r="AV992" s="7"/>
      <c r="AW992" s="7"/>
      <c r="AX992" s="7"/>
      <c r="AY992" s="7"/>
      <c r="AZ992" s="7"/>
      <c r="BA992" s="7"/>
      <c r="BB992" s="7"/>
      <c r="BC992" s="7"/>
      <c r="BD992" s="7"/>
      <c r="BE992" s="7"/>
      <c r="BF992" s="7"/>
      <c r="BG992" s="7"/>
    </row>
    <row r="993" customHeight="1" spans="1:59">
      <c r="A993" s="23"/>
      <c r="B993" s="23"/>
      <c r="C993" s="23"/>
      <c r="D993" s="23"/>
      <c r="E993" s="7"/>
      <c r="F993" s="8"/>
      <c r="G993" s="8"/>
      <c r="H993" s="8"/>
      <c r="I993" s="27"/>
      <c r="J993" s="27"/>
      <c r="K993" s="27"/>
      <c r="L993" s="27"/>
      <c r="M993" s="7"/>
      <c r="N993" s="8"/>
      <c r="O993" s="8"/>
      <c r="P993" s="8"/>
      <c r="Q993" s="7"/>
      <c r="R993" s="16"/>
      <c r="S993" s="17"/>
      <c r="T993" s="8"/>
      <c r="U993" s="8"/>
      <c r="V993" s="22"/>
      <c r="W993" s="12"/>
      <c r="X993" s="12"/>
      <c r="Y993" s="12"/>
      <c r="Z993" s="12"/>
      <c r="AA993" s="7"/>
      <c r="AB993" s="12"/>
      <c r="AC993" s="6"/>
      <c r="AD993" s="6"/>
      <c r="AE993" s="7"/>
      <c r="AF993" s="7"/>
      <c r="AG993" s="7"/>
      <c r="AH993" s="7"/>
      <c r="AI993" s="7"/>
      <c r="AJ993" s="7"/>
      <c r="AK993" s="7"/>
      <c r="AL993" s="7"/>
      <c r="AM993" s="7"/>
      <c r="AN993" s="7"/>
      <c r="AO993" s="6"/>
      <c r="AP993" s="7"/>
      <c r="AQ993" s="7"/>
      <c r="AR993" s="6"/>
      <c r="AS993" s="7"/>
      <c r="AT993" s="7"/>
      <c r="AU993" s="7"/>
      <c r="AV993" s="7"/>
      <c r="AW993" s="7"/>
      <c r="AX993" s="7"/>
      <c r="AY993" s="7"/>
      <c r="AZ993" s="7"/>
      <c r="BA993" s="7"/>
      <c r="BB993" s="7"/>
      <c r="BC993" s="7"/>
      <c r="BD993" s="7"/>
      <c r="BE993" s="7"/>
      <c r="BF993" s="7"/>
      <c r="BG993" s="7"/>
    </row>
    <row r="994" customHeight="1" spans="1:59">
      <c r="A994" s="23"/>
      <c r="B994" s="23"/>
      <c r="C994" s="23"/>
      <c r="D994" s="23"/>
      <c r="E994" s="7"/>
      <c r="F994" s="8"/>
      <c r="G994" s="8"/>
      <c r="H994" s="8"/>
      <c r="I994" s="27"/>
      <c r="J994" s="27"/>
      <c r="K994" s="27"/>
      <c r="L994" s="27"/>
      <c r="M994" s="7"/>
      <c r="N994" s="8"/>
      <c r="O994" s="8"/>
      <c r="P994" s="8"/>
      <c r="Q994" s="7"/>
      <c r="R994" s="16"/>
      <c r="S994" s="17"/>
      <c r="T994" s="8"/>
      <c r="U994" s="8"/>
      <c r="V994" s="22"/>
      <c r="W994" s="12"/>
      <c r="X994" s="12"/>
      <c r="Y994" s="12"/>
      <c r="Z994" s="12"/>
      <c r="AA994" s="7"/>
      <c r="AB994" s="12"/>
      <c r="AC994" s="6"/>
      <c r="AD994" s="6"/>
      <c r="AE994" s="7"/>
      <c r="AF994" s="7"/>
      <c r="AG994" s="7"/>
      <c r="AH994" s="7"/>
      <c r="AI994" s="7"/>
      <c r="AJ994" s="7"/>
      <c r="AK994" s="7"/>
      <c r="AL994" s="7"/>
      <c r="AM994" s="7"/>
      <c r="AN994" s="7"/>
      <c r="AO994" s="6"/>
      <c r="AP994" s="7"/>
      <c r="AQ994" s="7"/>
      <c r="AR994" s="6"/>
      <c r="AS994" s="7"/>
      <c r="AT994" s="7"/>
      <c r="AU994" s="7"/>
      <c r="AV994" s="7"/>
      <c r="AW994" s="7"/>
      <c r="AX994" s="7"/>
      <c r="AY994" s="7"/>
      <c r="AZ994" s="7"/>
      <c r="BA994" s="7"/>
      <c r="BB994" s="7"/>
      <c r="BC994" s="7"/>
      <c r="BD994" s="7"/>
      <c r="BE994" s="7"/>
      <c r="BF994" s="7"/>
      <c r="BG994" s="7"/>
    </row>
    <row r="995" customHeight="1" spans="1:59">
      <c r="A995" s="23"/>
      <c r="B995" s="23"/>
      <c r="C995" s="23"/>
      <c r="D995" s="23"/>
      <c r="E995" s="7"/>
      <c r="F995" s="8"/>
      <c r="G995" s="8"/>
      <c r="H995" s="8"/>
      <c r="I995" s="27"/>
      <c r="J995" s="27"/>
      <c r="K995" s="27"/>
      <c r="L995" s="27"/>
      <c r="M995" s="7"/>
      <c r="N995" s="8"/>
      <c r="O995" s="8"/>
      <c r="P995" s="8"/>
      <c r="Q995" s="7"/>
      <c r="R995" s="16"/>
      <c r="S995" s="17"/>
      <c r="T995" s="8"/>
      <c r="U995" s="8"/>
      <c r="V995" s="22"/>
      <c r="W995" s="12"/>
      <c r="X995" s="12"/>
      <c r="Y995" s="12"/>
      <c r="Z995" s="12"/>
      <c r="AA995" s="7"/>
      <c r="AB995" s="12"/>
      <c r="AC995" s="6"/>
      <c r="AD995" s="6"/>
      <c r="AE995" s="7"/>
      <c r="AF995" s="7"/>
      <c r="AG995" s="7"/>
      <c r="AH995" s="7"/>
      <c r="AI995" s="7"/>
      <c r="AJ995" s="7"/>
      <c r="AK995" s="7"/>
      <c r="AL995" s="7"/>
      <c r="AM995" s="7"/>
      <c r="AN995" s="7"/>
      <c r="AO995" s="6"/>
      <c r="AP995" s="7"/>
      <c r="AQ995" s="7"/>
      <c r="AR995" s="6"/>
      <c r="AS995" s="7"/>
      <c r="AT995" s="7"/>
      <c r="AU995" s="7"/>
      <c r="AV995" s="7"/>
      <c r="AW995" s="7"/>
      <c r="AX995" s="7"/>
      <c r="AY995" s="7"/>
      <c r="AZ995" s="7"/>
      <c r="BA995" s="7"/>
      <c r="BB995" s="7"/>
      <c r="BC995" s="7"/>
      <c r="BD995" s="7"/>
      <c r="BE995" s="7"/>
      <c r="BF995" s="7"/>
      <c r="BG995" s="7"/>
    </row>
    <row r="996" customHeight="1" spans="1:59">
      <c r="A996" s="23"/>
      <c r="B996" s="23"/>
      <c r="C996" s="23"/>
      <c r="D996" s="23"/>
      <c r="E996" s="7"/>
      <c r="F996" s="8"/>
      <c r="G996" s="8"/>
      <c r="H996" s="8"/>
      <c r="I996" s="27"/>
      <c r="J996" s="27"/>
      <c r="K996" s="27"/>
      <c r="L996" s="27"/>
      <c r="M996" s="7"/>
      <c r="N996" s="8"/>
      <c r="O996" s="8"/>
      <c r="P996" s="8"/>
      <c r="Q996" s="7"/>
      <c r="R996" s="16"/>
      <c r="S996" s="17"/>
      <c r="T996" s="8"/>
      <c r="U996" s="8"/>
      <c r="V996" s="22"/>
      <c r="W996" s="12"/>
      <c r="X996" s="12"/>
      <c r="Y996" s="12"/>
      <c r="Z996" s="12"/>
      <c r="AA996" s="7"/>
      <c r="AB996" s="12"/>
      <c r="AC996" s="6"/>
      <c r="AD996" s="6"/>
      <c r="AE996" s="7"/>
      <c r="AF996" s="7"/>
      <c r="AG996" s="7"/>
      <c r="AH996" s="7"/>
      <c r="AI996" s="7"/>
      <c r="AJ996" s="7"/>
      <c r="AK996" s="7"/>
      <c r="AL996" s="7"/>
      <c r="AM996" s="7"/>
      <c r="AN996" s="7"/>
      <c r="AO996" s="6"/>
      <c r="AP996" s="7"/>
      <c r="AQ996" s="7"/>
      <c r="AR996" s="6"/>
      <c r="AS996" s="7"/>
      <c r="AT996" s="7"/>
      <c r="AU996" s="7"/>
      <c r="AV996" s="7"/>
      <c r="AW996" s="7"/>
      <c r="AX996" s="7"/>
      <c r="AY996" s="7"/>
      <c r="AZ996" s="7"/>
      <c r="BA996" s="7"/>
      <c r="BB996" s="7"/>
      <c r="BC996" s="7"/>
      <c r="BD996" s="7"/>
      <c r="BE996" s="7"/>
      <c r="BF996" s="7"/>
      <c r="BG996" s="7"/>
    </row>
    <row r="997" customHeight="1" spans="1:59">
      <c r="A997" s="23"/>
      <c r="B997" s="23"/>
      <c r="C997" s="23"/>
      <c r="D997" s="23"/>
      <c r="E997" s="7"/>
      <c r="F997" s="8"/>
      <c r="G997" s="8"/>
      <c r="H997" s="8"/>
      <c r="I997" s="27"/>
      <c r="J997" s="27"/>
      <c r="K997" s="27"/>
      <c r="L997" s="27"/>
      <c r="M997" s="7"/>
      <c r="N997" s="8"/>
      <c r="O997" s="8"/>
      <c r="P997" s="8"/>
      <c r="Q997" s="7"/>
      <c r="R997" s="16"/>
      <c r="S997" s="17"/>
      <c r="T997" s="8"/>
      <c r="U997" s="8"/>
      <c r="V997" s="22"/>
      <c r="W997" s="12"/>
      <c r="X997" s="12"/>
      <c r="Y997" s="12"/>
      <c r="Z997" s="12"/>
      <c r="AA997" s="7"/>
      <c r="AB997" s="12"/>
      <c r="AC997" s="6"/>
      <c r="AD997" s="6"/>
      <c r="AE997" s="7"/>
      <c r="AF997" s="7"/>
      <c r="AG997" s="7"/>
      <c r="AH997" s="7"/>
      <c r="AI997" s="7"/>
      <c r="AJ997" s="7"/>
      <c r="AK997" s="7"/>
      <c r="AL997" s="7"/>
      <c r="AM997" s="7"/>
      <c r="AN997" s="7"/>
      <c r="AO997" s="6"/>
      <c r="AP997" s="7"/>
      <c r="AQ997" s="7"/>
      <c r="AR997" s="6"/>
      <c r="AS997" s="7"/>
      <c r="AT997" s="7"/>
      <c r="AU997" s="7"/>
      <c r="AV997" s="7"/>
      <c r="AW997" s="7"/>
      <c r="AX997" s="7"/>
      <c r="AY997" s="7"/>
      <c r="AZ997" s="7"/>
      <c r="BA997" s="7"/>
      <c r="BB997" s="7"/>
      <c r="BC997" s="7"/>
      <c r="BD997" s="7"/>
      <c r="BE997" s="7"/>
      <c r="BF997" s="7"/>
      <c r="BG997" s="7"/>
    </row>
    <row r="998" customHeight="1" spans="1:59">
      <c r="A998" s="23"/>
      <c r="B998" s="23"/>
      <c r="C998" s="23"/>
      <c r="D998" s="23"/>
      <c r="E998" s="7"/>
      <c r="F998" s="8"/>
      <c r="G998" s="8"/>
      <c r="H998" s="8"/>
      <c r="I998" s="27"/>
      <c r="J998" s="27"/>
      <c r="K998" s="27"/>
      <c r="L998" s="27"/>
      <c r="M998" s="7"/>
      <c r="N998" s="8"/>
      <c r="O998" s="8"/>
      <c r="P998" s="8"/>
      <c r="Q998" s="7"/>
      <c r="R998" s="16"/>
      <c r="S998" s="17"/>
      <c r="T998" s="8"/>
      <c r="U998" s="8"/>
      <c r="V998" s="22"/>
      <c r="W998" s="12"/>
      <c r="X998" s="12"/>
      <c r="Y998" s="12"/>
      <c r="Z998" s="12"/>
      <c r="AA998" s="7"/>
      <c r="AB998" s="12"/>
      <c r="AC998" s="6"/>
      <c r="AD998" s="6"/>
      <c r="AE998" s="7"/>
      <c r="AF998" s="7"/>
      <c r="AG998" s="7"/>
      <c r="AH998" s="7"/>
      <c r="AI998" s="7"/>
      <c r="AJ998" s="7"/>
      <c r="AK998" s="7"/>
      <c r="AL998" s="7"/>
      <c r="AM998" s="7"/>
      <c r="AN998" s="7"/>
      <c r="AO998" s="6"/>
      <c r="AP998" s="7"/>
      <c r="AQ998" s="7"/>
      <c r="AR998" s="6"/>
      <c r="AS998" s="7"/>
      <c r="AT998" s="7"/>
      <c r="AU998" s="7"/>
      <c r="AV998" s="7"/>
      <c r="AW998" s="7"/>
      <c r="AX998" s="7"/>
      <c r="AY998" s="7"/>
      <c r="AZ998" s="7"/>
      <c r="BA998" s="7"/>
      <c r="BB998" s="7"/>
      <c r="BC998" s="7"/>
      <c r="BD998" s="7"/>
      <c r="BE998" s="7"/>
      <c r="BF998" s="7"/>
      <c r="BG998" s="7"/>
    </row>
    <row r="999" customHeight="1" spans="1:59">
      <c r="A999" s="23"/>
      <c r="B999" s="23"/>
      <c r="C999" s="23"/>
      <c r="D999" s="23"/>
      <c r="E999" s="7"/>
      <c r="F999" s="8"/>
      <c r="G999" s="8"/>
      <c r="H999" s="8"/>
      <c r="I999" s="27"/>
      <c r="J999" s="27"/>
      <c r="K999" s="27"/>
      <c r="L999" s="27"/>
      <c r="M999" s="7"/>
      <c r="N999" s="8"/>
      <c r="O999" s="8"/>
      <c r="P999" s="8"/>
      <c r="Q999" s="7"/>
      <c r="R999" s="16"/>
      <c r="S999" s="17"/>
      <c r="T999" s="8"/>
      <c r="U999" s="8"/>
      <c r="V999" s="22"/>
      <c r="W999" s="12"/>
      <c r="X999" s="12"/>
      <c r="Y999" s="12"/>
      <c r="Z999" s="12"/>
      <c r="AA999" s="7"/>
      <c r="AB999" s="12"/>
      <c r="AC999" s="6"/>
      <c r="AD999" s="6"/>
      <c r="AE999" s="7"/>
      <c r="AF999" s="7"/>
      <c r="AG999" s="7"/>
      <c r="AH999" s="7"/>
      <c r="AI999" s="7"/>
      <c r="AJ999" s="7"/>
      <c r="AK999" s="7"/>
      <c r="AL999" s="7"/>
      <c r="AM999" s="7"/>
      <c r="AN999" s="7"/>
      <c r="AO999" s="6"/>
      <c r="AP999" s="7"/>
      <c r="AQ999" s="7"/>
      <c r="AR999" s="6"/>
      <c r="AS999" s="7"/>
      <c r="AT999" s="7"/>
      <c r="AU999" s="7"/>
      <c r="AV999" s="7"/>
      <c r="AW999" s="7"/>
      <c r="AX999" s="7"/>
      <c r="AY999" s="7"/>
      <c r="AZ999" s="7"/>
      <c r="BA999" s="7"/>
      <c r="BB999" s="7"/>
      <c r="BC999" s="7"/>
      <c r="BD999" s="7"/>
      <c r="BE999" s="7"/>
      <c r="BF999" s="7"/>
      <c r="BG999" s="7"/>
    </row>
    <row r="1000" customHeight="1" spans="1:59">
      <c r="A1000" s="23"/>
      <c r="B1000" s="23"/>
      <c r="C1000" s="23"/>
      <c r="D1000" s="23"/>
      <c r="E1000" s="7"/>
      <c r="F1000" s="8"/>
      <c r="G1000" s="8"/>
      <c r="H1000" s="8"/>
      <c r="I1000" s="27"/>
      <c r="J1000" s="27"/>
      <c r="K1000" s="27"/>
      <c r="L1000" s="27"/>
      <c r="M1000" s="7"/>
      <c r="N1000" s="8"/>
      <c r="O1000" s="8"/>
      <c r="P1000" s="8"/>
      <c r="Q1000" s="7"/>
      <c r="R1000" s="16"/>
      <c r="S1000" s="17"/>
      <c r="T1000" s="8"/>
      <c r="U1000" s="8"/>
      <c r="V1000" s="22"/>
      <c r="W1000" s="12"/>
      <c r="X1000" s="12"/>
      <c r="Y1000" s="12"/>
      <c r="Z1000" s="12"/>
      <c r="AA1000" s="7"/>
      <c r="AB1000" s="12"/>
      <c r="AC1000" s="6"/>
      <c r="AD1000" s="6"/>
      <c r="AE1000" s="7"/>
      <c r="AF1000" s="7"/>
      <c r="AG1000" s="7"/>
      <c r="AH1000" s="7"/>
      <c r="AI1000" s="7"/>
      <c r="AJ1000" s="7"/>
      <c r="AK1000" s="7"/>
      <c r="AL1000" s="7"/>
      <c r="AM1000" s="7"/>
      <c r="AN1000" s="7"/>
      <c r="AO1000" s="6"/>
      <c r="AP1000" s="7"/>
      <c r="AQ1000" s="7"/>
      <c r="AR1000" s="6"/>
      <c r="AS1000" s="7"/>
      <c r="AT1000" s="7"/>
      <c r="AU1000" s="7"/>
      <c r="AV1000" s="7"/>
      <c r="AW1000" s="7"/>
      <c r="AX1000" s="7"/>
      <c r="AY1000" s="7"/>
      <c r="AZ1000" s="7"/>
      <c r="BA1000" s="7"/>
      <c r="BB1000" s="7"/>
      <c r="BC1000" s="7"/>
      <c r="BD1000" s="7"/>
      <c r="BE1000" s="7"/>
      <c r="BF1000" s="7"/>
      <c r="BG1000" s="7"/>
    </row>
    <row r="1001" customHeight="1" spans="1:59">
      <c r="A1001" s="23"/>
      <c r="B1001" s="23"/>
      <c r="C1001" s="23"/>
      <c r="D1001" s="23"/>
      <c r="E1001" s="7"/>
      <c r="F1001" s="8"/>
      <c r="G1001" s="8"/>
      <c r="H1001" s="8"/>
      <c r="I1001" s="27"/>
      <c r="J1001" s="27"/>
      <c r="K1001" s="27"/>
      <c r="L1001" s="27"/>
      <c r="M1001" s="7"/>
      <c r="N1001" s="8"/>
      <c r="O1001" s="8"/>
      <c r="P1001" s="8"/>
      <c r="Q1001" s="7"/>
      <c r="R1001" s="16"/>
      <c r="S1001" s="17"/>
      <c r="T1001" s="8"/>
      <c r="U1001" s="8"/>
      <c r="V1001" s="22"/>
      <c r="W1001" s="12"/>
      <c r="X1001" s="12"/>
      <c r="Y1001" s="12"/>
      <c r="Z1001" s="12"/>
      <c r="AA1001" s="7"/>
      <c r="AB1001" s="12"/>
      <c r="AC1001" s="6"/>
      <c r="AD1001" s="6"/>
      <c r="AE1001" s="7"/>
      <c r="AF1001" s="7"/>
      <c r="AG1001" s="7"/>
      <c r="AH1001" s="7"/>
      <c r="AI1001" s="7"/>
      <c r="AJ1001" s="7"/>
      <c r="AK1001" s="7"/>
      <c r="AL1001" s="7"/>
      <c r="AM1001" s="7"/>
      <c r="AN1001" s="7"/>
      <c r="AO1001" s="6"/>
      <c r="AP1001" s="7"/>
      <c r="AQ1001" s="7"/>
      <c r="AR1001" s="6"/>
      <c r="AS1001" s="7"/>
      <c r="AT1001" s="7"/>
      <c r="AU1001" s="7"/>
      <c r="AV1001" s="7"/>
      <c r="AW1001" s="7"/>
      <c r="AX1001" s="7"/>
      <c r="AY1001" s="7"/>
      <c r="AZ1001" s="7"/>
      <c r="BA1001" s="7"/>
      <c r="BB1001" s="7"/>
      <c r="BC1001" s="7"/>
      <c r="BD1001" s="7"/>
      <c r="BE1001" s="7"/>
      <c r="BF1001" s="7"/>
      <c r="BG1001" s="7"/>
    </row>
    <row r="1002" customHeight="1" spans="1:59">
      <c r="A1002" s="23"/>
      <c r="B1002" s="23"/>
      <c r="C1002" s="23"/>
      <c r="D1002" s="23"/>
      <c r="E1002" s="7"/>
      <c r="F1002" s="8"/>
      <c r="G1002" s="8"/>
      <c r="H1002" s="8"/>
      <c r="I1002" s="27"/>
      <c r="J1002" s="27"/>
      <c r="K1002" s="27"/>
      <c r="L1002" s="27"/>
      <c r="M1002" s="7"/>
      <c r="N1002" s="8"/>
      <c r="O1002" s="8"/>
      <c r="P1002" s="8"/>
      <c r="Q1002" s="7"/>
      <c r="R1002" s="16"/>
      <c r="S1002" s="17"/>
      <c r="T1002" s="8"/>
      <c r="U1002" s="8"/>
      <c r="V1002" s="22"/>
      <c r="W1002" s="12"/>
      <c r="X1002" s="12"/>
      <c r="Y1002" s="12"/>
      <c r="Z1002" s="12"/>
      <c r="AA1002" s="7"/>
      <c r="AB1002" s="12"/>
      <c r="AC1002" s="6"/>
      <c r="AD1002" s="6"/>
      <c r="AE1002" s="7"/>
      <c r="AF1002" s="7"/>
      <c r="AG1002" s="7"/>
      <c r="AH1002" s="7"/>
      <c r="AI1002" s="7"/>
      <c r="AJ1002" s="7"/>
      <c r="AK1002" s="7"/>
      <c r="AL1002" s="7"/>
      <c r="AM1002" s="7"/>
      <c r="AN1002" s="7"/>
      <c r="AO1002" s="6"/>
      <c r="AP1002" s="7"/>
      <c r="AQ1002" s="7"/>
      <c r="AR1002" s="6"/>
      <c r="AS1002" s="7"/>
      <c r="AT1002" s="7"/>
      <c r="AU1002" s="7"/>
      <c r="AV1002" s="7"/>
      <c r="AW1002" s="7"/>
      <c r="AX1002" s="7"/>
      <c r="AY1002" s="7"/>
      <c r="AZ1002" s="7"/>
      <c r="BA1002" s="7"/>
      <c r="BB1002" s="7"/>
      <c r="BC1002" s="7"/>
      <c r="BD1002" s="7"/>
      <c r="BE1002" s="7"/>
      <c r="BF1002" s="7"/>
      <c r="BG1002" s="7"/>
    </row>
    <row r="1003" customHeight="1" spans="1:59">
      <c r="A1003" s="23"/>
      <c r="B1003" s="23"/>
      <c r="C1003" s="23"/>
      <c r="D1003" s="23"/>
      <c r="E1003" s="7"/>
      <c r="F1003" s="8"/>
      <c r="G1003" s="8"/>
      <c r="H1003" s="8"/>
      <c r="I1003" s="27"/>
      <c r="J1003" s="27"/>
      <c r="K1003" s="27"/>
      <c r="L1003" s="27"/>
      <c r="M1003" s="7"/>
      <c r="N1003" s="8"/>
      <c r="O1003" s="8"/>
      <c r="P1003" s="8"/>
      <c r="Q1003" s="7"/>
      <c r="R1003" s="16"/>
      <c r="S1003" s="17"/>
      <c r="T1003" s="8"/>
      <c r="U1003" s="8"/>
      <c r="V1003" s="22"/>
      <c r="W1003" s="12"/>
      <c r="X1003" s="12"/>
      <c r="Y1003" s="12"/>
      <c r="Z1003" s="12"/>
      <c r="AA1003" s="7"/>
      <c r="AB1003" s="12"/>
      <c r="AC1003" s="6"/>
      <c r="AD1003" s="6"/>
      <c r="AE1003" s="7"/>
      <c r="AF1003" s="7"/>
      <c r="AG1003" s="7"/>
      <c r="AH1003" s="7"/>
      <c r="AI1003" s="7"/>
      <c r="AJ1003" s="7"/>
      <c r="AK1003" s="7"/>
      <c r="AL1003" s="7"/>
      <c r="AM1003" s="7"/>
      <c r="AN1003" s="7"/>
      <c r="AO1003" s="6"/>
      <c r="AP1003" s="7"/>
      <c r="AQ1003" s="7"/>
      <c r="AR1003" s="6"/>
      <c r="AS1003" s="7"/>
      <c r="AT1003" s="7"/>
      <c r="AU1003" s="7"/>
      <c r="AV1003" s="7"/>
      <c r="AW1003" s="7"/>
      <c r="AX1003" s="7"/>
      <c r="AY1003" s="7"/>
      <c r="AZ1003" s="7"/>
      <c r="BA1003" s="7"/>
      <c r="BB1003" s="7"/>
      <c r="BC1003" s="7"/>
      <c r="BD1003" s="7"/>
      <c r="BE1003" s="7"/>
      <c r="BF1003" s="7"/>
      <c r="BG1003" s="7"/>
    </row>
    <row r="1004" customHeight="1" spans="1:59">
      <c r="A1004" s="23"/>
      <c r="B1004" s="23"/>
      <c r="C1004" s="23"/>
      <c r="D1004" s="23"/>
      <c r="E1004" s="7"/>
      <c r="F1004" s="8"/>
      <c r="G1004" s="8"/>
      <c r="H1004" s="8"/>
      <c r="I1004" s="27"/>
      <c r="J1004" s="27"/>
      <c r="K1004" s="27"/>
      <c r="L1004" s="27"/>
      <c r="M1004" s="7"/>
      <c r="N1004" s="8"/>
      <c r="O1004" s="8"/>
      <c r="P1004" s="8"/>
      <c r="Q1004" s="7"/>
      <c r="R1004" s="16"/>
      <c r="S1004" s="17"/>
      <c r="T1004" s="8"/>
      <c r="U1004" s="8"/>
      <c r="V1004" s="22"/>
      <c r="W1004" s="12"/>
      <c r="X1004" s="12"/>
      <c r="Y1004" s="12"/>
      <c r="Z1004" s="12"/>
      <c r="AA1004" s="7"/>
      <c r="AB1004" s="12"/>
      <c r="AC1004" s="6"/>
      <c r="AD1004" s="6"/>
      <c r="AE1004" s="7"/>
      <c r="AF1004" s="7"/>
      <c r="AG1004" s="7"/>
      <c r="AH1004" s="7"/>
      <c r="AI1004" s="7"/>
      <c r="AJ1004" s="7"/>
      <c r="AK1004" s="7"/>
      <c r="AL1004" s="7"/>
      <c r="AM1004" s="7"/>
      <c r="AN1004" s="7"/>
      <c r="AO1004" s="6"/>
      <c r="AP1004" s="7"/>
      <c r="AQ1004" s="7"/>
      <c r="AR1004" s="6"/>
      <c r="AS1004" s="7"/>
      <c r="AT1004" s="7"/>
      <c r="AU1004" s="7"/>
      <c r="AV1004" s="7"/>
      <c r="AW1004" s="7"/>
      <c r="AX1004" s="7"/>
      <c r="AY1004" s="7"/>
      <c r="AZ1004" s="7"/>
      <c r="BA1004" s="7"/>
      <c r="BB1004" s="7"/>
      <c r="BC1004" s="7"/>
      <c r="BD1004" s="7"/>
      <c r="BE1004" s="7"/>
      <c r="BF1004" s="7"/>
      <c r="BG1004" s="7"/>
    </row>
    <row r="1005" customHeight="1" spans="1:59">
      <c r="A1005" s="23"/>
      <c r="B1005" s="23"/>
      <c r="C1005" s="23"/>
      <c r="D1005" s="23"/>
      <c r="E1005" s="7"/>
      <c r="F1005" s="8"/>
      <c r="G1005" s="8"/>
      <c r="H1005" s="8"/>
      <c r="I1005" s="27"/>
      <c r="J1005" s="27"/>
      <c r="K1005" s="27"/>
      <c r="L1005" s="27"/>
      <c r="M1005" s="7"/>
      <c r="N1005" s="8"/>
      <c r="O1005" s="8"/>
      <c r="P1005" s="8"/>
      <c r="Q1005" s="7"/>
      <c r="R1005" s="16"/>
      <c r="S1005" s="17"/>
      <c r="T1005" s="8"/>
      <c r="U1005" s="8"/>
      <c r="V1005" s="22"/>
      <c r="W1005" s="12"/>
      <c r="X1005" s="12"/>
      <c r="Y1005" s="12"/>
      <c r="Z1005" s="12"/>
      <c r="AA1005" s="7"/>
      <c r="AB1005" s="12"/>
      <c r="AC1005" s="6"/>
      <c r="AD1005" s="6"/>
      <c r="AE1005" s="7"/>
      <c r="AF1005" s="7"/>
      <c r="AG1005" s="7"/>
      <c r="AH1005" s="7"/>
      <c r="AI1005" s="7"/>
      <c r="AJ1005" s="7"/>
      <c r="AK1005" s="7"/>
      <c r="AL1005" s="7"/>
      <c r="AM1005" s="7"/>
      <c r="AN1005" s="7"/>
      <c r="AO1005" s="6"/>
      <c r="AP1005" s="7"/>
      <c r="AQ1005" s="7"/>
      <c r="AR1005" s="6"/>
      <c r="AS1005" s="7"/>
      <c r="AT1005" s="7"/>
      <c r="AU1005" s="7"/>
      <c r="AV1005" s="7"/>
      <c r="AW1005" s="7"/>
      <c r="AX1005" s="7"/>
      <c r="AY1005" s="7"/>
      <c r="AZ1005" s="7"/>
      <c r="BA1005" s="7"/>
      <c r="BB1005" s="7"/>
      <c r="BC1005" s="7"/>
      <c r="BD1005" s="7"/>
      <c r="BE1005" s="7"/>
      <c r="BF1005" s="7"/>
      <c r="BG1005" s="7"/>
    </row>
    <row r="1006" customHeight="1" spans="1:59">
      <c r="A1006" s="23"/>
      <c r="B1006" s="23"/>
      <c r="C1006" s="23"/>
      <c r="D1006" s="23"/>
      <c r="E1006" s="7"/>
      <c r="F1006" s="8"/>
      <c r="G1006" s="8"/>
      <c r="H1006" s="8"/>
      <c r="I1006" s="27"/>
      <c r="J1006" s="27"/>
      <c r="K1006" s="27"/>
      <c r="L1006" s="27"/>
      <c r="M1006" s="7"/>
      <c r="N1006" s="8"/>
      <c r="O1006" s="8"/>
      <c r="P1006" s="8"/>
      <c r="Q1006" s="7"/>
      <c r="R1006" s="16"/>
      <c r="S1006" s="17"/>
      <c r="T1006" s="8"/>
      <c r="U1006" s="8"/>
      <c r="V1006" s="22"/>
      <c r="W1006" s="12"/>
      <c r="X1006" s="12"/>
      <c r="Y1006" s="12"/>
      <c r="Z1006" s="12"/>
      <c r="AA1006" s="7"/>
      <c r="AB1006" s="12"/>
      <c r="AC1006" s="6"/>
      <c r="AD1006" s="6"/>
      <c r="AE1006" s="7"/>
      <c r="AF1006" s="7"/>
      <c r="AG1006" s="7"/>
      <c r="AH1006" s="7"/>
      <c r="AI1006" s="7"/>
      <c r="AJ1006" s="7"/>
      <c r="AK1006" s="7"/>
      <c r="AL1006" s="7"/>
      <c r="AM1006" s="7"/>
      <c r="AN1006" s="7"/>
      <c r="AO1006" s="6"/>
      <c r="AP1006" s="7"/>
      <c r="AQ1006" s="7"/>
      <c r="AR1006" s="6"/>
      <c r="AS1006" s="7"/>
      <c r="AT1006" s="7"/>
      <c r="AU1006" s="7"/>
      <c r="AV1006" s="7"/>
      <c r="AW1006" s="7"/>
      <c r="AX1006" s="7"/>
      <c r="AY1006" s="7"/>
      <c r="AZ1006" s="7"/>
      <c r="BA1006" s="7"/>
      <c r="BB1006" s="7"/>
      <c r="BC1006" s="7"/>
      <c r="BD1006" s="7"/>
      <c r="BE1006" s="7"/>
      <c r="BF1006" s="7"/>
      <c r="BG1006" s="7"/>
    </row>
    <row r="1007" customHeight="1" spans="1:59">
      <c r="A1007" s="23"/>
      <c r="B1007" s="23"/>
      <c r="C1007" s="23"/>
      <c r="D1007" s="23"/>
      <c r="E1007" s="7"/>
      <c r="F1007" s="8"/>
      <c r="G1007" s="8"/>
      <c r="H1007" s="8"/>
      <c r="I1007" s="27"/>
      <c r="J1007" s="27"/>
      <c r="K1007" s="27"/>
      <c r="L1007" s="27"/>
      <c r="M1007" s="7"/>
      <c r="N1007" s="8"/>
      <c r="O1007" s="8"/>
      <c r="P1007" s="8"/>
      <c r="Q1007" s="7"/>
      <c r="R1007" s="16"/>
      <c r="S1007" s="17"/>
      <c r="T1007" s="8"/>
      <c r="U1007" s="8"/>
      <c r="V1007" s="22"/>
      <c r="W1007" s="12"/>
      <c r="X1007" s="12"/>
      <c r="Y1007" s="12"/>
      <c r="Z1007" s="12"/>
      <c r="AA1007" s="7"/>
      <c r="AB1007" s="12"/>
      <c r="AC1007" s="6"/>
      <c r="AD1007" s="6"/>
      <c r="AE1007" s="7"/>
      <c r="AF1007" s="7"/>
      <c r="AG1007" s="7"/>
      <c r="AH1007" s="7"/>
      <c r="AI1007" s="7"/>
      <c r="AJ1007" s="7"/>
      <c r="AK1007" s="7"/>
      <c r="AL1007" s="7"/>
      <c r="AM1007" s="7"/>
      <c r="AN1007" s="7"/>
      <c r="AO1007" s="6"/>
      <c r="AP1007" s="7"/>
      <c r="AQ1007" s="7"/>
      <c r="AR1007" s="6"/>
      <c r="AS1007" s="7"/>
      <c r="AT1007" s="7"/>
      <c r="AU1007" s="7"/>
      <c r="AV1007" s="7"/>
      <c r="AW1007" s="7"/>
      <c r="AX1007" s="7"/>
      <c r="AY1007" s="7"/>
      <c r="AZ1007" s="7"/>
      <c r="BA1007" s="7"/>
      <c r="BB1007" s="7"/>
      <c r="BC1007" s="7"/>
      <c r="BD1007" s="7"/>
      <c r="BE1007" s="7"/>
      <c r="BF1007" s="7"/>
      <c r="BG1007" s="7"/>
    </row>
    <row r="1008" customHeight="1" spans="1:59">
      <c r="A1008" s="23"/>
      <c r="B1008" s="23"/>
      <c r="C1008" s="23"/>
      <c r="D1008" s="23"/>
      <c r="E1008" s="7"/>
      <c r="F1008" s="8"/>
      <c r="G1008" s="8"/>
      <c r="H1008" s="8"/>
      <c r="I1008" s="27"/>
      <c r="J1008" s="27"/>
      <c r="K1008" s="27"/>
      <c r="L1008" s="27"/>
      <c r="M1008" s="7"/>
      <c r="N1008" s="8"/>
      <c r="O1008" s="8"/>
      <c r="P1008" s="8"/>
      <c r="Q1008" s="7"/>
      <c r="R1008" s="16"/>
      <c r="S1008" s="17"/>
      <c r="T1008" s="8"/>
      <c r="U1008" s="8"/>
      <c r="V1008" s="22"/>
      <c r="W1008" s="12"/>
      <c r="X1008" s="12"/>
      <c r="Y1008" s="12"/>
      <c r="Z1008" s="12"/>
      <c r="AA1008" s="7"/>
      <c r="AB1008" s="12"/>
      <c r="AC1008" s="6"/>
      <c r="AD1008" s="6"/>
      <c r="AE1008" s="7"/>
      <c r="AF1008" s="7"/>
      <c r="AG1008" s="7"/>
      <c r="AH1008" s="7"/>
      <c r="AI1008" s="7"/>
      <c r="AJ1008" s="7"/>
      <c r="AK1008" s="7"/>
      <c r="AL1008" s="7"/>
      <c r="AM1008" s="7"/>
      <c r="AN1008" s="7"/>
      <c r="AO1008" s="6"/>
      <c r="AP1008" s="7"/>
      <c r="AQ1008" s="7"/>
      <c r="AR1008" s="6"/>
      <c r="AS1008" s="7"/>
      <c r="AT1008" s="7"/>
      <c r="AU1008" s="7"/>
      <c r="AV1008" s="7"/>
      <c r="AW1008" s="7"/>
      <c r="AX1008" s="7"/>
      <c r="AY1008" s="7"/>
      <c r="AZ1008" s="7"/>
      <c r="BA1008" s="7"/>
      <c r="BB1008" s="7"/>
      <c r="BC1008" s="7"/>
      <c r="BD1008" s="7"/>
      <c r="BE1008" s="7"/>
      <c r="BF1008" s="7"/>
      <c r="BG1008" s="7"/>
    </row>
    <row r="1009" customHeight="1" spans="1:59">
      <c r="A1009" s="23"/>
      <c r="B1009" s="23"/>
      <c r="C1009" s="23"/>
      <c r="D1009" s="23"/>
      <c r="E1009" s="7"/>
      <c r="F1009" s="8"/>
      <c r="G1009" s="8"/>
      <c r="H1009" s="8"/>
      <c r="I1009" s="27"/>
      <c r="J1009" s="27"/>
      <c r="K1009" s="27"/>
      <c r="L1009" s="27"/>
      <c r="M1009" s="7"/>
      <c r="N1009" s="8"/>
      <c r="O1009" s="8"/>
      <c r="P1009" s="8"/>
      <c r="Q1009" s="7"/>
      <c r="R1009" s="16"/>
      <c r="S1009" s="17"/>
      <c r="T1009" s="8"/>
      <c r="U1009" s="8"/>
      <c r="V1009" s="22"/>
      <c r="W1009" s="12"/>
      <c r="X1009" s="12"/>
      <c r="Y1009" s="12"/>
      <c r="Z1009" s="12"/>
      <c r="AA1009" s="7"/>
      <c r="AB1009" s="12"/>
      <c r="AC1009" s="6"/>
      <c r="AD1009" s="6"/>
      <c r="AE1009" s="7"/>
      <c r="AF1009" s="7"/>
      <c r="AG1009" s="7"/>
      <c r="AH1009" s="7"/>
      <c r="AI1009" s="7"/>
      <c r="AJ1009" s="7"/>
      <c r="AK1009" s="7"/>
      <c r="AL1009" s="7"/>
      <c r="AM1009" s="7"/>
      <c r="AN1009" s="7"/>
      <c r="AO1009" s="6"/>
      <c r="AP1009" s="7"/>
      <c r="AQ1009" s="7"/>
      <c r="AR1009" s="6"/>
      <c r="AS1009" s="7"/>
      <c r="AT1009" s="7"/>
      <c r="AU1009" s="7"/>
      <c r="AV1009" s="7"/>
      <c r="AW1009" s="7"/>
      <c r="AX1009" s="7"/>
      <c r="AY1009" s="7"/>
      <c r="AZ1009" s="7"/>
      <c r="BA1009" s="7"/>
      <c r="BB1009" s="7"/>
      <c r="BC1009" s="7"/>
      <c r="BD1009" s="7"/>
      <c r="BE1009" s="7"/>
      <c r="BF1009" s="7"/>
      <c r="BG1009" s="7"/>
    </row>
    <row r="1010" customHeight="1" spans="1:59">
      <c r="A1010" s="23"/>
      <c r="B1010" s="23"/>
      <c r="C1010" s="23"/>
      <c r="D1010" s="23"/>
      <c r="E1010" s="7"/>
      <c r="F1010" s="8"/>
      <c r="G1010" s="8"/>
      <c r="H1010" s="8"/>
      <c r="I1010" s="27"/>
      <c r="J1010" s="27"/>
      <c r="K1010" s="27"/>
      <c r="L1010" s="27"/>
      <c r="M1010" s="7"/>
      <c r="N1010" s="8"/>
      <c r="O1010" s="8"/>
      <c r="P1010" s="8"/>
      <c r="Q1010" s="7"/>
      <c r="R1010" s="16"/>
      <c r="S1010" s="17"/>
      <c r="T1010" s="8"/>
      <c r="U1010" s="8"/>
      <c r="V1010" s="22"/>
      <c r="W1010" s="12"/>
      <c r="X1010" s="12"/>
      <c r="Y1010" s="12"/>
      <c r="Z1010" s="12"/>
      <c r="AA1010" s="7"/>
      <c r="AB1010" s="12"/>
      <c r="AC1010" s="6"/>
      <c r="AD1010" s="6"/>
      <c r="AE1010" s="7"/>
      <c r="AF1010" s="7"/>
      <c r="AG1010" s="7"/>
      <c r="AH1010" s="7"/>
      <c r="AI1010" s="7"/>
      <c r="AJ1010" s="7"/>
      <c r="AK1010" s="7"/>
      <c r="AL1010" s="7"/>
      <c r="AM1010" s="7"/>
      <c r="AN1010" s="7"/>
      <c r="AO1010" s="6"/>
      <c r="AP1010" s="7"/>
      <c r="AQ1010" s="7"/>
      <c r="AR1010" s="6"/>
      <c r="AS1010" s="7"/>
      <c r="AT1010" s="7"/>
      <c r="AU1010" s="7"/>
      <c r="AV1010" s="7"/>
      <c r="AW1010" s="7"/>
      <c r="AX1010" s="7"/>
      <c r="AY1010" s="7"/>
      <c r="AZ1010" s="7"/>
      <c r="BA1010" s="7"/>
      <c r="BB1010" s="7"/>
      <c r="BC1010" s="7"/>
      <c r="BD1010" s="7"/>
      <c r="BE1010" s="7"/>
      <c r="BF1010" s="7"/>
      <c r="BG1010" s="7"/>
    </row>
    <row r="1011" customHeight="1" spans="1:59">
      <c r="A1011" s="23"/>
      <c r="B1011" s="23"/>
      <c r="C1011" s="23"/>
      <c r="D1011" s="23"/>
      <c r="E1011" s="7"/>
      <c r="F1011" s="8"/>
      <c r="G1011" s="8"/>
      <c r="H1011" s="8"/>
      <c r="I1011" s="27"/>
      <c r="J1011" s="27"/>
      <c r="K1011" s="27"/>
      <c r="L1011" s="27"/>
      <c r="M1011" s="7"/>
      <c r="N1011" s="8"/>
      <c r="O1011" s="8"/>
      <c r="P1011" s="8"/>
      <c r="Q1011" s="7"/>
      <c r="R1011" s="16"/>
      <c r="S1011" s="17"/>
      <c r="T1011" s="8"/>
      <c r="U1011" s="8"/>
      <c r="V1011" s="22"/>
      <c r="W1011" s="12"/>
      <c r="X1011" s="12"/>
      <c r="Y1011" s="12"/>
      <c r="Z1011" s="12"/>
      <c r="AA1011" s="7"/>
      <c r="AB1011" s="12"/>
      <c r="AC1011" s="6"/>
      <c r="AD1011" s="6"/>
      <c r="AE1011" s="7"/>
      <c r="AF1011" s="7"/>
      <c r="AG1011" s="7"/>
      <c r="AH1011" s="7"/>
      <c r="AI1011" s="7"/>
      <c r="AJ1011" s="7"/>
      <c r="AK1011" s="7"/>
      <c r="AL1011" s="7"/>
      <c r="AM1011" s="7"/>
      <c r="AN1011" s="7"/>
      <c r="AO1011" s="6"/>
      <c r="AP1011" s="7"/>
      <c r="AQ1011" s="7"/>
      <c r="AR1011" s="6"/>
      <c r="AS1011" s="7"/>
      <c r="AT1011" s="7"/>
      <c r="AU1011" s="7"/>
      <c r="AV1011" s="7"/>
      <c r="AW1011" s="7"/>
      <c r="AX1011" s="7"/>
      <c r="AY1011" s="7"/>
      <c r="AZ1011" s="7"/>
      <c r="BA1011" s="7"/>
      <c r="BB1011" s="7"/>
      <c r="BC1011" s="7"/>
      <c r="BD1011" s="7"/>
      <c r="BE1011" s="7"/>
      <c r="BF1011" s="7"/>
      <c r="BG1011" s="7"/>
    </row>
    <row r="1012" customHeight="1" spans="1:59">
      <c r="A1012" s="23"/>
      <c r="B1012" s="23"/>
      <c r="C1012" s="23"/>
      <c r="D1012" s="23"/>
      <c r="E1012" s="7"/>
      <c r="F1012" s="8"/>
      <c r="G1012" s="8"/>
      <c r="H1012" s="8"/>
      <c r="I1012" s="27"/>
      <c r="J1012" s="27"/>
      <c r="K1012" s="27"/>
      <c r="L1012" s="27"/>
      <c r="M1012" s="7"/>
      <c r="N1012" s="8"/>
      <c r="O1012" s="8"/>
      <c r="P1012" s="8"/>
      <c r="Q1012" s="7"/>
      <c r="R1012" s="16"/>
      <c r="S1012" s="17"/>
      <c r="T1012" s="8"/>
      <c r="U1012" s="8"/>
      <c r="V1012" s="22"/>
      <c r="W1012" s="12"/>
      <c r="X1012" s="12"/>
      <c r="Y1012" s="12"/>
      <c r="Z1012" s="12"/>
      <c r="AA1012" s="7"/>
      <c r="AB1012" s="12"/>
      <c r="AC1012" s="6"/>
      <c r="AD1012" s="6"/>
      <c r="AE1012" s="7"/>
      <c r="AF1012" s="7"/>
      <c r="AG1012" s="7"/>
      <c r="AH1012" s="7"/>
      <c r="AI1012" s="7"/>
      <c r="AJ1012" s="7"/>
      <c r="AK1012" s="7"/>
      <c r="AL1012" s="7"/>
      <c r="AM1012" s="7"/>
      <c r="AN1012" s="7"/>
      <c r="AO1012" s="6"/>
      <c r="AP1012" s="7"/>
      <c r="AQ1012" s="7"/>
      <c r="AR1012" s="6"/>
      <c r="AS1012" s="7"/>
      <c r="AT1012" s="7"/>
      <c r="AU1012" s="7"/>
      <c r="AV1012" s="7"/>
      <c r="AW1012" s="7"/>
      <c r="AX1012" s="7"/>
      <c r="AY1012" s="7"/>
      <c r="AZ1012" s="7"/>
      <c r="BA1012" s="7"/>
      <c r="BB1012" s="7"/>
      <c r="BC1012" s="7"/>
      <c r="BD1012" s="7"/>
      <c r="BE1012" s="7"/>
      <c r="BF1012" s="7"/>
      <c r="BG1012" s="7"/>
    </row>
    <row r="1013" customHeight="1" spans="1:59">
      <c r="A1013" s="23"/>
      <c r="B1013" s="23"/>
      <c r="C1013" s="23"/>
      <c r="D1013" s="23"/>
      <c r="E1013" s="7"/>
      <c r="F1013" s="8"/>
      <c r="G1013" s="8"/>
      <c r="H1013" s="8"/>
      <c r="I1013" s="27"/>
      <c r="J1013" s="27"/>
      <c r="K1013" s="27"/>
      <c r="L1013" s="27"/>
      <c r="M1013" s="7"/>
      <c r="N1013" s="8"/>
      <c r="O1013" s="8"/>
      <c r="P1013" s="8"/>
      <c r="Q1013" s="7"/>
      <c r="R1013" s="16"/>
      <c r="S1013" s="17"/>
      <c r="T1013" s="8"/>
      <c r="U1013" s="8"/>
      <c r="V1013" s="22"/>
      <c r="W1013" s="12"/>
      <c r="X1013" s="12"/>
      <c r="Y1013" s="12"/>
      <c r="Z1013" s="12"/>
      <c r="AA1013" s="7"/>
      <c r="AB1013" s="12"/>
      <c r="AC1013" s="6"/>
      <c r="AD1013" s="6"/>
      <c r="AE1013" s="7"/>
      <c r="AF1013" s="7"/>
      <c r="AG1013" s="7"/>
      <c r="AH1013" s="7"/>
      <c r="AI1013" s="7"/>
      <c r="AJ1013" s="7"/>
      <c r="AK1013" s="7"/>
      <c r="AL1013" s="7"/>
      <c r="AM1013" s="7"/>
      <c r="AN1013" s="7"/>
      <c r="AO1013" s="6"/>
      <c r="AP1013" s="7"/>
      <c r="AQ1013" s="7"/>
      <c r="AR1013" s="6"/>
      <c r="AS1013" s="7"/>
      <c r="AT1013" s="7"/>
      <c r="AU1013" s="7"/>
      <c r="AV1013" s="7"/>
      <c r="AW1013" s="7"/>
      <c r="AX1013" s="7"/>
      <c r="AY1013" s="7"/>
      <c r="AZ1013" s="7"/>
      <c r="BA1013" s="7"/>
      <c r="BB1013" s="7"/>
      <c r="BC1013" s="7"/>
      <c r="BD1013" s="7"/>
      <c r="BE1013" s="7"/>
      <c r="BF1013" s="7"/>
      <c r="BG1013" s="7"/>
    </row>
    <row r="1014" customHeight="1" spans="1:59">
      <c r="A1014" s="23"/>
      <c r="B1014" s="23"/>
      <c r="C1014" s="23"/>
      <c r="D1014" s="23"/>
      <c r="E1014" s="7"/>
      <c r="F1014" s="8"/>
      <c r="G1014" s="8"/>
      <c r="H1014" s="8"/>
      <c r="I1014" s="27"/>
      <c r="J1014" s="27"/>
      <c r="K1014" s="27"/>
      <c r="L1014" s="27"/>
      <c r="M1014" s="7"/>
      <c r="N1014" s="8"/>
      <c r="O1014" s="8"/>
      <c r="P1014" s="8"/>
      <c r="Q1014" s="7"/>
      <c r="R1014" s="16"/>
      <c r="S1014" s="17"/>
      <c r="T1014" s="8"/>
      <c r="U1014" s="8"/>
      <c r="V1014" s="22"/>
      <c r="W1014" s="12"/>
      <c r="X1014" s="12"/>
      <c r="Y1014" s="12"/>
      <c r="Z1014" s="12"/>
      <c r="AA1014" s="7"/>
      <c r="AB1014" s="12"/>
      <c r="AC1014" s="6"/>
      <c r="AD1014" s="6"/>
      <c r="AE1014" s="7"/>
      <c r="AF1014" s="7"/>
      <c r="AG1014" s="7"/>
      <c r="AH1014" s="7"/>
      <c r="AI1014" s="7"/>
      <c r="AJ1014" s="7"/>
      <c r="AK1014" s="7"/>
      <c r="AL1014" s="7"/>
      <c r="AM1014" s="7"/>
      <c r="AN1014" s="7"/>
      <c r="AO1014" s="6"/>
      <c r="AP1014" s="7"/>
      <c r="AQ1014" s="7"/>
      <c r="AR1014" s="6"/>
      <c r="AS1014" s="7"/>
      <c r="AT1014" s="7"/>
      <c r="AU1014" s="7"/>
      <c r="AV1014" s="7"/>
      <c r="AW1014" s="7"/>
      <c r="AX1014" s="7"/>
      <c r="AY1014" s="7"/>
      <c r="AZ1014" s="7"/>
      <c r="BA1014" s="7"/>
      <c r="BB1014" s="7"/>
      <c r="BC1014" s="7"/>
      <c r="BD1014" s="7"/>
      <c r="BE1014" s="7"/>
      <c r="BF1014" s="7"/>
      <c r="BG1014" s="7"/>
    </row>
    <row r="1015" customHeight="1" spans="1:59">
      <c r="A1015" s="23"/>
      <c r="B1015" s="23"/>
      <c r="C1015" s="23"/>
      <c r="D1015" s="23"/>
      <c r="E1015" s="7"/>
      <c r="F1015" s="8"/>
      <c r="G1015" s="8"/>
      <c r="H1015" s="8"/>
      <c r="I1015" s="27"/>
      <c r="J1015" s="27"/>
      <c r="K1015" s="27"/>
      <c r="L1015" s="27"/>
      <c r="M1015" s="7"/>
      <c r="N1015" s="8"/>
      <c r="O1015" s="8"/>
      <c r="P1015" s="8"/>
      <c r="Q1015" s="7"/>
      <c r="R1015" s="16"/>
      <c r="S1015" s="17"/>
      <c r="T1015" s="8"/>
      <c r="U1015" s="8"/>
      <c r="V1015" s="22"/>
      <c r="W1015" s="12"/>
      <c r="X1015" s="12"/>
      <c r="Y1015" s="12"/>
      <c r="Z1015" s="12"/>
      <c r="AA1015" s="7"/>
      <c r="AB1015" s="12"/>
      <c r="AC1015" s="6"/>
      <c r="AD1015" s="6"/>
      <c r="AE1015" s="7"/>
      <c r="AF1015" s="7"/>
      <c r="AG1015" s="7"/>
      <c r="AH1015" s="7"/>
      <c r="AI1015" s="7"/>
      <c r="AJ1015" s="7"/>
      <c r="AK1015" s="7"/>
      <c r="AL1015" s="7"/>
      <c r="AM1015" s="7"/>
      <c r="AN1015" s="7"/>
      <c r="AO1015" s="6"/>
      <c r="AP1015" s="7"/>
      <c r="AQ1015" s="7"/>
      <c r="AR1015" s="6"/>
      <c r="AS1015" s="7"/>
      <c r="AT1015" s="7"/>
      <c r="AU1015" s="7"/>
      <c r="AV1015" s="7"/>
      <c r="AW1015" s="7"/>
      <c r="AX1015" s="7"/>
      <c r="AY1015" s="7"/>
      <c r="AZ1015" s="7"/>
      <c r="BA1015" s="7"/>
      <c r="BB1015" s="7"/>
      <c r="BC1015" s="7"/>
      <c r="BD1015" s="7"/>
      <c r="BE1015" s="7"/>
      <c r="BF1015" s="7"/>
      <c r="BG1015" s="7"/>
    </row>
    <row r="1016" customHeight="1" spans="1:59">
      <c r="A1016" s="23"/>
      <c r="B1016" s="23"/>
      <c r="C1016" s="23"/>
      <c r="D1016" s="23"/>
      <c r="E1016" s="7"/>
      <c r="F1016" s="8"/>
      <c r="G1016" s="8"/>
      <c r="H1016" s="8"/>
      <c r="I1016" s="27"/>
      <c r="J1016" s="27"/>
      <c r="K1016" s="27"/>
      <c r="L1016" s="27"/>
      <c r="M1016" s="7"/>
      <c r="N1016" s="8"/>
      <c r="O1016" s="8"/>
      <c r="P1016" s="8"/>
      <c r="Q1016" s="7"/>
      <c r="R1016" s="16"/>
      <c r="S1016" s="17"/>
      <c r="T1016" s="8"/>
      <c r="U1016" s="8"/>
      <c r="V1016" s="22"/>
      <c r="W1016" s="12"/>
      <c r="X1016" s="12"/>
      <c r="Y1016" s="12"/>
      <c r="Z1016" s="12"/>
      <c r="AA1016" s="7"/>
      <c r="AB1016" s="12"/>
      <c r="AC1016" s="6"/>
      <c r="AD1016" s="6"/>
      <c r="AE1016" s="7"/>
      <c r="AF1016" s="7"/>
      <c r="AG1016" s="7"/>
      <c r="AH1016" s="7"/>
      <c r="AI1016" s="7"/>
      <c r="AJ1016" s="7"/>
      <c r="AK1016" s="7"/>
      <c r="AL1016" s="7"/>
      <c r="AM1016" s="7"/>
      <c r="AN1016" s="7"/>
      <c r="AO1016" s="6"/>
      <c r="AP1016" s="7"/>
      <c r="AQ1016" s="7"/>
      <c r="AR1016" s="6"/>
      <c r="AS1016" s="7"/>
      <c r="AT1016" s="7"/>
      <c r="AU1016" s="7"/>
      <c r="AV1016" s="7"/>
      <c r="AW1016" s="7"/>
      <c r="AX1016" s="7"/>
      <c r="AY1016" s="7"/>
      <c r="AZ1016" s="7"/>
      <c r="BA1016" s="7"/>
      <c r="BB1016" s="7"/>
      <c r="BC1016" s="7"/>
      <c r="BD1016" s="7"/>
      <c r="BE1016" s="7"/>
      <c r="BF1016" s="7"/>
      <c r="BG1016" s="7"/>
    </row>
    <row r="1017" customHeight="1" spans="1:59">
      <c r="A1017" s="23"/>
      <c r="B1017" s="23"/>
      <c r="C1017" s="23"/>
      <c r="D1017" s="23"/>
      <c r="E1017" s="7"/>
      <c r="F1017" s="8"/>
      <c r="G1017" s="8"/>
      <c r="H1017" s="8"/>
      <c r="I1017" s="27"/>
      <c r="J1017" s="27"/>
      <c r="K1017" s="27"/>
      <c r="L1017" s="27"/>
      <c r="M1017" s="7"/>
      <c r="N1017" s="8"/>
      <c r="O1017" s="8"/>
      <c r="P1017" s="8"/>
      <c r="Q1017" s="7"/>
      <c r="R1017" s="16"/>
      <c r="S1017" s="17"/>
      <c r="T1017" s="8"/>
      <c r="U1017" s="8"/>
      <c r="V1017" s="22"/>
      <c r="W1017" s="12"/>
      <c r="X1017" s="12"/>
      <c r="Y1017" s="12"/>
      <c r="Z1017" s="12"/>
      <c r="AA1017" s="7"/>
      <c r="AB1017" s="12"/>
      <c r="AC1017" s="6"/>
      <c r="AD1017" s="6"/>
      <c r="AE1017" s="7"/>
      <c r="AF1017" s="7"/>
      <c r="AG1017" s="7"/>
      <c r="AH1017" s="7"/>
      <c r="AI1017" s="7"/>
      <c r="AJ1017" s="7"/>
      <c r="AK1017" s="7"/>
      <c r="AL1017" s="7"/>
      <c r="AM1017" s="7"/>
      <c r="AN1017" s="7"/>
      <c r="AO1017" s="6"/>
      <c r="AP1017" s="7"/>
      <c r="AQ1017" s="7"/>
      <c r="AR1017" s="6"/>
      <c r="AS1017" s="7"/>
      <c r="AT1017" s="7"/>
      <c r="AU1017" s="7"/>
      <c r="AV1017" s="7"/>
      <c r="AW1017" s="7"/>
      <c r="AX1017" s="7"/>
      <c r="AY1017" s="7"/>
      <c r="AZ1017" s="7"/>
      <c r="BA1017" s="7"/>
      <c r="BB1017" s="7"/>
      <c r="BC1017" s="7"/>
      <c r="BD1017" s="7"/>
      <c r="BE1017" s="7"/>
      <c r="BF1017" s="7"/>
      <c r="BG1017" s="7"/>
    </row>
    <row r="1018" customHeight="1" spans="1:59">
      <c r="A1018" s="23"/>
      <c r="B1018" s="23"/>
      <c r="C1018" s="23"/>
      <c r="D1018" s="23"/>
      <c r="E1018" s="7"/>
      <c r="F1018" s="8"/>
      <c r="G1018" s="8"/>
      <c r="H1018" s="8"/>
      <c r="I1018" s="27"/>
      <c r="J1018" s="27"/>
      <c r="K1018" s="27"/>
      <c r="L1018" s="27"/>
      <c r="M1018" s="7"/>
      <c r="N1018" s="8"/>
      <c r="O1018" s="8"/>
      <c r="P1018" s="8"/>
      <c r="Q1018" s="7"/>
      <c r="R1018" s="16"/>
      <c r="S1018" s="17"/>
      <c r="T1018" s="8"/>
      <c r="U1018" s="8"/>
      <c r="V1018" s="22"/>
      <c r="W1018" s="12"/>
      <c r="X1018" s="12"/>
      <c r="Y1018" s="12"/>
      <c r="Z1018" s="12"/>
      <c r="AA1018" s="7"/>
      <c r="AB1018" s="12"/>
      <c r="AC1018" s="6"/>
      <c r="AD1018" s="6"/>
      <c r="AE1018" s="7"/>
      <c r="AF1018" s="7"/>
      <c r="AG1018" s="7"/>
      <c r="AH1018" s="7"/>
      <c r="AI1018" s="7"/>
      <c r="AJ1018" s="7"/>
      <c r="AK1018" s="7"/>
      <c r="AL1018" s="7"/>
      <c r="AM1018" s="7"/>
      <c r="AN1018" s="7"/>
      <c r="AO1018" s="6"/>
      <c r="AP1018" s="7"/>
      <c r="AQ1018" s="7"/>
      <c r="AR1018" s="6"/>
      <c r="AS1018" s="7"/>
      <c r="AT1018" s="7"/>
      <c r="AU1018" s="7"/>
      <c r="AV1018" s="7"/>
      <c r="AW1018" s="7"/>
      <c r="AX1018" s="7"/>
      <c r="AY1018" s="7"/>
      <c r="AZ1018" s="7"/>
      <c r="BA1018" s="7"/>
      <c r="BB1018" s="7"/>
      <c r="BC1018" s="7"/>
      <c r="BD1018" s="7"/>
      <c r="BE1018" s="7"/>
      <c r="BF1018" s="7"/>
      <c r="BG1018" s="7"/>
    </row>
    <row r="1019" customHeight="1" spans="1:59">
      <c r="A1019" s="23"/>
      <c r="B1019" s="23"/>
      <c r="C1019" s="23"/>
      <c r="D1019" s="23"/>
      <c r="E1019" s="7"/>
      <c r="F1019" s="8"/>
      <c r="G1019" s="8"/>
      <c r="H1019" s="8"/>
      <c r="I1019" s="27"/>
      <c r="J1019" s="27"/>
      <c r="K1019" s="27"/>
      <c r="L1019" s="27"/>
      <c r="M1019" s="7"/>
      <c r="N1019" s="8"/>
      <c r="O1019" s="8"/>
      <c r="P1019" s="8"/>
      <c r="Q1019" s="7"/>
      <c r="R1019" s="16"/>
      <c r="S1019" s="17"/>
      <c r="T1019" s="8"/>
      <c r="U1019" s="8"/>
      <c r="V1019" s="22"/>
      <c r="W1019" s="12"/>
      <c r="X1019" s="12"/>
      <c r="Y1019" s="12"/>
      <c r="Z1019" s="12"/>
      <c r="AA1019" s="7"/>
      <c r="AB1019" s="12"/>
      <c r="AC1019" s="6"/>
      <c r="AD1019" s="6"/>
      <c r="AE1019" s="7"/>
      <c r="AF1019" s="7"/>
      <c r="AG1019" s="7"/>
      <c r="AH1019" s="7"/>
      <c r="AI1019" s="7"/>
      <c r="AJ1019" s="7"/>
      <c r="AK1019" s="7"/>
      <c r="AL1019" s="7"/>
      <c r="AM1019" s="7"/>
      <c r="AN1019" s="7"/>
      <c r="AO1019" s="6"/>
      <c r="AP1019" s="7"/>
      <c r="AQ1019" s="7"/>
      <c r="AR1019" s="6"/>
      <c r="AS1019" s="7"/>
      <c r="AT1019" s="7"/>
      <c r="AU1019" s="7"/>
      <c r="AV1019" s="7"/>
      <c r="AW1019" s="7"/>
      <c r="AX1019" s="7"/>
      <c r="AY1019" s="7"/>
      <c r="AZ1019" s="7"/>
      <c r="BA1019" s="7"/>
      <c r="BB1019" s="7"/>
      <c r="BC1019" s="7"/>
      <c r="BD1019" s="7"/>
      <c r="BE1019" s="7"/>
      <c r="BF1019" s="7"/>
      <c r="BG1019" s="7"/>
    </row>
    <row r="1020" customHeight="1" spans="1:59">
      <c r="A1020" s="23"/>
      <c r="B1020" s="23"/>
      <c r="C1020" s="23"/>
      <c r="D1020" s="23"/>
      <c r="E1020" s="7"/>
      <c r="F1020" s="8"/>
      <c r="G1020" s="8"/>
      <c r="H1020" s="8"/>
      <c r="I1020" s="27"/>
      <c r="J1020" s="27"/>
      <c r="K1020" s="27"/>
      <c r="L1020" s="27"/>
      <c r="M1020" s="7"/>
      <c r="N1020" s="8"/>
      <c r="O1020" s="8"/>
      <c r="P1020" s="8"/>
      <c r="Q1020" s="7"/>
      <c r="R1020" s="16"/>
      <c r="S1020" s="17"/>
      <c r="T1020" s="8"/>
      <c r="U1020" s="8"/>
      <c r="V1020" s="22"/>
      <c r="W1020" s="12"/>
      <c r="X1020" s="12"/>
      <c r="Y1020" s="12"/>
      <c r="Z1020" s="12"/>
      <c r="AA1020" s="7"/>
      <c r="AB1020" s="12"/>
      <c r="AC1020" s="6"/>
      <c r="AD1020" s="6"/>
      <c r="AE1020" s="7"/>
      <c r="AF1020" s="7"/>
      <c r="AG1020" s="7"/>
      <c r="AH1020" s="7"/>
      <c r="AI1020" s="7"/>
      <c r="AJ1020" s="7"/>
      <c r="AK1020" s="7"/>
      <c r="AL1020" s="7"/>
      <c r="AM1020" s="7"/>
      <c r="AN1020" s="7"/>
      <c r="AO1020" s="6"/>
      <c r="AP1020" s="7"/>
      <c r="AQ1020" s="7"/>
      <c r="AR1020" s="6"/>
      <c r="AS1020" s="7"/>
      <c r="AT1020" s="7"/>
      <c r="AU1020" s="7"/>
      <c r="AV1020" s="7"/>
      <c r="AW1020" s="7"/>
      <c r="AX1020" s="7"/>
      <c r="AY1020" s="7"/>
      <c r="AZ1020" s="7"/>
      <c r="BA1020" s="7"/>
      <c r="BB1020" s="7"/>
      <c r="BC1020" s="7"/>
      <c r="BD1020" s="7"/>
      <c r="BE1020" s="7"/>
      <c r="BF1020" s="7"/>
      <c r="BG1020" s="7"/>
    </row>
    <row r="1021" customHeight="1" spans="1:59">
      <c r="A1021" s="23"/>
      <c r="B1021" s="23"/>
      <c r="C1021" s="23"/>
      <c r="D1021" s="23"/>
      <c r="E1021" s="7"/>
      <c r="F1021" s="8"/>
      <c r="G1021" s="8"/>
      <c r="H1021" s="8"/>
      <c r="I1021" s="27"/>
      <c r="J1021" s="27"/>
      <c r="K1021" s="27"/>
      <c r="L1021" s="27"/>
      <c r="M1021" s="7"/>
      <c r="N1021" s="8"/>
      <c r="O1021" s="8"/>
      <c r="P1021" s="8"/>
      <c r="Q1021" s="7"/>
      <c r="R1021" s="16"/>
      <c r="S1021" s="17"/>
      <c r="T1021" s="8"/>
      <c r="U1021" s="8"/>
      <c r="V1021" s="22"/>
      <c r="W1021" s="12"/>
      <c r="X1021" s="12"/>
      <c r="Y1021" s="12"/>
      <c r="Z1021" s="12"/>
      <c r="AA1021" s="7"/>
      <c r="AB1021" s="12"/>
      <c r="AC1021" s="6"/>
      <c r="AD1021" s="6"/>
      <c r="AE1021" s="7"/>
      <c r="AF1021" s="7"/>
      <c r="AG1021" s="7"/>
      <c r="AH1021" s="7"/>
      <c r="AI1021" s="7"/>
      <c r="AJ1021" s="7"/>
      <c r="AK1021" s="7"/>
      <c r="AL1021" s="7"/>
      <c r="AM1021" s="7"/>
      <c r="AN1021" s="7"/>
      <c r="AO1021" s="6"/>
      <c r="AP1021" s="7"/>
      <c r="AQ1021" s="7"/>
      <c r="AR1021" s="6"/>
      <c r="AS1021" s="7"/>
      <c r="AT1021" s="7"/>
      <c r="AU1021" s="7"/>
      <c r="AV1021" s="7"/>
      <c r="AW1021" s="7"/>
      <c r="AX1021" s="7"/>
      <c r="AY1021" s="7"/>
      <c r="AZ1021" s="7"/>
      <c r="BA1021" s="7"/>
      <c r="BB1021" s="7"/>
      <c r="BC1021" s="7"/>
      <c r="BD1021" s="7"/>
      <c r="BE1021" s="7"/>
      <c r="BF1021" s="7"/>
      <c r="BG1021" s="7"/>
    </row>
    <row r="1022" customHeight="1" spans="1:59">
      <c r="A1022" s="23"/>
      <c r="B1022" s="23"/>
      <c r="C1022" s="23"/>
      <c r="D1022" s="23"/>
      <c r="E1022" s="7"/>
      <c r="F1022" s="8"/>
      <c r="G1022" s="8"/>
      <c r="H1022" s="8"/>
      <c r="I1022" s="27"/>
      <c r="J1022" s="27"/>
      <c r="K1022" s="27"/>
      <c r="L1022" s="27"/>
      <c r="M1022" s="7"/>
      <c r="N1022" s="8"/>
      <c r="O1022" s="8"/>
      <c r="P1022" s="8"/>
      <c r="Q1022" s="7"/>
      <c r="R1022" s="16"/>
      <c r="S1022" s="17"/>
      <c r="T1022" s="8"/>
      <c r="U1022" s="8"/>
      <c r="V1022" s="22"/>
      <c r="W1022" s="12"/>
      <c r="X1022" s="12"/>
      <c r="Y1022" s="12"/>
      <c r="Z1022" s="12"/>
      <c r="AA1022" s="7"/>
      <c r="AB1022" s="12"/>
      <c r="AC1022" s="6"/>
      <c r="AD1022" s="6"/>
      <c r="AE1022" s="7"/>
      <c r="AF1022" s="7"/>
      <c r="AG1022" s="7"/>
      <c r="AH1022" s="7"/>
      <c r="AI1022" s="7"/>
      <c r="AJ1022" s="7"/>
      <c r="AK1022" s="7"/>
      <c r="AL1022" s="7"/>
      <c r="AM1022" s="7"/>
      <c r="AN1022" s="7"/>
      <c r="AO1022" s="6"/>
      <c r="AP1022" s="7"/>
      <c r="AQ1022" s="7"/>
      <c r="AR1022" s="6"/>
      <c r="AS1022" s="7"/>
      <c r="AT1022" s="7"/>
      <c r="AU1022" s="7"/>
      <c r="AV1022" s="7"/>
      <c r="AW1022" s="7"/>
      <c r="AX1022" s="7"/>
      <c r="AY1022" s="7"/>
      <c r="AZ1022" s="7"/>
      <c r="BA1022" s="7"/>
      <c r="BB1022" s="7"/>
      <c r="BC1022" s="7"/>
      <c r="BD1022" s="7"/>
      <c r="BE1022" s="7"/>
      <c r="BF1022" s="7"/>
      <c r="BG1022" s="7"/>
    </row>
    <row r="1023" customHeight="1" spans="1:59">
      <c r="A1023" s="23"/>
      <c r="B1023" s="23"/>
      <c r="C1023" s="23"/>
      <c r="D1023" s="23"/>
      <c r="E1023" s="7"/>
      <c r="F1023" s="8"/>
      <c r="G1023" s="8"/>
      <c r="H1023" s="8"/>
      <c r="I1023" s="27"/>
      <c r="J1023" s="27"/>
      <c r="K1023" s="27"/>
      <c r="L1023" s="27"/>
      <c r="M1023" s="7"/>
      <c r="N1023" s="8"/>
      <c r="O1023" s="8"/>
      <c r="P1023" s="8"/>
      <c r="Q1023" s="7"/>
      <c r="R1023" s="16"/>
      <c r="S1023" s="17"/>
      <c r="T1023" s="8"/>
      <c r="U1023" s="8"/>
      <c r="V1023" s="22"/>
      <c r="W1023" s="12"/>
      <c r="X1023" s="12"/>
      <c r="Y1023" s="12"/>
      <c r="Z1023" s="12"/>
      <c r="AA1023" s="7"/>
      <c r="AB1023" s="12"/>
      <c r="AC1023" s="6"/>
      <c r="AD1023" s="6"/>
      <c r="AE1023" s="7"/>
      <c r="AF1023" s="7"/>
      <c r="AG1023" s="7"/>
      <c r="AH1023" s="7"/>
      <c r="AI1023" s="7"/>
      <c r="AJ1023" s="7"/>
      <c r="AK1023" s="7"/>
      <c r="AL1023" s="7"/>
      <c r="AM1023" s="7"/>
      <c r="AN1023" s="7"/>
      <c r="AO1023" s="6"/>
      <c r="AP1023" s="7"/>
      <c r="AQ1023" s="7"/>
      <c r="AR1023" s="6"/>
      <c r="AS1023" s="7"/>
      <c r="AT1023" s="7"/>
      <c r="AU1023" s="7"/>
      <c r="AV1023" s="7"/>
      <c r="AW1023" s="7"/>
      <c r="AX1023" s="7"/>
      <c r="AY1023" s="7"/>
      <c r="AZ1023" s="7"/>
      <c r="BA1023" s="7"/>
      <c r="BB1023" s="7"/>
      <c r="BC1023" s="7"/>
      <c r="BD1023" s="7"/>
      <c r="BE1023" s="7"/>
      <c r="BF1023" s="7"/>
      <c r="BG1023" s="7"/>
    </row>
    <row r="1024" customHeight="1" spans="1:59">
      <c r="A1024" s="23"/>
      <c r="B1024" s="23"/>
      <c r="C1024" s="23"/>
      <c r="D1024" s="23"/>
      <c r="E1024" s="7"/>
      <c r="F1024" s="8"/>
      <c r="G1024" s="8"/>
      <c r="H1024" s="8"/>
      <c r="I1024" s="27"/>
      <c r="J1024" s="27"/>
      <c r="K1024" s="27"/>
      <c r="L1024" s="27"/>
      <c r="M1024" s="7"/>
      <c r="N1024" s="8"/>
      <c r="O1024" s="8"/>
      <c r="P1024" s="8"/>
      <c r="Q1024" s="7"/>
      <c r="R1024" s="16"/>
      <c r="S1024" s="17"/>
      <c r="T1024" s="8"/>
      <c r="U1024" s="8"/>
      <c r="V1024" s="22"/>
      <c r="W1024" s="12"/>
      <c r="X1024" s="12"/>
      <c r="Y1024" s="12"/>
      <c r="Z1024" s="12"/>
      <c r="AA1024" s="7"/>
      <c r="AB1024" s="12"/>
      <c r="AC1024" s="6"/>
      <c r="AD1024" s="6"/>
      <c r="AE1024" s="7"/>
      <c r="AF1024" s="7"/>
      <c r="AG1024" s="7"/>
      <c r="AH1024" s="7"/>
      <c r="AI1024" s="7"/>
      <c r="AJ1024" s="7"/>
      <c r="AK1024" s="7"/>
      <c r="AL1024" s="7"/>
      <c r="AM1024" s="7"/>
      <c r="AN1024" s="7"/>
      <c r="AO1024" s="6"/>
      <c r="AP1024" s="7"/>
      <c r="AQ1024" s="7"/>
      <c r="AR1024" s="6"/>
      <c r="AS1024" s="7"/>
      <c r="AT1024" s="7"/>
      <c r="AU1024" s="7"/>
      <c r="AV1024" s="7"/>
      <c r="AW1024" s="7"/>
      <c r="AX1024" s="7"/>
      <c r="AY1024" s="7"/>
      <c r="AZ1024" s="7"/>
      <c r="BA1024" s="7"/>
      <c r="BB1024" s="7"/>
      <c r="BC1024" s="7"/>
      <c r="BD1024" s="7"/>
      <c r="BE1024" s="7"/>
      <c r="BF1024" s="7"/>
      <c r="BG1024" s="7"/>
    </row>
    <row r="1025" customHeight="1" spans="1:59">
      <c r="A1025" s="23"/>
      <c r="B1025" s="23"/>
      <c r="C1025" s="23"/>
      <c r="D1025" s="23"/>
      <c r="E1025" s="7"/>
      <c r="F1025" s="8"/>
      <c r="G1025" s="8"/>
      <c r="H1025" s="8"/>
      <c r="I1025" s="27"/>
      <c r="J1025" s="27"/>
      <c r="K1025" s="27"/>
      <c r="L1025" s="27"/>
      <c r="M1025" s="7"/>
      <c r="N1025" s="8"/>
      <c r="O1025" s="8"/>
      <c r="P1025" s="8"/>
      <c r="Q1025" s="7"/>
      <c r="R1025" s="16"/>
      <c r="S1025" s="17"/>
      <c r="T1025" s="8"/>
      <c r="U1025" s="8"/>
      <c r="V1025" s="22"/>
      <c r="W1025" s="12"/>
      <c r="X1025" s="12"/>
      <c r="Y1025" s="12"/>
      <c r="Z1025" s="12"/>
      <c r="AA1025" s="7"/>
      <c r="AB1025" s="12"/>
      <c r="AC1025" s="6"/>
      <c r="AD1025" s="6"/>
      <c r="AE1025" s="7"/>
      <c r="AF1025" s="7"/>
      <c r="AG1025" s="7"/>
      <c r="AH1025" s="7"/>
      <c r="AI1025" s="7"/>
      <c r="AJ1025" s="7"/>
      <c r="AK1025" s="7"/>
      <c r="AL1025" s="7"/>
      <c r="AM1025" s="7"/>
      <c r="AN1025" s="7"/>
      <c r="AO1025" s="6"/>
      <c r="AP1025" s="7"/>
      <c r="AQ1025" s="7"/>
      <c r="AR1025" s="6"/>
      <c r="AS1025" s="7"/>
      <c r="AT1025" s="7"/>
      <c r="AU1025" s="7"/>
      <c r="AV1025" s="7"/>
      <c r="AW1025" s="7"/>
      <c r="AX1025" s="7"/>
      <c r="AY1025" s="7"/>
      <c r="AZ1025" s="7"/>
      <c r="BA1025" s="7"/>
      <c r="BB1025" s="7"/>
      <c r="BC1025" s="7"/>
      <c r="BD1025" s="7"/>
      <c r="BE1025" s="7"/>
      <c r="BF1025" s="7"/>
      <c r="BG1025" s="7"/>
    </row>
    <row r="1026" customHeight="1" spans="1:59">
      <c r="A1026" s="23"/>
      <c r="B1026" s="23"/>
      <c r="C1026" s="23"/>
      <c r="D1026" s="23"/>
      <c r="E1026" s="7"/>
      <c r="F1026" s="8"/>
      <c r="G1026" s="8"/>
      <c r="H1026" s="8"/>
      <c r="I1026" s="27"/>
      <c r="J1026" s="27"/>
      <c r="K1026" s="27"/>
      <c r="L1026" s="27"/>
      <c r="M1026" s="7"/>
      <c r="N1026" s="8"/>
      <c r="O1026" s="8"/>
      <c r="P1026" s="8"/>
      <c r="Q1026" s="7"/>
      <c r="R1026" s="16"/>
      <c r="S1026" s="17"/>
      <c r="T1026" s="8"/>
      <c r="U1026" s="8"/>
      <c r="V1026" s="22"/>
      <c r="W1026" s="12"/>
      <c r="X1026" s="12"/>
      <c r="Y1026" s="12"/>
      <c r="Z1026" s="12"/>
      <c r="AA1026" s="7"/>
      <c r="AB1026" s="12"/>
      <c r="AC1026" s="6"/>
      <c r="AD1026" s="6"/>
      <c r="AE1026" s="7"/>
      <c r="AF1026" s="7"/>
      <c r="AG1026" s="7"/>
      <c r="AH1026" s="7"/>
      <c r="AI1026" s="7"/>
      <c r="AJ1026" s="7"/>
      <c r="AK1026" s="7"/>
      <c r="AL1026" s="7"/>
      <c r="AM1026" s="7"/>
      <c r="AN1026" s="7"/>
      <c r="AO1026" s="6"/>
      <c r="AP1026" s="7"/>
      <c r="AQ1026" s="7"/>
      <c r="AR1026" s="6"/>
      <c r="AS1026" s="7"/>
      <c r="AT1026" s="7"/>
      <c r="AU1026" s="7"/>
      <c r="AV1026" s="7"/>
      <c r="AW1026" s="7"/>
      <c r="AX1026" s="7"/>
      <c r="AY1026" s="7"/>
      <c r="AZ1026" s="7"/>
      <c r="BA1026" s="7"/>
      <c r="BB1026" s="7"/>
      <c r="BC1026" s="7"/>
      <c r="BD1026" s="7"/>
      <c r="BE1026" s="7"/>
      <c r="BF1026" s="7"/>
      <c r="BG1026" s="7"/>
    </row>
    <row r="1027" customHeight="1" spans="1:59">
      <c r="A1027" s="23"/>
      <c r="B1027" s="23"/>
      <c r="C1027" s="23"/>
      <c r="D1027" s="23"/>
      <c r="E1027" s="7"/>
      <c r="F1027" s="8"/>
      <c r="G1027" s="8"/>
      <c r="H1027" s="8"/>
      <c r="I1027" s="27"/>
      <c r="J1027" s="27"/>
      <c r="K1027" s="27"/>
      <c r="L1027" s="27"/>
      <c r="M1027" s="7"/>
      <c r="N1027" s="8"/>
      <c r="O1027" s="8"/>
      <c r="P1027" s="8"/>
      <c r="Q1027" s="7"/>
      <c r="R1027" s="16"/>
      <c r="S1027" s="17"/>
      <c r="T1027" s="8"/>
      <c r="U1027" s="8"/>
      <c r="V1027" s="22"/>
      <c r="W1027" s="12"/>
      <c r="X1027" s="12"/>
      <c r="Y1027" s="12"/>
      <c r="Z1027" s="12"/>
      <c r="AA1027" s="7"/>
      <c r="AB1027" s="12"/>
      <c r="AC1027" s="6"/>
      <c r="AD1027" s="6"/>
      <c r="AE1027" s="7"/>
      <c r="AF1027" s="7"/>
      <c r="AG1027" s="7"/>
      <c r="AH1027" s="7"/>
      <c r="AI1027" s="7"/>
      <c r="AJ1027" s="7"/>
      <c r="AK1027" s="7"/>
      <c r="AL1027" s="7"/>
      <c r="AM1027" s="7"/>
      <c r="AN1027" s="7"/>
      <c r="AO1027" s="6"/>
      <c r="AP1027" s="7"/>
      <c r="AQ1027" s="7"/>
      <c r="AR1027" s="6"/>
      <c r="AS1027" s="7"/>
      <c r="AT1027" s="7"/>
      <c r="AU1027" s="7"/>
      <c r="AV1027" s="7"/>
      <c r="AW1027" s="7"/>
      <c r="AX1027" s="7"/>
      <c r="AY1027" s="7"/>
      <c r="AZ1027" s="7"/>
      <c r="BA1027" s="7"/>
      <c r="BB1027" s="7"/>
      <c r="BC1027" s="7"/>
      <c r="BD1027" s="7"/>
      <c r="BE1027" s="7"/>
      <c r="BF1027" s="7"/>
      <c r="BG1027" s="7"/>
    </row>
    <row r="1028" customHeight="1" spans="1:59">
      <c r="A1028" s="23"/>
      <c r="B1028" s="23"/>
      <c r="C1028" s="23"/>
      <c r="D1028" s="23"/>
      <c r="E1028" s="7"/>
      <c r="F1028" s="8"/>
      <c r="G1028" s="8"/>
      <c r="H1028" s="8"/>
      <c r="I1028" s="27"/>
      <c r="J1028" s="27"/>
      <c r="K1028" s="27"/>
      <c r="L1028" s="27"/>
      <c r="M1028" s="7"/>
      <c r="N1028" s="8"/>
      <c r="O1028" s="8"/>
      <c r="P1028" s="8"/>
      <c r="Q1028" s="7"/>
      <c r="R1028" s="16"/>
      <c r="S1028" s="17"/>
      <c r="T1028" s="8"/>
      <c r="U1028" s="8"/>
      <c r="V1028" s="22"/>
      <c r="W1028" s="12"/>
      <c r="X1028" s="12"/>
      <c r="Y1028" s="12"/>
      <c r="Z1028" s="12"/>
      <c r="AA1028" s="7"/>
      <c r="AB1028" s="12"/>
      <c r="AC1028" s="6"/>
      <c r="AD1028" s="6"/>
      <c r="AE1028" s="7"/>
      <c r="AF1028" s="7"/>
      <c r="AG1028" s="7"/>
      <c r="AH1028" s="7"/>
      <c r="AI1028" s="7"/>
      <c r="AJ1028" s="7"/>
      <c r="AK1028" s="7"/>
      <c r="AL1028" s="7"/>
      <c r="AM1028" s="7"/>
      <c r="AN1028" s="7"/>
      <c r="AO1028" s="6"/>
      <c r="AP1028" s="7"/>
      <c r="AQ1028" s="7"/>
      <c r="AR1028" s="6"/>
      <c r="AS1028" s="7"/>
      <c r="AT1028" s="7"/>
      <c r="AU1028" s="7"/>
      <c r="AV1028" s="7"/>
      <c r="AW1028" s="7"/>
      <c r="AX1028" s="7"/>
      <c r="AY1028" s="7"/>
      <c r="AZ1028" s="7"/>
      <c r="BA1028" s="7"/>
      <c r="BB1028" s="7"/>
      <c r="BC1028" s="7"/>
      <c r="BD1028" s="7"/>
      <c r="BE1028" s="7"/>
      <c r="BF1028" s="7"/>
      <c r="BG1028" s="7"/>
    </row>
    <row r="1029" customHeight="1" spans="1:59">
      <c r="A1029" s="23"/>
      <c r="B1029" s="23"/>
      <c r="C1029" s="23"/>
      <c r="D1029" s="23"/>
      <c r="E1029" s="7"/>
      <c r="F1029" s="8"/>
      <c r="G1029" s="8"/>
      <c r="H1029" s="8"/>
      <c r="I1029" s="27"/>
      <c r="J1029" s="27"/>
      <c r="K1029" s="27"/>
      <c r="L1029" s="27"/>
      <c r="M1029" s="7"/>
      <c r="N1029" s="8"/>
      <c r="O1029" s="8"/>
      <c r="P1029" s="8"/>
      <c r="Q1029" s="7"/>
      <c r="R1029" s="16"/>
      <c r="S1029" s="17"/>
      <c r="T1029" s="8"/>
      <c r="U1029" s="8"/>
      <c r="V1029" s="22"/>
      <c r="W1029" s="12"/>
      <c r="X1029" s="12"/>
      <c r="Y1029" s="12"/>
      <c r="Z1029" s="12"/>
      <c r="AA1029" s="7"/>
      <c r="AB1029" s="12"/>
      <c r="AC1029" s="6"/>
      <c r="AD1029" s="6"/>
      <c r="AE1029" s="7"/>
      <c r="AF1029" s="7"/>
      <c r="AG1029" s="7"/>
      <c r="AH1029" s="7"/>
      <c r="AI1029" s="7"/>
      <c r="AJ1029" s="7"/>
      <c r="AK1029" s="7"/>
      <c r="AL1029" s="7"/>
      <c r="AM1029" s="7"/>
      <c r="AN1029" s="7"/>
      <c r="AO1029" s="6"/>
      <c r="AP1029" s="7"/>
      <c r="AQ1029" s="7"/>
      <c r="AR1029" s="6"/>
      <c r="AS1029" s="7"/>
      <c r="AT1029" s="7"/>
      <c r="AU1029" s="7"/>
      <c r="AV1029" s="7"/>
      <c r="AW1029" s="7"/>
      <c r="AX1029" s="7"/>
      <c r="AY1029" s="7"/>
      <c r="AZ1029" s="7"/>
      <c r="BA1029" s="7"/>
      <c r="BB1029" s="7"/>
      <c r="BC1029" s="7"/>
      <c r="BD1029" s="7"/>
      <c r="BE1029" s="7"/>
      <c r="BF1029" s="7"/>
      <c r="BG1029" s="7"/>
    </row>
    <row r="1030" customHeight="1" spans="1:59">
      <c r="A1030" s="23"/>
      <c r="B1030" s="23"/>
      <c r="C1030" s="23"/>
      <c r="D1030" s="23"/>
      <c r="E1030" s="7"/>
      <c r="F1030" s="8"/>
      <c r="G1030" s="8"/>
      <c r="H1030" s="8"/>
      <c r="I1030" s="27"/>
      <c r="J1030" s="27"/>
      <c r="K1030" s="27"/>
      <c r="L1030" s="27"/>
      <c r="M1030" s="7"/>
      <c r="N1030" s="8"/>
      <c r="O1030" s="8"/>
      <c r="P1030" s="8"/>
      <c r="Q1030" s="7"/>
      <c r="R1030" s="16"/>
      <c r="S1030" s="17"/>
      <c r="T1030" s="8"/>
      <c r="U1030" s="8"/>
      <c r="V1030" s="22"/>
      <c r="W1030" s="12"/>
      <c r="X1030" s="12"/>
      <c r="Y1030" s="12"/>
      <c r="Z1030" s="12"/>
      <c r="AA1030" s="7"/>
      <c r="AB1030" s="12"/>
      <c r="AC1030" s="6"/>
      <c r="AD1030" s="6"/>
      <c r="AE1030" s="7"/>
      <c r="AF1030" s="7"/>
      <c r="AG1030" s="7"/>
      <c r="AH1030" s="7"/>
      <c r="AI1030" s="7"/>
      <c r="AJ1030" s="7"/>
      <c r="AK1030" s="7"/>
      <c r="AL1030" s="7"/>
      <c r="AM1030" s="7"/>
      <c r="AN1030" s="7"/>
      <c r="AO1030" s="6"/>
      <c r="AP1030" s="7"/>
      <c r="AQ1030" s="7"/>
      <c r="AR1030" s="6"/>
      <c r="AS1030" s="7"/>
      <c r="AT1030" s="7"/>
      <c r="AU1030" s="7"/>
      <c r="AV1030" s="7"/>
      <c r="AW1030" s="7"/>
      <c r="AX1030" s="7"/>
      <c r="AY1030" s="7"/>
      <c r="AZ1030" s="7"/>
      <c r="BA1030" s="7"/>
      <c r="BB1030" s="7"/>
      <c r="BC1030" s="7"/>
      <c r="BD1030" s="7"/>
      <c r="BE1030" s="7"/>
      <c r="BF1030" s="7"/>
      <c r="BG1030" s="7"/>
    </row>
    <row r="1031" customHeight="1" spans="1:59">
      <c r="A1031" s="23"/>
      <c r="B1031" s="23"/>
      <c r="C1031" s="23"/>
      <c r="D1031" s="23"/>
      <c r="E1031" s="7"/>
      <c r="F1031" s="8"/>
      <c r="G1031" s="8"/>
      <c r="H1031" s="8"/>
      <c r="I1031" s="27"/>
      <c r="J1031" s="27"/>
      <c r="K1031" s="27"/>
      <c r="L1031" s="27"/>
      <c r="M1031" s="7"/>
      <c r="N1031" s="8"/>
      <c r="O1031" s="8"/>
      <c r="P1031" s="8"/>
      <c r="Q1031" s="7"/>
      <c r="R1031" s="16"/>
      <c r="S1031" s="17"/>
      <c r="T1031" s="8"/>
      <c r="U1031" s="8"/>
      <c r="V1031" s="22"/>
      <c r="W1031" s="12"/>
      <c r="X1031" s="12"/>
      <c r="Y1031" s="12"/>
      <c r="Z1031" s="12"/>
      <c r="AA1031" s="7"/>
      <c r="AB1031" s="12"/>
      <c r="AC1031" s="6"/>
      <c r="AD1031" s="6"/>
      <c r="AE1031" s="7"/>
      <c r="AF1031" s="7"/>
      <c r="AG1031" s="7"/>
      <c r="AH1031" s="7"/>
      <c r="AI1031" s="7"/>
      <c r="AJ1031" s="7"/>
      <c r="AK1031" s="7"/>
      <c r="AL1031" s="7"/>
      <c r="AM1031" s="7"/>
      <c r="AN1031" s="7"/>
      <c r="AO1031" s="6"/>
      <c r="AP1031" s="7"/>
      <c r="AQ1031" s="7"/>
      <c r="AR1031" s="6"/>
      <c r="AS1031" s="7"/>
      <c r="AT1031" s="7"/>
      <c r="AU1031" s="7"/>
      <c r="AV1031" s="7"/>
      <c r="AW1031" s="7"/>
      <c r="AX1031" s="7"/>
      <c r="AY1031" s="7"/>
      <c r="AZ1031" s="7"/>
      <c r="BA1031" s="7"/>
      <c r="BB1031" s="7"/>
      <c r="BC1031" s="7"/>
      <c r="BD1031" s="7"/>
      <c r="BE1031" s="7"/>
      <c r="BF1031" s="7"/>
      <c r="BG1031" s="7"/>
    </row>
    <row r="1032" customHeight="1" spans="1:59">
      <c r="A1032" s="23"/>
      <c r="B1032" s="23"/>
      <c r="C1032" s="23"/>
      <c r="D1032" s="23"/>
      <c r="E1032" s="7"/>
      <c r="F1032" s="8"/>
      <c r="G1032" s="8"/>
      <c r="H1032" s="8"/>
      <c r="I1032" s="27"/>
      <c r="J1032" s="27"/>
      <c r="K1032" s="27"/>
      <c r="L1032" s="27"/>
      <c r="M1032" s="7"/>
      <c r="N1032" s="8"/>
      <c r="O1032" s="8"/>
      <c r="P1032" s="8"/>
      <c r="Q1032" s="7"/>
      <c r="R1032" s="16"/>
      <c r="S1032" s="17"/>
      <c r="T1032" s="8"/>
      <c r="U1032" s="8"/>
      <c r="V1032" s="22"/>
      <c r="W1032" s="12"/>
      <c r="X1032" s="12"/>
      <c r="Y1032" s="12"/>
      <c r="Z1032" s="12"/>
      <c r="AA1032" s="7"/>
      <c r="AB1032" s="12"/>
      <c r="AC1032" s="6"/>
      <c r="AD1032" s="6"/>
      <c r="AE1032" s="7"/>
      <c r="AF1032" s="7"/>
      <c r="AG1032" s="7"/>
      <c r="AH1032" s="7"/>
      <c r="AI1032" s="7"/>
      <c r="AJ1032" s="7"/>
      <c r="AK1032" s="7"/>
      <c r="AL1032" s="7"/>
      <c r="AM1032" s="7"/>
      <c r="AN1032" s="7"/>
      <c r="AO1032" s="6"/>
      <c r="AP1032" s="7"/>
      <c r="AQ1032" s="7"/>
      <c r="AR1032" s="6"/>
      <c r="AS1032" s="7"/>
      <c r="AT1032" s="7"/>
      <c r="AU1032" s="7"/>
      <c r="AV1032" s="7"/>
      <c r="AW1032" s="7"/>
      <c r="AX1032" s="7"/>
      <c r="AY1032" s="7"/>
      <c r="AZ1032" s="7"/>
      <c r="BA1032" s="7"/>
      <c r="BB1032" s="7"/>
      <c r="BC1032" s="7"/>
      <c r="BD1032" s="7"/>
      <c r="BE1032" s="7"/>
      <c r="BF1032" s="7"/>
      <c r="BG1032" s="7"/>
    </row>
    <row r="1033" customHeight="1" spans="1:59">
      <c r="A1033" s="23"/>
      <c r="B1033" s="23"/>
      <c r="C1033" s="23"/>
      <c r="D1033" s="23"/>
      <c r="E1033" s="7"/>
      <c r="F1033" s="8"/>
      <c r="G1033" s="8"/>
      <c r="H1033" s="8"/>
      <c r="I1033" s="27"/>
      <c r="J1033" s="27"/>
      <c r="K1033" s="27"/>
      <c r="L1033" s="27"/>
      <c r="M1033" s="7"/>
      <c r="N1033" s="8"/>
      <c r="O1033" s="8"/>
      <c r="P1033" s="8"/>
      <c r="Q1033" s="7"/>
      <c r="R1033" s="16"/>
      <c r="S1033" s="17"/>
      <c r="T1033" s="8"/>
      <c r="U1033" s="8"/>
      <c r="V1033" s="22"/>
      <c r="W1033" s="12"/>
      <c r="X1033" s="12"/>
      <c r="Y1033" s="12"/>
      <c r="Z1033" s="12"/>
      <c r="AA1033" s="7"/>
      <c r="AB1033" s="12"/>
      <c r="AC1033" s="6"/>
      <c r="AD1033" s="6"/>
      <c r="AE1033" s="7"/>
      <c r="AF1033" s="7"/>
      <c r="AG1033" s="7"/>
      <c r="AH1033" s="7"/>
      <c r="AI1033" s="7"/>
      <c r="AJ1033" s="7"/>
      <c r="AK1033" s="7"/>
      <c r="AL1033" s="7"/>
      <c r="AM1033" s="7"/>
      <c r="AN1033" s="7"/>
      <c r="AO1033" s="6"/>
      <c r="AP1033" s="7"/>
      <c r="AQ1033" s="7"/>
      <c r="AR1033" s="6"/>
      <c r="AS1033" s="7"/>
      <c r="AT1033" s="7"/>
      <c r="AU1033" s="7"/>
      <c r="AV1033" s="7"/>
      <c r="AW1033" s="7"/>
      <c r="AX1033" s="7"/>
      <c r="AY1033" s="7"/>
      <c r="AZ1033" s="7"/>
      <c r="BA1033" s="7"/>
      <c r="BB1033" s="7"/>
      <c r="BC1033" s="7"/>
      <c r="BD1033" s="7"/>
      <c r="BE1033" s="7"/>
      <c r="BF1033" s="7"/>
      <c r="BG1033" s="7"/>
    </row>
    <row r="1034" customHeight="1" spans="1:59">
      <c r="A1034" s="23"/>
      <c r="B1034" s="23"/>
      <c r="C1034" s="23"/>
      <c r="D1034" s="23"/>
      <c r="E1034" s="7"/>
      <c r="F1034" s="8"/>
      <c r="G1034" s="8"/>
      <c r="H1034" s="8"/>
      <c r="I1034" s="27"/>
      <c r="J1034" s="27"/>
      <c r="K1034" s="27"/>
      <c r="L1034" s="27"/>
      <c r="M1034" s="7"/>
      <c r="N1034" s="8"/>
      <c r="O1034" s="8"/>
      <c r="P1034" s="8"/>
      <c r="Q1034" s="7"/>
      <c r="R1034" s="16"/>
      <c r="S1034" s="17"/>
      <c r="T1034" s="8"/>
      <c r="U1034" s="8"/>
      <c r="V1034" s="22"/>
      <c r="W1034" s="12"/>
      <c r="X1034" s="12"/>
      <c r="Y1034" s="12"/>
      <c r="Z1034" s="12"/>
      <c r="AA1034" s="7"/>
      <c r="AB1034" s="12"/>
      <c r="AC1034" s="6"/>
      <c r="AD1034" s="6"/>
      <c r="AE1034" s="7"/>
      <c r="AF1034" s="7"/>
      <c r="AG1034" s="7"/>
      <c r="AH1034" s="7"/>
      <c r="AI1034" s="7"/>
      <c r="AJ1034" s="7"/>
      <c r="AK1034" s="7"/>
      <c r="AL1034" s="7"/>
      <c r="AM1034" s="7"/>
      <c r="AN1034" s="7"/>
      <c r="AO1034" s="6"/>
      <c r="AP1034" s="7"/>
      <c r="AQ1034" s="7"/>
      <c r="AR1034" s="6"/>
      <c r="AS1034" s="7"/>
      <c r="AT1034" s="7"/>
      <c r="AU1034" s="7"/>
      <c r="AV1034" s="7"/>
      <c r="AW1034" s="7"/>
      <c r="AX1034" s="7"/>
      <c r="AY1034" s="7"/>
      <c r="AZ1034" s="7"/>
      <c r="BA1034" s="7"/>
      <c r="BB1034" s="7"/>
      <c r="BC1034" s="7"/>
      <c r="BD1034" s="7"/>
      <c r="BE1034" s="7"/>
      <c r="BF1034" s="7"/>
      <c r="BG1034" s="7"/>
    </row>
    <row r="1035" customHeight="1" spans="1:59">
      <c r="A1035" s="23"/>
      <c r="B1035" s="23"/>
      <c r="C1035" s="23"/>
      <c r="D1035" s="23"/>
      <c r="E1035" s="7"/>
      <c r="F1035" s="8"/>
      <c r="G1035" s="8"/>
      <c r="H1035" s="8"/>
      <c r="I1035" s="27"/>
      <c r="J1035" s="27"/>
      <c r="K1035" s="27"/>
      <c r="L1035" s="27"/>
      <c r="M1035" s="7"/>
      <c r="N1035" s="8"/>
      <c r="O1035" s="8"/>
      <c r="P1035" s="8"/>
      <c r="Q1035" s="7"/>
      <c r="R1035" s="16"/>
      <c r="S1035" s="17"/>
      <c r="T1035" s="8"/>
      <c r="U1035" s="8"/>
      <c r="V1035" s="22"/>
      <c r="W1035" s="12"/>
      <c r="X1035" s="12"/>
      <c r="Y1035" s="12"/>
      <c r="Z1035" s="12"/>
      <c r="AA1035" s="7"/>
      <c r="AB1035" s="12"/>
      <c r="AC1035" s="6"/>
      <c r="AD1035" s="6"/>
      <c r="AE1035" s="7"/>
      <c r="AF1035" s="7"/>
      <c r="AG1035" s="7"/>
      <c r="AH1035" s="7"/>
      <c r="AI1035" s="7"/>
      <c r="AJ1035" s="7"/>
      <c r="AK1035" s="7"/>
      <c r="AL1035" s="7"/>
      <c r="AM1035" s="7"/>
      <c r="AN1035" s="7"/>
      <c r="AO1035" s="6"/>
      <c r="AP1035" s="7"/>
      <c r="AQ1035" s="7"/>
      <c r="AR1035" s="6"/>
      <c r="AS1035" s="7"/>
      <c r="AT1035" s="7"/>
      <c r="AU1035" s="7"/>
      <c r="AV1035" s="7"/>
      <c r="AW1035" s="7"/>
      <c r="AX1035" s="7"/>
      <c r="AY1035" s="7"/>
      <c r="AZ1035" s="7"/>
      <c r="BA1035" s="7"/>
      <c r="BB1035" s="7"/>
      <c r="BC1035" s="7"/>
      <c r="BD1035" s="7"/>
      <c r="BE1035" s="7"/>
      <c r="BF1035" s="7"/>
      <c r="BG1035" s="7"/>
    </row>
    <row r="1036" customHeight="1" spans="1:59">
      <c r="A1036" s="23"/>
      <c r="B1036" s="23"/>
      <c r="C1036" s="23"/>
      <c r="D1036" s="23"/>
      <c r="E1036" s="7"/>
      <c r="F1036" s="8"/>
      <c r="G1036" s="8"/>
      <c r="H1036" s="8"/>
      <c r="I1036" s="27"/>
      <c r="J1036" s="27"/>
      <c r="K1036" s="27"/>
      <c r="L1036" s="27"/>
      <c r="M1036" s="7"/>
      <c r="N1036" s="8"/>
      <c r="O1036" s="8"/>
      <c r="P1036" s="8"/>
      <c r="Q1036" s="7"/>
      <c r="R1036" s="16"/>
      <c r="S1036" s="17"/>
      <c r="T1036" s="8"/>
      <c r="U1036" s="8"/>
      <c r="V1036" s="22"/>
      <c r="W1036" s="12"/>
      <c r="X1036" s="12"/>
      <c r="Y1036" s="12"/>
      <c r="Z1036" s="12"/>
      <c r="AA1036" s="7"/>
      <c r="AB1036" s="12"/>
      <c r="AC1036" s="6"/>
      <c r="AD1036" s="6"/>
      <c r="AE1036" s="7"/>
      <c r="AF1036" s="7"/>
      <c r="AG1036" s="7"/>
      <c r="AH1036" s="7"/>
      <c r="AI1036" s="7"/>
      <c r="AJ1036" s="7"/>
      <c r="AK1036" s="7"/>
      <c r="AL1036" s="7"/>
      <c r="AM1036" s="7"/>
      <c r="AN1036" s="7"/>
      <c r="AO1036" s="6"/>
      <c r="AP1036" s="7"/>
      <c r="AQ1036" s="7"/>
      <c r="AR1036" s="6"/>
      <c r="AS1036" s="7"/>
      <c r="AT1036" s="7"/>
      <c r="AU1036" s="7"/>
      <c r="AV1036" s="7"/>
      <c r="AW1036" s="7"/>
      <c r="AX1036" s="7"/>
      <c r="AY1036" s="7"/>
      <c r="AZ1036" s="7"/>
      <c r="BA1036" s="7"/>
      <c r="BB1036" s="7"/>
      <c r="BC1036" s="7"/>
      <c r="BD1036" s="7"/>
      <c r="BE1036" s="7"/>
      <c r="BF1036" s="7"/>
      <c r="BG1036" s="7"/>
    </row>
    <row r="1037" customHeight="1" spans="1:59">
      <c r="A1037" s="23"/>
      <c r="B1037" s="23"/>
      <c r="C1037" s="23"/>
      <c r="D1037" s="23"/>
      <c r="E1037" s="7"/>
      <c r="F1037" s="8"/>
      <c r="G1037" s="8"/>
      <c r="H1037" s="8"/>
      <c r="I1037" s="27"/>
      <c r="J1037" s="27"/>
      <c r="K1037" s="27"/>
      <c r="L1037" s="27"/>
      <c r="M1037" s="7"/>
      <c r="N1037" s="8"/>
      <c r="O1037" s="8"/>
      <c r="P1037" s="8"/>
      <c r="Q1037" s="7"/>
      <c r="R1037" s="16"/>
      <c r="S1037" s="17"/>
      <c r="T1037" s="8"/>
      <c r="U1037" s="8"/>
      <c r="V1037" s="22"/>
      <c r="W1037" s="12"/>
      <c r="X1037" s="12"/>
      <c r="Y1037" s="12"/>
      <c r="Z1037" s="12"/>
      <c r="AA1037" s="9"/>
      <c r="AB1037" s="12"/>
      <c r="AC1037" s="6"/>
      <c r="AD1037" s="6"/>
      <c r="AE1037" s="7"/>
      <c r="AF1037" s="7"/>
      <c r="AG1037" s="7"/>
      <c r="AH1037" s="7"/>
      <c r="AI1037" s="7"/>
      <c r="AJ1037" s="7"/>
      <c r="AK1037" s="7"/>
      <c r="AL1037" s="7"/>
      <c r="AM1037" s="7"/>
      <c r="AN1037" s="7"/>
      <c r="AO1037" s="6"/>
      <c r="AP1037" s="7"/>
      <c r="AQ1037" s="7"/>
      <c r="AR1037" s="6"/>
      <c r="AS1037" s="7"/>
      <c r="AT1037" s="7"/>
      <c r="AU1037" s="7"/>
      <c r="AV1037" s="7"/>
      <c r="AW1037" s="7"/>
      <c r="AX1037" s="7"/>
      <c r="AY1037" s="7"/>
      <c r="AZ1037" s="7"/>
      <c r="BA1037" s="7"/>
      <c r="BB1037" s="7"/>
      <c r="BC1037" s="7"/>
      <c r="BD1037" s="7"/>
      <c r="BE1037" s="7"/>
      <c r="BF1037" s="7"/>
      <c r="BG1037" s="7"/>
    </row>
    <row r="1038" customHeight="1" spans="1:59">
      <c r="A1038" s="23"/>
      <c r="B1038" s="23"/>
      <c r="C1038" s="23"/>
      <c r="D1038" s="23"/>
      <c r="E1038" s="7"/>
      <c r="F1038" s="8"/>
      <c r="G1038" s="8"/>
      <c r="H1038" s="8"/>
      <c r="I1038" s="27"/>
      <c r="J1038" s="27"/>
      <c r="K1038" s="27"/>
      <c r="L1038" s="27"/>
      <c r="M1038" s="7"/>
      <c r="N1038" s="8"/>
      <c r="O1038" s="8"/>
      <c r="P1038" s="8"/>
      <c r="Q1038" s="7"/>
      <c r="R1038" s="16"/>
      <c r="S1038" s="17"/>
      <c r="T1038" s="8"/>
      <c r="U1038" s="8"/>
      <c r="V1038" s="22"/>
      <c r="W1038" s="12"/>
      <c r="X1038" s="12"/>
      <c r="Y1038" s="12"/>
      <c r="Z1038" s="12"/>
      <c r="AA1038" s="9"/>
      <c r="AB1038" s="12"/>
      <c r="AC1038" s="6"/>
      <c r="AD1038" s="6"/>
      <c r="AE1038" s="7"/>
      <c r="AF1038" s="7"/>
      <c r="AG1038" s="7"/>
      <c r="AH1038" s="7"/>
      <c r="AI1038" s="7"/>
      <c r="AJ1038" s="7"/>
      <c r="AK1038" s="7"/>
      <c r="AL1038" s="7"/>
      <c r="AM1038" s="7"/>
      <c r="AN1038" s="7"/>
      <c r="AO1038" s="6"/>
      <c r="AP1038" s="7"/>
      <c r="AQ1038" s="7"/>
      <c r="AR1038" s="6"/>
      <c r="AS1038" s="7"/>
      <c r="AT1038" s="7"/>
      <c r="AU1038" s="7"/>
      <c r="AV1038" s="7"/>
      <c r="AW1038" s="7"/>
      <c r="AX1038" s="7"/>
      <c r="AY1038" s="7"/>
      <c r="AZ1038" s="7"/>
      <c r="BA1038" s="7"/>
      <c r="BB1038" s="7"/>
      <c r="BC1038" s="7"/>
      <c r="BD1038" s="7"/>
      <c r="BE1038" s="7"/>
      <c r="BF1038" s="7"/>
      <c r="BG1038" s="7"/>
    </row>
    <row r="1039" customHeight="1" spans="1:59">
      <c r="A1039" s="23"/>
      <c r="B1039" s="23"/>
      <c r="C1039" s="23"/>
      <c r="D1039" s="23"/>
      <c r="E1039" s="7"/>
      <c r="F1039" s="8"/>
      <c r="G1039" s="8"/>
      <c r="H1039" s="8"/>
      <c r="I1039" s="27"/>
      <c r="J1039" s="27"/>
      <c r="K1039" s="27"/>
      <c r="L1039" s="27"/>
      <c r="M1039" s="7"/>
      <c r="N1039" s="8"/>
      <c r="O1039" s="8"/>
      <c r="P1039" s="8"/>
      <c r="Q1039" s="7"/>
      <c r="R1039" s="16"/>
      <c r="S1039" s="17"/>
      <c r="T1039" s="8"/>
      <c r="U1039" s="8"/>
      <c r="V1039" s="22"/>
      <c r="W1039" s="12"/>
      <c r="X1039" s="12"/>
      <c r="Y1039" s="12"/>
      <c r="Z1039" s="12"/>
      <c r="AA1039" s="9"/>
      <c r="AB1039" s="12"/>
      <c r="AC1039" s="6"/>
      <c r="AD1039" s="6"/>
      <c r="AE1039" s="7"/>
      <c r="AF1039" s="7"/>
      <c r="AG1039" s="7"/>
      <c r="AH1039" s="7"/>
      <c r="AI1039" s="7"/>
      <c r="AJ1039" s="7"/>
      <c r="AK1039" s="7"/>
      <c r="AL1039" s="7"/>
      <c r="AM1039" s="7"/>
      <c r="AN1039" s="7"/>
      <c r="AO1039" s="6"/>
      <c r="AP1039" s="7"/>
      <c r="AQ1039" s="7"/>
      <c r="AR1039" s="6"/>
      <c r="AS1039" s="7"/>
      <c r="AT1039" s="7"/>
      <c r="AU1039" s="7"/>
      <c r="AV1039" s="7"/>
      <c r="AW1039" s="7"/>
      <c r="AX1039" s="7"/>
      <c r="AY1039" s="7"/>
      <c r="AZ1039" s="7"/>
      <c r="BA1039" s="7"/>
      <c r="BB1039" s="7"/>
      <c r="BC1039" s="7"/>
      <c r="BD1039" s="7"/>
      <c r="BE1039" s="7"/>
      <c r="BF1039" s="7"/>
      <c r="BG1039" s="7"/>
    </row>
    <row r="1040" customHeight="1" spans="1:59">
      <c r="A1040" s="23"/>
      <c r="B1040" s="23"/>
      <c r="C1040" s="23"/>
      <c r="D1040" s="23"/>
      <c r="E1040" s="7"/>
      <c r="F1040" s="8"/>
      <c r="G1040" s="8"/>
      <c r="H1040" s="8"/>
      <c r="I1040" s="27"/>
      <c r="J1040" s="27"/>
      <c r="K1040" s="27"/>
      <c r="L1040" s="27"/>
      <c r="M1040" s="7"/>
      <c r="N1040" s="8"/>
      <c r="O1040" s="8"/>
      <c r="P1040" s="8"/>
      <c r="Q1040" s="7"/>
      <c r="R1040" s="16"/>
      <c r="S1040" s="17"/>
      <c r="T1040" s="8"/>
      <c r="U1040" s="8"/>
      <c r="V1040" s="22"/>
      <c r="W1040" s="12"/>
      <c r="X1040" s="12"/>
      <c r="Y1040" s="12"/>
      <c r="Z1040" s="12"/>
      <c r="AA1040" s="9"/>
      <c r="AB1040" s="12"/>
      <c r="AC1040" s="6"/>
      <c r="AD1040" s="6"/>
      <c r="AE1040" s="7"/>
      <c r="AF1040" s="7"/>
      <c r="AG1040" s="7"/>
      <c r="AH1040" s="7"/>
      <c r="AI1040" s="7"/>
      <c r="AJ1040" s="7"/>
      <c r="AK1040" s="7"/>
      <c r="AL1040" s="7"/>
      <c r="AM1040" s="7"/>
      <c r="AN1040" s="7"/>
      <c r="AO1040" s="6"/>
      <c r="AP1040" s="7"/>
      <c r="AQ1040" s="7"/>
      <c r="AR1040" s="6"/>
      <c r="AS1040" s="7"/>
      <c r="AT1040" s="7"/>
      <c r="AU1040" s="7"/>
      <c r="AV1040" s="7"/>
      <c r="AW1040" s="7"/>
      <c r="AX1040" s="7"/>
      <c r="AY1040" s="7"/>
      <c r="AZ1040" s="7"/>
      <c r="BA1040" s="7"/>
      <c r="BB1040" s="7"/>
      <c r="BC1040" s="7"/>
      <c r="BD1040" s="7"/>
      <c r="BE1040" s="7"/>
      <c r="BF1040" s="7"/>
      <c r="BG1040" s="7"/>
    </row>
    <row r="1041" customHeight="1" spans="1:59">
      <c r="A1041" s="23"/>
      <c r="B1041" s="23"/>
      <c r="C1041" s="23"/>
      <c r="D1041" s="23"/>
      <c r="E1041" s="7"/>
      <c r="F1041" s="8"/>
      <c r="G1041" s="8"/>
      <c r="H1041" s="8"/>
      <c r="I1041" s="27"/>
      <c r="J1041" s="27"/>
      <c r="K1041" s="27"/>
      <c r="L1041" s="27"/>
      <c r="M1041" s="7"/>
      <c r="N1041" s="8"/>
      <c r="O1041" s="8"/>
      <c r="P1041" s="8"/>
      <c r="Q1041" s="7"/>
      <c r="R1041" s="16"/>
      <c r="S1041" s="17"/>
      <c r="T1041" s="8"/>
      <c r="U1041" s="8"/>
      <c r="V1041" s="22"/>
      <c r="W1041" s="12"/>
      <c r="X1041" s="12"/>
      <c r="Y1041" s="12"/>
      <c r="Z1041" s="12"/>
      <c r="AA1041" s="9"/>
      <c r="AB1041" s="12"/>
      <c r="AC1041" s="6"/>
      <c r="AD1041" s="6"/>
      <c r="AE1041" s="7"/>
      <c r="AF1041" s="7"/>
      <c r="AG1041" s="7"/>
      <c r="AH1041" s="7"/>
      <c r="AI1041" s="7"/>
      <c r="AJ1041" s="7"/>
      <c r="AK1041" s="7"/>
      <c r="AL1041" s="7"/>
      <c r="AM1041" s="7"/>
      <c r="AN1041" s="7"/>
      <c r="AO1041" s="6"/>
      <c r="AP1041" s="7"/>
      <c r="AQ1041" s="7"/>
      <c r="AR1041" s="6"/>
      <c r="AS1041" s="7"/>
      <c r="AT1041" s="7"/>
      <c r="AU1041" s="7"/>
      <c r="AV1041" s="7"/>
      <c r="AW1041" s="7"/>
      <c r="AX1041" s="7"/>
      <c r="AY1041" s="7"/>
      <c r="AZ1041" s="7"/>
      <c r="BA1041" s="7"/>
      <c r="BB1041" s="7"/>
      <c r="BC1041" s="7"/>
      <c r="BD1041" s="7"/>
      <c r="BE1041" s="7"/>
      <c r="BF1041" s="7"/>
      <c r="BG1041" s="7"/>
    </row>
    <row r="1042" customHeight="1" spans="1:59">
      <c r="A1042" s="23"/>
      <c r="B1042" s="23"/>
      <c r="C1042" s="23"/>
      <c r="D1042" s="23"/>
      <c r="E1042" s="7"/>
      <c r="F1042" s="8"/>
      <c r="G1042" s="8"/>
      <c r="H1042" s="8"/>
      <c r="I1042" s="27"/>
      <c r="J1042" s="27"/>
      <c r="K1042" s="27"/>
      <c r="L1042" s="27"/>
      <c r="M1042" s="7"/>
      <c r="N1042" s="8"/>
      <c r="O1042" s="8"/>
      <c r="P1042" s="8"/>
      <c r="Q1042" s="7"/>
      <c r="R1042" s="16"/>
      <c r="S1042" s="17"/>
      <c r="T1042" s="8"/>
      <c r="U1042" s="8"/>
      <c r="V1042" s="22"/>
      <c r="W1042" s="12"/>
      <c r="X1042" s="12"/>
      <c r="Y1042" s="12"/>
      <c r="Z1042" s="12"/>
      <c r="AA1042" s="9"/>
      <c r="AB1042" s="12"/>
      <c r="AC1042" s="6"/>
      <c r="AD1042" s="6"/>
      <c r="AE1042" s="7"/>
      <c r="AF1042" s="7"/>
      <c r="AG1042" s="7"/>
      <c r="AH1042" s="7"/>
      <c r="AI1042" s="7"/>
      <c r="AJ1042" s="7"/>
      <c r="AK1042" s="7"/>
      <c r="AL1042" s="7"/>
      <c r="AM1042" s="7"/>
      <c r="AN1042" s="7"/>
      <c r="AO1042" s="6"/>
      <c r="AP1042" s="7"/>
      <c r="AQ1042" s="7"/>
      <c r="AR1042" s="6"/>
      <c r="AS1042" s="7"/>
      <c r="AT1042" s="7"/>
      <c r="AU1042" s="7"/>
      <c r="AV1042" s="7"/>
      <c r="AW1042" s="7"/>
      <c r="AX1042" s="7"/>
      <c r="AY1042" s="7"/>
      <c r="AZ1042" s="7"/>
      <c r="BA1042" s="7"/>
      <c r="BB1042" s="7"/>
      <c r="BC1042" s="7"/>
      <c r="BD1042" s="7"/>
      <c r="BE1042" s="7"/>
      <c r="BF1042" s="7"/>
      <c r="BG1042" s="7"/>
    </row>
    <row r="1043" customHeight="1" spans="1:59">
      <c r="A1043" s="23"/>
      <c r="B1043" s="23"/>
      <c r="C1043" s="23"/>
      <c r="D1043" s="23"/>
      <c r="E1043" s="7"/>
      <c r="F1043" s="8"/>
      <c r="G1043" s="8"/>
      <c r="H1043" s="24"/>
      <c r="I1043" s="27"/>
      <c r="J1043" s="27"/>
      <c r="K1043" s="27"/>
      <c r="L1043" s="27"/>
      <c r="M1043" s="7"/>
      <c r="N1043" s="8"/>
      <c r="O1043" s="8"/>
      <c r="P1043" s="8"/>
      <c r="Q1043" s="7"/>
      <c r="R1043" s="16"/>
      <c r="S1043" s="17"/>
      <c r="T1043" s="8"/>
      <c r="U1043" s="8"/>
      <c r="V1043" s="22"/>
      <c r="W1043" s="12"/>
      <c r="X1043" s="12"/>
      <c r="Y1043" s="12"/>
      <c r="Z1043" s="12"/>
      <c r="AA1043" s="9"/>
      <c r="AB1043" s="12"/>
      <c r="AC1043" s="6"/>
      <c r="AD1043" s="6"/>
      <c r="AE1043" s="7"/>
      <c r="AF1043" s="7"/>
      <c r="AG1043" s="7"/>
      <c r="AH1043" s="7"/>
      <c r="AI1043" s="7"/>
      <c r="AJ1043" s="7"/>
      <c r="AK1043" s="7"/>
      <c r="AL1043" s="7"/>
      <c r="AM1043" s="7"/>
      <c r="AN1043" s="7"/>
      <c r="AO1043" s="6"/>
      <c r="AP1043" s="7"/>
      <c r="AQ1043" s="7"/>
      <c r="AR1043" s="6"/>
      <c r="AS1043" s="7"/>
      <c r="AT1043" s="7"/>
      <c r="AU1043" s="7"/>
      <c r="AV1043" s="7"/>
      <c r="AW1043" s="7"/>
      <c r="AX1043" s="7"/>
      <c r="AY1043" s="7"/>
      <c r="AZ1043" s="7"/>
      <c r="BA1043" s="7"/>
      <c r="BB1043" s="7"/>
      <c r="BC1043" s="7"/>
      <c r="BD1043" s="7"/>
      <c r="BE1043" s="7"/>
      <c r="BF1043" s="7"/>
      <c r="BG1043" s="7"/>
    </row>
    <row r="1044" customHeight="1" spans="1:59">
      <c r="A1044" s="23"/>
      <c r="B1044" s="23"/>
      <c r="C1044" s="23"/>
      <c r="D1044" s="23"/>
      <c r="E1044" s="7"/>
      <c r="F1044" s="8"/>
      <c r="G1044" s="8"/>
      <c r="H1044" s="24"/>
      <c r="I1044" s="27"/>
      <c r="J1044" s="27"/>
      <c r="K1044" s="27"/>
      <c r="L1044" s="27"/>
      <c r="M1044" s="7"/>
      <c r="N1044" s="8"/>
      <c r="O1044" s="8"/>
      <c r="P1044" s="8"/>
      <c r="Q1044" s="7"/>
      <c r="R1044" s="16"/>
      <c r="S1044" s="17"/>
      <c r="T1044" s="8"/>
      <c r="U1044" s="8"/>
      <c r="V1044" s="22"/>
      <c r="W1044" s="12"/>
      <c r="X1044" s="12"/>
      <c r="Y1044" s="12"/>
      <c r="Z1044" s="12"/>
      <c r="AA1044" s="9"/>
      <c r="AB1044" s="12"/>
      <c r="AC1044" s="6"/>
      <c r="AD1044" s="6"/>
      <c r="AE1044" s="7"/>
      <c r="AF1044" s="7"/>
      <c r="AG1044" s="7"/>
      <c r="AH1044" s="7"/>
      <c r="AI1044" s="7"/>
      <c r="AJ1044" s="7"/>
      <c r="AK1044" s="7"/>
      <c r="AL1044" s="7"/>
      <c r="AM1044" s="7"/>
      <c r="AN1044" s="7"/>
      <c r="AO1044" s="6"/>
      <c r="AP1044" s="7"/>
      <c r="AQ1044" s="7"/>
      <c r="AR1044" s="6"/>
      <c r="AS1044" s="7"/>
      <c r="AT1044" s="7"/>
      <c r="AU1044" s="7"/>
      <c r="AV1044" s="7"/>
      <c r="AW1044" s="7"/>
      <c r="AX1044" s="7"/>
      <c r="AY1044" s="7"/>
      <c r="AZ1044" s="7"/>
      <c r="BA1044" s="7"/>
      <c r="BB1044" s="7"/>
      <c r="BC1044" s="7"/>
      <c r="BD1044" s="7"/>
      <c r="BE1044" s="7"/>
      <c r="BF1044" s="7"/>
      <c r="BG1044" s="7"/>
    </row>
    <row r="1045" customHeight="1" spans="1:59">
      <c r="A1045" s="23"/>
      <c r="B1045" s="23"/>
      <c r="C1045" s="23"/>
      <c r="D1045" s="23"/>
      <c r="E1045" s="7"/>
      <c r="F1045" s="8"/>
      <c r="G1045" s="8"/>
      <c r="H1045" s="24"/>
      <c r="I1045" s="27"/>
      <c r="J1045" s="27"/>
      <c r="K1045" s="27"/>
      <c r="L1045" s="27"/>
      <c r="M1045" s="7"/>
      <c r="N1045" s="8"/>
      <c r="O1045" s="8"/>
      <c r="P1045" s="8"/>
      <c r="Q1045" s="7"/>
      <c r="R1045" s="16"/>
      <c r="S1045" s="17"/>
      <c r="T1045" s="8"/>
      <c r="U1045" s="8"/>
      <c r="V1045" s="22"/>
      <c r="W1045" s="12"/>
      <c r="X1045" s="12"/>
      <c r="Y1045" s="12"/>
      <c r="Z1045" s="12"/>
      <c r="AA1045" s="9"/>
      <c r="AB1045" s="12"/>
      <c r="AC1045" s="6"/>
      <c r="AD1045" s="6"/>
      <c r="AE1045" s="7"/>
      <c r="AF1045" s="7"/>
      <c r="AG1045" s="7"/>
      <c r="AH1045" s="7"/>
      <c r="AI1045" s="7"/>
      <c r="AJ1045" s="7"/>
      <c r="AK1045" s="7"/>
      <c r="AL1045" s="7"/>
      <c r="AM1045" s="7"/>
      <c r="AN1045" s="7"/>
      <c r="AO1045" s="6"/>
      <c r="AP1045" s="7"/>
      <c r="AQ1045" s="7"/>
      <c r="AR1045" s="6"/>
      <c r="AS1045" s="7"/>
      <c r="AT1045" s="7"/>
      <c r="AU1045" s="7"/>
      <c r="AV1045" s="7"/>
      <c r="AW1045" s="7"/>
      <c r="AX1045" s="7"/>
      <c r="AY1045" s="7"/>
      <c r="AZ1045" s="7"/>
      <c r="BA1045" s="7"/>
      <c r="BB1045" s="7"/>
      <c r="BC1045" s="7"/>
      <c r="BD1045" s="7"/>
      <c r="BE1045" s="7"/>
      <c r="BF1045" s="7"/>
      <c r="BG1045" s="7"/>
    </row>
    <row r="1046" customHeight="1" spans="1:59">
      <c r="A1046" s="23"/>
      <c r="B1046" s="23"/>
      <c r="C1046" s="23"/>
      <c r="D1046" s="23"/>
      <c r="E1046" s="7"/>
      <c r="F1046" s="8"/>
      <c r="G1046" s="8"/>
      <c r="H1046" s="24"/>
      <c r="I1046" s="27"/>
      <c r="J1046" s="27"/>
      <c r="K1046" s="27"/>
      <c r="L1046" s="27"/>
      <c r="M1046" s="7"/>
      <c r="N1046" s="8"/>
      <c r="O1046" s="8"/>
      <c r="P1046" s="8"/>
      <c r="Q1046" s="7"/>
      <c r="R1046" s="16"/>
      <c r="S1046" s="17"/>
      <c r="T1046" s="8"/>
      <c r="U1046" s="8"/>
      <c r="V1046" s="22"/>
      <c r="W1046" s="12"/>
      <c r="X1046" s="12"/>
      <c r="Y1046" s="12"/>
      <c r="Z1046" s="12"/>
      <c r="AA1046" s="9"/>
      <c r="AB1046" s="12"/>
      <c r="AC1046" s="6"/>
      <c r="AD1046" s="6"/>
      <c r="AE1046" s="7"/>
      <c r="AF1046" s="7"/>
      <c r="AG1046" s="7"/>
      <c r="AH1046" s="7"/>
      <c r="AI1046" s="7"/>
      <c r="AJ1046" s="7"/>
      <c r="AK1046" s="7"/>
      <c r="AL1046" s="7"/>
      <c r="AM1046" s="7"/>
      <c r="AN1046" s="7"/>
      <c r="AO1046" s="6"/>
      <c r="AP1046" s="7"/>
      <c r="AQ1046" s="7"/>
      <c r="AR1046" s="6"/>
      <c r="AS1046" s="7"/>
      <c r="AT1046" s="7"/>
      <c r="AU1046" s="7"/>
      <c r="AV1046" s="7"/>
      <c r="AW1046" s="7"/>
      <c r="AX1046" s="7"/>
      <c r="AY1046" s="7"/>
      <c r="AZ1046" s="7"/>
      <c r="BA1046" s="7"/>
      <c r="BB1046" s="7"/>
      <c r="BC1046" s="7"/>
      <c r="BD1046" s="7"/>
      <c r="BE1046" s="7"/>
      <c r="BF1046" s="7"/>
      <c r="BG1046" s="7"/>
    </row>
    <row r="1047" customHeight="1" spans="1:59">
      <c r="A1047" s="23"/>
      <c r="B1047" s="23"/>
      <c r="C1047" s="23"/>
      <c r="D1047" s="23"/>
      <c r="E1047" s="7"/>
      <c r="F1047" s="8"/>
      <c r="G1047" s="8"/>
      <c r="H1047" s="24"/>
      <c r="I1047" s="27"/>
      <c r="J1047" s="27"/>
      <c r="K1047" s="27"/>
      <c r="L1047" s="27"/>
      <c r="M1047" s="7"/>
      <c r="N1047" s="8"/>
      <c r="O1047" s="8"/>
      <c r="P1047" s="8"/>
      <c r="Q1047" s="7"/>
      <c r="R1047" s="16"/>
      <c r="S1047" s="17"/>
      <c r="T1047" s="8"/>
      <c r="U1047" s="8"/>
      <c r="V1047" s="22"/>
      <c r="W1047" s="12"/>
      <c r="X1047" s="12"/>
      <c r="Y1047" s="12"/>
      <c r="Z1047" s="12"/>
      <c r="AA1047" s="9"/>
      <c r="AB1047" s="12"/>
      <c r="AC1047" s="6"/>
      <c r="AD1047" s="6"/>
      <c r="AE1047" s="7"/>
      <c r="AF1047" s="7"/>
      <c r="AG1047" s="7"/>
      <c r="AH1047" s="7"/>
      <c r="AI1047" s="7"/>
      <c r="AJ1047" s="7"/>
      <c r="AK1047" s="7"/>
      <c r="AL1047" s="7"/>
      <c r="AM1047" s="7"/>
      <c r="AN1047" s="7"/>
      <c r="AO1047" s="6"/>
      <c r="AP1047" s="7"/>
      <c r="AQ1047" s="7"/>
      <c r="AR1047" s="6"/>
      <c r="AS1047" s="7"/>
      <c r="AT1047" s="7"/>
      <c r="AU1047" s="7"/>
      <c r="AV1047" s="7"/>
      <c r="AW1047" s="7"/>
      <c r="AX1047" s="7"/>
      <c r="AY1047" s="7"/>
      <c r="AZ1047" s="7"/>
      <c r="BA1047" s="7"/>
      <c r="BB1047" s="7"/>
      <c r="BC1047" s="7"/>
      <c r="BD1047" s="7"/>
      <c r="BE1047" s="7"/>
      <c r="BF1047" s="7"/>
      <c r="BG1047" s="7"/>
    </row>
    <row r="1048" customHeight="1" spans="1:59">
      <c r="A1048" s="23"/>
      <c r="B1048" s="23"/>
      <c r="C1048" s="23"/>
      <c r="D1048" s="23"/>
      <c r="E1048" s="7"/>
      <c r="F1048" s="8"/>
      <c r="G1048" s="8"/>
      <c r="H1048" s="24"/>
      <c r="I1048" s="27"/>
      <c r="J1048" s="27"/>
      <c r="K1048" s="27"/>
      <c r="L1048" s="27"/>
      <c r="M1048" s="7"/>
      <c r="N1048" s="8"/>
      <c r="O1048" s="8"/>
      <c r="P1048" s="8"/>
      <c r="Q1048" s="7"/>
      <c r="R1048" s="16"/>
      <c r="S1048" s="17"/>
      <c r="T1048" s="8"/>
      <c r="U1048" s="8"/>
      <c r="V1048" s="22"/>
      <c r="W1048" s="12"/>
      <c r="X1048" s="12"/>
      <c r="Y1048" s="12"/>
      <c r="Z1048" s="12"/>
      <c r="AA1048" s="9"/>
      <c r="AB1048" s="12"/>
      <c r="AC1048" s="6"/>
      <c r="AD1048" s="6"/>
      <c r="AE1048" s="7"/>
      <c r="AF1048" s="7"/>
      <c r="AG1048" s="7"/>
      <c r="AH1048" s="7"/>
      <c r="AI1048" s="7"/>
      <c r="AJ1048" s="7"/>
      <c r="AK1048" s="7"/>
      <c r="AL1048" s="7"/>
      <c r="AM1048" s="7"/>
      <c r="AN1048" s="7"/>
      <c r="AO1048" s="6"/>
      <c r="AP1048" s="7"/>
      <c r="AQ1048" s="7"/>
      <c r="AR1048" s="6"/>
      <c r="AS1048" s="7"/>
      <c r="AT1048" s="7"/>
      <c r="AU1048" s="7"/>
      <c r="AV1048" s="7"/>
      <c r="AW1048" s="7"/>
      <c r="AX1048" s="7"/>
      <c r="AY1048" s="7"/>
      <c r="AZ1048" s="7"/>
      <c r="BA1048" s="7"/>
      <c r="BB1048" s="7"/>
      <c r="BC1048" s="7"/>
      <c r="BD1048" s="7"/>
      <c r="BE1048" s="7"/>
      <c r="BF1048" s="7"/>
      <c r="BG1048" s="7"/>
    </row>
    <row r="1049" customHeight="1" spans="1:59">
      <c r="A1049" s="23"/>
      <c r="B1049" s="23"/>
      <c r="C1049" s="23"/>
      <c r="D1049" s="23"/>
      <c r="E1049" s="7"/>
      <c r="F1049" s="8"/>
      <c r="G1049" s="8"/>
      <c r="H1049" s="24"/>
      <c r="I1049" s="27"/>
      <c r="J1049" s="27"/>
      <c r="K1049" s="27"/>
      <c r="L1049" s="27"/>
      <c r="M1049" s="7"/>
      <c r="N1049" s="8"/>
      <c r="O1049" s="8"/>
      <c r="P1049" s="8"/>
      <c r="Q1049" s="7"/>
      <c r="R1049" s="16"/>
      <c r="S1049" s="17"/>
      <c r="T1049" s="8"/>
      <c r="U1049" s="8"/>
      <c r="V1049" s="22"/>
      <c r="W1049" s="12"/>
      <c r="X1049" s="12"/>
      <c r="Y1049" s="12"/>
      <c r="Z1049" s="12"/>
      <c r="AA1049" s="9"/>
      <c r="AB1049" s="12"/>
      <c r="AC1049" s="6"/>
      <c r="AD1049" s="6"/>
      <c r="AE1049" s="7"/>
      <c r="AF1049" s="7"/>
      <c r="AG1049" s="7"/>
      <c r="AH1049" s="7"/>
      <c r="AI1049" s="7"/>
      <c r="AJ1049" s="7"/>
      <c r="AK1049" s="7"/>
      <c r="AL1049" s="7"/>
      <c r="AM1049" s="7"/>
      <c r="AN1049" s="7"/>
      <c r="AO1049" s="6"/>
      <c r="AP1049" s="7"/>
      <c r="AQ1049" s="7"/>
      <c r="AR1049" s="6"/>
      <c r="AS1049" s="7"/>
      <c r="AT1049" s="7"/>
      <c r="AU1049" s="7"/>
      <c r="AV1049" s="7"/>
      <c r="AW1049" s="7"/>
      <c r="AX1049" s="7"/>
      <c r="AY1049" s="7"/>
      <c r="AZ1049" s="7"/>
      <c r="BA1049" s="7"/>
      <c r="BB1049" s="7"/>
      <c r="BC1049" s="7"/>
      <c r="BD1049" s="7"/>
      <c r="BE1049" s="7"/>
      <c r="BF1049" s="7"/>
      <c r="BG1049" s="7"/>
    </row>
    <row r="1050" customHeight="1" spans="1:59">
      <c r="A1050" s="23"/>
      <c r="B1050" s="23"/>
      <c r="C1050" s="23"/>
      <c r="D1050" s="23"/>
      <c r="E1050" s="7"/>
      <c r="F1050" s="8"/>
      <c r="G1050" s="8"/>
      <c r="H1050" s="24"/>
      <c r="I1050" s="27"/>
      <c r="J1050" s="27"/>
      <c r="K1050" s="27"/>
      <c r="L1050" s="27"/>
      <c r="M1050" s="7"/>
      <c r="N1050" s="8"/>
      <c r="O1050" s="8"/>
      <c r="P1050" s="8"/>
      <c r="Q1050" s="7"/>
      <c r="R1050" s="16"/>
      <c r="S1050" s="17"/>
      <c r="T1050" s="8"/>
      <c r="U1050" s="8"/>
      <c r="V1050" s="22"/>
      <c r="W1050" s="12"/>
      <c r="X1050" s="12"/>
      <c r="Y1050" s="12"/>
      <c r="Z1050" s="12"/>
      <c r="AA1050" s="9"/>
      <c r="AB1050" s="12"/>
      <c r="AC1050" s="6"/>
      <c r="AD1050" s="6"/>
      <c r="AE1050" s="7"/>
      <c r="AF1050" s="7"/>
      <c r="AG1050" s="7"/>
      <c r="AH1050" s="7"/>
      <c r="AI1050" s="7"/>
      <c r="AJ1050" s="7"/>
      <c r="AK1050" s="7"/>
      <c r="AL1050" s="7"/>
      <c r="AM1050" s="7"/>
      <c r="AN1050" s="7"/>
      <c r="AO1050" s="6"/>
      <c r="AP1050" s="7"/>
      <c r="AQ1050" s="7"/>
      <c r="AR1050" s="6"/>
      <c r="AS1050" s="7"/>
      <c r="AT1050" s="7"/>
      <c r="AU1050" s="7"/>
      <c r="AV1050" s="7"/>
      <c r="AW1050" s="7"/>
      <c r="AX1050" s="7"/>
      <c r="AY1050" s="7"/>
      <c r="AZ1050" s="7"/>
      <c r="BA1050" s="7"/>
      <c r="BB1050" s="7"/>
      <c r="BC1050" s="7"/>
      <c r="BD1050" s="7"/>
      <c r="BE1050" s="7"/>
      <c r="BF1050" s="7"/>
      <c r="BG1050" s="7"/>
    </row>
    <row r="1051" customHeight="1" spans="1:59">
      <c r="A1051" s="23"/>
      <c r="B1051" s="23"/>
      <c r="C1051" s="23"/>
      <c r="D1051" s="23"/>
      <c r="E1051" s="7"/>
      <c r="F1051" s="24"/>
      <c r="G1051" s="8"/>
      <c r="H1051" s="24"/>
      <c r="I1051" s="27"/>
      <c r="J1051" s="27"/>
      <c r="K1051" s="27"/>
      <c r="L1051" s="27"/>
      <c r="M1051" s="7"/>
      <c r="N1051" s="8"/>
      <c r="O1051" s="8"/>
      <c r="P1051" s="8"/>
      <c r="Q1051" s="7"/>
      <c r="R1051" s="16"/>
      <c r="S1051" s="17"/>
      <c r="T1051" s="8"/>
      <c r="U1051" s="8"/>
      <c r="V1051" s="22"/>
      <c r="W1051" s="12"/>
      <c r="X1051" s="12"/>
      <c r="Y1051" s="12"/>
      <c r="Z1051" s="12"/>
      <c r="AA1051" s="9"/>
      <c r="AB1051" s="12"/>
      <c r="AC1051" s="6"/>
      <c r="AD1051" s="6"/>
      <c r="AE1051" s="7"/>
      <c r="AF1051" s="7"/>
      <c r="AG1051" s="7"/>
      <c r="AH1051" s="7"/>
      <c r="AI1051" s="7"/>
      <c r="AJ1051" s="7"/>
      <c r="AK1051" s="7"/>
      <c r="AL1051" s="7"/>
      <c r="AM1051" s="7"/>
      <c r="AN1051" s="7"/>
      <c r="AO1051" s="6"/>
      <c r="AP1051" s="7"/>
      <c r="AQ1051" s="7"/>
      <c r="AR1051" s="6"/>
      <c r="AS1051" s="7"/>
      <c r="AT1051" s="7"/>
      <c r="AU1051" s="7"/>
      <c r="AV1051" s="7"/>
      <c r="AW1051" s="7"/>
      <c r="AX1051" s="7"/>
      <c r="AY1051" s="7"/>
      <c r="AZ1051" s="7"/>
      <c r="BA1051" s="7"/>
      <c r="BB1051" s="7"/>
      <c r="BC1051" s="7"/>
      <c r="BD1051" s="7"/>
      <c r="BE1051" s="7"/>
      <c r="BF1051" s="7"/>
      <c r="BG1051" s="7"/>
    </row>
    <row r="1052" customHeight="1" spans="1:59">
      <c r="A1052" s="23"/>
      <c r="B1052" s="23"/>
      <c r="C1052" s="23"/>
      <c r="D1052" s="23"/>
      <c r="E1052" s="7"/>
      <c r="F1052" s="24"/>
      <c r="G1052" s="24"/>
      <c r="H1052" s="24"/>
      <c r="I1052" s="27"/>
      <c r="J1052" s="27"/>
      <c r="K1052" s="27"/>
      <c r="L1052" s="27"/>
      <c r="M1052" s="7"/>
      <c r="N1052" s="8"/>
      <c r="O1052" s="8"/>
      <c r="P1052" s="8"/>
      <c r="Q1052" s="7"/>
      <c r="R1052" s="16"/>
      <c r="S1052" s="17"/>
      <c r="T1052" s="8"/>
      <c r="U1052" s="8"/>
      <c r="V1052" s="22"/>
      <c r="W1052" s="12"/>
      <c r="X1052" s="12"/>
      <c r="Y1052" s="12"/>
      <c r="Z1052" s="12"/>
      <c r="AA1052" s="9"/>
      <c r="AB1052" s="12"/>
      <c r="AC1052" s="6"/>
      <c r="AD1052" s="6"/>
      <c r="AE1052" s="7"/>
      <c r="AF1052" s="7"/>
      <c r="AG1052" s="7"/>
      <c r="AH1052" s="7"/>
      <c r="AI1052" s="7"/>
      <c r="AJ1052" s="7"/>
      <c r="AK1052" s="7"/>
      <c r="AL1052" s="7"/>
      <c r="AM1052" s="7"/>
      <c r="AN1052" s="7"/>
      <c r="AO1052" s="6"/>
      <c r="AP1052" s="7"/>
      <c r="AQ1052" s="7"/>
      <c r="AR1052" s="6"/>
      <c r="AS1052" s="7"/>
      <c r="AT1052" s="7"/>
      <c r="AU1052" s="7"/>
      <c r="AV1052" s="7"/>
      <c r="AW1052" s="7"/>
      <c r="AX1052" s="7"/>
      <c r="AY1052" s="7"/>
      <c r="AZ1052" s="7"/>
      <c r="BA1052" s="7"/>
      <c r="BB1052" s="7"/>
      <c r="BC1052" s="7"/>
      <c r="BD1052" s="7"/>
      <c r="BE1052" s="7"/>
      <c r="BF1052" s="7"/>
      <c r="BG1052" s="7"/>
    </row>
    <row r="1053" customHeight="1" spans="1:59">
      <c r="A1053" s="9"/>
      <c r="B1053" s="5"/>
      <c r="C1053" s="5"/>
      <c r="D1053" s="5"/>
      <c r="E1053" s="7"/>
      <c r="F1053" s="8"/>
      <c r="G1053" s="8"/>
      <c r="H1053" s="8"/>
      <c r="I1053" s="14"/>
      <c r="J1053" s="14"/>
      <c r="K1053" s="14"/>
      <c r="L1053" s="14"/>
      <c r="M1053" s="7"/>
      <c r="N1053" s="10"/>
      <c r="O1053" s="10"/>
      <c r="P1053" s="8"/>
      <c r="Q1053" s="7"/>
      <c r="R1053" s="16"/>
      <c r="S1053" s="17"/>
      <c r="T1053" s="8"/>
      <c r="U1053" s="8"/>
      <c r="V1053" s="22"/>
      <c r="W1053" s="12"/>
      <c r="X1053" s="12"/>
      <c r="Y1053" s="12"/>
      <c r="Z1053" s="12"/>
      <c r="AA1053" s="9"/>
      <c r="AB1053" s="12"/>
      <c r="AC1053" s="6"/>
      <c r="AD1053" s="6"/>
      <c r="AE1053" s="7"/>
      <c r="AF1053" s="7"/>
      <c r="AG1053" s="7"/>
      <c r="AH1053" s="7"/>
      <c r="AI1053" s="7"/>
      <c r="AJ1053" s="7"/>
      <c r="AK1053" s="7"/>
      <c r="AL1053" s="7"/>
      <c r="AM1053" s="7"/>
      <c r="AN1053" s="7"/>
      <c r="AO1053" s="6"/>
      <c r="AP1053" s="7"/>
      <c r="AQ1053" s="7"/>
      <c r="AR1053" s="6"/>
      <c r="AS1053" s="7"/>
      <c r="AT1053" s="7"/>
      <c r="AU1053" s="7"/>
      <c r="AV1053" s="7"/>
      <c r="AW1053" s="7"/>
      <c r="AX1053" s="7"/>
      <c r="AY1053" s="7"/>
      <c r="AZ1053" s="7"/>
      <c r="BA1053" s="7"/>
      <c r="BB1053" s="7"/>
      <c r="BC1053" s="7"/>
      <c r="BD1053" s="7"/>
      <c r="BE1053" s="7"/>
      <c r="BF1053" s="7"/>
      <c r="BG1053" s="7"/>
    </row>
    <row r="1054" customHeight="1" spans="1:59">
      <c r="A1054" s="9"/>
      <c r="B1054" s="5"/>
      <c r="C1054" s="5"/>
      <c r="D1054" s="5"/>
      <c r="E1054" s="7"/>
      <c r="F1054" s="8"/>
      <c r="G1054" s="8"/>
      <c r="H1054" s="8"/>
      <c r="I1054" s="14"/>
      <c r="J1054" s="14"/>
      <c r="K1054" s="14"/>
      <c r="L1054" s="14"/>
      <c r="M1054" s="7"/>
      <c r="N1054" s="10"/>
      <c r="O1054" s="10"/>
      <c r="P1054" s="8"/>
      <c r="Q1054" s="7"/>
      <c r="R1054" s="16"/>
      <c r="S1054" s="17"/>
      <c r="T1054" s="8"/>
      <c r="U1054" s="8"/>
      <c r="V1054" s="22"/>
      <c r="W1054" s="12"/>
      <c r="X1054" s="12"/>
      <c r="Y1054" s="12"/>
      <c r="Z1054" s="12"/>
      <c r="AA1054" s="9"/>
      <c r="AB1054" s="12"/>
      <c r="AC1054" s="6"/>
      <c r="AD1054" s="6"/>
      <c r="AE1054" s="7"/>
      <c r="AF1054" s="7"/>
      <c r="AG1054" s="7"/>
      <c r="AH1054" s="7"/>
      <c r="AI1054" s="7"/>
      <c r="AJ1054" s="7"/>
      <c r="AK1054" s="7"/>
      <c r="AL1054" s="7"/>
      <c r="AM1054" s="7"/>
      <c r="AN1054" s="7"/>
      <c r="AO1054" s="6"/>
      <c r="AP1054" s="7"/>
      <c r="AQ1054" s="7"/>
      <c r="AR1054" s="6"/>
      <c r="AS1054" s="7"/>
      <c r="AT1054" s="7"/>
      <c r="AU1054" s="7"/>
      <c r="AV1054" s="7"/>
      <c r="AW1054" s="7"/>
      <c r="AX1054" s="7"/>
      <c r="AY1054" s="7"/>
      <c r="AZ1054" s="7"/>
      <c r="BA1054" s="7"/>
      <c r="BB1054" s="7"/>
      <c r="BC1054" s="7"/>
      <c r="BD1054" s="7"/>
      <c r="BE1054" s="7"/>
      <c r="BF1054" s="7"/>
      <c r="BG1054" s="7"/>
    </row>
    <row r="1055" customHeight="1" spans="1:59">
      <c r="A1055" s="9"/>
      <c r="B1055" s="5"/>
      <c r="C1055" s="5"/>
      <c r="D1055" s="5"/>
      <c r="E1055" s="7"/>
      <c r="F1055" s="8"/>
      <c r="G1055" s="8"/>
      <c r="H1055" s="8"/>
      <c r="I1055" s="14"/>
      <c r="J1055" s="14"/>
      <c r="K1055" s="14"/>
      <c r="L1055" s="14"/>
      <c r="M1055" s="7"/>
      <c r="N1055" s="10"/>
      <c r="O1055" s="10"/>
      <c r="P1055" s="8"/>
      <c r="Q1055" s="7"/>
      <c r="R1055" s="16"/>
      <c r="S1055" s="17"/>
      <c r="T1055" s="8"/>
      <c r="U1055" s="8"/>
      <c r="V1055" s="22"/>
      <c r="W1055" s="12"/>
      <c r="X1055" s="12"/>
      <c r="Y1055" s="12"/>
      <c r="Z1055" s="12"/>
      <c r="AA1055" s="9"/>
      <c r="AB1055" s="12"/>
      <c r="AC1055" s="6"/>
      <c r="AD1055" s="6"/>
      <c r="AE1055" s="7"/>
      <c r="AF1055" s="7"/>
      <c r="AG1055" s="7"/>
      <c r="AH1055" s="7"/>
      <c r="AI1055" s="7"/>
      <c r="AJ1055" s="7"/>
      <c r="AK1055" s="7"/>
      <c r="AL1055" s="7"/>
      <c r="AM1055" s="7"/>
      <c r="AN1055" s="7"/>
      <c r="AO1055" s="6"/>
      <c r="AP1055" s="7"/>
      <c r="AQ1055" s="7"/>
      <c r="AR1055" s="6"/>
      <c r="AS1055" s="7"/>
      <c r="AT1055" s="7"/>
      <c r="AU1055" s="7"/>
      <c r="AV1055" s="7"/>
      <c r="AW1055" s="7"/>
      <c r="AX1055" s="7"/>
      <c r="AY1055" s="7"/>
      <c r="AZ1055" s="7"/>
      <c r="BA1055" s="7"/>
      <c r="BB1055" s="7"/>
      <c r="BC1055" s="7"/>
      <c r="BD1055" s="7"/>
      <c r="BE1055" s="7"/>
      <c r="BF1055" s="7"/>
      <c r="BG1055" s="7"/>
    </row>
    <row r="1056" customHeight="1" spans="1:59">
      <c r="A1056" s="9"/>
      <c r="B1056" s="5"/>
      <c r="C1056" s="5"/>
      <c r="D1056" s="5"/>
      <c r="E1056" s="7"/>
      <c r="F1056" s="8"/>
      <c r="G1056" s="8"/>
      <c r="H1056" s="8"/>
      <c r="I1056" s="14"/>
      <c r="J1056" s="14"/>
      <c r="K1056" s="14"/>
      <c r="L1056" s="14"/>
      <c r="M1056" s="7"/>
      <c r="N1056" s="10"/>
      <c r="O1056" s="10"/>
      <c r="P1056" s="8"/>
      <c r="Q1056" s="7"/>
      <c r="R1056" s="16"/>
      <c r="S1056" s="17"/>
      <c r="T1056" s="8"/>
      <c r="U1056" s="8"/>
      <c r="V1056" s="22"/>
      <c r="W1056" s="12"/>
      <c r="X1056" s="12"/>
      <c r="Y1056" s="12"/>
      <c r="Z1056" s="12"/>
      <c r="AA1056" s="9"/>
      <c r="AB1056" s="12"/>
      <c r="AC1056" s="6"/>
      <c r="AD1056" s="6"/>
      <c r="AE1056" s="7"/>
      <c r="AF1056" s="7"/>
      <c r="AG1056" s="7"/>
      <c r="AH1056" s="7"/>
      <c r="AI1056" s="7"/>
      <c r="AJ1056" s="7"/>
      <c r="AK1056" s="7"/>
      <c r="AL1056" s="7"/>
      <c r="AM1056" s="7"/>
      <c r="AN1056" s="7"/>
      <c r="AO1056" s="6"/>
      <c r="AP1056" s="7"/>
      <c r="AQ1056" s="7"/>
      <c r="AR1056" s="6"/>
      <c r="AS1056" s="7"/>
      <c r="AT1056" s="7"/>
      <c r="AU1056" s="7"/>
      <c r="AV1056" s="7"/>
      <c r="AW1056" s="7"/>
      <c r="AX1056" s="7"/>
      <c r="AY1056" s="7"/>
      <c r="AZ1056" s="7"/>
      <c r="BA1056" s="7"/>
      <c r="BB1056" s="7"/>
      <c r="BC1056" s="7"/>
      <c r="BD1056" s="7"/>
      <c r="BE1056" s="7"/>
      <c r="BF1056" s="7"/>
      <c r="BG1056" s="7"/>
    </row>
    <row r="1057" customHeight="1" spans="1:59">
      <c r="A1057" s="9"/>
      <c r="B1057" s="5"/>
      <c r="C1057" s="5"/>
      <c r="D1057" s="5"/>
      <c r="E1057" s="7"/>
      <c r="F1057" s="8"/>
      <c r="G1057" s="8"/>
      <c r="H1057" s="8"/>
      <c r="I1057" s="14"/>
      <c r="J1057" s="14"/>
      <c r="K1057" s="14"/>
      <c r="L1057" s="14"/>
      <c r="M1057" s="7"/>
      <c r="N1057" s="10"/>
      <c r="O1057" s="10"/>
      <c r="P1057" s="8"/>
      <c r="Q1057" s="7"/>
      <c r="R1057" s="16"/>
      <c r="S1057" s="17"/>
      <c r="T1057" s="8"/>
      <c r="U1057" s="8"/>
      <c r="V1057" s="22"/>
      <c r="W1057" s="12"/>
      <c r="X1057" s="12"/>
      <c r="Y1057" s="12"/>
      <c r="Z1057" s="12"/>
      <c r="AA1057" s="9"/>
      <c r="AB1057" s="12"/>
      <c r="AC1057" s="6"/>
      <c r="AD1057" s="6"/>
      <c r="AE1057" s="7"/>
      <c r="AF1057" s="7"/>
      <c r="AG1057" s="7"/>
      <c r="AH1057" s="7"/>
      <c r="AI1057" s="7"/>
      <c r="AJ1057" s="7"/>
      <c r="AK1057" s="7"/>
      <c r="AL1057" s="7"/>
      <c r="AM1057" s="7"/>
      <c r="AN1057" s="7"/>
      <c r="AO1057" s="6"/>
      <c r="AP1057" s="7"/>
      <c r="AQ1057" s="7"/>
      <c r="AR1057" s="6"/>
      <c r="AS1057" s="7"/>
      <c r="AT1057" s="7"/>
      <c r="AU1057" s="7"/>
      <c r="AV1057" s="7"/>
      <c r="AW1057" s="7"/>
      <c r="AX1057" s="7"/>
      <c r="AY1057" s="7"/>
      <c r="AZ1057" s="7"/>
      <c r="BA1057" s="7"/>
      <c r="BB1057" s="7"/>
      <c r="BC1057" s="7"/>
      <c r="BD1057" s="7"/>
      <c r="BE1057" s="7"/>
      <c r="BF1057" s="7"/>
      <c r="BG1057" s="7"/>
    </row>
    <row r="1058" customHeight="1" spans="1:59">
      <c r="A1058" s="9"/>
      <c r="B1058" s="5"/>
      <c r="C1058" s="5"/>
      <c r="D1058" s="5"/>
      <c r="E1058" s="7"/>
      <c r="F1058" s="8"/>
      <c r="G1058" s="8"/>
      <c r="H1058" s="8"/>
      <c r="I1058" s="14"/>
      <c r="J1058" s="14"/>
      <c r="K1058" s="14"/>
      <c r="L1058" s="14"/>
      <c r="M1058" s="7"/>
      <c r="N1058" s="10"/>
      <c r="O1058" s="10"/>
      <c r="P1058" s="8"/>
      <c r="Q1058" s="7"/>
      <c r="R1058" s="16"/>
      <c r="S1058" s="17"/>
      <c r="T1058" s="8"/>
      <c r="U1058" s="8"/>
      <c r="V1058" s="22"/>
      <c r="W1058" s="12"/>
      <c r="X1058" s="12"/>
      <c r="Y1058" s="12"/>
      <c r="Z1058" s="12"/>
      <c r="AA1058" s="9"/>
      <c r="AB1058" s="12"/>
      <c r="AC1058" s="6"/>
      <c r="AD1058" s="6"/>
      <c r="AE1058" s="7"/>
      <c r="AF1058" s="7"/>
      <c r="AG1058" s="7"/>
      <c r="AH1058" s="7"/>
      <c r="AI1058" s="7"/>
      <c r="AJ1058" s="7"/>
      <c r="AK1058" s="7"/>
      <c r="AL1058" s="7"/>
      <c r="AM1058" s="7"/>
      <c r="AN1058" s="7"/>
      <c r="AO1058" s="6"/>
      <c r="AP1058" s="7"/>
      <c r="AQ1058" s="7"/>
      <c r="AR1058" s="6"/>
      <c r="AS1058" s="7"/>
      <c r="AT1058" s="7"/>
      <c r="AU1058" s="7"/>
      <c r="AV1058" s="7"/>
      <c r="AW1058" s="7"/>
      <c r="AX1058" s="7"/>
      <c r="AY1058" s="7"/>
      <c r="AZ1058" s="7"/>
      <c r="BA1058" s="7"/>
      <c r="BB1058" s="7"/>
      <c r="BC1058" s="7"/>
      <c r="BD1058" s="7"/>
      <c r="BE1058" s="7"/>
      <c r="BF1058" s="7"/>
      <c r="BG1058" s="7"/>
    </row>
    <row r="1059" customHeight="1" spans="1:59">
      <c r="A1059" s="9"/>
      <c r="B1059" s="5"/>
      <c r="C1059" s="5"/>
      <c r="D1059" s="5"/>
      <c r="E1059" s="7"/>
      <c r="F1059" s="8"/>
      <c r="G1059" s="8"/>
      <c r="H1059" s="8"/>
      <c r="I1059" s="14"/>
      <c r="J1059" s="14"/>
      <c r="K1059" s="14"/>
      <c r="L1059" s="14"/>
      <c r="M1059" s="7"/>
      <c r="N1059" s="10"/>
      <c r="O1059" s="10"/>
      <c r="P1059" s="8"/>
      <c r="Q1059" s="7"/>
      <c r="R1059" s="16"/>
      <c r="S1059" s="17"/>
      <c r="T1059" s="8"/>
      <c r="U1059" s="8"/>
      <c r="V1059" s="22"/>
      <c r="W1059" s="12"/>
      <c r="X1059" s="12"/>
      <c r="Y1059" s="12"/>
      <c r="Z1059" s="12"/>
      <c r="AA1059" s="9"/>
      <c r="AB1059" s="12"/>
      <c r="AC1059" s="6"/>
      <c r="AD1059" s="6"/>
      <c r="AE1059" s="7"/>
      <c r="AF1059" s="7"/>
      <c r="AG1059" s="7"/>
      <c r="AH1059" s="7"/>
      <c r="AI1059" s="7"/>
      <c r="AJ1059" s="7"/>
      <c r="AK1059" s="7"/>
      <c r="AL1059" s="7"/>
      <c r="AM1059" s="7"/>
      <c r="AN1059" s="7"/>
      <c r="AO1059" s="6"/>
      <c r="AP1059" s="7"/>
      <c r="AQ1059" s="7"/>
      <c r="AR1059" s="6"/>
      <c r="AS1059" s="7"/>
      <c r="AT1059" s="7"/>
      <c r="AU1059" s="7"/>
      <c r="AV1059" s="7"/>
      <c r="AW1059" s="7"/>
      <c r="AX1059" s="7"/>
      <c r="AY1059" s="7"/>
      <c r="AZ1059" s="7"/>
      <c r="BA1059" s="7"/>
      <c r="BB1059" s="7"/>
      <c r="BC1059" s="7"/>
      <c r="BD1059" s="7"/>
      <c r="BE1059" s="7"/>
      <c r="BF1059" s="7"/>
      <c r="BG1059" s="7"/>
    </row>
    <row r="1060" customHeight="1" spans="1:59">
      <c r="A1060" s="9"/>
      <c r="B1060" s="5"/>
      <c r="C1060" s="5"/>
      <c r="D1060" s="5"/>
      <c r="E1060" s="7"/>
      <c r="F1060" s="8"/>
      <c r="G1060" s="8"/>
      <c r="H1060" s="8"/>
      <c r="I1060" s="14"/>
      <c r="J1060" s="14"/>
      <c r="K1060" s="14"/>
      <c r="L1060" s="14"/>
      <c r="M1060" s="7"/>
      <c r="N1060" s="10"/>
      <c r="O1060" s="10"/>
      <c r="P1060" s="8"/>
      <c r="Q1060" s="7"/>
      <c r="R1060" s="16"/>
      <c r="S1060" s="17"/>
      <c r="T1060" s="8"/>
      <c r="U1060" s="8"/>
      <c r="V1060" s="22"/>
      <c r="W1060" s="12"/>
      <c r="X1060" s="12"/>
      <c r="Y1060" s="12"/>
      <c r="Z1060" s="12"/>
      <c r="AA1060" s="9"/>
      <c r="AB1060" s="12"/>
      <c r="AC1060" s="6"/>
      <c r="AD1060" s="6"/>
      <c r="AE1060" s="7"/>
      <c r="AF1060" s="7"/>
      <c r="AG1060" s="7"/>
      <c r="AH1060" s="7"/>
      <c r="AI1060" s="7"/>
      <c r="AJ1060" s="7"/>
      <c r="AK1060" s="7"/>
      <c r="AL1060" s="7"/>
      <c r="AM1060" s="7"/>
      <c r="AN1060" s="7"/>
      <c r="AO1060" s="6"/>
      <c r="AP1060" s="7"/>
      <c r="AQ1060" s="7"/>
      <c r="AR1060" s="6"/>
      <c r="AS1060" s="7"/>
      <c r="AT1060" s="7"/>
      <c r="AU1060" s="7"/>
      <c r="AV1060" s="7"/>
      <c r="AW1060" s="7"/>
      <c r="AX1060" s="7"/>
      <c r="AY1060" s="7"/>
      <c r="AZ1060" s="7"/>
      <c r="BA1060" s="7"/>
      <c r="BB1060" s="7"/>
      <c r="BC1060" s="7"/>
      <c r="BD1060" s="7"/>
      <c r="BE1060" s="7"/>
      <c r="BF1060" s="7"/>
      <c r="BG1060" s="7"/>
    </row>
    <row r="1061" customHeight="1" spans="1:59">
      <c r="A1061" s="9"/>
      <c r="B1061" s="5"/>
      <c r="C1061" s="5"/>
      <c r="D1061" s="5"/>
      <c r="E1061" s="7"/>
      <c r="F1061" s="8"/>
      <c r="G1061" s="8"/>
      <c r="H1061" s="8"/>
      <c r="I1061" s="14"/>
      <c r="J1061" s="14"/>
      <c r="K1061" s="14"/>
      <c r="L1061" s="14"/>
      <c r="M1061" s="7"/>
      <c r="N1061" s="10"/>
      <c r="O1061" s="10"/>
      <c r="P1061" s="8"/>
      <c r="Q1061" s="7"/>
      <c r="R1061" s="16"/>
      <c r="S1061" s="17"/>
      <c r="T1061" s="8"/>
      <c r="U1061" s="8"/>
      <c r="V1061" s="22"/>
      <c r="W1061" s="12"/>
      <c r="X1061" s="12"/>
      <c r="Y1061" s="12"/>
      <c r="Z1061" s="12"/>
      <c r="AA1061" s="9"/>
      <c r="AB1061" s="12"/>
      <c r="AC1061" s="6"/>
      <c r="AD1061" s="6"/>
      <c r="AE1061" s="7"/>
      <c r="AF1061" s="7"/>
      <c r="AG1061" s="7"/>
      <c r="AH1061" s="7"/>
      <c r="AI1061" s="7"/>
      <c r="AJ1061" s="7"/>
      <c r="AK1061" s="7"/>
      <c r="AL1061" s="7"/>
      <c r="AM1061" s="7"/>
      <c r="AN1061" s="7"/>
      <c r="AO1061" s="6"/>
      <c r="AP1061" s="7"/>
      <c r="AQ1061" s="7"/>
      <c r="AR1061" s="6"/>
      <c r="AS1061" s="7"/>
      <c r="AT1061" s="7"/>
      <c r="AU1061" s="7"/>
      <c r="AV1061" s="7"/>
      <c r="AW1061" s="7"/>
      <c r="AX1061" s="7"/>
      <c r="AY1061" s="7"/>
      <c r="AZ1061" s="7"/>
      <c r="BA1061" s="7"/>
      <c r="BB1061" s="7"/>
      <c r="BC1061" s="7"/>
      <c r="BD1061" s="7"/>
      <c r="BE1061" s="7"/>
      <c r="BF1061" s="7"/>
      <c r="BG1061" s="7"/>
    </row>
    <row r="1062" customHeight="1" spans="1:59">
      <c r="A1062" s="9"/>
      <c r="B1062" s="5"/>
      <c r="C1062" s="5"/>
      <c r="D1062" s="5"/>
      <c r="E1062" s="7"/>
      <c r="F1062" s="8"/>
      <c r="G1062" s="8"/>
      <c r="H1062" s="8"/>
      <c r="I1062" s="14"/>
      <c r="J1062" s="14"/>
      <c r="K1062" s="14"/>
      <c r="L1062" s="14"/>
      <c r="M1062" s="7"/>
      <c r="N1062" s="10"/>
      <c r="O1062" s="10"/>
      <c r="P1062" s="8"/>
      <c r="Q1062" s="7"/>
      <c r="R1062" s="16"/>
      <c r="S1062" s="17"/>
      <c r="T1062" s="8"/>
      <c r="U1062" s="8"/>
      <c r="V1062" s="22"/>
      <c r="W1062" s="12"/>
      <c r="X1062" s="12"/>
      <c r="Y1062" s="12"/>
      <c r="Z1062" s="12"/>
      <c r="AA1062" s="9"/>
      <c r="AB1062" s="12"/>
      <c r="AC1062" s="6"/>
      <c r="AD1062" s="6"/>
      <c r="AE1062" s="7"/>
      <c r="AF1062" s="7"/>
      <c r="AG1062" s="7"/>
      <c r="AH1062" s="7"/>
      <c r="AI1062" s="7"/>
      <c r="AJ1062" s="7"/>
      <c r="AK1062" s="7"/>
      <c r="AL1062" s="7"/>
      <c r="AM1062" s="7"/>
      <c r="AN1062" s="7"/>
      <c r="AO1062" s="6"/>
      <c r="AP1062" s="7"/>
      <c r="AQ1062" s="7"/>
      <c r="AR1062" s="6"/>
      <c r="AS1062" s="7"/>
      <c r="AT1062" s="7"/>
      <c r="AU1062" s="7"/>
      <c r="AV1062" s="7"/>
      <c r="AW1062" s="7"/>
      <c r="AX1062" s="7"/>
      <c r="AY1062" s="7"/>
      <c r="AZ1062" s="7"/>
      <c r="BA1062" s="7"/>
      <c r="BB1062" s="7"/>
      <c r="BC1062" s="7"/>
      <c r="BD1062" s="7"/>
      <c r="BE1062" s="7"/>
      <c r="BF1062" s="7"/>
      <c r="BG1062" s="7"/>
    </row>
    <row r="1063" customHeight="1" spans="1:59">
      <c r="A1063" s="9"/>
      <c r="B1063" s="5"/>
      <c r="C1063" s="5"/>
      <c r="D1063" s="5"/>
      <c r="E1063" s="7"/>
      <c r="F1063" s="8"/>
      <c r="G1063" s="8"/>
      <c r="H1063" s="8"/>
      <c r="I1063" s="14"/>
      <c r="J1063" s="14"/>
      <c r="K1063" s="14"/>
      <c r="L1063" s="14"/>
      <c r="M1063" s="7"/>
      <c r="N1063" s="10"/>
      <c r="O1063" s="10"/>
      <c r="P1063" s="8"/>
      <c r="Q1063" s="7"/>
      <c r="R1063" s="16"/>
      <c r="S1063" s="17"/>
      <c r="T1063" s="8"/>
      <c r="U1063" s="8"/>
      <c r="V1063" s="22"/>
      <c r="W1063" s="12"/>
      <c r="X1063" s="12"/>
      <c r="Y1063" s="12"/>
      <c r="Z1063" s="12"/>
      <c r="AA1063" s="9"/>
      <c r="AB1063" s="12"/>
      <c r="AC1063" s="6"/>
      <c r="AD1063" s="6"/>
      <c r="AE1063" s="7"/>
      <c r="AF1063" s="7"/>
      <c r="AG1063" s="7"/>
      <c r="AH1063" s="7"/>
      <c r="AI1063" s="7"/>
      <c r="AJ1063" s="7"/>
      <c r="AK1063" s="7"/>
      <c r="AL1063" s="7"/>
      <c r="AM1063" s="7"/>
      <c r="AN1063" s="7"/>
      <c r="AO1063" s="6"/>
      <c r="AP1063" s="7"/>
      <c r="AQ1063" s="7"/>
      <c r="AR1063" s="6"/>
      <c r="AS1063" s="7"/>
      <c r="AT1063" s="7"/>
      <c r="AU1063" s="7"/>
      <c r="AV1063" s="7"/>
      <c r="AW1063" s="7"/>
      <c r="AX1063" s="7"/>
      <c r="AY1063" s="7"/>
      <c r="AZ1063" s="7"/>
      <c r="BA1063" s="7"/>
      <c r="BB1063" s="7"/>
      <c r="BC1063" s="7"/>
      <c r="BD1063" s="7"/>
      <c r="BE1063" s="7"/>
      <c r="BF1063" s="7"/>
      <c r="BG1063" s="7"/>
    </row>
    <row r="1064" customHeight="1" spans="1:59">
      <c r="A1064" s="9"/>
      <c r="B1064" s="5"/>
      <c r="C1064" s="5"/>
      <c r="D1064" s="5"/>
      <c r="E1064" s="7"/>
      <c r="F1064" s="8"/>
      <c r="G1064" s="8"/>
      <c r="H1064" s="8"/>
      <c r="I1064" s="14"/>
      <c r="J1064" s="14"/>
      <c r="K1064" s="14"/>
      <c r="L1064" s="14"/>
      <c r="M1064" s="7"/>
      <c r="N1064" s="10"/>
      <c r="O1064" s="10"/>
      <c r="P1064" s="8"/>
      <c r="Q1064" s="7"/>
      <c r="R1064" s="16"/>
      <c r="S1064" s="17"/>
      <c r="T1064" s="8"/>
      <c r="U1064" s="8"/>
      <c r="V1064" s="22"/>
      <c r="W1064" s="12"/>
      <c r="X1064" s="12"/>
      <c r="Y1064" s="12"/>
      <c r="Z1064" s="12"/>
      <c r="AA1064" s="9"/>
      <c r="AB1064" s="12"/>
      <c r="AC1064" s="6"/>
      <c r="AD1064" s="6"/>
      <c r="AE1064" s="7"/>
      <c r="AF1064" s="7"/>
      <c r="AG1064" s="7"/>
      <c r="AH1064" s="7"/>
      <c r="AI1064" s="7"/>
      <c r="AJ1064" s="7"/>
      <c r="AK1064" s="7"/>
      <c r="AL1064" s="7"/>
      <c r="AM1064" s="7"/>
      <c r="AN1064" s="7"/>
      <c r="AO1064" s="6"/>
      <c r="AP1064" s="7"/>
      <c r="AQ1064" s="7"/>
      <c r="AR1064" s="6"/>
      <c r="AS1064" s="7"/>
      <c r="AT1064" s="7"/>
      <c r="AU1064" s="7"/>
      <c r="AV1064" s="7"/>
      <c r="AW1064" s="7"/>
      <c r="AX1064" s="7"/>
      <c r="AY1064" s="7"/>
      <c r="AZ1064" s="7"/>
      <c r="BA1064" s="7"/>
      <c r="BB1064" s="7"/>
      <c r="BC1064" s="7"/>
      <c r="BD1064" s="7"/>
      <c r="BE1064" s="7"/>
      <c r="BF1064" s="7"/>
      <c r="BG1064" s="7"/>
    </row>
    <row r="1065" customHeight="1" spans="1:59">
      <c r="A1065" s="9"/>
      <c r="B1065" s="5"/>
      <c r="C1065" s="5"/>
      <c r="D1065" s="5"/>
      <c r="E1065" s="7"/>
      <c r="F1065" s="8"/>
      <c r="G1065" s="8"/>
      <c r="H1065" s="8"/>
      <c r="I1065" s="14"/>
      <c r="J1065" s="14"/>
      <c r="K1065" s="14"/>
      <c r="L1065" s="14"/>
      <c r="M1065" s="7"/>
      <c r="N1065" s="10"/>
      <c r="O1065" s="10"/>
      <c r="P1065" s="8"/>
      <c r="Q1065" s="7"/>
      <c r="R1065" s="16"/>
      <c r="S1065" s="17"/>
      <c r="T1065" s="8"/>
      <c r="U1065" s="8"/>
      <c r="V1065" s="22"/>
      <c r="W1065" s="12"/>
      <c r="X1065" s="12"/>
      <c r="Y1065" s="12"/>
      <c r="Z1065" s="12"/>
      <c r="AA1065" s="9"/>
      <c r="AB1065" s="12"/>
      <c r="AC1065" s="6"/>
      <c r="AD1065" s="6"/>
      <c r="AE1065" s="7"/>
      <c r="AF1065" s="7"/>
      <c r="AG1065" s="7"/>
      <c r="AH1065" s="7"/>
      <c r="AI1065" s="7"/>
      <c r="AJ1065" s="7"/>
      <c r="AK1065" s="7"/>
      <c r="AL1065" s="7"/>
      <c r="AM1065" s="7"/>
      <c r="AN1065" s="7"/>
      <c r="AO1065" s="6"/>
      <c r="AP1065" s="7"/>
      <c r="AQ1065" s="7"/>
      <c r="AR1065" s="6"/>
      <c r="AS1065" s="7"/>
      <c r="AT1065" s="7"/>
      <c r="AU1065" s="7"/>
      <c r="AV1065" s="7"/>
      <c r="AW1065" s="7"/>
      <c r="AX1065" s="7"/>
      <c r="AY1065" s="7"/>
      <c r="AZ1065" s="7"/>
      <c r="BA1065" s="7"/>
      <c r="BB1065" s="7"/>
      <c r="BC1065" s="7"/>
      <c r="BD1065" s="7"/>
      <c r="BE1065" s="7"/>
      <c r="BF1065" s="7"/>
      <c r="BG1065" s="7"/>
    </row>
    <row r="1066" customHeight="1" spans="1:59">
      <c r="A1066" s="9"/>
      <c r="B1066" s="5"/>
      <c r="C1066" s="5"/>
      <c r="D1066" s="5"/>
      <c r="E1066" s="7"/>
      <c r="F1066" s="8"/>
      <c r="G1066" s="8"/>
      <c r="H1066" s="8"/>
      <c r="I1066" s="14"/>
      <c r="J1066" s="14"/>
      <c r="K1066" s="14"/>
      <c r="L1066" s="14"/>
      <c r="M1066" s="7"/>
      <c r="N1066" s="10"/>
      <c r="O1066" s="10"/>
      <c r="P1066" s="8"/>
      <c r="Q1066" s="7"/>
      <c r="R1066" s="16"/>
      <c r="S1066" s="17"/>
      <c r="T1066" s="8"/>
      <c r="U1066" s="8"/>
      <c r="V1066" s="22"/>
      <c r="W1066" s="12"/>
      <c r="X1066" s="12"/>
      <c r="Y1066" s="12"/>
      <c r="Z1066" s="12"/>
      <c r="AA1066" s="9"/>
      <c r="AB1066" s="12"/>
      <c r="AC1066" s="6"/>
      <c r="AD1066" s="6"/>
      <c r="AE1066" s="7"/>
      <c r="AF1066" s="7"/>
      <c r="AG1066" s="7"/>
      <c r="AH1066" s="7"/>
      <c r="AI1066" s="7"/>
      <c r="AJ1066" s="7"/>
      <c r="AK1066" s="7"/>
      <c r="AL1066" s="7"/>
      <c r="AM1066" s="7"/>
      <c r="AN1066" s="7"/>
      <c r="AO1066" s="6"/>
      <c r="AP1066" s="7"/>
      <c r="AQ1066" s="7"/>
      <c r="AR1066" s="6"/>
      <c r="AS1066" s="7"/>
      <c r="AT1066" s="7"/>
      <c r="AU1066" s="7"/>
      <c r="AV1066" s="7"/>
      <c r="AW1066" s="7"/>
      <c r="AX1066" s="7"/>
      <c r="AY1066" s="7"/>
      <c r="AZ1066" s="7"/>
      <c r="BA1066" s="7"/>
      <c r="BB1066" s="7"/>
      <c r="BC1066" s="7"/>
      <c r="BD1066" s="7"/>
      <c r="BE1066" s="7"/>
      <c r="BF1066" s="7"/>
      <c r="BG1066" s="7"/>
    </row>
    <row r="1067" customHeight="1" spans="1:59">
      <c r="A1067" s="9"/>
      <c r="B1067" s="5"/>
      <c r="C1067" s="5"/>
      <c r="D1067" s="5"/>
      <c r="E1067" s="7"/>
      <c r="F1067" s="8"/>
      <c r="G1067" s="8"/>
      <c r="H1067" s="8"/>
      <c r="I1067" s="14"/>
      <c r="J1067" s="14"/>
      <c r="K1067" s="14"/>
      <c r="L1067" s="14"/>
      <c r="M1067" s="7"/>
      <c r="N1067" s="10"/>
      <c r="O1067" s="10"/>
      <c r="P1067" s="8"/>
      <c r="Q1067" s="7"/>
      <c r="R1067" s="16"/>
      <c r="S1067" s="17"/>
      <c r="T1067" s="8"/>
      <c r="U1067" s="8"/>
      <c r="V1067" s="22"/>
      <c r="W1067" s="12"/>
      <c r="X1067" s="12"/>
      <c r="Y1067" s="12"/>
      <c r="Z1067" s="12"/>
      <c r="AA1067" s="9"/>
      <c r="AB1067" s="12"/>
      <c r="AC1067" s="6"/>
      <c r="AD1067" s="6"/>
      <c r="AE1067" s="7"/>
      <c r="AF1067" s="7"/>
      <c r="AG1067" s="7"/>
      <c r="AH1067" s="7"/>
      <c r="AI1067" s="7"/>
      <c r="AJ1067" s="7"/>
      <c r="AK1067" s="7"/>
      <c r="AL1067" s="7"/>
      <c r="AM1067" s="7"/>
      <c r="AN1067" s="7"/>
      <c r="AO1067" s="6"/>
      <c r="AP1067" s="7"/>
      <c r="AQ1067" s="7"/>
      <c r="AR1067" s="6"/>
      <c r="AS1067" s="7"/>
      <c r="AT1067" s="7"/>
      <c r="AU1067" s="7"/>
      <c r="AV1067" s="7"/>
      <c r="AW1067" s="7"/>
      <c r="AX1067" s="7"/>
      <c r="AY1067" s="7"/>
      <c r="AZ1067" s="7"/>
      <c r="BA1067" s="7"/>
      <c r="BB1067" s="7"/>
      <c r="BC1067" s="7"/>
      <c r="BD1067" s="7"/>
      <c r="BE1067" s="7"/>
      <c r="BF1067" s="7"/>
      <c r="BG1067" s="7"/>
    </row>
    <row r="1068" customHeight="1" spans="1:59">
      <c r="A1068" s="9"/>
      <c r="B1068" s="5"/>
      <c r="C1068" s="5"/>
      <c r="D1068" s="5"/>
      <c r="E1068" s="7"/>
      <c r="F1068" s="8"/>
      <c r="G1068" s="8"/>
      <c r="H1068" s="8"/>
      <c r="I1068" s="14"/>
      <c r="J1068" s="14"/>
      <c r="K1068" s="14"/>
      <c r="L1068" s="14"/>
      <c r="M1068" s="7"/>
      <c r="N1068" s="10"/>
      <c r="O1068" s="10"/>
      <c r="P1068" s="8"/>
      <c r="Q1068" s="7"/>
      <c r="R1068" s="16"/>
      <c r="S1068" s="17"/>
      <c r="T1068" s="8"/>
      <c r="U1068" s="8"/>
      <c r="V1068" s="22"/>
      <c r="W1068" s="12"/>
      <c r="X1068" s="12"/>
      <c r="Y1068" s="12"/>
      <c r="Z1068" s="12"/>
      <c r="AA1068" s="9"/>
      <c r="AB1068" s="12"/>
      <c r="AC1068" s="6"/>
      <c r="AD1068" s="6"/>
      <c r="AE1068" s="7"/>
      <c r="AF1068" s="7"/>
      <c r="AG1068" s="7"/>
      <c r="AH1068" s="7"/>
      <c r="AI1068" s="7"/>
      <c r="AJ1068" s="7"/>
      <c r="AK1068" s="7"/>
      <c r="AL1068" s="7"/>
      <c r="AM1068" s="7"/>
      <c r="AN1068" s="7"/>
      <c r="AO1068" s="6"/>
      <c r="AP1068" s="7"/>
      <c r="AQ1068" s="7"/>
      <c r="AR1068" s="6"/>
      <c r="AS1068" s="7"/>
      <c r="AT1068" s="7"/>
      <c r="AU1068" s="7"/>
      <c r="AV1068" s="7"/>
      <c r="AW1068" s="7"/>
      <c r="AX1068" s="7"/>
      <c r="AY1068" s="7"/>
      <c r="AZ1068" s="7"/>
      <c r="BA1068" s="7"/>
      <c r="BB1068" s="7"/>
      <c r="BC1068" s="7"/>
      <c r="BD1068" s="7"/>
      <c r="BE1068" s="7"/>
      <c r="BF1068" s="7"/>
      <c r="BG1068" s="7"/>
    </row>
    <row r="1069" customHeight="1" spans="1:59">
      <c r="A1069" s="9"/>
      <c r="B1069" s="5"/>
      <c r="C1069" s="5"/>
      <c r="D1069" s="5"/>
      <c r="E1069" s="7"/>
      <c r="F1069" s="8"/>
      <c r="G1069" s="8"/>
      <c r="H1069" s="8"/>
      <c r="I1069" s="14"/>
      <c r="J1069" s="14"/>
      <c r="K1069" s="14"/>
      <c r="L1069" s="14"/>
      <c r="M1069" s="7"/>
      <c r="N1069" s="10"/>
      <c r="O1069" s="10"/>
      <c r="P1069" s="8"/>
      <c r="Q1069" s="7"/>
      <c r="R1069" s="16"/>
      <c r="S1069" s="17"/>
      <c r="T1069" s="8"/>
      <c r="U1069" s="8"/>
      <c r="V1069" s="22"/>
      <c r="W1069" s="12"/>
      <c r="X1069" s="12"/>
      <c r="Y1069" s="12"/>
      <c r="Z1069" s="12"/>
      <c r="AA1069" s="9"/>
      <c r="AB1069" s="12"/>
      <c r="AC1069" s="6"/>
      <c r="AD1069" s="6"/>
      <c r="AE1069" s="7"/>
      <c r="AF1069" s="7"/>
      <c r="AG1069" s="7"/>
      <c r="AH1069" s="7"/>
      <c r="AI1069" s="7"/>
      <c r="AJ1069" s="7"/>
      <c r="AK1069" s="7"/>
      <c r="AL1069" s="7"/>
      <c r="AM1069" s="7"/>
      <c r="AN1069" s="7"/>
      <c r="AO1069" s="6"/>
      <c r="AP1069" s="7"/>
      <c r="AQ1069" s="7"/>
      <c r="AR1069" s="6"/>
      <c r="AS1069" s="7"/>
      <c r="AT1069" s="7"/>
      <c r="AU1069" s="7"/>
      <c r="AV1069" s="7"/>
      <c r="AW1069" s="7"/>
      <c r="AX1069" s="7"/>
      <c r="AY1069" s="7"/>
      <c r="AZ1069" s="7"/>
      <c r="BA1069" s="7"/>
      <c r="BB1069" s="7"/>
      <c r="BC1069" s="7"/>
      <c r="BD1069" s="7"/>
      <c r="BE1069" s="7"/>
      <c r="BF1069" s="7"/>
      <c r="BG1069" s="7"/>
    </row>
    <row r="1070" customHeight="1" spans="1:59">
      <c r="A1070" s="9"/>
      <c r="B1070" s="5"/>
      <c r="C1070" s="5"/>
      <c r="D1070" s="5"/>
      <c r="E1070" s="7"/>
      <c r="F1070" s="10"/>
      <c r="G1070" s="10"/>
      <c r="H1070" s="10"/>
      <c r="I1070" s="13"/>
      <c r="J1070" s="13"/>
      <c r="K1070" s="13"/>
      <c r="L1070" s="13"/>
      <c r="M1070" s="7"/>
      <c r="N1070" s="10"/>
      <c r="O1070" s="10"/>
      <c r="P1070" s="10"/>
      <c r="Q1070" s="6"/>
      <c r="R1070" s="16"/>
      <c r="S1070" s="17"/>
      <c r="T1070" s="10"/>
      <c r="U1070" s="10"/>
      <c r="V1070" s="22"/>
      <c r="W1070" s="12"/>
      <c r="X1070" s="12"/>
      <c r="Y1070" s="12"/>
      <c r="Z1070" s="12"/>
      <c r="AA1070" s="6"/>
      <c r="AB1070" s="12"/>
      <c r="AC1070" s="6"/>
      <c r="AD1070" s="6"/>
      <c r="AE1070" s="7"/>
      <c r="AF1070" s="7"/>
      <c r="AG1070" s="7"/>
      <c r="AH1070" s="7"/>
      <c r="AI1070" s="7"/>
      <c r="AJ1070" s="7"/>
      <c r="AK1070" s="7"/>
      <c r="AL1070" s="7"/>
      <c r="AM1070" s="7"/>
      <c r="AN1070" s="7"/>
      <c r="AO1070" s="6"/>
      <c r="AP1070" s="7"/>
      <c r="AQ1070" s="7"/>
      <c r="AR1070" s="6"/>
      <c r="AS1070" s="6"/>
      <c r="AT1070" s="6"/>
      <c r="AU1070" s="6"/>
      <c r="AV1070" s="6"/>
      <c r="AW1070" s="6"/>
      <c r="AX1070" s="6"/>
      <c r="AY1070" s="6"/>
      <c r="AZ1070" s="6"/>
      <c r="BA1070" s="6"/>
      <c r="BB1070" s="6"/>
      <c r="BC1070" s="6"/>
      <c r="BD1070" s="6"/>
      <c r="BE1070" s="6"/>
      <c r="BF1070" s="6"/>
      <c r="BG1070" s="6"/>
    </row>
    <row r="1071" customHeight="1" spans="1:59">
      <c r="A1071" s="9"/>
      <c r="B1071" s="5"/>
      <c r="C1071" s="5"/>
      <c r="D1071" s="5"/>
      <c r="E1071" s="7"/>
      <c r="F1071" s="8"/>
      <c r="G1071" s="8"/>
      <c r="H1071" s="8"/>
      <c r="I1071" s="14"/>
      <c r="J1071" s="14"/>
      <c r="K1071" s="14"/>
      <c r="L1071" s="14"/>
      <c r="M1071" s="7"/>
      <c r="N1071" s="8"/>
      <c r="O1071" s="8"/>
      <c r="P1071" s="8"/>
      <c r="Q1071" s="7"/>
      <c r="R1071" s="16"/>
      <c r="S1071" s="17"/>
      <c r="T1071" s="8"/>
      <c r="U1071" s="8"/>
      <c r="V1071" s="22"/>
      <c r="W1071" s="12"/>
      <c r="X1071" s="12"/>
      <c r="Y1071" s="12"/>
      <c r="Z1071" s="12"/>
      <c r="AA1071" s="7"/>
      <c r="AB1071" s="12"/>
      <c r="AC1071" s="6"/>
      <c r="AD1071" s="6"/>
      <c r="AE1071" s="7"/>
      <c r="AF1071" s="7"/>
      <c r="AG1071" s="7"/>
      <c r="AH1071" s="7"/>
      <c r="AI1071" s="7"/>
      <c r="AJ1071" s="7"/>
      <c r="AK1071" s="7"/>
      <c r="AL1071" s="7"/>
      <c r="AM1071" s="7"/>
      <c r="AN1071" s="7"/>
      <c r="AO1071" s="6"/>
      <c r="AP1071" s="7"/>
      <c r="AQ1071" s="7"/>
      <c r="AR1071" s="6"/>
      <c r="AS1071" s="7"/>
      <c r="AT1071" s="7"/>
      <c r="AU1071" s="7"/>
      <c r="AV1071" s="7"/>
      <c r="AW1071" s="7"/>
      <c r="AX1071" s="7"/>
      <c r="AY1071" s="7"/>
      <c r="AZ1071" s="7"/>
      <c r="BA1071" s="7"/>
      <c r="BB1071" s="7"/>
      <c r="BC1071" s="7"/>
      <c r="BD1071" s="7"/>
      <c r="BE1071" s="7"/>
      <c r="BF1071" s="7"/>
      <c r="BG1071" s="7"/>
    </row>
    <row r="1072" customHeight="1" spans="1:59">
      <c r="A1072" s="9"/>
      <c r="B1072" s="5"/>
      <c r="C1072" s="5"/>
      <c r="D1072" s="5"/>
      <c r="E1072" s="7"/>
      <c r="F1072" s="8"/>
      <c r="G1072" s="8"/>
      <c r="H1072" s="8"/>
      <c r="I1072" s="14"/>
      <c r="J1072" s="14"/>
      <c r="K1072" s="14"/>
      <c r="L1072" s="14"/>
      <c r="M1072" s="7"/>
      <c r="N1072" s="8"/>
      <c r="O1072" s="8"/>
      <c r="P1072" s="8"/>
      <c r="Q1072" s="7"/>
      <c r="R1072" s="16"/>
      <c r="S1072" s="17"/>
      <c r="T1072" s="8"/>
      <c r="U1072" s="8"/>
      <c r="V1072" s="22"/>
      <c r="W1072" s="12"/>
      <c r="X1072" s="12"/>
      <c r="Y1072" s="12"/>
      <c r="Z1072" s="12"/>
      <c r="AA1072" s="7"/>
      <c r="AB1072" s="12"/>
      <c r="AC1072" s="6"/>
      <c r="AD1072" s="6"/>
      <c r="AE1072" s="7"/>
      <c r="AF1072" s="7"/>
      <c r="AG1072" s="7"/>
      <c r="AH1072" s="7"/>
      <c r="AI1072" s="7"/>
      <c r="AJ1072" s="7"/>
      <c r="AK1072" s="7"/>
      <c r="AL1072" s="7"/>
      <c r="AM1072" s="7"/>
      <c r="AN1072" s="7"/>
      <c r="AO1072" s="6"/>
      <c r="AP1072" s="7"/>
      <c r="AQ1072" s="7"/>
      <c r="AR1072" s="6"/>
      <c r="AS1072" s="7"/>
      <c r="AT1072" s="7"/>
      <c r="AU1072" s="7"/>
      <c r="AV1072" s="7"/>
      <c r="AW1072" s="7"/>
      <c r="AX1072" s="7"/>
      <c r="AY1072" s="7"/>
      <c r="AZ1072" s="7"/>
      <c r="BA1072" s="7"/>
      <c r="BB1072" s="7"/>
      <c r="BC1072" s="7"/>
      <c r="BD1072" s="7"/>
      <c r="BE1072" s="7"/>
      <c r="BF1072" s="7"/>
      <c r="BG1072" s="7"/>
    </row>
    <row r="1073" customHeight="1" spans="1:59">
      <c r="A1073" s="9"/>
      <c r="B1073" s="5"/>
      <c r="C1073" s="5"/>
      <c r="D1073" s="5"/>
      <c r="E1073" s="7"/>
      <c r="F1073" s="8"/>
      <c r="G1073" s="8"/>
      <c r="H1073" s="8"/>
      <c r="I1073" s="14"/>
      <c r="J1073" s="14"/>
      <c r="K1073" s="14"/>
      <c r="L1073" s="14"/>
      <c r="M1073" s="7"/>
      <c r="N1073" s="8"/>
      <c r="O1073" s="8"/>
      <c r="P1073" s="8"/>
      <c r="Q1073" s="7"/>
      <c r="R1073" s="16"/>
      <c r="S1073" s="17"/>
      <c r="T1073" s="8"/>
      <c r="U1073" s="8"/>
      <c r="V1073" s="22"/>
      <c r="W1073" s="12"/>
      <c r="X1073" s="12"/>
      <c r="Y1073" s="12"/>
      <c r="Z1073" s="12"/>
      <c r="AA1073" s="7"/>
      <c r="AB1073" s="12"/>
      <c r="AC1073" s="6"/>
      <c r="AD1073" s="6"/>
      <c r="AE1073" s="7"/>
      <c r="AF1073" s="7"/>
      <c r="AG1073" s="7"/>
      <c r="AH1073" s="7"/>
      <c r="AI1073" s="7"/>
      <c r="AJ1073" s="7"/>
      <c r="AK1073" s="7"/>
      <c r="AL1073" s="7"/>
      <c r="AM1073" s="7"/>
      <c r="AN1073" s="7"/>
      <c r="AO1073" s="6"/>
      <c r="AP1073" s="7"/>
      <c r="AQ1073" s="7"/>
      <c r="AR1073" s="6"/>
      <c r="AS1073" s="7"/>
      <c r="AT1073" s="7"/>
      <c r="AU1073" s="7"/>
      <c r="AV1073" s="7"/>
      <c r="AW1073" s="7"/>
      <c r="AX1073" s="7"/>
      <c r="AY1073" s="7"/>
      <c r="AZ1073" s="7"/>
      <c r="BA1073" s="7"/>
      <c r="BB1073" s="7"/>
      <c r="BC1073" s="7"/>
      <c r="BD1073" s="7"/>
      <c r="BE1073" s="7"/>
      <c r="BF1073" s="7"/>
      <c r="BG1073" s="7"/>
    </row>
    <row r="1074" customHeight="1" spans="1:59">
      <c r="A1074" s="9"/>
      <c r="B1074" s="5"/>
      <c r="C1074" s="5"/>
      <c r="D1074" s="5"/>
      <c r="E1074" s="7"/>
      <c r="F1074" s="8"/>
      <c r="G1074" s="8"/>
      <c r="H1074" s="8"/>
      <c r="I1074" s="14"/>
      <c r="J1074" s="14"/>
      <c r="K1074" s="14"/>
      <c r="L1074" s="14"/>
      <c r="M1074" s="7"/>
      <c r="N1074" s="8"/>
      <c r="O1074" s="8"/>
      <c r="P1074" s="8"/>
      <c r="Q1074" s="7"/>
      <c r="R1074" s="16"/>
      <c r="S1074" s="17"/>
      <c r="T1074" s="8"/>
      <c r="U1074" s="8"/>
      <c r="V1074" s="22"/>
      <c r="W1074" s="12"/>
      <c r="X1074" s="12"/>
      <c r="Y1074" s="12"/>
      <c r="Z1074" s="12"/>
      <c r="AA1074" s="7"/>
      <c r="AB1074" s="12"/>
      <c r="AC1074" s="6"/>
      <c r="AD1074" s="6"/>
      <c r="AE1074" s="7"/>
      <c r="AF1074" s="7"/>
      <c r="AG1074" s="7"/>
      <c r="AH1074" s="7"/>
      <c r="AI1074" s="7"/>
      <c r="AJ1074" s="7"/>
      <c r="AK1074" s="7"/>
      <c r="AL1074" s="7"/>
      <c r="AM1074" s="7"/>
      <c r="AN1074" s="7"/>
      <c r="AO1074" s="6"/>
      <c r="AP1074" s="7"/>
      <c r="AQ1074" s="7"/>
      <c r="AR1074" s="6"/>
      <c r="AS1074" s="7"/>
      <c r="AT1074" s="7"/>
      <c r="AU1074" s="7"/>
      <c r="AV1074" s="7"/>
      <c r="AW1074" s="7"/>
      <c r="AX1074" s="7"/>
      <c r="AY1074" s="7"/>
      <c r="AZ1074" s="7"/>
      <c r="BA1074" s="7"/>
      <c r="BB1074" s="7"/>
      <c r="BC1074" s="7"/>
      <c r="BD1074" s="7"/>
      <c r="BE1074" s="7"/>
      <c r="BF1074" s="7"/>
      <c r="BG1074" s="7"/>
    </row>
    <row r="1075" customHeight="1" spans="1:59">
      <c r="A1075" s="9"/>
      <c r="B1075" s="5"/>
      <c r="C1075" s="5"/>
      <c r="D1075" s="5"/>
      <c r="E1075" s="7"/>
      <c r="F1075" s="8"/>
      <c r="G1075" s="8"/>
      <c r="H1075" s="8"/>
      <c r="I1075" s="14"/>
      <c r="J1075" s="14"/>
      <c r="K1075" s="14"/>
      <c r="L1075" s="14"/>
      <c r="M1075" s="7"/>
      <c r="N1075" s="8"/>
      <c r="O1075" s="8"/>
      <c r="P1075" s="8"/>
      <c r="Q1075" s="7"/>
      <c r="R1075" s="16"/>
      <c r="S1075" s="17"/>
      <c r="T1075" s="8"/>
      <c r="U1075" s="8"/>
      <c r="V1075" s="22"/>
      <c r="W1075" s="12"/>
      <c r="X1075" s="12"/>
      <c r="Y1075" s="12"/>
      <c r="Z1075" s="12"/>
      <c r="AA1075" s="7"/>
      <c r="AB1075" s="12"/>
      <c r="AC1075" s="6"/>
      <c r="AD1075" s="6"/>
      <c r="AE1075" s="7"/>
      <c r="AF1075" s="7"/>
      <c r="AG1075" s="7"/>
      <c r="AH1075" s="7"/>
      <c r="AI1075" s="7"/>
      <c r="AJ1075" s="7"/>
      <c r="AK1075" s="7"/>
      <c r="AL1075" s="7"/>
      <c r="AM1075" s="7"/>
      <c r="AN1075" s="7"/>
      <c r="AO1075" s="6"/>
      <c r="AP1075" s="7"/>
      <c r="AQ1075" s="7"/>
      <c r="AR1075" s="6"/>
      <c r="AS1075" s="7"/>
      <c r="AT1075" s="7"/>
      <c r="AU1075" s="7"/>
      <c r="AV1075" s="7"/>
      <c r="AW1075" s="7"/>
      <c r="AX1075" s="7"/>
      <c r="AY1075" s="7"/>
      <c r="AZ1075" s="7"/>
      <c r="BA1075" s="7"/>
      <c r="BB1075" s="7"/>
      <c r="BC1075" s="7"/>
      <c r="BD1075" s="7"/>
      <c r="BE1075" s="7"/>
      <c r="BF1075" s="7"/>
      <c r="BG1075" s="7"/>
    </row>
    <row r="1076" customHeight="1" spans="1:59">
      <c r="A1076" s="9"/>
      <c r="B1076" s="5"/>
      <c r="C1076" s="5"/>
      <c r="D1076" s="5"/>
      <c r="E1076" s="7"/>
      <c r="F1076" s="8"/>
      <c r="G1076" s="8"/>
      <c r="H1076" s="8"/>
      <c r="I1076" s="14"/>
      <c r="J1076" s="14"/>
      <c r="K1076" s="14"/>
      <c r="L1076" s="14"/>
      <c r="M1076" s="7"/>
      <c r="N1076" s="8"/>
      <c r="O1076" s="8"/>
      <c r="P1076" s="8"/>
      <c r="Q1076" s="7"/>
      <c r="R1076" s="16"/>
      <c r="S1076" s="17"/>
      <c r="T1076" s="8"/>
      <c r="U1076" s="8"/>
      <c r="V1076" s="22"/>
      <c r="W1076" s="12"/>
      <c r="X1076" s="12"/>
      <c r="Y1076" s="12"/>
      <c r="Z1076" s="12"/>
      <c r="AA1076" s="7"/>
      <c r="AB1076" s="12"/>
      <c r="AC1076" s="6"/>
      <c r="AD1076" s="6"/>
      <c r="AE1076" s="7"/>
      <c r="AF1076" s="7"/>
      <c r="AG1076" s="7"/>
      <c r="AH1076" s="7"/>
      <c r="AI1076" s="7"/>
      <c r="AJ1076" s="7"/>
      <c r="AK1076" s="7"/>
      <c r="AL1076" s="7"/>
      <c r="AM1076" s="7"/>
      <c r="AN1076" s="7"/>
      <c r="AO1076" s="6"/>
      <c r="AP1076" s="7"/>
      <c r="AQ1076" s="7"/>
      <c r="AR1076" s="6"/>
      <c r="AS1076" s="7"/>
      <c r="AT1076" s="7"/>
      <c r="AU1076" s="7"/>
      <c r="AV1076" s="7"/>
      <c r="AW1076" s="7"/>
      <c r="AX1076" s="7"/>
      <c r="AY1076" s="7"/>
      <c r="AZ1076" s="7"/>
      <c r="BA1076" s="7"/>
      <c r="BB1076" s="7"/>
      <c r="BC1076" s="7"/>
      <c r="BD1076" s="7"/>
      <c r="BE1076" s="7"/>
      <c r="BF1076" s="7"/>
      <c r="BG1076" s="7"/>
    </row>
    <row r="1077" customHeight="1" spans="1:59">
      <c r="A1077" s="9"/>
      <c r="B1077" s="5"/>
      <c r="C1077" s="5"/>
      <c r="D1077" s="5"/>
      <c r="E1077" s="7"/>
      <c r="F1077" s="8"/>
      <c r="G1077" s="8"/>
      <c r="H1077" s="8"/>
      <c r="I1077" s="14"/>
      <c r="J1077" s="14"/>
      <c r="K1077" s="14"/>
      <c r="L1077" s="14"/>
      <c r="M1077" s="7"/>
      <c r="N1077" s="8"/>
      <c r="O1077" s="8"/>
      <c r="P1077" s="8"/>
      <c r="Q1077" s="7"/>
      <c r="R1077" s="16"/>
      <c r="S1077" s="17"/>
      <c r="T1077" s="8"/>
      <c r="U1077" s="8"/>
      <c r="V1077" s="22"/>
      <c r="W1077" s="12"/>
      <c r="X1077" s="12"/>
      <c r="Y1077" s="12"/>
      <c r="Z1077" s="12"/>
      <c r="AA1077" s="7"/>
      <c r="AB1077" s="12"/>
      <c r="AC1077" s="6"/>
      <c r="AD1077" s="6"/>
      <c r="AE1077" s="7"/>
      <c r="AF1077" s="7"/>
      <c r="AG1077" s="7"/>
      <c r="AH1077" s="7"/>
      <c r="AI1077" s="7"/>
      <c r="AJ1077" s="7"/>
      <c r="AK1077" s="7"/>
      <c r="AL1077" s="7"/>
      <c r="AM1077" s="7"/>
      <c r="AN1077" s="7"/>
      <c r="AO1077" s="6"/>
      <c r="AP1077" s="7"/>
      <c r="AQ1077" s="7"/>
      <c r="AR1077" s="6"/>
      <c r="AS1077" s="7"/>
      <c r="AT1077" s="7"/>
      <c r="AU1077" s="7"/>
      <c r="AV1077" s="7"/>
      <c r="AW1077" s="7"/>
      <c r="AX1077" s="7"/>
      <c r="AY1077" s="7"/>
      <c r="AZ1077" s="7"/>
      <c r="BA1077" s="7"/>
      <c r="BB1077" s="7"/>
      <c r="BC1077" s="7"/>
      <c r="BD1077" s="7"/>
      <c r="BE1077" s="7"/>
      <c r="BF1077" s="7"/>
      <c r="BG1077" s="7"/>
    </row>
    <row r="1078" customHeight="1" spans="1:59">
      <c r="A1078" s="9"/>
      <c r="B1078" s="5"/>
      <c r="C1078" s="5"/>
      <c r="D1078" s="5"/>
      <c r="E1078" s="7"/>
      <c r="F1078" s="8"/>
      <c r="G1078" s="8"/>
      <c r="H1078" s="8"/>
      <c r="I1078" s="14"/>
      <c r="J1078" s="14"/>
      <c r="K1078" s="14"/>
      <c r="L1078" s="14"/>
      <c r="M1078" s="7"/>
      <c r="N1078" s="8"/>
      <c r="O1078" s="8"/>
      <c r="P1078" s="8"/>
      <c r="Q1078" s="7"/>
      <c r="R1078" s="16"/>
      <c r="S1078" s="17"/>
      <c r="T1078" s="8"/>
      <c r="U1078" s="8"/>
      <c r="V1078" s="22"/>
      <c r="W1078" s="12"/>
      <c r="X1078" s="12"/>
      <c r="Y1078" s="12"/>
      <c r="Z1078" s="12"/>
      <c r="AA1078" s="7"/>
      <c r="AB1078" s="12"/>
      <c r="AC1078" s="6"/>
      <c r="AD1078" s="6"/>
      <c r="AE1078" s="7"/>
      <c r="AF1078" s="7"/>
      <c r="AG1078" s="7"/>
      <c r="AH1078" s="7"/>
      <c r="AI1078" s="7"/>
      <c r="AJ1078" s="7"/>
      <c r="AK1078" s="7"/>
      <c r="AL1078" s="7"/>
      <c r="AM1078" s="7"/>
      <c r="AN1078" s="7"/>
      <c r="AO1078" s="6"/>
      <c r="AP1078" s="7"/>
      <c r="AQ1078" s="7"/>
      <c r="AR1078" s="6"/>
      <c r="AS1078" s="7"/>
      <c r="AT1078" s="7"/>
      <c r="AU1078" s="7"/>
      <c r="AV1078" s="7"/>
      <c r="AW1078" s="7"/>
      <c r="AX1078" s="7"/>
      <c r="AY1078" s="7"/>
      <c r="AZ1078" s="7"/>
      <c r="BA1078" s="7"/>
      <c r="BB1078" s="7"/>
      <c r="BC1078" s="7"/>
      <c r="BD1078" s="7"/>
      <c r="BE1078" s="7"/>
      <c r="BF1078" s="7"/>
      <c r="BG1078" s="7"/>
    </row>
    <row r="1079" customHeight="1" spans="1:59">
      <c r="A1079" s="9"/>
      <c r="B1079" s="5"/>
      <c r="C1079" s="5"/>
      <c r="D1079" s="5"/>
      <c r="E1079" s="7"/>
      <c r="F1079" s="8"/>
      <c r="G1079" s="8"/>
      <c r="H1079" s="8"/>
      <c r="I1079" s="14"/>
      <c r="J1079" s="14"/>
      <c r="K1079" s="14"/>
      <c r="L1079" s="14"/>
      <c r="M1079" s="7"/>
      <c r="N1079" s="8"/>
      <c r="O1079" s="8"/>
      <c r="P1079" s="8"/>
      <c r="Q1079" s="7"/>
      <c r="R1079" s="16"/>
      <c r="S1079" s="17"/>
      <c r="T1079" s="8"/>
      <c r="U1079" s="8"/>
      <c r="V1079" s="22"/>
      <c r="W1079" s="12"/>
      <c r="X1079" s="12"/>
      <c r="Y1079" s="12"/>
      <c r="Z1079" s="12"/>
      <c r="AA1079" s="7"/>
      <c r="AB1079" s="12"/>
      <c r="AC1079" s="6"/>
      <c r="AD1079" s="6"/>
      <c r="AE1079" s="7"/>
      <c r="AF1079" s="7"/>
      <c r="AG1079" s="7"/>
      <c r="AH1079" s="7"/>
      <c r="AI1079" s="7"/>
      <c r="AJ1079" s="7"/>
      <c r="AK1079" s="7"/>
      <c r="AL1079" s="7"/>
      <c r="AM1079" s="7"/>
      <c r="AN1079" s="7"/>
      <c r="AO1079" s="6"/>
      <c r="AP1079" s="7"/>
      <c r="AQ1079" s="7"/>
      <c r="AR1079" s="6"/>
      <c r="AS1079" s="7"/>
      <c r="AT1079" s="7"/>
      <c r="AU1079" s="7"/>
      <c r="AV1079" s="7"/>
      <c r="AW1079" s="7"/>
      <c r="AX1079" s="7"/>
      <c r="AY1079" s="7"/>
      <c r="AZ1079" s="7"/>
      <c r="BA1079" s="7"/>
      <c r="BB1079" s="7"/>
      <c r="BC1079" s="7"/>
      <c r="BD1079" s="7"/>
      <c r="BE1079" s="7"/>
      <c r="BF1079" s="7"/>
      <c r="BG1079" s="7"/>
    </row>
    <row r="1080" customHeight="1" spans="1:59">
      <c r="A1080" s="9"/>
      <c r="B1080" s="5"/>
      <c r="C1080" s="5"/>
      <c r="D1080" s="5"/>
      <c r="E1080" s="7"/>
      <c r="F1080" s="8"/>
      <c r="G1080" s="8"/>
      <c r="H1080" s="8"/>
      <c r="I1080" s="14"/>
      <c r="J1080" s="14"/>
      <c r="K1080" s="14"/>
      <c r="L1080" s="14"/>
      <c r="M1080" s="7"/>
      <c r="N1080" s="8"/>
      <c r="O1080" s="8"/>
      <c r="P1080" s="8"/>
      <c r="Q1080" s="7"/>
      <c r="R1080" s="16"/>
      <c r="S1080" s="17"/>
      <c r="T1080" s="8"/>
      <c r="U1080" s="8"/>
      <c r="V1080" s="22"/>
      <c r="W1080" s="12"/>
      <c r="X1080" s="12"/>
      <c r="Y1080" s="12"/>
      <c r="Z1080" s="12"/>
      <c r="AA1080" s="7"/>
      <c r="AB1080" s="12"/>
      <c r="AC1080" s="6"/>
      <c r="AD1080" s="6"/>
      <c r="AE1080" s="7"/>
      <c r="AF1080" s="7"/>
      <c r="AG1080" s="7"/>
      <c r="AH1080" s="7"/>
      <c r="AI1080" s="7"/>
      <c r="AJ1080" s="7"/>
      <c r="AK1080" s="7"/>
      <c r="AL1080" s="7"/>
      <c r="AM1080" s="7"/>
      <c r="AN1080" s="7"/>
      <c r="AO1080" s="6"/>
      <c r="AP1080" s="7"/>
      <c r="AQ1080" s="7"/>
      <c r="AR1080" s="6"/>
      <c r="AS1080" s="7"/>
      <c r="AT1080" s="7"/>
      <c r="AU1080" s="7"/>
      <c r="AV1080" s="7"/>
      <c r="AW1080" s="7"/>
      <c r="AX1080" s="7"/>
      <c r="AY1080" s="7"/>
      <c r="AZ1080" s="7"/>
      <c r="BA1080" s="7"/>
      <c r="BB1080" s="7"/>
      <c r="BC1080" s="7"/>
      <c r="BD1080" s="7"/>
      <c r="BE1080" s="7"/>
      <c r="BF1080" s="7"/>
      <c r="BG1080" s="7"/>
    </row>
    <row r="1081" customHeight="1" spans="1:59">
      <c r="A1081" s="9"/>
      <c r="B1081" s="5"/>
      <c r="C1081" s="5"/>
      <c r="D1081" s="5"/>
      <c r="E1081" s="7"/>
      <c r="F1081" s="8"/>
      <c r="G1081" s="8"/>
      <c r="H1081" s="8"/>
      <c r="I1081" s="14"/>
      <c r="J1081" s="14"/>
      <c r="K1081" s="14"/>
      <c r="L1081" s="14"/>
      <c r="M1081" s="7"/>
      <c r="N1081" s="8"/>
      <c r="O1081" s="8"/>
      <c r="P1081" s="8"/>
      <c r="Q1081" s="7"/>
      <c r="R1081" s="16"/>
      <c r="S1081" s="17"/>
      <c r="T1081" s="8"/>
      <c r="U1081" s="8"/>
      <c r="V1081" s="22"/>
      <c r="W1081" s="12"/>
      <c r="X1081" s="12"/>
      <c r="Y1081" s="12"/>
      <c r="Z1081" s="12"/>
      <c r="AA1081" s="7"/>
      <c r="AB1081" s="12"/>
      <c r="AC1081" s="6"/>
      <c r="AD1081" s="6"/>
      <c r="AE1081" s="7"/>
      <c r="AF1081" s="7"/>
      <c r="AG1081" s="7"/>
      <c r="AH1081" s="7"/>
      <c r="AI1081" s="7"/>
      <c r="AJ1081" s="7"/>
      <c r="AK1081" s="7"/>
      <c r="AL1081" s="7"/>
      <c r="AM1081" s="7"/>
      <c r="AN1081" s="7"/>
      <c r="AO1081" s="6"/>
      <c r="AP1081" s="7"/>
      <c r="AQ1081" s="7"/>
      <c r="AR1081" s="6"/>
      <c r="AS1081" s="7"/>
      <c r="AT1081" s="7"/>
      <c r="AU1081" s="7"/>
      <c r="AV1081" s="7"/>
      <c r="AW1081" s="7"/>
      <c r="AX1081" s="7"/>
      <c r="AY1081" s="7"/>
      <c r="AZ1081" s="7"/>
      <c r="BA1081" s="7"/>
      <c r="BB1081" s="7"/>
      <c r="BC1081" s="7"/>
      <c r="BD1081" s="7"/>
      <c r="BE1081" s="7"/>
      <c r="BF1081" s="7"/>
      <c r="BG1081" s="7"/>
    </row>
    <row r="1082" customHeight="1" spans="1:59">
      <c r="A1082" s="9"/>
      <c r="B1082" s="5"/>
      <c r="C1082" s="5"/>
      <c r="D1082" s="5"/>
      <c r="E1082" s="7"/>
      <c r="F1082" s="8"/>
      <c r="G1082" s="8"/>
      <c r="H1082" s="8"/>
      <c r="I1082" s="14"/>
      <c r="J1082" s="14"/>
      <c r="K1082" s="14"/>
      <c r="L1082" s="14"/>
      <c r="M1082" s="7"/>
      <c r="N1082" s="8"/>
      <c r="O1082" s="8"/>
      <c r="P1082" s="8"/>
      <c r="Q1082" s="7"/>
      <c r="R1082" s="16"/>
      <c r="S1082" s="17"/>
      <c r="T1082" s="8"/>
      <c r="U1082" s="8"/>
      <c r="V1082" s="22"/>
      <c r="W1082" s="12"/>
      <c r="X1082" s="12"/>
      <c r="Y1082" s="12"/>
      <c r="Z1082" s="12"/>
      <c r="AA1082" s="7"/>
      <c r="AB1082" s="12"/>
      <c r="AC1082" s="6"/>
      <c r="AD1082" s="6"/>
      <c r="AE1082" s="7"/>
      <c r="AF1082" s="7"/>
      <c r="AG1082" s="7"/>
      <c r="AH1082" s="7"/>
      <c r="AI1082" s="7"/>
      <c r="AJ1082" s="7"/>
      <c r="AK1082" s="7"/>
      <c r="AL1082" s="7"/>
      <c r="AM1082" s="7"/>
      <c r="AN1082" s="7"/>
      <c r="AO1082" s="6"/>
      <c r="AP1082" s="7"/>
      <c r="AQ1082" s="7"/>
      <c r="AR1082" s="6"/>
      <c r="AS1082" s="7"/>
      <c r="AT1082" s="7"/>
      <c r="AU1082" s="7"/>
      <c r="AV1082" s="7"/>
      <c r="AW1082" s="7"/>
      <c r="AX1082" s="7"/>
      <c r="AY1082" s="7"/>
      <c r="AZ1082" s="7"/>
      <c r="BA1082" s="7"/>
      <c r="BB1082" s="7"/>
      <c r="BC1082" s="7"/>
      <c r="BD1082" s="7"/>
      <c r="BE1082" s="7"/>
      <c r="BF1082" s="7"/>
      <c r="BG1082" s="7"/>
    </row>
    <row r="1083" customHeight="1" spans="1:59">
      <c r="A1083" s="9"/>
      <c r="B1083" s="5"/>
      <c r="C1083" s="5"/>
      <c r="D1083" s="5"/>
      <c r="E1083" s="7"/>
      <c r="F1083" s="8"/>
      <c r="G1083" s="8"/>
      <c r="H1083" s="8"/>
      <c r="I1083" s="14"/>
      <c r="J1083" s="14"/>
      <c r="K1083" s="14"/>
      <c r="L1083" s="14"/>
      <c r="M1083" s="7"/>
      <c r="N1083" s="8"/>
      <c r="O1083" s="8"/>
      <c r="P1083" s="8"/>
      <c r="Q1083" s="7"/>
      <c r="R1083" s="16"/>
      <c r="S1083" s="17"/>
      <c r="T1083" s="8"/>
      <c r="U1083" s="8"/>
      <c r="V1083" s="22"/>
      <c r="W1083" s="12"/>
      <c r="X1083" s="12"/>
      <c r="Y1083" s="12"/>
      <c r="Z1083" s="12"/>
      <c r="AA1083" s="7"/>
      <c r="AB1083" s="12"/>
      <c r="AC1083" s="6"/>
      <c r="AD1083" s="6"/>
      <c r="AE1083" s="7"/>
      <c r="AF1083" s="7"/>
      <c r="AG1083" s="7"/>
      <c r="AH1083" s="7"/>
      <c r="AI1083" s="7"/>
      <c r="AJ1083" s="7"/>
      <c r="AK1083" s="7"/>
      <c r="AL1083" s="7"/>
      <c r="AM1083" s="7"/>
      <c r="AN1083" s="7"/>
      <c r="AO1083" s="6"/>
      <c r="AP1083" s="7"/>
      <c r="AQ1083" s="7"/>
      <c r="AR1083" s="6"/>
      <c r="AS1083" s="7"/>
      <c r="AT1083" s="7"/>
      <c r="AU1083" s="7"/>
      <c r="AV1083" s="7"/>
      <c r="AW1083" s="7"/>
      <c r="AX1083" s="7"/>
      <c r="AY1083" s="7"/>
      <c r="AZ1083" s="7"/>
      <c r="BA1083" s="7"/>
      <c r="BB1083" s="7"/>
      <c r="BC1083" s="7"/>
      <c r="BD1083" s="7"/>
      <c r="BE1083" s="7"/>
      <c r="BF1083" s="7"/>
      <c r="BG1083" s="7"/>
    </row>
    <row r="1084" customHeight="1" spans="1:59">
      <c r="A1084" s="9"/>
      <c r="B1084" s="5"/>
      <c r="C1084" s="5"/>
      <c r="D1084" s="5"/>
      <c r="E1084" s="7"/>
      <c r="F1084" s="8"/>
      <c r="G1084" s="8"/>
      <c r="H1084" s="8"/>
      <c r="I1084" s="14"/>
      <c r="J1084" s="14"/>
      <c r="K1084" s="14"/>
      <c r="L1084" s="14"/>
      <c r="M1084" s="7"/>
      <c r="N1084" s="8"/>
      <c r="O1084" s="8"/>
      <c r="P1084" s="8"/>
      <c r="Q1084" s="7"/>
      <c r="R1084" s="16"/>
      <c r="S1084" s="17"/>
      <c r="T1084" s="8"/>
      <c r="U1084" s="8"/>
      <c r="V1084" s="22"/>
      <c r="W1084" s="12"/>
      <c r="X1084" s="12"/>
      <c r="Y1084" s="12"/>
      <c r="Z1084" s="12"/>
      <c r="AA1084" s="7"/>
      <c r="AB1084" s="12"/>
      <c r="AC1084" s="6"/>
      <c r="AD1084" s="6"/>
      <c r="AE1084" s="7"/>
      <c r="AF1084" s="7"/>
      <c r="AG1084" s="7"/>
      <c r="AH1084" s="7"/>
      <c r="AI1084" s="7"/>
      <c r="AJ1084" s="7"/>
      <c r="AK1084" s="7"/>
      <c r="AL1084" s="7"/>
      <c r="AM1084" s="7"/>
      <c r="AN1084" s="7"/>
      <c r="AO1084" s="6"/>
      <c r="AP1084" s="7"/>
      <c r="AQ1084" s="7"/>
      <c r="AR1084" s="6"/>
      <c r="AS1084" s="7"/>
      <c r="AT1084" s="7"/>
      <c r="AU1084" s="7"/>
      <c r="AV1084" s="7"/>
      <c r="AW1084" s="7"/>
      <c r="AX1084" s="7"/>
      <c r="AY1084" s="7"/>
      <c r="AZ1084" s="7"/>
      <c r="BA1084" s="7"/>
      <c r="BB1084" s="7"/>
      <c r="BC1084" s="7"/>
      <c r="BD1084" s="7"/>
      <c r="BE1084" s="7"/>
      <c r="BF1084" s="7"/>
      <c r="BG1084" s="7"/>
    </row>
    <row r="1085" customHeight="1" spans="1:59">
      <c r="A1085" s="9"/>
      <c r="B1085" s="5"/>
      <c r="C1085" s="5"/>
      <c r="D1085" s="5"/>
      <c r="E1085" s="7"/>
      <c r="F1085" s="8"/>
      <c r="G1085" s="8"/>
      <c r="H1085" s="8"/>
      <c r="I1085" s="14"/>
      <c r="J1085" s="14"/>
      <c r="K1085" s="14"/>
      <c r="L1085" s="14"/>
      <c r="M1085" s="7"/>
      <c r="N1085" s="8"/>
      <c r="O1085" s="8"/>
      <c r="P1085" s="8"/>
      <c r="Q1085" s="7"/>
      <c r="R1085" s="16"/>
      <c r="S1085" s="17"/>
      <c r="T1085" s="8"/>
      <c r="U1085" s="8"/>
      <c r="V1085" s="8"/>
      <c r="W1085" s="7"/>
      <c r="X1085" s="7"/>
      <c r="Y1085" s="7"/>
      <c r="Z1085" s="7"/>
      <c r="AA1085" s="7"/>
      <c r="AB1085" s="7"/>
      <c r="AC1085" s="6"/>
      <c r="AD1085" s="6"/>
      <c r="AE1085" s="7"/>
      <c r="AF1085" s="7"/>
      <c r="AG1085" s="7"/>
      <c r="AH1085" s="7"/>
      <c r="AI1085" s="7"/>
      <c r="AJ1085" s="7"/>
      <c r="AK1085" s="7"/>
      <c r="AL1085" s="7"/>
      <c r="AM1085" s="7"/>
      <c r="AN1085" s="7"/>
      <c r="AO1085" s="6"/>
      <c r="AP1085" s="7"/>
      <c r="AQ1085" s="7"/>
      <c r="AR1085" s="6"/>
      <c r="AS1085" s="7"/>
      <c r="AT1085" s="7"/>
      <c r="AU1085" s="7"/>
      <c r="AV1085" s="7"/>
      <c r="AW1085" s="7"/>
      <c r="AX1085" s="7"/>
      <c r="AY1085" s="7"/>
      <c r="AZ1085" s="7"/>
      <c r="BA1085" s="7"/>
      <c r="BB1085" s="7"/>
      <c r="BC1085" s="7"/>
      <c r="BD1085" s="7"/>
      <c r="BE1085" s="7"/>
      <c r="BF1085" s="7"/>
      <c r="BG1085" s="7"/>
    </row>
    <row r="1086" customHeight="1" spans="1:59">
      <c r="A1086" s="9"/>
      <c r="B1086" s="5"/>
      <c r="C1086" s="5"/>
      <c r="D1086" s="5"/>
      <c r="E1086" s="7"/>
      <c r="F1086" s="8"/>
      <c r="G1086" s="8"/>
      <c r="H1086" s="8"/>
      <c r="I1086" s="14"/>
      <c r="J1086" s="14"/>
      <c r="K1086" s="14"/>
      <c r="L1086" s="14"/>
      <c r="M1086" s="7"/>
      <c r="N1086" s="8"/>
      <c r="O1086" s="8"/>
      <c r="P1086" s="8"/>
      <c r="Q1086" s="7"/>
      <c r="R1086" s="16"/>
      <c r="S1086" s="17"/>
      <c r="T1086" s="8"/>
      <c r="U1086" s="8"/>
      <c r="V1086" s="8"/>
      <c r="W1086" s="7"/>
      <c r="X1086" s="7"/>
      <c r="Y1086" s="7"/>
      <c r="Z1086" s="7"/>
      <c r="AA1086" s="7"/>
      <c r="AB1086" s="7"/>
      <c r="AC1086" s="6"/>
      <c r="AD1086" s="6"/>
      <c r="AE1086" s="7"/>
      <c r="AF1086" s="7"/>
      <c r="AG1086" s="7"/>
      <c r="AH1086" s="7"/>
      <c r="AI1086" s="7"/>
      <c r="AJ1086" s="7"/>
      <c r="AK1086" s="7"/>
      <c r="AL1086" s="7"/>
      <c r="AM1086" s="7"/>
      <c r="AN1086" s="7"/>
      <c r="AO1086" s="6"/>
      <c r="AP1086" s="7"/>
      <c r="AQ1086" s="7"/>
      <c r="AR1086" s="6"/>
      <c r="AS1086" s="7"/>
      <c r="AT1086" s="7"/>
      <c r="AU1086" s="7"/>
      <c r="AV1086" s="7"/>
      <c r="AW1086" s="7"/>
      <c r="AX1086" s="7"/>
      <c r="AY1086" s="7"/>
      <c r="AZ1086" s="7"/>
      <c r="BA1086" s="7"/>
      <c r="BB1086" s="7"/>
      <c r="BC1086" s="7"/>
      <c r="BD1086" s="7"/>
      <c r="BE1086" s="7"/>
      <c r="BF1086" s="7"/>
      <c r="BG1086" s="7"/>
    </row>
    <row r="1087" customHeight="1" spans="1:59">
      <c r="A1087" s="9"/>
      <c r="B1087" s="5"/>
      <c r="C1087" s="5"/>
      <c r="D1087" s="5"/>
      <c r="E1087" s="7"/>
      <c r="F1087" s="8"/>
      <c r="G1087" s="8"/>
      <c r="H1087" s="8"/>
      <c r="I1087" s="14"/>
      <c r="J1087" s="14"/>
      <c r="K1087" s="14"/>
      <c r="L1087" s="14"/>
      <c r="M1087" s="7"/>
      <c r="N1087" s="8"/>
      <c r="O1087" s="8"/>
      <c r="P1087" s="8"/>
      <c r="Q1087" s="7"/>
      <c r="R1087" s="16"/>
      <c r="S1087" s="17"/>
      <c r="T1087" s="8"/>
      <c r="U1087" s="8"/>
      <c r="V1087" s="8"/>
      <c r="W1087" s="7"/>
      <c r="X1087" s="7"/>
      <c r="Y1087" s="7"/>
      <c r="Z1087" s="7"/>
      <c r="AA1087" s="7"/>
      <c r="AB1087" s="7"/>
      <c r="AC1087" s="6"/>
      <c r="AD1087" s="6"/>
      <c r="AE1087" s="7"/>
      <c r="AF1087" s="7"/>
      <c r="AG1087" s="7"/>
      <c r="AH1087" s="7"/>
      <c r="AI1087" s="7"/>
      <c r="AJ1087" s="7"/>
      <c r="AK1087" s="7"/>
      <c r="AL1087" s="7"/>
      <c r="AM1087" s="7"/>
      <c r="AN1087" s="7"/>
      <c r="AO1087" s="6"/>
      <c r="AP1087" s="7"/>
      <c r="AQ1087" s="7"/>
      <c r="AR1087" s="6"/>
      <c r="AS1087" s="7"/>
      <c r="AT1087" s="7"/>
      <c r="AU1087" s="7"/>
      <c r="AV1087" s="7"/>
      <c r="AW1087" s="7"/>
      <c r="AX1087" s="7"/>
      <c r="AY1087" s="7"/>
      <c r="AZ1087" s="7"/>
      <c r="BA1087" s="7"/>
      <c r="BB1087" s="7"/>
      <c r="BC1087" s="7"/>
      <c r="BD1087" s="7"/>
      <c r="BE1087" s="7"/>
      <c r="BF1087" s="7"/>
      <c r="BG1087" s="7"/>
    </row>
    <row r="1088" customHeight="1" spans="1:59">
      <c r="A1088" s="9"/>
      <c r="B1088" s="5"/>
      <c r="C1088" s="5"/>
      <c r="D1088" s="5"/>
      <c r="E1088" s="7"/>
      <c r="F1088" s="8"/>
      <c r="G1088" s="8"/>
      <c r="H1088" s="8"/>
      <c r="I1088" s="14"/>
      <c r="J1088" s="14"/>
      <c r="K1088" s="14"/>
      <c r="L1088" s="14"/>
      <c r="M1088" s="7"/>
      <c r="N1088" s="8"/>
      <c r="O1088" s="8"/>
      <c r="P1088" s="8"/>
      <c r="Q1088" s="7"/>
      <c r="R1088" s="16"/>
      <c r="S1088" s="17"/>
      <c r="T1088" s="8"/>
      <c r="U1088" s="8"/>
      <c r="V1088" s="8"/>
      <c r="W1088" s="7"/>
      <c r="X1088" s="7"/>
      <c r="Y1088" s="7"/>
      <c r="Z1088" s="7"/>
      <c r="AA1088" s="7"/>
      <c r="AB1088" s="7"/>
      <c r="AC1088" s="6"/>
      <c r="AD1088" s="6"/>
      <c r="AE1088" s="7"/>
      <c r="AF1088" s="7"/>
      <c r="AG1088" s="7"/>
      <c r="AH1088" s="7"/>
      <c r="AI1088" s="7"/>
      <c r="AJ1088" s="7"/>
      <c r="AK1088" s="7"/>
      <c r="AL1088" s="7"/>
      <c r="AM1088" s="7"/>
      <c r="AN1088" s="7"/>
      <c r="AO1088" s="6"/>
      <c r="AP1088" s="7"/>
      <c r="AQ1088" s="7"/>
      <c r="AR1088" s="6"/>
      <c r="AS1088" s="7"/>
      <c r="AT1088" s="7"/>
      <c r="AU1088" s="7"/>
      <c r="AV1088" s="7"/>
      <c r="AW1088" s="7"/>
      <c r="AX1088" s="7"/>
      <c r="AY1088" s="7"/>
      <c r="AZ1088" s="7"/>
      <c r="BA1088" s="7"/>
      <c r="BB1088" s="7"/>
      <c r="BC1088" s="7"/>
      <c r="BD1088" s="7"/>
      <c r="BE1088" s="7"/>
      <c r="BF1088" s="7"/>
      <c r="BG1088" s="7"/>
    </row>
    <row r="1089" customHeight="1" spans="1:59">
      <c r="A1089" s="9"/>
      <c r="B1089" s="5"/>
      <c r="C1089" s="5"/>
      <c r="D1089" s="5"/>
      <c r="E1089" s="7"/>
      <c r="F1089" s="8"/>
      <c r="G1089" s="8"/>
      <c r="H1089" s="8"/>
      <c r="I1089" s="14"/>
      <c r="J1089" s="14"/>
      <c r="K1089" s="14"/>
      <c r="L1089" s="14"/>
      <c r="M1089" s="7"/>
      <c r="N1089" s="8"/>
      <c r="O1089" s="8"/>
      <c r="P1089" s="8"/>
      <c r="Q1089" s="7"/>
      <c r="R1089" s="16"/>
      <c r="S1089" s="17"/>
      <c r="T1089" s="8"/>
      <c r="U1089" s="8"/>
      <c r="V1089" s="8"/>
      <c r="W1089" s="7"/>
      <c r="X1089" s="7"/>
      <c r="Y1089" s="7"/>
      <c r="Z1089" s="7"/>
      <c r="AA1089" s="7"/>
      <c r="AB1089" s="7"/>
      <c r="AC1089" s="6"/>
      <c r="AD1089" s="6"/>
      <c r="AE1089" s="7"/>
      <c r="AF1089" s="7"/>
      <c r="AG1089" s="7"/>
      <c r="AH1089" s="7"/>
      <c r="AI1089" s="7"/>
      <c r="AJ1089" s="7"/>
      <c r="AK1089" s="7"/>
      <c r="AL1089" s="7"/>
      <c r="AM1089" s="7"/>
      <c r="AN1089" s="7"/>
      <c r="AO1089" s="6"/>
      <c r="AP1089" s="7"/>
      <c r="AQ1089" s="7"/>
      <c r="AR1089" s="6"/>
      <c r="AS1089" s="7"/>
      <c r="AT1089" s="7"/>
      <c r="AU1089" s="7"/>
      <c r="AV1089" s="7"/>
      <c r="AW1089" s="7"/>
      <c r="AX1089" s="7"/>
      <c r="AY1089" s="7"/>
      <c r="AZ1089" s="7"/>
      <c r="BA1089" s="7"/>
      <c r="BB1089" s="7"/>
      <c r="BC1089" s="7"/>
      <c r="BD1089" s="7"/>
      <c r="BE1089" s="7"/>
      <c r="BF1089" s="7"/>
      <c r="BG1089" s="7"/>
    </row>
    <row r="1090" customHeight="1" spans="1:59">
      <c r="A1090" s="9"/>
      <c r="B1090" s="5"/>
      <c r="C1090" s="5"/>
      <c r="D1090" s="5"/>
      <c r="E1090" s="7"/>
      <c r="F1090" s="8"/>
      <c r="G1090" s="8"/>
      <c r="H1090" s="8"/>
      <c r="I1090" s="14"/>
      <c r="J1090" s="14"/>
      <c r="K1090" s="14"/>
      <c r="L1090" s="14"/>
      <c r="M1090" s="7"/>
      <c r="N1090" s="8"/>
      <c r="O1090" s="8"/>
      <c r="P1090" s="8"/>
      <c r="Q1090" s="7"/>
      <c r="R1090" s="16"/>
      <c r="S1090" s="17"/>
      <c r="T1090" s="8"/>
      <c r="U1090" s="8"/>
      <c r="V1090" s="8"/>
      <c r="W1090" s="7"/>
      <c r="X1090" s="7"/>
      <c r="Y1090" s="7"/>
      <c r="Z1090" s="7"/>
      <c r="AA1090" s="7"/>
      <c r="AB1090" s="7"/>
      <c r="AC1090" s="6"/>
      <c r="AD1090" s="6"/>
      <c r="AE1090" s="7"/>
      <c r="AF1090" s="7"/>
      <c r="AG1090" s="7"/>
      <c r="AH1090" s="7"/>
      <c r="AI1090" s="7"/>
      <c r="AJ1090" s="7"/>
      <c r="AK1090" s="7"/>
      <c r="AL1090" s="7"/>
      <c r="AM1090" s="7"/>
      <c r="AN1090" s="7"/>
      <c r="AO1090" s="6"/>
      <c r="AP1090" s="7"/>
      <c r="AQ1090" s="7"/>
      <c r="AR1090" s="6"/>
      <c r="AS1090" s="7"/>
      <c r="AT1090" s="7"/>
      <c r="AU1090" s="7"/>
      <c r="AV1090" s="7"/>
      <c r="AW1090" s="7"/>
      <c r="AX1090" s="7"/>
      <c r="AY1090" s="7"/>
      <c r="AZ1090" s="7"/>
      <c r="BA1090" s="7"/>
      <c r="BB1090" s="7"/>
      <c r="BC1090" s="7"/>
      <c r="BD1090" s="7"/>
      <c r="BE1090" s="7"/>
      <c r="BF1090" s="7"/>
      <c r="BG1090" s="7"/>
    </row>
    <row r="1091" customHeight="1" spans="1:59">
      <c r="A1091" s="9"/>
      <c r="B1091" s="5"/>
      <c r="C1091" s="5"/>
      <c r="D1091" s="5"/>
      <c r="E1091" s="7"/>
      <c r="F1091" s="8"/>
      <c r="G1091" s="8"/>
      <c r="H1091" s="8"/>
      <c r="I1091" s="14"/>
      <c r="J1091" s="14"/>
      <c r="K1091" s="14"/>
      <c r="L1091" s="14"/>
      <c r="M1091" s="7"/>
      <c r="N1091" s="8"/>
      <c r="O1091" s="8"/>
      <c r="P1091" s="8"/>
      <c r="Q1091" s="7"/>
      <c r="R1091" s="16"/>
      <c r="S1091" s="17"/>
      <c r="T1091" s="8"/>
      <c r="U1091" s="8"/>
      <c r="V1091" s="8"/>
      <c r="W1091" s="7"/>
      <c r="X1091" s="7"/>
      <c r="Y1091" s="7"/>
      <c r="Z1091" s="7"/>
      <c r="AA1091" s="7"/>
      <c r="AB1091" s="7"/>
      <c r="AC1091" s="6"/>
      <c r="AD1091" s="6"/>
      <c r="AE1091" s="7"/>
      <c r="AF1091" s="7"/>
      <c r="AG1091" s="7"/>
      <c r="AH1091" s="7"/>
      <c r="AI1091" s="7"/>
      <c r="AJ1091" s="7"/>
      <c r="AK1091" s="7"/>
      <c r="AL1091" s="7"/>
      <c r="AM1091" s="7"/>
      <c r="AN1091" s="7"/>
      <c r="AO1091" s="6"/>
      <c r="AP1091" s="7"/>
      <c r="AQ1091" s="7"/>
      <c r="AR1091" s="6"/>
      <c r="AS1091" s="7"/>
      <c r="AT1091" s="7"/>
      <c r="AU1091" s="7"/>
      <c r="AV1091" s="7"/>
      <c r="AW1091" s="7"/>
      <c r="AX1091" s="7"/>
      <c r="AY1091" s="7"/>
      <c r="AZ1091" s="7"/>
      <c r="BA1091" s="7"/>
      <c r="BB1091" s="7"/>
      <c r="BC1091" s="7"/>
      <c r="BD1091" s="7"/>
      <c r="BE1091" s="7"/>
      <c r="BF1091" s="7"/>
      <c r="BG1091" s="7"/>
    </row>
    <row r="1092" customHeight="1" spans="1:59">
      <c r="A1092" s="9"/>
      <c r="B1092" s="5"/>
      <c r="C1092" s="5"/>
      <c r="D1092" s="5"/>
      <c r="E1092" s="7"/>
      <c r="F1092" s="8"/>
      <c r="G1092" s="8"/>
      <c r="H1092" s="8"/>
      <c r="I1092" s="14"/>
      <c r="J1092" s="14"/>
      <c r="K1092" s="14"/>
      <c r="L1092" s="14"/>
      <c r="M1092" s="7"/>
      <c r="N1092" s="8"/>
      <c r="O1092" s="8"/>
      <c r="P1092" s="8"/>
      <c r="Q1092" s="7"/>
      <c r="R1092" s="16"/>
      <c r="S1092" s="17"/>
      <c r="T1092" s="8"/>
      <c r="U1092" s="8"/>
      <c r="V1092" s="8"/>
      <c r="W1092" s="7"/>
      <c r="X1092" s="7"/>
      <c r="Y1092" s="7"/>
      <c r="Z1092" s="7"/>
      <c r="AA1092" s="7"/>
      <c r="AB1092" s="7"/>
      <c r="AC1092" s="6"/>
      <c r="AD1092" s="6"/>
      <c r="AE1092" s="7"/>
      <c r="AF1092" s="7"/>
      <c r="AG1092" s="7"/>
      <c r="AH1092" s="7"/>
      <c r="AI1092" s="7"/>
      <c r="AJ1092" s="7"/>
      <c r="AK1092" s="7"/>
      <c r="AL1092" s="7"/>
      <c r="AM1092" s="7"/>
      <c r="AN1092" s="7"/>
      <c r="AO1092" s="6"/>
      <c r="AP1092" s="7"/>
      <c r="AQ1092" s="7"/>
      <c r="AR1092" s="6"/>
      <c r="AS1092" s="7"/>
      <c r="AT1092" s="7"/>
      <c r="AU1092" s="7"/>
      <c r="AV1092" s="7"/>
      <c r="AW1092" s="7"/>
      <c r="AX1092" s="7"/>
      <c r="AY1092" s="7"/>
      <c r="AZ1092" s="7"/>
      <c r="BA1092" s="7"/>
      <c r="BB1092" s="7"/>
      <c r="BC1092" s="7"/>
      <c r="BD1092" s="7"/>
      <c r="BE1092" s="7"/>
      <c r="BF1092" s="7"/>
      <c r="BG1092" s="7"/>
    </row>
    <row r="1093" customHeight="1" spans="1:59">
      <c r="A1093" s="9"/>
      <c r="B1093" s="5"/>
      <c r="C1093" s="5"/>
      <c r="D1093" s="5"/>
      <c r="E1093" s="7"/>
      <c r="F1093" s="8"/>
      <c r="G1093" s="8"/>
      <c r="H1093" s="8"/>
      <c r="I1093" s="14"/>
      <c r="J1093" s="14"/>
      <c r="K1093" s="14"/>
      <c r="L1093" s="14"/>
      <c r="M1093" s="7"/>
      <c r="N1093" s="8"/>
      <c r="O1093" s="8"/>
      <c r="P1093" s="8"/>
      <c r="Q1093" s="7"/>
      <c r="R1093" s="16"/>
      <c r="S1093" s="17"/>
      <c r="T1093" s="8"/>
      <c r="U1093" s="8"/>
      <c r="V1093" s="8"/>
      <c r="W1093" s="7"/>
      <c r="X1093" s="7"/>
      <c r="Y1093" s="7"/>
      <c r="Z1093" s="7"/>
      <c r="AA1093" s="7"/>
      <c r="AB1093" s="7"/>
      <c r="AC1093" s="6"/>
      <c r="AD1093" s="6"/>
      <c r="AE1093" s="7"/>
      <c r="AF1093" s="7"/>
      <c r="AG1093" s="7"/>
      <c r="AH1093" s="7"/>
      <c r="AI1093" s="7"/>
      <c r="AJ1093" s="7"/>
      <c r="AK1093" s="7"/>
      <c r="AL1093" s="7"/>
      <c r="AM1093" s="7"/>
      <c r="AN1093" s="7"/>
      <c r="AO1093" s="6"/>
      <c r="AP1093" s="7"/>
      <c r="AQ1093" s="7"/>
      <c r="AR1093" s="6"/>
      <c r="AS1093" s="7"/>
      <c r="AT1093" s="7"/>
      <c r="AU1093" s="7"/>
      <c r="AV1093" s="7"/>
      <c r="AW1093" s="7"/>
      <c r="AX1093" s="7"/>
      <c r="AY1093" s="7"/>
      <c r="AZ1093" s="7"/>
      <c r="BA1093" s="7"/>
      <c r="BB1093" s="7"/>
      <c r="BC1093" s="7"/>
      <c r="BD1093" s="7"/>
      <c r="BE1093" s="7"/>
      <c r="BF1093" s="7"/>
      <c r="BG1093" s="7"/>
    </row>
    <row r="1094" customHeight="1" spans="1:59">
      <c r="A1094" s="9"/>
      <c r="B1094" s="5"/>
      <c r="C1094" s="5"/>
      <c r="D1094" s="5"/>
      <c r="E1094" s="7"/>
      <c r="F1094" s="8"/>
      <c r="G1094" s="8"/>
      <c r="H1094" s="8"/>
      <c r="I1094" s="14"/>
      <c r="J1094" s="14"/>
      <c r="K1094" s="14"/>
      <c r="L1094" s="14"/>
      <c r="M1094" s="7"/>
      <c r="N1094" s="8"/>
      <c r="O1094" s="8"/>
      <c r="P1094" s="8"/>
      <c r="Q1094" s="7"/>
      <c r="R1094" s="16"/>
      <c r="S1094" s="17"/>
      <c r="T1094" s="8"/>
      <c r="U1094" s="8"/>
      <c r="V1094" s="8"/>
      <c r="W1094" s="7"/>
      <c r="X1094" s="7"/>
      <c r="Y1094" s="7"/>
      <c r="Z1094" s="7"/>
      <c r="AA1094" s="7"/>
      <c r="AB1094" s="7"/>
      <c r="AC1094" s="6"/>
      <c r="AD1094" s="6"/>
      <c r="AE1094" s="7"/>
      <c r="AF1094" s="7"/>
      <c r="AG1094" s="7"/>
      <c r="AH1094" s="7"/>
      <c r="AI1094" s="7"/>
      <c r="AJ1094" s="7"/>
      <c r="AK1094" s="7"/>
      <c r="AL1094" s="7"/>
      <c r="AM1094" s="7"/>
      <c r="AN1094" s="7"/>
      <c r="AO1094" s="6"/>
      <c r="AP1094" s="7"/>
      <c r="AQ1094" s="7"/>
      <c r="AR1094" s="6"/>
      <c r="AS1094" s="7"/>
      <c r="AT1094" s="7"/>
      <c r="AU1094" s="7"/>
      <c r="AV1094" s="7"/>
      <c r="AW1094" s="7"/>
      <c r="AX1094" s="7"/>
      <c r="AY1094" s="7"/>
      <c r="AZ1094" s="7"/>
      <c r="BA1094" s="7"/>
      <c r="BB1094" s="7"/>
      <c r="BC1094" s="7"/>
      <c r="BD1094" s="7"/>
      <c r="BE1094" s="7"/>
      <c r="BF1094" s="7"/>
      <c r="BG1094" s="7"/>
    </row>
    <row r="1095" customHeight="1" spans="1:59">
      <c r="A1095" s="9"/>
      <c r="B1095" s="5"/>
      <c r="C1095" s="5"/>
      <c r="D1095" s="5"/>
      <c r="E1095" s="7"/>
      <c r="F1095" s="8"/>
      <c r="G1095" s="8"/>
      <c r="H1095" s="8"/>
      <c r="I1095" s="14"/>
      <c r="J1095" s="14"/>
      <c r="K1095" s="14"/>
      <c r="L1095" s="14"/>
      <c r="M1095" s="7"/>
      <c r="N1095" s="8"/>
      <c r="O1095" s="8"/>
      <c r="P1095" s="8"/>
      <c r="Q1095" s="7"/>
      <c r="R1095" s="16"/>
      <c r="S1095" s="17"/>
      <c r="T1095" s="8"/>
      <c r="U1095" s="8"/>
      <c r="V1095" s="8"/>
      <c r="W1095" s="7"/>
      <c r="X1095" s="7"/>
      <c r="Y1095" s="7"/>
      <c r="Z1095" s="7"/>
      <c r="AA1095" s="7"/>
      <c r="AB1095" s="7"/>
      <c r="AC1095" s="6"/>
      <c r="AD1095" s="6"/>
      <c r="AE1095" s="7"/>
      <c r="AF1095" s="7"/>
      <c r="AG1095" s="7"/>
      <c r="AH1095" s="7"/>
      <c r="AI1095" s="7"/>
      <c r="AJ1095" s="7"/>
      <c r="AK1095" s="7"/>
      <c r="AL1095" s="7"/>
      <c r="AM1095" s="7"/>
      <c r="AN1095" s="7"/>
      <c r="AO1095" s="6"/>
      <c r="AP1095" s="7"/>
      <c r="AQ1095" s="7"/>
      <c r="AR1095" s="6"/>
      <c r="AS1095" s="7"/>
      <c r="AT1095" s="7"/>
      <c r="AU1095" s="7"/>
      <c r="AV1095" s="7"/>
      <c r="AW1095" s="7"/>
      <c r="AX1095" s="7"/>
      <c r="AY1095" s="7"/>
      <c r="AZ1095" s="7"/>
      <c r="BA1095" s="7"/>
      <c r="BB1095" s="7"/>
      <c r="BC1095" s="7"/>
      <c r="BD1095" s="7"/>
      <c r="BE1095" s="7"/>
      <c r="BF1095" s="7"/>
      <c r="BG1095" s="7"/>
    </row>
    <row r="1096" customHeight="1" spans="1:59">
      <c r="A1096" s="9"/>
      <c r="B1096" s="5"/>
      <c r="C1096" s="5"/>
      <c r="D1096" s="5"/>
      <c r="E1096" s="7"/>
      <c r="F1096" s="8"/>
      <c r="G1096" s="8"/>
      <c r="H1096" s="8"/>
      <c r="I1096" s="14"/>
      <c r="J1096" s="14"/>
      <c r="K1096" s="14"/>
      <c r="L1096" s="14"/>
      <c r="M1096" s="7"/>
      <c r="N1096" s="8"/>
      <c r="O1096" s="8"/>
      <c r="P1096" s="8"/>
      <c r="Q1096" s="7"/>
      <c r="R1096" s="16"/>
      <c r="S1096" s="17"/>
      <c r="T1096" s="8"/>
      <c r="U1096" s="8"/>
      <c r="V1096" s="8"/>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row>
    <row r="1097" customHeight="1" spans="1:59">
      <c r="A1097" s="9"/>
      <c r="B1097" s="5"/>
      <c r="C1097" s="5"/>
      <c r="D1097" s="5"/>
      <c r="E1097" s="7"/>
      <c r="F1097" s="8"/>
      <c r="G1097" s="8"/>
      <c r="H1097" s="8"/>
      <c r="I1097" s="14"/>
      <c r="J1097" s="14"/>
      <c r="K1097" s="14"/>
      <c r="L1097" s="14"/>
      <c r="M1097" s="7"/>
      <c r="N1097" s="8"/>
      <c r="O1097" s="8"/>
      <c r="P1097" s="8"/>
      <c r="Q1097" s="7"/>
      <c r="R1097" s="16"/>
      <c r="S1097" s="17"/>
      <c r="T1097" s="8"/>
      <c r="U1097" s="8"/>
      <c r="V1097" s="8"/>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c r="AY1097" s="7"/>
      <c r="AZ1097" s="7"/>
      <c r="BA1097" s="7"/>
      <c r="BB1097" s="7"/>
      <c r="BC1097" s="7"/>
      <c r="BD1097" s="7"/>
      <c r="BE1097" s="7"/>
      <c r="BF1097" s="7"/>
      <c r="BG1097" s="7"/>
    </row>
    <row r="1098" customHeight="1" spans="1:59">
      <c r="A1098" s="9"/>
      <c r="B1098" s="5"/>
      <c r="C1098" s="5"/>
      <c r="D1098" s="5"/>
      <c r="E1098" s="7"/>
      <c r="F1098" s="8"/>
      <c r="G1098" s="8"/>
      <c r="H1098" s="8"/>
      <c r="I1098" s="14"/>
      <c r="J1098" s="14"/>
      <c r="K1098" s="14"/>
      <c r="L1098" s="14"/>
      <c r="M1098" s="7"/>
      <c r="N1098" s="8"/>
      <c r="O1098" s="8"/>
      <c r="P1098" s="8"/>
      <c r="Q1098" s="7"/>
      <c r="R1098" s="16"/>
      <c r="S1098" s="17"/>
      <c r="T1098" s="8"/>
      <c r="U1098" s="8"/>
      <c r="V1098" s="8"/>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7"/>
      <c r="BD1098" s="7"/>
      <c r="BE1098" s="7"/>
      <c r="BF1098" s="7"/>
      <c r="BG1098" s="7"/>
    </row>
    <row r="1099" customHeight="1" spans="1:59">
      <c r="A1099" s="9"/>
      <c r="B1099" s="5"/>
      <c r="C1099" s="5"/>
      <c r="D1099" s="5"/>
      <c r="E1099" s="7"/>
      <c r="F1099" s="8"/>
      <c r="G1099" s="8"/>
      <c r="H1099" s="8"/>
      <c r="I1099" s="14"/>
      <c r="J1099" s="14"/>
      <c r="K1099" s="14"/>
      <c r="L1099" s="14"/>
      <c r="M1099" s="7"/>
      <c r="N1099" s="8"/>
      <c r="O1099" s="8"/>
      <c r="P1099" s="8"/>
      <c r="Q1099" s="7"/>
      <c r="R1099" s="16"/>
      <c r="S1099" s="17"/>
      <c r="T1099" s="8"/>
      <c r="U1099" s="8"/>
      <c r="V1099" s="8"/>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c r="AY1099" s="7"/>
      <c r="AZ1099" s="7"/>
      <c r="BA1099" s="7"/>
      <c r="BB1099" s="7"/>
      <c r="BC1099" s="7"/>
      <c r="BD1099" s="7"/>
      <c r="BE1099" s="7"/>
      <c r="BF1099" s="7"/>
      <c r="BG1099" s="7"/>
    </row>
    <row r="1100" customHeight="1" spans="1:59">
      <c r="A1100" s="9"/>
      <c r="B1100" s="5"/>
      <c r="C1100" s="5"/>
      <c r="D1100" s="5"/>
      <c r="E1100" s="7"/>
      <c r="F1100" s="8"/>
      <c r="G1100" s="8"/>
      <c r="H1100" s="8"/>
      <c r="I1100" s="14"/>
      <c r="J1100" s="14"/>
      <c r="K1100" s="14"/>
      <c r="L1100" s="14"/>
      <c r="M1100" s="7"/>
      <c r="N1100" s="8"/>
      <c r="O1100" s="8"/>
      <c r="P1100" s="8"/>
      <c r="Q1100" s="7"/>
      <c r="R1100" s="16"/>
      <c r="S1100" s="17"/>
      <c r="T1100" s="8"/>
      <c r="U1100" s="8"/>
      <c r="V1100" s="8"/>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row>
    <row r="1101" customHeight="1" spans="1:59">
      <c r="A1101" s="9"/>
      <c r="B1101" s="5"/>
      <c r="C1101" s="5"/>
      <c r="D1101" s="5"/>
      <c r="E1101" s="7"/>
      <c r="F1101" s="8"/>
      <c r="G1101" s="8"/>
      <c r="H1101" s="8"/>
      <c r="I1101" s="14"/>
      <c r="J1101" s="14"/>
      <c r="K1101" s="14"/>
      <c r="L1101" s="14"/>
      <c r="M1101" s="7"/>
      <c r="N1101" s="8"/>
      <c r="O1101" s="8"/>
      <c r="P1101" s="8"/>
      <c r="Q1101" s="7"/>
      <c r="R1101" s="16"/>
      <c r="S1101" s="17"/>
      <c r="T1101" s="8"/>
      <c r="U1101" s="8"/>
      <c r="V1101" s="8"/>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c r="AY1101" s="7"/>
      <c r="AZ1101" s="7"/>
      <c r="BA1101" s="7"/>
      <c r="BB1101" s="7"/>
      <c r="BC1101" s="7"/>
      <c r="BD1101" s="7"/>
      <c r="BE1101" s="7"/>
      <c r="BF1101" s="7"/>
      <c r="BG1101" s="7"/>
    </row>
    <row r="1102" customHeight="1" spans="1:59">
      <c r="A1102" s="9"/>
      <c r="B1102" s="5"/>
      <c r="C1102" s="5"/>
      <c r="D1102" s="5"/>
      <c r="E1102" s="7"/>
      <c r="F1102" s="8"/>
      <c r="G1102" s="8"/>
      <c r="H1102" s="8"/>
      <c r="I1102" s="14"/>
      <c r="J1102" s="14"/>
      <c r="K1102" s="14"/>
      <c r="L1102" s="14"/>
      <c r="M1102" s="7"/>
      <c r="N1102" s="8"/>
      <c r="O1102" s="8"/>
      <c r="P1102" s="8"/>
      <c r="Q1102" s="7"/>
      <c r="R1102" s="16"/>
      <c r="S1102" s="17"/>
      <c r="T1102" s="8"/>
      <c r="U1102" s="8"/>
      <c r="V1102" s="8"/>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row>
    <row r="1103" customHeight="1" spans="1:59">
      <c r="A1103" s="9"/>
      <c r="B1103" s="5"/>
      <c r="C1103" s="5"/>
      <c r="D1103" s="5"/>
      <c r="E1103" s="7"/>
      <c r="F1103" s="8"/>
      <c r="G1103" s="8"/>
      <c r="H1103" s="8"/>
      <c r="I1103" s="14"/>
      <c r="J1103" s="14"/>
      <c r="K1103" s="14"/>
      <c r="L1103" s="14"/>
      <c r="M1103" s="7"/>
      <c r="N1103" s="8"/>
      <c r="O1103" s="8"/>
      <c r="P1103" s="8"/>
      <c r="Q1103" s="7"/>
      <c r="R1103" s="16"/>
      <c r="S1103" s="17"/>
      <c r="T1103" s="8"/>
      <c r="U1103" s="8"/>
      <c r="V1103" s="8"/>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7"/>
      <c r="BD1103" s="7"/>
      <c r="BE1103" s="7"/>
      <c r="BF1103" s="7"/>
      <c r="BG1103" s="7"/>
    </row>
    <row r="1104" customHeight="1" spans="1:59">
      <c r="A1104" s="9"/>
      <c r="B1104" s="5"/>
      <c r="C1104" s="5"/>
      <c r="D1104" s="5"/>
      <c r="E1104" s="7"/>
      <c r="F1104" s="8"/>
      <c r="G1104" s="8"/>
      <c r="H1104" s="8"/>
      <c r="I1104" s="14"/>
      <c r="J1104" s="14"/>
      <c r="K1104" s="14"/>
      <c r="L1104" s="14"/>
      <c r="M1104" s="7"/>
      <c r="N1104" s="8"/>
      <c r="O1104" s="8"/>
      <c r="P1104" s="8"/>
      <c r="Q1104" s="7"/>
      <c r="R1104" s="16"/>
      <c r="S1104" s="17"/>
      <c r="T1104" s="8"/>
      <c r="U1104" s="8"/>
      <c r="V1104" s="8"/>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row>
    <row r="1105" customHeight="1" spans="1:59">
      <c r="A1105" s="9"/>
      <c r="B1105" s="5"/>
      <c r="C1105" s="5"/>
      <c r="D1105" s="5"/>
      <c r="E1105" s="7"/>
      <c r="F1105" s="8"/>
      <c r="G1105" s="8"/>
      <c r="H1105" s="8"/>
      <c r="I1105" s="14"/>
      <c r="J1105" s="14"/>
      <c r="K1105" s="14"/>
      <c r="L1105" s="14"/>
      <c r="M1105" s="7"/>
      <c r="N1105" s="8"/>
      <c r="O1105" s="8"/>
      <c r="P1105" s="8"/>
      <c r="Q1105" s="7"/>
      <c r="R1105" s="16"/>
      <c r="S1105" s="17"/>
      <c r="T1105" s="8"/>
      <c r="U1105" s="8"/>
      <c r="V1105" s="8"/>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7"/>
      <c r="BD1105" s="7"/>
      <c r="BE1105" s="7"/>
      <c r="BF1105" s="7"/>
      <c r="BG1105" s="7"/>
    </row>
    <row r="1106" customHeight="1" spans="1:59">
      <c r="A1106" s="9"/>
      <c r="B1106" s="5"/>
      <c r="C1106" s="5"/>
      <c r="D1106" s="5"/>
      <c r="E1106" s="7"/>
      <c r="F1106" s="8"/>
      <c r="G1106" s="8"/>
      <c r="H1106" s="8"/>
      <c r="I1106" s="14"/>
      <c r="J1106" s="14"/>
      <c r="K1106" s="14"/>
      <c r="L1106" s="14"/>
      <c r="M1106" s="7"/>
      <c r="N1106" s="8"/>
      <c r="O1106" s="8"/>
      <c r="P1106" s="8"/>
      <c r="Q1106" s="7"/>
      <c r="R1106" s="16"/>
      <c r="S1106" s="17"/>
      <c r="T1106" s="8"/>
      <c r="U1106" s="8"/>
      <c r="V1106" s="8"/>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row>
    <row r="1107" customHeight="1" spans="1:59">
      <c r="A1107" s="9"/>
      <c r="B1107" s="5"/>
      <c r="C1107" s="5"/>
      <c r="D1107" s="5"/>
      <c r="E1107" s="7"/>
      <c r="F1107" s="8"/>
      <c r="G1107" s="8"/>
      <c r="H1107" s="8"/>
      <c r="I1107" s="14"/>
      <c r="J1107" s="14"/>
      <c r="K1107" s="14"/>
      <c r="L1107" s="14"/>
      <c r="M1107" s="7"/>
      <c r="N1107" s="8"/>
      <c r="O1107" s="8"/>
      <c r="P1107" s="8"/>
      <c r="Q1107" s="7"/>
      <c r="R1107" s="16"/>
      <c r="S1107" s="17"/>
      <c r="T1107" s="8"/>
      <c r="U1107" s="8"/>
      <c r="V1107" s="8"/>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c r="AY1107" s="7"/>
      <c r="AZ1107" s="7"/>
      <c r="BA1107" s="7"/>
      <c r="BB1107" s="7"/>
      <c r="BC1107" s="7"/>
      <c r="BD1107" s="7"/>
      <c r="BE1107" s="7"/>
      <c r="BF1107" s="7"/>
      <c r="BG1107" s="7"/>
    </row>
    <row r="1108" customHeight="1" spans="1:59">
      <c r="A1108" s="9"/>
      <c r="B1108" s="5"/>
      <c r="C1108" s="5"/>
      <c r="D1108" s="5"/>
      <c r="E1108" s="7"/>
      <c r="F1108" s="8"/>
      <c r="G1108" s="8"/>
      <c r="H1108" s="8"/>
      <c r="I1108" s="14"/>
      <c r="J1108" s="14"/>
      <c r="K1108" s="14"/>
      <c r="L1108" s="14"/>
      <c r="M1108" s="7"/>
      <c r="N1108" s="8"/>
      <c r="O1108" s="8"/>
      <c r="P1108" s="8"/>
      <c r="Q1108" s="7"/>
      <c r="R1108" s="16"/>
      <c r="S1108" s="17"/>
      <c r="T1108" s="8"/>
      <c r="U1108" s="8"/>
      <c r="V1108" s="8"/>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row>
    <row r="1109" customHeight="1" spans="1:59">
      <c r="A1109" s="9"/>
      <c r="B1109" s="5"/>
      <c r="C1109" s="5"/>
      <c r="D1109" s="5"/>
      <c r="E1109" s="7"/>
      <c r="F1109" s="8"/>
      <c r="G1109" s="8"/>
      <c r="H1109" s="8"/>
      <c r="I1109" s="14"/>
      <c r="J1109" s="14"/>
      <c r="K1109" s="14"/>
      <c r="L1109" s="14"/>
      <c r="M1109" s="7"/>
      <c r="N1109" s="8"/>
      <c r="O1109" s="8"/>
      <c r="P1109" s="8"/>
      <c r="Q1109" s="7"/>
      <c r="R1109" s="16"/>
      <c r="S1109" s="17"/>
      <c r="T1109" s="8"/>
      <c r="U1109" s="8"/>
      <c r="V1109" s="8"/>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7"/>
      <c r="AZ1109" s="7"/>
      <c r="BA1109" s="7"/>
      <c r="BB1109" s="7"/>
      <c r="BC1109" s="7"/>
      <c r="BD1109" s="7"/>
      <c r="BE1109" s="7"/>
      <c r="BF1109" s="7"/>
      <c r="BG1109" s="7"/>
    </row>
    <row r="1110" customHeight="1" spans="1:59">
      <c r="A1110" s="9"/>
      <c r="B1110" s="5"/>
      <c r="C1110" s="5"/>
      <c r="D1110" s="5"/>
      <c r="E1110" s="7"/>
      <c r="F1110" s="8"/>
      <c r="G1110" s="8"/>
      <c r="H1110" s="8"/>
      <c r="I1110" s="14"/>
      <c r="J1110" s="14"/>
      <c r="K1110" s="14"/>
      <c r="L1110" s="14"/>
      <c r="M1110" s="7"/>
      <c r="N1110" s="8"/>
      <c r="O1110" s="8"/>
      <c r="P1110" s="8"/>
      <c r="Q1110" s="7"/>
      <c r="R1110" s="16"/>
      <c r="S1110" s="17"/>
      <c r="T1110" s="8"/>
      <c r="U1110" s="8"/>
      <c r="V1110" s="8"/>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row>
    <row r="1111" customHeight="1" spans="1:59">
      <c r="A1111" s="9"/>
      <c r="B1111" s="5"/>
      <c r="C1111" s="5"/>
      <c r="D1111" s="5"/>
      <c r="E1111" s="7"/>
      <c r="F1111" s="8"/>
      <c r="G1111" s="8"/>
      <c r="H1111" s="8"/>
      <c r="I1111" s="14"/>
      <c r="J1111" s="14"/>
      <c r="K1111" s="14"/>
      <c r="L1111" s="14"/>
      <c r="M1111" s="7"/>
      <c r="N1111" s="8"/>
      <c r="O1111" s="8"/>
      <c r="P1111" s="8"/>
      <c r="Q1111" s="7"/>
      <c r="R1111" s="16"/>
      <c r="S1111" s="17"/>
      <c r="T1111" s="8"/>
      <c r="U1111" s="8"/>
      <c r="V1111" s="8"/>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7"/>
      <c r="BD1111" s="7"/>
      <c r="BE1111" s="7"/>
      <c r="BF1111" s="7"/>
      <c r="BG1111" s="7"/>
    </row>
    <row r="1112" customHeight="1" spans="1:59">
      <c r="A1112" s="9"/>
      <c r="B1112" s="5"/>
      <c r="C1112" s="5"/>
      <c r="D1112" s="5"/>
      <c r="E1112" s="7"/>
      <c r="F1112" s="8"/>
      <c r="G1112" s="8"/>
      <c r="H1112" s="8"/>
      <c r="I1112" s="14"/>
      <c r="J1112" s="14"/>
      <c r="K1112" s="14"/>
      <c r="L1112" s="14"/>
      <c r="M1112" s="7"/>
      <c r="N1112" s="8"/>
      <c r="O1112" s="8"/>
      <c r="P1112" s="8"/>
      <c r="Q1112" s="7"/>
      <c r="R1112" s="16"/>
      <c r="S1112" s="17"/>
      <c r="T1112" s="8"/>
      <c r="U1112" s="8"/>
      <c r="V1112" s="8"/>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row>
    <row r="1113" customHeight="1" spans="1:59">
      <c r="A1113" s="9"/>
      <c r="B1113" s="5"/>
      <c r="C1113" s="5"/>
      <c r="D1113" s="5"/>
      <c r="E1113" s="7"/>
      <c r="F1113" s="8"/>
      <c r="G1113" s="8"/>
      <c r="H1113" s="8"/>
      <c r="I1113" s="14"/>
      <c r="J1113" s="14"/>
      <c r="K1113" s="14"/>
      <c r="L1113" s="14"/>
      <c r="M1113" s="7"/>
      <c r="N1113" s="8"/>
      <c r="O1113" s="8"/>
      <c r="P1113" s="8"/>
      <c r="Q1113" s="7"/>
      <c r="R1113" s="16"/>
      <c r="S1113" s="17"/>
      <c r="T1113" s="8"/>
      <c r="U1113" s="8"/>
      <c r="V1113" s="8"/>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7"/>
      <c r="BD1113" s="7"/>
      <c r="BE1113" s="7"/>
      <c r="BF1113" s="7"/>
      <c r="BG1113" s="7"/>
    </row>
    <row r="1114" customHeight="1" spans="1:59">
      <c r="A1114" s="9"/>
      <c r="B1114" s="5"/>
      <c r="C1114" s="5"/>
      <c r="D1114" s="5"/>
      <c r="E1114" s="7"/>
      <c r="F1114" s="8"/>
      <c r="G1114" s="8"/>
      <c r="H1114" s="8"/>
      <c r="I1114" s="14"/>
      <c r="J1114" s="14"/>
      <c r="K1114" s="14"/>
      <c r="L1114" s="14"/>
      <c r="M1114" s="7"/>
      <c r="N1114" s="8"/>
      <c r="O1114" s="8"/>
      <c r="P1114" s="8"/>
      <c r="Q1114" s="7"/>
      <c r="R1114" s="16"/>
      <c r="S1114" s="17"/>
      <c r="T1114" s="8"/>
      <c r="U1114" s="8"/>
      <c r="V1114" s="8"/>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7"/>
      <c r="BD1114" s="7"/>
      <c r="BE1114" s="7"/>
      <c r="BF1114" s="7"/>
      <c r="BG1114" s="7"/>
    </row>
    <row r="1115" customHeight="1" spans="1:59">
      <c r="A1115" s="9"/>
      <c r="B1115" s="5"/>
      <c r="C1115" s="5"/>
      <c r="D1115" s="5"/>
      <c r="E1115" s="7"/>
      <c r="F1115" s="8"/>
      <c r="G1115" s="8"/>
      <c r="H1115" s="8"/>
      <c r="I1115" s="14"/>
      <c r="J1115" s="14"/>
      <c r="K1115" s="14"/>
      <c r="L1115" s="14"/>
      <c r="M1115" s="7"/>
      <c r="N1115" s="8"/>
      <c r="O1115" s="8"/>
      <c r="P1115" s="8"/>
      <c r="Q1115" s="7"/>
      <c r="R1115" s="16"/>
      <c r="S1115" s="17"/>
      <c r="T1115" s="8"/>
      <c r="U1115" s="8"/>
      <c r="V1115" s="8"/>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c r="AY1115" s="7"/>
      <c r="AZ1115" s="7"/>
      <c r="BA1115" s="7"/>
      <c r="BB1115" s="7"/>
      <c r="BC1115" s="7"/>
      <c r="BD1115" s="7"/>
      <c r="BE1115" s="7"/>
      <c r="BF1115" s="7"/>
      <c r="BG1115" s="7"/>
    </row>
    <row r="1116" customHeight="1" spans="1:59">
      <c r="A1116" s="9"/>
      <c r="B1116" s="5"/>
      <c r="C1116" s="5"/>
      <c r="D1116" s="5"/>
      <c r="E1116" s="7"/>
      <c r="F1116" s="8"/>
      <c r="G1116" s="8"/>
      <c r="H1116" s="8"/>
      <c r="I1116" s="14"/>
      <c r="J1116" s="14"/>
      <c r="K1116" s="14"/>
      <c r="L1116" s="14"/>
      <c r="M1116" s="7"/>
      <c r="N1116" s="8"/>
      <c r="O1116" s="8"/>
      <c r="P1116" s="8"/>
      <c r="Q1116" s="7"/>
      <c r="R1116" s="16"/>
      <c r="S1116" s="17"/>
      <c r="T1116" s="8"/>
      <c r="U1116" s="8"/>
      <c r="V1116" s="8"/>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row>
    <row r="1117" customHeight="1" spans="1:59">
      <c r="A1117" s="9"/>
      <c r="B1117" s="5"/>
      <c r="C1117" s="5"/>
      <c r="D1117" s="5"/>
      <c r="E1117" s="7"/>
      <c r="F1117" s="8"/>
      <c r="G1117" s="8"/>
      <c r="H1117" s="8"/>
      <c r="I1117" s="14"/>
      <c r="J1117" s="14"/>
      <c r="K1117" s="14"/>
      <c r="L1117" s="14"/>
      <c r="M1117" s="7"/>
      <c r="N1117" s="8"/>
      <c r="O1117" s="8"/>
      <c r="P1117" s="8"/>
      <c r="Q1117" s="7"/>
      <c r="R1117" s="16"/>
      <c r="S1117" s="17"/>
      <c r="T1117" s="8"/>
      <c r="U1117" s="8"/>
      <c r="V1117" s="8"/>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7"/>
      <c r="BD1117" s="7"/>
      <c r="BE1117" s="7"/>
      <c r="BF1117" s="7"/>
      <c r="BG1117" s="7"/>
    </row>
    <row r="1118" customHeight="1" spans="1:59">
      <c r="A1118" s="9"/>
      <c r="B1118" s="5"/>
      <c r="C1118" s="5"/>
      <c r="D1118" s="5"/>
      <c r="E1118" s="7"/>
      <c r="F1118" s="8"/>
      <c r="G1118" s="8"/>
      <c r="H1118" s="8"/>
      <c r="I1118" s="14"/>
      <c r="J1118" s="14"/>
      <c r="K1118" s="14"/>
      <c r="L1118" s="14"/>
      <c r="M1118" s="7"/>
      <c r="N1118" s="8"/>
      <c r="O1118" s="8"/>
      <c r="P1118" s="8"/>
      <c r="Q1118" s="7"/>
      <c r="R1118" s="16"/>
      <c r="S1118" s="17"/>
      <c r="T1118" s="8"/>
      <c r="U1118" s="8"/>
      <c r="V1118" s="8"/>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row>
    <row r="1119" customHeight="1" spans="1:59">
      <c r="A1119" s="9"/>
      <c r="B1119" s="5"/>
      <c r="C1119" s="5"/>
      <c r="D1119" s="5"/>
      <c r="E1119" s="7"/>
      <c r="F1119" s="8"/>
      <c r="G1119" s="8"/>
      <c r="H1119" s="8"/>
      <c r="I1119" s="14"/>
      <c r="J1119" s="14"/>
      <c r="K1119" s="14"/>
      <c r="L1119" s="14"/>
      <c r="M1119" s="7"/>
      <c r="N1119" s="8"/>
      <c r="O1119" s="8"/>
      <c r="P1119" s="8"/>
      <c r="Q1119" s="7"/>
      <c r="R1119" s="16"/>
      <c r="S1119" s="17"/>
      <c r="T1119" s="8"/>
      <c r="U1119" s="8"/>
      <c r="V1119" s="8"/>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7"/>
      <c r="BD1119" s="7"/>
      <c r="BE1119" s="7"/>
      <c r="BF1119" s="7"/>
      <c r="BG1119" s="7"/>
    </row>
    <row r="1120" customHeight="1" spans="1:59">
      <c r="A1120" s="9"/>
      <c r="B1120" s="5"/>
      <c r="C1120" s="5"/>
      <c r="D1120" s="5"/>
      <c r="E1120" s="7"/>
      <c r="F1120" s="8"/>
      <c r="G1120" s="8"/>
      <c r="H1120" s="8"/>
      <c r="I1120" s="14"/>
      <c r="J1120" s="14"/>
      <c r="K1120" s="14"/>
      <c r="L1120" s="14"/>
      <c r="M1120" s="7"/>
      <c r="N1120" s="8"/>
      <c r="O1120" s="8"/>
      <c r="P1120" s="8"/>
      <c r="Q1120" s="7"/>
      <c r="R1120" s="16"/>
      <c r="S1120" s="17"/>
      <c r="T1120" s="8"/>
      <c r="U1120" s="8"/>
      <c r="V1120" s="8"/>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row>
    <row r="1121" customHeight="1" spans="1:59">
      <c r="A1121" s="9"/>
      <c r="B1121" s="5"/>
      <c r="C1121" s="5"/>
      <c r="D1121" s="5"/>
      <c r="E1121" s="7"/>
      <c r="F1121" s="8"/>
      <c r="G1121" s="8"/>
      <c r="H1121" s="8"/>
      <c r="I1121" s="14"/>
      <c r="J1121" s="14"/>
      <c r="K1121" s="14"/>
      <c r="L1121" s="14"/>
      <c r="M1121" s="7"/>
      <c r="N1121" s="8"/>
      <c r="O1121" s="8"/>
      <c r="P1121" s="8"/>
      <c r="Q1121" s="7"/>
      <c r="R1121" s="16"/>
      <c r="S1121" s="17"/>
      <c r="T1121" s="8"/>
      <c r="U1121" s="8"/>
      <c r="V1121" s="8"/>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7"/>
      <c r="AZ1121" s="7"/>
      <c r="BA1121" s="7"/>
      <c r="BB1121" s="7"/>
      <c r="BC1121" s="7"/>
      <c r="BD1121" s="7"/>
      <c r="BE1121" s="7"/>
      <c r="BF1121" s="7"/>
      <c r="BG1121" s="7"/>
    </row>
    <row r="1122" customHeight="1" spans="1:59">
      <c r="A1122" s="9"/>
      <c r="B1122" s="5"/>
      <c r="C1122" s="5"/>
      <c r="D1122" s="5"/>
      <c r="E1122" s="7"/>
      <c r="F1122" s="8"/>
      <c r="G1122" s="8"/>
      <c r="H1122" s="8"/>
      <c r="I1122" s="14"/>
      <c r="J1122" s="14"/>
      <c r="K1122" s="14"/>
      <c r="L1122" s="14"/>
      <c r="M1122" s="7"/>
      <c r="N1122" s="8"/>
      <c r="O1122" s="8"/>
      <c r="P1122" s="8"/>
      <c r="Q1122" s="7"/>
      <c r="R1122" s="16"/>
      <c r="S1122" s="17"/>
      <c r="T1122" s="8"/>
      <c r="U1122" s="8"/>
      <c r="V1122" s="8"/>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row>
    <row r="1123" customHeight="1" spans="1:59">
      <c r="A1123" s="9"/>
      <c r="B1123" s="5"/>
      <c r="C1123" s="5"/>
      <c r="D1123" s="5"/>
      <c r="E1123" s="7"/>
      <c r="F1123" s="8"/>
      <c r="G1123" s="8"/>
      <c r="H1123" s="8"/>
      <c r="I1123" s="14"/>
      <c r="J1123" s="14"/>
      <c r="K1123" s="14"/>
      <c r="L1123" s="14"/>
      <c r="M1123" s="7"/>
      <c r="N1123" s="8"/>
      <c r="O1123" s="8"/>
      <c r="P1123" s="8"/>
      <c r="Q1123" s="7"/>
      <c r="R1123" s="16"/>
      <c r="S1123" s="17"/>
      <c r="T1123" s="8"/>
      <c r="U1123" s="8"/>
      <c r="V1123" s="8"/>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row>
    <row r="1124" customHeight="1" spans="1:59">
      <c r="A1124" s="9"/>
      <c r="B1124" s="5"/>
      <c r="C1124" s="5"/>
      <c r="D1124" s="5"/>
      <c r="E1124" s="7"/>
      <c r="F1124" s="8"/>
      <c r="G1124" s="8"/>
      <c r="H1124" s="8"/>
      <c r="I1124" s="14"/>
      <c r="J1124" s="14"/>
      <c r="K1124" s="14"/>
      <c r="L1124" s="14"/>
      <c r="M1124" s="7"/>
      <c r="N1124" s="8"/>
      <c r="O1124" s="8"/>
      <c r="P1124" s="8"/>
      <c r="Q1124" s="7"/>
      <c r="R1124" s="16"/>
      <c r="S1124" s="17"/>
      <c r="T1124" s="8"/>
      <c r="U1124" s="8"/>
      <c r="V1124" s="8"/>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row>
    <row r="1125" customHeight="1" spans="1:59">
      <c r="A1125" s="9"/>
      <c r="B1125" s="5"/>
      <c r="C1125" s="5"/>
      <c r="D1125" s="5"/>
      <c r="E1125" s="7"/>
      <c r="F1125" s="8"/>
      <c r="G1125" s="8"/>
      <c r="H1125" s="8"/>
      <c r="I1125" s="14"/>
      <c r="J1125" s="14"/>
      <c r="K1125" s="14"/>
      <c r="L1125" s="14"/>
      <c r="M1125" s="7"/>
      <c r="N1125" s="8"/>
      <c r="O1125" s="8"/>
      <c r="P1125" s="8"/>
      <c r="Q1125" s="7"/>
      <c r="R1125" s="16"/>
      <c r="S1125" s="17"/>
      <c r="T1125" s="8"/>
      <c r="U1125" s="8"/>
      <c r="V1125" s="8"/>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c r="AY1125" s="7"/>
      <c r="AZ1125" s="7"/>
      <c r="BA1125" s="7"/>
      <c r="BB1125" s="7"/>
      <c r="BC1125" s="7"/>
      <c r="BD1125" s="7"/>
      <c r="BE1125" s="7"/>
      <c r="BF1125" s="7"/>
      <c r="BG1125" s="7"/>
    </row>
    <row r="1126" customHeight="1" spans="1:59">
      <c r="A1126" s="9"/>
      <c r="B1126" s="5"/>
      <c r="C1126" s="5"/>
      <c r="D1126" s="5"/>
      <c r="E1126" s="7"/>
      <c r="F1126" s="8"/>
      <c r="G1126" s="8"/>
      <c r="H1126" s="8"/>
      <c r="I1126" s="14"/>
      <c r="J1126" s="14"/>
      <c r="K1126" s="14"/>
      <c r="L1126" s="14"/>
      <c r="M1126" s="7"/>
      <c r="N1126" s="8"/>
      <c r="O1126" s="8"/>
      <c r="P1126" s="8"/>
      <c r="Q1126" s="7"/>
      <c r="R1126" s="16"/>
      <c r="S1126" s="17"/>
      <c r="T1126" s="8"/>
      <c r="U1126" s="8"/>
      <c r="V1126" s="8"/>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row>
    <row r="1127" customHeight="1" spans="1:59">
      <c r="A1127" s="9"/>
      <c r="B1127" s="5"/>
      <c r="C1127" s="5"/>
      <c r="D1127" s="5"/>
      <c r="E1127" s="7"/>
      <c r="F1127" s="8"/>
      <c r="G1127" s="8"/>
      <c r="H1127" s="8"/>
      <c r="I1127" s="14"/>
      <c r="J1127" s="14"/>
      <c r="K1127" s="14"/>
      <c r="L1127" s="14"/>
      <c r="M1127" s="7"/>
      <c r="N1127" s="8"/>
      <c r="O1127" s="8"/>
      <c r="P1127" s="8"/>
      <c r="Q1127" s="7"/>
      <c r="R1127" s="16"/>
      <c r="S1127" s="17"/>
      <c r="T1127" s="8"/>
      <c r="U1127" s="8"/>
      <c r="V1127" s="8"/>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c r="AY1127" s="7"/>
      <c r="AZ1127" s="7"/>
      <c r="BA1127" s="7"/>
      <c r="BB1127" s="7"/>
      <c r="BC1127" s="7"/>
      <c r="BD1127" s="7"/>
      <c r="BE1127" s="7"/>
      <c r="BF1127" s="7"/>
      <c r="BG1127" s="7"/>
    </row>
    <row r="1128" customHeight="1" spans="1:59">
      <c r="A1128" s="9"/>
      <c r="B1128" s="5"/>
      <c r="C1128" s="5"/>
      <c r="D1128" s="5"/>
      <c r="E1128" s="7"/>
      <c r="F1128" s="8"/>
      <c r="G1128" s="8"/>
      <c r="H1128" s="8"/>
      <c r="I1128" s="14"/>
      <c r="J1128" s="14"/>
      <c r="K1128" s="14"/>
      <c r="L1128" s="14"/>
      <c r="M1128" s="7"/>
      <c r="N1128" s="8"/>
      <c r="O1128" s="8"/>
      <c r="P1128" s="8"/>
      <c r="Q1128" s="7"/>
      <c r="R1128" s="16"/>
      <c r="S1128" s="17"/>
      <c r="T1128" s="8"/>
      <c r="U1128" s="8"/>
      <c r="V1128" s="8"/>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7"/>
      <c r="BD1128" s="7"/>
      <c r="BE1128" s="7"/>
      <c r="BF1128" s="7"/>
      <c r="BG1128" s="7"/>
    </row>
    <row r="1129" customHeight="1" spans="1:59">
      <c r="A1129" s="9"/>
      <c r="B1129" s="5"/>
      <c r="C1129" s="5"/>
      <c r="D1129" s="5"/>
      <c r="E1129" s="7"/>
      <c r="F1129" s="8"/>
      <c r="G1129" s="8"/>
      <c r="H1129" s="8"/>
      <c r="I1129" s="14"/>
      <c r="J1129" s="14"/>
      <c r="K1129" s="14"/>
      <c r="L1129" s="14"/>
      <c r="M1129" s="7"/>
      <c r="N1129" s="8"/>
      <c r="O1129" s="8"/>
      <c r="P1129" s="8"/>
      <c r="Q1129" s="7"/>
      <c r="R1129" s="16"/>
      <c r="S1129" s="17"/>
      <c r="T1129" s="8"/>
      <c r="U1129" s="8"/>
      <c r="V1129" s="8"/>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row>
    <row r="1130" customHeight="1" spans="1:59">
      <c r="A1130" s="9"/>
      <c r="B1130" s="5"/>
      <c r="C1130" s="5"/>
      <c r="D1130" s="5"/>
      <c r="E1130" s="7"/>
      <c r="F1130" s="8"/>
      <c r="G1130" s="8"/>
      <c r="H1130" s="8"/>
      <c r="I1130" s="14"/>
      <c r="J1130" s="14"/>
      <c r="K1130" s="14"/>
      <c r="L1130" s="14"/>
      <c r="M1130" s="7"/>
      <c r="N1130" s="8"/>
      <c r="O1130" s="8"/>
      <c r="P1130" s="8"/>
      <c r="Q1130" s="7"/>
      <c r="R1130" s="16"/>
      <c r="S1130" s="17"/>
      <c r="T1130" s="8"/>
      <c r="U1130" s="8"/>
      <c r="V1130" s="8"/>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row>
    <row r="1131" customHeight="1" spans="1:59">
      <c r="A1131" s="9"/>
      <c r="B1131" s="5"/>
      <c r="C1131" s="5"/>
      <c r="D1131" s="5"/>
      <c r="E1131" s="7"/>
      <c r="F1131" s="8"/>
      <c r="G1131" s="8"/>
      <c r="H1131" s="8"/>
      <c r="I1131" s="14"/>
      <c r="J1131" s="14"/>
      <c r="K1131" s="14"/>
      <c r="L1131" s="14"/>
      <c r="M1131" s="7"/>
      <c r="N1131" s="8"/>
      <c r="O1131" s="8"/>
      <c r="P1131" s="8"/>
      <c r="Q1131" s="7"/>
      <c r="R1131" s="16"/>
      <c r="S1131" s="17"/>
      <c r="T1131" s="8"/>
      <c r="U1131" s="8"/>
      <c r="V1131" s="8"/>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row>
    <row r="1132" customHeight="1" spans="1:59">
      <c r="A1132" s="9"/>
      <c r="B1132" s="5"/>
      <c r="C1132" s="5"/>
      <c r="D1132" s="5"/>
      <c r="E1132" s="7"/>
      <c r="F1132" s="8"/>
      <c r="G1132" s="8"/>
      <c r="H1132" s="8"/>
      <c r="I1132" s="14"/>
      <c r="J1132" s="14"/>
      <c r="K1132" s="14"/>
      <c r="L1132" s="14"/>
      <c r="M1132" s="7"/>
      <c r="N1132" s="8"/>
      <c r="O1132" s="8"/>
      <c r="P1132" s="8"/>
      <c r="Q1132" s="7"/>
      <c r="R1132" s="16"/>
      <c r="S1132" s="17"/>
      <c r="T1132" s="8"/>
      <c r="U1132" s="8"/>
      <c r="V1132" s="8"/>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row>
    <row r="1133" customHeight="1" spans="1:59">
      <c r="A1133" s="9"/>
      <c r="B1133" s="5"/>
      <c r="C1133" s="5"/>
      <c r="D1133" s="5"/>
      <c r="E1133" s="7"/>
      <c r="F1133" s="8"/>
      <c r="G1133" s="8"/>
      <c r="H1133" s="8"/>
      <c r="I1133" s="14"/>
      <c r="J1133" s="14"/>
      <c r="K1133" s="14"/>
      <c r="L1133" s="14"/>
      <c r="M1133" s="7"/>
      <c r="N1133" s="8"/>
      <c r="O1133" s="8"/>
      <c r="P1133" s="8"/>
      <c r="Q1133" s="7"/>
      <c r="R1133" s="16"/>
      <c r="S1133" s="17"/>
      <c r="T1133" s="8"/>
      <c r="U1133" s="8"/>
      <c r="V1133" s="8"/>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7"/>
      <c r="BD1133" s="7"/>
      <c r="BE1133" s="7"/>
      <c r="BF1133" s="7"/>
      <c r="BG1133" s="7"/>
    </row>
    <row r="1134" customHeight="1" spans="1:59">
      <c r="A1134" s="9"/>
      <c r="B1134" s="5"/>
      <c r="C1134" s="5"/>
      <c r="D1134" s="5"/>
      <c r="E1134" s="7"/>
      <c r="F1134" s="8"/>
      <c r="G1134" s="8"/>
      <c r="H1134" s="8"/>
      <c r="I1134" s="14"/>
      <c r="J1134" s="14"/>
      <c r="K1134" s="14"/>
      <c r="L1134" s="14"/>
      <c r="M1134" s="7"/>
      <c r="N1134" s="8"/>
      <c r="O1134" s="8"/>
      <c r="P1134" s="8"/>
      <c r="Q1134" s="7"/>
      <c r="R1134" s="16"/>
      <c r="S1134" s="17"/>
      <c r="T1134" s="8"/>
      <c r="U1134" s="8"/>
      <c r="V1134" s="8"/>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row>
    <row r="1135" customHeight="1" spans="1:59">
      <c r="A1135" s="9"/>
      <c r="B1135" s="5"/>
      <c r="C1135" s="5"/>
      <c r="D1135" s="5"/>
      <c r="E1135" s="7"/>
      <c r="F1135" s="8"/>
      <c r="G1135" s="8"/>
      <c r="H1135" s="8"/>
      <c r="I1135" s="14"/>
      <c r="J1135" s="14"/>
      <c r="K1135" s="14"/>
      <c r="L1135" s="14"/>
      <c r="M1135" s="7"/>
      <c r="N1135" s="8"/>
      <c r="O1135" s="8"/>
      <c r="P1135" s="8"/>
      <c r="Q1135" s="7"/>
      <c r="R1135" s="16"/>
      <c r="S1135" s="17"/>
      <c r="T1135" s="8"/>
      <c r="U1135" s="8"/>
      <c r="V1135" s="8"/>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7"/>
      <c r="BD1135" s="7"/>
      <c r="BE1135" s="7"/>
      <c r="BF1135" s="7"/>
      <c r="BG1135" s="7"/>
    </row>
    <row r="1136" customHeight="1" spans="1:59">
      <c r="A1136" s="9"/>
      <c r="B1136" s="5"/>
      <c r="C1136" s="5"/>
      <c r="D1136" s="5"/>
      <c r="E1136" s="7"/>
      <c r="F1136" s="8"/>
      <c r="G1136" s="8"/>
      <c r="H1136" s="8"/>
      <c r="I1136" s="14"/>
      <c r="J1136" s="14"/>
      <c r="K1136" s="14"/>
      <c r="L1136" s="14"/>
      <c r="M1136" s="7"/>
      <c r="N1136" s="8"/>
      <c r="O1136" s="8"/>
      <c r="P1136" s="8"/>
      <c r="Q1136" s="7"/>
      <c r="R1136" s="16"/>
      <c r="S1136" s="17"/>
      <c r="T1136" s="8"/>
      <c r="U1136" s="8"/>
      <c r="V1136" s="8"/>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row>
    <row r="1137" customHeight="1" spans="1:59">
      <c r="A1137" s="9"/>
      <c r="B1137" s="5"/>
      <c r="C1137" s="5"/>
      <c r="D1137" s="5"/>
      <c r="E1137" s="7"/>
      <c r="F1137" s="8"/>
      <c r="G1137" s="8"/>
      <c r="H1137" s="8"/>
      <c r="I1137" s="14"/>
      <c r="J1137" s="14"/>
      <c r="K1137" s="14"/>
      <c r="L1137" s="14"/>
      <c r="M1137" s="7"/>
      <c r="N1137" s="8"/>
      <c r="O1137" s="8"/>
      <c r="P1137" s="8"/>
      <c r="Q1137" s="7"/>
      <c r="R1137" s="16"/>
      <c r="S1137" s="17"/>
      <c r="T1137" s="8"/>
      <c r="U1137" s="8"/>
      <c r="V1137" s="8"/>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7"/>
      <c r="BB1137" s="7"/>
      <c r="BC1137" s="7"/>
      <c r="BD1137" s="7"/>
      <c r="BE1137" s="7"/>
      <c r="BF1137" s="7"/>
      <c r="BG1137" s="7"/>
    </row>
    <row r="1138" customHeight="1" spans="1:59">
      <c r="A1138" s="9"/>
      <c r="B1138" s="5"/>
      <c r="C1138" s="5"/>
      <c r="D1138" s="5"/>
      <c r="E1138" s="7"/>
      <c r="F1138" s="8"/>
      <c r="G1138" s="8"/>
      <c r="H1138" s="8"/>
      <c r="I1138" s="14"/>
      <c r="J1138" s="14"/>
      <c r="K1138" s="14"/>
      <c r="L1138" s="14"/>
      <c r="M1138" s="7"/>
      <c r="N1138" s="8"/>
      <c r="O1138" s="8"/>
      <c r="P1138" s="8"/>
      <c r="Q1138" s="7"/>
      <c r="R1138" s="16"/>
      <c r="S1138" s="17"/>
      <c r="T1138" s="8"/>
      <c r="U1138" s="8"/>
      <c r="V1138" s="8"/>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row>
    <row r="1139" customHeight="1" spans="1:59">
      <c r="A1139" s="9"/>
      <c r="B1139" s="5"/>
      <c r="C1139" s="5"/>
      <c r="D1139" s="5"/>
      <c r="E1139" s="7"/>
      <c r="F1139" s="8"/>
      <c r="G1139" s="8"/>
      <c r="H1139" s="8"/>
      <c r="I1139" s="14"/>
      <c r="J1139" s="14"/>
      <c r="K1139" s="14"/>
      <c r="L1139" s="14"/>
      <c r="M1139" s="7"/>
      <c r="N1139" s="8"/>
      <c r="O1139" s="8"/>
      <c r="P1139" s="8"/>
      <c r="Q1139" s="7"/>
      <c r="R1139" s="16"/>
      <c r="S1139" s="17"/>
      <c r="T1139" s="8"/>
      <c r="U1139" s="8"/>
      <c r="V1139" s="8"/>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row>
    <row r="1140" customHeight="1" spans="1:59">
      <c r="A1140" s="9"/>
      <c r="B1140" s="5"/>
      <c r="C1140" s="5"/>
      <c r="D1140" s="5"/>
      <c r="E1140" s="7"/>
      <c r="F1140" s="8"/>
      <c r="G1140" s="8"/>
      <c r="H1140" s="8"/>
      <c r="I1140" s="14"/>
      <c r="J1140" s="14"/>
      <c r="K1140" s="14"/>
      <c r="L1140" s="14"/>
      <c r="M1140" s="7"/>
      <c r="N1140" s="8"/>
      <c r="O1140" s="8"/>
      <c r="P1140" s="8"/>
      <c r="Q1140" s="7"/>
      <c r="R1140" s="16"/>
      <c r="S1140" s="17"/>
      <c r="T1140" s="8"/>
      <c r="U1140" s="8"/>
      <c r="V1140" s="8"/>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row>
    <row r="1141" customHeight="1" spans="1:59">
      <c r="A1141" s="9"/>
      <c r="B1141" s="5"/>
      <c r="C1141" s="5"/>
      <c r="D1141" s="5"/>
      <c r="E1141" s="7"/>
      <c r="F1141" s="8"/>
      <c r="G1141" s="8"/>
      <c r="H1141" s="8"/>
      <c r="I1141" s="14"/>
      <c r="J1141" s="14"/>
      <c r="K1141" s="14"/>
      <c r="L1141" s="14"/>
      <c r="M1141" s="7"/>
      <c r="N1141" s="8"/>
      <c r="O1141" s="8"/>
      <c r="P1141" s="8"/>
      <c r="Q1141" s="7"/>
      <c r="R1141" s="16"/>
      <c r="S1141" s="17"/>
      <c r="T1141" s="8"/>
      <c r="U1141" s="8"/>
      <c r="V1141" s="8"/>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c r="AY1141" s="7"/>
      <c r="AZ1141" s="7"/>
      <c r="BA1141" s="7"/>
      <c r="BB1141" s="7"/>
      <c r="BC1141" s="7"/>
      <c r="BD1141" s="7"/>
      <c r="BE1141" s="7"/>
      <c r="BF1141" s="7"/>
      <c r="BG1141" s="7"/>
    </row>
    <row r="1142" customHeight="1" spans="1:59">
      <c r="A1142" s="9"/>
      <c r="B1142" s="5"/>
      <c r="C1142" s="5"/>
      <c r="D1142" s="5"/>
      <c r="E1142" s="7"/>
      <c r="F1142" s="8"/>
      <c r="G1142" s="8"/>
      <c r="H1142" s="8"/>
      <c r="I1142" s="14"/>
      <c r="J1142" s="14"/>
      <c r="K1142" s="14"/>
      <c r="L1142" s="14"/>
      <c r="M1142" s="7"/>
      <c r="N1142" s="8"/>
      <c r="O1142" s="8"/>
      <c r="P1142" s="8"/>
      <c r="Q1142" s="7"/>
      <c r="R1142" s="16"/>
      <c r="S1142" s="17"/>
      <c r="T1142" s="8"/>
      <c r="U1142" s="8"/>
      <c r="V1142" s="8"/>
      <c r="W1142" s="7"/>
      <c r="X1142" s="7"/>
      <c r="Y1142" s="7"/>
      <c r="Z1142" s="7"/>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7"/>
      <c r="BD1142" s="7"/>
      <c r="BE1142" s="7"/>
      <c r="BF1142" s="7"/>
      <c r="BG1142" s="7"/>
    </row>
    <row r="1143" customHeight="1" spans="1:59">
      <c r="A1143" s="9"/>
      <c r="B1143" s="5"/>
      <c r="C1143" s="5"/>
      <c r="D1143" s="5"/>
      <c r="E1143" s="7"/>
      <c r="F1143" s="8"/>
      <c r="G1143" s="8"/>
      <c r="H1143" s="8"/>
      <c r="I1143" s="14"/>
      <c r="J1143" s="14"/>
      <c r="K1143" s="14"/>
      <c r="L1143" s="14"/>
      <c r="M1143" s="7"/>
      <c r="N1143" s="8"/>
      <c r="O1143" s="8"/>
      <c r="P1143" s="8"/>
      <c r="Q1143" s="7"/>
      <c r="R1143" s="16"/>
      <c r="S1143" s="17"/>
      <c r="T1143" s="8"/>
      <c r="U1143" s="8"/>
      <c r="V1143" s="8"/>
      <c r="W1143" s="7"/>
      <c r="X1143" s="7"/>
      <c r="Y1143" s="7"/>
      <c r="Z1143" s="7"/>
      <c r="AA1143" s="7"/>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7"/>
      <c r="BD1143" s="7"/>
      <c r="BE1143" s="7"/>
      <c r="BF1143" s="7"/>
      <c r="BG1143" s="7"/>
    </row>
    <row r="1144" customHeight="1" spans="1:59">
      <c r="A1144" s="9"/>
      <c r="B1144" s="5"/>
      <c r="C1144" s="5"/>
      <c r="D1144" s="5"/>
      <c r="E1144" s="7"/>
      <c r="F1144" s="8"/>
      <c r="G1144" s="8"/>
      <c r="H1144" s="8"/>
      <c r="I1144" s="14"/>
      <c r="J1144" s="14"/>
      <c r="K1144" s="14"/>
      <c r="L1144" s="14"/>
      <c r="M1144" s="7"/>
      <c r="N1144" s="8"/>
      <c r="O1144" s="8"/>
      <c r="P1144" s="8"/>
      <c r="Q1144" s="7"/>
      <c r="R1144" s="16"/>
      <c r="S1144" s="17"/>
      <c r="T1144" s="8"/>
      <c r="U1144" s="8"/>
      <c r="V1144" s="8"/>
      <c r="W1144" s="7"/>
      <c r="X1144" s="7"/>
      <c r="Y1144" s="7"/>
      <c r="Z1144" s="7"/>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row>
    <row r="1145" customHeight="1" spans="1:59">
      <c r="A1145" s="9"/>
      <c r="B1145" s="5"/>
      <c r="C1145" s="5"/>
      <c r="D1145" s="5"/>
      <c r="E1145" s="7"/>
      <c r="F1145" s="8"/>
      <c r="G1145" s="8"/>
      <c r="H1145" s="8"/>
      <c r="I1145" s="14"/>
      <c r="J1145" s="14"/>
      <c r="K1145" s="14"/>
      <c r="L1145" s="14"/>
      <c r="M1145" s="7"/>
      <c r="N1145" s="8"/>
      <c r="O1145" s="8"/>
      <c r="P1145" s="8"/>
      <c r="Q1145" s="7"/>
      <c r="R1145" s="16"/>
      <c r="S1145" s="17"/>
      <c r="T1145" s="8"/>
      <c r="U1145" s="8"/>
      <c r="V1145" s="8"/>
      <c r="W1145" s="7"/>
      <c r="X1145" s="7"/>
      <c r="Y1145" s="7"/>
      <c r="Z1145" s="7"/>
      <c r="AA1145" s="7"/>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row>
    <row r="1146" customHeight="1" spans="1:59">
      <c r="A1146" s="9"/>
      <c r="B1146" s="5"/>
      <c r="C1146" s="5"/>
      <c r="D1146" s="5"/>
      <c r="E1146" s="7"/>
      <c r="F1146" s="8"/>
      <c r="G1146" s="8"/>
      <c r="H1146" s="8"/>
      <c r="I1146" s="14"/>
      <c r="J1146" s="14"/>
      <c r="K1146" s="14"/>
      <c r="L1146" s="14"/>
      <c r="M1146" s="7"/>
      <c r="N1146" s="8"/>
      <c r="O1146" s="8"/>
      <c r="P1146" s="8"/>
      <c r="Q1146" s="7"/>
      <c r="R1146" s="16"/>
      <c r="S1146" s="17"/>
      <c r="T1146" s="8"/>
      <c r="U1146" s="8"/>
      <c r="V1146" s="8"/>
      <c r="W1146" s="7"/>
      <c r="X1146" s="7"/>
      <c r="Y1146" s="7"/>
      <c r="Z1146" s="7"/>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row>
    <row r="1147" customHeight="1" spans="1:59">
      <c r="A1147" s="9"/>
      <c r="B1147" s="5"/>
      <c r="C1147" s="5"/>
      <c r="D1147" s="5"/>
      <c r="E1147" s="7"/>
      <c r="F1147" s="8"/>
      <c r="G1147" s="8"/>
      <c r="H1147" s="8"/>
      <c r="I1147" s="14"/>
      <c r="J1147" s="14"/>
      <c r="K1147" s="14"/>
      <c r="L1147" s="14"/>
      <c r="M1147" s="7"/>
      <c r="N1147" s="8"/>
      <c r="O1147" s="8"/>
      <c r="P1147" s="8"/>
      <c r="Q1147" s="7"/>
      <c r="R1147" s="16"/>
      <c r="S1147" s="17"/>
      <c r="T1147" s="8"/>
      <c r="U1147" s="8"/>
      <c r="V1147" s="8"/>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row>
    <row r="1148" customHeight="1" spans="1:59">
      <c r="A1148" s="9"/>
      <c r="B1148" s="5"/>
      <c r="C1148" s="5"/>
      <c r="D1148" s="5"/>
      <c r="E1148" s="7"/>
      <c r="F1148" s="8"/>
      <c r="G1148" s="8"/>
      <c r="H1148" s="8"/>
      <c r="I1148" s="14"/>
      <c r="J1148" s="14"/>
      <c r="K1148" s="14"/>
      <c r="L1148" s="14"/>
      <c r="M1148" s="7"/>
      <c r="N1148" s="8"/>
      <c r="O1148" s="8"/>
      <c r="P1148" s="8"/>
      <c r="Q1148" s="7"/>
      <c r="R1148" s="16"/>
      <c r="S1148" s="17"/>
      <c r="T1148" s="8"/>
      <c r="U1148" s="8"/>
      <c r="V1148" s="8"/>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row>
    <row r="1149" customHeight="1" spans="1:59">
      <c r="A1149" s="9"/>
      <c r="B1149" s="5"/>
      <c r="C1149" s="5"/>
      <c r="D1149" s="5"/>
      <c r="E1149" s="7"/>
      <c r="F1149" s="8"/>
      <c r="G1149" s="8"/>
      <c r="H1149" s="8"/>
      <c r="I1149" s="14"/>
      <c r="J1149" s="14"/>
      <c r="K1149" s="14"/>
      <c r="L1149" s="14"/>
      <c r="M1149" s="7"/>
      <c r="N1149" s="8"/>
      <c r="O1149" s="8"/>
      <c r="P1149" s="8"/>
      <c r="Q1149" s="7"/>
      <c r="R1149" s="16"/>
      <c r="S1149" s="17"/>
      <c r="T1149" s="8"/>
      <c r="U1149" s="8"/>
      <c r="V1149" s="8"/>
      <c r="W1149" s="7"/>
      <c r="X1149" s="7"/>
      <c r="Y1149" s="7"/>
      <c r="Z1149" s="7"/>
      <c r="AA1149" s="7"/>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7"/>
      <c r="BD1149" s="7"/>
      <c r="BE1149" s="7"/>
      <c r="BF1149" s="7"/>
      <c r="BG1149" s="7"/>
    </row>
    <row r="1150" customHeight="1" spans="1:59">
      <c r="A1150" s="9"/>
      <c r="B1150" s="5"/>
      <c r="C1150" s="5"/>
      <c r="D1150" s="5"/>
      <c r="E1150" s="7"/>
      <c r="F1150" s="8"/>
      <c r="G1150" s="8"/>
      <c r="H1150" s="8"/>
      <c r="I1150" s="14"/>
      <c r="J1150" s="14"/>
      <c r="K1150" s="14"/>
      <c r="L1150" s="14"/>
      <c r="M1150" s="7"/>
      <c r="N1150" s="8"/>
      <c r="O1150" s="8"/>
      <c r="P1150" s="8"/>
      <c r="Q1150" s="7"/>
      <c r="R1150" s="16"/>
      <c r="S1150" s="17"/>
      <c r="T1150" s="8"/>
      <c r="U1150" s="8"/>
      <c r="V1150" s="8"/>
      <c r="W1150" s="7"/>
      <c r="X1150" s="7"/>
      <c r="Y1150" s="7"/>
      <c r="Z1150" s="7"/>
      <c r="AA1150" s="7"/>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7"/>
      <c r="AX1150" s="7"/>
      <c r="AY1150" s="7"/>
      <c r="AZ1150" s="7"/>
      <c r="BA1150" s="7"/>
      <c r="BB1150" s="7"/>
      <c r="BC1150" s="7"/>
      <c r="BD1150" s="7"/>
      <c r="BE1150" s="7"/>
      <c r="BF1150" s="7"/>
      <c r="BG1150" s="7"/>
    </row>
    <row r="1151" customHeight="1" spans="1:59">
      <c r="A1151" s="9"/>
      <c r="B1151" s="5"/>
      <c r="C1151" s="5"/>
      <c r="D1151" s="5"/>
      <c r="E1151" s="7"/>
      <c r="F1151" s="8"/>
      <c r="G1151" s="8"/>
      <c r="H1151" s="8"/>
      <c r="I1151" s="14"/>
      <c r="J1151" s="14"/>
      <c r="K1151" s="14"/>
      <c r="L1151" s="14"/>
      <c r="M1151" s="7"/>
      <c r="N1151" s="8"/>
      <c r="O1151" s="8"/>
      <c r="P1151" s="8"/>
      <c r="Q1151" s="7"/>
      <c r="R1151" s="16"/>
      <c r="S1151" s="17"/>
      <c r="T1151" s="8"/>
      <c r="U1151" s="8"/>
      <c r="V1151" s="8"/>
      <c r="W1151" s="7"/>
      <c r="X1151" s="7"/>
      <c r="Y1151" s="7"/>
      <c r="Z1151" s="7"/>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7"/>
      <c r="AX1151" s="7"/>
      <c r="AY1151" s="7"/>
      <c r="AZ1151" s="7"/>
      <c r="BA1151" s="7"/>
      <c r="BB1151" s="7"/>
      <c r="BC1151" s="7"/>
      <c r="BD1151" s="7"/>
      <c r="BE1151" s="7"/>
      <c r="BF1151" s="7"/>
      <c r="BG1151" s="7"/>
    </row>
    <row r="1152" customHeight="1" spans="1:59">
      <c r="A1152" s="9"/>
      <c r="B1152" s="5"/>
      <c r="C1152" s="5"/>
      <c r="D1152" s="5"/>
      <c r="E1152" s="7"/>
      <c r="F1152" s="8"/>
      <c r="G1152" s="8"/>
      <c r="H1152" s="8"/>
      <c r="I1152" s="14"/>
      <c r="J1152" s="14"/>
      <c r="K1152" s="14"/>
      <c r="L1152" s="14"/>
      <c r="M1152" s="7"/>
      <c r="N1152" s="8"/>
      <c r="O1152" s="8"/>
      <c r="P1152" s="8"/>
      <c r="Q1152" s="7"/>
      <c r="R1152" s="16"/>
      <c r="S1152" s="17"/>
      <c r="T1152" s="8"/>
      <c r="U1152" s="8"/>
      <c r="V1152" s="8"/>
      <c r="W1152" s="7"/>
      <c r="X1152" s="7"/>
      <c r="Y1152" s="7"/>
      <c r="Z1152" s="7"/>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7"/>
      <c r="AX1152" s="7"/>
      <c r="AY1152" s="7"/>
      <c r="AZ1152" s="7"/>
      <c r="BA1152" s="7"/>
      <c r="BB1152" s="7"/>
      <c r="BC1152" s="7"/>
      <c r="BD1152" s="7"/>
      <c r="BE1152" s="7"/>
      <c r="BF1152" s="7"/>
      <c r="BG1152" s="7"/>
    </row>
    <row r="1153" customHeight="1" spans="1:59">
      <c r="A1153" s="9"/>
      <c r="B1153" s="5"/>
      <c r="C1153" s="5"/>
      <c r="D1153" s="5"/>
      <c r="E1153" s="7"/>
      <c r="F1153" s="8"/>
      <c r="G1153" s="8"/>
      <c r="H1153" s="8"/>
      <c r="I1153" s="14"/>
      <c r="J1153" s="14"/>
      <c r="K1153" s="14"/>
      <c r="L1153" s="14"/>
      <c r="M1153" s="7"/>
      <c r="N1153" s="8"/>
      <c r="O1153" s="8"/>
      <c r="P1153" s="8"/>
      <c r="Q1153" s="7"/>
      <c r="R1153" s="16"/>
      <c r="S1153" s="17"/>
      <c r="T1153" s="8"/>
      <c r="U1153" s="8"/>
      <c r="V1153" s="8"/>
      <c r="W1153" s="7"/>
      <c r="X1153" s="7"/>
      <c r="Y1153" s="7"/>
      <c r="Z1153" s="7"/>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7"/>
      <c r="AX1153" s="7"/>
      <c r="AY1153" s="7"/>
      <c r="AZ1153" s="7"/>
      <c r="BA1153" s="7"/>
      <c r="BB1153" s="7"/>
      <c r="BC1153" s="7"/>
      <c r="BD1153" s="7"/>
      <c r="BE1153" s="7"/>
      <c r="BF1153" s="7"/>
      <c r="BG1153" s="7"/>
    </row>
    <row r="1154" customHeight="1" spans="1:59">
      <c r="A1154" s="9"/>
      <c r="B1154" s="5"/>
      <c r="C1154" s="5"/>
      <c r="D1154" s="5"/>
      <c r="E1154" s="7"/>
      <c r="F1154" s="8"/>
      <c r="G1154" s="8"/>
      <c r="H1154" s="8"/>
      <c r="I1154" s="14"/>
      <c r="J1154" s="14"/>
      <c r="K1154" s="14"/>
      <c r="L1154" s="14"/>
      <c r="M1154" s="7"/>
      <c r="N1154" s="8"/>
      <c r="O1154" s="8"/>
      <c r="P1154" s="8"/>
      <c r="Q1154" s="7"/>
      <c r="R1154" s="16"/>
      <c r="S1154" s="17"/>
      <c r="T1154" s="8"/>
      <c r="U1154" s="8"/>
      <c r="V1154" s="8"/>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row>
    <row r="1155" customHeight="1" spans="1:59">
      <c r="A1155" s="9"/>
      <c r="B1155" s="5"/>
      <c r="C1155" s="5"/>
      <c r="D1155" s="5"/>
      <c r="E1155" s="7"/>
      <c r="F1155" s="8"/>
      <c r="G1155" s="8"/>
      <c r="H1155" s="8"/>
      <c r="I1155" s="14"/>
      <c r="J1155" s="14"/>
      <c r="K1155" s="14"/>
      <c r="L1155" s="14"/>
      <c r="M1155" s="7"/>
      <c r="N1155" s="8"/>
      <c r="O1155" s="8"/>
      <c r="P1155" s="8"/>
      <c r="Q1155" s="7"/>
      <c r="R1155" s="16"/>
      <c r="S1155" s="17"/>
      <c r="T1155" s="8"/>
      <c r="U1155" s="8"/>
      <c r="V1155" s="8"/>
      <c r="W1155" s="7"/>
      <c r="X1155" s="7"/>
      <c r="Y1155" s="7"/>
      <c r="Z1155" s="7"/>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7"/>
      <c r="AX1155" s="7"/>
      <c r="AY1155" s="7"/>
      <c r="AZ1155" s="7"/>
      <c r="BA1155" s="7"/>
      <c r="BB1155" s="7"/>
      <c r="BC1155" s="7"/>
      <c r="BD1155" s="7"/>
      <c r="BE1155" s="7"/>
      <c r="BF1155" s="7"/>
      <c r="BG1155" s="7"/>
    </row>
    <row r="1156" customHeight="1" spans="1:59">
      <c r="A1156" s="9"/>
      <c r="B1156" s="5"/>
      <c r="C1156" s="5"/>
      <c r="D1156" s="5"/>
      <c r="E1156" s="7"/>
      <c r="F1156" s="8"/>
      <c r="G1156" s="8"/>
      <c r="H1156" s="8"/>
      <c r="I1156" s="14"/>
      <c r="J1156" s="14"/>
      <c r="K1156" s="14"/>
      <c r="L1156" s="14"/>
      <c r="M1156" s="7"/>
      <c r="N1156" s="8"/>
      <c r="O1156" s="8"/>
      <c r="P1156" s="8"/>
      <c r="Q1156" s="7"/>
      <c r="R1156" s="16"/>
      <c r="S1156" s="17"/>
      <c r="T1156" s="8"/>
      <c r="U1156" s="8"/>
      <c r="V1156" s="8"/>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row>
    <row r="1157" customHeight="1" spans="1:59">
      <c r="A1157" s="9"/>
      <c r="B1157" s="5"/>
      <c r="C1157" s="5"/>
      <c r="D1157" s="5"/>
      <c r="E1157" s="7"/>
      <c r="F1157" s="8"/>
      <c r="G1157" s="8"/>
      <c r="H1157" s="8"/>
      <c r="I1157" s="14"/>
      <c r="J1157" s="14"/>
      <c r="K1157" s="14"/>
      <c r="L1157" s="14"/>
      <c r="M1157" s="7"/>
      <c r="N1157" s="8"/>
      <c r="O1157" s="8"/>
      <c r="P1157" s="8"/>
      <c r="Q1157" s="7"/>
      <c r="R1157" s="16"/>
      <c r="S1157" s="17"/>
      <c r="T1157" s="8"/>
      <c r="U1157" s="8"/>
      <c r="V1157" s="8"/>
      <c r="W1157" s="7"/>
      <c r="X1157" s="7"/>
      <c r="Y1157" s="7"/>
      <c r="Z1157" s="7"/>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c r="AX1157" s="7"/>
      <c r="AY1157" s="7"/>
      <c r="AZ1157" s="7"/>
      <c r="BA1157" s="7"/>
      <c r="BB1157" s="7"/>
      <c r="BC1157" s="7"/>
      <c r="BD1157" s="7"/>
      <c r="BE1157" s="7"/>
      <c r="BF1157" s="7"/>
      <c r="BG1157" s="7"/>
    </row>
    <row r="1158" customHeight="1" spans="1:59">
      <c r="A1158" s="9"/>
      <c r="B1158" s="5"/>
      <c r="C1158" s="5"/>
      <c r="D1158" s="5"/>
      <c r="E1158" s="7"/>
      <c r="F1158" s="8"/>
      <c r="G1158" s="8"/>
      <c r="H1158" s="8"/>
      <c r="I1158" s="14"/>
      <c r="J1158" s="14"/>
      <c r="K1158" s="14"/>
      <c r="L1158" s="14"/>
      <c r="M1158" s="7"/>
      <c r="N1158" s="8"/>
      <c r="O1158" s="8"/>
      <c r="P1158" s="8"/>
      <c r="Q1158" s="7"/>
      <c r="R1158" s="16"/>
      <c r="S1158" s="17"/>
      <c r="T1158" s="8"/>
      <c r="U1158" s="8"/>
      <c r="V1158" s="8"/>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row>
    <row r="1159" customHeight="1" spans="1:59">
      <c r="A1159" s="9"/>
      <c r="B1159" s="5"/>
      <c r="C1159" s="5"/>
      <c r="D1159" s="5"/>
      <c r="E1159" s="7"/>
      <c r="F1159" s="8"/>
      <c r="G1159" s="8"/>
      <c r="H1159" s="8"/>
      <c r="I1159" s="14"/>
      <c r="J1159" s="14"/>
      <c r="K1159" s="14"/>
      <c r="L1159" s="14"/>
      <c r="M1159" s="7"/>
      <c r="N1159" s="8"/>
      <c r="O1159" s="8"/>
      <c r="P1159" s="8"/>
      <c r="Q1159" s="7"/>
      <c r="R1159" s="16"/>
      <c r="S1159" s="17"/>
      <c r="T1159" s="8"/>
      <c r="U1159" s="8"/>
      <c r="V1159" s="8"/>
      <c r="W1159" s="7"/>
      <c r="X1159" s="7"/>
      <c r="Y1159" s="7"/>
      <c r="Z1159" s="7"/>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c r="AX1159" s="7"/>
      <c r="AY1159" s="7"/>
      <c r="AZ1159" s="7"/>
      <c r="BA1159" s="7"/>
      <c r="BB1159" s="7"/>
      <c r="BC1159" s="7"/>
      <c r="BD1159" s="7"/>
      <c r="BE1159" s="7"/>
      <c r="BF1159" s="7"/>
      <c r="BG1159" s="7"/>
    </row>
    <row r="1160" customHeight="1" spans="1:59">
      <c r="A1160" s="9"/>
      <c r="B1160" s="5"/>
      <c r="C1160" s="5"/>
      <c r="D1160" s="5"/>
      <c r="E1160" s="7"/>
      <c r="F1160" s="8"/>
      <c r="G1160" s="8"/>
      <c r="H1160" s="8"/>
      <c r="I1160" s="14"/>
      <c r="J1160" s="14"/>
      <c r="K1160" s="14"/>
      <c r="L1160" s="14"/>
      <c r="M1160" s="7"/>
      <c r="N1160" s="8"/>
      <c r="O1160" s="8"/>
      <c r="P1160" s="8"/>
      <c r="Q1160" s="7"/>
      <c r="R1160" s="16"/>
      <c r="S1160" s="17"/>
      <c r="T1160" s="8"/>
      <c r="U1160" s="8"/>
      <c r="V1160" s="8"/>
      <c r="W1160" s="7"/>
      <c r="X1160" s="7"/>
      <c r="Y1160" s="7"/>
      <c r="Z1160" s="7"/>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c r="AX1160" s="7"/>
      <c r="AY1160" s="7"/>
      <c r="AZ1160" s="7"/>
      <c r="BA1160" s="7"/>
      <c r="BB1160" s="7"/>
      <c r="BC1160" s="7"/>
      <c r="BD1160" s="7"/>
      <c r="BE1160" s="7"/>
      <c r="BF1160" s="7"/>
      <c r="BG1160" s="7"/>
    </row>
    <row r="1161" customHeight="1" spans="1:59">
      <c r="A1161" s="9"/>
      <c r="B1161" s="5"/>
      <c r="C1161" s="5"/>
      <c r="D1161" s="5"/>
      <c r="E1161" s="7"/>
      <c r="F1161" s="8"/>
      <c r="G1161" s="8"/>
      <c r="H1161" s="8"/>
      <c r="I1161" s="14"/>
      <c r="J1161" s="14"/>
      <c r="K1161" s="14"/>
      <c r="L1161" s="14"/>
      <c r="M1161" s="7"/>
      <c r="N1161" s="8"/>
      <c r="O1161" s="8"/>
      <c r="P1161" s="8"/>
      <c r="Q1161" s="7"/>
      <c r="R1161" s="16"/>
      <c r="S1161" s="17"/>
      <c r="T1161" s="8"/>
      <c r="U1161" s="8"/>
      <c r="V1161" s="8"/>
      <c r="W1161" s="7"/>
      <c r="X1161" s="7"/>
      <c r="Y1161" s="7"/>
      <c r="Z1161" s="7"/>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row>
    <row r="1162" customHeight="1" spans="1:59">
      <c r="A1162" s="9"/>
      <c r="B1162" s="5"/>
      <c r="C1162" s="5"/>
      <c r="D1162" s="5"/>
      <c r="E1162" s="7"/>
      <c r="F1162" s="8"/>
      <c r="G1162" s="8"/>
      <c r="H1162" s="8"/>
      <c r="I1162" s="14"/>
      <c r="J1162" s="14"/>
      <c r="K1162" s="14"/>
      <c r="L1162" s="14"/>
      <c r="M1162" s="7"/>
      <c r="N1162" s="8"/>
      <c r="O1162" s="8"/>
      <c r="P1162" s="8"/>
      <c r="Q1162" s="7"/>
      <c r="R1162" s="16"/>
      <c r="S1162" s="17"/>
      <c r="T1162" s="8"/>
      <c r="U1162" s="8"/>
      <c r="V1162" s="8"/>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row>
    <row r="1163" customHeight="1" spans="1:59">
      <c r="A1163" s="9"/>
      <c r="B1163" s="5"/>
      <c r="C1163" s="5"/>
      <c r="D1163" s="5"/>
      <c r="E1163" s="7"/>
      <c r="F1163" s="8"/>
      <c r="G1163" s="8"/>
      <c r="H1163" s="8"/>
      <c r="I1163" s="14"/>
      <c r="J1163" s="14"/>
      <c r="K1163" s="14"/>
      <c r="L1163" s="14"/>
      <c r="M1163" s="7"/>
      <c r="N1163" s="8"/>
      <c r="O1163" s="8"/>
      <c r="P1163" s="8"/>
      <c r="Q1163" s="7"/>
      <c r="R1163" s="16"/>
      <c r="S1163" s="17"/>
      <c r="T1163" s="8"/>
      <c r="U1163" s="8"/>
      <c r="V1163" s="8"/>
      <c r="W1163" s="7"/>
      <c r="X1163" s="7"/>
      <c r="Y1163" s="7"/>
      <c r="Z1163" s="7"/>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row>
    <row r="1164" customHeight="1" spans="1:59">
      <c r="A1164" s="9"/>
      <c r="B1164" s="5"/>
      <c r="C1164" s="5"/>
      <c r="D1164" s="5"/>
      <c r="E1164" s="7"/>
      <c r="F1164" s="8"/>
      <c r="G1164" s="8"/>
      <c r="H1164" s="8"/>
      <c r="I1164" s="14"/>
      <c r="J1164" s="14"/>
      <c r="K1164" s="14"/>
      <c r="L1164" s="14"/>
      <c r="M1164" s="7"/>
      <c r="N1164" s="8"/>
      <c r="O1164" s="8"/>
      <c r="P1164" s="8"/>
      <c r="Q1164" s="7"/>
      <c r="R1164" s="16"/>
      <c r="S1164" s="17"/>
      <c r="T1164" s="8"/>
      <c r="U1164" s="8"/>
      <c r="V1164" s="8"/>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row>
    <row r="1165" customHeight="1" spans="1:59">
      <c r="A1165" s="9"/>
      <c r="B1165" s="5"/>
      <c r="C1165" s="5"/>
      <c r="D1165" s="5"/>
      <c r="E1165" s="7"/>
      <c r="F1165" s="8"/>
      <c r="G1165" s="8"/>
      <c r="H1165" s="8"/>
      <c r="I1165" s="14"/>
      <c r="J1165" s="14"/>
      <c r="K1165" s="14"/>
      <c r="L1165" s="14"/>
      <c r="M1165" s="7"/>
      <c r="N1165" s="8"/>
      <c r="O1165" s="8"/>
      <c r="P1165" s="8"/>
      <c r="Q1165" s="7"/>
      <c r="R1165" s="16"/>
      <c r="S1165" s="17"/>
      <c r="T1165" s="8"/>
      <c r="U1165" s="8"/>
      <c r="V1165" s="8"/>
      <c r="W1165" s="7"/>
      <c r="X1165" s="7"/>
      <c r="Y1165" s="7"/>
      <c r="Z1165" s="7"/>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7"/>
      <c r="BB1165" s="7"/>
      <c r="BC1165" s="7"/>
      <c r="BD1165" s="7"/>
      <c r="BE1165" s="7"/>
      <c r="BF1165" s="7"/>
      <c r="BG1165" s="7"/>
    </row>
    <row r="1166" customHeight="1" spans="1:59">
      <c r="A1166" s="9"/>
      <c r="B1166" s="5"/>
      <c r="C1166" s="5"/>
      <c r="D1166" s="5"/>
      <c r="E1166" s="7"/>
      <c r="F1166" s="8"/>
      <c r="G1166" s="8"/>
      <c r="H1166" s="8"/>
      <c r="I1166" s="14"/>
      <c r="J1166" s="14"/>
      <c r="K1166" s="14"/>
      <c r="L1166" s="14"/>
      <c r="M1166" s="7"/>
      <c r="N1166" s="8"/>
      <c r="O1166" s="8"/>
      <c r="P1166" s="8"/>
      <c r="Q1166" s="7"/>
      <c r="R1166" s="16"/>
      <c r="S1166" s="17"/>
      <c r="T1166" s="8"/>
      <c r="U1166" s="8"/>
      <c r="V1166" s="8"/>
      <c r="W1166" s="7"/>
      <c r="X1166" s="7"/>
      <c r="Y1166" s="7"/>
      <c r="Z1166" s="7"/>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row>
    <row r="1167" customHeight="1" spans="1:59">
      <c r="A1167" s="9"/>
      <c r="B1167" s="5"/>
      <c r="C1167" s="5"/>
      <c r="D1167" s="5"/>
      <c r="E1167" s="7"/>
      <c r="F1167" s="8"/>
      <c r="G1167" s="8"/>
      <c r="H1167" s="8"/>
      <c r="I1167" s="14"/>
      <c r="J1167" s="14"/>
      <c r="K1167" s="14"/>
      <c r="L1167" s="14"/>
      <c r="M1167" s="7"/>
      <c r="N1167" s="8"/>
      <c r="O1167" s="8"/>
      <c r="P1167" s="8"/>
      <c r="Q1167" s="7"/>
      <c r="R1167" s="16"/>
      <c r="S1167" s="17"/>
      <c r="T1167" s="8"/>
      <c r="U1167" s="8"/>
      <c r="V1167" s="8"/>
      <c r="W1167" s="7"/>
      <c r="X1167" s="7"/>
      <c r="Y1167" s="7"/>
      <c r="Z1167" s="7"/>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7"/>
      <c r="BD1167" s="7"/>
      <c r="BE1167" s="7"/>
      <c r="BF1167" s="7"/>
      <c r="BG1167" s="7"/>
    </row>
    <row r="1168" customHeight="1" spans="1:59">
      <c r="A1168" s="9"/>
      <c r="B1168" s="5"/>
      <c r="C1168" s="5"/>
      <c r="D1168" s="5"/>
      <c r="E1168" s="7"/>
      <c r="F1168" s="8"/>
      <c r="G1168" s="8"/>
      <c r="H1168" s="8"/>
      <c r="I1168" s="14"/>
      <c r="J1168" s="14"/>
      <c r="K1168" s="14"/>
      <c r="L1168" s="14"/>
      <c r="M1168" s="7"/>
      <c r="N1168" s="8"/>
      <c r="O1168" s="8"/>
      <c r="P1168" s="8"/>
      <c r="Q1168" s="7"/>
      <c r="R1168" s="16"/>
      <c r="S1168" s="17"/>
      <c r="T1168" s="8"/>
      <c r="U1168" s="8"/>
      <c r="V1168" s="8"/>
      <c r="W1168" s="7"/>
      <c r="X1168" s="7"/>
      <c r="Y1168" s="7"/>
      <c r="Z1168" s="7"/>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row>
    <row r="1169" customHeight="1" spans="1:59">
      <c r="A1169" s="9"/>
      <c r="B1169" s="5"/>
      <c r="C1169" s="5"/>
      <c r="D1169" s="5"/>
      <c r="E1169" s="7"/>
      <c r="F1169" s="8"/>
      <c r="G1169" s="8"/>
      <c r="H1169" s="8"/>
      <c r="I1169" s="14"/>
      <c r="J1169" s="14"/>
      <c r="K1169" s="14"/>
      <c r="L1169" s="14"/>
      <c r="M1169" s="7"/>
      <c r="N1169" s="8"/>
      <c r="O1169" s="8"/>
      <c r="P1169" s="8"/>
      <c r="Q1169" s="7"/>
      <c r="R1169" s="16"/>
      <c r="S1169" s="17"/>
      <c r="T1169" s="8"/>
      <c r="U1169" s="8"/>
      <c r="V1169" s="8"/>
      <c r="W1169" s="7"/>
      <c r="X1169" s="7"/>
      <c r="Y1169" s="7"/>
      <c r="Z1169" s="7"/>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7"/>
      <c r="BD1169" s="7"/>
      <c r="BE1169" s="7"/>
      <c r="BF1169" s="7"/>
      <c r="BG1169" s="7"/>
    </row>
    <row r="1170" customHeight="1" spans="1:59">
      <c r="A1170" s="9"/>
      <c r="B1170" s="5"/>
      <c r="C1170" s="5"/>
      <c r="D1170" s="5"/>
      <c r="E1170" s="7"/>
      <c r="F1170" s="8"/>
      <c r="G1170" s="8"/>
      <c r="H1170" s="8"/>
      <c r="I1170" s="14"/>
      <c r="J1170" s="14"/>
      <c r="K1170" s="14"/>
      <c r="L1170" s="14"/>
      <c r="M1170" s="7"/>
      <c r="N1170" s="8"/>
      <c r="O1170" s="8"/>
      <c r="P1170" s="8"/>
      <c r="Q1170" s="7"/>
      <c r="R1170" s="16"/>
      <c r="S1170" s="17"/>
      <c r="T1170" s="8"/>
      <c r="U1170" s="8"/>
      <c r="V1170" s="8"/>
      <c r="W1170" s="7"/>
      <c r="X1170" s="7"/>
      <c r="Y1170" s="7"/>
      <c r="Z1170" s="7"/>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7"/>
      <c r="BB1170" s="7"/>
      <c r="BC1170" s="7"/>
      <c r="BD1170" s="7"/>
      <c r="BE1170" s="7"/>
      <c r="BF1170" s="7"/>
      <c r="BG1170" s="7"/>
    </row>
    <row r="1171" customHeight="1" spans="1:59">
      <c r="A1171" s="9"/>
      <c r="B1171" s="5"/>
      <c r="C1171" s="5"/>
      <c r="D1171" s="5"/>
      <c r="E1171" s="7"/>
      <c r="F1171" s="8"/>
      <c r="G1171" s="8"/>
      <c r="H1171" s="8"/>
      <c r="I1171" s="14"/>
      <c r="J1171" s="14"/>
      <c r="K1171" s="14"/>
      <c r="L1171" s="14"/>
      <c r="M1171" s="7"/>
      <c r="N1171" s="8"/>
      <c r="O1171" s="8"/>
      <c r="P1171" s="8"/>
      <c r="Q1171" s="7"/>
      <c r="R1171" s="16"/>
      <c r="S1171" s="17"/>
      <c r="T1171" s="8"/>
      <c r="U1171" s="8"/>
      <c r="V1171" s="8"/>
      <c r="W1171" s="7"/>
      <c r="X1171" s="7"/>
      <c r="Y1171" s="7"/>
      <c r="Z1171" s="7"/>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row>
    <row r="1172" customHeight="1" spans="1:59">
      <c r="A1172" s="9"/>
      <c r="B1172" s="5"/>
      <c r="C1172" s="5"/>
      <c r="D1172" s="5"/>
      <c r="E1172" s="7"/>
      <c r="F1172" s="8"/>
      <c r="G1172" s="8"/>
      <c r="H1172" s="8"/>
      <c r="I1172" s="14"/>
      <c r="J1172" s="14"/>
      <c r="K1172" s="14"/>
      <c r="L1172" s="14"/>
      <c r="M1172" s="7"/>
      <c r="N1172" s="8"/>
      <c r="O1172" s="8"/>
      <c r="P1172" s="8"/>
      <c r="Q1172" s="7"/>
      <c r="R1172" s="16"/>
      <c r="S1172" s="17"/>
      <c r="T1172" s="8"/>
      <c r="U1172" s="8"/>
      <c r="V1172" s="8"/>
      <c r="W1172" s="7"/>
      <c r="X1172" s="7"/>
      <c r="Y1172" s="7"/>
      <c r="Z1172" s="7"/>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row>
    <row r="1173" customHeight="1" spans="1:59">
      <c r="A1173" s="9"/>
      <c r="B1173" s="5"/>
      <c r="C1173" s="5"/>
      <c r="D1173" s="5"/>
      <c r="E1173" s="7"/>
      <c r="F1173" s="8"/>
      <c r="G1173" s="8"/>
      <c r="H1173" s="8"/>
      <c r="I1173" s="14"/>
      <c r="J1173" s="14"/>
      <c r="K1173" s="14"/>
      <c r="L1173" s="14"/>
      <c r="M1173" s="7"/>
      <c r="N1173" s="8"/>
      <c r="O1173" s="8"/>
      <c r="P1173" s="8"/>
      <c r="Q1173" s="7"/>
      <c r="R1173" s="16"/>
      <c r="S1173" s="17"/>
      <c r="T1173" s="8"/>
      <c r="U1173" s="8"/>
      <c r="V1173" s="8"/>
      <c r="W1173" s="7"/>
      <c r="X1173" s="7"/>
      <c r="Y1173" s="7"/>
      <c r="Z1173" s="7"/>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row>
    <row r="1174" customHeight="1" spans="1:59">
      <c r="A1174" s="9"/>
      <c r="B1174" s="5"/>
      <c r="C1174" s="5"/>
      <c r="D1174" s="5"/>
      <c r="E1174" s="7"/>
      <c r="F1174" s="8"/>
      <c r="G1174" s="8"/>
      <c r="H1174" s="8"/>
      <c r="I1174" s="14"/>
      <c r="J1174" s="14"/>
      <c r="K1174" s="14"/>
      <c r="L1174" s="14"/>
      <c r="M1174" s="7"/>
      <c r="N1174" s="8"/>
      <c r="O1174" s="8"/>
      <c r="P1174" s="8"/>
      <c r="Q1174" s="7"/>
      <c r="R1174" s="16"/>
      <c r="S1174" s="17"/>
      <c r="T1174" s="8"/>
      <c r="U1174" s="8"/>
      <c r="V1174" s="8"/>
      <c r="W1174" s="7"/>
      <c r="X1174" s="7"/>
      <c r="Y1174" s="7"/>
      <c r="Z1174" s="7"/>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row>
    <row r="1175" customHeight="1" spans="1:59">
      <c r="A1175" s="9"/>
      <c r="B1175" s="5"/>
      <c r="C1175" s="5"/>
      <c r="D1175" s="5"/>
      <c r="E1175" s="7"/>
      <c r="F1175" s="8"/>
      <c r="G1175" s="8"/>
      <c r="H1175" s="8"/>
      <c r="I1175" s="14"/>
      <c r="J1175" s="14"/>
      <c r="K1175" s="14"/>
      <c r="L1175" s="14"/>
      <c r="M1175" s="7"/>
      <c r="N1175" s="8"/>
      <c r="O1175" s="8"/>
      <c r="P1175" s="8"/>
      <c r="Q1175" s="7"/>
      <c r="R1175" s="16"/>
      <c r="S1175" s="17"/>
      <c r="T1175" s="8"/>
      <c r="U1175" s="8"/>
      <c r="V1175" s="8"/>
      <c r="W1175" s="7"/>
      <c r="X1175" s="7"/>
      <c r="Y1175" s="7"/>
      <c r="Z1175" s="7"/>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row>
    <row r="1176" customHeight="1" spans="1:59">
      <c r="A1176" s="9"/>
      <c r="B1176" s="5"/>
      <c r="C1176" s="5"/>
      <c r="D1176" s="5"/>
      <c r="E1176" s="7"/>
      <c r="F1176" s="8"/>
      <c r="G1176" s="8"/>
      <c r="H1176" s="8"/>
      <c r="I1176" s="14"/>
      <c r="J1176" s="14"/>
      <c r="K1176" s="14"/>
      <c r="L1176" s="14"/>
      <c r="M1176" s="7"/>
      <c r="N1176" s="8"/>
      <c r="O1176" s="8"/>
      <c r="P1176" s="8"/>
      <c r="Q1176" s="7"/>
      <c r="R1176" s="16"/>
      <c r="S1176" s="17"/>
      <c r="T1176" s="8"/>
      <c r="U1176" s="8"/>
      <c r="V1176" s="8"/>
      <c r="W1176" s="7"/>
      <c r="X1176" s="7"/>
      <c r="Y1176" s="7"/>
      <c r="Z1176" s="7"/>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row>
    <row r="1177" customHeight="1" spans="1:59">
      <c r="A1177" s="9"/>
      <c r="B1177" s="5"/>
      <c r="C1177" s="5"/>
      <c r="D1177" s="5"/>
      <c r="E1177" s="7"/>
      <c r="F1177" s="8"/>
      <c r="G1177" s="8"/>
      <c r="H1177" s="8"/>
      <c r="I1177" s="14"/>
      <c r="J1177" s="14"/>
      <c r="K1177" s="14"/>
      <c r="L1177" s="14"/>
      <c r="M1177" s="7"/>
      <c r="N1177" s="8"/>
      <c r="O1177" s="8"/>
      <c r="P1177" s="8"/>
      <c r="Q1177" s="7"/>
      <c r="R1177" s="16"/>
      <c r="S1177" s="17"/>
      <c r="T1177" s="8"/>
      <c r="U1177" s="8"/>
      <c r="V1177" s="8"/>
      <c r="W1177" s="7"/>
      <c r="X1177" s="7"/>
      <c r="Y1177" s="7"/>
      <c r="Z1177" s="7"/>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row>
    <row r="1178" customHeight="1" spans="1:59">
      <c r="A1178" s="9"/>
      <c r="B1178" s="5"/>
      <c r="C1178" s="5"/>
      <c r="D1178" s="5"/>
      <c r="E1178" s="7"/>
      <c r="F1178" s="8"/>
      <c r="G1178" s="8"/>
      <c r="H1178" s="8"/>
      <c r="I1178" s="14"/>
      <c r="J1178" s="14"/>
      <c r="K1178" s="14"/>
      <c r="L1178" s="14"/>
      <c r="M1178" s="7"/>
      <c r="N1178" s="8"/>
      <c r="O1178" s="8"/>
      <c r="P1178" s="8"/>
      <c r="Q1178" s="7"/>
      <c r="R1178" s="16"/>
      <c r="S1178" s="17"/>
      <c r="T1178" s="8"/>
      <c r="U1178" s="8"/>
      <c r="V1178" s="8"/>
      <c r="W1178" s="7"/>
      <c r="X1178" s="7"/>
      <c r="Y1178" s="7"/>
      <c r="Z1178" s="7"/>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row>
    <row r="1179" customHeight="1" spans="1:59">
      <c r="A1179" s="9"/>
      <c r="B1179" s="5"/>
      <c r="C1179" s="5"/>
      <c r="D1179" s="5"/>
      <c r="E1179" s="7"/>
      <c r="F1179" s="8"/>
      <c r="G1179" s="8"/>
      <c r="H1179" s="8"/>
      <c r="I1179" s="14"/>
      <c r="J1179" s="14"/>
      <c r="K1179" s="14"/>
      <c r="L1179" s="14"/>
      <c r="M1179" s="7"/>
      <c r="N1179" s="8"/>
      <c r="O1179" s="8"/>
      <c r="P1179" s="8"/>
      <c r="Q1179" s="7"/>
      <c r="R1179" s="16"/>
      <c r="S1179" s="17"/>
      <c r="T1179" s="8"/>
      <c r="U1179" s="8"/>
      <c r="V1179" s="8"/>
      <c r="W1179" s="7"/>
      <c r="X1179" s="7"/>
      <c r="Y1179" s="7"/>
      <c r="Z1179" s="7"/>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7"/>
      <c r="BB1179" s="7"/>
      <c r="BC1179" s="7"/>
      <c r="BD1179" s="7"/>
      <c r="BE1179" s="7"/>
      <c r="BF1179" s="7"/>
      <c r="BG1179" s="7"/>
    </row>
    <row r="1180" customHeight="1" spans="1:59">
      <c r="A1180" s="9"/>
      <c r="B1180" s="5"/>
      <c r="C1180" s="5"/>
      <c r="D1180" s="5"/>
      <c r="E1180" s="7"/>
      <c r="F1180" s="8"/>
      <c r="G1180" s="8"/>
      <c r="H1180" s="8"/>
      <c r="I1180" s="14"/>
      <c r="J1180" s="14"/>
      <c r="K1180" s="14"/>
      <c r="L1180" s="14"/>
      <c r="M1180" s="7"/>
      <c r="N1180" s="8"/>
      <c r="O1180" s="8"/>
      <c r="P1180" s="8"/>
      <c r="Q1180" s="7"/>
      <c r="R1180" s="16"/>
      <c r="S1180" s="17"/>
      <c r="T1180" s="8"/>
      <c r="U1180" s="8"/>
      <c r="V1180" s="8"/>
      <c r="W1180" s="7"/>
      <c r="X1180" s="7"/>
      <c r="Y1180" s="7"/>
      <c r="Z1180" s="7"/>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7"/>
      <c r="BD1180" s="7"/>
      <c r="BE1180" s="7"/>
      <c r="BF1180" s="7"/>
      <c r="BG1180" s="7"/>
    </row>
    <row r="1181" customHeight="1" spans="1:59">
      <c r="A1181" s="9"/>
      <c r="B1181" s="5"/>
      <c r="C1181" s="5"/>
      <c r="D1181" s="5"/>
      <c r="E1181" s="7"/>
      <c r="F1181" s="8"/>
      <c r="G1181" s="8"/>
      <c r="H1181" s="8"/>
      <c r="I1181" s="14"/>
      <c r="J1181" s="14"/>
      <c r="K1181" s="14"/>
      <c r="L1181" s="14"/>
      <c r="M1181" s="7"/>
      <c r="N1181" s="8"/>
      <c r="O1181" s="8"/>
      <c r="P1181" s="8"/>
      <c r="Q1181" s="7"/>
      <c r="R1181" s="16"/>
      <c r="S1181" s="17"/>
      <c r="T1181" s="8"/>
      <c r="U1181" s="8"/>
      <c r="V1181" s="8"/>
      <c r="W1181" s="7"/>
      <c r="X1181" s="7"/>
      <c r="Y1181" s="7"/>
      <c r="Z1181" s="7"/>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7"/>
      <c r="BB1181" s="7"/>
      <c r="BC1181" s="7"/>
      <c r="BD1181" s="7"/>
      <c r="BE1181" s="7"/>
      <c r="BF1181" s="7"/>
      <c r="BG1181" s="7"/>
    </row>
    <row r="1182" customHeight="1" spans="1:59">
      <c r="A1182" s="9"/>
      <c r="B1182" s="5"/>
      <c r="C1182" s="5"/>
      <c r="D1182" s="5"/>
      <c r="E1182" s="7"/>
      <c r="F1182" s="8"/>
      <c r="G1182" s="8"/>
      <c r="H1182" s="8"/>
      <c r="I1182" s="14"/>
      <c r="J1182" s="14"/>
      <c r="K1182" s="14"/>
      <c r="L1182" s="14"/>
      <c r="M1182" s="7"/>
      <c r="N1182" s="8"/>
      <c r="O1182" s="8"/>
      <c r="P1182" s="8"/>
      <c r="Q1182" s="7"/>
      <c r="R1182" s="16"/>
      <c r="S1182" s="17"/>
      <c r="T1182" s="8"/>
      <c r="U1182" s="8"/>
      <c r="V1182" s="8"/>
      <c r="W1182" s="7"/>
      <c r="X1182" s="7"/>
      <c r="Y1182" s="7"/>
      <c r="Z1182" s="7"/>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7"/>
      <c r="BD1182" s="7"/>
      <c r="BE1182" s="7"/>
      <c r="BF1182" s="7"/>
      <c r="BG1182" s="7"/>
    </row>
    <row r="1183" customHeight="1" spans="1:59">
      <c r="A1183" s="9"/>
      <c r="B1183" s="5"/>
      <c r="C1183" s="5"/>
      <c r="D1183" s="5"/>
      <c r="E1183" s="7"/>
      <c r="F1183" s="8"/>
      <c r="G1183" s="8"/>
      <c r="H1183" s="8"/>
      <c r="I1183" s="14"/>
      <c r="J1183" s="14"/>
      <c r="K1183" s="14"/>
      <c r="L1183" s="14"/>
      <c r="M1183" s="7"/>
      <c r="N1183" s="8"/>
      <c r="O1183" s="8"/>
      <c r="P1183" s="8"/>
      <c r="Q1183" s="7"/>
      <c r="R1183" s="16"/>
      <c r="S1183" s="17"/>
      <c r="T1183" s="8"/>
      <c r="U1183" s="8"/>
      <c r="V1183" s="8"/>
      <c r="W1183" s="7"/>
      <c r="X1183" s="7"/>
      <c r="Y1183" s="7"/>
      <c r="Z1183" s="7"/>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row>
    <row r="1184" customHeight="1" spans="1:59">
      <c r="A1184" s="9"/>
      <c r="B1184" s="5"/>
      <c r="C1184" s="5"/>
      <c r="D1184" s="5"/>
      <c r="E1184" s="7"/>
      <c r="F1184" s="8"/>
      <c r="G1184" s="8"/>
      <c r="H1184" s="8"/>
      <c r="I1184" s="14"/>
      <c r="J1184" s="14"/>
      <c r="K1184" s="14"/>
      <c r="L1184" s="14"/>
      <c r="M1184" s="7"/>
      <c r="N1184" s="8"/>
      <c r="O1184" s="8"/>
      <c r="P1184" s="8"/>
      <c r="Q1184" s="7"/>
      <c r="R1184" s="16"/>
      <c r="S1184" s="17"/>
      <c r="T1184" s="8"/>
      <c r="U1184" s="8"/>
      <c r="V1184" s="8"/>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row>
    <row r="1185" customHeight="1" spans="1:59">
      <c r="A1185" s="9"/>
      <c r="B1185" s="5"/>
      <c r="C1185" s="5"/>
      <c r="D1185" s="5"/>
      <c r="E1185" s="7"/>
      <c r="F1185" s="8"/>
      <c r="G1185" s="8"/>
      <c r="H1185" s="8"/>
      <c r="I1185" s="14"/>
      <c r="J1185" s="14"/>
      <c r="K1185" s="14"/>
      <c r="L1185" s="14"/>
      <c r="M1185" s="7"/>
      <c r="N1185" s="8"/>
      <c r="O1185" s="8"/>
      <c r="P1185" s="8"/>
      <c r="Q1185" s="7"/>
      <c r="R1185" s="16"/>
      <c r="S1185" s="17"/>
      <c r="T1185" s="8"/>
      <c r="U1185" s="8"/>
      <c r="V1185" s="8"/>
      <c r="W1185" s="7"/>
      <c r="X1185" s="7"/>
      <c r="Y1185" s="7"/>
      <c r="Z1185" s="7"/>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row>
    <row r="1186" customHeight="1" spans="1:59">
      <c r="A1186" s="9"/>
      <c r="B1186" s="5"/>
      <c r="C1186" s="5"/>
      <c r="D1186" s="5"/>
      <c r="E1186" s="7"/>
      <c r="F1186" s="8"/>
      <c r="G1186" s="8"/>
      <c r="H1186" s="8"/>
      <c r="I1186" s="14"/>
      <c r="J1186" s="14"/>
      <c r="K1186" s="14"/>
      <c r="L1186" s="14"/>
      <c r="M1186" s="7"/>
      <c r="N1186" s="8"/>
      <c r="O1186" s="8"/>
      <c r="P1186" s="8"/>
      <c r="Q1186" s="7"/>
      <c r="R1186" s="16"/>
      <c r="S1186" s="17"/>
      <c r="T1186" s="8"/>
      <c r="U1186" s="8"/>
      <c r="V1186" s="8"/>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row>
    <row r="1187" customHeight="1" spans="1:59">
      <c r="A1187" s="9"/>
      <c r="B1187" s="5"/>
      <c r="C1187" s="5"/>
      <c r="D1187" s="5"/>
      <c r="E1187" s="7"/>
      <c r="F1187" s="8"/>
      <c r="G1187" s="8"/>
      <c r="H1187" s="8"/>
      <c r="I1187" s="14"/>
      <c r="J1187" s="14"/>
      <c r="K1187" s="14"/>
      <c r="L1187" s="14"/>
      <c r="M1187" s="7"/>
      <c r="N1187" s="8"/>
      <c r="O1187" s="8"/>
      <c r="P1187" s="8"/>
      <c r="Q1187" s="7"/>
      <c r="R1187" s="16"/>
      <c r="S1187" s="17"/>
      <c r="T1187" s="8"/>
      <c r="U1187" s="8"/>
      <c r="V1187" s="8"/>
      <c r="W1187" s="7"/>
      <c r="X1187" s="7"/>
      <c r="Y1187" s="7"/>
      <c r="Z1187" s="7"/>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7"/>
      <c r="BD1187" s="7"/>
      <c r="BE1187" s="7"/>
      <c r="BF1187" s="7"/>
      <c r="BG1187" s="7"/>
    </row>
    <row r="1188" customHeight="1" spans="1:59">
      <c r="A1188" s="9"/>
      <c r="B1188" s="5"/>
      <c r="C1188" s="5"/>
      <c r="D1188" s="5"/>
      <c r="E1188" s="7"/>
      <c r="F1188" s="8"/>
      <c r="G1188" s="8"/>
      <c r="H1188" s="8"/>
      <c r="I1188" s="14"/>
      <c r="J1188" s="14"/>
      <c r="K1188" s="14"/>
      <c r="L1188" s="14"/>
      <c r="M1188" s="7"/>
      <c r="N1188" s="8"/>
      <c r="O1188" s="8"/>
      <c r="P1188" s="8"/>
      <c r="Q1188" s="7"/>
      <c r="R1188" s="16"/>
      <c r="S1188" s="17"/>
      <c r="T1188" s="8"/>
      <c r="U1188" s="8"/>
      <c r="V1188" s="8"/>
      <c r="W1188" s="7"/>
      <c r="X1188" s="7"/>
      <c r="Y1188" s="7"/>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row>
    <row r="1189" customHeight="1" spans="1:59">
      <c r="A1189" s="9"/>
      <c r="B1189" s="5"/>
      <c r="C1189" s="5"/>
      <c r="D1189" s="5"/>
      <c r="E1189" s="7"/>
      <c r="F1189" s="8"/>
      <c r="G1189" s="8"/>
      <c r="H1189" s="8"/>
      <c r="I1189" s="14"/>
      <c r="J1189" s="14"/>
      <c r="K1189" s="14"/>
      <c r="L1189" s="14"/>
      <c r="M1189" s="7"/>
      <c r="N1189" s="8"/>
      <c r="O1189" s="8"/>
      <c r="P1189" s="8"/>
      <c r="Q1189" s="7"/>
      <c r="R1189" s="16"/>
      <c r="S1189" s="17"/>
      <c r="T1189" s="8"/>
      <c r="U1189" s="8"/>
      <c r="V1189" s="8"/>
      <c r="W1189" s="7"/>
      <c r="X1189" s="7"/>
      <c r="Y1189" s="7"/>
      <c r="Z1189" s="7"/>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c r="AX1189" s="7"/>
      <c r="AY1189" s="7"/>
      <c r="AZ1189" s="7"/>
      <c r="BA1189" s="7"/>
      <c r="BB1189" s="7"/>
      <c r="BC1189" s="7"/>
      <c r="BD1189" s="7"/>
      <c r="BE1189" s="7"/>
      <c r="BF1189" s="7"/>
      <c r="BG1189" s="7"/>
    </row>
    <row r="1190" customHeight="1" spans="1:59">
      <c r="A1190" s="9"/>
      <c r="B1190" s="5"/>
      <c r="C1190" s="5"/>
      <c r="D1190" s="5"/>
      <c r="E1190" s="7"/>
      <c r="F1190" s="8"/>
      <c r="G1190" s="8"/>
      <c r="H1190" s="8"/>
      <c r="I1190" s="14"/>
      <c r="J1190" s="14"/>
      <c r="K1190" s="14"/>
      <c r="L1190" s="14"/>
      <c r="M1190" s="7"/>
      <c r="N1190" s="8"/>
      <c r="O1190" s="8"/>
      <c r="P1190" s="8"/>
      <c r="Q1190" s="7"/>
      <c r="R1190" s="16"/>
      <c r="S1190" s="17"/>
      <c r="T1190" s="8"/>
      <c r="U1190" s="8"/>
      <c r="V1190" s="8"/>
      <c r="W1190" s="7"/>
      <c r="X1190" s="7"/>
      <c r="Y1190" s="7"/>
      <c r="Z1190" s="7"/>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7"/>
      <c r="BD1190" s="7"/>
      <c r="BE1190" s="7"/>
      <c r="BF1190" s="7"/>
      <c r="BG1190" s="7"/>
    </row>
    <row r="1191" customHeight="1" spans="1:59">
      <c r="A1191" s="9"/>
      <c r="B1191" s="5"/>
      <c r="C1191" s="5"/>
      <c r="D1191" s="5"/>
      <c r="E1191" s="7"/>
      <c r="F1191" s="8"/>
      <c r="G1191" s="8"/>
      <c r="H1191" s="8"/>
      <c r="I1191" s="14"/>
      <c r="J1191" s="14"/>
      <c r="K1191" s="14"/>
      <c r="L1191" s="14"/>
      <c r="M1191" s="7"/>
      <c r="N1191" s="8"/>
      <c r="O1191" s="8"/>
      <c r="P1191" s="8"/>
      <c r="Q1191" s="7"/>
      <c r="R1191" s="16"/>
      <c r="S1191" s="17"/>
      <c r="T1191" s="8"/>
      <c r="U1191" s="8"/>
      <c r="V1191" s="8"/>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row>
    <row r="1192" customHeight="1" spans="1:59">
      <c r="A1192" s="9"/>
      <c r="B1192" s="5"/>
      <c r="C1192" s="5"/>
      <c r="D1192" s="5"/>
      <c r="E1192" s="7"/>
      <c r="F1192" s="8"/>
      <c r="G1192" s="8"/>
      <c r="H1192" s="8"/>
      <c r="I1192" s="14"/>
      <c r="J1192" s="14"/>
      <c r="K1192" s="14"/>
      <c r="L1192" s="14"/>
      <c r="M1192" s="7"/>
      <c r="N1192" s="8"/>
      <c r="O1192" s="8"/>
      <c r="P1192" s="8"/>
      <c r="Q1192" s="7"/>
      <c r="R1192" s="16"/>
      <c r="S1192" s="17"/>
      <c r="T1192" s="8"/>
      <c r="U1192" s="8"/>
      <c r="V1192" s="8"/>
      <c r="W1192" s="7"/>
      <c r="X1192" s="7"/>
      <c r="Y1192" s="7"/>
      <c r="Z1192" s="7"/>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7"/>
      <c r="BD1192" s="7"/>
      <c r="BE1192" s="7"/>
      <c r="BF1192" s="7"/>
      <c r="BG1192" s="7"/>
    </row>
    <row r="1193" customHeight="1" spans="1:59">
      <c r="A1193" s="9"/>
      <c r="B1193" s="5"/>
      <c r="C1193" s="5"/>
      <c r="D1193" s="5"/>
      <c r="E1193" s="7"/>
      <c r="F1193" s="8"/>
      <c r="G1193" s="8"/>
      <c r="H1193" s="8"/>
      <c r="I1193" s="14"/>
      <c r="J1193" s="14"/>
      <c r="K1193" s="14"/>
      <c r="L1193" s="14"/>
      <c r="M1193" s="7"/>
      <c r="N1193" s="8"/>
      <c r="O1193" s="8"/>
      <c r="P1193" s="8"/>
      <c r="Q1193" s="7"/>
      <c r="R1193" s="16"/>
      <c r="S1193" s="17"/>
      <c r="T1193" s="8"/>
      <c r="U1193" s="8"/>
      <c r="V1193" s="8"/>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row>
    <row r="1194" customHeight="1" spans="1:59">
      <c r="A1194" s="9"/>
      <c r="B1194" s="5"/>
      <c r="C1194" s="5"/>
      <c r="D1194" s="5"/>
      <c r="E1194" s="7"/>
      <c r="F1194" s="8"/>
      <c r="G1194" s="8"/>
      <c r="H1194" s="8"/>
      <c r="I1194" s="14"/>
      <c r="J1194" s="14"/>
      <c r="K1194" s="14"/>
      <c r="L1194" s="14"/>
      <c r="M1194" s="7"/>
      <c r="N1194" s="8"/>
      <c r="O1194" s="8"/>
      <c r="P1194" s="8"/>
      <c r="Q1194" s="7"/>
      <c r="R1194" s="16"/>
      <c r="S1194" s="17"/>
      <c r="T1194" s="8"/>
      <c r="U1194" s="8"/>
      <c r="V1194" s="8"/>
      <c r="W1194" s="7"/>
      <c r="X1194" s="7"/>
      <c r="Y1194" s="7"/>
      <c r="Z1194" s="7"/>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7"/>
      <c r="BD1194" s="7"/>
      <c r="BE1194" s="7"/>
      <c r="BF1194" s="7"/>
      <c r="BG1194" s="7"/>
    </row>
    <row r="1195" customHeight="1" spans="1:59">
      <c r="A1195" s="9"/>
      <c r="B1195" s="5"/>
      <c r="C1195" s="5"/>
      <c r="D1195" s="5"/>
      <c r="E1195" s="7"/>
      <c r="F1195" s="8"/>
      <c r="G1195" s="8"/>
      <c r="H1195" s="8"/>
      <c r="I1195" s="14"/>
      <c r="J1195" s="14"/>
      <c r="K1195" s="14"/>
      <c r="L1195" s="14"/>
      <c r="M1195" s="7"/>
      <c r="N1195" s="8"/>
      <c r="O1195" s="8"/>
      <c r="P1195" s="8"/>
      <c r="Q1195" s="7"/>
      <c r="R1195" s="16"/>
      <c r="S1195" s="17"/>
      <c r="T1195" s="8"/>
      <c r="U1195" s="8"/>
      <c r="V1195" s="8"/>
      <c r="W1195" s="7"/>
      <c r="X1195" s="7"/>
      <c r="Y1195" s="7"/>
      <c r="Z1195" s="7"/>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row>
    <row r="1196" customHeight="1" spans="1:59">
      <c r="A1196" s="9"/>
      <c r="B1196" s="5"/>
      <c r="C1196" s="5"/>
      <c r="D1196" s="5"/>
      <c r="E1196" s="7"/>
      <c r="F1196" s="8"/>
      <c r="G1196" s="8"/>
      <c r="H1196" s="8"/>
      <c r="I1196" s="14"/>
      <c r="J1196" s="14"/>
      <c r="K1196" s="14"/>
      <c r="L1196" s="14"/>
      <c r="M1196" s="7"/>
      <c r="N1196" s="8"/>
      <c r="O1196" s="8"/>
      <c r="P1196" s="8"/>
      <c r="Q1196" s="7"/>
      <c r="R1196" s="16"/>
      <c r="S1196" s="17"/>
      <c r="T1196" s="8"/>
      <c r="U1196" s="8"/>
      <c r="V1196" s="8"/>
      <c r="W1196" s="7"/>
      <c r="X1196" s="7"/>
      <c r="Y1196" s="7"/>
      <c r="Z1196" s="7"/>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7"/>
      <c r="BD1196" s="7"/>
      <c r="BE1196" s="7"/>
      <c r="BF1196" s="7"/>
      <c r="BG1196" s="7"/>
    </row>
    <row r="1197" customHeight="1" spans="1:59">
      <c r="A1197" s="9"/>
      <c r="B1197" s="5"/>
      <c r="C1197" s="5"/>
      <c r="D1197" s="5"/>
      <c r="E1197" s="7"/>
      <c r="F1197" s="8"/>
      <c r="G1197" s="8"/>
      <c r="H1197" s="8"/>
      <c r="I1197" s="14"/>
      <c r="J1197" s="14"/>
      <c r="K1197" s="14"/>
      <c r="L1197" s="14"/>
      <c r="M1197" s="7"/>
      <c r="N1197" s="8"/>
      <c r="O1197" s="8"/>
      <c r="P1197" s="8"/>
      <c r="Q1197" s="7"/>
      <c r="R1197" s="16"/>
      <c r="S1197" s="17"/>
      <c r="T1197" s="8"/>
      <c r="U1197" s="8"/>
      <c r="V1197" s="8"/>
      <c r="W1197" s="7"/>
      <c r="X1197" s="7"/>
      <c r="Y1197" s="7"/>
      <c r="Z1197" s="7"/>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c r="AX1197" s="7"/>
      <c r="AY1197" s="7"/>
      <c r="AZ1197" s="7"/>
      <c r="BA1197" s="7"/>
      <c r="BB1197" s="7"/>
      <c r="BC1197" s="7"/>
      <c r="BD1197" s="7"/>
      <c r="BE1197" s="7"/>
      <c r="BF1197" s="7"/>
      <c r="BG1197" s="7"/>
    </row>
    <row r="1198" customHeight="1" spans="1:59">
      <c r="A1198" s="9"/>
      <c r="B1198" s="5"/>
      <c r="C1198" s="5"/>
      <c r="D1198" s="5"/>
      <c r="E1198" s="7"/>
      <c r="F1198" s="8"/>
      <c r="G1198" s="8"/>
      <c r="H1198" s="8"/>
      <c r="I1198" s="14"/>
      <c r="J1198" s="14"/>
      <c r="K1198" s="14"/>
      <c r="L1198" s="14"/>
      <c r="M1198" s="7"/>
      <c r="N1198" s="8"/>
      <c r="O1198" s="8"/>
      <c r="P1198" s="8"/>
      <c r="Q1198" s="7"/>
      <c r="R1198" s="16"/>
      <c r="S1198" s="17"/>
      <c r="T1198" s="8"/>
      <c r="U1198" s="8"/>
      <c r="V1198" s="8"/>
      <c r="W1198" s="7"/>
      <c r="X1198" s="7"/>
      <c r="Y1198" s="7"/>
      <c r="Z1198" s="7"/>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7"/>
      <c r="BD1198" s="7"/>
      <c r="BE1198" s="7"/>
      <c r="BF1198" s="7"/>
      <c r="BG1198" s="7"/>
    </row>
    <row r="1199" customHeight="1" spans="1:59">
      <c r="A1199" s="9"/>
      <c r="B1199" s="5"/>
      <c r="C1199" s="5"/>
      <c r="D1199" s="5"/>
      <c r="E1199" s="7"/>
      <c r="F1199" s="8"/>
      <c r="G1199" s="8"/>
      <c r="H1199" s="8"/>
      <c r="I1199" s="14"/>
      <c r="J1199" s="14"/>
      <c r="K1199" s="14"/>
      <c r="L1199" s="14"/>
      <c r="M1199" s="7"/>
      <c r="N1199" s="8"/>
      <c r="O1199" s="8"/>
      <c r="P1199" s="8"/>
      <c r="Q1199" s="7"/>
      <c r="R1199" s="16"/>
      <c r="S1199" s="17"/>
      <c r="T1199" s="8"/>
      <c r="U1199" s="8"/>
      <c r="V1199" s="8"/>
      <c r="W1199" s="7"/>
      <c r="X1199" s="7"/>
      <c r="Y1199" s="7"/>
      <c r="Z1199" s="7"/>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7"/>
      <c r="BD1199" s="7"/>
      <c r="BE1199" s="7"/>
      <c r="BF1199" s="7"/>
      <c r="BG1199" s="7"/>
    </row>
    <row r="1200" customHeight="1" spans="1:59">
      <c r="A1200" s="9"/>
      <c r="B1200" s="5"/>
      <c r="C1200" s="5"/>
      <c r="D1200" s="5"/>
      <c r="E1200" s="7"/>
      <c r="F1200" s="8"/>
      <c r="G1200" s="8"/>
      <c r="H1200" s="8"/>
      <c r="I1200" s="14"/>
      <c r="J1200" s="14"/>
      <c r="K1200" s="14"/>
      <c r="L1200" s="14"/>
      <c r="M1200" s="7"/>
      <c r="N1200" s="8"/>
      <c r="O1200" s="8"/>
      <c r="P1200" s="8"/>
      <c r="Q1200" s="7"/>
      <c r="R1200" s="16"/>
      <c r="S1200" s="17"/>
      <c r="T1200" s="8"/>
      <c r="U1200" s="8"/>
      <c r="V1200" s="8"/>
      <c r="W1200" s="7"/>
      <c r="X1200" s="7"/>
      <c r="Y1200" s="7"/>
      <c r="Z1200" s="7"/>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7"/>
      <c r="BD1200" s="7"/>
      <c r="BE1200" s="7"/>
      <c r="BF1200" s="7"/>
      <c r="BG1200" s="7"/>
    </row>
    <row r="1201" customHeight="1" spans="1:59">
      <c r="A1201" s="9"/>
      <c r="B1201" s="5"/>
      <c r="C1201" s="5"/>
      <c r="D1201" s="5"/>
      <c r="E1201" s="7"/>
      <c r="F1201" s="8"/>
      <c r="G1201" s="8"/>
      <c r="H1201" s="8"/>
      <c r="I1201" s="14"/>
      <c r="J1201" s="14"/>
      <c r="K1201" s="14"/>
      <c r="L1201" s="14"/>
      <c r="M1201" s="7"/>
      <c r="N1201" s="8"/>
      <c r="O1201" s="8"/>
      <c r="P1201" s="8"/>
      <c r="Q1201" s="7"/>
      <c r="R1201" s="16"/>
      <c r="S1201" s="17"/>
      <c r="T1201" s="8"/>
      <c r="U1201" s="8"/>
      <c r="V1201" s="8"/>
      <c r="W1201" s="7"/>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7"/>
      <c r="BD1201" s="7"/>
      <c r="BE1201" s="7"/>
      <c r="BF1201" s="7"/>
      <c r="BG1201" s="7"/>
    </row>
    <row r="1202" customHeight="1" spans="1:59">
      <c r="A1202" s="9"/>
      <c r="B1202" s="5"/>
      <c r="C1202" s="5"/>
      <c r="D1202" s="5"/>
      <c r="E1202" s="7"/>
      <c r="F1202" s="8"/>
      <c r="G1202" s="8"/>
      <c r="H1202" s="8"/>
      <c r="I1202" s="14"/>
      <c r="J1202" s="14"/>
      <c r="K1202" s="14"/>
      <c r="L1202" s="14"/>
      <c r="M1202" s="7"/>
      <c r="N1202" s="8"/>
      <c r="O1202" s="8"/>
      <c r="P1202" s="8"/>
      <c r="Q1202" s="7"/>
      <c r="R1202" s="16"/>
      <c r="S1202" s="17"/>
      <c r="T1202" s="8"/>
      <c r="U1202" s="8"/>
      <c r="V1202" s="8"/>
      <c r="W1202" s="7"/>
      <c r="X1202" s="7"/>
      <c r="Y1202" s="7"/>
      <c r="Z1202" s="7"/>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c r="AX1202" s="7"/>
      <c r="AY1202" s="7"/>
      <c r="AZ1202" s="7"/>
      <c r="BA1202" s="7"/>
      <c r="BB1202" s="7"/>
      <c r="BC1202" s="7"/>
      <c r="BD1202" s="7"/>
      <c r="BE1202" s="7"/>
      <c r="BF1202" s="7"/>
      <c r="BG1202" s="7"/>
    </row>
    <row r="1203" customHeight="1" spans="1:59">
      <c r="A1203" s="9"/>
      <c r="B1203" s="5"/>
      <c r="C1203" s="5"/>
      <c r="D1203" s="5"/>
      <c r="E1203" s="7"/>
      <c r="F1203" s="8"/>
      <c r="G1203" s="8"/>
      <c r="H1203" s="8"/>
      <c r="I1203" s="14"/>
      <c r="J1203" s="14"/>
      <c r="K1203" s="14"/>
      <c r="L1203" s="14"/>
      <c r="M1203" s="7"/>
      <c r="N1203" s="8"/>
      <c r="O1203" s="8"/>
      <c r="P1203" s="8"/>
      <c r="Q1203" s="7"/>
      <c r="R1203" s="16"/>
      <c r="S1203" s="17"/>
      <c r="T1203" s="8"/>
      <c r="U1203" s="8"/>
      <c r="V1203" s="8"/>
      <c r="W1203" s="7"/>
      <c r="X1203" s="7"/>
      <c r="Y1203" s="7"/>
      <c r="Z1203" s="7"/>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c r="AX1203" s="7"/>
      <c r="AY1203" s="7"/>
      <c r="AZ1203" s="7"/>
      <c r="BA1203" s="7"/>
      <c r="BB1203" s="7"/>
      <c r="BC1203" s="7"/>
      <c r="BD1203" s="7"/>
      <c r="BE1203" s="7"/>
      <c r="BF1203" s="7"/>
      <c r="BG1203" s="7"/>
    </row>
    <row r="1204" customHeight="1" spans="1:59">
      <c r="A1204" s="9"/>
      <c r="B1204" s="5"/>
      <c r="C1204" s="5"/>
      <c r="D1204" s="5"/>
      <c r="E1204" s="7"/>
      <c r="F1204" s="8"/>
      <c r="G1204" s="8"/>
      <c r="H1204" s="8"/>
      <c r="I1204" s="14"/>
      <c r="J1204" s="14"/>
      <c r="K1204" s="14"/>
      <c r="L1204" s="14"/>
      <c r="M1204" s="7"/>
      <c r="N1204" s="8"/>
      <c r="O1204" s="8"/>
      <c r="P1204" s="8"/>
      <c r="Q1204" s="7"/>
      <c r="R1204" s="16"/>
      <c r="S1204" s="17"/>
      <c r="T1204" s="8"/>
      <c r="U1204" s="8"/>
      <c r="V1204" s="8"/>
      <c r="W1204" s="7"/>
      <c r="X1204" s="7"/>
      <c r="Y1204" s="7"/>
      <c r="Z1204" s="7"/>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c r="AX1204" s="7"/>
      <c r="AY1204" s="7"/>
      <c r="AZ1204" s="7"/>
      <c r="BA1204" s="7"/>
      <c r="BB1204" s="7"/>
      <c r="BC1204" s="7"/>
      <c r="BD1204" s="7"/>
      <c r="BE1204" s="7"/>
      <c r="BF1204" s="7"/>
      <c r="BG1204" s="7"/>
    </row>
    <row r="1205" customHeight="1" spans="1:59">
      <c r="A1205" s="9"/>
      <c r="B1205" s="5"/>
      <c r="C1205" s="5"/>
      <c r="D1205" s="5"/>
      <c r="E1205" s="7"/>
      <c r="F1205" s="8"/>
      <c r="G1205" s="8"/>
      <c r="H1205" s="8"/>
      <c r="I1205" s="14"/>
      <c r="J1205" s="14"/>
      <c r="K1205" s="14"/>
      <c r="L1205" s="14"/>
      <c r="M1205" s="7"/>
      <c r="N1205" s="8"/>
      <c r="O1205" s="8"/>
      <c r="P1205" s="8"/>
      <c r="Q1205" s="7"/>
      <c r="R1205" s="16"/>
      <c r="S1205" s="17"/>
      <c r="T1205" s="8"/>
      <c r="U1205" s="8"/>
      <c r="V1205" s="8"/>
      <c r="W1205" s="7"/>
      <c r="X1205" s="7"/>
      <c r="Y1205" s="7"/>
      <c r="Z1205" s="7"/>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c r="AX1205" s="7"/>
      <c r="AY1205" s="7"/>
      <c r="AZ1205" s="7"/>
      <c r="BA1205" s="7"/>
      <c r="BB1205" s="7"/>
      <c r="BC1205" s="7"/>
      <c r="BD1205" s="7"/>
      <c r="BE1205" s="7"/>
      <c r="BF1205" s="7"/>
      <c r="BG1205" s="7"/>
    </row>
    <row r="1206" customHeight="1" spans="1:59">
      <c r="A1206" s="9"/>
      <c r="B1206" s="5"/>
      <c r="C1206" s="5"/>
      <c r="D1206" s="5"/>
      <c r="E1206" s="7"/>
      <c r="F1206" s="8"/>
      <c r="G1206" s="8"/>
      <c r="H1206" s="8"/>
      <c r="I1206" s="14"/>
      <c r="J1206" s="14"/>
      <c r="K1206" s="14"/>
      <c r="L1206" s="14"/>
      <c r="M1206" s="7"/>
      <c r="N1206" s="8"/>
      <c r="O1206" s="8"/>
      <c r="P1206" s="8"/>
      <c r="Q1206" s="7"/>
      <c r="R1206" s="16"/>
      <c r="S1206" s="17"/>
      <c r="T1206" s="8"/>
      <c r="U1206" s="8"/>
      <c r="V1206" s="8"/>
      <c r="W1206" s="7"/>
      <c r="X1206" s="7"/>
      <c r="Y1206" s="7"/>
      <c r="Z1206" s="7"/>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c r="AX1206" s="7"/>
      <c r="AY1206" s="7"/>
      <c r="AZ1206" s="7"/>
      <c r="BA1206" s="7"/>
      <c r="BB1206" s="7"/>
      <c r="BC1206" s="7"/>
      <c r="BD1206" s="7"/>
      <c r="BE1206" s="7"/>
      <c r="BF1206" s="7"/>
      <c r="BG1206" s="7"/>
    </row>
    <row r="1207" customHeight="1" spans="1:59">
      <c r="A1207" s="9"/>
      <c r="B1207" s="5"/>
      <c r="C1207" s="5"/>
      <c r="D1207" s="5"/>
      <c r="E1207" s="7"/>
      <c r="F1207" s="8"/>
      <c r="G1207" s="8"/>
      <c r="H1207" s="8"/>
      <c r="I1207" s="14"/>
      <c r="J1207" s="14"/>
      <c r="K1207" s="14"/>
      <c r="L1207" s="14"/>
      <c r="M1207" s="7"/>
      <c r="N1207" s="8"/>
      <c r="O1207" s="8"/>
      <c r="P1207" s="8"/>
      <c r="Q1207" s="7"/>
      <c r="R1207" s="16"/>
      <c r="S1207" s="17"/>
      <c r="T1207" s="8"/>
      <c r="U1207" s="8"/>
      <c r="V1207" s="8"/>
      <c r="W1207" s="7"/>
      <c r="X1207" s="7"/>
      <c r="Y1207" s="7"/>
      <c r="Z1207" s="7"/>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c r="AX1207" s="7"/>
      <c r="AY1207" s="7"/>
      <c r="AZ1207" s="7"/>
      <c r="BA1207" s="7"/>
      <c r="BB1207" s="7"/>
      <c r="BC1207" s="7"/>
      <c r="BD1207" s="7"/>
      <c r="BE1207" s="7"/>
      <c r="BF1207" s="7"/>
      <c r="BG1207" s="7"/>
    </row>
    <row r="1208" customHeight="1" spans="1:59">
      <c r="A1208" s="9"/>
      <c r="B1208" s="5"/>
      <c r="C1208" s="5"/>
      <c r="D1208" s="5"/>
      <c r="E1208" s="7"/>
      <c r="F1208" s="8"/>
      <c r="G1208" s="8"/>
      <c r="H1208" s="8"/>
      <c r="I1208" s="14"/>
      <c r="J1208" s="14"/>
      <c r="K1208" s="14"/>
      <c r="L1208" s="14"/>
      <c r="M1208" s="7"/>
      <c r="N1208" s="8"/>
      <c r="O1208" s="8"/>
      <c r="P1208" s="8"/>
      <c r="Q1208" s="7"/>
      <c r="R1208" s="16"/>
      <c r="S1208" s="17"/>
      <c r="T1208" s="8"/>
      <c r="U1208" s="8"/>
      <c r="V1208" s="8"/>
      <c r="W1208" s="7"/>
      <c r="X1208" s="7"/>
      <c r="Y1208" s="7"/>
      <c r="Z1208" s="7"/>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7"/>
      <c r="BD1208" s="7"/>
      <c r="BE1208" s="7"/>
      <c r="BF1208" s="7"/>
      <c r="BG1208" s="7"/>
    </row>
    <row r="1209" customHeight="1" spans="1:59">
      <c r="A1209" s="9"/>
      <c r="B1209" s="5"/>
      <c r="C1209" s="5"/>
      <c r="D1209" s="5"/>
      <c r="E1209" s="7"/>
      <c r="F1209" s="8"/>
      <c r="G1209" s="8"/>
      <c r="H1209" s="8"/>
      <c r="I1209" s="14"/>
      <c r="J1209" s="14"/>
      <c r="K1209" s="14"/>
      <c r="L1209" s="14"/>
      <c r="M1209" s="7"/>
      <c r="N1209" s="8"/>
      <c r="O1209" s="8"/>
      <c r="P1209" s="8"/>
      <c r="Q1209" s="7"/>
      <c r="R1209" s="16"/>
      <c r="S1209" s="17"/>
      <c r="T1209" s="8"/>
      <c r="U1209" s="8"/>
      <c r="V1209" s="8"/>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row>
    <row r="1210" customHeight="1" spans="1:59">
      <c r="A1210" s="9"/>
      <c r="B1210" s="5"/>
      <c r="C1210" s="5"/>
      <c r="D1210" s="5"/>
      <c r="E1210" s="7"/>
      <c r="F1210" s="8"/>
      <c r="G1210" s="8"/>
      <c r="H1210" s="8"/>
      <c r="I1210" s="14"/>
      <c r="J1210" s="14"/>
      <c r="K1210" s="14"/>
      <c r="L1210" s="14"/>
      <c r="M1210" s="7"/>
      <c r="N1210" s="8"/>
      <c r="O1210" s="8"/>
      <c r="P1210" s="8"/>
      <c r="Q1210" s="7"/>
      <c r="R1210" s="16"/>
      <c r="S1210" s="17"/>
      <c r="T1210" s="8"/>
      <c r="U1210" s="8"/>
      <c r="V1210" s="8"/>
      <c r="W1210" s="7"/>
      <c r="X1210" s="7"/>
      <c r="Y1210" s="7"/>
      <c r="Z1210" s="7"/>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c r="AX1210" s="7"/>
      <c r="AY1210" s="7"/>
      <c r="AZ1210" s="7"/>
      <c r="BA1210" s="7"/>
      <c r="BB1210" s="7"/>
      <c r="BC1210" s="7"/>
      <c r="BD1210" s="7"/>
      <c r="BE1210" s="7"/>
      <c r="BF1210" s="7"/>
      <c r="BG1210" s="7"/>
    </row>
    <row r="1211" customHeight="1" spans="1:59">
      <c r="A1211" s="9"/>
      <c r="B1211" s="5"/>
      <c r="C1211" s="5"/>
      <c r="D1211" s="5"/>
      <c r="E1211" s="7"/>
      <c r="F1211" s="8"/>
      <c r="G1211" s="8"/>
      <c r="H1211" s="8"/>
      <c r="I1211" s="14"/>
      <c r="J1211" s="14"/>
      <c r="K1211" s="14"/>
      <c r="L1211" s="14"/>
      <c r="M1211" s="7"/>
      <c r="N1211" s="8"/>
      <c r="O1211" s="8"/>
      <c r="P1211" s="8"/>
      <c r="Q1211" s="7"/>
      <c r="R1211" s="16"/>
      <c r="S1211" s="17"/>
      <c r="T1211" s="8"/>
      <c r="U1211" s="8"/>
      <c r="V1211" s="8"/>
      <c r="W1211" s="7"/>
      <c r="X1211" s="7"/>
      <c r="Y1211" s="7"/>
      <c r="Z1211" s="7"/>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7"/>
      <c r="BD1211" s="7"/>
      <c r="BE1211" s="7"/>
      <c r="BF1211" s="7"/>
      <c r="BG1211" s="7"/>
    </row>
    <row r="1212" customHeight="1" spans="1:59">
      <c r="A1212" s="9"/>
      <c r="B1212" s="5"/>
      <c r="C1212" s="5"/>
      <c r="D1212" s="5"/>
      <c r="E1212" s="7"/>
      <c r="F1212" s="8"/>
      <c r="G1212" s="8"/>
      <c r="H1212" s="8"/>
      <c r="I1212" s="14"/>
      <c r="J1212" s="14"/>
      <c r="K1212" s="14"/>
      <c r="L1212" s="14"/>
      <c r="M1212" s="7"/>
      <c r="N1212" s="8"/>
      <c r="O1212" s="8"/>
      <c r="P1212" s="8"/>
      <c r="Q1212" s="7"/>
      <c r="R1212" s="16"/>
      <c r="S1212" s="17"/>
      <c r="T1212" s="8"/>
      <c r="U1212" s="8"/>
      <c r="V1212" s="8"/>
      <c r="W1212" s="7"/>
      <c r="X1212" s="7"/>
      <c r="Y1212" s="7"/>
      <c r="Z1212" s="7"/>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7"/>
      <c r="BD1212" s="7"/>
      <c r="BE1212" s="7"/>
      <c r="BF1212" s="7"/>
      <c r="BG1212" s="7"/>
    </row>
    <row r="1213" customHeight="1" spans="1:59">
      <c r="A1213" s="9"/>
      <c r="B1213" s="5"/>
      <c r="C1213" s="5"/>
      <c r="D1213" s="5"/>
      <c r="E1213" s="7"/>
      <c r="F1213" s="8"/>
      <c r="G1213" s="8"/>
      <c r="H1213" s="8"/>
      <c r="I1213" s="14"/>
      <c r="J1213" s="14"/>
      <c r="K1213" s="14"/>
      <c r="L1213" s="14"/>
      <c r="M1213" s="7"/>
      <c r="N1213" s="8"/>
      <c r="O1213" s="8"/>
      <c r="P1213" s="8"/>
      <c r="Q1213" s="7"/>
      <c r="R1213" s="16"/>
      <c r="S1213" s="17"/>
      <c r="T1213" s="8"/>
      <c r="U1213" s="8"/>
      <c r="V1213" s="8"/>
      <c r="W1213" s="7"/>
      <c r="X1213" s="7"/>
      <c r="Y1213" s="7"/>
      <c r="Z1213" s="7"/>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c r="AX1213" s="7"/>
      <c r="AY1213" s="7"/>
      <c r="AZ1213" s="7"/>
      <c r="BA1213" s="7"/>
      <c r="BB1213" s="7"/>
      <c r="BC1213" s="7"/>
      <c r="BD1213" s="7"/>
      <c r="BE1213" s="7"/>
      <c r="BF1213" s="7"/>
      <c r="BG1213" s="7"/>
    </row>
    <row r="1214" customHeight="1" spans="1:59">
      <c r="A1214" s="9"/>
      <c r="B1214" s="5"/>
      <c r="C1214" s="5"/>
      <c r="D1214" s="5"/>
      <c r="E1214" s="7"/>
      <c r="F1214" s="8"/>
      <c r="G1214" s="8"/>
      <c r="H1214" s="8"/>
      <c r="I1214" s="14"/>
      <c r="J1214" s="14"/>
      <c r="K1214" s="14"/>
      <c r="L1214" s="14"/>
      <c r="M1214" s="7"/>
      <c r="N1214" s="8"/>
      <c r="O1214" s="8"/>
      <c r="P1214" s="8"/>
      <c r="Q1214" s="7"/>
      <c r="R1214" s="16"/>
      <c r="S1214" s="17"/>
      <c r="T1214" s="8"/>
      <c r="U1214" s="8"/>
      <c r="V1214" s="8"/>
      <c r="W1214" s="7"/>
      <c r="X1214" s="7"/>
      <c r="Y1214" s="7"/>
      <c r="Z1214" s="7"/>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c r="AX1214" s="7"/>
      <c r="AY1214" s="7"/>
      <c r="AZ1214" s="7"/>
      <c r="BA1214" s="7"/>
      <c r="BB1214" s="7"/>
      <c r="BC1214" s="7"/>
      <c r="BD1214" s="7"/>
      <c r="BE1214" s="7"/>
      <c r="BF1214" s="7"/>
      <c r="BG1214" s="7"/>
    </row>
    <row r="1215" customHeight="1" spans="1:59">
      <c r="A1215" s="9"/>
      <c r="B1215" s="5"/>
      <c r="C1215" s="5"/>
      <c r="D1215" s="5"/>
      <c r="E1215" s="7"/>
      <c r="F1215" s="8"/>
      <c r="G1215" s="8"/>
      <c r="H1215" s="8"/>
      <c r="I1215" s="14"/>
      <c r="J1215" s="14"/>
      <c r="K1215" s="14"/>
      <c r="L1215" s="14"/>
      <c r="M1215" s="7"/>
      <c r="N1215" s="8"/>
      <c r="O1215" s="8"/>
      <c r="P1215" s="8"/>
      <c r="Q1215" s="7"/>
      <c r="R1215" s="16"/>
      <c r="S1215" s="17"/>
      <c r="T1215" s="8"/>
      <c r="U1215" s="8"/>
      <c r="V1215" s="8"/>
      <c r="W1215" s="7"/>
      <c r="X1215" s="7"/>
      <c r="Y1215" s="7"/>
      <c r="Z1215" s="7"/>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c r="AX1215" s="7"/>
      <c r="AY1215" s="7"/>
      <c r="AZ1215" s="7"/>
      <c r="BA1215" s="7"/>
      <c r="BB1215" s="7"/>
      <c r="BC1215" s="7"/>
      <c r="BD1215" s="7"/>
      <c r="BE1215" s="7"/>
      <c r="BF1215" s="7"/>
      <c r="BG1215" s="7"/>
    </row>
    <row r="1216" customHeight="1" spans="1:59">
      <c r="A1216" s="9"/>
      <c r="B1216" s="5"/>
      <c r="C1216" s="5"/>
      <c r="D1216" s="5"/>
      <c r="E1216" s="7"/>
      <c r="F1216" s="8"/>
      <c r="G1216" s="8"/>
      <c r="H1216" s="8"/>
      <c r="I1216" s="14"/>
      <c r="J1216" s="14"/>
      <c r="K1216" s="14"/>
      <c r="L1216" s="14"/>
      <c r="M1216" s="7"/>
      <c r="N1216" s="8"/>
      <c r="O1216" s="8"/>
      <c r="P1216" s="8"/>
      <c r="Q1216" s="7"/>
      <c r="R1216" s="16"/>
      <c r="S1216" s="17"/>
      <c r="T1216" s="8"/>
      <c r="U1216" s="8"/>
      <c r="V1216" s="8"/>
      <c r="W1216" s="7"/>
      <c r="X1216" s="7"/>
      <c r="Y1216" s="7"/>
      <c r="Z1216" s="7"/>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7"/>
      <c r="BD1216" s="7"/>
      <c r="BE1216" s="7"/>
      <c r="BF1216" s="7"/>
      <c r="BG1216" s="7"/>
    </row>
    <row r="1217" customHeight="1" spans="1:59">
      <c r="A1217" s="9"/>
      <c r="B1217" s="5"/>
      <c r="C1217" s="5"/>
      <c r="D1217" s="5"/>
      <c r="E1217" s="7"/>
      <c r="F1217" s="8"/>
      <c r="G1217" s="8"/>
      <c r="H1217" s="8"/>
      <c r="I1217" s="14"/>
      <c r="J1217" s="14"/>
      <c r="K1217" s="14"/>
      <c r="L1217" s="14"/>
      <c r="M1217" s="7"/>
      <c r="N1217" s="8"/>
      <c r="O1217" s="8"/>
      <c r="P1217" s="8"/>
      <c r="Q1217" s="7"/>
      <c r="R1217" s="16"/>
      <c r="S1217" s="17"/>
      <c r="T1217" s="8"/>
      <c r="U1217" s="8"/>
      <c r="V1217" s="8"/>
      <c r="W1217" s="7"/>
      <c r="X1217" s="7"/>
      <c r="Y1217" s="7"/>
      <c r="Z1217" s="7"/>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c r="AX1217" s="7"/>
      <c r="AY1217" s="7"/>
      <c r="AZ1217" s="7"/>
      <c r="BA1217" s="7"/>
      <c r="BB1217" s="7"/>
      <c r="BC1217" s="7"/>
      <c r="BD1217" s="7"/>
      <c r="BE1217" s="7"/>
      <c r="BF1217" s="7"/>
      <c r="BG1217" s="7"/>
    </row>
    <row r="1218" customHeight="1" spans="1:59">
      <c r="A1218" s="9"/>
      <c r="B1218" s="5"/>
      <c r="C1218" s="5"/>
      <c r="D1218" s="5"/>
      <c r="E1218" s="7"/>
      <c r="F1218" s="8"/>
      <c r="G1218" s="8"/>
      <c r="H1218" s="8"/>
      <c r="I1218" s="14"/>
      <c r="J1218" s="14"/>
      <c r="K1218" s="14"/>
      <c r="L1218" s="14"/>
      <c r="M1218" s="7"/>
      <c r="N1218" s="8"/>
      <c r="O1218" s="8"/>
      <c r="P1218" s="8"/>
      <c r="Q1218" s="7"/>
      <c r="R1218" s="16"/>
      <c r="S1218" s="17"/>
      <c r="T1218" s="8"/>
      <c r="U1218" s="8"/>
      <c r="V1218" s="8"/>
      <c r="W1218" s="7"/>
      <c r="X1218" s="7"/>
      <c r="Y1218" s="7"/>
      <c r="Z1218" s="7"/>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7"/>
      <c r="BD1218" s="7"/>
      <c r="BE1218" s="7"/>
      <c r="BF1218" s="7"/>
      <c r="BG1218" s="7"/>
    </row>
    <row r="1219" customHeight="1" spans="1:59">
      <c r="A1219" s="9"/>
      <c r="B1219" s="5"/>
      <c r="C1219" s="5"/>
      <c r="D1219" s="5"/>
      <c r="E1219" s="7"/>
      <c r="F1219" s="8"/>
      <c r="G1219" s="8"/>
      <c r="H1219" s="8"/>
      <c r="I1219" s="14"/>
      <c r="J1219" s="14"/>
      <c r="K1219" s="14"/>
      <c r="L1219" s="14"/>
      <c r="M1219" s="7"/>
      <c r="N1219" s="8"/>
      <c r="O1219" s="8"/>
      <c r="P1219" s="8"/>
      <c r="Q1219" s="7"/>
      <c r="R1219" s="16"/>
      <c r="S1219" s="17"/>
      <c r="T1219" s="8"/>
      <c r="U1219" s="8"/>
      <c r="V1219" s="8"/>
      <c r="W1219" s="7"/>
      <c r="X1219" s="7"/>
      <c r="Y1219" s="7"/>
      <c r="Z1219" s="7"/>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7"/>
      <c r="BD1219" s="7"/>
      <c r="BE1219" s="7"/>
      <c r="BF1219" s="7"/>
      <c r="BG1219" s="7"/>
    </row>
    <row r="1220" customHeight="1" spans="1:59">
      <c r="A1220" s="9"/>
      <c r="B1220" s="5"/>
      <c r="C1220" s="5"/>
      <c r="D1220" s="5"/>
      <c r="E1220" s="7"/>
      <c r="F1220" s="8"/>
      <c r="G1220" s="8"/>
      <c r="H1220" s="8"/>
      <c r="I1220" s="14"/>
      <c r="J1220" s="14"/>
      <c r="K1220" s="14"/>
      <c r="L1220" s="14"/>
      <c r="M1220" s="7"/>
      <c r="N1220" s="8"/>
      <c r="O1220" s="8"/>
      <c r="P1220" s="8"/>
      <c r="Q1220" s="7"/>
      <c r="R1220" s="16"/>
      <c r="S1220" s="17"/>
      <c r="T1220" s="8"/>
      <c r="U1220" s="8"/>
      <c r="V1220" s="8"/>
      <c r="W1220" s="7"/>
      <c r="X1220" s="7"/>
      <c r="Y1220" s="7"/>
      <c r="Z1220" s="7"/>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7"/>
      <c r="BD1220" s="7"/>
      <c r="BE1220" s="7"/>
      <c r="BF1220" s="7"/>
      <c r="BG1220" s="7"/>
    </row>
    <row r="1221" customHeight="1" spans="1:59">
      <c r="A1221" s="9"/>
      <c r="B1221" s="5"/>
      <c r="C1221" s="5"/>
      <c r="D1221" s="5"/>
      <c r="E1221" s="7"/>
      <c r="F1221" s="8"/>
      <c r="G1221" s="8"/>
      <c r="H1221" s="8"/>
      <c r="I1221" s="14"/>
      <c r="J1221" s="14"/>
      <c r="K1221" s="14"/>
      <c r="L1221" s="14"/>
      <c r="M1221" s="7"/>
      <c r="N1221" s="8"/>
      <c r="O1221" s="8"/>
      <c r="P1221" s="8"/>
      <c r="Q1221" s="7"/>
      <c r="R1221" s="16"/>
      <c r="S1221" s="17"/>
      <c r="T1221" s="8"/>
      <c r="U1221" s="8"/>
      <c r="V1221" s="8"/>
      <c r="W1221" s="7"/>
      <c r="X1221" s="7"/>
      <c r="Y1221" s="7"/>
      <c r="Z1221" s="7"/>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7"/>
      <c r="BD1221" s="7"/>
      <c r="BE1221" s="7"/>
      <c r="BF1221" s="7"/>
      <c r="BG1221" s="7"/>
    </row>
    <row r="1222" customHeight="1" spans="1:59">
      <c r="A1222" s="9"/>
      <c r="B1222" s="5"/>
      <c r="C1222" s="5"/>
      <c r="D1222" s="5"/>
      <c r="E1222" s="7"/>
      <c r="F1222" s="8"/>
      <c r="G1222" s="8"/>
      <c r="H1222" s="8"/>
      <c r="I1222" s="14"/>
      <c r="J1222" s="14"/>
      <c r="K1222" s="14"/>
      <c r="L1222" s="14"/>
      <c r="M1222" s="7"/>
      <c r="N1222" s="8"/>
      <c r="O1222" s="8"/>
      <c r="P1222" s="8"/>
      <c r="Q1222" s="7"/>
      <c r="R1222" s="16"/>
      <c r="S1222" s="17"/>
      <c r="T1222" s="8"/>
      <c r="U1222" s="8"/>
      <c r="V1222" s="8"/>
      <c r="W1222" s="7"/>
      <c r="X1222" s="7"/>
      <c r="Y1222" s="7"/>
      <c r="Z1222" s="7"/>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c r="AX1222" s="7"/>
      <c r="AY1222" s="7"/>
      <c r="AZ1222" s="7"/>
      <c r="BA1222" s="7"/>
      <c r="BB1222" s="7"/>
      <c r="BC1222" s="7"/>
      <c r="BD1222" s="7"/>
      <c r="BE1222" s="7"/>
      <c r="BF1222" s="7"/>
      <c r="BG1222" s="7"/>
    </row>
    <row r="1223" customHeight="1" spans="1:59">
      <c r="A1223" s="9"/>
      <c r="B1223" s="5"/>
      <c r="C1223" s="5"/>
      <c r="D1223" s="5"/>
      <c r="E1223" s="7"/>
      <c r="F1223" s="8"/>
      <c r="G1223" s="8"/>
      <c r="H1223" s="8"/>
      <c r="I1223" s="14"/>
      <c r="J1223" s="14"/>
      <c r="K1223" s="14"/>
      <c r="L1223" s="14"/>
      <c r="M1223" s="7"/>
      <c r="N1223" s="8"/>
      <c r="O1223" s="8"/>
      <c r="P1223" s="8"/>
      <c r="Q1223" s="7"/>
      <c r="R1223" s="16"/>
      <c r="S1223" s="17"/>
      <c r="T1223" s="8"/>
      <c r="U1223" s="8"/>
      <c r="V1223" s="8"/>
      <c r="W1223" s="7"/>
      <c r="X1223" s="7"/>
      <c r="Y1223" s="7"/>
      <c r="Z1223" s="7"/>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7"/>
      <c r="BD1223" s="7"/>
      <c r="BE1223" s="7"/>
      <c r="BF1223" s="7"/>
      <c r="BG1223" s="7"/>
    </row>
    <row r="1224" customHeight="1" spans="1:59">
      <c r="A1224" s="9"/>
      <c r="B1224" s="5"/>
      <c r="C1224" s="5"/>
      <c r="D1224" s="5"/>
      <c r="E1224" s="7"/>
      <c r="F1224" s="8"/>
      <c r="G1224" s="8"/>
      <c r="H1224" s="8"/>
      <c r="I1224" s="14"/>
      <c r="J1224" s="14"/>
      <c r="K1224" s="14"/>
      <c r="L1224" s="14"/>
      <c r="M1224" s="7"/>
      <c r="N1224" s="8"/>
      <c r="O1224" s="8"/>
      <c r="P1224" s="8"/>
      <c r="Q1224" s="7"/>
      <c r="R1224" s="16"/>
      <c r="S1224" s="17"/>
      <c r="T1224" s="8"/>
      <c r="U1224" s="8"/>
      <c r="V1224" s="8"/>
      <c r="W1224" s="7"/>
      <c r="X1224" s="7"/>
      <c r="Y1224" s="7"/>
      <c r="Z1224" s="7"/>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c r="AX1224" s="7"/>
      <c r="AY1224" s="7"/>
      <c r="AZ1224" s="7"/>
      <c r="BA1224" s="7"/>
      <c r="BB1224" s="7"/>
      <c r="BC1224" s="7"/>
      <c r="BD1224" s="7"/>
      <c r="BE1224" s="7"/>
      <c r="BF1224" s="7"/>
      <c r="BG1224" s="7"/>
    </row>
    <row r="1225" customHeight="1" spans="1:59">
      <c r="A1225" s="9"/>
      <c r="B1225" s="5"/>
      <c r="C1225" s="5"/>
      <c r="D1225" s="5"/>
      <c r="E1225" s="7"/>
      <c r="F1225" s="8"/>
      <c r="G1225" s="8"/>
      <c r="H1225" s="8"/>
      <c r="I1225" s="14"/>
      <c r="J1225" s="14"/>
      <c r="K1225" s="14"/>
      <c r="L1225" s="14"/>
      <c r="M1225" s="7"/>
      <c r="N1225" s="8"/>
      <c r="O1225" s="8"/>
      <c r="P1225" s="8"/>
      <c r="Q1225" s="7"/>
      <c r="R1225" s="16"/>
      <c r="S1225" s="17"/>
      <c r="T1225" s="8"/>
      <c r="U1225" s="8"/>
      <c r="V1225" s="8"/>
      <c r="W1225" s="7"/>
      <c r="X1225" s="7"/>
      <c r="Y1225" s="7"/>
      <c r="Z1225" s="7"/>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c r="AX1225" s="7"/>
      <c r="AY1225" s="7"/>
      <c r="AZ1225" s="7"/>
      <c r="BA1225" s="7"/>
      <c r="BB1225" s="7"/>
      <c r="BC1225" s="7"/>
      <c r="BD1225" s="7"/>
      <c r="BE1225" s="7"/>
      <c r="BF1225" s="7"/>
      <c r="BG1225" s="7"/>
    </row>
    <row r="1226" customHeight="1" spans="1:59">
      <c r="A1226" s="9"/>
      <c r="B1226" s="5"/>
      <c r="C1226" s="5"/>
      <c r="D1226" s="5"/>
      <c r="E1226" s="7"/>
      <c r="F1226" s="8"/>
      <c r="G1226" s="8"/>
      <c r="H1226" s="8"/>
      <c r="I1226" s="14"/>
      <c r="J1226" s="14"/>
      <c r="K1226" s="14"/>
      <c r="L1226" s="14"/>
      <c r="M1226" s="7"/>
      <c r="N1226" s="8"/>
      <c r="O1226" s="8"/>
      <c r="P1226" s="8"/>
      <c r="Q1226" s="7"/>
      <c r="R1226" s="16"/>
      <c r="S1226" s="17"/>
      <c r="T1226" s="8"/>
      <c r="U1226" s="8"/>
      <c r="V1226" s="8"/>
      <c r="W1226" s="7"/>
      <c r="X1226" s="7"/>
      <c r="Y1226" s="7"/>
      <c r="Z1226" s="7"/>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c r="AX1226" s="7"/>
      <c r="AY1226" s="7"/>
      <c r="AZ1226" s="7"/>
      <c r="BA1226" s="7"/>
      <c r="BB1226" s="7"/>
      <c r="BC1226" s="7"/>
      <c r="BD1226" s="7"/>
      <c r="BE1226" s="7"/>
      <c r="BF1226" s="7"/>
      <c r="BG1226" s="7"/>
    </row>
    <row r="1227" customHeight="1" spans="1:59">
      <c r="A1227" s="9"/>
      <c r="B1227" s="5"/>
      <c r="C1227" s="5"/>
      <c r="D1227" s="5"/>
      <c r="E1227" s="7"/>
      <c r="F1227" s="8"/>
      <c r="G1227" s="8"/>
      <c r="H1227" s="8"/>
      <c r="I1227" s="14"/>
      <c r="J1227" s="14"/>
      <c r="K1227" s="14"/>
      <c r="L1227" s="14"/>
      <c r="M1227" s="7"/>
      <c r="N1227" s="8"/>
      <c r="O1227" s="8"/>
      <c r="P1227" s="8"/>
      <c r="Q1227" s="7"/>
      <c r="R1227" s="16"/>
      <c r="S1227" s="17"/>
      <c r="T1227" s="8"/>
      <c r="U1227" s="8"/>
      <c r="V1227" s="8"/>
      <c r="W1227" s="7"/>
      <c r="X1227" s="7"/>
      <c r="Y1227" s="7"/>
      <c r="Z1227" s="7"/>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c r="AX1227" s="7"/>
      <c r="AY1227" s="7"/>
      <c r="AZ1227" s="7"/>
      <c r="BA1227" s="7"/>
      <c r="BB1227" s="7"/>
      <c r="BC1227" s="7"/>
      <c r="BD1227" s="7"/>
      <c r="BE1227" s="7"/>
      <c r="BF1227" s="7"/>
      <c r="BG1227" s="7"/>
    </row>
    <row r="1228" customHeight="1" spans="1:59">
      <c r="A1228" s="9"/>
      <c r="B1228" s="5"/>
      <c r="C1228" s="5"/>
      <c r="D1228" s="5"/>
      <c r="E1228" s="7"/>
      <c r="F1228" s="8"/>
      <c r="G1228" s="8"/>
      <c r="H1228" s="8"/>
      <c r="I1228" s="14"/>
      <c r="J1228" s="14"/>
      <c r="K1228" s="14"/>
      <c r="L1228" s="14"/>
      <c r="M1228" s="7"/>
      <c r="N1228" s="8"/>
      <c r="O1228" s="8"/>
      <c r="P1228" s="8"/>
      <c r="Q1228" s="7"/>
      <c r="R1228" s="16"/>
      <c r="S1228" s="17"/>
      <c r="T1228" s="8"/>
      <c r="U1228" s="8"/>
      <c r="V1228" s="8"/>
      <c r="W1228" s="7"/>
      <c r="X1228" s="7"/>
      <c r="Y1228" s="7"/>
      <c r="Z1228" s="7"/>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c r="AX1228" s="7"/>
      <c r="AY1228" s="7"/>
      <c r="AZ1228" s="7"/>
      <c r="BA1228" s="7"/>
      <c r="BB1228" s="7"/>
      <c r="BC1228" s="7"/>
      <c r="BD1228" s="7"/>
      <c r="BE1228" s="7"/>
      <c r="BF1228" s="7"/>
      <c r="BG1228" s="7"/>
    </row>
    <row r="1229" customHeight="1" spans="1:59">
      <c r="A1229" s="9"/>
      <c r="B1229" s="5"/>
      <c r="C1229" s="5"/>
      <c r="D1229" s="5"/>
      <c r="E1229" s="7"/>
      <c r="F1229" s="8"/>
      <c r="G1229" s="8"/>
      <c r="H1229" s="8"/>
      <c r="I1229" s="14"/>
      <c r="J1229" s="14"/>
      <c r="K1229" s="14"/>
      <c r="L1229" s="14"/>
      <c r="M1229" s="7"/>
      <c r="N1229" s="8"/>
      <c r="O1229" s="8"/>
      <c r="P1229" s="8"/>
      <c r="Q1229" s="7"/>
      <c r="R1229" s="16"/>
      <c r="S1229" s="17"/>
      <c r="T1229" s="8"/>
      <c r="U1229" s="8"/>
      <c r="V1229" s="8"/>
      <c r="W1229" s="7"/>
      <c r="X1229" s="7"/>
      <c r="Y1229" s="7"/>
      <c r="Z1229" s="7"/>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c r="AX1229" s="7"/>
      <c r="AY1229" s="7"/>
      <c r="AZ1229" s="7"/>
      <c r="BA1229" s="7"/>
      <c r="BB1229" s="7"/>
      <c r="BC1229" s="7"/>
      <c r="BD1229" s="7"/>
      <c r="BE1229" s="7"/>
      <c r="BF1229" s="7"/>
      <c r="BG1229" s="7"/>
    </row>
    <row r="1230" customHeight="1" spans="1:59">
      <c r="A1230" s="9"/>
      <c r="B1230" s="5"/>
      <c r="C1230" s="5"/>
      <c r="D1230" s="5"/>
      <c r="E1230" s="7"/>
      <c r="F1230" s="8"/>
      <c r="G1230" s="8"/>
      <c r="H1230" s="8"/>
      <c r="I1230" s="14"/>
      <c r="J1230" s="14"/>
      <c r="K1230" s="14"/>
      <c r="L1230" s="14"/>
      <c r="M1230" s="7"/>
      <c r="N1230" s="8"/>
      <c r="O1230" s="8"/>
      <c r="P1230" s="8"/>
      <c r="Q1230" s="7"/>
      <c r="R1230" s="16"/>
      <c r="S1230" s="17"/>
      <c r="T1230" s="8"/>
      <c r="U1230" s="8"/>
      <c r="V1230" s="8"/>
      <c r="W1230" s="7"/>
      <c r="X1230" s="7"/>
      <c r="Y1230" s="7"/>
      <c r="Z1230" s="7"/>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c r="AX1230" s="7"/>
      <c r="AY1230" s="7"/>
      <c r="AZ1230" s="7"/>
      <c r="BA1230" s="7"/>
      <c r="BB1230" s="7"/>
      <c r="BC1230" s="7"/>
      <c r="BD1230" s="7"/>
      <c r="BE1230" s="7"/>
      <c r="BF1230" s="7"/>
      <c r="BG1230" s="7"/>
    </row>
    <row r="1231" customHeight="1" spans="1:59">
      <c r="A1231" s="9"/>
      <c r="B1231" s="5"/>
      <c r="C1231" s="5"/>
      <c r="D1231" s="5"/>
      <c r="E1231" s="7"/>
      <c r="F1231" s="8"/>
      <c r="G1231" s="8"/>
      <c r="H1231" s="8"/>
      <c r="I1231" s="14"/>
      <c r="J1231" s="14"/>
      <c r="K1231" s="14"/>
      <c r="L1231" s="14"/>
      <c r="M1231" s="7"/>
      <c r="N1231" s="8"/>
      <c r="O1231" s="8"/>
      <c r="P1231" s="8"/>
      <c r="Q1231" s="7"/>
      <c r="R1231" s="16"/>
      <c r="S1231" s="17"/>
      <c r="T1231" s="8"/>
      <c r="U1231" s="8"/>
      <c r="V1231" s="8"/>
      <c r="W1231" s="7"/>
      <c r="X1231" s="7"/>
      <c r="Y1231" s="7"/>
      <c r="Z1231" s="7"/>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7"/>
      <c r="BD1231" s="7"/>
      <c r="BE1231" s="7"/>
      <c r="BF1231" s="7"/>
      <c r="BG1231" s="7"/>
    </row>
    <row r="1232" customHeight="1" spans="1:59">
      <c r="A1232" s="9"/>
      <c r="B1232" s="5"/>
      <c r="C1232" s="5"/>
      <c r="D1232" s="5"/>
      <c r="E1232" s="7"/>
      <c r="F1232" s="8"/>
      <c r="G1232" s="8"/>
      <c r="H1232" s="8"/>
      <c r="I1232" s="14"/>
      <c r="J1232" s="14"/>
      <c r="K1232" s="14"/>
      <c r="L1232" s="14"/>
      <c r="M1232" s="7"/>
      <c r="N1232" s="8"/>
      <c r="O1232" s="8"/>
      <c r="P1232" s="8"/>
      <c r="Q1232" s="7"/>
      <c r="R1232" s="16"/>
      <c r="S1232" s="17"/>
      <c r="T1232" s="8"/>
      <c r="U1232" s="8"/>
      <c r="V1232" s="8"/>
      <c r="W1232" s="7"/>
      <c r="X1232" s="7"/>
      <c r="Y1232" s="7"/>
      <c r="Z1232" s="7"/>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7"/>
      <c r="BD1232" s="7"/>
      <c r="BE1232" s="7"/>
      <c r="BF1232" s="7"/>
      <c r="BG1232" s="7"/>
    </row>
    <row r="1233" customHeight="1" spans="1:59">
      <c r="A1233" s="9"/>
      <c r="B1233" s="5"/>
      <c r="C1233" s="5"/>
      <c r="D1233" s="5"/>
      <c r="E1233" s="7"/>
      <c r="F1233" s="8"/>
      <c r="G1233" s="8"/>
      <c r="H1233" s="8"/>
      <c r="I1233" s="14"/>
      <c r="J1233" s="14"/>
      <c r="K1233" s="14"/>
      <c r="L1233" s="14"/>
      <c r="M1233" s="7"/>
      <c r="N1233" s="8"/>
      <c r="O1233" s="8"/>
      <c r="P1233" s="8"/>
      <c r="Q1233" s="7"/>
      <c r="R1233" s="16"/>
      <c r="S1233" s="17"/>
      <c r="T1233" s="8"/>
      <c r="U1233" s="8"/>
      <c r="V1233" s="8"/>
      <c r="W1233" s="7"/>
      <c r="X1233" s="7"/>
      <c r="Y1233" s="7"/>
      <c r="Z1233" s="7"/>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7"/>
      <c r="BD1233" s="7"/>
      <c r="BE1233" s="7"/>
      <c r="BF1233" s="7"/>
      <c r="BG1233" s="7"/>
    </row>
    <row r="1234" customHeight="1" spans="1:59">
      <c r="A1234" s="9"/>
      <c r="B1234" s="5"/>
      <c r="C1234" s="5"/>
      <c r="D1234" s="5"/>
      <c r="E1234" s="7"/>
      <c r="F1234" s="8"/>
      <c r="G1234" s="8"/>
      <c r="H1234" s="8"/>
      <c r="I1234" s="14"/>
      <c r="J1234" s="14"/>
      <c r="K1234" s="14"/>
      <c r="L1234" s="14"/>
      <c r="M1234" s="7"/>
      <c r="N1234" s="8"/>
      <c r="O1234" s="8"/>
      <c r="P1234" s="8"/>
      <c r="Q1234" s="7"/>
      <c r="R1234" s="16"/>
      <c r="S1234" s="17"/>
      <c r="T1234" s="8"/>
      <c r="U1234" s="8"/>
      <c r="V1234" s="8"/>
      <c r="W1234" s="7"/>
      <c r="X1234" s="7"/>
      <c r="Y1234" s="7"/>
      <c r="Z1234" s="7"/>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row>
    <row r="1235" customHeight="1" spans="1:59">
      <c r="A1235" s="9"/>
      <c r="B1235" s="5"/>
      <c r="C1235" s="5"/>
      <c r="D1235" s="5"/>
      <c r="E1235" s="7"/>
      <c r="F1235" s="8"/>
      <c r="G1235" s="8"/>
      <c r="H1235" s="8"/>
      <c r="I1235" s="14"/>
      <c r="J1235" s="14"/>
      <c r="K1235" s="14"/>
      <c r="L1235" s="14"/>
      <c r="M1235" s="7"/>
      <c r="N1235" s="8"/>
      <c r="O1235" s="8"/>
      <c r="P1235" s="8"/>
      <c r="Q1235" s="7"/>
      <c r="R1235" s="16"/>
      <c r="S1235" s="17"/>
      <c r="T1235" s="8"/>
      <c r="U1235" s="8"/>
      <c r="V1235" s="8"/>
      <c r="W1235" s="7"/>
      <c r="X1235" s="7"/>
      <c r="Y1235" s="7"/>
      <c r="Z1235" s="7"/>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c r="AX1235" s="7"/>
      <c r="AY1235" s="7"/>
      <c r="AZ1235" s="7"/>
      <c r="BA1235" s="7"/>
      <c r="BB1235" s="7"/>
      <c r="BC1235" s="7"/>
      <c r="BD1235" s="7"/>
      <c r="BE1235" s="7"/>
      <c r="BF1235" s="7"/>
      <c r="BG1235" s="7"/>
    </row>
    <row r="1236" customHeight="1" spans="1:59">
      <c r="A1236" s="9"/>
      <c r="B1236" s="5"/>
      <c r="C1236" s="5"/>
      <c r="D1236" s="5"/>
      <c r="E1236" s="7"/>
      <c r="F1236" s="8"/>
      <c r="G1236" s="8"/>
      <c r="H1236" s="8"/>
      <c r="I1236" s="14"/>
      <c r="J1236" s="14"/>
      <c r="K1236" s="14"/>
      <c r="L1236" s="14"/>
      <c r="M1236" s="7"/>
      <c r="N1236" s="8"/>
      <c r="O1236" s="8"/>
      <c r="P1236" s="8"/>
      <c r="Q1236" s="7"/>
      <c r="R1236" s="16"/>
      <c r="S1236" s="17"/>
      <c r="T1236" s="8"/>
      <c r="U1236" s="8"/>
      <c r="V1236" s="8"/>
      <c r="W1236" s="7"/>
      <c r="X1236" s="7"/>
      <c r="Y1236" s="7"/>
      <c r="Z1236" s="7"/>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c r="AX1236" s="7"/>
      <c r="AY1236" s="7"/>
      <c r="AZ1236" s="7"/>
      <c r="BA1236" s="7"/>
      <c r="BB1236" s="7"/>
      <c r="BC1236" s="7"/>
      <c r="BD1236" s="7"/>
      <c r="BE1236" s="7"/>
      <c r="BF1236" s="7"/>
      <c r="BG1236" s="7"/>
    </row>
    <row r="1237" customHeight="1" spans="1:59">
      <c r="A1237" s="9"/>
      <c r="B1237" s="5"/>
      <c r="C1237" s="5"/>
      <c r="D1237" s="5"/>
      <c r="E1237" s="7"/>
      <c r="F1237" s="8"/>
      <c r="G1237" s="8"/>
      <c r="H1237" s="8"/>
      <c r="I1237" s="14"/>
      <c r="J1237" s="14"/>
      <c r="K1237" s="14"/>
      <c r="L1237" s="14"/>
      <c r="M1237" s="7"/>
      <c r="N1237" s="8"/>
      <c r="O1237" s="8"/>
      <c r="P1237" s="8"/>
      <c r="Q1237" s="7"/>
      <c r="R1237" s="16"/>
      <c r="S1237" s="17"/>
      <c r="T1237" s="8"/>
      <c r="U1237" s="8"/>
      <c r="V1237" s="8"/>
      <c r="W1237" s="7"/>
      <c r="X1237" s="7"/>
      <c r="Y1237" s="7"/>
      <c r="Z1237" s="7"/>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7"/>
      <c r="BD1237" s="7"/>
      <c r="BE1237" s="7"/>
      <c r="BF1237" s="7"/>
      <c r="BG1237" s="7"/>
    </row>
    <row r="1238" customHeight="1" spans="1:59">
      <c r="A1238" s="9"/>
      <c r="B1238" s="5"/>
      <c r="C1238" s="5"/>
      <c r="D1238" s="5"/>
      <c r="E1238" s="7"/>
      <c r="F1238" s="8"/>
      <c r="G1238" s="8"/>
      <c r="H1238" s="8"/>
      <c r="I1238" s="14"/>
      <c r="J1238" s="14"/>
      <c r="K1238" s="14"/>
      <c r="L1238" s="14"/>
      <c r="M1238" s="7"/>
      <c r="N1238" s="8"/>
      <c r="O1238" s="8"/>
      <c r="P1238" s="8"/>
      <c r="Q1238" s="7"/>
      <c r="R1238" s="16"/>
      <c r="S1238" s="17"/>
      <c r="T1238" s="8"/>
      <c r="U1238" s="8"/>
      <c r="V1238" s="8"/>
      <c r="W1238" s="7"/>
      <c r="X1238" s="7"/>
      <c r="Y1238" s="7"/>
      <c r="Z1238" s="7"/>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c r="AX1238" s="7"/>
      <c r="AY1238" s="7"/>
      <c r="AZ1238" s="7"/>
      <c r="BA1238" s="7"/>
      <c r="BB1238" s="7"/>
      <c r="BC1238" s="7"/>
      <c r="BD1238" s="7"/>
      <c r="BE1238" s="7"/>
      <c r="BF1238" s="7"/>
      <c r="BG1238" s="7"/>
    </row>
    <row r="1239" customHeight="1" spans="1:59">
      <c r="A1239" s="9"/>
      <c r="B1239" s="5"/>
      <c r="C1239" s="5"/>
      <c r="D1239" s="5"/>
      <c r="E1239" s="7"/>
      <c r="F1239" s="8"/>
      <c r="G1239" s="8"/>
      <c r="H1239" s="8"/>
      <c r="I1239" s="14"/>
      <c r="J1239" s="14"/>
      <c r="K1239" s="14"/>
      <c r="L1239" s="14"/>
      <c r="M1239" s="7"/>
      <c r="N1239" s="8"/>
      <c r="O1239" s="8"/>
      <c r="P1239" s="8"/>
      <c r="Q1239" s="7"/>
      <c r="R1239" s="16"/>
      <c r="S1239" s="17"/>
      <c r="T1239" s="8"/>
      <c r="U1239" s="8"/>
      <c r="V1239" s="8"/>
      <c r="W1239" s="7"/>
      <c r="X1239" s="7"/>
      <c r="Y1239" s="7"/>
      <c r="Z1239" s="7"/>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7"/>
      <c r="BD1239" s="7"/>
      <c r="BE1239" s="7"/>
      <c r="BF1239" s="7"/>
      <c r="BG1239" s="7"/>
    </row>
    <row r="1240" customHeight="1" spans="1:59">
      <c r="A1240" s="9"/>
      <c r="B1240" s="5"/>
      <c r="C1240" s="5"/>
      <c r="D1240" s="5"/>
      <c r="E1240" s="7"/>
      <c r="F1240" s="8"/>
      <c r="G1240" s="8"/>
      <c r="H1240" s="8"/>
      <c r="I1240" s="14"/>
      <c r="J1240" s="14"/>
      <c r="K1240" s="14"/>
      <c r="L1240" s="14"/>
      <c r="M1240" s="7"/>
      <c r="N1240" s="8"/>
      <c r="O1240" s="8"/>
      <c r="P1240" s="8"/>
      <c r="Q1240" s="7"/>
      <c r="R1240" s="16"/>
      <c r="S1240" s="17"/>
      <c r="T1240" s="8"/>
      <c r="U1240" s="8"/>
      <c r="V1240" s="8"/>
      <c r="W1240" s="7"/>
      <c r="X1240" s="7"/>
      <c r="Y1240" s="7"/>
      <c r="Z1240" s="7"/>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7"/>
      <c r="AZ1240" s="7"/>
      <c r="BA1240" s="7"/>
      <c r="BB1240" s="7"/>
      <c r="BC1240" s="7"/>
      <c r="BD1240" s="7"/>
      <c r="BE1240" s="7"/>
      <c r="BF1240" s="7"/>
      <c r="BG1240" s="7"/>
    </row>
    <row r="1241" customHeight="1" spans="1:59">
      <c r="A1241" s="9"/>
      <c r="B1241" s="5"/>
      <c r="C1241" s="5"/>
      <c r="D1241" s="5"/>
      <c r="E1241" s="7"/>
      <c r="F1241" s="8"/>
      <c r="G1241" s="8"/>
      <c r="H1241" s="8"/>
      <c r="I1241" s="14"/>
      <c r="J1241" s="14"/>
      <c r="K1241" s="14"/>
      <c r="L1241" s="14"/>
      <c r="M1241" s="7"/>
      <c r="N1241" s="8"/>
      <c r="O1241" s="8"/>
      <c r="P1241" s="8"/>
      <c r="Q1241" s="7"/>
      <c r="R1241" s="16"/>
      <c r="S1241" s="17"/>
      <c r="T1241" s="8"/>
      <c r="U1241" s="8"/>
      <c r="V1241" s="8"/>
      <c r="W1241" s="7"/>
      <c r="X1241" s="7"/>
      <c r="Y1241" s="7"/>
      <c r="Z1241" s="7"/>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row>
    <row r="1242" customHeight="1" spans="1:59">
      <c r="A1242" s="9"/>
      <c r="B1242" s="5"/>
      <c r="C1242" s="5"/>
      <c r="D1242" s="5"/>
      <c r="E1242" s="7"/>
      <c r="F1242" s="8"/>
      <c r="G1242" s="8"/>
      <c r="H1242" s="8"/>
      <c r="I1242" s="14"/>
      <c r="J1242" s="14"/>
      <c r="K1242" s="14"/>
      <c r="L1242" s="14"/>
      <c r="M1242" s="7"/>
      <c r="N1242" s="8"/>
      <c r="O1242" s="8"/>
      <c r="P1242" s="8"/>
      <c r="Q1242" s="7"/>
      <c r="R1242" s="16"/>
      <c r="S1242" s="17"/>
      <c r="T1242" s="8"/>
      <c r="U1242" s="8"/>
      <c r="V1242" s="8"/>
      <c r="W1242" s="7"/>
      <c r="X1242" s="7"/>
      <c r="Y1242" s="7"/>
      <c r="Z1242" s="7"/>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row>
    <row r="1243" customHeight="1" spans="1:59">
      <c r="A1243" s="9"/>
      <c r="B1243" s="5"/>
      <c r="C1243" s="5"/>
      <c r="D1243" s="5"/>
      <c r="E1243" s="7"/>
      <c r="F1243" s="8"/>
      <c r="G1243" s="8"/>
      <c r="H1243" s="8"/>
      <c r="I1243" s="14"/>
      <c r="J1243" s="14"/>
      <c r="K1243" s="14"/>
      <c r="L1243" s="14"/>
      <c r="M1243" s="7"/>
      <c r="N1243" s="8"/>
      <c r="O1243" s="8"/>
      <c r="P1243" s="8"/>
      <c r="Q1243" s="7"/>
      <c r="R1243" s="16"/>
      <c r="S1243" s="17"/>
      <c r="T1243" s="8"/>
      <c r="U1243" s="8"/>
      <c r="V1243" s="8"/>
      <c r="W1243" s="7"/>
      <c r="X1243" s="7"/>
      <c r="Y1243" s="7"/>
      <c r="Z1243" s="7"/>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c r="AX1243" s="7"/>
      <c r="AY1243" s="7"/>
      <c r="AZ1243" s="7"/>
      <c r="BA1243" s="7"/>
      <c r="BB1243" s="7"/>
      <c r="BC1243" s="7"/>
      <c r="BD1243" s="7"/>
      <c r="BE1243" s="7"/>
      <c r="BF1243" s="7"/>
      <c r="BG1243" s="7"/>
    </row>
    <row r="1244" customHeight="1" spans="1:59">
      <c r="A1244" s="9"/>
      <c r="B1244" s="5"/>
      <c r="C1244" s="5"/>
      <c r="D1244" s="5"/>
      <c r="E1244" s="7"/>
      <c r="F1244" s="8"/>
      <c r="G1244" s="8"/>
      <c r="H1244" s="8"/>
      <c r="I1244" s="14"/>
      <c r="J1244" s="14"/>
      <c r="K1244" s="14"/>
      <c r="L1244" s="14"/>
      <c r="M1244" s="7"/>
      <c r="N1244" s="8"/>
      <c r="O1244" s="8"/>
      <c r="P1244" s="8"/>
      <c r="Q1244" s="7"/>
      <c r="R1244" s="16"/>
      <c r="S1244" s="17"/>
      <c r="T1244" s="8"/>
      <c r="U1244" s="8"/>
      <c r="V1244" s="8"/>
      <c r="W1244" s="7"/>
      <c r="X1244" s="7"/>
      <c r="Y1244" s="7"/>
      <c r="Z1244" s="7"/>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c r="AX1244" s="7"/>
      <c r="AY1244" s="7"/>
      <c r="AZ1244" s="7"/>
      <c r="BA1244" s="7"/>
      <c r="BB1244" s="7"/>
      <c r="BC1244" s="7"/>
      <c r="BD1244" s="7"/>
      <c r="BE1244" s="7"/>
      <c r="BF1244" s="7"/>
      <c r="BG1244" s="7"/>
    </row>
    <row r="1245" customHeight="1" spans="1:59">
      <c r="A1245" s="9"/>
      <c r="B1245" s="5"/>
      <c r="C1245" s="5"/>
      <c r="D1245" s="5"/>
      <c r="E1245" s="7"/>
      <c r="F1245" s="8"/>
      <c r="G1245" s="8"/>
      <c r="H1245" s="8"/>
      <c r="I1245" s="14"/>
      <c r="J1245" s="14"/>
      <c r="K1245" s="14"/>
      <c r="L1245" s="14"/>
      <c r="M1245" s="7"/>
      <c r="N1245" s="8"/>
      <c r="O1245" s="8"/>
      <c r="P1245" s="8"/>
      <c r="Q1245" s="7"/>
      <c r="R1245" s="16"/>
      <c r="S1245" s="17"/>
      <c r="T1245" s="8"/>
      <c r="U1245" s="8"/>
      <c r="V1245" s="8"/>
      <c r="W1245" s="7"/>
      <c r="X1245" s="7"/>
      <c r="Y1245" s="7"/>
      <c r="Z1245" s="7"/>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c r="AX1245" s="7"/>
      <c r="AY1245" s="7"/>
      <c r="AZ1245" s="7"/>
      <c r="BA1245" s="7"/>
      <c r="BB1245" s="7"/>
      <c r="BC1245" s="7"/>
      <c r="BD1245" s="7"/>
      <c r="BE1245" s="7"/>
      <c r="BF1245" s="7"/>
      <c r="BG1245" s="7"/>
    </row>
    <row r="1246" customHeight="1" spans="1:59">
      <c r="A1246" s="9"/>
      <c r="B1246" s="5"/>
      <c r="C1246" s="5"/>
      <c r="D1246" s="5"/>
      <c r="E1246" s="7"/>
      <c r="F1246" s="8"/>
      <c r="G1246" s="8"/>
      <c r="H1246" s="8"/>
      <c r="I1246" s="14"/>
      <c r="J1246" s="14"/>
      <c r="K1246" s="14"/>
      <c r="L1246" s="14"/>
      <c r="M1246" s="7"/>
      <c r="N1246" s="8"/>
      <c r="O1246" s="8"/>
      <c r="P1246" s="8"/>
      <c r="Q1246" s="7"/>
      <c r="R1246" s="16"/>
      <c r="S1246" s="17"/>
      <c r="T1246" s="8"/>
      <c r="U1246" s="8"/>
      <c r="V1246" s="8"/>
      <c r="W1246" s="7"/>
      <c r="X1246" s="7"/>
      <c r="Y1246" s="7"/>
      <c r="Z1246" s="7"/>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7"/>
      <c r="AX1246" s="7"/>
      <c r="AY1246" s="7"/>
      <c r="AZ1246" s="7"/>
      <c r="BA1246" s="7"/>
      <c r="BB1246" s="7"/>
      <c r="BC1246" s="7"/>
      <c r="BD1246" s="7"/>
      <c r="BE1246" s="7"/>
      <c r="BF1246" s="7"/>
      <c r="BG1246" s="7"/>
    </row>
    <row r="1247" customHeight="1" spans="1:59">
      <c r="A1247" s="9"/>
      <c r="B1247" s="5"/>
      <c r="C1247" s="5"/>
      <c r="D1247" s="5"/>
      <c r="E1247" s="7"/>
      <c r="F1247" s="8"/>
      <c r="G1247" s="8"/>
      <c r="H1247" s="8"/>
      <c r="I1247" s="14"/>
      <c r="J1247" s="14"/>
      <c r="K1247" s="14"/>
      <c r="L1247" s="14"/>
      <c r="M1247" s="7"/>
      <c r="N1247" s="8"/>
      <c r="O1247" s="8"/>
      <c r="P1247" s="8"/>
      <c r="Q1247" s="7"/>
      <c r="R1247" s="16"/>
      <c r="S1247" s="17"/>
      <c r="T1247" s="8"/>
      <c r="U1247" s="8"/>
      <c r="V1247" s="8"/>
      <c r="W1247" s="7"/>
      <c r="X1247" s="7"/>
      <c r="Y1247" s="7"/>
      <c r="Z1247" s="7"/>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7"/>
      <c r="AX1247" s="7"/>
      <c r="AY1247" s="7"/>
      <c r="AZ1247" s="7"/>
      <c r="BA1247" s="7"/>
      <c r="BB1247" s="7"/>
      <c r="BC1247" s="7"/>
      <c r="BD1247" s="7"/>
      <c r="BE1247" s="7"/>
      <c r="BF1247" s="7"/>
      <c r="BG1247" s="7"/>
    </row>
    <row r="1248" customHeight="1" spans="1:59">
      <c r="A1248" s="9"/>
      <c r="B1248" s="5"/>
      <c r="C1248" s="5"/>
      <c r="D1248" s="5"/>
      <c r="E1248" s="7"/>
      <c r="F1248" s="8"/>
      <c r="G1248" s="8"/>
      <c r="H1248" s="8"/>
      <c r="I1248" s="14"/>
      <c r="J1248" s="14"/>
      <c r="K1248" s="14"/>
      <c r="L1248" s="14"/>
      <c r="M1248" s="7"/>
      <c r="N1248" s="8"/>
      <c r="O1248" s="8"/>
      <c r="P1248" s="8"/>
      <c r="Q1248" s="7"/>
      <c r="R1248" s="16"/>
      <c r="S1248" s="17"/>
      <c r="T1248" s="8"/>
      <c r="U1248" s="8"/>
      <c r="V1248" s="8"/>
      <c r="W1248" s="7"/>
      <c r="X1248" s="7"/>
      <c r="Y1248" s="7"/>
      <c r="Z1248" s="7"/>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c r="AX1248" s="7"/>
      <c r="AY1248" s="7"/>
      <c r="AZ1248" s="7"/>
      <c r="BA1248" s="7"/>
      <c r="BB1248" s="7"/>
      <c r="BC1248" s="7"/>
      <c r="BD1248" s="7"/>
      <c r="BE1248" s="7"/>
      <c r="BF1248" s="7"/>
      <c r="BG1248" s="7"/>
    </row>
    <row r="1249" customHeight="1" spans="1:59">
      <c r="A1249" s="9"/>
      <c r="B1249" s="5"/>
      <c r="C1249" s="5"/>
      <c r="D1249" s="5"/>
      <c r="E1249" s="7"/>
      <c r="F1249" s="8"/>
      <c r="G1249" s="8"/>
      <c r="H1249" s="8"/>
      <c r="I1249" s="14"/>
      <c r="J1249" s="14"/>
      <c r="K1249" s="14"/>
      <c r="L1249" s="14"/>
      <c r="M1249" s="7"/>
      <c r="N1249" s="8"/>
      <c r="O1249" s="8"/>
      <c r="P1249" s="8"/>
      <c r="Q1249" s="7"/>
      <c r="R1249" s="16"/>
      <c r="S1249" s="17"/>
      <c r="T1249" s="8"/>
      <c r="U1249" s="8"/>
      <c r="V1249" s="8"/>
      <c r="W1249" s="7"/>
      <c r="X1249" s="7"/>
      <c r="Y1249" s="7"/>
      <c r="Z1249" s="7"/>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c r="AX1249" s="7"/>
      <c r="AY1249" s="7"/>
      <c r="AZ1249" s="7"/>
      <c r="BA1249" s="7"/>
      <c r="BB1249" s="7"/>
      <c r="BC1249" s="7"/>
      <c r="BD1249" s="7"/>
      <c r="BE1249" s="7"/>
      <c r="BF1249" s="7"/>
      <c r="BG1249" s="7"/>
    </row>
    <row r="1250" customHeight="1" spans="1:59">
      <c r="A1250" s="9"/>
      <c r="B1250" s="5"/>
      <c r="C1250" s="5"/>
      <c r="D1250" s="5"/>
      <c r="E1250" s="7"/>
      <c r="F1250" s="8"/>
      <c r="G1250" s="8"/>
      <c r="H1250" s="8"/>
      <c r="I1250" s="14"/>
      <c r="J1250" s="14"/>
      <c r="K1250" s="14"/>
      <c r="L1250" s="14"/>
      <c r="M1250" s="7"/>
      <c r="N1250" s="8"/>
      <c r="O1250" s="8"/>
      <c r="P1250" s="8"/>
      <c r="Q1250" s="7"/>
      <c r="R1250" s="16"/>
      <c r="S1250" s="17"/>
      <c r="T1250" s="8"/>
      <c r="U1250" s="8"/>
      <c r="V1250" s="8"/>
      <c r="W1250" s="7"/>
      <c r="X1250" s="7"/>
      <c r="Y1250" s="7"/>
      <c r="Z1250" s="7"/>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c r="AX1250" s="7"/>
      <c r="AY1250" s="7"/>
      <c r="AZ1250" s="7"/>
      <c r="BA1250" s="7"/>
      <c r="BB1250" s="7"/>
      <c r="BC1250" s="7"/>
      <c r="BD1250" s="7"/>
      <c r="BE1250" s="7"/>
      <c r="BF1250" s="7"/>
      <c r="BG1250" s="7"/>
    </row>
    <row r="1251" customHeight="1" spans="1:59">
      <c r="A1251" s="9"/>
      <c r="B1251" s="5"/>
      <c r="C1251" s="5"/>
      <c r="D1251" s="5"/>
      <c r="E1251" s="7"/>
      <c r="F1251" s="8"/>
      <c r="G1251" s="8"/>
      <c r="H1251" s="8"/>
      <c r="I1251" s="14"/>
      <c r="J1251" s="14"/>
      <c r="K1251" s="14"/>
      <c r="L1251" s="14"/>
      <c r="M1251" s="7"/>
      <c r="N1251" s="8"/>
      <c r="O1251" s="8"/>
      <c r="P1251" s="8"/>
      <c r="Q1251" s="7"/>
      <c r="R1251" s="16"/>
      <c r="S1251" s="17"/>
      <c r="T1251" s="8"/>
      <c r="U1251" s="8"/>
      <c r="V1251" s="8"/>
      <c r="W1251" s="7"/>
      <c r="X1251" s="7"/>
      <c r="Y1251" s="7"/>
      <c r="Z1251" s="7"/>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7"/>
      <c r="BD1251" s="7"/>
      <c r="BE1251" s="7"/>
      <c r="BF1251" s="7"/>
      <c r="BG1251" s="7"/>
    </row>
    <row r="1252" customHeight="1" spans="1:59">
      <c r="A1252" s="9"/>
      <c r="B1252" s="5"/>
      <c r="C1252" s="5"/>
      <c r="D1252" s="5"/>
      <c r="E1252" s="7"/>
      <c r="F1252" s="8"/>
      <c r="G1252" s="8"/>
      <c r="H1252" s="8"/>
      <c r="I1252" s="14"/>
      <c r="J1252" s="14"/>
      <c r="K1252" s="14"/>
      <c r="L1252" s="14"/>
      <c r="M1252" s="7"/>
      <c r="N1252" s="8"/>
      <c r="O1252" s="8"/>
      <c r="P1252" s="8"/>
      <c r="Q1252" s="7"/>
      <c r="R1252" s="16"/>
      <c r="S1252" s="17"/>
      <c r="T1252" s="8"/>
      <c r="U1252" s="8"/>
      <c r="V1252" s="8"/>
      <c r="W1252" s="7"/>
      <c r="X1252" s="7"/>
      <c r="Y1252" s="7"/>
      <c r="Z1252" s="7"/>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c r="AX1252" s="7"/>
      <c r="AY1252" s="7"/>
      <c r="AZ1252" s="7"/>
      <c r="BA1252" s="7"/>
      <c r="BB1252" s="7"/>
      <c r="BC1252" s="7"/>
      <c r="BD1252" s="7"/>
      <c r="BE1252" s="7"/>
      <c r="BF1252" s="7"/>
      <c r="BG1252" s="7"/>
    </row>
    <row r="1253" customHeight="1" spans="1:59">
      <c r="A1253" s="9"/>
      <c r="B1253" s="5"/>
      <c r="C1253" s="5"/>
      <c r="D1253" s="5"/>
      <c r="E1253" s="7"/>
      <c r="F1253" s="8"/>
      <c r="G1253" s="8"/>
      <c r="H1253" s="8"/>
      <c r="I1253" s="14"/>
      <c r="J1253" s="14"/>
      <c r="K1253" s="14"/>
      <c r="L1253" s="14"/>
      <c r="M1253" s="7"/>
      <c r="N1253" s="8"/>
      <c r="O1253" s="8"/>
      <c r="P1253" s="8"/>
      <c r="Q1253" s="7"/>
      <c r="R1253" s="16"/>
      <c r="S1253" s="17"/>
      <c r="T1253" s="8"/>
      <c r="U1253" s="8"/>
      <c r="V1253" s="8"/>
      <c r="W1253" s="7"/>
      <c r="X1253" s="7"/>
      <c r="Y1253" s="7"/>
      <c r="Z1253" s="7"/>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c r="AX1253" s="7"/>
      <c r="AY1253" s="7"/>
      <c r="AZ1253" s="7"/>
      <c r="BA1253" s="7"/>
      <c r="BB1253" s="7"/>
      <c r="BC1253" s="7"/>
      <c r="BD1253" s="7"/>
      <c r="BE1253" s="7"/>
      <c r="BF1253" s="7"/>
      <c r="BG1253" s="7"/>
    </row>
    <row r="1254" customHeight="1" spans="1:59">
      <c r="A1254" s="9"/>
      <c r="B1254" s="5"/>
      <c r="C1254" s="5"/>
      <c r="D1254" s="5"/>
      <c r="E1254" s="7"/>
      <c r="F1254" s="8"/>
      <c r="G1254" s="8"/>
      <c r="H1254" s="8"/>
      <c r="I1254" s="14"/>
      <c r="J1254" s="14"/>
      <c r="K1254" s="14"/>
      <c r="L1254" s="14"/>
      <c r="M1254" s="7"/>
      <c r="N1254" s="8"/>
      <c r="O1254" s="8"/>
      <c r="P1254" s="8"/>
      <c r="Q1254" s="7"/>
      <c r="R1254" s="16"/>
      <c r="S1254" s="17"/>
      <c r="T1254" s="8"/>
      <c r="U1254" s="8"/>
      <c r="V1254" s="8"/>
      <c r="W1254" s="7"/>
      <c r="X1254" s="7"/>
      <c r="Y1254" s="7"/>
      <c r="Z1254" s="7"/>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c r="AX1254" s="7"/>
      <c r="AY1254" s="7"/>
      <c r="AZ1254" s="7"/>
      <c r="BA1254" s="7"/>
      <c r="BB1254" s="7"/>
      <c r="BC1254" s="7"/>
      <c r="BD1254" s="7"/>
      <c r="BE1254" s="7"/>
      <c r="BF1254" s="7"/>
      <c r="BG1254" s="7"/>
    </row>
    <row r="1255" customHeight="1" spans="1:59">
      <c r="A1255" s="9"/>
      <c r="B1255" s="5"/>
      <c r="C1255" s="5"/>
      <c r="D1255" s="5"/>
      <c r="E1255" s="7"/>
      <c r="F1255" s="8"/>
      <c r="G1255" s="8"/>
      <c r="H1255" s="8"/>
      <c r="I1255" s="14"/>
      <c r="J1255" s="14"/>
      <c r="K1255" s="14"/>
      <c r="L1255" s="14"/>
      <c r="M1255" s="7"/>
      <c r="N1255" s="8"/>
      <c r="O1255" s="8"/>
      <c r="P1255" s="8"/>
      <c r="Q1255" s="7"/>
      <c r="R1255" s="16"/>
      <c r="S1255" s="17"/>
      <c r="T1255" s="8"/>
      <c r="U1255" s="8"/>
      <c r="V1255" s="8"/>
      <c r="W1255" s="7"/>
      <c r="X1255" s="7"/>
      <c r="Y1255" s="7"/>
      <c r="Z1255" s="7"/>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c r="AX1255" s="7"/>
      <c r="AY1255" s="7"/>
      <c r="AZ1255" s="7"/>
      <c r="BA1255" s="7"/>
      <c r="BB1255" s="7"/>
      <c r="BC1255" s="7"/>
      <c r="BD1255" s="7"/>
      <c r="BE1255" s="7"/>
      <c r="BF1255" s="7"/>
      <c r="BG1255" s="7"/>
    </row>
    <row r="1256" customHeight="1" spans="1:59">
      <c r="A1256" s="9"/>
      <c r="B1256" s="5"/>
      <c r="C1256" s="5"/>
      <c r="D1256" s="5"/>
      <c r="E1256" s="7"/>
      <c r="F1256" s="8"/>
      <c r="G1256" s="8"/>
      <c r="H1256" s="8"/>
      <c r="I1256" s="14"/>
      <c r="J1256" s="14"/>
      <c r="K1256" s="14"/>
      <c r="L1256" s="14"/>
      <c r="M1256" s="7"/>
      <c r="N1256" s="8"/>
      <c r="O1256" s="8"/>
      <c r="P1256" s="8"/>
      <c r="Q1256" s="7"/>
      <c r="R1256" s="16"/>
      <c r="S1256" s="17"/>
      <c r="T1256" s="8"/>
      <c r="U1256" s="8"/>
      <c r="V1256" s="8"/>
      <c r="W1256" s="7"/>
      <c r="X1256" s="7"/>
      <c r="Y1256" s="7"/>
      <c r="Z1256" s="7"/>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c r="AX1256" s="7"/>
      <c r="AY1256" s="7"/>
      <c r="AZ1256" s="7"/>
      <c r="BA1256" s="7"/>
      <c r="BB1256" s="7"/>
      <c r="BC1256" s="7"/>
      <c r="BD1256" s="7"/>
      <c r="BE1256" s="7"/>
      <c r="BF1256" s="7"/>
      <c r="BG1256" s="7"/>
    </row>
    <row r="1257" customHeight="1" spans="1:59">
      <c r="A1257" s="9"/>
      <c r="B1257" s="5"/>
      <c r="C1257" s="5"/>
      <c r="D1257" s="5"/>
      <c r="E1257" s="7"/>
      <c r="F1257" s="8"/>
      <c r="G1257" s="8"/>
      <c r="H1257" s="8"/>
      <c r="I1257" s="14"/>
      <c r="J1257" s="14"/>
      <c r="K1257" s="14"/>
      <c r="L1257" s="14"/>
      <c r="M1257" s="7"/>
      <c r="N1257" s="8"/>
      <c r="O1257" s="8"/>
      <c r="P1257" s="8"/>
      <c r="Q1257" s="7"/>
      <c r="R1257" s="16"/>
      <c r="S1257" s="17"/>
      <c r="T1257" s="8"/>
      <c r="U1257" s="8"/>
      <c r="V1257" s="8"/>
      <c r="W1257" s="7"/>
      <c r="X1257" s="7"/>
      <c r="Y1257" s="7"/>
      <c r="Z1257" s="7"/>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c r="AX1257" s="7"/>
      <c r="AY1257" s="7"/>
      <c r="AZ1257" s="7"/>
      <c r="BA1257" s="7"/>
      <c r="BB1257" s="7"/>
      <c r="BC1257" s="7"/>
      <c r="BD1257" s="7"/>
      <c r="BE1257" s="7"/>
      <c r="BF1257" s="7"/>
      <c r="BG1257" s="7"/>
    </row>
    <row r="1258" customHeight="1" spans="1:59">
      <c r="A1258" s="9"/>
      <c r="B1258" s="5"/>
      <c r="C1258" s="5"/>
      <c r="D1258" s="5"/>
      <c r="E1258" s="7"/>
      <c r="F1258" s="8"/>
      <c r="G1258" s="8"/>
      <c r="H1258" s="8"/>
      <c r="I1258" s="14"/>
      <c r="J1258" s="14"/>
      <c r="K1258" s="14"/>
      <c r="L1258" s="14"/>
      <c r="M1258" s="7"/>
      <c r="N1258" s="8"/>
      <c r="O1258" s="8"/>
      <c r="P1258" s="8"/>
      <c r="Q1258" s="7"/>
      <c r="R1258" s="16"/>
      <c r="S1258" s="17"/>
      <c r="T1258" s="8"/>
      <c r="U1258" s="8"/>
      <c r="V1258" s="8"/>
      <c r="W1258" s="7"/>
      <c r="X1258" s="7"/>
      <c r="Y1258" s="7"/>
      <c r="Z1258" s="7"/>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c r="AX1258" s="7"/>
      <c r="AY1258" s="7"/>
      <c r="AZ1258" s="7"/>
      <c r="BA1258" s="7"/>
      <c r="BB1258" s="7"/>
      <c r="BC1258" s="7"/>
      <c r="BD1258" s="7"/>
      <c r="BE1258" s="7"/>
      <c r="BF1258" s="7"/>
      <c r="BG1258" s="7"/>
    </row>
    <row r="1259" customHeight="1" spans="1:59">
      <c r="A1259" s="9"/>
      <c r="B1259" s="5"/>
      <c r="C1259" s="5"/>
      <c r="D1259" s="5"/>
      <c r="E1259" s="7"/>
      <c r="F1259" s="8"/>
      <c r="G1259" s="8"/>
      <c r="H1259" s="8"/>
      <c r="I1259" s="14"/>
      <c r="J1259" s="14"/>
      <c r="K1259" s="14"/>
      <c r="L1259" s="14"/>
      <c r="M1259" s="7"/>
      <c r="N1259" s="8"/>
      <c r="O1259" s="8"/>
      <c r="P1259" s="8"/>
      <c r="Q1259" s="7"/>
      <c r="R1259" s="16"/>
      <c r="S1259" s="17"/>
      <c r="T1259" s="8"/>
      <c r="U1259" s="8"/>
      <c r="V1259" s="8"/>
      <c r="W1259" s="7"/>
      <c r="X1259" s="7"/>
      <c r="Y1259" s="7"/>
      <c r="Z1259" s="7"/>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c r="AX1259" s="7"/>
      <c r="AY1259" s="7"/>
      <c r="AZ1259" s="7"/>
      <c r="BA1259" s="7"/>
      <c r="BB1259" s="7"/>
      <c r="BC1259" s="7"/>
      <c r="BD1259" s="7"/>
      <c r="BE1259" s="7"/>
      <c r="BF1259" s="7"/>
      <c r="BG1259" s="7"/>
    </row>
    <row r="1260" customHeight="1" spans="1:59">
      <c r="A1260" s="9"/>
      <c r="B1260" s="5"/>
      <c r="C1260" s="5"/>
      <c r="D1260" s="5"/>
      <c r="E1260" s="7"/>
      <c r="F1260" s="8"/>
      <c r="G1260" s="8"/>
      <c r="H1260" s="8"/>
      <c r="I1260" s="14"/>
      <c r="J1260" s="14"/>
      <c r="K1260" s="14"/>
      <c r="L1260" s="14"/>
      <c r="M1260" s="7"/>
      <c r="N1260" s="8"/>
      <c r="O1260" s="8"/>
      <c r="P1260" s="8"/>
      <c r="Q1260" s="7"/>
      <c r="R1260" s="16"/>
      <c r="S1260" s="17"/>
      <c r="T1260" s="8"/>
      <c r="U1260" s="8"/>
      <c r="V1260" s="8"/>
      <c r="W1260" s="7"/>
      <c r="X1260" s="7"/>
      <c r="Y1260" s="7"/>
      <c r="Z1260" s="7"/>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c r="AX1260" s="7"/>
      <c r="AY1260" s="7"/>
      <c r="AZ1260" s="7"/>
      <c r="BA1260" s="7"/>
      <c r="BB1260" s="7"/>
      <c r="BC1260" s="7"/>
      <c r="BD1260" s="7"/>
      <c r="BE1260" s="7"/>
      <c r="BF1260" s="7"/>
      <c r="BG1260" s="7"/>
    </row>
    <row r="1261" customHeight="1" spans="1:59">
      <c r="A1261" s="9"/>
      <c r="B1261" s="5"/>
      <c r="C1261" s="5"/>
      <c r="D1261" s="5"/>
      <c r="E1261" s="7"/>
      <c r="F1261" s="8"/>
      <c r="G1261" s="8"/>
      <c r="H1261" s="8"/>
      <c r="I1261" s="14"/>
      <c r="J1261" s="14"/>
      <c r="K1261" s="14"/>
      <c r="L1261" s="14"/>
      <c r="M1261" s="7"/>
      <c r="N1261" s="8"/>
      <c r="O1261" s="8"/>
      <c r="P1261" s="8"/>
      <c r="Q1261" s="7"/>
      <c r="R1261" s="16"/>
      <c r="S1261" s="17"/>
      <c r="T1261" s="8"/>
      <c r="U1261" s="8"/>
      <c r="V1261" s="8"/>
      <c r="W1261" s="7"/>
      <c r="X1261" s="7"/>
      <c r="Y1261" s="7"/>
      <c r="Z1261" s="7"/>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c r="AX1261" s="7"/>
      <c r="AY1261" s="7"/>
      <c r="AZ1261" s="7"/>
      <c r="BA1261" s="7"/>
      <c r="BB1261" s="7"/>
      <c r="BC1261" s="7"/>
      <c r="BD1261" s="7"/>
      <c r="BE1261" s="7"/>
      <c r="BF1261" s="7"/>
      <c r="BG1261" s="7"/>
    </row>
    <row r="1262" customHeight="1" spans="1:59">
      <c r="A1262" s="9"/>
      <c r="B1262" s="5"/>
      <c r="C1262" s="5"/>
      <c r="D1262" s="5"/>
      <c r="E1262" s="7"/>
      <c r="F1262" s="8"/>
      <c r="G1262" s="8"/>
      <c r="H1262" s="8"/>
      <c r="I1262" s="14"/>
      <c r="J1262" s="14"/>
      <c r="K1262" s="14"/>
      <c r="L1262" s="14"/>
      <c r="M1262" s="7"/>
      <c r="N1262" s="8"/>
      <c r="O1262" s="8"/>
      <c r="P1262" s="8"/>
      <c r="Q1262" s="7"/>
      <c r="R1262" s="16"/>
      <c r="S1262" s="17"/>
      <c r="T1262" s="8"/>
      <c r="U1262" s="8"/>
      <c r="V1262" s="8"/>
      <c r="W1262" s="7"/>
      <c r="X1262" s="7"/>
      <c r="Y1262" s="7"/>
      <c r="Z1262" s="7"/>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c r="AX1262" s="7"/>
      <c r="AY1262" s="7"/>
      <c r="AZ1262" s="7"/>
      <c r="BA1262" s="7"/>
      <c r="BB1262" s="7"/>
      <c r="BC1262" s="7"/>
      <c r="BD1262" s="7"/>
      <c r="BE1262" s="7"/>
      <c r="BF1262" s="7"/>
      <c r="BG1262" s="7"/>
    </row>
    <row r="1263" customHeight="1" spans="1:59">
      <c r="A1263" s="9"/>
      <c r="B1263" s="5"/>
      <c r="C1263" s="5"/>
      <c r="D1263" s="5"/>
      <c r="E1263" s="7"/>
      <c r="F1263" s="8"/>
      <c r="G1263" s="8"/>
      <c r="H1263" s="8"/>
      <c r="I1263" s="14"/>
      <c r="J1263" s="14"/>
      <c r="K1263" s="14"/>
      <c r="L1263" s="14"/>
      <c r="M1263" s="7"/>
      <c r="N1263" s="8"/>
      <c r="O1263" s="8"/>
      <c r="P1263" s="8"/>
      <c r="Q1263" s="7"/>
      <c r="R1263" s="16"/>
      <c r="S1263" s="17"/>
      <c r="T1263" s="8"/>
      <c r="U1263" s="8"/>
      <c r="V1263" s="8"/>
      <c r="W1263" s="7"/>
      <c r="X1263" s="7"/>
      <c r="Y1263" s="7"/>
      <c r="Z1263" s="7"/>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7"/>
      <c r="AX1263" s="7"/>
      <c r="AY1263" s="7"/>
      <c r="AZ1263" s="7"/>
      <c r="BA1263" s="7"/>
      <c r="BB1263" s="7"/>
      <c r="BC1263" s="7"/>
      <c r="BD1263" s="7"/>
      <c r="BE1263" s="7"/>
      <c r="BF1263" s="7"/>
      <c r="BG1263" s="7"/>
    </row>
    <row r="1264" customHeight="1" spans="1:59">
      <c r="A1264" s="9"/>
      <c r="B1264" s="5"/>
      <c r="C1264" s="5"/>
      <c r="D1264" s="5"/>
      <c r="E1264" s="7"/>
      <c r="F1264" s="8"/>
      <c r="G1264" s="8"/>
      <c r="H1264" s="8"/>
      <c r="I1264" s="14"/>
      <c r="J1264" s="14"/>
      <c r="K1264" s="14"/>
      <c r="L1264" s="14"/>
      <c r="M1264" s="7"/>
      <c r="N1264" s="8"/>
      <c r="O1264" s="8"/>
      <c r="P1264" s="8"/>
      <c r="Q1264" s="7"/>
      <c r="R1264" s="16"/>
      <c r="S1264" s="17"/>
      <c r="T1264" s="8"/>
      <c r="U1264" s="8"/>
      <c r="V1264" s="8"/>
      <c r="W1264" s="7"/>
      <c r="X1264" s="7"/>
      <c r="Y1264" s="7"/>
      <c r="Z1264" s="7"/>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7"/>
      <c r="BD1264" s="7"/>
      <c r="BE1264" s="7"/>
      <c r="BF1264" s="7"/>
      <c r="BG1264" s="7"/>
    </row>
    <row r="1265" customHeight="1" spans="1:59">
      <c r="A1265" s="9"/>
      <c r="B1265" s="5"/>
      <c r="C1265" s="5"/>
      <c r="D1265" s="5"/>
      <c r="E1265" s="7"/>
      <c r="F1265" s="8"/>
      <c r="G1265" s="8"/>
      <c r="H1265" s="8"/>
      <c r="I1265" s="14"/>
      <c r="J1265" s="14"/>
      <c r="K1265" s="14"/>
      <c r="L1265" s="14"/>
      <c r="M1265" s="7"/>
      <c r="N1265" s="8"/>
      <c r="O1265" s="8"/>
      <c r="P1265" s="8"/>
      <c r="Q1265" s="7"/>
      <c r="R1265" s="16"/>
      <c r="S1265" s="17"/>
      <c r="T1265" s="8"/>
      <c r="U1265" s="8"/>
      <c r="V1265" s="8"/>
      <c r="W1265" s="7"/>
      <c r="X1265" s="7"/>
      <c r="Y1265" s="7"/>
      <c r="Z1265" s="7"/>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7"/>
      <c r="BD1265" s="7"/>
      <c r="BE1265" s="7"/>
      <c r="BF1265" s="7"/>
      <c r="BG1265" s="7"/>
    </row>
    <row r="1266" customHeight="1" spans="1:59">
      <c r="A1266" s="9"/>
      <c r="B1266" s="5"/>
      <c r="C1266" s="5"/>
      <c r="D1266" s="5"/>
      <c r="E1266" s="7"/>
      <c r="F1266" s="8"/>
      <c r="G1266" s="8"/>
      <c r="H1266" s="8"/>
      <c r="I1266" s="14"/>
      <c r="J1266" s="14"/>
      <c r="K1266" s="14"/>
      <c r="L1266" s="14"/>
      <c r="M1266" s="7"/>
      <c r="N1266" s="8"/>
      <c r="O1266" s="8"/>
      <c r="P1266" s="8"/>
      <c r="Q1266" s="7"/>
      <c r="R1266" s="16"/>
      <c r="S1266" s="17"/>
      <c r="T1266" s="8"/>
      <c r="U1266" s="8"/>
      <c r="V1266" s="8"/>
      <c r="W1266" s="7"/>
      <c r="X1266" s="7"/>
      <c r="Y1266" s="7"/>
      <c r="Z1266" s="7"/>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row>
    <row r="1267" customHeight="1" spans="1:59">
      <c r="A1267" s="9"/>
      <c r="B1267" s="5"/>
      <c r="C1267" s="5"/>
      <c r="D1267" s="5"/>
      <c r="E1267" s="7"/>
      <c r="F1267" s="8"/>
      <c r="G1267" s="8"/>
      <c r="H1267" s="8"/>
      <c r="I1267" s="14"/>
      <c r="J1267" s="14"/>
      <c r="K1267" s="14"/>
      <c r="L1267" s="14"/>
      <c r="M1267" s="7"/>
      <c r="N1267" s="8"/>
      <c r="O1267" s="8"/>
      <c r="P1267" s="8"/>
      <c r="Q1267" s="7"/>
      <c r="R1267" s="16"/>
      <c r="S1267" s="17"/>
      <c r="T1267" s="8"/>
      <c r="U1267" s="8"/>
      <c r="V1267" s="8"/>
      <c r="W1267" s="7"/>
      <c r="X1267" s="7"/>
      <c r="Y1267" s="7"/>
      <c r="Z1267" s="7"/>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7"/>
      <c r="BD1267" s="7"/>
      <c r="BE1267" s="7"/>
      <c r="BF1267" s="7"/>
      <c r="BG1267" s="7"/>
    </row>
    <row r="1268" customHeight="1" spans="1:59">
      <c r="A1268" s="9"/>
      <c r="B1268" s="5"/>
      <c r="C1268" s="5"/>
      <c r="D1268" s="5"/>
      <c r="E1268" s="7"/>
      <c r="F1268" s="8"/>
      <c r="G1268" s="8"/>
      <c r="H1268" s="8"/>
      <c r="I1268" s="14"/>
      <c r="J1268" s="14"/>
      <c r="K1268" s="14"/>
      <c r="L1268" s="14"/>
      <c r="M1268" s="7"/>
      <c r="N1268" s="8"/>
      <c r="O1268" s="8"/>
      <c r="P1268" s="8"/>
      <c r="Q1268" s="7"/>
      <c r="R1268" s="16"/>
      <c r="S1268" s="17"/>
      <c r="T1268" s="8"/>
      <c r="U1268" s="8"/>
      <c r="V1268" s="8"/>
      <c r="W1268" s="7"/>
      <c r="X1268" s="7"/>
      <c r="Y1268" s="7"/>
      <c r="Z1268" s="7"/>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7"/>
      <c r="BD1268" s="7"/>
      <c r="BE1268" s="7"/>
      <c r="BF1268" s="7"/>
      <c r="BG1268" s="7"/>
    </row>
    <row r="1269" customHeight="1" spans="1:59">
      <c r="A1269" s="9"/>
      <c r="B1269" s="5"/>
      <c r="C1269" s="5"/>
      <c r="D1269" s="5"/>
      <c r="E1269" s="7"/>
      <c r="F1269" s="8"/>
      <c r="G1269" s="8"/>
      <c r="H1269" s="8"/>
      <c r="I1269" s="14"/>
      <c r="J1269" s="14"/>
      <c r="K1269" s="14"/>
      <c r="L1269" s="14"/>
      <c r="M1269" s="7"/>
      <c r="N1269" s="8"/>
      <c r="O1269" s="8"/>
      <c r="P1269" s="8"/>
      <c r="Q1269" s="7"/>
      <c r="R1269" s="16"/>
      <c r="S1269" s="17"/>
      <c r="T1269" s="8"/>
      <c r="U1269" s="8"/>
      <c r="V1269" s="8"/>
      <c r="W1269" s="7"/>
      <c r="X1269" s="7"/>
      <c r="Y1269" s="7"/>
      <c r="Z1269" s="7"/>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c r="AX1269" s="7"/>
      <c r="AY1269" s="7"/>
      <c r="AZ1269" s="7"/>
      <c r="BA1269" s="7"/>
      <c r="BB1269" s="7"/>
      <c r="BC1269" s="7"/>
      <c r="BD1269" s="7"/>
      <c r="BE1269" s="7"/>
      <c r="BF1269" s="7"/>
      <c r="BG1269" s="7"/>
    </row>
    <row r="1270" customHeight="1" spans="1:59">
      <c r="A1270" s="9"/>
      <c r="B1270" s="5"/>
      <c r="C1270" s="5"/>
      <c r="D1270" s="5"/>
      <c r="E1270" s="7"/>
      <c r="F1270" s="8"/>
      <c r="G1270" s="8"/>
      <c r="H1270" s="8"/>
      <c r="I1270" s="14"/>
      <c r="J1270" s="14"/>
      <c r="K1270" s="14"/>
      <c r="L1270" s="14"/>
      <c r="M1270" s="7"/>
      <c r="N1270" s="8"/>
      <c r="O1270" s="8"/>
      <c r="P1270" s="8"/>
      <c r="Q1270" s="7"/>
      <c r="R1270" s="16"/>
      <c r="S1270" s="17"/>
      <c r="T1270" s="8"/>
      <c r="U1270" s="8"/>
      <c r="V1270" s="8"/>
      <c r="W1270" s="7"/>
      <c r="X1270" s="7"/>
      <c r="Y1270" s="7"/>
      <c r="Z1270" s="7"/>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c r="AX1270" s="7"/>
      <c r="AY1270" s="7"/>
      <c r="AZ1270" s="7"/>
      <c r="BA1270" s="7"/>
      <c r="BB1270" s="7"/>
      <c r="BC1270" s="7"/>
      <c r="BD1270" s="7"/>
      <c r="BE1270" s="7"/>
      <c r="BF1270" s="7"/>
      <c r="BG1270" s="7"/>
    </row>
    <row r="1271" customHeight="1" spans="1:59">
      <c r="A1271" s="9"/>
      <c r="B1271" s="5"/>
      <c r="C1271" s="5"/>
      <c r="D1271" s="5"/>
      <c r="E1271" s="7"/>
      <c r="F1271" s="8"/>
      <c r="G1271" s="8"/>
      <c r="H1271" s="8"/>
      <c r="I1271" s="14"/>
      <c r="J1271" s="14"/>
      <c r="K1271" s="14"/>
      <c r="L1271" s="14"/>
      <c r="M1271" s="7"/>
      <c r="N1271" s="8"/>
      <c r="O1271" s="8"/>
      <c r="P1271" s="8"/>
      <c r="Q1271" s="7"/>
      <c r="R1271" s="16"/>
      <c r="S1271" s="17"/>
      <c r="T1271" s="8"/>
      <c r="U1271" s="8"/>
      <c r="V1271" s="8"/>
      <c r="W1271" s="7"/>
      <c r="X1271" s="7"/>
      <c r="Y1271" s="7"/>
      <c r="Z1271" s="7"/>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c r="AX1271" s="7"/>
      <c r="AY1271" s="7"/>
      <c r="AZ1271" s="7"/>
      <c r="BA1271" s="7"/>
      <c r="BB1271" s="7"/>
      <c r="BC1271" s="7"/>
      <c r="BD1271" s="7"/>
      <c r="BE1271" s="7"/>
      <c r="BF1271" s="7"/>
      <c r="BG1271" s="7"/>
    </row>
    <row r="1272" customHeight="1" spans="1:59">
      <c r="A1272" s="9"/>
      <c r="B1272" s="5"/>
      <c r="C1272" s="5"/>
      <c r="D1272" s="5"/>
      <c r="E1272" s="7"/>
      <c r="F1272" s="8"/>
      <c r="G1272" s="8"/>
      <c r="H1272" s="8"/>
      <c r="I1272" s="14"/>
      <c r="J1272" s="14"/>
      <c r="K1272" s="14"/>
      <c r="L1272" s="14"/>
      <c r="M1272" s="7"/>
      <c r="N1272" s="8"/>
      <c r="O1272" s="8"/>
      <c r="P1272" s="8"/>
      <c r="Q1272" s="7"/>
      <c r="R1272" s="16"/>
      <c r="S1272" s="17"/>
      <c r="T1272" s="8"/>
      <c r="U1272" s="8"/>
      <c r="V1272" s="8"/>
      <c r="W1272" s="7"/>
      <c r="X1272" s="7"/>
      <c r="Y1272" s="7"/>
      <c r="Z1272" s="7"/>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c r="AX1272" s="7"/>
      <c r="AY1272" s="7"/>
      <c r="AZ1272" s="7"/>
      <c r="BA1272" s="7"/>
      <c r="BB1272" s="7"/>
      <c r="BC1272" s="7"/>
      <c r="BD1272" s="7"/>
      <c r="BE1272" s="7"/>
      <c r="BF1272" s="7"/>
      <c r="BG1272" s="7"/>
    </row>
    <row r="1273" customHeight="1" spans="1:59">
      <c r="A1273" s="9"/>
      <c r="B1273" s="5"/>
      <c r="C1273" s="5"/>
      <c r="D1273" s="5"/>
      <c r="E1273" s="7"/>
      <c r="F1273" s="8"/>
      <c r="G1273" s="8"/>
      <c r="H1273" s="8"/>
      <c r="I1273" s="14"/>
      <c r="J1273" s="14"/>
      <c r="K1273" s="14"/>
      <c r="L1273" s="14"/>
      <c r="M1273" s="7"/>
      <c r="N1273" s="8"/>
      <c r="O1273" s="8"/>
      <c r="P1273" s="8"/>
      <c r="Q1273" s="7"/>
      <c r="R1273" s="16"/>
      <c r="S1273" s="17"/>
      <c r="T1273" s="8"/>
      <c r="U1273" s="8"/>
      <c r="V1273" s="8"/>
      <c r="W1273" s="7"/>
      <c r="X1273" s="7"/>
      <c r="Y1273" s="7"/>
      <c r="Z1273" s="7"/>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7"/>
      <c r="BD1273" s="7"/>
      <c r="BE1273" s="7"/>
      <c r="BF1273" s="7"/>
      <c r="BG1273" s="7"/>
    </row>
    <row r="1274" customHeight="1" spans="1:59">
      <c r="A1274" s="9"/>
      <c r="B1274" s="5"/>
      <c r="C1274" s="5"/>
      <c r="D1274" s="5"/>
      <c r="E1274" s="7"/>
      <c r="F1274" s="8"/>
      <c r="G1274" s="8"/>
      <c r="H1274" s="8"/>
      <c r="I1274" s="14"/>
      <c r="J1274" s="14"/>
      <c r="K1274" s="14"/>
      <c r="L1274" s="14"/>
      <c r="M1274" s="7"/>
      <c r="N1274" s="8"/>
      <c r="O1274" s="8"/>
      <c r="P1274" s="8"/>
      <c r="Q1274" s="7"/>
      <c r="R1274" s="16"/>
      <c r="S1274" s="17"/>
      <c r="T1274" s="8"/>
      <c r="U1274" s="8"/>
      <c r="V1274" s="8"/>
      <c r="W1274" s="7"/>
      <c r="X1274" s="7"/>
      <c r="Y1274" s="7"/>
      <c r="Z1274" s="7"/>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c r="AX1274" s="7"/>
      <c r="AY1274" s="7"/>
      <c r="AZ1274" s="7"/>
      <c r="BA1274" s="7"/>
      <c r="BB1274" s="7"/>
      <c r="BC1274" s="7"/>
      <c r="BD1274" s="7"/>
      <c r="BE1274" s="7"/>
      <c r="BF1274" s="7"/>
      <c r="BG1274" s="7"/>
    </row>
    <row r="1275" customHeight="1" spans="1:59">
      <c r="A1275" s="9"/>
      <c r="B1275" s="5"/>
      <c r="C1275" s="5"/>
      <c r="D1275" s="5"/>
      <c r="E1275" s="7"/>
      <c r="F1275" s="8"/>
      <c r="G1275" s="8"/>
      <c r="H1275" s="8"/>
      <c r="I1275" s="14"/>
      <c r="J1275" s="14"/>
      <c r="K1275" s="14"/>
      <c r="L1275" s="14"/>
      <c r="M1275" s="7"/>
      <c r="N1275" s="8"/>
      <c r="O1275" s="8"/>
      <c r="P1275" s="8"/>
      <c r="Q1275" s="7"/>
      <c r="R1275" s="16"/>
      <c r="S1275" s="17"/>
      <c r="T1275" s="8"/>
      <c r="U1275" s="8"/>
      <c r="V1275" s="8"/>
      <c r="W1275" s="7"/>
      <c r="X1275" s="7"/>
      <c r="Y1275" s="7"/>
      <c r="Z1275" s="7"/>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c r="AX1275" s="7"/>
      <c r="AY1275" s="7"/>
      <c r="AZ1275" s="7"/>
      <c r="BA1275" s="7"/>
      <c r="BB1275" s="7"/>
      <c r="BC1275" s="7"/>
      <c r="BD1275" s="7"/>
      <c r="BE1275" s="7"/>
      <c r="BF1275" s="7"/>
      <c r="BG1275" s="7"/>
    </row>
    <row r="1276" customHeight="1" spans="1:59">
      <c r="A1276" s="9"/>
      <c r="B1276" s="5"/>
      <c r="C1276" s="5"/>
      <c r="D1276" s="5"/>
      <c r="E1276" s="7"/>
      <c r="F1276" s="8"/>
      <c r="G1276" s="8"/>
      <c r="H1276" s="8"/>
      <c r="I1276" s="14"/>
      <c r="J1276" s="14"/>
      <c r="K1276" s="14"/>
      <c r="L1276" s="14"/>
      <c r="M1276" s="7"/>
      <c r="N1276" s="8"/>
      <c r="O1276" s="8"/>
      <c r="P1276" s="8"/>
      <c r="Q1276" s="7"/>
      <c r="R1276" s="16"/>
      <c r="S1276" s="17"/>
      <c r="T1276" s="8"/>
      <c r="U1276" s="8"/>
      <c r="V1276" s="8"/>
      <c r="W1276" s="7"/>
      <c r="X1276" s="7"/>
      <c r="Y1276" s="7"/>
      <c r="Z1276" s="7"/>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c r="AX1276" s="7"/>
      <c r="AY1276" s="7"/>
      <c r="AZ1276" s="7"/>
      <c r="BA1276" s="7"/>
      <c r="BB1276" s="7"/>
      <c r="BC1276" s="7"/>
      <c r="BD1276" s="7"/>
      <c r="BE1276" s="7"/>
      <c r="BF1276" s="7"/>
      <c r="BG1276" s="7"/>
    </row>
    <row r="1277" customHeight="1" spans="1:59">
      <c r="A1277" s="9"/>
      <c r="B1277" s="5"/>
      <c r="C1277" s="5"/>
      <c r="D1277" s="5"/>
      <c r="E1277" s="7"/>
      <c r="F1277" s="8"/>
      <c r="G1277" s="8"/>
      <c r="H1277" s="8"/>
      <c r="I1277" s="14"/>
      <c r="J1277" s="14"/>
      <c r="K1277" s="14"/>
      <c r="L1277" s="14"/>
      <c r="M1277" s="7"/>
      <c r="N1277" s="8"/>
      <c r="O1277" s="8"/>
      <c r="P1277" s="8"/>
      <c r="Q1277" s="7"/>
      <c r="R1277" s="16"/>
      <c r="S1277" s="17"/>
      <c r="T1277" s="8"/>
      <c r="U1277" s="8"/>
      <c r="V1277" s="8"/>
      <c r="W1277" s="7"/>
      <c r="X1277" s="7"/>
      <c r="Y1277" s="7"/>
      <c r="Z1277" s="7"/>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c r="AX1277" s="7"/>
      <c r="AY1277" s="7"/>
      <c r="AZ1277" s="7"/>
      <c r="BA1277" s="7"/>
      <c r="BB1277" s="7"/>
      <c r="BC1277" s="7"/>
      <c r="BD1277" s="7"/>
      <c r="BE1277" s="7"/>
      <c r="BF1277" s="7"/>
      <c r="BG1277" s="7"/>
    </row>
    <row r="1278" customHeight="1" spans="1:59">
      <c r="A1278" s="9"/>
      <c r="B1278" s="5"/>
      <c r="C1278" s="5"/>
      <c r="D1278" s="5"/>
      <c r="E1278" s="7"/>
      <c r="F1278" s="8"/>
      <c r="G1278" s="8"/>
      <c r="H1278" s="8"/>
      <c r="I1278" s="14"/>
      <c r="J1278" s="14"/>
      <c r="K1278" s="14"/>
      <c r="L1278" s="14"/>
      <c r="M1278" s="7"/>
      <c r="N1278" s="8"/>
      <c r="O1278" s="8"/>
      <c r="P1278" s="8"/>
      <c r="Q1278" s="7"/>
      <c r="R1278" s="16"/>
      <c r="S1278" s="17"/>
      <c r="T1278" s="8"/>
      <c r="U1278" s="8"/>
      <c r="V1278" s="8"/>
      <c r="W1278" s="7"/>
      <c r="X1278" s="7"/>
      <c r="Y1278" s="7"/>
      <c r="Z1278" s="7"/>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c r="AX1278" s="7"/>
      <c r="AY1278" s="7"/>
      <c r="AZ1278" s="7"/>
      <c r="BA1278" s="7"/>
      <c r="BB1278" s="7"/>
      <c r="BC1278" s="7"/>
      <c r="BD1278" s="7"/>
      <c r="BE1278" s="7"/>
      <c r="BF1278" s="7"/>
      <c r="BG1278" s="7"/>
    </row>
    <row r="1279" customHeight="1" spans="1:59">
      <c r="A1279" s="9"/>
      <c r="B1279" s="5"/>
      <c r="C1279" s="5"/>
      <c r="D1279" s="5"/>
      <c r="E1279" s="7"/>
      <c r="F1279" s="8"/>
      <c r="G1279" s="8"/>
      <c r="H1279" s="8"/>
      <c r="I1279" s="14"/>
      <c r="J1279" s="14"/>
      <c r="K1279" s="14"/>
      <c r="L1279" s="14"/>
      <c r="M1279" s="7"/>
      <c r="N1279" s="8"/>
      <c r="O1279" s="8"/>
      <c r="P1279" s="8"/>
      <c r="Q1279" s="7"/>
      <c r="R1279" s="16"/>
      <c r="S1279" s="17"/>
      <c r="T1279" s="8"/>
      <c r="U1279" s="8"/>
      <c r="V1279" s="8"/>
      <c r="W1279" s="7"/>
      <c r="X1279" s="7"/>
      <c r="Y1279" s="7"/>
      <c r="Z1279" s="7"/>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row>
    <row r="1280" customHeight="1" spans="1:59">
      <c r="A1280" s="9"/>
      <c r="B1280" s="5"/>
      <c r="C1280" s="5"/>
      <c r="D1280" s="5"/>
      <c r="E1280" s="7"/>
      <c r="F1280" s="8"/>
      <c r="G1280" s="8"/>
      <c r="H1280" s="8"/>
      <c r="I1280" s="14"/>
      <c r="J1280" s="14"/>
      <c r="K1280" s="14"/>
      <c r="L1280" s="14"/>
      <c r="M1280" s="7"/>
      <c r="N1280" s="8"/>
      <c r="O1280" s="8"/>
      <c r="P1280" s="8"/>
      <c r="Q1280" s="7"/>
      <c r="R1280" s="16"/>
      <c r="S1280" s="17"/>
      <c r="T1280" s="8"/>
      <c r="U1280" s="8"/>
      <c r="V1280" s="8"/>
      <c r="W1280" s="7"/>
      <c r="X1280" s="7"/>
      <c r="Y1280" s="7"/>
      <c r="Z1280" s="7"/>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7"/>
      <c r="BD1280" s="7"/>
      <c r="BE1280" s="7"/>
      <c r="BF1280" s="7"/>
      <c r="BG1280" s="7"/>
    </row>
    <row r="1281" customHeight="1" spans="1:59">
      <c r="A1281" s="9"/>
      <c r="B1281" s="5"/>
      <c r="C1281" s="5"/>
      <c r="D1281" s="5"/>
      <c r="E1281" s="7"/>
      <c r="F1281" s="8"/>
      <c r="G1281" s="8"/>
      <c r="H1281" s="8"/>
      <c r="I1281" s="14"/>
      <c r="J1281" s="14"/>
      <c r="K1281" s="14"/>
      <c r="L1281" s="14"/>
      <c r="M1281" s="7"/>
      <c r="N1281" s="8"/>
      <c r="O1281" s="8"/>
      <c r="P1281" s="8"/>
      <c r="Q1281" s="7"/>
      <c r="R1281" s="16"/>
      <c r="S1281" s="17"/>
      <c r="T1281" s="8"/>
      <c r="U1281" s="8"/>
      <c r="V1281" s="8"/>
      <c r="W1281" s="7"/>
      <c r="X1281" s="7"/>
      <c r="Y1281" s="7"/>
      <c r="Z1281" s="7"/>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7"/>
      <c r="BD1281" s="7"/>
      <c r="BE1281" s="7"/>
      <c r="BF1281" s="7"/>
      <c r="BG1281" s="7"/>
    </row>
    <row r="1282" customHeight="1" spans="1:59">
      <c r="A1282" s="9"/>
      <c r="B1282" s="5"/>
      <c r="C1282" s="5"/>
      <c r="D1282" s="5"/>
      <c r="E1282" s="7"/>
      <c r="F1282" s="8"/>
      <c r="G1282" s="8"/>
      <c r="H1282" s="8"/>
      <c r="I1282" s="14"/>
      <c r="J1282" s="14"/>
      <c r="K1282" s="14"/>
      <c r="L1282" s="14"/>
      <c r="M1282" s="7"/>
      <c r="N1282" s="8"/>
      <c r="O1282" s="8"/>
      <c r="P1282" s="8"/>
      <c r="Q1282" s="7"/>
      <c r="R1282" s="16"/>
      <c r="S1282" s="17"/>
      <c r="T1282" s="8"/>
      <c r="U1282" s="8"/>
      <c r="V1282" s="8"/>
      <c r="W1282" s="7"/>
      <c r="X1282" s="7"/>
      <c r="Y1282" s="7"/>
      <c r="Z1282" s="7"/>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7"/>
      <c r="BD1282" s="7"/>
      <c r="BE1282" s="7"/>
      <c r="BF1282" s="7"/>
      <c r="BG1282" s="7"/>
    </row>
    <row r="1283" customHeight="1" spans="1:59">
      <c r="A1283" s="9"/>
      <c r="B1283" s="5"/>
      <c r="C1283" s="5"/>
      <c r="D1283" s="5"/>
      <c r="E1283" s="7"/>
      <c r="F1283" s="8"/>
      <c r="G1283" s="8"/>
      <c r="H1283" s="8"/>
      <c r="I1283" s="14"/>
      <c r="J1283" s="14"/>
      <c r="K1283" s="14"/>
      <c r="L1283" s="14"/>
      <c r="M1283" s="7"/>
      <c r="N1283" s="8"/>
      <c r="O1283" s="8"/>
      <c r="P1283" s="8"/>
      <c r="Q1283" s="7"/>
      <c r="R1283" s="16"/>
      <c r="S1283" s="17"/>
      <c r="T1283" s="8"/>
      <c r="U1283" s="8"/>
      <c r="V1283" s="8"/>
      <c r="W1283" s="7"/>
      <c r="X1283" s="7"/>
      <c r="Y1283" s="7"/>
      <c r="Z1283" s="7"/>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c r="AX1283" s="7"/>
      <c r="AY1283" s="7"/>
      <c r="AZ1283" s="7"/>
      <c r="BA1283" s="7"/>
      <c r="BB1283" s="7"/>
      <c r="BC1283" s="7"/>
      <c r="BD1283" s="7"/>
      <c r="BE1283" s="7"/>
      <c r="BF1283" s="7"/>
      <c r="BG1283" s="7"/>
    </row>
    <row r="1284" customHeight="1" spans="1:59">
      <c r="A1284" s="9"/>
      <c r="B1284" s="5"/>
      <c r="C1284" s="5"/>
      <c r="D1284" s="5"/>
      <c r="E1284" s="7"/>
      <c r="F1284" s="8"/>
      <c r="G1284" s="8"/>
      <c r="H1284" s="8"/>
      <c r="I1284" s="14"/>
      <c r="J1284" s="14"/>
      <c r="K1284" s="14"/>
      <c r="L1284" s="14"/>
      <c r="M1284" s="7"/>
      <c r="N1284" s="8"/>
      <c r="O1284" s="8"/>
      <c r="P1284" s="8"/>
      <c r="Q1284" s="7"/>
      <c r="R1284" s="16"/>
      <c r="S1284" s="17"/>
      <c r="T1284" s="8"/>
      <c r="U1284" s="8"/>
      <c r="V1284" s="8"/>
      <c r="W1284" s="7"/>
      <c r="X1284" s="7"/>
      <c r="Y1284" s="7"/>
      <c r="Z1284" s="7"/>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7"/>
      <c r="BD1284" s="7"/>
      <c r="BE1284" s="7"/>
      <c r="BF1284" s="7"/>
      <c r="BG1284" s="7"/>
    </row>
    <row r="1285" customHeight="1" spans="1:59">
      <c r="A1285" s="9"/>
      <c r="B1285" s="5"/>
      <c r="C1285" s="5"/>
      <c r="D1285" s="5"/>
      <c r="E1285" s="7"/>
      <c r="F1285" s="8"/>
      <c r="G1285" s="8"/>
      <c r="H1285" s="8"/>
      <c r="I1285" s="14"/>
      <c r="J1285" s="14"/>
      <c r="K1285" s="14"/>
      <c r="L1285" s="14"/>
      <c r="M1285" s="7"/>
      <c r="N1285" s="8"/>
      <c r="O1285" s="8"/>
      <c r="P1285" s="8"/>
      <c r="Q1285" s="7"/>
      <c r="R1285" s="16"/>
      <c r="S1285" s="17"/>
      <c r="T1285" s="8"/>
      <c r="U1285" s="8"/>
      <c r="V1285" s="8"/>
      <c r="W1285" s="7"/>
      <c r="X1285" s="7"/>
      <c r="Y1285" s="7"/>
      <c r="Z1285" s="7"/>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row>
    <row r="1286" customHeight="1" spans="1:59">
      <c r="A1286" s="9"/>
      <c r="B1286" s="5"/>
      <c r="C1286" s="5"/>
      <c r="D1286" s="5"/>
      <c r="E1286" s="7"/>
      <c r="F1286" s="8"/>
      <c r="G1286" s="8"/>
      <c r="H1286" s="8"/>
      <c r="I1286" s="14"/>
      <c r="J1286" s="14"/>
      <c r="K1286" s="14"/>
      <c r="L1286" s="14"/>
      <c r="M1286" s="7"/>
      <c r="N1286" s="8"/>
      <c r="O1286" s="8"/>
      <c r="P1286" s="8"/>
      <c r="Q1286" s="7"/>
      <c r="R1286" s="16"/>
      <c r="S1286" s="17"/>
      <c r="T1286" s="8"/>
      <c r="U1286" s="8"/>
      <c r="V1286" s="8"/>
      <c r="W1286" s="7"/>
      <c r="X1286" s="7"/>
      <c r="Y1286" s="7"/>
      <c r="Z1286" s="7"/>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7"/>
      <c r="BD1286" s="7"/>
      <c r="BE1286" s="7"/>
      <c r="BF1286" s="7"/>
      <c r="BG1286" s="7"/>
    </row>
    <row r="1287" customHeight="1" spans="1:59">
      <c r="A1287" s="9"/>
      <c r="B1287" s="5"/>
      <c r="C1287" s="5"/>
      <c r="D1287" s="5"/>
      <c r="E1287" s="7"/>
      <c r="F1287" s="8"/>
      <c r="G1287" s="8"/>
      <c r="H1287" s="8"/>
      <c r="I1287" s="14"/>
      <c r="J1287" s="14"/>
      <c r="K1287" s="14"/>
      <c r="L1287" s="14"/>
      <c r="M1287" s="7"/>
      <c r="N1287" s="8"/>
      <c r="O1287" s="8"/>
      <c r="P1287" s="8"/>
      <c r="Q1287" s="7"/>
      <c r="R1287" s="16"/>
      <c r="S1287" s="17"/>
      <c r="T1287" s="8"/>
      <c r="U1287" s="8"/>
      <c r="V1287" s="8"/>
      <c r="W1287" s="7"/>
      <c r="X1287" s="7"/>
      <c r="Y1287" s="7"/>
      <c r="Z1287" s="7"/>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7"/>
      <c r="BD1287" s="7"/>
      <c r="BE1287" s="7"/>
      <c r="BF1287" s="7"/>
      <c r="BG1287" s="7"/>
    </row>
    <row r="1288" customHeight="1" spans="1:59">
      <c r="A1288" s="9"/>
      <c r="B1288" s="5"/>
      <c r="C1288" s="5"/>
      <c r="D1288" s="5"/>
      <c r="E1288" s="7"/>
      <c r="F1288" s="8"/>
      <c r="G1288" s="8"/>
      <c r="H1288" s="8"/>
      <c r="I1288" s="14"/>
      <c r="J1288" s="14"/>
      <c r="K1288" s="14"/>
      <c r="L1288" s="14"/>
      <c r="M1288" s="7"/>
      <c r="N1288" s="8"/>
      <c r="O1288" s="8"/>
      <c r="P1288" s="8"/>
      <c r="Q1288" s="7"/>
      <c r="R1288" s="16"/>
      <c r="S1288" s="17"/>
      <c r="T1288" s="8"/>
      <c r="U1288" s="8"/>
      <c r="V1288" s="8"/>
      <c r="W1288" s="7"/>
      <c r="X1288" s="7"/>
      <c r="Y1288" s="7"/>
      <c r="Z1288" s="7"/>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c r="AX1288" s="7"/>
      <c r="AY1288" s="7"/>
      <c r="AZ1288" s="7"/>
      <c r="BA1288" s="7"/>
      <c r="BB1288" s="7"/>
      <c r="BC1288" s="7"/>
      <c r="BD1288" s="7"/>
      <c r="BE1288" s="7"/>
      <c r="BF1288" s="7"/>
      <c r="BG1288" s="7"/>
    </row>
    <row r="1289" customHeight="1" spans="1:59">
      <c r="A1289" s="9"/>
      <c r="B1289" s="5"/>
      <c r="C1289" s="5"/>
      <c r="D1289" s="5"/>
      <c r="E1289" s="7"/>
      <c r="F1289" s="8"/>
      <c r="G1289" s="8"/>
      <c r="H1289" s="8"/>
      <c r="I1289" s="14"/>
      <c r="J1289" s="14"/>
      <c r="K1289" s="14"/>
      <c r="L1289" s="14"/>
      <c r="M1289" s="7"/>
      <c r="N1289" s="8"/>
      <c r="O1289" s="8"/>
      <c r="P1289" s="8"/>
      <c r="Q1289" s="7"/>
      <c r="R1289" s="16"/>
      <c r="S1289" s="17"/>
      <c r="T1289" s="8"/>
      <c r="U1289" s="8"/>
      <c r="V1289" s="8"/>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row>
    <row r="1290" customHeight="1" spans="1:59">
      <c r="A1290" s="9"/>
      <c r="B1290" s="5"/>
      <c r="C1290" s="5"/>
      <c r="D1290" s="5"/>
      <c r="E1290" s="7"/>
      <c r="F1290" s="8"/>
      <c r="G1290" s="8"/>
      <c r="H1290" s="8"/>
      <c r="I1290" s="14"/>
      <c r="J1290" s="14"/>
      <c r="K1290" s="14"/>
      <c r="L1290" s="14"/>
      <c r="M1290" s="7"/>
      <c r="N1290" s="8"/>
      <c r="O1290" s="8"/>
      <c r="P1290" s="8"/>
      <c r="Q1290" s="7"/>
      <c r="R1290" s="16"/>
      <c r="S1290" s="17"/>
      <c r="T1290" s="8"/>
      <c r="U1290" s="8"/>
      <c r="V1290" s="8"/>
      <c r="W1290" s="7"/>
      <c r="X1290" s="7"/>
      <c r="Y1290" s="7"/>
      <c r="Z1290" s="7"/>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7"/>
      <c r="BD1290" s="7"/>
      <c r="BE1290" s="7"/>
      <c r="BF1290" s="7"/>
      <c r="BG1290" s="7"/>
    </row>
    <row r="1291" customHeight="1" spans="1:59">
      <c r="A1291" s="9"/>
      <c r="B1291" s="5"/>
      <c r="C1291" s="5"/>
      <c r="D1291" s="5"/>
      <c r="E1291" s="7"/>
      <c r="F1291" s="8"/>
      <c r="G1291" s="8"/>
      <c r="H1291" s="8"/>
      <c r="I1291" s="14"/>
      <c r="J1291" s="14"/>
      <c r="K1291" s="14"/>
      <c r="L1291" s="14"/>
      <c r="M1291" s="7"/>
      <c r="N1291" s="8"/>
      <c r="O1291" s="8"/>
      <c r="P1291" s="8"/>
      <c r="Q1291" s="7"/>
      <c r="R1291" s="16"/>
      <c r="S1291" s="17"/>
      <c r="T1291" s="8"/>
      <c r="U1291" s="8"/>
      <c r="V1291" s="8"/>
      <c r="W1291" s="7"/>
      <c r="X1291" s="7"/>
      <c r="Y1291" s="7"/>
      <c r="Z1291" s="7"/>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7"/>
      <c r="BD1291" s="7"/>
      <c r="BE1291" s="7"/>
      <c r="BF1291" s="7"/>
      <c r="BG1291" s="7"/>
    </row>
    <row r="1292" customHeight="1" spans="1:59">
      <c r="A1292" s="9"/>
      <c r="B1292" s="5"/>
      <c r="C1292" s="5"/>
      <c r="D1292" s="5"/>
      <c r="E1292" s="7"/>
      <c r="F1292" s="8"/>
      <c r="G1292" s="8"/>
      <c r="H1292" s="8"/>
      <c r="I1292" s="14"/>
      <c r="J1292" s="14"/>
      <c r="K1292" s="14"/>
      <c r="L1292" s="14"/>
      <c r="M1292" s="7"/>
      <c r="N1292" s="8"/>
      <c r="O1292" s="8"/>
      <c r="P1292" s="8"/>
      <c r="Q1292" s="7"/>
      <c r="R1292" s="16"/>
      <c r="S1292" s="17"/>
      <c r="T1292" s="8"/>
      <c r="U1292" s="8"/>
      <c r="V1292" s="8"/>
      <c r="W1292" s="7"/>
      <c r="X1292" s="7"/>
      <c r="Y1292" s="7"/>
      <c r="Z1292" s="7"/>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7"/>
      <c r="BD1292" s="7"/>
      <c r="BE1292" s="7"/>
      <c r="BF1292" s="7"/>
      <c r="BG1292" s="7"/>
    </row>
    <row r="1293" customHeight="1" spans="1:59">
      <c r="A1293" s="9"/>
      <c r="B1293" s="5"/>
      <c r="C1293" s="5"/>
      <c r="D1293" s="5"/>
      <c r="E1293" s="7"/>
      <c r="F1293" s="8"/>
      <c r="G1293" s="8"/>
      <c r="H1293" s="8"/>
      <c r="I1293" s="14"/>
      <c r="J1293" s="14"/>
      <c r="K1293" s="14"/>
      <c r="L1293" s="14"/>
      <c r="M1293" s="7"/>
      <c r="N1293" s="8"/>
      <c r="O1293" s="8"/>
      <c r="P1293" s="8"/>
      <c r="Q1293" s="7"/>
      <c r="R1293" s="16"/>
      <c r="S1293" s="17"/>
      <c r="T1293" s="8"/>
      <c r="U1293" s="8"/>
      <c r="V1293" s="8"/>
      <c r="W1293" s="7"/>
      <c r="X1293" s="7"/>
      <c r="Y1293" s="7"/>
      <c r="Z1293" s="7"/>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7"/>
      <c r="AX1293" s="7"/>
      <c r="AY1293" s="7"/>
      <c r="AZ1293" s="7"/>
      <c r="BA1293" s="7"/>
      <c r="BB1293" s="7"/>
      <c r="BC1293" s="7"/>
      <c r="BD1293" s="7"/>
      <c r="BE1293" s="7"/>
      <c r="BF1293" s="7"/>
      <c r="BG1293" s="7"/>
    </row>
    <row r="1294" customHeight="1" spans="1:59">
      <c r="A1294" s="9"/>
      <c r="B1294" s="5"/>
      <c r="C1294" s="5"/>
      <c r="D1294" s="5"/>
      <c r="E1294" s="7"/>
      <c r="F1294" s="8"/>
      <c r="G1294" s="8"/>
      <c r="H1294" s="8"/>
      <c r="I1294" s="14"/>
      <c r="J1294" s="14"/>
      <c r="K1294" s="14"/>
      <c r="L1294" s="14"/>
      <c r="M1294" s="7"/>
      <c r="N1294" s="8"/>
      <c r="O1294" s="8"/>
      <c r="P1294" s="8"/>
      <c r="Q1294" s="7"/>
      <c r="R1294" s="16"/>
      <c r="S1294" s="17"/>
      <c r="T1294" s="8"/>
      <c r="U1294" s="8"/>
      <c r="V1294" s="8"/>
      <c r="W1294" s="7"/>
      <c r="X1294" s="7"/>
      <c r="Y1294" s="7"/>
      <c r="Z1294" s="7"/>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7"/>
      <c r="BD1294" s="7"/>
      <c r="BE1294" s="7"/>
      <c r="BF1294" s="7"/>
      <c r="BG1294" s="7"/>
    </row>
    <row r="1295" customHeight="1" spans="1:59">
      <c r="A1295" s="9"/>
      <c r="B1295" s="5"/>
      <c r="C1295" s="5"/>
      <c r="D1295" s="5"/>
      <c r="E1295" s="7"/>
      <c r="F1295" s="8"/>
      <c r="G1295" s="8"/>
      <c r="H1295" s="8"/>
      <c r="I1295" s="14"/>
      <c r="J1295" s="14"/>
      <c r="K1295" s="14"/>
      <c r="L1295" s="14"/>
      <c r="M1295" s="7"/>
      <c r="N1295" s="8"/>
      <c r="O1295" s="8"/>
      <c r="P1295" s="8"/>
      <c r="Q1295" s="7"/>
      <c r="R1295" s="16"/>
      <c r="S1295" s="17"/>
      <c r="T1295" s="8"/>
      <c r="U1295" s="8"/>
      <c r="V1295" s="8"/>
      <c r="W1295" s="7"/>
      <c r="X1295" s="7"/>
      <c r="Y1295" s="7"/>
      <c r="Z1295" s="7"/>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row>
    <row r="1296" customHeight="1" spans="1:59">
      <c r="A1296" s="9"/>
      <c r="B1296" s="5"/>
      <c r="C1296" s="5"/>
      <c r="D1296" s="5"/>
      <c r="E1296" s="7"/>
      <c r="F1296" s="8"/>
      <c r="G1296" s="8"/>
      <c r="H1296" s="8"/>
      <c r="I1296" s="14"/>
      <c r="J1296" s="14"/>
      <c r="K1296" s="14"/>
      <c r="L1296" s="14"/>
      <c r="M1296" s="7"/>
      <c r="N1296" s="8"/>
      <c r="O1296" s="8"/>
      <c r="P1296" s="8"/>
      <c r="Q1296" s="7"/>
      <c r="R1296" s="16"/>
      <c r="S1296" s="17"/>
      <c r="T1296" s="8"/>
      <c r="U1296" s="8"/>
      <c r="V1296" s="8"/>
      <c r="W1296" s="7"/>
      <c r="X1296" s="7"/>
      <c r="Y1296" s="7"/>
      <c r="Z1296" s="7"/>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7"/>
      <c r="AX1296" s="7"/>
      <c r="AY1296" s="7"/>
      <c r="AZ1296" s="7"/>
      <c r="BA1296" s="7"/>
      <c r="BB1296" s="7"/>
      <c r="BC1296" s="7"/>
      <c r="BD1296" s="7"/>
      <c r="BE1296" s="7"/>
      <c r="BF1296" s="7"/>
      <c r="BG1296" s="7"/>
    </row>
    <row r="1297" customHeight="1" spans="1:59">
      <c r="A1297" s="9"/>
      <c r="B1297" s="5"/>
      <c r="C1297" s="5"/>
      <c r="D1297" s="5"/>
      <c r="E1297" s="7"/>
      <c r="F1297" s="8"/>
      <c r="G1297" s="8"/>
      <c r="H1297" s="8"/>
      <c r="I1297" s="14"/>
      <c r="J1297" s="14"/>
      <c r="K1297" s="14"/>
      <c r="L1297" s="14"/>
      <c r="M1297" s="7"/>
      <c r="N1297" s="8"/>
      <c r="O1297" s="8"/>
      <c r="P1297" s="8"/>
      <c r="Q1297" s="7"/>
      <c r="R1297" s="16"/>
      <c r="S1297" s="17"/>
      <c r="T1297" s="8"/>
      <c r="U1297" s="8"/>
      <c r="V1297" s="8"/>
      <c r="W1297" s="7"/>
      <c r="X1297" s="7"/>
      <c r="Y1297" s="7"/>
      <c r="Z1297" s="7"/>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row>
    <row r="1298" customHeight="1" spans="1:59">
      <c r="A1298" s="9"/>
      <c r="B1298" s="5"/>
      <c r="C1298" s="5"/>
      <c r="D1298" s="5"/>
      <c r="E1298" s="7"/>
      <c r="F1298" s="8"/>
      <c r="G1298" s="8"/>
      <c r="H1298" s="8"/>
      <c r="I1298" s="14"/>
      <c r="J1298" s="14"/>
      <c r="K1298" s="14"/>
      <c r="L1298" s="14"/>
      <c r="M1298" s="7"/>
      <c r="N1298" s="8"/>
      <c r="O1298" s="8"/>
      <c r="P1298" s="8"/>
      <c r="Q1298" s="7"/>
      <c r="R1298" s="16"/>
      <c r="S1298" s="17"/>
      <c r="T1298" s="8"/>
      <c r="U1298" s="8"/>
      <c r="V1298" s="8"/>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row>
    <row r="1299" customHeight="1" spans="1:59">
      <c r="A1299" s="9"/>
      <c r="B1299" s="5"/>
      <c r="C1299" s="5"/>
      <c r="D1299" s="5"/>
      <c r="E1299" s="7"/>
      <c r="F1299" s="8"/>
      <c r="G1299" s="8"/>
      <c r="H1299" s="8"/>
      <c r="I1299" s="14"/>
      <c r="J1299" s="14"/>
      <c r="K1299" s="14"/>
      <c r="L1299" s="14"/>
      <c r="M1299" s="7"/>
      <c r="N1299" s="8"/>
      <c r="O1299" s="8"/>
      <c r="P1299" s="8"/>
      <c r="Q1299" s="7"/>
      <c r="R1299" s="16"/>
      <c r="S1299" s="17"/>
      <c r="T1299" s="8"/>
      <c r="U1299" s="8"/>
      <c r="V1299" s="8"/>
      <c r="W1299" s="7"/>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row>
    <row r="1300" customHeight="1" spans="1:59">
      <c r="A1300" s="9"/>
      <c r="B1300" s="5"/>
      <c r="C1300" s="5"/>
      <c r="D1300" s="5"/>
      <c r="E1300" s="7"/>
      <c r="F1300" s="8"/>
      <c r="G1300" s="8"/>
      <c r="H1300" s="8"/>
      <c r="I1300" s="14"/>
      <c r="J1300" s="14"/>
      <c r="K1300" s="14"/>
      <c r="L1300" s="14"/>
      <c r="M1300" s="7"/>
      <c r="N1300" s="8"/>
      <c r="O1300" s="8"/>
      <c r="P1300" s="8"/>
      <c r="Q1300" s="7"/>
      <c r="R1300" s="16"/>
      <c r="S1300" s="17"/>
      <c r="T1300" s="8"/>
      <c r="U1300" s="8"/>
      <c r="V1300" s="8"/>
      <c r="W1300" s="7"/>
      <c r="X1300" s="7"/>
      <c r="Y1300" s="7"/>
      <c r="Z1300" s="7"/>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7"/>
      <c r="BD1300" s="7"/>
      <c r="BE1300" s="7"/>
      <c r="BF1300" s="7"/>
      <c r="BG1300" s="7"/>
    </row>
    <row r="1301" customHeight="1" spans="1:59">
      <c r="A1301" s="9"/>
      <c r="B1301" s="5"/>
      <c r="C1301" s="5"/>
      <c r="D1301" s="5"/>
      <c r="E1301" s="7"/>
      <c r="F1301" s="8"/>
      <c r="G1301" s="8"/>
      <c r="H1301" s="8"/>
      <c r="I1301" s="14"/>
      <c r="J1301" s="14"/>
      <c r="K1301" s="14"/>
      <c r="L1301" s="14"/>
      <c r="M1301" s="7"/>
      <c r="N1301" s="8"/>
      <c r="O1301" s="8"/>
      <c r="P1301" s="8"/>
      <c r="Q1301" s="7"/>
      <c r="R1301" s="16"/>
      <c r="S1301" s="17"/>
      <c r="T1301" s="8"/>
      <c r="U1301" s="8"/>
      <c r="V1301" s="8"/>
      <c r="W1301" s="7"/>
      <c r="X1301" s="7"/>
      <c r="Y1301" s="7"/>
      <c r="Z1301" s="7"/>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7"/>
      <c r="BD1301" s="7"/>
      <c r="BE1301" s="7"/>
      <c r="BF1301" s="7"/>
      <c r="BG1301" s="7"/>
    </row>
    <row r="1302" customHeight="1" spans="1:59">
      <c r="A1302" s="9"/>
      <c r="B1302" s="5"/>
      <c r="C1302" s="5"/>
      <c r="D1302" s="5"/>
      <c r="E1302" s="7"/>
      <c r="F1302" s="8"/>
      <c r="G1302" s="8"/>
      <c r="H1302" s="8"/>
      <c r="I1302" s="14"/>
      <c r="J1302" s="14"/>
      <c r="K1302" s="14"/>
      <c r="L1302" s="14"/>
      <c r="M1302" s="7"/>
      <c r="N1302" s="8"/>
      <c r="O1302" s="8"/>
      <c r="P1302" s="8"/>
      <c r="Q1302" s="7"/>
      <c r="R1302" s="16"/>
      <c r="S1302" s="17"/>
      <c r="T1302" s="8"/>
      <c r="U1302" s="8"/>
      <c r="V1302" s="8"/>
      <c r="W1302" s="7"/>
      <c r="X1302" s="7"/>
      <c r="Y1302" s="7"/>
      <c r="Z1302" s="7"/>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row>
    <row r="1303" customHeight="1" spans="1:59">
      <c r="A1303" s="9"/>
      <c r="B1303" s="5"/>
      <c r="C1303" s="5"/>
      <c r="D1303" s="5"/>
      <c r="E1303" s="7"/>
      <c r="F1303" s="8"/>
      <c r="G1303" s="8"/>
      <c r="H1303" s="8"/>
      <c r="I1303" s="14"/>
      <c r="J1303" s="14"/>
      <c r="K1303" s="14"/>
      <c r="L1303" s="14"/>
      <c r="M1303" s="7"/>
      <c r="N1303" s="8"/>
      <c r="O1303" s="8"/>
      <c r="P1303" s="8"/>
      <c r="Q1303" s="7"/>
      <c r="R1303" s="16"/>
      <c r="S1303" s="17"/>
      <c r="T1303" s="8"/>
      <c r="U1303" s="8"/>
      <c r="V1303" s="8"/>
      <c r="W1303" s="7"/>
      <c r="X1303" s="7"/>
      <c r="Y1303" s="7"/>
      <c r="Z1303" s="7"/>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7"/>
      <c r="BD1303" s="7"/>
      <c r="BE1303" s="7"/>
      <c r="BF1303" s="7"/>
      <c r="BG1303" s="7"/>
    </row>
    <row r="1304" customHeight="1" spans="1:59">
      <c r="A1304" s="9"/>
      <c r="B1304" s="5"/>
      <c r="C1304" s="5"/>
      <c r="D1304" s="5"/>
      <c r="E1304" s="7"/>
      <c r="F1304" s="8"/>
      <c r="G1304" s="8"/>
      <c r="H1304" s="8"/>
      <c r="I1304" s="14"/>
      <c r="J1304" s="14"/>
      <c r="K1304" s="14"/>
      <c r="L1304" s="14"/>
      <c r="M1304" s="7"/>
      <c r="N1304" s="8"/>
      <c r="O1304" s="8"/>
      <c r="P1304" s="8"/>
      <c r="Q1304" s="7"/>
      <c r="R1304" s="16"/>
      <c r="S1304" s="17"/>
      <c r="T1304" s="8"/>
      <c r="U1304" s="8"/>
      <c r="V1304" s="8"/>
      <c r="W1304" s="7"/>
      <c r="X1304" s="7"/>
      <c r="Y1304" s="7"/>
      <c r="Z1304" s="7"/>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7"/>
      <c r="BD1304" s="7"/>
      <c r="BE1304" s="7"/>
      <c r="BF1304" s="7"/>
      <c r="BG1304" s="7"/>
    </row>
    <row r="1305" customHeight="1" spans="1:59">
      <c r="A1305" s="9"/>
      <c r="B1305" s="5"/>
      <c r="C1305" s="5"/>
      <c r="D1305" s="5"/>
      <c r="E1305" s="7"/>
      <c r="F1305" s="8"/>
      <c r="G1305" s="8"/>
      <c r="H1305" s="8"/>
      <c r="I1305" s="14"/>
      <c r="J1305" s="14"/>
      <c r="K1305" s="14"/>
      <c r="L1305" s="14"/>
      <c r="M1305" s="7"/>
      <c r="N1305" s="8"/>
      <c r="O1305" s="8"/>
      <c r="P1305" s="8"/>
      <c r="Q1305" s="7"/>
      <c r="R1305" s="16"/>
      <c r="S1305" s="17"/>
      <c r="T1305" s="8"/>
      <c r="U1305" s="8"/>
      <c r="V1305" s="8"/>
      <c r="W1305" s="7"/>
      <c r="X1305" s="7"/>
      <c r="Y1305" s="7"/>
      <c r="Z1305" s="7"/>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7"/>
      <c r="BD1305" s="7"/>
      <c r="BE1305" s="7"/>
      <c r="BF1305" s="7"/>
      <c r="BG1305" s="7"/>
    </row>
    <row r="1306" customHeight="1" spans="1:59">
      <c r="A1306" s="9"/>
      <c r="B1306" s="5"/>
      <c r="C1306" s="5"/>
      <c r="D1306" s="5"/>
      <c r="E1306" s="7"/>
      <c r="F1306" s="8"/>
      <c r="G1306" s="8"/>
      <c r="H1306" s="8"/>
      <c r="I1306" s="14"/>
      <c r="J1306" s="14"/>
      <c r="K1306" s="14"/>
      <c r="L1306" s="14"/>
      <c r="M1306" s="7"/>
      <c r="N1306" s="8"/>
      <c r="O1306" s="8"/>
      <c r="P1306" s="8"/>
      <c r="Q1306" s="7"/>
      <c r="R1306" s="16"/>
      <c r="S1306" s="17"/>
      <c r="T1306" s="8"/>
      <c r="U1306" s="8"/>
      <c r="V1306" s="8"/>
      <c r="W1306" s="7"/>
      <c r="X1306" s="7"/>
      <c r="Y1306" s="7"/>
      <c r="Z1306" s="7"/>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c r="AX1306" s="7"/>
      <c r="AY1306" s="7"/>
      <c r="AZ1306" s="7"/>
      <c r="BA1306" s="7"/>
      <c r="BB1306" s="7"/>
      <c r="BC1306" s="7"/>
      <c r="BD1306" s="7"/>
      <c r="BE1306" s="7"/>
      <c r="BF1306" s="7"/>
      <c r="BG1306" s="7"/>
    </row>
    <row r="1307" customHeight="1" spans="1:59">
      <c r="A1307" s="9"/>
      <c r="B1307" s="5"/>
      <c r="C1307" s="5"/>
      <c r="D1307" s="5"/>
      <c r="E1307" s="7"/>
      <c r="F1307" s="8"/>
      <c r="G1307" s="8"/>
      <c r="H1307" s="8"/>
      <c r="I1307" s="14"/>
      <c r="J1307" s="14"/>
      <c r="K1307" s="14"/>
      <c r="L1307" s="14"/>
      <c r="M1307" s="7"/>
      <c r="N1307" s="8"/>
      <c r="O1307" s="8"/>
      <c r="P1307" s="8"/>
      <c r="Q1307" s="7"/>
      <c r="R1307" s="16"/>
      <c r="S1307" s="17"/>
      <c r="T1307" s="8"/>
      <c r="U1307" s="8"/>
      <c r="V1307" s="8"/>
      <c r="W1307" s="7"/>
      <c r="X1307" s="7"/>
      <c r="Y1307" s="7"/>
      <c r="Z1307" s="7"/>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c r="AX1307" s="7"/>
      <c r="AY1307" s="7"/>
      <c r="AZ1307" s="7"/>
      <c r="BA1307" s="7"/>
      <c r="BB1307" s="7"/>
      <c r="BC1307" s="7"/>
      <c r="BD1307" s="7"/>
      <c r="BE1307" s="7"/>
      <c r="BF1307" s="7"/>
      <c r="BG1307" s="7"/>
    </row>
    <row r="1308" customHeight="1" spans="1:59">
      <c r="A1308" s="9"/>
      <c r="B1308" s="5"/>
      <c r="C1308" s="5"/>
      <c r="D1308" s="5"/>
      <c r="E1308" s="7"/>
      <c r="F1308" s="8"/>
      <c r="G1308" s="8"/>
      <c r="H1308" s="8"/>
      <c r="I1308" s="14"/>
      <c r="J1308" s="14"/>
      <c r="K1308" s="14"/>
      <c r="L1308" s="14"/>
      <c r="M1308" s="7"/>
      <c r="N1308" s="8"/>
      <c r="O1308" s="8"/>
      <c r="P1308" s="8"/>
      <c r="Q1308" s="7"/>
      <c r="R1308" s="16"/>
      <c r="S1308" s="17"/>
      <c r="T1308" s="8"/>
      <c r="U1308" s="8"/>
      <c r="V1308" s="8"/>
      <c r="W1308" s="7"/>
      <c r="X1308" s="7"/>
      <c r="Y1308" s="7"/>
      <c r="Z1308" s="7"/>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row>
    <row r="1309" customHeight="1" spans="1:59">
      <c r="A1309" s="9"/>
      <c r="B1309" s="5"/>
      <c r="C1309" s="5"/>
      <c r="D1309" s="5"/>
      <c r="E1309" s="7"/>
      <c r="F1309" s="8"/>
      <c r="G1309" s="8"/>
      <c r="H1309" s="8"/>
      <c r="I1309" s="14"/>
      <c r="J1309" s="14"/>
      <c r="K1309" s="14"/>
      <c r="L1309" s="14"/>
      <c r="M1309" s="7"/>
      <c r="N1309" s="8"/>
      <c r="O1309" s="8"/>
      <c r="P1309" s="8"/>
      <c r="Q1309" s="7"/>
      <c r="R1309" s="16"/>
      <c r="S1309" s="17"/>
      <c r="T1309" s="8"/>
      <c r="U1309" s="8"/>
      <c r="V1309" s="8"/>
      <c r="W1309" s="7"/>
      <c r="X1309" s="7"/>
      <c r="Y1309" s="7"/>
      <c r="Z1309" s="7"/>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7"/>
      <c r="BD1309" s="7"/>
      <c r="BE1309" s="7"/>
      <c r="BF1309" s="7"/>
      <c r="BG1309" s="7"/>
    </row>
    <row r="1310" customHeight="1" spans="1:59">
      <c r="A1310" s="9"/>
      <c r="B1310" s="5"/>
      <c r="C1310" s="5"/>
      <c r="D1310" s="5"/>
      <c r="E1310" s="7"/>
      <c r="F1310" s="8"/>
      <c r="G1310" s="8"/>
      <c r="H1310" s="8"/>
      <c r="I1310" s="14"/>
      <c r="J1310" s="14"/>
      <c r="K1310" s="14"/>
      <c r="L1310" s="14"/>
      <c r="M1310" s="7"/>
      <c r="N1310" s="8"/>
      <c r="O1310" s="8"/>
      <c r="P1310" s="8"/>
      <c r="Q1310" s="7"/>
      <c r="R1310" s="16"/>
      <c r="S1310" s="17"/>
      <c r="T1310" s="8"/>
      <c r="U1310" s="8"/>
      <c r="V1310" s="8"/>
      <c r="W1310" s="7"/>
      <c r="X1310" s="7"/>
      <c r="Y1310" s="7"/>
      <c r="Z1310" s="7"/>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7"/>
      <c r="BD1310" s="7"/>
      <c r="BE1310" s="7"/>
      <c r="BF1310" s="7"/>
      <c r="BG1310" s="7"/>
    </row>
    <row r="1311" customHeight="1" spans="1:59">
      <c r="A1311" s="9"/>
      <c r="B1311" s="5"/>
      <c r="C1311" s="5"/>
      <c r="D1311" s="5"/>
      <c r="E1311" s="7"/>
      <c r="F1311" s="8"/>
      <c r="G1311" s="8"/>
      <c r="H1311" s="8"/>
      <c r="I1311" s="14"/>
      <c r="J1311" s="14"/>
      <c r="K1311" s="14"/>
      <c r="L1311" s="14"/>
      <c r="M1311" s="7"/>
      <c r="N1311" s="8"/>
      <c r="O1311" s="8"/>
      <c r="P1311" s="8"/>
      <c r="Q1311" s="7"/>
      <c r="R1311" s="16"/>
      <c r="S1311" s="17"/>
      <c r="T1311" s="8"/>
      <c r="U1311" s="8"/>
      <c r="V1311" s="8"/>
      <c r="W1311" s="7"/>
      <c r="X1311" s="7"/>
      <c r="Y1311" s="7"/>
      <c r="Z1311" s="7"/>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row>
    <row r="1312" customHeight="1" spans="1:59">
      <c r="A1312" s="9"/>
      <c r="B1312" s="5"/>
      <c r="C1312" s="5"/>
      <c r="D1312" s="5"/>
      <c r="E1312" s="7"/>
      <c r="F1312" s="8"/>
      <c r="G1312" s="8"/>
      <c r="H1312" s="8"/>
      <c r="I1312" s="14"/>
      <c r="J1312" s="14"/>
      <c r="K1312" s="14"/>
      <c r="L1312" s="14"/>
      <c r="M1312" s="7"/>
      <c r="N1312" s="8"/>
      <c r="O1312" s="8"/>
      <c r="P1312" s="8"/>
      <c r="Q1312" s="7"/>
      <c r="R1312" s="16"/>
      <c r="S1312" s="17"/>
      <c r="T1312" s="8"/>
      <c r="U1312" s="8"/>
      <c r="V1312" s="8"/>
      <c r="W1312" s="7"/>
      <c r="X1312" s="7"/>
      <c r="Y1312" s="7"/>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row>
    <row r="1313" customHeight="1" spans="1:59">
      <c r="A1313" s="9"/>
      <c r="B1313" s="5"/>
      <c r="C1313" s="5"/>
      <c r="D1313" s="5"/>
      <c r="E1313" s="7"/>
      <c r="F1313" s="8"/>
      <c r="G1313" s="8"/>
      <c r="H1313" s="8"/>
      <c r="I1313" s="14"/>
      <c r="J1313" s="14"/>
      <c r="K1313" s="14"/>
      <c r="L1313" s="14"/>
      <c r="M1313" s="7"/>
      <c r="N1313" s="8"/>
      <c r="O1313" s="8"/>
      <c r="P1313" s="8"/>
      <c r="Q1313" s="7"/>
      <c r="R1313" s="16"/>
      <c r="S1313" s="17"/>
      <c r="T1313" s="8"/>
      <c r="U1313" s="8"/>
      <c r="V1313" s="8"/>
      <c r="W1313" s="7"/>
      <c r="X1313" s="7"/>
      <c r="Y1313" s="7"/>
      <c r="Z1313" s="7"/>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c r="AX1313" s="7"/>
      <c r="AY1313" s="7"/>
      <c r="AZ1313" s="7"/>
      <c r="BA1313" s="7"/>
      <c r="BB1313" s="7"/>
      <c r="BC1313" s="7"/>
      <c r="BD1313" s="7"/>
      <c r="BE1313" s="7"/>
      <c r="BF1313" s="7"/>
      <c r="BG1313" s="7"/>
    </row>
    <row r="1314" customHeight="1" spans="1:59">
      <c r="A1314" s="9"/>
      <c r="B1314" s="5"/>
      <c r="C1314" s="5"/>
      <c r="D1314" s="5"/>
      <c r="E1314" s="7"/>
      <c r="F1314" s="8"/>
      <c r="G1314" s="8"/>
      <c r="H1314" s="8"/>
      <c r="I1314" s="14"/>
      <c r="J1314" s="14"/>
      <c r="K1314" s="14"/>
      <c r="L1314" s="14"/>
      <c r="M1314" s="7"/>
      <c r="N1314" s="8"/>
      <c r="O1314" s="8"/>
      <c r="P1314" s="8"/>
      <c r="Q1314" s="7"/>
      <c r="R1314" s="16"/>
      <c r="S1314" s="17"/>
      <c r="T1314" s="8"/>
      <c r="U1314" s="8"/>
      <c r="V1314" s="8"/>
      <c r="W1314" s="7"/>
      <c r="X1314" s="7"/>
      <c r="Y1314" s="7"/>
      <c r="Z1314" s="7"/>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7"/>
      <c r="AX1314" s="7"/>
      <c r="AY1314" s="7"/>
      <c r="AZ1314" s="7"/>
      <c r="BA1314" s="7"/>
      <c r="BB1314" s="7"/>
      <c r="BC1314" s="7"/>
      <c r="BD1314" s="7"/>
      <c r="BE1314" s="7"/>
      <c r="BF1314" s="7"/>
      <c r="BG1314" s="7"/>
    </row>
    <row r="1315" customHeight="1" spans="1:59">
      <c r="A1315" s="9"/>
      <c r="B1315" s="5"/>
      <c r="C1315" s="5"/>
      <c r="D1315" s="5"/>
      <c r="E1315" s="7"/>
      <c r="F1315" s="8"/>
      <c r="G1315" s="8"/>
      <c r="H1315" s="8"/>
      <c r="I1315" s="14"/>
      <c r="J1315" s="14"/>
      <c r="K1315" s="14"/>
      <c r="L1315" s="14"/>
      <c r="M1315" s="7"/>
      <c r="N1315" s="8"/>
      <c r="O1315" s="8"/>
      <c r="P1315" s="8"/>
      <c r="Q1315" s="7"/>
      <c r="R1315" s="16"/>
      <c r="S1315" s="17"/>
      <c r="T1315" s="8"/>
      <c r="U1315" s="8"/>
      <c r="V1315" s="8"/>
      <c r="W1315" s="7"/>
      <c r="X1315" s="7"/>
      <c r="Y1315" s="7"/>
      <c r="Z1315" s="7"/>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c r="AX1315" s="7"/>
      <c r="AY1315" s="7"/>
      <c r="AZ1315" s="7"/>
      <c r="BA1315" s="7"/>
      <c r="BB1315" s="7"/>
      <c r="BC1315" s="7"/>
      <c r="BD1315" s="7"/>
      <c r="BE1315" s="7"/>
      <c r="BF1315" s="7"/>
      <c r="BG1315" s="7"/>
    </row>
    <row r="1316" customHeight="1" spans="1:59">
      <c r="A1316" s="9"/>
      <c r="B1316" s="5"/>
      <c r="C1316" s="5"/>
      <c r="D1316" s="5"/>
      <c r="E1316" s="7"/>
      <c r="F1316" s="8"/>
      <c r="G1316" s="8"/>
      <c r="H1316" s="8"/>
      <c r="I1316" s="14"/>
      <c r="J1316" s="14"/>
      <c r="K1316" s="14"/>
      <c r="L1316" s="14"/>
      <c r="M1316" s="7"/>
      <c r="N1316" s="8"/>
      <c r="O1316" s="8"/>
      <c r="P1316" s="8"/>
      <c r="Q1316" s="7"/>
      <c r="R1316" s="16"/>
      <c r="S1316" s="17"/>
      <c r="T1316" s="8"/>
      <c r="U1316" s="8"/>
      <c r="V1316" s="8"/>
      <c r="W1316" s="7"/>
      <c r="X1316" s="7"/>
      <c r="Y1316" s="7"/>
      <c r="Z1316" s="7"/>
      <c r="AA1316" s="7"/>
      <c r="AB1316" s="7"/>
      <c r="AC1316" s="7"/>
      <c r="AD1316" s="7"/>
      <c r="AE1316" s="7"/>
      <c r="AF1316" s="7"/>
      <c r="AG1316" s="7"/>
      <c r="AH1316" s="7"/>
      <c r="AI1316" s="7"/>
      <c r="AJ1316" s="7"/>
      <c r="AK1316" s="7"/>
      <c r="AL1316" s="7"/>
      <c r="AM1316" s="7"/>
      <c r="AN1316" s="7"/>
      <c r="AO1316" s="7"/>
      <c r="AP1316" s="7"/>
      <c r="AQ1316" s="7"/>
      <c r="AR1316" s="7"/>
      <c r="AS1316" s="7"/>
      <c r="AT1316" s="7"/>
      <c r="AU1316" s="7"/>
      <c r="AV1316" s="7"/>
      <c r="AW1316" s="7"/>
      <c r="AX1316" s="7"/>
      <c r="AY1316" s="7"/>
      <c r="AZ1316" s="7"/>
      <c r="BA1316" s="7"/>
      <c r="BB1316" s="7"/>
      <c r="BC1316" s="7"/>
      <c r="BD1316" s="7"/>
      <c r="BE1316" s="7"/>
      <c r="BF1316" s="7"/>
      <c r="BG1316" s="7"/>
    </row>
    <row r="1317" customHeight="1" spans="1:59">
      <c r="A1317" s="9"/>
      <c r="B1317" s="5"/>
      <c r="C1317" s="5"/>
      <c r="D1317" s="5"/>
      <c r="E1317" s="7"/>
      <c r="F1317" s="8"/>
      <c r="G1317" s="8"/>
      <c r="H1317" s="8"/>
      <c r="I1317" s="14"/>
      <c r="J1317" s="14"/>
      <c r="K1317" s="14"/>
      <c r="L1317" s="14"/>
      <c r="M1317" s="7"/>
      <c r="N1317" s="8"/>
      <c r="O1317" s="8"/>
      <c r="P1317" s="8"/>
      <c r="Q1317" s="7"/>
      <c r="R1317" s="16"/>
      <c r="S1317" s="17"/>
      <c r="T1317" s="8"/>
      <c r="U1317" s="8"/>
      <c r="V1317" s="8"/>
      <c r="W1317" s="7"/>
      <c r="X1317" s="7"/>
      <c r="Y1317" s="7"/>
      <c r="Z1317" s="7"/>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row>
    <row r="1318" customHeight="1" spans="1:59">
      <c r="A1318" s="9"/>
      <c r="B1318" s="5"/>
      <c r="C1318" s="5"/>
      <c r="D1318" s="5"/>
      <c r="E1318" s="7"/>
      <c r="F1318" s="8"/>
      <c r="G1318" s="8"/>
      <c r="H1318" s="8"/>
      <c r="I1318" s="14"/>
      <c r="J1318" s="14"/>
      <c r="K1318" s="14"/>
      <c r="L1318" s="14"/>
      <c r="M1318" s="7"/>
      <c r="N1318" s="8"/>
      <c r="O1318" s="8"/>
      <c r="P1318" s="8"/>
      <c r="Q1318" s="7"/>
      <c r="R1318" s="16"/>
      <c r="S1318" s="17"/>
      <c r="T1318" s="8"/>
      <c r="U1318" s="8"/>
      <c r="V1318" s="8"/>
      <c r="W1318" s="7"/>
      <c r="X1318" s="7"/>
      <c r="Y1318" s="7"/>
      <c r="Z1318" s="7"/>
      <c r="AA1318" s="7"/>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7"/>
      <c r="BD1318" s="7"/>
      <c r="BE1318" s="7"/>
      <c r="BF1318" s="7"/>
      <c r="BG1318" s="7"/>
    </row>
    <row r="1319" customHeight="1" spans="1:59">
      <c r="A1319" s="9"/>
      <c r="B1319" s="5"/>
      <c r="C1319" s="5"/>
      <c r="D1319" s="5"/>
      <c r="E1319" s="7"/>
      <c r="F1319" s="8"/>
      <c r="G1319" s="8"/>
      <c r="H1319" s="8"/>
      <c r="I1319" s="14"/>
      <c r="J1319" s="14"/>
      <c r="K1319" s="14"/>
      <c r="L1319" s="14"/>
      <c r="M1319" s="7"/>
      <c r="N1319" s="8"/>
      <c r="O1319" s="8"/>
      <c r="P1319" s="8"/>
      <c r="Q1319" s="7"/>
      <c r="R1319" s="16"/>
      <c r="S1319" s="17"/>
      <c r="T1319" s="8"/>
      <c r="U1319" s="8"/>
      <c r="V1319" s="8"/>
      <c r="W1319" s="7"/>
      <c r="X1319" s="7"/>
      <c r="Y1319" s="7"/>
      <c r="Z1319" s="7"/>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row>
    <row r="1320" customHeight="1" spans="1:59">
      <c r="A1320" s="9"/>
      <c r="B1320" s="5"/>
      <c r="C1320" s="5"/>
      <c r="D1320" s="5"/>
      <c r="E1320" s="7"/>
      <c r="F1320" s="8"/>
      <c r="G1320" s="8"/>
      <c r="H1320" s="8"/>
      <c r="I1320" s="14"/>
      <c r="J1320" s="14"/>
      <c r="K1320" s="14"/>
      <c r="L1320" s="14"/>
      <c r="M1320" s="7"/>
      <c r="N1320" s="8"/>
      <c r="O1320" s="8"/>
      <c r="P1320" s="8"/>
      <c r="Q1320" s="7"/>
      <c r="R1320" s="16"/>
      <c r="S1320" s="17"/>
      <c r="T1320" s="8"/>
      <c r="U1320" s="8"/>
      <c r="V1320" s="8"/>
      <c r="W1320" s="7"/>
      <c r="X1320" s="7"/>
      <c r="Y1320" s="7"/>
      <c r="Z1320" s="7"/>
      <c r="AA1320" s="7"/>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row>
    <row r="1321" customHeight="1" spans="1:59">
      <c r="A1321" s="9"/>
      <c r="B1321" s="5"/>
      <c r="C1321" s="5"/>
      <c r="D1321" s="5"/>
      <c r="E1321" s="7"/>
      <c r="F1321" s="8"/>
      <c r="G1321" s="8"/>
      <c r="H1321" s="8"/>
      <c r="I1321" s="14"/>
      <c r="J1321" s="14"/>
      <c r="K1321" s="14"/>
      <c r="L1321" s="14"/>
      <c r="M1321" s="7"/>
      <c r="N1321" s="8"/>
      <c r="O1321" s="8"/>
      <c r="P1321" s="8"/>
      <c r="Q1321" s="7"/>
      <c r="R1321" s="16"/>
      <c r="S1321" s="17"/>
      <c r="T1321" s="8"/>
      <c r="U1321" s="8"/>
      <c r="V1321" s="8"/>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row>
    <row r="1322" customHeight="1" spans="1:59">
      <c r="A1322" s="9"/>
      <c r="B1322" s="5"/>
      <c r="C1322" s="5"/>
      <c r="D1322" s="5"/>
      <c r="E1322" s="7"/>
      <c r="F1322" s="8"/>
      <c r="G1322" s="8"/>
      <c r="H1322" s="8"/>
      <c r="I1322" s="14"/>
      <c r="J1322" s="14"/>
      <c r="K1322" s="14"/>
      <c r="L1322" s="14"/>
      <c r="M1322" s="7"/>
      <c r="N1322" s="8"/>
      <c r="O1322" s="8"/>
      <c r="P1322" s="8"/>
      <c r="Q1322" s="7"/>
      <c r="R1322" s="16"/>
      <c r="S1322" s="17"/>
      <c r="T1322" s="8"/>
      <c r="U1322" s="8"/>
      <c r="V1322" s="8"/>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row>
    <row r="1323" customHeight="1" spans="1:59">
      <c r="A1323" s="9"/>
      <c r="B1323" s="5"/>
      <c r="C1323" s="5"/>
      <c r="D1323" s="5"/>
      <c r="E1323" s="7"/>
      <c r="F1323" s="8"/>
      <c r="G1323" s="8"/>
      <c r="H1323" s="8"/>
      <c r="I1323" s="14"/>
      <c r="J1323" s="14"/>
      <c r="K1323" s="14"/>
      <c r="L1323" s="14"/>
      <c r="M1323" s="7"/>
      <c r="N1323" s="8"/>
      <c r="O1323" s="8"/>
      <c r="P1323" s="8"/>
      <c r="Q1323" s="7"/>
      <c r="R1323" s="16"/>
      <c r="S1323" s="17"/>
      <c r="T1323" s="8"/>
      <c r="U1323" s="8"/>
      <c r="V1323" s="8"/>
      <c r="W1323" s="7"/>
      <c r="X1323" s="7"/>
      <c r="Y1323" s="7"/>
      <c r="Z1323" s="7"/>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7"/>
      <c r="BD1323" s="7"/>
      <c r="BE1323" s="7"/>
      <c r="BF1323" s="7"/>
      <c r="BG1323" s="7"/>
    </row>
    <row r="1324" customHeight="1" spans="1:59">
      <c r="A1324" s="9"/>
      <c r="B1324" s="5"/>
      <c r="C1324" s="5"/>
      <c r="D1324" s="5"/>
      <c r="E1324" s="7"/>
      <c r="F1324" s="8"/>
      <c r="G1324" s="8"/>
      <c r="H1324" s="8"/>
      <c r="I1324" s="14"/>
      <c r="J1324" s="14"/>
      <c r="K1324" s="14"/>
      <c r="L1324" s="14"/>
      <c r="M1324" s="7"/>
      <c r="N1324" s="8"/>
      <c r="O1324" s="8"/>
      <c r="P1324" s="8"/>
      <c r="Q1324" s="7"/>
      <c r="R1324" s="16"/>
      <c r="S1324" s="17"/>
      <c r="T1324" s="8"/>
      <c r="U1324" s="8"/>
      <c r="V1324" s="8"/>
      <c r="W1324" s="7"/>
      <c r="X1324" s="7"/>
      <c r="Y1324" s="7"/>
      <c r="Z1324" s="7"/>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7"/>
      <c r="BD1324" s="7"/>
      <c r="BE1324" s="7"/>
      <c r="BF1324" s="7"/>
      <c r="BG1324" s="7"/>
    </row>
    <row r="1325" customHeight="1" spans="1:59">
      <c r="A1325" s="9"/>
      <c r="B1325" s="5"/>
      <c r="C1325" s="5"/>
      <c r="D1325" s="5"/>
      <c r="E1325" s="7"/>
      <c r="F1325" s="8"/>
      <c r="G1325" s="8"/>
      <c r="H1325" s="8"/>
      <c r="I1325" s="14"/>
      <c r="J1325" s="14"/>
      <c r="K1325" s="14"/>
      <c r="L1325" s="14"/>
      <c r="M1325" s="7"/>
      <c r="N1325" s="8"/>
      <c r="O1325" s="8"/>
      <c r="P1325" s="8"/>
      <c r="Q1325" s="7"/>
      <c r="R1325" s="16"/>
      <c r="S1325" s="17"/>
      <c r="T1325" s="8"/>
      <c r="U1325" s="8"/>
      <c r="V1325" s="8"/>
      <c r="W1325" s="7"/>
      <c r="X1325" s="7"/>
      <c r="Y1325" s="7"/>
      <c r="Z1325" s="7"/>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c r="AX1325" s="7"/>
      <c r="AY1325" s="7"/>
      <c r="AZ1325" s="7"/>
      <c r="BA1325" s="7"/>
      <c r="BB1325" s="7"/>
      <c r="BC1325" s="7"/>
      <c r="BD1325" s="7"/>
      <c r="BE1325" s="7"/>
      <c r="BF1325" s="7"/>
      <c r="BG1325" s="7"/>
    </row>
    <row r="1326" customHeight="1" spans="1:59">
      <c r="A1326" s="9"/>
      <c r="B1326" s="5"/>
      <c r="C1326" s="5"/>
      <c r="D1326" s="5"/>
      <c r="E1326" s="7"/>
      <c r="F1326" s="8"/>
      <c r="G1326" s="8"/>
      <c r="H1326" s="8"/>
      <c r="I1326" s="14"/>
      <c r="J1326" s="14"/>
      <c r="K1326" s="14"/>
      <c r="L1326" s="14"/>
      <c r="M1326" s="7"/>
      <c r="N1326" s="8"/>
      <c r="O1326" s="8"/>
      <c r="P1326" s="8"/>
      <c r="Q1326" s="7"/>
      <c r="R1326" s="16"/>
      <c r="S1326" s="17"/>
      <c r="T1326" s="8"/>
      <c r="U1326" s="8"/>
      <c r="V1326" s="8"/>
      <c r="W1326" s="7"/>
      <c r="X1326" s="7"/>
      <c r="Y1326" s="7"/>
      <c r="Z1326" s="7"/>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7"/>
      <c r="AZ1326" s="7"/>
      <c r="BA1326" s="7"/>
      <c r="BB1326" s="7"/>
      <c r="BC1326" s="7"/>
      <c r="BD1326" s="7"/>
      <c r="BE1326" s="7"/>
      <c r="BF1326" s="7"/>
      <c r="BG1326" s="7"/>
    </row>
    <row r="1327" customHeight="1" spans="1:59">
      <c r="A1327" s="9"/>
      <c r="B1327" s="5"/>
      <c r="C1327" s="5"/>
      <c r="D1327" s="5"/>
      <c r="E1327" s="7"/>
      <c r="F1327" s="8"/>
      <c r="G1327" s="8"/>
      <c r="H1327" s="8"/>
      <c r="I1327" s="14"/>
      <c r="J1327" s="14"/>
      <c r="K1327" s="14"/>
      <c r="L1327" s="14"/>
      <c r="M1327" s="7"/>
      <c r="N1327" s="8"/>
      <c r="O1327" s="8"/>
      <c r="P1327" s="8"/>
      <c r="Q1327" s="7"/>
      <c r="R1327" s="16"/>
      <c r="S1327" s="17"/>
      <c r="T1327" s="8"/>
      <c r="U1327" s="8"/>
      <c r="V1327" s="8"/>
      <c r="W1327" s="7"/>
      <c r="X1327" s="7"/>
      <c r="Y1327" s="7"/>
      <c r="Z1327" s="7"/>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7"/>
    </row>
    <row r="1328" customHeight="1" spans="1:59">
      <c r="A1328" s="9"/>
      <c r="B1328" s="5"/>
      <c r="C1328" s="5"/>
      <c r="D1328" s="5"/>
      <c r="E1328" s="7"/>
      <c r="F1328" s="8"/>
      <c r="G1328" s="8"/>
      <c r="H1328" s="8"/>
      <c r="I1328" s="14"/>
      <c r="J1328" s="14"/>
      <c r="K1328" s="14"/>
      <c r="L1328" s="14"/>
      <c r="M1328" s="7"/>
      <c r="N1328" s="8"/>
      <c r="O1328" s="8"/>
      <c r="P1328" s="8"/>
      <c r="Q1328" s="7"/>
      <c r="R1328" s="16"/>
      <c r="S1328" s="17"/>
      <c r="T1328" s="8"/>
      <c r="U1328" s="8"/>
      <c r="V1328" s="8"/>
      <c r="W1328" s="7"/>
      <c r="X1328" s="7"/>
      <c r="Y1328" s="7"/>
      <c r="Z1328" s="7"/>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c r="AX1328" s="7"/>
      <c r="AY1328" s="7"/>
      <c r="AZ1328" s="7"/>
      <c r="BA1328" s="7"/>
      <c r="BB1328" s="7"/>
      <c r="BC1328" s="7"/>
      <c r="BD1328" s="7"/>
      <c r="BE1328" s="7"/>
      <c r="BF1328" s="7"/>
      <c r="BG1328" s="7"/>
    </row>
    <row r="1329" customHeight="1" spans="1:59">
      <c r="A1329" s="9"/>
      <c r="B1329" s="5"/>
      <c r="C1329" s="5"/>
      <c r="D1329" s="5"/>
      <c r="E1329" s="7"/>
      <c r="F1329" s="8"/>
      <c r="G1329" s="8"/>
      <c r="H1329" s="8"/>
      <c r="I1329" s="14"/>
      <c r="J1329" s="14"/>
      <c r="K1329" s="14"/>
      <c r="L1329" s="14"/>
      <c r="M1329" s="7"/>
      <c r="N1329" s="8"/>
      <c r="O1329" s="8"/>
      <c r="P1329" s="8"/>
      <c r="Q1329" s="7"/>
      <c r="R1329" s="16"/>
      <c r="S1329" s="17"/>
      <c r="T1329" s="8"/>
      <c r="U1329" s="8"/>
      <c r="V1329" s="8"/>
      <c r="W1329" s="7"/>
      <c r="X1329" s="7"/>
      <c r="Y1329" s="7"/>
      <c r="Z1329" s="7"/>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row>
    <row r="1330" customHeight="1" spans="1:59">
      <c r="A1330" s="9"/>
      <c r="B1330" s="5"/>
      <c r="C1330" s="5"/>
      <c r="D1330" s="5"/>
      <c r="E1330" s="7"/>
      <c r="F1330" s="8"/>
      <c r="G1330" s="8"/>
      <c r="H1330" s="8"/>
      <c r="I1330" s="14"/>
      <c r="J1330" s="14"/>
      <c r="K1330" s="14"/>
      <c r="L1330" s="14"/>
      <c r="M1330" s="7"/>
      <c r="N1330" s="8"/>
      <c r="O1330" s="8"/>
      <c r="P1330" s="8"/>
      <c r="Q1330" s="7"/>
      <c r="R1330" s="16"/>
      <c r="S1330" s="17"/>
      <c r="T1330" s="8"/>
      <c r="U1330" s="8"/>
      <c r="V1330" s="8"/>
      <c r="W1330" s="7"/>
      <c r="X1330" s="7"/>
      <c r="Y1330" s="7"/>
      <c r="Z1330" s="7"/>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row>
    <row r="1331" customHeight="1" spans="1:59">
      <c r="A1331" s="9"/>
      <c r="B1331" s="5"/>
      <c r="C1331" s="5"/>
      <c r="D1331" s="5"/>
      <c r="E1331" s="7"/>
      <c r="F1331" s="8"/>
      <c r="G1331" s="8"/>
      <c r="H1331" s="8"/>
      <c r="I1331" s="14"/>
      <c r="J1331" s="14"/>
      <c r="K1331" s="14"/>
      <c r="L1331" s="14"/>
      <c r="M1331" s="7"/>
      <c r="N1331" s="8"/>
      <c r="O1331" s="8"/>
      <c r="P1331" s="8"/>
      <c r="Q1331" s="7"/>
      <c r="R1331" s="16"/>
      <c r="S1331" s="17"/>
      <c r="T1331" s="8"/>
      <c r="U1331" s="8"/>
      <c r="V1331" s="8"/>
      <c r="W1331" s="7"/>
      <c r="X1331" s="7"/>
      <c r="Y1331" s="7"/>
      <c r="Z1331" s="7"/>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row>
    <row r="1332" customHeight="1" spans="1:59">
      <c r="A1332" s="9"/>
      <c r="B1332" s="5"/>
      <c r="C1332" s="5"/>
      <c r="D1332" s="5"/>
      <c r="E1332" s="7"/>
      <c r="F1332" s="8"/>
      <c r="G1332" s="8"/>
      <c r="H1332" s="8"/>
      <c r="I1332" s="14"/>
      <c r="J1332" s="14"/>
      <c r="K1332" s="14"/>
      <c r="L1332" s="14"/>
      <c r="M1332" s="7"/>
      <c r="N1332" s="8"/>
      <c r="O1332" s="8"/>
      <c r="P1332" s="8"/>
      <c r="Q1332" s="7"/>
      <c r="R1332" s="16"/>
      <c r="S1332" s="17"/>
      <c r="T1332" s="8"/>
      <c r="U1332" s="8"/>
      <c r="V1332" s="8"/>
      <c r="W1332" s="7"/>
      <c r="X1332" s="7"/>
      <c r="Y1332" s="7"/>
      <c r="Z1332" s="7"/>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c r="AX1332" s="7"/>
      <c r="AY1332" s="7"/>
      <c r="AZ1332" s="7"/>
      <c r="BA1332" s="7"/>
      <c r="BB1332" s="7"/>
      <c r="BC1332" s="7"/>
      <c r="BD1332" s="7"/>
      <c r="BE1332" s="7"/>
      <c r="BF1332" s="7"/>
      <c r="BG1332" s="7"/>
    </row>
    <row r="1333" customHeight="1" spans="1:59">
      <c r="A1333" s="9"/>
      <c r="B1333" s="5"/>
      <c r="C1333" s="5"/>
      <c r="D1333" s="5"/>
      <c r="E1333" s="7"/>
      <c r="F1333" s="8"/>
      <c r="G1333" s="8"/>
      <c r="H1333" s="8"/>
      <c r="I1333" s="14"/>
      <c r="J1333" s="14"/>
      <c r="K1333" s="14"/>
      <c r="L1333" s="14"/>
      <c r="M1333" s="7"/>
      <c r="N1333" s="8"/>
      <c r="O1333" s="8"/>
      <c r="P1333" s="8"/>
      <c r="Q1333" s="7"/>
      <c r="R1333" s="16"/>
      <c r="S1333" s="17"/>
      <c r="T1333" s="8"/>
      <c r="U1333" s="8"/>
      <c r="V1333" s="8"/>
      <c r="W1333" s="7"/>
      <c r="X1333" s="7"/>
      <c r="Y1333" s="7"/>
      <c r="Z1333" s="7"/>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c r="AX1333" s="7"/>
      <c r="AY1333" s="7"/>
      <c r="AZ1333" s="7"/>
      <c r="BA1333" s="7"/>
      <c r="BB1333" s="7"/>
      <c r="BC1333" s="7"/>
      <c r="BD1333" s="7"/>
      <c r="BE1333" s="7"/>
      <c r="BF1333" s="7"/>
      <c r="BG1333" s="7"/>
    </row>
    <row r="1334" customHeight="1" spans="1:59">
      <c r="A1334" s="9"/>
      <c r="B1334" s="5"/>
      <c r="C1334" s="5"/>
      <c r="D1334" s="5"/>
      <c r="E1334" s="7"/>
      <c r="F1334" s="8"/>
      <c r="G1334" s="8"/>
      <c r="H1334" s="8"/>
      <c r="I1334" s="14"/>
      <c r="J1334" s="14"/>
      <c r="K1334" s="14"/>
      <c r="L1334" s="14"/>
      <c r="M1334" s="7"/>
      <c r="N1334" s="8"/>
      <c r="O1334" s="8"/>
      <c r="P1334" s="8"/>
      <c r="Q1334" s="7"/>
      <c r="R1334" s="16"/>
      <c r="S1334" s="17"/>
      <c r="T1334" s="8"/>
      <c r="U1334" s="8"/>
      <c r="V1334" s="8"/>
      <c r="W1334" s="7"/>
      <c r="X1334" s="7"/>
      <c r="Y1334" s="7"/>
      <c r="Z1334" s="7"/>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c r="AX1334" s="7"/>
      <c r="AY1334" s="7"/>
      <c r="AZ1334" s="7"/>
      <c r="BA1334" s="7"/>
      <c r="BB1334" s="7"/>
      <c r="BC1334" s="7"/>
      <c r="BD1334" s="7"/>
      <c r="BE1334" s="7"/>
      <c r="BF1334" s="7"/>
      <c r="BG1334" s="7"/>
    </row>
    <row r="1335" customHeight="1" spans="1:59">
      <c r="A1335" s="9"/>
      <c r="B1335" s="5"/>
      <c r="C1335" s="5"/>
      <c r="D1335" s="5"/>
      <c r="E1335" s="7"/>
      <c r="F1335" s="8"/>
      <c r="G1335" s="8"/>
      <c r="H1335" s="8"/>
      <c r="I1335" s="14"/>
      <c r="J1335" s="14"/>
      <c r="K1335" s="14"/>
      <c r="L1335" s="14"/>
      <c r="M1335" s="7"/>
      <c r="N1335" s="8"/>
      <c r="O1335" s="8"/>
      <c r="P1335" s="8"/>
      <c r="Q1335" s="7"/>
      <c r="R1335" s="16"/>
      <c r="S1335" s="17"/>
      <c r="T1335" s="8"/>
      <c r="U1335" s="8"/>
      <c r="V1335" s="8"/>
      <c r="W1335" s="7"/>
      <c r="X1335" s="7"/>
      <c r="Y1335" s="7"/>
      <c r="Z1335" s="7"/>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7"/>
      <c r="BD1335" s="7"/>
      <c r="BE1335" s="7"/>
      <c r="BF1335" s="7"/>
      <c r="BG1335" s="7"/>
    </row>
    <row r="1336" customHeight="1" spans="1:59">
      <c r="A1336" s="9"/>
      <c r="B1336" s="5"/>
      <c r="C1336" s="5"/>
      <c r="D1336" s="5"/>
      <c r="E1336" s="7"/>
      <c r="F1336" s="8"/>
      <c r="G1336" s="8"/>
      <c r="H1336" s="8"/>
      <c r="I1336" s="14"/>
      <c r="J1336" s="14"/>
      <c r="K1336" s="14"/>
      <c r="L1336" s="14"/>
      <c r="M1336" s="7"/>
      <c r="N1336" s="8"/>
      <c r="O1336" s="8"/>
      <c r="P1336" s="8"/>
      <c r="Q1336" s="7"/>
      <c r="R1336" s="16"/>
      <c r="S1336" s="17"/>
      <c r="T1336" s="8"/>
      <c r="U1336" s="8"/>
      <c r="V1336" s="8"/>
      <c r="W1336" s="7"/>
      <c r="X1336" s="7"/>
      <c r="Y1336" s="7"/>
      <c r="Z1336" s="7"/>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c r="AX1336" s="7"/>
      <c r="AY1336" s="7"/>
      <c r="AZ1336" s="7"/>
      <c r="BA1336" s="7"/>
      <c r="BB1336" s="7"/>
      <c r="BC1336" s="7"/>
      <c r="BD1336" s="7"/>
      <c r="BE1336" s="7"/>
      <c r="BF1336" s="7"/>
      <c r="BG1336" s="7"/>
    </row>
    <row r="1337" customHeight="1" spans="1:59">
      <c r="A1337" s="9"/>
      <c r="B1337" s="5"/>
      <c r="C1337" s="5"/>
      <c r="D1337" s="5"/>
      <c r="E1337" s="7"/>
      <c r="F1337" s="8"/>
      <c r="G1337" s="8"/>
      <c r="H1337" s="8"/>
      <c r="I1337" s="14"/>
      <c r="J1337" s="14"/>
      <c r="K1337" s="14"/>
      <c r="L1337" s="14"/>
      <c r="M1337" s="7"/>
      <c r="N1337" s="8"/>
      <c r="O1337" s="8"/>
      <c r="P1337" s="8"/>
      <c r="Q1337" s="7"/>
      <c r="R1337" s="16"/>
      <c r="S1337" s="17"/>
      <c r="T1337" s="8"/>
      <c r="U1337" s="8"/>
      <c r="V1337" s="8"/>
      <c r="W1337" s="7"/>
      <c r="X1337" s="7"/>
      <c r="Y1337" s="7"/>
      <c r="Z1337" s="7"/>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c r="AX1337" s="7"/>
      <c r="AY1337" s="7"/>
      <c r="AZ1337" s="7"/>
      <c r="BA1337" s="7"/>
      <c r="BB1337" s="7"/>
      <c r="BC1337" s="7"/>
      <c r="BD1337" s="7"/>
      <c r="BE1337" s="7"/>
      <c r="BF1337" s="7"/>
      <c r="BG1337" s="7"/>
    </row>
    <row r="1338" customHeight="1" spans="1:59">
      <c r="A1338" s="9"/>
      <c r="B1338" s="5"/>
      <c r="C1338" s="5"/>
      <c r="D1338" s="5"/>
      <c r="E1338" s="7"/>
      <c r="F1338" s="8"/>
      <c r="G1338" s="8"/>
      <c r="H1338" s="8"/>
      <c r="I1338" s="14"/>
      <c r="J1338" s="14"/>
      <c r="K1338" s="14"/>
      <c r="L1338" s="14"/>
      <c r="M1338" s="7"/>
      <c r="N1338" s="8"/>
      <c r="O1338" s="8"/>
      <c r="P1338" s="8"/>
      <c r="Q1338" s="7"/>
      <c r="R1338" s="16"/>
      <c r="S1338" s="17"/>
      <c r="T1338" s="8"/>
      <c r="U1338" s="8"/>
      <c r="V1338" s="8"/>
      <c r="W1338" s="7"/>
      <c r="X1338" s="7"/>
      <c r="Y1338" s="7"/>
      <c r="Z1338" s="7"/>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c r="AX1338" s="7"/>
      <c r="AY1338" s="7"/>
      <c r="AZ1338" s="7"/>
      <c r="BA1338" s="7"/>
      <c r="BB1338" s="7"/>
      <c r="BC1338" s="7"/>
      <c r="BD1338" s="7"/>
      <c r="BE1338" s="7"/>
      <c r="BF1338" s="7"/>
      <c r="BG1338" s="7"/>
    </row>
    <row r="1339" customHeight="1" spans="1:59">
      <c r="A1339" s="9"/>
      <c r="B1339" s="5"/>
      <c r="C1339" s="5"/>
      <c r="D1339" s="5"/>
      <c r="E1339" s="7"/>
      <c r="F1339" s="8"/>
      <c r="G1339" s="8"/>
      <c r="H1339" s="8"/>
      <c r="I1339" s="14"/>
      <c r="J1339" s="14"/>
      <c r="K1339" s="14"/>
      <c r="L1339" s="14"/>
      <c r="M1339" s="7"/>
      <c r="N1339" s="8"/>
      <c r="O1339" s="8"/>
      <c r="P1339" s="8"/>
      <c r="Q1339" s="7"/>
      <c r="R1339" s="16"/>
      <c r="S1339" s="17"/>
      <c r="T1339" s="8"/>
      <c r="U1339" s="8"/>
      <c r="V1339" s="8"/>
      <c r="W1339" s="7"/>
      <c r="X1339" s="7"/>
      <c r="Y1339" s="7"/>
      <c r="Z1339" s="7"/>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c r="AX1339" s="7"/>
      <c r="AY1339" s="7"/>
      <c r="AZ1339" s="7"/>
      <c r="BA1339" s="7"/>
      <c r="BB1339" s="7"/>
      <c r="BC1339" s="7"/>
      <c r="BD1339" s="7"/>
      <c r="BE1339" s="7"/>
      <c r="BF1339" s="7"/>
      <c r="BG1339" s="7"/>
    </row>
    <row r="1340" customHeight="1" spans="1:59">
      <c r="A1340" s="9"/>
      <c r="B1340" s="5"/>
      <c r="C1340" s="5"/>
      <c r="D1340" s="5"/>
      <c r="E1340" s="7"/>
      <c r="F1340" s="8"/>
      <c r="G1340" s="8"/>
      <c r="H1340" s="8"/>
      <c r="I1340" s="14"/>
      <c r="J1340" s="14"/>
      <c r="K1340" s="14"/>
      <c r="L1340" s="14"/>
      <c r="M1340" s="7"/>
      <c r="N1340" s="8"/>
      <c r="O1340" s="8"/>
      <c r="P1340" s="8"/>
      <c r="Q1340" s="7"/>
      <c r="R1340" s="16"/>
      <c r="S1340" s="17"/>
      <c r="T1340" s="8"/>
      <c r="U1340" s="8"/>
      <c r="V1340" s="8"/>
      <c r="W1340" s="7"/>
      <c r="X1340" s="7"/>
      <c r="Y1340" s="7"/>
      <c r="Z1340" s="7"/>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c r="AX1340" s="7"/>
      <c r="AY1340" s="7"/>
      <c r="AZ1340" s="7"/>
      <c r="BA1340" s="7"/>
      <c r="BB1340" s="7"/>
      <c r="BC1340" s="7"/>
      <c r="BD1340" s="7"/>
      <c r="BE1340" s="7"/>
      <c r="BF1340" s="7"/>
      <c r="BG1340" s="7"/>
    </row>
    <row r="1341" customHeight="1" spans="1:59">
      <c r="A1341" s="9"/>
      <c r="B1341" s="5"/>
      <c r="C1341" s="5"/>
      <c r="D1341" s="5"/>
      <c r="E1341" s="7"/>
      <c r="F1341" s="8"/>
      <c r="G1341" s="8"/>
      <c r="H1341" s="8"/>
      <c r="I1341" s="14"/>
      <c r="J1341" s="14"/>
      <c r="K1341" s="14"/>
      <c r="L1341" s="14"/>
      <c r="M1341" s="7"/>
      <c r="N1341" s="8"/>
      <c r="O1341" s="8"/>
      <c r="P1341" s="8"/>
      <c r="Q1341" s="7"/>
      <c r="R1341" s="16"/>
      <c r="S1341" s="17"/>
      <c r="T1341" s="8"/>
      <c r="U1341" s="8"/>
      <c r="V1341" s="8"/>
      <c r="W1341" s="7"/>
      <c r="X1341" s="7"/>
      <c r="Y1341" s="7"/>
      <c r="Z1341" s="7"/>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7"/>
      <c r="BD1341" s="7"/>
      <c r="BE1341" s="7"/>
      <c r="BF1341" s="7"/>
      <c r="BG1341" s="7"/>
    </row>
    <row r="1342" customHeight="1" spans="1:59">
      <c r="A1342" s="9"/>
      <c r="B1342" s="5"/>
      <c r="C1342" s="5"/>
      <c r="D1342" s="5"/>
      <c r="E1342" s="7"/>
      <c r="F1342" s="8"/>
      <c r="G1342" s="8"/>
      <c r="H1342" s="8"/>
      <c r="I1342" s="14"/>
      <c r="J1342" s="14"/>
      <c r="K1342" s="14"/>
      <c r="L1342" s="14"/>
      <c r="M1342" s="7"/>
      <c r="N1342" s="8"/>
      <c r="O1342" s="8"/>
      <c r="P1342" s="8"/>
      <c r="Q1342" s="7"/>
      <c r="R1342" s="16"/>
      <c r="S1342" s="17"/>
      <c r="T1342" s="8"/>
      <c r="U1342" s="8"/>
      <c r="V1342" s="8"/>
      <c r="W1342" s="7"/>
      <c r="X1342" s="7"/>
      <c r="Y1342" s="7"/>
      <c r="Z1342" s="7"/>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c r="AX1342" s="7"/>
      <c r="AY1342" s="7"/>
      <c r="AZ1342" s="7"/>
      <c r="BA1342" s="7"/>
      <c r="BB1342" s="7"/>
      <c r="BC1342" s="7"/>
      <c r="BD1342" s="7"/>
      <c r="BE1342" s="7"/>
      <c r="BF1342" s="7"/>
      <c r="BG1342" s="7"/>
    </row>
    <row r="1343" customHeight="1" spans="1:59">
      <c r="A1343" s="9"/>
      <c r="B1343" s="5"/>
      <c r="C1343" s="5"/>
      <c r="D1343" s="5"/>
      <c r="E1343" s="7"/>
      <c r="F1343" s="8"/>
      <c r="G1343" s="8"/>
      <c r="H1343" s="8"/>
      <c r="I1343" s="14"/>
      <c r="J1343" s="14"/>
      <c r="K1343" s="14"/>
      <c r="L1343" s="14"/>
      <c r="M1343" s="7"/>
      <c r="N1343" s="8"/>
      <c r="O1343" s="8"/>
      <c r="P1343" s="8"/>
      <c r="Q1343" s="7"/>
      <c r="R1343" s="16"/>
      <c r="S1343" s="17"/>
      <c r="T1343" s="8"/>
      <c r="U1343" s="8"/>
      <c r="V1343" s="8"/>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row>
    <row r="1344" customHeight="1" spans="1:59">
      <c r="A1344" s="9"/>
      <c r="B1344" s="5"/>
      <c r="C1344" s="5"/>
      <c r="D1344" s="5"/>
      <c r="E1344" s="7"/>
      <c r="F1344" s="8"/>
      <c r="G1344" s="8"/>
      <c r="H1344" s="8"/>
      <c r="I1344" s="14"/>
      <c r="J1344" s="14"/>
      <c r="K1344" s="14"/>
      <c r="L1344" s="14"/>
      <c r="M1344" s="7"/>
      <c r="N1344" s="8"/>
      <c r="O1344" s="8"/>
      <c r="P1344" s="8"/>
      <c r="Q1344" s="7"/>
      <c r="R1344" s="16"/>
      <c r="S1344" s="17"/>
      <c r="T1344" s="8"/>
      <c r="U1344" s="8"/>
      <c r="V1344" s="8"/>
      <c r="W1344" s="7"/>
      <c r="X1344" s="7"/>
      <c r="Y1344" s="7"/>
      <c r="Z1344" s="7"/>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row>
    <row r="1345" customHeight="1" spans="1:59">
      <c r="A1345" s="9"/>
      <c r="B1345" s="5"/>
      <c r="C1345" s="5"/>
      <c r="D1345" s="5"/>
      <c r="E1345" s="7"/>
      <c r="F1345" s="8"/>
      <c r="G1345" s="8"/>
      <c r="H1345" s="8"/>
      <c r="I1345" s="14"/>
      <c r="J1345" s="14"/>
      <c r="K1345" s="14"/>
      <c r="L1345" s="14"/>
      <c r="M1345" s="7"/>
      <c r="N1345" s="8"/>
      <c r="O1345" s="8"/>
      <c r="P1345" s="8"/>
      <c r="Q1345" s="7"/>
      <c r="R1345" s="16"/>
      <c r="S1345" s="17"/>
      <c r="T1345" s="8"/>
      <c r="U1345" s="8"/>
      <c r="V1345" s="8"/>
      <c r="W1345" s="7"/>
      <c r="X1345" s="7"/>
      <c r="Y1345" s="7"/>
      <c r="Z1345" s="7"/>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c r="AX1345" s="7"/>
      <c r="AY1345" s="7"/>
      <c r="AZ1345" s="7"/>
      <c r="BA1345" s="7"/>
      <c r="BB1345" s="7"/>
      <c r="BC1345" s="7"/>
      <c r="BD1345" s="7"/>
      <c r="BE1345" s="7"/>
      <c r="BF1345" s="7"/>
      <c r="BG1345" s="7"/>
    </row>
    <row r="1346" customHeight="1" spans="1:59">
      <c r="A1346" s="9"/>
      <c r="B1346" s="5"/>
      <c r="C1346" s="5"/>
      <c r="D1346" s="5"/>
      <c r="E1346" s="7"/>
      <c r="F1346" s="8"/>
      <c r="G1346" s="8"/>
      <c r="H1346" s="8"/>
      <c r="I1346" s="14"/>
      <c r="J1346" s="14"/>
      <c r="K1346" s="14"/>
      <c r="L1346" s="14"/>
      <c r="M1346" s="7"/>
      <c r="N1346" s="8"/>
      <c r="O1346" s="8"/>
      <c r="P1346" s="8"/>
      <c r="Q1346" s="7"/>
      <c r="R1346" s="16"/>
      <c r="S1346" s="17"/>
      <c r="T1346" s="8"/>
      <c r="U1346" s="8"/>
      <c r="V1346" s="8"/>
      <c r="W1346" s="7"/>
      <c r="X1346" s="7"/>
      <c r="Y1346" s="7"/>
      <c r="Z1346" s="7"/>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c r="AX1346" s="7"/>
      <c r="AY1346" s="7"/>
      <c r="AZ1346" s="7"/>
      <c r="BA1346" s="7"/>
      <c r="BB1346" s="7"/>
      <c r="BC1346" s="7"/>
      <c r="BD1346" s="7"/>
      <c r="BE1346" s="7"/>
      <c r="BF1346" s="7"/>
      <c r="BG1346" s="7"/>
    </row>
    <row r="1347" customHeight="1" spans="1:59">
      <c r="A1347" s="9"/>
      <c r="B1347" s="5"/>
      <c r="C1347" s="5"/>
      <c r="D1347" s="5"/>
      <c r="E1347" s="7"/>
      <c r="F1347" s="8"/>
      <c r="G1347" s="8"/>
      <c r="H1347" s="8"/>
      <c r="I1347" s="14"/>
      <c r="J1347" s="14"/>
      <c r="K1347" s="14"/>
      <c r="L1347" s="14"/>
      <c r="M1347" s="7"/>
      <c r="N1347" s="8"/>
      <c r="O1347" s="8"/>
      <c r="P1347" s="8"/>
      <c r="Q1347" s="7"/>
      <c r="R1347" s="16"/>
      <c r="S1347" s="17"/>
      <c r="T1347" s="8"/>
      <c r="U1347" s="8"/>
      <c r="V1347" s="8"/>
      <c r="W1347" s="7"/>
      <c r="X1347" s="7"/>
      <c r="Y1347" s="7"/>
      <c r="Z1347" s="7"/>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c r="AX1347" s="7"/>
      <c r="AY1347" s="7"/>
      <c r="AZ1347" s="7"/>
      <c r="BA1347" s="7"/>
      <c r="BB1347" s="7"/>
      <c r="BC1347" s="7"/>
      <c r="BD1347" s="7"/>
      <c r="BE1347" s="7"/>
      <c r="BF1347" s="7"/>
      <c r="BG1347" s="7"/>
    </row>
    <row r="1348" customHeight="1" spans="1:59">
      <c r="A1348" s="9"/>
      <c r="B1348" s="5"/>
      <c r="C1348" s="5"/>
      <c r="D1348" s="5"/>
      <c r="E1348" s="7"/>
      <c r="F1348" s="8"/>
      <c r="G1348" s="8"/>
      <c r="H1348" s="8"/>
      <c r="I1348" s="14"/>
      <c r="J1348" s="14"/>
      <c r="K1348" s="14"/>
      <c r="L1348" s="14"/>
      <c r="M1348" s="7"/>
      <c r="N1348" s="8"/>
      <c r="O1348" s="8"/>
      <c r="P1348" s="8"/>
      <c r="Q1348" s="7"/>
      <c r="R1348" s="16"/>
      <c r="S1348" s="17"/>
      <c r="T1348" s="8"/>
      <c r="U1348" s="8"/>
      <c r="V1348" s="8"/>
      <c r="W1348" s="7"/>
      <c r="X1348" s="7"/>
      <c r="Y1348" s="7"/>
      <c r="Z1348" s="7"/>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c r="AX1348" s="7"/>
      <c r="AY1348" s="7"/>
      <c r="AZ1348" s="7"/>
      <c r="BA1348" s="7"/>
      <c r="BB1348" s="7"/>
      <c r="BC1348" s="7"/>
      <c r="BD1348" s="7"/>
      <c r="BE1348" s="7"/>
      <c r="BF1348" s="7"/>
      <c r="BG1348" s="7"/>
    </row>
    <row r="1349" customHeight="1" spans="1:59">
      <c r="A1349" s="9"/>
      <c r="B1349" s="5"/>
      <c r="C1349" s="5"/>
      <c r="D1349" s="5"/>
      <c r="E1349" s="7"/>
      <c r="F1349" s="8"/>
      <c r="G1349" s="8"/>
      <c r="H1349" s="8"/>
      <c r="I1349" s="14"/>
      <c r="J1349" s="14"/>
      <c r="K1349" s="14"/>
      <c r="L1349" s="14"/>
      <c r="M1349" s="7"/>
      <c r="N1349" s="8"/>
      <c r="O1349" s="8"/>
      <c r="P1349" s="8"/>
      <c r="Q1349" s="7"/>
      <c r="R1349" s="16"/>
      <c r="S1349" s="17"/>
      <c r="T1349" s="8"/>
      <c r="U1349" s="8"/>
      <c r="V1349" s="8"/>
      <c r="W1349" s="7"/>
      <c r="X1349" s="7"/>
      <c r="Y1349" s="7"/>
      <c r="Z1349" s="7"/>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c r="AX1349" s="7"/>
      <c r="AY1349" s="7"/>
      <c r="AZ1349" s="7"/>
      <c r="BA1349" s="7"/>
      <c r="BB1349" s="7"/>
      <c r="BC1349" s="7"/>
      <c r="BD1349" s="7"/>
      <c r="BE1349" s="7"/>
      <c r="BF1349" s="7"/>
      <c r="BG1349" s="7"/>
    </row>
    <row r="1350" customHeight="1" spans="1:59">
      <c r="A1350" s="9"/>
      <c r="B1350" s="5"/>
      <c r="C1350" s="5"/>
      <c r="D1350" s="5"/>
      <c r="E1350" s="7"/>
      <c r="F1350" s="8"/>
      <c r="G1350" s="8"/>
      <c r="H1350" s="8"/>
      <c r="I1350" s="14"/>
      <c r="J1350" s="14"/>
      <c r="K1350" s="14"/>
      <c r="L1350" s="14"/>
      <c r="M1350" s="7"/>
      <c r="N1350" s="8"/>
      <c r="O1350" s="8"/>
      <c r="P1350" s="8"/>
      <c r="Q1350" s="7"/>
      <c r="R1350" s="16"/>
      <c r="S1350" s="17"/>
      <c r="T1350" s="8"/>
      <c r="U1350" s="8"/>
      <c r="V1350" s="8"/>
      <c r="W1350" s="7"/>
      <c r="X1350" s="7"/>
      <c r="Y1350" s="7"/>
      <c r="Z1350" s="7"/>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7"/>
      <c r="BD1350" s="7"/>
      <c r="BE1350" s="7"/>
      <c r="BF1350" s="7"/>
      <c r="BG1350" s="7"/>
    </row>
    <row r="1351" customHeight="1" spans="1:59">
      <c r="A1351" s="9"/>
      <c r="B1351" s="5"/>
      <c r="C1351" s="5"/>
      <c r="D1351" s="5"/>
      <c r="E1351" s="7"/>
      <c r="F1351" s="8"/>
      <c r="G1351" s="8"/>
      <c r="H1351" s="8"/>
      <c r="I1351" s="14"/>
      <c r="J1351" s="14"/>
      <c r="K1351" s="14"/>
      <c r="L1351" s="14"/>
      <c r="M1351" s="7"/>
      <c r="N1351" s="8"/>
      <c r="O1351" s="8"/>
      <c r="P1351" s="8"/>
      <c r="Q1351" s="7"/>
      <c r="R1351" s="16"/>
      <c r="S1351" s="17"/>
      <c r="T1351" s="8"/>
      <c r="U1351" s="8"/>
      <c r="V1351" s="8"/>
      <c r="W1351" s="7"/>
      <c r="X1351" s="7"/>
      <c r="Y1351" s="7"/>
      <c r="Z1351" s="7"/>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c r="AX1351" s="7"/>
      <c r="AY1351" s="7"/>
      <c r="AZ1351" s="7"/>
      <c r="BA1351" s="7"/>
      <c r="BB1351" s="7"/>
      <c r="BC1351" s="7"/>
      <c r="BD1351" s="7"/>
      <c r="BE1351" s="7"/>
      <c r="BF1351" s="7"/>
      <c r="BG1351" s="7"/>
    </row>
    <row r="1352" customHeight="1" spans="1:59">
      <c r="A1352" s="9"/>
      <c r="B1352" s="5"/>
      <c r="C1352" s="5"/>
      <c r="D1352" s="5"/>
      <c r="E1352" s="7"/>
      <c r="F1352" s="8"/>
      <c r="G1352" s="8"/>
      <c r="H1352" s="8"/>
      <c r="I1352" s="14"/>
      <c r="J1352" s="14"/>
      <c r="K1352" s="14"/>
      <c r="L1352" s="14"/>
      <c r="M1352" s="7"/>
      <c r="N1352" s="8"/>
      <c r="O1352" s="8"/>
      <c r="P1352" s="8"/>
      <c r="Q1352" s="7"/>
      <c r="R1352" s="16"/>
      <c r="S1352" s="17"/>
      <c r="T1352" s="8"/>
      <c r="U1352" s="8"/>
      <c r="V1352" s="8"/>
      <c r="W1352" s="7"/>
      <c r="X1352" s="7"/>
      <c r="Y1352" s="7"/>
      <c r="Z1352" s="7"/>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row>
    <row r="1353" customHeight="1" spans="1:59">
      <c r="A1353" s="9"/>
      <c r="B1353" s="5"/>
      <c r="C1353" s="5"/>
      <c r="D1353" s="5"/>
      <c r="E1353" s="7"/>
      <c r="F1353" s="8"/>
      <c r="G1353" s="8"/>
      <c r="H1353" s="8"/>
      <c r="I1353" s="14"/>
      <c r="J1353" s="14"/>
      <c r="K1353" s="14"/>
      <c r="L1353" s="14"/>
      <c r="M1353" s="7"/>
      <c r="N1353" s="8"/>
      <c r="O1353" s="8"/>
      <c r="P1353" s="8"/>
      <c r="Q1353" s="7"/>
      <c r="R1353" s="16"/>
      <c r="S1353" s="17"/>
      <c r="T1353" s="8"/>
      <c r="U1353" s="8"/>
      <c r="V1353" s="8"/>
      <c r="W1353" s="7"/>
      <c r="X1353" s="7"/>
      <c r="Y1353" s="7"/>
      <c r="Z1353" s="7"/>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row>
    <row r="1354" customHeight="1" spans="1:59">
      <c r="A1354" s="9"/>
      <c r="B1354" s="5"/>
      <c r="C1354" s="5"/>
      <c r="D1354" s="5"/>
      <c r="E1354" s="7"/>
      <c r="F1354" s="8"/>
      <c r="G1354" s="8"/>
      <c r="H1354" s="8"/>
      <c r="I1354" s="14"/>
      <c r="J1354" s="14"/>
      <c r="K1354" s="14"/>
      <c r="L1354" s="14"/>
      <c r="M1354" s="7"/>
      <c r="N1354" s="8"/>
      <c r="O1354" s="8"/>
      <c r="P1354" s="8"/>
      <c r="Q1354" s="7"/>
      <c r="R1354" s="16"/>
      <c r="S1354" s="17"/>
      <c r="T1354" s="8"/>
      <c r="U1354" s="8"/>
      <c r="V1354" s="8"/>
      <c r="W1354" s="7"/>
      <c r="X1354" s="7"/>
      <c r="Y1354" s="7"/>
      <c r="Z1354" s="7"/>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7"/>
      <c r="BD1354" s="7"/>
      <c r="BE1354" s="7"/>
      <c r="BF1354" s="7"/>
      <c r="BG1354" s="7"/>
    </row>
    <row r="1355" customHeight="1" spans="1:59">
      <c r="A1355" s="9"/>
      <c r="B1355" s="5"/>
      <c r="C1355" s="5"/>
      <c r="D1355" s="5"/>
      <c r="E1355" s="7"/>
      <c r="F1355" s="8"/>
      <c r="G1355" s="8"/>
      <c r="H1355" s="8"/>
      <c r="I1355" s="14"/>
      <c r="J1355" s="14"/>
      <c r="K1355" s="14"/>
      <c r="L1355" s="14"/>
      <c r="M1355" s="7"/>
      <c r="N1355" s="8"/>
      <c r="O1355" s="8"/>
      <c r="P1355" s="8"/>
      <c r="Q1355" s="7"/>
      <c r="R1355" s="16"/>
      <c r="S1355" s="17"/>
      <c r="T1355" s="8"/>
      <c r="U1355" s="8"/>
      <c r="V1355" s="8"/>
      <c r="W1355" s="7"/>
      <c r="X1355" s="7"/>
      <c r="Y1355" s="7"/>
      <c r="Z1355" s="7"/>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7"/>
      <c r="BD1355" s="7"/>
      <c r="BE1355" s="7"/>
      <c r="BF1355" s="7"/>
      <c r="BG1355" s="7"/>
    </row>
    <row r="1356" customHeight="1" spans="1:59">
      <c r="A1356" s="9"/>
      <c r="B1356" s="5"/>
      <c r="C1356" s="5"/>
      <c r="D1356" s="5"/>
      <c r="E1356" s="7"/>
      <c r="F1356" s="8"/>
      <c r="G1356" s="8"/>
      <c r="H1356" s="8"/>
      <c r="I1356" s="14"/>
      <c r="J1356" s="14"/>
      <c r="K1356" s="14"/>
      <c r="L1356" s="14"/>
      <c r="M1356" s="7"/>
      <c r="N1356" s="8"/>
      <c r="O1356" s="8"/>
      <c r="P1356" s="8"/>
      <c r="Q1356" s="7"/>
      <c r="R1356" s="16"/>
      <c r="S1356" s="17"/>
      <c r="T1356" s="8"/>
      <c r="U1356" s="8"/>
      <c r="V1356" s="8"/>
      <c r="W1356" s="7"/>
      <c r="X1356" s="7"/>
      <c r="Y1356" s="7"/>
      <c r="Z1356" s="7"/>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c r="AX1356" s="7"/>
      <c r="AY1356" s="7"/>
      <c r="AZ1356" s="7"/>
      <c r="BA1356" s="7"/>
      <c r="BB1356" s="7"/>
      <c r="BC1356" s="7"/>
      <c r="BD1356" s="7"/>
      <c r="BE1356" s="7"/>
      <c r="BF1356" s="7"/>
      <c r="BG1356" s="7"/>
    </row>
    <row r="1357" customHeight="1" spans="1:59">
      <c r="A1357" s="9"/>
      <c r="B1357" s="5"/>
      <c r="C1357" s="5"/>
      <c r="D1357" s="5"/>
      <c r="E1357" s="7"/>
      <c r="F1357" s="8"/>
      <c r="G1357" s="8"/>
      <c r="H1357" s="8"/>
      <c r="I1357" s="14"/>
      <c r="J1357" s="14"/>
      <c r="K1357" s="14"/>
      <c r="L1357" s="14"/>
      <c r="M1357" s="7"/>
      <c r="N1357" s="8"/>
      <c r="O1357" s="8"/>
      <c r="P1357" s="8"/>
      <c r="Q1357" s="7"/>
      <c r="R1357" s="16"/>
      <c r="S1357" s="17"/>
      <c r="T1357" s="8"/>
      <c r="U1357" s="8"/>
      <c r="V1357" s="8"/>
      <c r="W1357" s="7"/>
      <c r="X1357" s="7"/>
      <c r="Y1357" s="7"/>
      <c r="Z1357" s="7"/>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c r="AX1357" s="7"/>
      <c r="AY1357" s="7"/>
      <c r="AZ1357" s="7"/>
      <c r="BA1357" s="7"/>
      <c r="BB1357" s="7"/>
      <c r="BC1357" s="7"/>
      <c r="BD1357" s="7"/>
      <c r="BE1357" s="7"/>
      <c r="BF1357" s="7"/>
      <c r="BG1357" s="7"/>
    </row>
    <row r="1358" customHeight="1" spans="1:59">
      <c r="A1358" s="9"/>
      <c r="B1358" s="5"/>
      <c r="C1358" s="5"/>
      <c r="D1358" s="5"/>
      <c r="E1358" s="7"/>
      <c r="F1358" s="8"/>
      <c r="G1358" s="8"/>
      <c r="H1358" s="8"/>
      <c r="I1358" s="14"/>
      <c r="J1358" s="14"/>
      <c r="K1358" s="14"/>
      <c r="L1358" s="14"/>
      <c r="M1358" s="7"/>
      <c r="N1358" s="8"/>
      <c r="O1358" s="8"/>
      <c r="P1358" s="8"/>
      <c r="Q1358" s="7"/>
      <c r="R1358" s="16"/>
      <c r="S1358" s="17"/>
      <c r="T1358" s="8"/>
      <c r="U1358" s="8"/>
      <c r="V1358" s="8"/>
      <c r="W1358" s="7"/>
      <c r="X1358" s="7"/>
      <c r="Y1358" s="7"/>
      <c r="Z1358" s="7"/>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c r="AX1358" s="7"/>
      <c r="AY1358" s="7"/>
      <c r="AZ1358" s="7"/>
      <c r="BA1358" s="7"/>
      <c r="BB1358" s="7"/>
      <c r="BC1358" s="7"/>
      <c r="BD1358" s="7"/>
      <c r="BE1358" s="7"/>
      <c r="BF1358" s="7"/>
      <c r="BG1358" s="7"/>
    </row>
    <row r="1359" customHeight="1" spans="1:59">
      <c r="A1359" s="9"/>
      <c r="B1359" s="5"/>
      <c r="C1359" s="5"/>
      <c r="D1359" s="5"/>
      <c r="E1359" s="7"/>
      <c r="F1359" s="8"/>
      <c r="G1359" s="8"/>
      <c r="H1359" s="8"/>
      <c r="I1359" s="14"/>
      <c r="J1359" s="14"/>
      <c r="K1359" s="14"/>
      <c r="L1359" s="14"/>
      <c r="M1359" s="7"/>
      <c r="N1359" s="8"/>
      <c r="O1359" s="8"/>
      <c r="P1359" s="8"/>
      <c r="Q1359" s="7"/>
      <c r="R1359" s="16"/>
      <c r="S1359" s="17"/>
      <c r="T1359" s="8"/>
      <c r="U1359" s="8"/>
      <c r="V1359" s="8"/>
      <c r="W1359" s="7"/>
      <c r="X1359" s="7"/>
      <c r="Y1359" s="7"/>
      <c r="Z1359" s="7"/>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c r="AX1359" s="7"/>
      <c r="AY1359" s="7"/>
      <c r="AZ1359" s="7"/>
      <c r="BA1359" s="7"/>
      <c r="BB1359" s="7"/>
      <c r="BC1359" s="7"/>
      <c r="BD1359" s="7"/>
      <c r="BE1359" s="7"/>
      <c r="BF1359" s="7"/>
      <c r="BG1359" s="7"/>
    </row>
    <row r="1360" customHeight="1" spans="1:59">
      <c r="A1360" s="9"/>
      <c r="B1360" s="5"/>
      <c r="C1360" s="5"/>
      <c r="D1360" s="5"/>
      <c r="E1360" s="7"/>
      <c r="F1360" s="8"/>
      <c r="G1360" s="8"/>
      <c r="H1360" s="8"/>
      <c r="I1360" s="14"/>
      <c r="J1360" s="14"/>
      <c r="K1360" s="14"/>
      <c r="L1360" s="14"/>
      <c r="M1360" s="7"/>
      <c r="N1360" s="8"/>
      <c r="O1360" s="8"/>
      <c r="P1360" s="8"/>
      <c r="Q1360" s="7"/>
      <c r="R1360" s="16"/>
      <c r="S1360" s="17"/>
      <c r="T1360" s="8"/>
      <c r="U1360" s="8"/>
      <c r="V1360" s="8"/>
      <c r="W1360" s="7"/>
      <c r="X1360" s="7"/>
      <c r="Y1360" s="7"/>
      <c r="Z1360" s="7"/>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c r="AX1360" s="7"/>
      <c r="AY1360" s="7"/>
      <c r="AZ1360" s="7"/>
      <c r="BA1360" s="7"/>
      <c r="BB1360" s="7"/>
      <c r="BC1360" s="7"/>
      <c r="BD1360" s="7"/>
      <c r="BE1360" s="7"/>
      <c r="BF1360" s="7"/>
      <c r="BG1360" s="7"/>
    </row>
    <row r="1361" customHeight="1" spans="1:59">
      <c r="A1361" s="9"/>
      <c r="B1361" s="5"/>
      <c r="C1361" s="5"/>
      <c r="D1361" s="5"/>
      <c r="E1361" s="7"/>
      <c r="F1361" s="8"/>
      <c r="G1361" s="8"/>
      <c r="H1361" s="8"/>
      <c r="I1361" s="14"/>
      <c r="J1361" s="14"/>
      <c r="K1361" s="14"/>
      <c r="L1361" s="14"/>
      <c r="M1361" s="7"/>
      <c r="N1361" s="8"/>
      <c r="O1361" s="8"/>
      <c r="P1361" s="8"/>
      <c r="Q1361" s="7"/>
      <c r="R1361" s="16"/>
      <c r="S1361" s="17"/>
      <c r="T1361" s="8"/>
      <c r="U1361" s="8"/>
      <c r="V1361" s="8"/>
      <c r="W1361" s="7"/>
      <c r="X1361" s="7"/>
      <c r="Y1361" s="7"/>
      <c r="Z1361" s="7"/>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c r="AX1361" s="7"/>
      <c r="AY1361" s="7"/>
      <c r="AZ1361" s="7"/>
      <c r="BA1361" s="7"/>
      <c r="BB1361" s="7"/>
      <c r="BC1361" s="7"/>
      <c r="BD1361" s="7"/>
      <c r="BE1361" s="7"/>
      <c r="BF1361" s="7"/>
      <c r="BG1361" s="7"/>
    </row>
    <row r="1362" customHeight="1" spans="1:59">
      <c r="A1362" s="9"/>
      <c r="B1362" s="5"/>
      <c r="C1362" s="5"/>
      <c r="D1362" s="5"/>
      <c r="E1362" s="7"/>
      <c r="F1362" s="8"/>
      <c r="G1362" s="8"/>
      <c r="H1362" s="8"/>
      <c r="I1362" s="14"/>
      <c r="J1362" s="14"/>
      <c r="K1362" s="14"/>
      <c r="L1362" s="14"/>
      <c r="M1362" s="7"/>
      <c r="N1362" s="8"/>
      <c r="O1362" s="8"/>
      <c r="P1362" s="8"/>
      <c r="Q1362" s="7"/>
      <c r="R1362" s="16"/>
      <c r="S1362" s="17"/>
      <c r="T1362" s="8"/>
      <c r="U1362" s="8"/>
      <c r="V1362" s="8"/>
      <c r="W1362" s="7"/>
      <c r="X1362" s="7"/>
      <c r="Y1362" s="7"/>
      <c r="Z1362" s="7"/>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c r="AX1362" s="7"/>
      <c r="AY1362" s="7"/>
      <c r="AZ1362" s="7"/>
      <c r="BA1362" s="7"/>
      <c r="BB1362" s="7"/>
      <c r="BC1362" s="7"/>
      <c r="BD1362" s="7"/>
      <c r="BE1362" s="7"/>
      <c r="BF1362" s="7"/>
      <c r="BG1362" s="7"/>
    </row>
    <row r="1363" customHeight="1" spans="1:59">
      <c r="A1363" s="9"/>
      <c r="B1363" s="5"/>
      <c r="C1363" s="5"/>
      <c r="D1363" s="5"/>
      <c r="E1363" s="7"/>
      <c r="F1363" s="8"/>
      <c r="G1363" s="8"/>
      <c r="H1363" s="8"/>
      <c r="I1363" s="14"/>
      <c r="J1363" s="14"/>
      <c r="K1363" s="14"/>
      <c r="L1363" s="14"/>
      <c r="M1363" s="7"/>
      <c r="N1363" s="8"/>
      <c r="O1363" s="8"/>
      <c r="P1363" s="8"/>
      <c r="Q1363" s="7"/>
      <c r="R1363" s="16"/>
      <c r="S1363" s="17"/>
      <c r="T1363" s="8"/>
      <c r="U1363" s="8"/>
      <c r="V1363" s="8"/>
      <c r="W1363" s="7"/>
      <c r="X1363" s="7"/>
      <c r="Y1363" s="7"/>
      <c r="Z1363" s="7"/>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7"/>
      <c r="BD1363" s="7"/>
      <c r="BE1363" s="7"/>
      <c r="BF1363" s="7"/>
      <c r="BG1363" s="7"/>
    </row>
    <row r="1364" customHeight="1" spans="1:59">
      <c r="A1364" s="9"/>
      <c r="B1364" s="5"/>
      <c r="C1364" s="5"/>
      <c r="D1364" s="5"/>
      <c r="E1364" s="7"/>
      <c r="F1364" s="8"/>
      <c r="G1364" s="8"/>
      <c r="H1364" s="8"/>
      <c r="I1364" s="14"/>
      <c r="J1364" s="14"/>
      <c r="K1364" s="14"/>
      <c r="L1364" s="14"/>
      <c r="M1364" s="7"/>
      <c r="N1364" s="8"/>
      <c r="O1364" s="8"/>
      <c r="P1364" s="8"/>
      <c r="Q1364" s="7"/>
      <c r="R1364" s="16"/>
      <c r="S1364" s="17"/>
      <c r="T1364" s="8"/>
      <c r="U1364" s="8"/>
      <c r="V1364" s="8"/>
      <c r="W1364" s="7"/>
      <c r="X1364" s="7"/>
      <c r="Y1364" s="7"/>
      <c r="Z1364" s="7"/>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7"/>
      <c r="BD1364" s="7"/>
      <c r="BE1364" s="7"/>
      <c r="BF1364" s="7"/>
      <c r="BG1364" s="7"/>
    </row>
    <row r="1365" customHeight="1" spans="1:59">
      <c r="A1365" s="9"/>
      <c r="B1365" s="5"/>
      <c r="C1365" s="5"/>
      <c r="D1365" s="5"/>
      <c r="E1365" s="7"/>
      <c r="F1365" s="8"/>
      <c r="G1365" s="8"/>
      <c r="H1365" s="8"/>
      <c r="I1365" s="14"/>
      <c r="J1365" s="14"/>
      <c r="K1365" s="14"/>
      <c r="L1365" s="14"/>
      <c r="M1365" s="7"/>
      <c r="N1365" s="8"/>
      <c r="O1365" s="8"/>
      <c r="P1365" s="8"/>
      <c r="Q1365" s="7"/>
      <c r="R1365" s="16"/>
      <c r="S1365" s="17"/>
      <c r="T1365" s="8"/>
      <c r="U1365" s="8"/>
      <c r="V1365" s="8"/>
      <c r="W1365" s="7"/>
      <c r="X1365" s="7"/>
      <c r="Y1365" s="7"/>
      <c r="Z1365" s="7"/>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c r="AX1365" s="7"/>
      <c r="AY1365" s="7"/>
      <c r="AZ1365" s="7"/>
      <c r="BA1365" s="7"/>
      <c r="BB1365" s="7"/>
      <c r="BC1365" s="7"/>
      <c r="BD1365" s="7"/>
      <c r="BE1365" s="7"/>
      <c r="BF1365" s="7"/>
      <c r="BG1365" s="7"/>
    </row>
    <row r="1366" customHeight="1" spans="1:59">
      <c r="A1366" s="9"/>
      <c r="B1366" s="5"/>
      <c r="C1366" s="5"/>
      <c r="D1366" s="5"/>
      <c r="E1366" s="7"/>
      <c r="F1366" s="8"/>
      <c r="G1366" s="8"/>
      <c r="H1366" s="8"/>
      <c r="I1366" s="14"/>
      <c r="J1366" s="14"/>
      <c r="K1366" s="14"/>
      <c r="L1366" s="14"/>
      <c r="M1366" s="7"/>
      <c r="N1366" s="8"/>
      <c r="O1366" s="8"/>
      <c r="P1366" s="8"/>
      <c r="Q1366" s="7"/>
      <c r="R1366" s="16"/>
      <c r="S1366" s="17"/>
      <c r="T1366" s="8"/>
      <c r="U1366" s="8"/>
      <c r="V1366" s="8"/>
      <c r="W1366" s="7"/>
      <c r="X1366" s="7"/>
      <c r="Y1366" s="7"/>
      <c r="Z1366" s="7"/>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7"/>
      <c r="BD1366" s="7"/>
      <c r="BE1366" s="7"/>
      <c r="BF1366" s="7"/>
      <c r="BG1366" s="7"/>
    </row>
    <row r="1367" customHeight="1" spans="1:59">
      <c r="A1367" s="9"/>
      <c r="B1367" s="5"/>
      <c r="C1367" s="5"/>
      <c r="D1367" s="5"/>
      <c r="E1367" s="7"/>
      <c r="F1367" s="8"/>
      <c r="G1367" s="8"/>
      <c r="H1367" s="8"/>
      <c r="I1367" s="14"/>
      <c r="J1367" s="14"/>
      <c r="K1367" s="14"/>
      <c r="L1367" s="14"/>
      <c r="M1367" s="7"/>
      <c r="N1367" s="8"/>
      <c r="O1367" s="8"/>
      <c r="P1367" s="8"/>
      <c r="Q1367" s="7"/>
      <c r="R1367" s="16"/>
      <c r="S1367" s="17"/>
      <c r="T1367" s="8"/>
      <c r="U1367" s="8"/>
      <c r="V1367" s="8"/>
      <c r="W1367" s="7"/>
      <c r="X1367" s="7"/>
      <c r="Y1367" s="7"/>
      <c r="Z1367" s="7"/>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7"/>
      <c r="AX1367" s="7"/>
      <c r="AY1367" s="7"/>
      <c r="AZ1367" s="7"/>
      <c r="BA1367" s="7"/>
      <c r="BB1367" s="7"/>
      <c r="BC1367" s="7"/>
      <c r="BD1367" s="7"/>
      <c r="BE1367" s="7"/>
      <c r="BF1367" s="7"/>
      <c r="BG1367" s="7"/>
    </row>
    <row r="1368" customHeight="1" spans="1:59">
      <c r="A1368" s="9"/>
      <c r="B1368" s="5"/>
      <c r="C1368" s="5"/>
      <c r="D1368" s="5"/>
      <c r="E1368" s="7"/>
      <c r="F1368" s="8"/>
      <c r="G1368" s="8"/>
      <c r="H1368" s="8"/>
      <c r="I1368" s="14"/>
      <c r="J1368" s="14"/>
      <c r="K1368" s="14"/>
      <c r="L1368" s="14"/>
      <c r="M1368" s="7"/>
      <c r="N1368" s="8"/>
      <c r="O1368" s="8"/>
      <c r="P1368" s="8"/>
      <c r="Q1368" s="7"/>
      <c r="R1368" s="16"/>
      <c r="S1368" s="17"/>
      <c r="T1368" s="8"/>
      <c r="U1368" s="8"/>
      <c r="V1368" s="8"/>
      <c r="W1368" s="7"/>
      <c r="X1368" s="7"/>
      <c r="Y1368" s="7"/>
      <c r="Z1368" s="7"/>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c r="AX1368" s="7"/>
      <c r="AY1368" s="7"/>
      <c r="AZ1368" s="7"/>
      <c r="BA1368" s="7"/>
      <c r="BB1368" s="7"/>
      <c r="BC1368" s="7"/>
      <c r="BD1368" s="7"/>
      <c r="BE1368" s="7"/>
      <c r="BF1368" s="7"/>
      <c r="BG1368" s="7"/>
    </row>
    <row r="1369" customHeight="1" spans="1:59">
      <c r="A1369" s="9"/>
      <c r="B1369" s="5"/>
      <c r="C1369" s="5"/>
      <c r="D1369" s="5"/>
      <c r="E1369" s="7"/>
      <c r="F1369" s="8"/>
      <c r="G1369" s="8"/>
      <c r="H1369" s="8"/>
      <c r="I1369" s="14"/>
      <c r="J1369" s="14"/>
      <c r="K1369" s="14"/>
      <c r="L1369" s="14"/>
      <c r="M1369" s="7"/>
      <c r="N1369" s="8"/>
      <c r="O1369" s="8"/>
      <c r="P1369" s="8"/>
      <c r="Q1369" s="7"/>
      <c r="R1369" s="16"/>
      <c r="S1369" s="17"/>
      <c r="T1369" s="8"/>
      <c r="U1369" s="8"/>
      <c r="V1369" s="8"/>
      <c r="W1369" s="7"/>
      <c r="X1369" s="7"/>
      <c r="Y1369" s="7"/>
      <c r="Z1369" s="7"/>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c r="AX1369" s="7"/>
      <c r="AY1369" s="7"/>
      <c r="AZ1369" s="7"/>
      <c r="BA1369" s="7"/>
      <c r="BB1369" s="7"/>
      <c r="BC1369" s="7"/>
      <c r="BD1369" s="7"/>
      <c r="BE1369" s="7"/>
      <c r="BF1369" s="7"/>
      <c r="BG1369" s="7"/>
    </row>
    <row r="1370" customHeight="1" spans="1:59">
      <c r="A1370" s="9"/>
      <c r="B1370" s="5"/>
      <c r="C1370" s="5"/>
      <c r="D1370" s="5"/>
      <c r="E1370" s="7"/>
      <c r="F1370" s="8"/>
      <c r="G1370" s="8"/>
      <c r="H1370" s="8"/>
      <c r="I1370" s="14"/>
      <c r="J1370" s="14"/>
      <c r="K1370" s="14"/>
      <c r="L1370" s="14"/>
      <c r="M1370" s="7"/>
      <c r="N1370" s="8"/>
      <c r="O1370" s="8"/>
      <c r="P1370" s="8"/>
      <c r="Q1370" s="7"/>
      <c r="R1370" s="16"/>
      <c r="S1370" s="17"/>
      <c r="T1370" s="8"/>
      <c r="U1370" s="8"/>
      <c r="V1370" s="8"/>
      <c r="W1370" s="7"/>
      <c r="X1370" s="7"/>
      <c r="Y1370" s="7"/>
      <c r="Z1370" s="7"/>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7"/>
      <c r="AX1370" s="7"/>
      <c r="AY1370" s="7"/>
      <c r="AZ1370" s="7"/>
      <c r="BA1370" s="7"/>
      <c r="BB1370" s="7"/>
      <c r="BC1370" s="7"/>
      <c r="BD1370" s="7"/>
      <c r="BE1370" s="7"/>
      <c r="BF1370" s="7"/>
      <c r="BG1370" s="7"/>
    </row>
    <row r="1371" customHeight="1" spans="1:59">
      <c r="A1371" s="9"/>
      <c r="B1371" s="5"/>
      <c r="C1371" s="5"/>
      <c r="D1371" s="5"/>
      <c r="E1371" s="7"/>
      <c r="F1371" s="8"/>
      <c r="G1371" s="8"/>
      <c r="H1371" s="8"/>
      <c r="I1371" s="14"/>
      <c r="J1371" s="14"/>
      <c r="K1371" s="14"/>
      <c r="L1371" s="14"/>
      <c r="M1371" s="7"/>
      <c r="N1371" s="8"/>
      <c r="O1371" s="8"/>
      <c r="P1371" s="8"/>
      <c r="Q1371" s="7"/>
      <c r="R1371" s="16"/>
      <c r="S1371" s="17"/>
      <c r="T1371" s="8"/>
      <c r="U1371" s="8"/>
      <c r="V1371" s="8"/>
      <c r="W1371" s="7"/>
      <c r="X1371" s="7"/>
      <c r="Y1371" s="7"/>
      <c r="Z1371" s="7"/>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7"/>
      <c r="AX1371" s="7"/>
      <c r="AY1371" s="7"/>
      <c r="AZ1371" s="7"/>
      <c r="BA1371" s="7"/>
      <c r="BB1371" s="7"/>
      <c r="BC1371" s="7"/>
      <c r="BD1371" s="7"/>
      <c r="BE1371" s="7"/>
      <c r="BF1371" s="7"/>
      <c r="BG1371" s="7"/>
    </row>
    <row r="1372" customHeight="1" spans="1:59">
      <c r="A1372" s="9"/>
      <c r="B1372" s="5"/>
      <c r="C1372" s="5"/>
      <c r="D1372" s="5"/>
      <c r="E1372" s="7"/>
      <c r="F1372" s="8"/>
      <c r="G1372" s="8"/>
      <c r="H1372" s="8"/>
      <c r="I1372" s="14"/>
      <c r="J1372" s="14"/>
      <c r="K1372" s="14"/>
      <c r="L1372" s="14"/>
      <c r="M1372" s="7"/>
      <c r="N1372" s="8"/>
      <c r="O1372" s="8"/>
      <c r="P1372" s="8"/>
      <c r="Q1372" s="7"/>
      <c r="R1372" s="16"/>
      <c r="S1372" s="17"/>
      <c r="T1372" s="8"/>
      <c r="U1372" s="8"/>
      <c r="V1372" s="8"/>
      <c r="W1372" s="7"/>
      <c r="X1372" s="7"/>
      <c r="Y1372" s="7"/>
      <c r="Z1372" s="7"/>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c r="AX1372" s="7"/>
      <c r="AY1372" s="7"/>
      <c r="AZ1372" s="7"/>
      <c r="BA1372" s="7"/>
      <c r="BB1372" s="7"/>
      <c r="BC1372" s="7"/>
      <c r="BD1372" s="7"/>
      <c r="BE1372" s="7"/>
      <c r="BF1372" s="7"/>
      <c r="BG1372" s="7"/>
    </row>
    <row r="1373" customHeight="1" spans="1:59">
      <c r="A1373" s="9"/>
      <c r="B1373" s="5"/>
      <c r="C1373" s="5"/>
      <c r="D1373" s="5"/>
      <c r="E1373" s="7"/>
      <c r="F1373" s="8"/>
      <c r="G1373" s="8"/>
      <c r="H1373" s="8"/>
      <c r="I1373" s="14"/>
      <c r="J1373" s="14"/>
      <c r="K1373" s="14"/>
      <c r="L1373" s="14"/>
      <c r="M1373" s="7"/>
      <c r="N1373" s="8"/>
      <c r="O1373" s="8"/>
      <c r="P1373" s="8"/>
      <c r="Q1373" s="7"/>
      <c r="R1373" s="16"/>
      <c r="S1373" s="17"/>
      <c r="T1373" s="8"/>
      <c r="U1373" s="8"/>
      <c r="V1373" s="8"/>
      <c r="W1373" s="7"/>
      <c r="X1373" s="7"/>
      <c r="Y1373" s="7"/>
      <c r="Z1373" s="7"/>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c r="AX1373" s="7"/>
      <c r="AY1373" s="7"/>
      <c r="AZ1373" s="7"/>
      <c r="BA1373" s="7"/>
      <c r="BB1373" s="7"/>
      <c r="BC1373" s="7"/>
      <c r="BD1373" s="7"/>
      <c r="BE1373" s="7"/>
      <c r="BF1373" s="7"/>
      <c r="BG1373" s="7"/>
    </row>
    <row r="1374" customHeight="1" spans="1:59">
      <c r="A1374" s="9"/>
      <c r="B1374" s="5"/>
      <c r="C1374" s="5"/>
      <c r="D1374" s="5"/>
      <c r="E1374" s="7"/>
      <c r="F1374" s="8"/>
      <c r="G1374" s="8"/>
      <c r="H1374" s="8"/>
      <c r="I1374" s="14"/>
      <c r="J1374" s="14"/>
      <c r="K1374" s="14"/>
      <c r="L1374" s="14"/>
      <c r="M1374" s="7"/>
      <c r="N1374" s="8"/>
      <c r="O1374" s="8"/>
      <c r="P1374" s="8"/>
      <c r="Q1374" s="7"/>
      <c r="R1374" s="16"/>
      <c r="S1374" s="17"/>
      <c r="T1374" s="8"/>
      <c r="U1374" s="8"/>
      <c r="V1374" s="8"/>
      <c r="W1374" s="7"/>
      <c r="X1374" s="7"/>
      <c r="Y1374" s="7"/>
      <c r="Z1374" s="7"/>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row>
    <row r="1375" customHeight="1" spans="1:59">
      <c r="A1375" s="9"/>
      <c r="B1375" s="5"/>
      <c r="C1375" s="5"/>
      <c r="D1375" s="5"/>
      <c r="E1375" s="7"/>
      <c r="F1375" s="8"/>
      <c r="G1375" s="8"/>
      <c r="H1375" s="8"/>
      <c r="I1375" s="14"/>
      <c r="J1375" s="14"/>
      <c r="K1375" s="14"/>
      <c r="L1375" s="14"/>
      <c r="M1375" s="7"/>
      <c r="N1375" s="8"/>
      <c r="O1375" s="8"/>
      <c r="P1375" s="8"/>
      <c r="Q1375" s="7"/>
      <c r="R1375" s="16"/>
      <c r="S1375" s="17"/>
      <c r="T1375" s="8"/>
      <c r="U1375" s="8"/>
      <c r="V1375" s="8"/>
      <c r="W1375" s="7"/>
      <c r="X1375" s="7"/>
      <c r="Y1375" s="7"/>
      <c r="Z1375" s="7"/>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7"/>
      <c r="AX1375" s="7"/>
      <c r="AY1375" s="7"/>
      <c r="AZ1375" s="7"/>
      <c r="BA1375" s="7"/>
      <c r="BB1375" s="7"/>
      <c r="BC1375" s="7"/>
      <c r="BD1375" s="7"/>
      <c r="BE1375" s="7"/>
      <c r="BF1375" s="7"/>
      <c r="BG1375" s="7"/>
    </row>
    <row r="1376" customHeight="1" spans="1:59">
      <c r="A1376" s="9"/>
      <c r="B1376" s="5"/>
      <c r="C1376" s="5"/>
      <c r="D1376" s="5"/>
      <c r="E1376" s="7"/>
      <c r="F1376" s="8"/>
      <c r="G1376" s="8"/>
      <c r="H1376" s="8"/>
      <c r="I1376" s="14"/>
      <c r="J1376" s="14"/>
      <c r="K1376" s="14"/>
      <c r="L1376" s="14"/>
      <c r="M1376" s="7"/>
      <c r="N1376" s="8"/>
      <c r="O1376" s="8"/>
      <c r="P1376" s="8"/>
      <c r="Q1376" s="7"/>
      <c r="R1376" s="16"/>
      <c r="S1376" s="17"/>
      <c r="T1376" s="8"/>
      <c r="U1376" s="8"/>
      <c r="V1376" s="8"/>
      <c r="W1376" s="7"/>
      <c r="X1376" s="7"/>
      <c r="Y1376" s="7"/>
      <c r="Z1376" s="7"/>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7"/>
      <c r="BD1376" s="7"/>
      <c r="BE1376" s="7"/>
      <c r="BF1376" s="7"/>
      <c r="BG1376" s="7"/>
    </row>
    <row r="1377" customHeight="1" spans="1:59">
      <c r="A1377" s="9"/>
      <c r="B1377" s="5"/>
      <c r="C1377" s="5"/>
      <c r="D1377" s="5"/>
      <c r="E1377" s="7"/>
      <c r="F1377" s="8"/>
      <c r="G1377" s="8"/>
      <c r="H1377" s="8"/>
      <c r="I1377" s="14"/>
      <c r="J1377" s="14"/>
      <c r="K1377" s="14"/>
      <c r="L1377" s="14"/>
      <c r="M1377" s="7"/>
      <c r="N1377" s="8"/>
      <c r="O1377" s="8"/>
      <c r="P1377" s="8"/>
      <c r="Q1377" s="7"/>
      <c r="R1377" s="16"/>
      <c r="S1377" s="17"/>
      <c r="T1377" s="8"/>
      <c r="U1377" s="8"/>
      <c r="V1377" s="8"/>
      <c r="W1377" s="7"/>
      <c r="X1377" s="7"/>
      <c r="Y1377" s="7"/>
      <c r="Z1377" s="7"/>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c r="AX1377" s="7"/>
      <c r="AY1377" s="7"/>
      <c r="AZ1377" s="7"/>
      <c r="BA1377" s="7"/>
      <c r="BB1377" s="7"/>
      <c r="BC1377" s="7"/>
      <c r="BD1377" s="7"/>
      <c r="BE1377" s="7"/>
      <c r="BF1377" s="7"/>
      <c r="BG1377" s="7"/>
    </row>
    <row r="1378" customHeight="1" spans="1:59">
      <c r="A1378" s="9"/>
      <c r="B1378" s="5"/>
      <c r="C1378" s="5"/>
      <c r="D1378" s="5"/>
      <c r="E1378" s="7"/>
      <c r="F1378" s="8"/>
      <c r="G1378" s="8"/>
      <c r="H1378" s="8"/>
      <c r="I1378" s="14"/>
      <c r="J1378" s="14"/>
      <c r="K1378" s="14"/>
      <c r="L1378" s="14"/>
      <c r="M1378" s="7"/>
      <c r="N1378" s="8"/>
      <c r="O1378" s="8"/>
      <c r="P1378" s="8"/>
      <c r="Q1378" s="7"/>
      <c r="R1378" s="16"/>
      <c r="S1378" s="17"/>
      <c r="T1378" s="8"/>
      <c r="U1378" s="8"/>
      <c r="V1378" s="8"/>
      <c r="W1378" s="7"/>
      <c r="X1378" s="7"/>
      <c r="Y1378" s="7"/>
      <c r="Z1378" s="7"/>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c r="AX1378" s="7"/>
      <c r="AY1378" s="7"/>
      <c r="AZ1378" s="7"/>
      <c r="BA1378" s="7"/>
      <c r="BB1378" s="7"/>
      <c r="BC1378" s="7"/>
      <c r="BD1378" s="7"/>
      <c r="BE1378" s="7"/>
      <c r="BF1378" s="7"/>
      <c r="BG1378" s="7"/>
    </row>
    <row r="1379" customHeight="1" spans="1:59">
      <c r="A1379" s="9"/>
      <c r="B1379" s="5"/>
      <c r="C1379" s="5"/>
      <c r="D1379" s="5"/>
      <c r="E1379" s="7"/>
      <c r="F1379" s="8"/>
      <c r="G1379" s="8"/>
      <c r="H1379" s="8"/>
      <c r="I1379" s="14"/>
      <c r="J1379" s="14"/>
      <c r="K1379" s="14"/>
      <c r="L1379" s="14"/>
      <c r="M1379" s="7"/>
      <c r="N1379" s="8"/>
      <c r="O1379" s="8"/>
      <c r="P1379" s="8"/>
      <c r="Q1379" s="7"/>
      <c r="R1379" s="16"/>
      <c r="S1379" s="17"/>
      <c r="T1379" s="8"/>
      <c r="U1379" s="8"/>
      <c r="V1379" s="8"/>
      <c r="W1379" s="7"/>
      <c r="X1379" s="7"/>
      <c r="Y1379" s="7"/>
      <c r="Z1379" s="7"/>
      <c r="AA1379" s="7"/>
      <c r="AB1379" s="7"/>
      <c r="AC1379" s="7"/>
      <c r="AD1379" s="7"/>
      <c r="AE1379" s="7"/>
      <c r="AF1379" s="7"/>
      <c r="AG1379" s="7"/>
      <c r="AH1379" s="7"/>
      <c r="AI1379" s="7"/>
      <c r="AJ1379" s="7"/>
      <c r="AK1379" s="7"/>
      <c r="AL1379" s="7"/>
      <c r="AM1379" s="7"/>
      <c r="AN1379" s="7"/>
      <c r="AO1379" s="7"/>
      <c r="AP1379" s="7"/>
      <c r="AQ1379" s="7"/>
      <c r="AR1379" s="7"/>
      <c r="AS1379" s="7"/>
      <c r="AT1379" s="7"/>
      <c r="AU1379" s="7"/>
      <c r="AV1379" s="7"/>
      <c r="AW1379" s="7"/>
      <c r="AX1379" s="7"/>
      <c r="AY1379" s="7"/>
      <c r="AZ1379" s="7"/>
      <c r="BA1379" s="7"/>
      <c r="BB1379" s="7"/>
      <c r="BC1379" s="7"/>
      <c r="BD1379" s="7"/>
      <c r="BE1379" s="7"/>
      <c r="BF1379" s="7"/>
      <c r="BG1379" s="7"/>
    </row>
    <row r="1380" customHeight="1" spans="1:59">
      <c r="A1380" s="9"/>
      <c r="B1380" s="5"/>
      <c r="C1380" s="5"/>
      <c r="D1380" s="5"/>
      <c r="E1380" s="7"/>
      <c r="F1380" s="8"/>
      <c r="G1380" s="8"/>
      <c r="H1380" s="8"/>
      <c r="I1380" s="14"/>
      <c r="J1380" s="14"/>
      <c r="K1380" s="14"/>
      <c r="L1380" s="14"/>
      <c r="M1380" s="7"/>
      <c r="N1380" s="8"/>
      <c r="O1380" s="8"/>
      <c r="P1380" s="8"/>
      <c r="Q1380" s="7"/>
      <c r="R1380" s="16"/>
      <c r="S1380" s="17"/>
      <c r="T1380" s="8"/>
      <c r="U1380" s="8"/>
      <c r="V1380" s="8"/>
      <c r="W1380" s="7"/>
      <c r="X1380" s="7"/>
      <c r="Y1380" s="7"/>
      <c r="Z1380" s="7"/>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7"/>
      <c r="AX1380" s="7"/>
      <c r="AY1380" s="7"/>
      <c r="AZ1380" s="7"/>
      <c r="BA1380" s="7"/>
      <c r="BB1380" s="7"/>
      <c r="BC1380" s="7"/>
      <c r="BD1380" s="7"/>
      <c r="BE1380" s="7"/>
      <c r="BF1380" s="7"/>
      <c r="BG1380" s="7"/>
    </row>
    <row r="1381" customHeight="1" spans="1:59">
      <c r="A1381" s="9"/>
      <c r="B1381" s="5"/>
      <c r="C1381" s="5"/>
      <c r="D1381" s="5"/>
      <c r="E1381" s="7"/>
      <c r="F1381" s="8"/>
      <c r="G1381" s="8"/>
      <c r="H1381" s="8"/>
      <c r="I1381" s="14"/>
      <c r="J1381" s="14"/>
      <c r="K1381" s="14"/>
      <c r="L1381" s="14"/>
      <c r="M1381" s="7"/>
      <c r="N1381" s="8"/>
      <c r="O1381" s="8"/>
      <c r="P1381" s="8"/>
      <c r="Q1381" s="7"/>
      <c r="R1381" s="16"/>
      <c r="S1381" s="17"/>
      <c r="T1381" s="8"/>
      <c r="U1381" s="8"/>
      <c r="V1381" s="8"/>
      <c r="W1381" s="7"/>
      <c r="X1381" s="7"/>
      <c r="Y1381" s="7"/>
      <c r="Z1381" s="7"/>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7"/>
      <c r="AX1381" s="7"/>
      <c r="AY1381" s="7"/>
      <c r="AZ1381" s="7"/>
      <c r="BA1381" s="7"/>
      <c r="BB1381" s="7"/>
      <c r="BC1381" s="7"/>
      <c r="BD1381" s="7"/>
      <c r="BE1381" s="7"/>
      <c r="BF1381" s="7"/>
      <c r="BG1381" s="7"/>
    </row>
    <row r="1382" customHeight="1" spans="1:59">
      <c r="A1382" s="9"/>
      <c r="B1382" s="5"/>
      <c r="C1382" s="5"/>
      <c r="D1382" s="5"/>
      <c r="E1382" s="7"/>
      <c r="F1382" s="8"/>
      <c r="G1382" s="8"/>
      <c r="H1382" s="8"/>
      <c r="I1382" s="14"/>
      <c r="J1382" s="14"/>
      <c r="K1382" s="14"/>
      <c r="L1382" s="14"/>
      <c r="M1382" s="7"/>
      <c r="N1382" s="8"/>
      <c r="O1382" s="8"/>
      <c r="P1382" s="8"/>
      <c r="Q1382" s="7"/>
      <c r="R1382" s="16"/>
      <c r="S1382" s="17"/>
      <c r="T1382" s="8"/>
      <c r="U1382" s="8"/>
      <c r="V1382" s="8"/>
      <c r="W1382" s="7"/>
      <c r="X1382" s="7"/>
      <c r="Y1382" s="7"/>
      <c r="Z1382" s="7"/>
      <c r="AA1382" s="7"/>
      <c r="AB1382" s="7"/>
      <c r="AC1382" s="7"/>
      <c r="AD1382" s="7"/>
      <c r="AE1382" s="7"/>
      <c r="AF1382" s="7"/>
      <c r="AG1382" s="7"/>
      <c r="AH1382" s="7"/>
      <c r="AI1382" s="7"/>
      <c r="AJ1382" s="7"/>
      <c r="AK1382" s="7"/>
      <c r="AL1382" s="7"/>
      <c r="AM1382" s="7"/>
      <c r="AN1382" s="7"/>
      <c r="AO1382" s="7"/>
      <c r="AP1382" s="7"/>
      <c r="AQ1382" s="7"/>
      <c r="AR1382" s="7"/>
      <c r="AS1382" s="7"/>
      <c r="AT1382" s="7"/>
      <c r="AU1382" s="7"/>
      <c r="AV1382" s="7"/>
      <c r="AW1382" s="7"/>
      <c r="AX1382" s="7"/>
      <c r="AY1382" s="7"/>
      <c r="AZ1382" s="7"/>
      <c r="BA1382" s="7"/>
      <c r="BB1382" s="7"/>
      <c r="BC1382" s="7"/>
      <c r="BD1382" s="7"/>
      <c r="BE1382" s="7"/>
      <c r="BF1382" s="7"/>
      <c r="BG1382" s="7"/>
    </row>
    <row r="1383" customHeight="1" spans="1:59">
      <c r="A1383" s="9"/>
      <c r="B1383" s="5"/>
      <c r="C1383" s="5"/>
      <c r="D1383" s="5"/>
      <c r="E1383" s="7"/>
      <c r="F1383" s="8"/>
      <c r="G1383" s="8"/>
      <c r="H1383" s="8"/>
      <c r="I1383" s="14"/>
      <c r="J1383" s="14"/>
      <c r="K1383" s="14"/>
      <c r="L1383" s="14"/>
      <c r="M1383" s="7"/>
      <c r="N1383" s="8"/>
      <c r="O1383" s="8"/>
      <c r="P1383" s="8"/>
      <c r="Q1383" s="7"/>
      <c r="R1383" s="16"/>
      <c r="S1383" s="17"/>
      <c r="T1383" s="8"/>
      <c r="U1383" s="8"/>
      <c r="V1383" s="8"/>
      <c r="W1383" s="7"/>
      <c r="X1383" s="7"/>
      <c r="Y1383" s="7"/>
      <c r="Z1383" s="7"/>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c r="AX1383" s="7"/>
      <c r="AY1383" s="7"/>
      <c r="AZ1383" s="7"/>
      <c r="BA1383" s="7"/>
      <c r="BB1383" s="7"/>
      <c r="BC1383" s="7"/>
      <c r="BD1383" s="7"/>
      <c r="BE1383" s="7"/>
      <c r="BF1383" s="7"/>
      <c r="BG1383" s="7"/>
    </row>
    <row r="1384" customHeight="1" spans="1:59">
      <c r="A1384" s="9"/>
      <c r="B1384" s="5"/>
      <c r="C1384" s="5"/>
      <c r="D1384" s="5"/>
      <c r="E1384" s="7"/>
      <c r="F1384" s="8"/>
      <c r="G1384" s="8"/>
      <c r="H1384" s="8"/>
      <c r="I1384" s="14"/>
      <c r="J1384" s="14"/>
      <c r="K1384" s="14"/>
      <c r="L1384" s="14"/>
      <c r="M1384" s="7"/>
      <c r="N1384" s="8"/>
      <c r="O1384" s="8"/>
      <c r="P1384" s="8"/>
      <c r="Q1384" s="7"/>
      <c r="R1384" s="16"/>
      <c r="S1384" s="17"/>
      <c r="T1384" s="8"/>
      <c r="U1384" s="8"/>
      <c r="V1384" s="8"/>
      <c r="W1384" s="7"/>
      <c r="X1384" s="7"/>
      <c r="Y1384" s="7"/>
      <c r="Z1384" s="7"/>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c r="AX1384" s="7"/>
      <c r="AY1384" s="7"/>
      <c r="AZ1384" s="7"/>
      <c r="BA1384" s="7"/>
      <c r="BB1384" s="7"/>
      <c r="BC1384" s="7"/>
      <c r="BD1384" s="7"/>
      <c r="BE1384" s="7"/>
      <c r="BF1384" s="7"/>
      <c r="BG1384" s="7"/>
    </row>
    <row r="1385" customHeight="1" spans="1:59">
      <c r="A1385" s="9"/>
      <c r="B1385" s="5"/>
      <c r="C1385" s="5"/>
      <c r="D1385" s="5"/>
      <c r="E1385" s="7"/>
      <c r="F1385" s="8"/>
      <c r="G1385" s="8"/>
      <c r="H1385" s="8"/>
      <c r="I1385" s="14"/>
      <c r="J1385" s="14"/>
      <c r="K1385" s="14"/>
      <c r="L1385" s="14"/>
      <c r="M1385" s="7"/>
      <c r="N1385" s="8"/>
      <c r="O1385" s="8"/>
      <c r="P1385" s="8"/>
      <c r="Q1385" s="7"/>
      <c r="R1385" s="16"/>
      <c r="S1385" s="17"/>
      <c r="T1385" s="8"/>
      <c r="U1385" s="8"/>
      <c r="V1385" s="8"/>
      <c r="W1385" s="7"/>
      <c r="X1385" s="7"/>
      <c r="Y1385" s="7"/>
      <c r="Z1385" s="7"/>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c r="AX1385" s="7"/>
      <c r="AY1385" s="7"/>
      <c r="AZ1385" s="7"/>
      <c r="BA1385" s="7"/>
      <c r="BB1385" s="7"/>
      <c r="BC1385" s="7"/>
      <c r="BD1385" s="7"/>
      <c r="BE1385" s="7"/>
      <c r="BF1385" s="7"/>
      <c r="BG1385" s="7"/>
    </row>
    <row r="1386" customHeight="1" spans="1:59">
      <c r="A1386" s="9"/>
      <c r="B1386" s="5"/>
      <c r="C1386" s="5"/>
      <c r="D1386" s="5"/>
      <c r="E1386" s="7"/>
      <c r="F1386" s="8"/>
      <c r="G1386" s="8"/>
      <c r="H1386" s="8"/>
      <c r="I1386" s="14"/>
      <c r="J1386" s="14"/>
      <c r="K1386" s="14"/>
      <c r="L1386" s="14"/>
      <c r="M1386" s="7"/>
      <c r="N1386" s="8"/>
      <c r="O1386" s="8"/>
      <c r="P1386" s="8"/>
      <c r="Q1386" s="7"/>
      <c r="R1386" s="16"/>
      <c r="S1386" s="17"/>
      <c r="T1386" s="8"/>
      <c r="U1386" s="8"/>
      <c r="V1386" s="8"/>
      <c r="W1386" s="7"/>
      <c r="X1386" s="7"/>
      <c r="Y1386" s="7"/>
      <c r="Z1386" s="7"/>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c r="AX1386" s="7"/>
      <c r="AY1386" s="7"/>
      <c r="AZ1386" s="7"/>
      <c r="BA1386" s="7"/>
      <c r="BB1386" s="7"/>
      <c r="BC1386" s="7"/>
      <c r="BD1386" s="7"/>
      <c r="BE1386" s="7"/>
      <c r="BF1386" s="7"/>
      <c r="BG1386" s="7"/>
    </row>
    <row r="1387" customHeight="1" spans="1:59">
      <c r="A1387" s="9"/>
      <c r="B1387" s="5"/>
      <c r="C1387" s="5"/>
      <c r="D1387" s="5"/>
      <c r="E1387" s="7"/>
      <c r="F1387" s="8"/>
      <c r="G1387" s="8"/>
      <c r="H1387" s="8"/>
      <c r="I1387" s="14"/>
      <c r="J1387" s="14"/>
      <c r="K1387" s="14"/>
      <c r="L1387" s="14"/>
      <c r="M1387" s="7"/>
      <c r="N1387" s="8"/>
      <c r="O1387" s="8"/>
      <c r="P1387" s="8"/>
      <c r="Q1387" s="7"/>
      <c r="R1387" s="16"/>
      <c r="S1387" s="17"/>
      <c r="T1387" s="8"/>
      <c r="U1387" s="8"/>
      <c r="V1387" s="8"/>
      <c r="W1387" s="7"/>
      <c r="X1387" s="7"/>
      <c r="Y1387" s="7"/>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7"/>
      <c r="BD1387" s="7"/>
      <c r="BE1387" s="7"/>
      <c r="BF1387" s="7"/>
      <c r="BG1387" s="7"/>
    </row>
    <row r="1388" customHeight="1" spans="1:59">
      <c r="A1388" s="9"/>
      <c r="B1388" s="5"/>
      <c r="C1388" s="5"/>
      <c r="D1388" s="5"/>
      <c r="E1388" s="7"/>
      <c r="F1388" s="8"/>
      <c r="G1388" s="8"/>
      <c r="H1388" s="8"/>
      <c r="I1388" s="14"/>
      <c r="J1388" s="14"/>
      <c r="K1388" s="14"/>
      <c r="L1388" s="14"/>
      <c r="M1388" s="7"/>
      <c r="N1388" s="8"/>
      <c r="O1388" s="8"/>
      <c r="P1388" s="8"/>
      <c r="Q1388" s="7"/>
      <c r="R1388" s="16"/>
      <c r="S1388" s="17"/>
      <c r="T1388" s="8"/>
      <c r="U1388" s="8"/>
      <c r="V1388" s="8"/>
      <c r="W1388" s="7"/>
      <c r="X1388" s="7"/>
      <c r="Y1388" s="7"/>
      <c r="Z1388" s="7"/>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c r="AX1388" s="7"/>
      <c r="AY1388" s="7"/>
      <c r="AZ1388" s="7"/>
      <c r="BA1388" s="7"/>
      <c r="BB1388" s="7"/>
      <c r="BC1388" s="7"/>
      <c r="BD1388" s="7"/>
      <c r="BE1388" s="7"/>
      <c r="BF1388" s="7"/>
      <c r="BG1388" s="7"/>
    </row>
    <row r="1389" customHeight="1" spans="1:59">
      <c r="A1389" s="9"/>
      <c r="B1389" s="5"/>
      <c r="C1389" s="5"/>
      <c r="D1389" s="5"/>
      <c r="E1389" s="7"/>
      <c r="F1389" s="8"/>
      <c r="G1389" s="8"/>
      <c r="H1389" s="8"/>
      <c r="I1389" s="14"/>
      <c r="J1389" s="14"/>
      <c r="K1389" s="14"/>
      <c r="L1389" s="14"/>
      <c r="M1389" s="7"/>
      <c r="N1389" s="8"/>
      <c r="O1389" s="8"/>
      <c r="P1389" s="8"/>
      <c r="Q1389" s="7"/>
      <c r="R1389" s="16"/>
      <c r="S1389" s="17"/>
      <c r="T1389" s="8"/>
      <c r="U1389" s="8"/>
      <c r="V1389" s="8"/>
      <c r="W1389" s="7"/>
      <c r="X1389" s="7"/>
      <c r="Y1389" s="7"/>
      <c r="Z1389" s="7"/>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c r="AX1389" s="7"/>
      <c r="AY1389" s="7"/>
      <c r="AZ1389" s="7"/>
      <c r="BA1389" s="7"/>
      <c r="BB1389" s="7"/>
      <c r="BC1389" s="7"/>
      <c r="BD1389" s="7"/>
      <c r="BE1389" s="7"/>
      <c r="BF1389" s="7"/>
      <c r="BG1389" s="7"/>
    </row>
    <row r="1390" customHeight="1" spans="1:59">
      <c r="A1390" s="9"/>
      <c r="B1390" s="5"/>
      <c r="C1390" s="5"/>
      <c r="D1390" s="5"/>
      <c r="E1390" s="7"/>
      <c r="F1390" s="8"/>
      <c r="G1390" s="8"/>
      <c r="H1390" s="8"/>
      <c r="I1390" s="14"/>
      <c r="J1390" s="14"/>
      <c r="K1390" s="14"/>
      <c r="L1390" s="14"/>
      <c r="M1390" s="7"/>
      <c r="N1390" s="8"/>
      <c r="O1390" s="8"/>
      <c r="P1390" s="8"/>
      <c r="Q1390" s="7"/>
      <c r="R1390" s="16"/>
      <c r="S1390" s="17"/>
      <c r="T1390" s="8"/>
      <c r="U1390" s="8"/>
      <c r="V1390" s="8"/>
      <c r="W1390" s="7"/>
      <c r="X1390" s="7"/>
      <c r="Y1390" s="7"/>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7"/>
      <c r="BB1390" s="7"/>
      <c r="BC1390" s="7"/>
      <c r="BD1390" s="7"/>
      <c r="BE1390" s="7"/>
      <c r="BF1390" s="7"/>
      <c r="BG1390" s="7"/>
    </row>
    <row r="1391" customHeight="1" spans="1:59">
      <c r="A1391" s="9"/>
      <c r="B1391" s="5"/>
      <c r="C1391" s="5"/>
      <c r="D1391" s="5"/>
      <c r="E1391" s="7"/>
      <c r="F1391" s="8"/>
      <c r="G1391" s="8"/>
      <c r="H1391" s="8"/>
      <c r="I1391" s="14"/>
      <c r="J1391" s="14"/>
      <c r="K1391" s="14"/>
      <c r="L1391" s="14"/>
      <c r="M1391" s="7"/>
      <c r="N1391" s="8"/>
      <c r="O1391" s="8"/>
      <c r="P1391" s="8"/>
      <c r="Q1391" s="7"/>
      <c r="R1391" s="16"/>
      <c r="S1391" s="17"/>
      <c r="T1391" s="8"/>
      <c r="U1391" s="8"/>
      <c r="V1391" s="8"/>
      <c r="W1391" s="7"/>
      <c r="X1391" s="7"/>
      <c r="Y1391" s="7"/>
      <c r="Z1391" s="7"/>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c r="AX1391" s="7"/>
      <c r="AY1391" s="7"/>
      <c r="AZ1391" s="7"/>
      <c r="BA1391" s="7"/>
      <c r="BB1391" s="7"/>
      <c r="BC1391" s="7"/>
      <c r="BD1391" s="7"/>
      <c r="BE1391" s="7"/>
      <c r="BF1391" s="7"/>
      <c r="BG1391" s="7"/>
    </row>
    <row r="1392" customHeight="1" spans="1:59">
      <c r="A1392" s="9"/>
      <c r="B1392" s="5"/>
      <c r="C1392" s="5"/>
      <c r="D1392" s="5"/>
      <c r="E1392" s="7"/>
      <c r="F1392" s="8"/>
      <c r="G1392" s="8"/>
      <c r="H1392" s="8"/>
      <c r="I1392" s="14"/>
      <c r="J1392" s="14"/>
      <c r="K1392" s="14"/>
      <c r="L1392" s="14"/>
      <c r="M1392" s="7"/>
      <c r="N1392" s="8"/>
      <c r="O1392" s="8"/>
      <c r="P1392" s="8"/>
      <c r="Q1392" s="7"/>
      <c r="R1392" s="16"/>
      <c r="S1392" s="17"/>
      <c r="T1392" s="8"/>
      <c r="U1392" s="8"/>
      <c r="V1392" s="8"/>
      <c r="W1392" s="7"/>
      <c r="X1392" s="7"/>
      <c r="Y1392" s="7"/>
      <c r="Z1392" s="7"/>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c r="AX1392" s="7"/>
      <c r="AY1392" s="7"/>
      <c r="AZ1392" s="7"/>
      <c r="BA1392" s="7"/>
      <c r="BB1392" s="7"/>
      <c r="BC1392" s="7"/>
      <c r="BD1392" s="7"/>
      <c r="BE1392" s="7"/>
      <c r="BF1392" s="7"/>
      <c r="BG1392" s="7"/>
    </row>
    <row r="1393" customHeight="1" spans="1:59">
      <c r="A1393" s="9"/>
      <c r="B1393" s="5"/>
      <c r="C1393" s="5"/>
      <c r="D1393" s="5"/>
      <c r="E1393" s="7"/>
      <c r="F1393" s="8"/>
      <c r="G1393" s="8"/>
      <c r="H1393" s="8"/>
      <c r="I1393" s="14"/>
      <c r="J1393" s="14"/>
      <c r="K1393" s="14"/>
      <c r="L1393" s="14"/>
      <c r="M1393" s="7"/>
      <c r="N1393" s="8"/>
      <c r="O1393" s="8"/>
      <c r="P1393" s="8"/>
      <c r="Q1393" s="7"/>
      <c r="R1393" s="16"/>
      <c r="S1393" s="17"/>
      <c r="T1393" s="8"/>
      <c r="U1393" s="8"/>
      <c r="V1393" s="8"/>
      <c r="W1393" s="7"/>
      <c r="X1393" s="7"/>
      <c r="Y1393" s="7"/>
      <c r="Z1393" s="7"/>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c r="AX1393" s="7"/>
      <c r="AY1393" s="7"/>
      <c r="AZ1393" s="7"/>
      <c r="BA1393" s="7"/>
      <c r="BB1393" s="7"/>
      <c r="BC1393" s="7"/>
      <c r="BD1393" s="7"/>
      <c r="BE1393" s="7"/>
      <c r="BF1393" s="7"/>
      <c r="BG1393" s="7"/>
    </row>
    <row r="1394" customHeight="1" spans="1:59">
      <c r="A1394" s="9"/>
      <c r="B1394" s="5"/>
      <c r="C1394" s="5"/>
      <c r="D1394" s="5"/>
      <c r="E1394" s="7"/>
      <c r="F1394" s="8"/>
      <c r="G1394" s="8"/>
      <c r="H1394" s="8"/>
      <c r="I1394" s="14"/>
      <c r="J1394" s="14"/>
      <c r="K1394" s="14"/>
      <c r="L1394" s="14"/>
      <c r="M1394" s="7"/>
      <c r="N1394" s="8"/>
      <c r="O1394" s="8"/>
      <c r="P1394" s="8"/>
      <c r="Q1394" s="7"/>
      <c r="R1394" s="16"/>
      <c r="S1394" s="17"/>
      <c r="T1394" s="8"/>
      <c r="U1394" s="8"/>
      <c r="V1394" s="8"/>
      <c r="W1394" s="7"/>
      <c r="X1394" s="7"/>
      <c r="Y1394" s="7"/>
      <c r="Z1394" s="7"/>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c r="AX1394" s="7"/>
      <c r="AY1394" s="7"/>
      <c r="AZ1394" s="7"/>
      <c r="BA1394" s="7"/>
      <c r="BB1394" s="7"/>
      <c r="BC1394" s="7"/>
      <c r="BD1394" s="7"/>
      <c r="BE1394" s="7"/>
      <c r="BF1394" s="7"/>
      <c r="BG1394" s="7"/>
    </row>
    <row r="1395" customHeight="1" spans="1:59">
      <c r="A1395" s="9"/>
      <c r="B1395" s="5"/>
      <c r="C1395" s="5"/>
      <c r="D1395" s="5"/>
      <c r="E1395" s="7"/>
      <c r="F1395" s="8"/>
      <c r="G1395" s="8"/>
      <c r="H1395" s="8"/>
      <c r="I1395" s="14"/>
      <c r="J1395" s="14"/>
      <c r="K1395" s="14"/>
      <c r="L1395" s="14"/>
      <c r="M1395" s="7"/>
      <c r="N1395" s="8"/>
      <c r="O1395" s="8"/>
      <c r="P1395" s="8"/>
      <c r="Q1395" s="7"/>
      <c r="R1395" s="16"/>
      <c r="S1395" s="17"/>
      <c r="T1395" s="8"/>
      <c r="U1395" s="8"/>
      <c r="V1395" s="8"/>
      <c r="W1395" s="7"/>
      <c r="X1395" s="7"/>
      <c r="Y1395" s="7"/>
      <c r="Z1395" s="7"/>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c r="AX1395" s="7"/>
      <c r="AY1395" s="7"/>
      <c r="AZ1395" s="7"/>
      <c r="BA1395" s="7"/>
      <c r="BB1395" s="7"/>
      <c r="BC1395" s="7"/>
      <c r="BD1395" s="7"/>
      <c r="BE1395" s="7"/>
      <c r="BF1395" s="7"/>
      <c r="BG1395" s="7"/>
    </row>
    <row r="1396" customHeight="1" spans="1:59">
      <c r="A1396" s="9"/>
      <c r="B1396" s="5"/>
      <c r="C1396" s="5"/>
      <c r="D1396" s="5"/>
      <c r="E1396" s="7"/>
      <c r="F1396" s="8"/>
      <c r="G1396" s="8"/>
      <c r="H1396" s="8"/>
      <c r="I1396" s="14"/>
      <c r="J1396" s="14"/>
      <c r="K1396" s="14"/>
      <c r="L1396" s="14"/>
      <c r="M1396" s="7"/>
      <c r="N1396" s="8"/>
      <c r="O1396" s="8"/>
      <c r="P1396" s="8"/>
      <c r="Q1396" s="7"/>
      <c r="R1396" s="16"/>
      <c r="S1396" s="17"/>
      <c r="T1396" s="8"/>
      <c r="U1396" s="8"/>
      <c r="V1396" s="8"/>
      <c r="W1396" s="7"/>
      <c r="X1396" s="7"/>
      <c r="Y1396" s="7"/>
      <c r="Z1396" s="7"/>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7"/>
      <c r="BD1396" s="7"/>
      <c r="BE1396" s="7"/>
      <c r="BF1396" s="7"/>
      <c r="BG1396" s="7"/>
    </row>
    <row r="1397" customHeight="1" spans="1:59">
      <c r="A1397" s="9"/>
      <c r="B1397" s="5"/>
      <c r="C1397" s="5"/>
      <c r="D1397" s="5"/>
      <c r="E1397" s="7"/>
      <c r="F1397" s="8"/>
      <c r="G1397" s="8"/>
      <c r="H1397" s="8"/>
      <c r="I1397" s="14"/>
      <c r="J1397" s="14"/>
      <c r="K1397" s="14"/>
      <c r="L1397" s="14"/>
      <c r="M1397" s="7"/>
      <c r="N1397" s="8"/>
      <c r="O1397" s="8"/>
      <c r="P1397" s="8"/>
      <c r="Q1397" s="7"/>
      <c r="R1397" s="16"/>
      <c r="S1397" s="17"/>
      <c r="T1397" s="8"/>
      <c r="U1397" s="8"/>
      <c r="V1397" s="8"/>
      <c r="W1397" s="7"/>
      <c r="X1397" s="7"/>
      <c r="Y1397" s="7"/>
      <c r="Z1397" s="7"/>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c r="AX1397" s="7"/>
      <c r="AY1397" s="7"/>
      <c r="AZ1397" s="7"/>
      <c r="BA1397" s="7"/>
      <c r="BB1397" s="7"/>
      <c r="BC1397" s="7"/>
      <c r="BD1397" s="7"/>
      <c r="BE1397" s="7"/>
      <c r="BF1397" s="7"/>
      <c r="BG1397" s="7"/>
    </row>
    <row r="1398" customHeight="1" spans="1:59">
      <c r="A1398" s="9"/>
      <c r="B1398" s="5"/>
      <c r="C1398" s="5"/>
      <c r="D1398" s="5"/>
      <c r="E1398" s="7"/>
      <c r="F1398" s="8"/>
      <c r="G1398" s="8"/>
      <c r="H1398" s="8"/>
      <c r="I1398" s="14"/>
      <c r="J1398" s="14"/>
      <c r="K1398" s="14"/>
      <c r="L1398" s="14"/>
      <c r="M1398" s="7"/>
      <c r="N1398" s="8"/>
      <c r="O1398" s="8"/>
      <c r="P1398" s="8"/>
      <c r="Q1398" s="7"/>
      <c r="R1398" s="16"/>
      <c r="S1398" s="17"/>
      <c r="T1398" s="8"/>
      <c r="U1398" s="8"/>
      <c r="V1398" s="8"/>
      <c r="W1398" s="7"/>
      <c r="X1398" s="7"/>
      <c r="Y1398" s="7"/>
      <c r="Z1398" s="7"/>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c r="AX1398" s="7"/>
      <c r="AY1398" s="7"/>
      <c r="AZ1398" s="7"/>
      <c r="BA1398" s="7"/>
      <c r="BB1398" s="7"/>
      <c r="BC1398" s="7"/>
      <c r="BD1398" s="7"/>
      <c r="BE1398" s="7"/>
      <c r="BF1398" s="7"/>
      <c r="BG1398" s="7"/>
    </row>
    <row r="1399" customHeight="1" spans="1:59">
      <c r="A1399" s="9"/>
      <c r="B1399" s="5"/>
      <c r="C1399" s="5"/>
      <c r="D1399" s="5"/>
      <c r="E1399" s="7"/>
      <c r="F1399" s="8"/>
      <c r="G1399" s="8"/>
      <c r="H1399" s="8"/>
      <c r="I1399" s="14"/>
      <c r="J1399" s="14"/>
      <c r="K1399" s="14"/>
      <c r="L1399" s="14"/>
      <c r="M1399" s="7"/>
      <c r="N1399" s="8"/>
      <c r="O1399" s="8"/>
      <c r="P1399" s="8"/>
      <c r="Q1399" s="7"/>
      <c r="R1399" s="16"/>
      <c r="S1399" s="17"/>
      <c r="T1399" s="8"/>
      <c r="U1399" s="8"/>
      <c r="V1399" s="8"/>
      <c r="W1399" s="7"/>
      <c r="X1399" s="7"/>
      <c r="Y1399" s="7"/>
      <c r="Z1399" s="7"/>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c r="AX1399" s="7"/>
      <c r="AY1399" s="7"/>
      <c r="AZ1399" s="7"/>
      <c r="BA1399" s="7"/>
      <c r="BB1399" s="7"/>
      <c r="BC1399" s="7"/>
      <c r="BD1399" s="7"/>
      <c r="BE1399" s="7"/>
      <c r="BF1399" s="7"/>
      <c r="BG1399" s="7"/>
    </row>
    <row r="1400" customHeight="1" spans="1:59">
      <c r="A1400" s="9"/>
      <c r="B1400" s="5"/>
      <c r="C1400" s="5"/>
      <c r="D1400" s="5"/>
      <c r="E1400" s="7"/>
      <c r="F1400" s="8"/>
      <c r="G1400" s="8"/>
      <c r="H1400" s="8"/>
      <c r="I1400" s="14"/>
      <c r="J1400" s="14"/>
      <c r="K1400" s="14"/>
      <c r="L1400" s="14"/>
      <c r="M1400" s="7"/>
      <c r="N1400" s="8"/>
      <c r="O1400" s="8"/>
      <c r="P1400" s="8"/>
      <c r="Q1400" s="7"/>
      <c r="R1400" s="16"/>
      <c r="S1400" s="17"/>
      <c r="T1400" s="8"/>
      <c r="U1400" s="8"/>
      <c r="V1400" s="8"/>
      <c r="W1400" s="7"/>
      <c r="X1400" s="7"/>
      <c r="Y1400" s="7"/>
      <c r="Z1400" s="7"/>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c r="AX1400" s="7"/>
      <c r="AY1400" s="7"/>
      <c r="AZ1400" s="7"/>
      <c r="BA1400" s="7"/>
      <c r="BB1400" s="7"/>
      <c r="BC1400" s="7"/>
      <c r="BD1400" s="7"/>
      <c r="BE1400" s="7"/>
      <c r="BF1400" s="7"/>
      <c r="BG1400" s="7"/>
    </row>
    <row r="1401" customHeight="1" spans="1:59">
      <c r="A1401" s="9"/>
      <c r="B1401" s="5"/>
      <c r="C1401" s="5"/>
      <c r="D1401" s="5"/>
      <c r="E1401" s="7"/>
      <c r="F1401" s="8"/>
      <c r="G1401" s="8"/>
      <c r="H1401" s="8"/>
      <c r="I1401" s="14"/>
      <c r="J1401" s="14"/>
      <c r="K1401" s="14"/>
      <c r="L1401" s="14"/>
      <c r="M1401" s="7"/>
      <c r="N1401" s="8"/>
      <c r="O1401" s="8"/>
      <c r="P1401" s="8"/>
      <c r="Q1401" s="7"/>
      <c r="R1401" s="16"/>
      <c r="S1401" s="17"/>
      <c r="T1401" s="8"/>
      <c r="U1401" s="8"/>
      <c r="V1401" s="8"/>
      <c r="W1401" s="7"/>
      <c r="X1401" s="7"/>
      <c r="Y1401" s="7"/>
      <c r="Z1401" s="7"/>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c r="AX1401" s="7"/>
      <c r="AY1401" s="7"/>
      <c r="AZ1401" s="7"/>
      <c r="BA1401" s="7"/>
      <c r="BB1401" s="7"/>
      <c r="BC1401" s="7"/>
      <c r="BD1401" s="7"/>
      <c r="BE1401" s="7"/>
      <c r="BF1401" s="7"/>
      <c r="BG1401" s="7"/>
    </row>
    <row r="1402" customHeight="1" spans="1:59">
      <c r="A1402" s="9"/>
      <c r="B1402" s="5"/>
      <c r="C1402" s="5"/>
      <c r="D1402" s="5"/>
      <c r="E1402" s="7"/>
      <c r="F1402" s="8"/>
      <c r="G1402" s="8"/>
      <c r="H1402" s="8"/>
      <c r="I1402" s="14"/>
      <c r="J1402" s="14"/>
      <c r="K1402" s="14"/>
      <c r="L1402" s="14"/>
      <c r="M1402" s="7"/>
      <c r="N1402" s="8"/>
      <c r="O1402" s="8"/>
      <c r="P1402" s="8"/>
      <c r="Q1402" s="7"/>
      <c r="R1402" s="16"/>
      <c r="S1402" s="17"/>
      <c r="T1402" s="8"/>
      <c r="U1402" s="8"/>
      <c r="V1402" s="8"/>
      <c r="W1402" s="7"/>
      <c r="X1402" s="7"/>
      <c r="Y1402" s="7"/>
      <c r="Z1402" s="7"/>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c r="AX1402" s="7"/>
      <c r="AY1402" s="7"/>
      <c r="AZ1402" s="7"/>
      <c r="BA1402" s="7"/>
      <c r="BB1402" s="7"/>
      <c r="BC1402" s="7"/>
      <c r="BD1402" s="7"/>
      <c r="BE1402" s="7"/>
      <c r="BF1402" s="7"/>
      <c r="BG1402" s="7"/>
    </row>
    <row r="1403" customHeight="1" spans="1:59">
      <c r="A1403" s="9"/>
      <c r="B1403" s="5"/>
      <c r="C1403" s="5"/>
      <c r="D1403" s="5"/>
      <c r="E1403" s="7"/>
      <c r="F1403" s="8"/>
      <c r="G1403" s="8"/>
      <c r="H1403" s="8"/>
      <c r="I1403" s="14"/>
      <c r="J1403" s="14"/>
      <c r="K1403" s="14"/>
      <c r="L1403" s="14"/>
      <c r="M1403" s="7"/>
      <c r="N1403" s="8"/>
      <c r="O1403" s="8"/>
      <c r="P1403" s="8"/>
      <c r="Q1403" s="7"/>
      <c r="R1403" s="16"/>
      <c r="S1403" s="17"/>
      <c r="T1403" s="8"/>
      <c r="U1403" s="8"/>
      <c r="V1403" s="8"/>
      <c r="W1403" s="7"/>
      <c r="X1403" s="7"/>
      <c r="Y1403" s="7"/>
      <c r="Z1403" s="7"/>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c r="AX1403" s="7"/>
      <c r="AY1403" s="7"/>
      <c r="AZ1403" s="7"/>
      <c r="BA1403" s="7"/>
      <c r="BB1403" s="7"/>
      <c r="BC1403" s="7"/>
      <c r="BD1403" s="7"/>
      <c r="BE1403" s="7"/>
      <c r="BF1403" s="7"/>
      <c r="BG1403" s="7"/>
    </row>
    <row r="1404" customHeight="1" spans="1:59">
      <c r="A1404" s="9"/>
      <c r="B1404" s="5"/>
      <c r="C1404" s="5"/>
      <c r="D1404" s="5"/>
      <c r="E1404" s="7"/>
      <c r="F1404" s="8"/>
      <c r="G1404" s="8"/>
      <c r="H1404" s="8"/>
      <c r="I1404" s="14"/>
      <c r="J1404" s="14"/>
      <c r="K1404" s="14"/>
      <c r="L1404" s="14"/>
      <c r="M1404" s="7"/>
      <c r="N1404" s="8"/>
      <c r="O1404" s="8"/>
      <c r="P1404" s="8"/>
      <c r="Q1404" s="7"/>
      <c r="R1404" s="16"/>
      <c r="S1404" s="17"/>
      <c r="T1404" s="8"/>
      <c r="U1404" s="8"/>
      <c r="V1404" s="8"/>
      <c r="W1404" s="7"/>
      <c r="X1404" s="7"/>
      <c r="Y1404" s="7"/>
      <c r="Z1404" s="7"/>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c r="AX1404" s="7"/>
      <c r="AY1404" s="7"/>
      <c r="AZ1404" s="7"/>
      <c r="BA1404" s="7"/>
      <c r="BB1404" s="7"/>
      <c r="BC1404" s="7"/>
      <c r="BD1404" s="7"/>
      <c r="BE1404" s="7"/>
      <c r="BF1404" s="7"/>
      <c r="BG1404" s="7"/>
    </row>
    <row r="1405" customHeight="1" spans="1:59">
      <c r="A1405" s="9"/>
      <c r="B1405" s="5"/>
      <c r="C1405" s="5"/>
      <c r="D1405" s="5"/>
      <c r="E1405" s="7"/>
      <c r="F1405" s="8"/>
      <c r="G1405" s="8"/>
      <c r="H1405" s="8"/>
      <c r="I1405" s="14"/>
      <c r="J1405" s="14"/>
      <c r="K1405" s="14"/>
      <c r="L1405" s="14"/>
      <c r="M1405" s="7"/>
      <c r="N1405" s="8"/>
      <c r="O1405" s="8"/>
      <c r="P1405" s="8"/>
      <c r="Q1405" s="7"/>
      <c r="R1405" s="16"/>
      <c r="S1405" s="17"/>
      <c r="T1405" s="8"/>
      <c r="U1405" s="8"/>
      <c r="V1405" s="8"/>
      <c r="W1405" s="7"/>
      <c r="X1405" s="7"/>
      <c r="Y1405" s="7"/>
      <c r="Z1405" s="7"/>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c r="AX1405" s="7"/>
      <c r="AY1405" s="7"/>
      <c r="AZ1405" s="7"/>
      <c r="BA1405" s="7"/>
      <c r="BB1405" s="7"/>
      <c r="BC1405" s="7"/>
      <c r="BD1405" s="7"/>
      <c r="BE1405" s="7"/>
      <c r="BF1405" s="7"/>
      <c r="BG1405" s="7"/>
    </row>
    <row r="1406" customHeight="1" spans="1:59">
      <c r="A1406" s="9"/>
      <c r="B1406" s="5"/>
      <c r="C1406" s="5"/>
      <c r="D1406" s="5"/>
      <c r="E1406" s="7"/>
      <c r="F1406" s="8"/>
      <c r="G1406" s="8"/>
      <c r="H1406" s="8"/>
      <c r="I1406" s="14"/>
      <c r="J1406" s="14"/>
      <c r="K1406" s="14"/>
      <c r="L1406" s="14"/>
      <c r="M1406" s="7"/>
      <c r="N1406" s="8"/>
      <c r="O1406" s="8"/>
      <c r="P1406" s="8"/>
      <c r="Q1406" s="7"/>
      <c r="R1406" s="16"/>
      <c r="S1406" s="17"/>
      <c r="T1406" s="8"/>
      <c r="U1406" s="8"/>
      <c r="V1406" s="8"/>
      <c r="W1406" s="7"/>
      <c r="X1406" s="7"/>
      <c r="Y1406" s="7"/>
      <c r="Z1406" s="7"/>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c r="AX1406" s="7"/>
      <c r="AY1406" s="7"/>
      <c r="AZ1406" s="7"/>
      <c r="BA1406" s="7"/>
      <c r="BB1406" s="7"/>
      <c r="BC1406" s="7"/>
      <c r="BD1406" s="7"/>
      <c r="BE1406" s="7"/>
      <c r="BF1406" s="7"/>
      <c r="BG1406" s="7"/>
    </row>
    <row r="1407" customHeight="1" spans="1:59">
      <c r="A1407" s="9"/>
      <c r="B1407" s="5"/>
      <c r="C1407" s="5"/>
      <c r="D1407" s="5"/>
      <c r="E1407" s="7"/>
      <c r="F1407" s="8"/>
      <c r="G1407" s="8"/>
      <c r="H1407" s="8"/>
      <c r="I1407" s="14"/>
      <c r="J1407" s="14"/>
      <c r="K1407" s="14"/>
      <c r="L1407" s="14"/>
      <c r="M1407" s="7"/>
      <c r="N1407" s="8"/>
      <c r="O1407" s="8"/>
      <c r="P1407" s="8"/>
      <c r="Q1407" s="7"/>
      <c r="R1407" s="16"/>
      <c r="S1407" s="17"/>
      <c r="T1407" s="8"/>
      <c r="U1407" s="8"/>
      <c r="V1407" s="8"/>
      <c r="W1407" s="7"/>
      <c r="X1407" s="7"/>
      <c r="Y1407" s="7"/>
      <c r="Z1407" s="7"/>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c r="AX1407" s="7"/>
      <c r="AY1407" s="7"/>
      <c r="AZ1407" s="7"/>
      <c r="BA1407" s="7"/>
      <c r="BB1407" s="7"/>
      <c r="BC1407" s="7"/>
      <c r="BD1407" s="7"/>
      <c r="BE1407" s="7"/>
      <c r="BF1407" s="7"/>
      <c r="BG1407" s="7"/>
    </row>
    <row r="1408" customHeight="1" spans="1:59">
      <c r="A1408" s="9"/>
      <c r="B1408" s="5"/>
      <c r="C1408" s="5"/>
      <c r="D1408" s="5"/>
      <c r="E1408" s="7"/>
      <c r="F1408" s="8"/>
      <c r="G1408" s="8"/>
      <c r="H1408" s="8"/>
      <c r="I1408" s="14"/>
      <c r="J1408" s="14"/>
      <c r="K1408" s="14"/>
      <c r="L1408" s="14"/>
      <c r="M1408" s="7"/>
      <c r="N1408" s="8"/>
      <c r="O1408" s="8"/>
      <c r="P1408" s="8"/>
      <c r="Q1408" s="7"/>
      <c r="R1408" s="16"/>
      <c r="S1408" s="17"/>
      <c r="T1408" s="8"/>
      <c r="U1408" s="8"/>
      <c r="V1408" s="8"/>
      <c r="W1408" s="7"/>
      <c r="X1408" s="7"/>
      <c r="Y1408" s="7"/>
      <c r="Z1408" s="7"/>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c r="AX1408" s="7"/>
      <c r="AY1408" s="7"/>
      <c r="AZ1408" s="7"/>
      <c r="BA1408" s="7"/>
      <c r="BB1408" s="7"/>
      <c r="BC1408" s="7"/>
      <c r="BD1408" s="7"/>
      <c r="BE1408" s="7"/>
      <c r="BF1408" s="7"/>
      <c r="BG1408" s="7"/>
    </row>
    <row r="1409" customHeight="1" spans="1:59">
      <c r="A1409" s="9"/>
      <c r="B1409" s="5"/>
      <c r="C1409" s="5"/>
      <c r="D1409" s="5"/>
      <c r="E1409" s="7"/>
      <c r="F1409" s="8"/>
      <c r="G1409" s="8"/>
      <c r="H1409" s="8"/>
      <c r="I1409" s="14"/>
      <c r="J1409" s="14"/>
      <c r="K1409" s="14"/>
      <c r="L1409" s="14"/>
      <c r="M1409" s="7"/>
      <c r="N1409" s="8"/>
      <c r="O1409" s="8"/>
      <c r="P1409" s="8"/>
      <c r="Q1409" s="7"/>
      <c r="R1409" s="16"/>
      <c r="S1409" s="17"/>
      <c r="T1409" s="8"/>
      <c r="U1409" s="8"/>
      <c r="V1409" s="8"/>
      <c r="W1409" s="7"/>
      <c r="X1409" s="7"/>
      <c r="Y1409" s="7"/>
      <c r="Z1409" s="7"/>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c r="AX1409" s="7"/>
      <c r="AY1409" s="7"/>
      <c r="AZ1409" s="7"/>
      <c r="BA1409" s="7"/>
      <c r="BB1409" s="7"/>
      <c r="BC1409" s="7"/>
      <c r="BD1409" s="7"/>
      <c r="BE1409" s="7"/>
      <c r="BF1409" s="7"/>
      <c r="BG1409" s="7"/>
    </row>
    <row r="1410" customHeight="1" spans="1:59">
      <c r="A1410" s="9"/>
      <c r="B1410" s="5"/>
      <c r="C1410" s="5"/>
      <c r="D1410" s="5"/>
      <c r="E1410" s="7"/>
      <c r="F1410" s="8"/>
      <c r="G1410" s="8"/>
      <c r="H1410" s="8"/>
      <c r="I1410" s="14"/>
      <c r="J1410" s="14"/>
      <c r="K1410" s="14"/>
      <c r="L1410" s="14"/>
      <c r="M1410" s="7"/>
      <c r="N1410" s="8"/>
      <c r="O1410" s="8"/>
      <c r="P1410" s="8"/>
      <c r="Q1410" s="7"/>
      <c r="R1410" s="16"/>
      <c r="S1410" s="17"/>
      <c r="T1410" s="8"/>
      <c r="U1410" s="8"/>
      <c r="V1410" s="8"/>
      <c r="W1410" s="7"/>
      <c r="X1410" s="7"/>
      <c r="Y1410" s="7"/>
      <c r="Z1410" s="7"/>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c r="AX1410" s="7"/>
      <c r="AY1410" s="7"/>
      <c r="AZ1410" s="7"/>
      <c r="BA1410" s="7"/>
      <c r="BB1410" s="7"/>
      <c r="BC1410" s="7"/>
      <c r="BD1410" s="7"/>
      <c r="BE1410" s="7"/>
      <c r="BF1410" s="7"/>
      <c r="BG1410" s="7"/>
    </row>
    <row r="1411" customHeight="1" spans="1:59">
      <c r="A1411" s="9"/>
      <c r="B1411" s="5"/>
      <c r="C1411" s="5"/>
      <c r="D1411" s="5"/>
      <c r="E1411" s="7"/>
      <c r="F1411" s="8"/>
      <c r="G1411" s="8"/>
      <c r="H1411" s="8"/>
      <c r="I1411" s="14"/>
      <c r="J1411" s="14"/>
      <c r="K1411" s="14"/>
      <c r="L1411" s="14"/>
      <c r="M1411" s="7"/>
      <c r="N1411" s="8"/>
      <c r="O1411" s="8"/>
      <c r="P1411" s="8"/>
      <c r="Q1411" s="7"/>
      <c r="R1411" s="16"/>
      <c r="S1411" s="17"/>
      <c r="T1411" s="8"/>
      <c r="U1411" s="8"/>
      <c r="V1411" s="8"/>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7"/>
      <c r="BD1411" s="7"/>
      <c r="BE1411" s="7"/>
      <c r="BF1411" s="7"/>
      <c r="BG1411" s="7"/>
    </row>
    <row r="1412" customHeight="1" spans="1:59">
      <c r="A1412" s="9"/>
      <c r="B1412" s="5"/>
      <c r="C1412" s="5"/>
      <c r="D1412" s="5"/>
      <c r="E1412" s="7"/>
      <c r="F1412" s="8"/>
      <c r="G1412" s="8"/>
      <c r="H1412" s="8"/>
      <c r="I1412" s="14"/>
      <c r="J1412" s="14"/>
      <c r="K1412" s="14"/>
      <c r="L1412" s="14"/>
      <c r="M1412" s="7"/>
      <c r="N1412" s="8"/>
      <c r="O1412" s="8"/>
      <c r="P1412" s="8"/>
      <c r="Q1412" s="7"/>
      <c r="R1412" s="16"/>
      <c r="S1412" s="17"/>
      <c r="T1412" s="8"/>
      <c r="U1412" s="8"/>
      <c r="V1412" s="8"/>
      <c r="W1412" s="7"/>
      <c r="X1412" s="7"/>
      <c r="Y1412" s="7"/>
      <c r="Z1412" s="7"/>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c r="AX1412" s="7"/>
      <c r="AY1412" s="7"/>
      <c r="AZ1412" s="7"/>
      <c r="BA1412" s="7"/>
      <c r="BB1412" s="7"/>
      <c r="BC1412" s="7"/>
      <c r="BD1412" s="7"/>
      <c r="BE1412" s="7"/>
      <c r="BF1412" s="7"/>
      <c r="BG1412" s="7"/>
    </row>
    <row r="1413" customHeight="1" spans="1:59">
      <c r="A1413" s="9"/>
      <c r="B1413" s="5"/>
      <c r="C1413" s="5"/>
      <c r="D1413" s="5"/>
      <c r="E1413" s="7"/>
      <c r="F1413" s="8"/>
      <c r="G1413" s="8"/>
      <c r="H1413" s="8"/>
      <c r="I1413" s="14"/>
      <c r="J1413" s="14"/>
      <c r="K1413" s="14"/>
      <c r="L1413" s="14"/>
      <c r="M1413" s="7"/>
      <c r="N1413" s="8"/>
      <c r="O1413" s="8"/>
      <c r="P1413" s="8"/>
      <c r="Q1413" s="7"/>
      <c r="R1413" s="16"/>
      <c r="S1413" s="17"/>
      <c r="T1413" s="8"/>
      <c r="U1413" s="8"/>
      <c r="V1413" s="8"/>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7"/>
      <c r="BB1413" s="7"/>
      <c r="BC1413" s="7"/>
      <c r="BD1413" s="7"/>
      <c r="BE1413" s="7"/>
      <c r="BF1413" s="7"/>
      <c r="BG1413" s="7"/>
    </row>
    <row r="1414" customHeight="1" spans="1:59">
      <c r="A1414" s="9"/>
      <c r="B1414" s="5"/>
      <c r="C1414" s="5"/>
      <c r="D1414" s="5"/>
      <c r="E1414" s="7"/>
      <c r="F1414" s="8"/>
      <c r="G1414" s="8"/>
      <c r="H1414" s="8"/>
      <c r="I1414" s="14"/>
      <c r="J1414" s="14"/>
      <c r="K1414" s="14"/>
      <c r="L1414" s="14"/>
      <c r="M1414" s="7"/>
      <c r="N1414" s="8"/>
      <c r="O1414" s="8"/>
      <c r="P1414" s="8"/>
      <c r="Q1414" s="7"/>
      <c r="R1414" s="16"/>
      <c r="S1414" s="17"/>
      <c r="T1414" s="8"/>
      <c r="U1414" s="8"/>
      <c r="V1414" s="8"/>
      <c r="W1414" s="7"/>
      <c r="X1414" s="7"/>
      <c r="Y1414" s="7"/>
      <c r="Z1414" s="7"/>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c r="AX1414" s="7"/>
      <c r="AY1414" s="7"/>
      <c r="AZ1414" s="7"/>
      <c r="BA1414" s="7"/>
      <c r="BB1414" s="7"/>
      <c r="BC1414" s="7"/>
      <c r="BD1414" s="7"/>
      <c r="BE1414" s="7"/>
      <c r="BF1414" s="7"/>
      <c r="BG1414" s="7"/>
    </row>
    <row r="1415" customHeight="1" spans="1:59">
      <c r="A1415" s="9"/>
      <c r="B1415" s="5"/>
      <c r="C1415" s="5"/>
      <c r="D1415" s="5"/>
      <c r="E1415" s="7"/>
      <c r="F1415" s="8"/>
      <c r="G1415" s="8"/>
      <c r="H1415" s="8"/>
      <c r="I1415" s="14"/>
      <c r="J1415" s="14"/>
      <c r="K1415" s="14"/>
      <c r="L1415" s="14"/>
      <c r="M1415" s="7"/>
      <c r="N1415" s="8"/>
      <c r="O1415" s="8"/>
      <c r="P1415" s="8"/>
      <c r="Q1415" s="7"/>
      <c r="R1415" s="16"/>
      <c r="S1415" s="17"/>
      <c r="T1415" s="8"/>
      <c r="U1415" s="8"/>
      <c r="V1415" s="8"/>
      <c r="W1415" s="7"/>
      <c r="X1415" s="7"/>
      <c r="Y1415" s="7"/>
      <c r="Z1415" s="7"/>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c r="AX1415" s="7"/>
      <c r="AY1415" s="7"/>
      <c r="AZ1415" s="7"/>
      <c r="BA1415" s="7"/>
      <c r="BB1415" s="7"/>
      <c r="BC1415" s="7"/>
      <c r="BD1415" s="7"/>
      <c r="BE1415" s="7"/>
      <c r="BF1415" s="7"/>
      <c r="BG1415" s="7"/>
    </row>
    <row r="1416" customHeight="1" spans="1:59">
      <c r="A1416" s="9"/>
      <c r="B1416" s="5"/>
      <c r="C1416" s="5"/>
      <c r="D1416" s="5"/>
      <c r="E1416" s="7"/>
      <c r="F1416" s="8"/>
      <c r="G1416" s="8"/>
      <c r="H1416" s="8"/>
      <c r="I1416" s="14"/>
      <c r="J1416" s="14"/>
      <c r="K1416" s="14"/>
      <c r="L1416" s="14"/>
      <c r="M1416" s="7"/>
      <c r="N1416" s="8"/>
      <c r="O1416" s="8"/>
      <c r="P1416" s="8"/>
      <c r="Q1416" s="7"/>
      <c r="R1416" s="16"/>
      <c r="S1416" s="17"/>
      <c r="T1416" s="8"/>
      <c r="U1416" s="8"/>
      <c r="V1416" s="8"/>
      <c r="W1416" s="7"/>
      <c r="X1416" s="7"/>
      <c r="Y1416" s="7"/>
      <c r="Z1416" s="7"/>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c r="AX1416" s="7"/>
      <c r="AY1416" s="7"/>
      <c r="AZ1416" s="7"/>
      <c r="BA1416" s="7"/>
      <c r="BB1416" s="7"/>
      <c r="BC1416" s="7"/>
      <c r="BD1416" s="7"/>
      <c r="BE1416" s="7"/>
      <c r="BF1416" s="7"/>
      <c r="BG1416" s="7"/>
    </row>
    <row r="1417" customHeight="1" spans="1:59">
      <c r="A1417" s="9"/>
      <c r="B1417" s="5"/>
      <c r="C1417" s="5"/>
      <c r="D1417" s="5"/>
      <c r="E1417" s="7"/>
      <c r="F1417" s="8"/>
      <c r="G1417" s="8"/>
      <c r="H1417" s="8"/>
      <c r="I1417" s="14"/>
      <c r="J1417" s="14"/>
      <c r="K1417" s="14"/>
      <c r="L1417" s="14"/>
      <c r="M1417" s="7"/>
      <c r="N1417" s="8"/>
      <c r="O1417" s="8"/>
      <c r="P1417" s="8"/>
      <c r="Q1417" s="7"/>
      <c r="R1417" s="16"/>
      <c r="S1417" s="17"/>
      <c r="T1417" s="8"/>
      <c r="U1417" s="8"/>
      <c r="V1417" s="8"/>
      <c r="W1417" s="7"/>
      <c r="X1417" s="7"/>
      <c r="Y1417" s="7"/>
      <c r="Z1417" s="7"/>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c r="AX1417" s="7"/>
      <c r="AY1417" s="7"/>
      <c r="AZ1417" s="7"/>
      <c r="BA1417" s="7"/>
      <c r="BB1417" s="7"/>
      <c r="BC1417" s="7"/>
      <c r="BD1417" s="7"/>
      <c r="BE1417" s="7"/>
      <c r="BF1417" s="7"/>
      <c r="BG1417" s="7"/>
    </row>
    <row r="1418" customHeight="1" spans="1:59">
      <c r="A1418" s="9"/>
      <c r="B1418" s="5"/>
      <c r="C1418" s="5"/>
      <c r="D1418" s="5"/>
      <c r="E1418" s="7"/>
      <c r="F1418" s="8"/>
      <c r="G1418" s="8"/>
      <c r="H1418" s="8"/>
      <c r="I1418" s="14"/>
      <c r="J1418" s="14"/>
      <c r="K1418" s="14"/>
      <c r="L1418" s="14"/>
      <c r="M1418" s="7"/>
      <c r="N1418" s="8"/>
      <c r="O1418" s="8"/>
      <c r="P1418" s="8"/>
      <c r="Q1418" s="7"/>
      <c r="R1418" s="16"/>
      <c r="S1418" s="17"/>
      <c r="T1418" s="8"/>
      <c r="U1418" s="8"/>
      <c r="V1418" s="8"/>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row>
    <row r="1419" customHeight="1" spans="1:59">
      <c r="A1419" s="9"/>
      <c r="B1419" s="5"/>
      <c r="C1419" s="5"/>
      <c r="D1419" s="5"/>
      <c r="E1419" s="7"/>
      <c r="F1419" s="8"/>
      <c r="G1419" s="8"/>
      <c r="H1419" s="8"/>
      <c r="I1419" s="14"/>
      <c r="J1419" s="14"/>
      <c r="K1419" s="14"/>
      <c r="L1419" s="14"/>
      <c r="M1419" s="7"/>
      <c r="N1419" s="8"/>
      <c r="O1419" s="8"/>
      <c r="P1419" s="8"/>
      <c r="Q1419" s="7"/>
      <c r="R1419" s="16"/>
      <c r="S1419" s="17"/>
      <c r="T1419" s="8"/>
      <c r="U1419" s="8"/>
      <c r="V1419" s="8"/>
      <c r="W1419" s="7"/>
      <c r="X1419" s="7"/>
      <c r="Y1419" s="7"/>
      <c r="Z1419" s="7"/>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c r="AX1419" s="7"/>
      <c r="AY1419" s="7"/>
      <c r="AZ1419" s="7"/>
      <c r="BA1419" s="7"/>
      <c r="BB1419" s="7"/>
      <c r="BC1419" s="7"/>
      <c r="BD1419" s="7"/>
      <c r="BE1419" s="7"/>
      <c r="BF1419" s="7"/>
      <c r="BG1419" s="7"/>
    </row>
    <row r="1420" customHeight="1" spans="1:59">
      <c r="A1420" s="9"/>
      <c r="B1420" s="5"/>
      <c r="C1420" s="5"/>
      <c r="D1420" s="5"/>
      <c r="E1420" s="7"/>
      <c r="F1420" s="8"/>
      <c r="G1420" s="8"/>
      <c r="H1420" s="8"/>
      <c r="I1420" s="14"/>
      <c r="J1420" s="14"/>
      <c r="K1420" s="14"/>
      <c r="L1420" s="14"/>
      <c r="M1420" s="7"/>
      <c r="N1420" s="8"/>
      <c r="O1420" s="8"/>
      <c r="P1420" s="8"/>
      <c r="Q1420" s="7"/>
      <c r="R1420" s="16"/>
      <c r="S1420" s="17"/>
      <c r="T1420" s="8"/>
      <c r="U1420" s="8"/>
      <c r="V1420" s="8"/>
      <c r="W1420" s="7"/>
      <c r="X1420" s="7"/>
      <c r="Y1420" s="7"/>
      <c r="Z1420" s="7"/>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c r="AX1420" s="7"/>
      <c r="AY1420" s="7"/>
      <c r="AZ1420" s="7"/>
      <c r="BA1420" s="7"/>
      <c r="BB1420" s="7"/>
      <c r="BC1420" s="7"/>
      <c r="BD1420" s="7"/>
      <c r="BE1420" s="7"/>
      <c r="BF1420" s="7"/>
      <c r="BG1420" s="7"/>
    </row>
    <row r="1421" customHeight="1" spans="1:59">
      <c r="A1421" s="9"/>
      <c r="B1421" s="5"/>
      <c r="C1421" s="5"/>
      <c r="D1421" s="5"/>
      <c r="E1421" s="7"/>
      <c r="F1421" s="8"/>
      <c r="G1421" s="8"/>
      <c r="H1421" s="8"/>
      <c r="I1421" s="14"/>
      <c r="J1421" s="14"/>
      <c r="K1421" s="14"/>
      <c r="L1421" s="14"/>
      <c r="M1421" s="7"/>
      <c r="N1421" s="8"/>
      <c r="O1421" s="8"/>
      <c r="P1421" s="8"/>
      <c r="Q1421" s="7"/>
      <c r="R1421" s="16"/>
      <c r="S1421" s="17"/>
      <c r="T1421" s="8"/>
      <c r="U1421" s="8"/>
      <c r="V1421" s="8"/>
      <c r="W1421" s="7"/>
      <c r="X1421" s="7"/>
      <c r="Y1421" s="7"/>
      <c r="Z1421" s="7"/>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c r="AX1421" s="7"/>
      <c r="AY1421" s="7"/>
      <c r="AZ1421" s="7"/>
      <c r="BA1421" s="7"/>
      <c r="BB1421" s="7"/>
      <c r="BC1421" s="7"/>
      <c r="BD1421" s="7"/>
      <c r="BE1421" s="7"/>
      <c r="BF1421" s="7"/>
      <c r="BG1421" s="7"/>
    </row>
    <row r="1422" customHeight="1" spans="1:59">
      <c r="A1422" s="9"/>
      <c r="B1422" s="5"/>
      <c r="C1422" s="5"/>
      <c r="D1422" s="5"/>
      <c r="E1422" s="7"/>
      <c r="F1422" s="8"/>
      <c r="G1422" s="8"/>
      <c r="H1422" s="8"/>
      <c r="I1422" s="14"/>
      <c r="J1422" s="14"/>
      <c r="K1422" s="14"/>
      <c r="L1422" s="14"/>
      <c r="M1422" s="7"/>
      <c r="N1422" s="8"/>
      <c r="O1422" s="8"/>
      <c r="P1422" s="8"/>
      <c r="Q1422" s="7"/>
      <c r="R1422" s="16"/>
      <c r="S1422" s="17"/>
      <c r="T1422" s="8"/>
      <c r="U1422" s="8"/>
      <c r="V1422" s="8"/>
      <c r="W1422" s="7"/>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7"/>
      <c r="BD1422" s="7"/>
      <c r="BE1422" s="7"/>
      <c r="BF1422" s="7"/>
      <c r="BG1422" s="7"/>
    </row>
    <row r="1423" customHeight="1" spans="1:59">
      <c r="A1423" s="9"/>
      <c r="B1423" s="5"/>
      <c r="C1423" s="5"/>
      <c r="D1423" s="5"/>
      <c r="E1423" s="7"/>
      <c r="F1423" s="8"/>
      <c r="G1423" s="8"/>
      <c r="H1423" s="8"/>
      <c r="I1423" s="14"/>
      <c r="J1423" s="14"/>
      <c r="K1423" s="14"/>
      <c r="L1423" s="14"/>
      <c r="M1423" s="7"/>
      <c r="N1423" s="8"/>
      <c r="O1423" s="8"/>
      <c r="P1423" s="8"/>
      <c r="Q1423" s="7"/>
      <c r="R1423" s="16"/>
      <c r="S1423" s="17"/>
      <c r="T1423" s="8"/>
      <c r="U1423" s="8"/>
      <c r="V1423" s="8"/>
      <c r="W1423" s="7"/>
      <c r="X1423" s="7"/>
      <c r="Y1423" s="7"/>
      <c r="Z1423" s="7"/>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c r="AX1423" s="7"/>
      <c r="AY1423" s="7"/>
      <c r="AZ1423" s="7"/>
      <c r="BA1423" s="7"/>
      <c r="BB1423" s="7"/>
      <c r="BC1423" s="7"/>
      <c r="BD1423" s="7"/>
      <c r="BE1423" s="7"/>
      <c r="BF1423" s="7"/>
      <c r="BG1423" s="7"/>
    </row>
    <row r="1424" customHeight="1" spans="1:59">
      <c r="A1424" s="9"/>
      <c r="B1424" s="5"/>
      <c r="C1424" s="5"/>
      <c r="D1424" s="5"/>
      <c r="E1424" s="7"/>
      <c r="F1424" s="8"/>
      <c r="G1424" s="8"/>
      <c r="H1424" s="8"/>
      <c r="I1424" s="14"/>
      <c r="J1424" s="14"/>
      <c r="K1424" s="14"/>
      <c r="L1424" s="14"/>
      <c r="M1424" s="7"/>
      <c r="N1424" s="8"/>
      <c r="O1424" s="8"/>
      <c r="P1424" s="8"/>
      <c r="Q1424" s="7"/>
      <c r="R1424" s="16"/>
      <c r="S1424" s="17"/>
      <c r="T1424" s="8"/>
      <c r="U1424" s="8"/>
      <c r="V1424" s="8"/>
      <c r="W1424" s="7"/>
      <c r="X1424" s="7"/>
      <c r="Y1424" s="7"/>
      <c r="Z1424" s="7"/>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c r="AX1424" s="7"/>
      <c r="AY1424" s="7"/>
      <c r="AZ1424" s="7"/>
      <c r="BA1424" s="7"/>
      <c r="BB1424" s="7"/>
      <c r="BC1424" s="7"/>
      <c r="BD1424" s="7"/>
      <c r="BE1424" s="7"/>
      <c r="BF1424" s="7"/>
      <c r="BG1424" s="7"/>
    </row>
    <row r="1425" customHeight="1" spans="1:59">
      <c r="A1425" s="9"/>
      <c r="B1425" s="5"/>
      <c r="C1425" s="5"/>
      <c r="D1425" s="5"/>
      <c r="E1425" s="7"/>
      <c r="F1425" s="8"/>
      <c r="G1425" s="8"/>
      <c r="H1425" s="8"/>
      <c r="I1425" s="14"/>
      <c r="J1425" s="14"/>
      <c r="K1425" s="14"/>
      <c r="L1425" s="14"/>
      <c r="M1425" s="7"/>
      <c r="N1425" s="8"/>
      <c r="O1425" s="8"/>
      <c r="P1425" s="8"/>
      <c r="Q1425" s="7"/>
      <c r="R1425" s="16"/>
      <c r="S1425" s="17"/>
      <c r="T1425" s="8"/>
      <c r="U1425" s="8"/>
      <c r="V1425" s="8"/>
      <c r="W1425" s="7"/>
      <c r="X1425" s="7"/>
      <c r="Y1425" s="7"/>
      <c r="Z1425" s="7"/>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c r="AX1425" s="7"/>
      <c r="AY1425" s="7"/>
      <c r="AZ1425" s="7"/>
      <c r="BA1425" s="7"/>
      <c r="BB1425" s="7"/>
      <c r="BC1425" s="7"/>
      <c r="BD1425" s="7"/>
      <c r="BE1425" s="7"/>
      <c r="BF1425" s="7"/>
      <c r="BG1425" s="7"/>
    </row>
    <row r="1426" customHeight="1" spans="1:59">
      <c r="A1426" s="9"/>
      <c r="B1426" s="5"/>
      <c r="C1426" s="5"/>
      <c r="D1426" s="5"/>
      <c r="E1426" s="7"/>
      <c r="F1426" s="8"/>
      <c r="G1426" s="8"/>
      <c r="H1426" s="8"/>
      <c r="I1426" s="14"/>
      <c r="J1426" s="14"/>
      <c r="K1426" s="14"/>
      <c r="L1426" s="14"/>
      <c r="M1426" s="7"/>
      <c r="N1426" s="8"/>
      <c r="O1426" s="8"/>
      <c r="P1426" s="8"/>
      <c r="Q1426" s="7"/>
      <c r="R1426" s="16"/>
      <c r="S1426" s="17"/>
      <c r="T1426" s="8"/>
      <c r="U1426" s="8"/>
      <c r="V1426" s="8"/>
      <c r="W1426" s="7"/>
      <c r="X1426" s="7"/>
      <c r="Y1426" s="7"/>
      <c r="Z1426" s="7"/>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c r="AX1426" s="7"/>
      <c r="AY1426" s="7"/>
      <c r="AZ1426" s="7"/>
      <c r="BA1426" s="7"/>
      <c r="BB1426" s="7"/>
      <c r="BC1426" s="7"/>
      <c r="BD1426" s="7"/>
      <c r="BE1426" s="7"/>
      <c r="BF1426" s="7"/>
      <c r="BG1426" s="7"/>
    </row>
    <row r="1427" customHeight="1" spans="1:59">
      <c r="A1427" s="9"/>
      <c r="B1427" s="5"/>
      <c r="C1427" s="5"/>
      <c r="D1427" s="5"/>
      <c r="E1427" s="7"/>
      <c r="F1427" s="8"/>
      <c r="G1427" s="8"/>
      <c r="H1427" s="8"/>
      <c r="I1427" s="14"/>
      <c r="J1427" s="14"/>
      <c r="K1427" s="14"/>
      <c r="L1427" s="14"/>
      <c r="M1427" s="7"/>
      <c r="N1427" s="8"/>
      <c r="O1427" s="8"/>
      <c r="P1427" s="8"/>
      <c r="Q1427" s="7"/>
      <c r="R1427" s="16"/>
      <c r="S1427" s="17"/>
      <c r="T1427" s="8"/>
      <c r="U1427" s="8"/>
      <c r="V1427" s="8"/>
      <c r="W1427" s="7"/>
      <c r="X1427" s="7"/>
      <c r="Y1427" s="7"/>
      <c r="Z1427" s="7"/>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c r="AX1427" s="7"/>
      <c r="AY1427" s="7"/>
      <c r="AZ1427" s="7"/>
      <c r="BA1427" s="7"/>
      <c r="BB1427" s="7"/>
      <c r="BC1427" s="7"/>
      <c r="BD1427" s="7"/>
      <c r="BE1427" s="7"/>
      <c r="BF1427" s="7"/>
      <c r="BG1427" s="7"/>
    </row>
    <row r="1428" customHeight="1" spans="1:59">
      <c r="A1428" s="9"/>
      <c r="B1428" s="5"/>
      <c r="C1428" s="5"/>
      <c r="D1428" s="5"/>
      <c r="E1428" s="7"/>
      <c r="F1428" s="8"/>
      <c r="G1428" s="8"/>
      <c r="H1428" s="8"/>
      <c r="I1428" s="14"/>
      <c r="J1428" s="14"/>
      <c r="K1428" s="14"/>
      <c r="L1428" s="14"/>
      <c r="M1428" s="7"/>
      <c r="N1428" s="8"/>
      <c r="O1428" s="8"/>
      <c r="P1428" s="8"/>
      <c r="Q1428" s="7"/>
      <c r="R1428" s="16"/>
      <c r="S1428" s="17"/>
      <c r="T1428" s="8"/>
      <c r="U1428" s="8"/>
      <c r="V1428" s="8"/>
      <c r="W1428" s="7"/>
      <c r="X1428" s="7"/>
      <c r="Y1428" s="7"/>
      <c r="Z1428" s="7"/>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c r="AX1428" s="7"/>
      <c r="AY1428" s="7"/>
      <c r="AZ1428" s="7"/>
      <c r="BA1428" s="7"/>
      <c r="BB1428" s="7"/>
      <c r="BC1428" s="7"/>
      <c r="BD1428" s="7"/>
      <c r="BE1428" s="7"/>
      <c r="BF1428" s="7"/>
      <c r="BG1428" s="7"/>
    </row>
    <row r="1429" customHeight="1" spans="1:59">
      <c r="A1429" s="9"/>
      <c r="B1429" s="5"/>
      <c r="C1429" s="5"/>
      <c r="D1429" s="5"/>
      <c r="E1429" s="7"/>
      <c r="F1429" s="8"/>
      <c r="G1429" s="8"/>
      <c r="H1429" s="8"/>
      <c r="I1429" s="14"/>
      <c r="J1429" s="14"/>
      <c r="K1429" s="14"/>
      <c r="L1429" s="14"/>
      <c r="M1429" s="7"/>
      <c r="N1429" s="8"/>
      <c r="O1429" s="8"/>
      <c r="P1429" s="8"/>
      <c r="Q1429" s="7"/>
      <c r="R1429" s="16"/>
      <c r="S1429" s="17"/>
      <c r="T1429" s="8"/>
      <c r="U1429" s="8"/>
      <c r="V1429" s="8"/>
      <c r="W1429" s="7"/>
      <c r="X1429" s="7"/>
      <c r="Y1429" s="7"/>
      <c r="Z1429" s="7"/>
      <c r="AA1429" s="7"/>
      <c r="AB1429" s="7"/>
      <c r="AC1429" s="7"/>
      <c r="AD1429" s="7"/>
      <c r="AE1429" s="7"/>
      <c r="AF1429" s="7"/>
      <c r="AG1429" s="7"/>
      <c r="AH1429" s="7"/>
      <c r="AI1429" s="7"/>
      <c r="AJ1429" s="7"/>
      <c r="AK1429" s="7"/>
      <c r="AL1429" s="7"/>
      <c r="AM1429" s="7"/>
      <c r="AN1429" s="7"/>
      <c r="AO1429" s="7"/>
      <c r="AP1429" s="7"/>
      <c r="AQ1429" s="7"/>
      <c r="AR1429" s="7"/>
      <c r="AS1429" s="7"/>
      <c r="AT1429" s="7"/>
      <c r="AU1429" s="7"/>
      <c r="AV1429" s="7"/>
      <c r="AW1429" s="7"/>
      <c r="AX1429" s="7"/>
      <c r="AY1429" s="7"/>
      <c r="AZ1429" s="7"/>
      <c r="BA1429" s="7"/>
      <c r="BB1429" s="7"/>
      <c r="BC1429" s="7"/>
      <c r="BD1429" s="7"/>
      <c r="BE1429" s="7"/>
      <c r="BF1429" s="7"/>
      <c r="BG1429" s="7"/>
    </row>
    <row r="1430" customHeight="1" spans="1:59">
      <c r="A1430" s="9"/>
      <c r="B1430" s="5"/>
      <c r="C1430" s="5"/>
      <c r="D1430" s="5"/>
      <c r="E1430" s="7"/>
      <c r="F1430" s="8"/>
      <c r="G1430" s="8"/>
      <c r="H1430" s="8"/>
      <c r="I1430" s="14"/>
      <c r="J1430" s="14"/>
      <c r="K1430" s="14"/>
      <c r="L1430" s="14"/>
      <c r="M1430" s="7"/>
      <c r="N1430" s="8"/>
      <c r="O1430" s="8"/>
      <c r="P1430" s="8"/>
      <c r="Q1430" s="7"/>
      <c r="R1430" s="16"/>
      <c r="S1430" s="17"/>
      <c r="T1430" s="8"/>
      <c r="U1430" s="8"/>
      <c r="V1430" s="8"/>
      <c r="W1430" s="7"/>
      <c r="X1430" s="7"/>
      <c r="Y1430" s="7"/>
      <c r="Z1430" s="7"/>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c r="AX1430" s="7"/>
      <c r="AY1430" s="7"/>
      <c r="AZ1430" s="7"/>
      <c r="BA1430" s="7"/>
      <c r="BB1430" s="7"/>
      <c r="BC1430" s="7"/>
      <c r="BD1430" s="7"/>
      <c r="BE1430" s="7"/>
      <c r="BF1430" s="7"/>
      <c r="BG1430" s="7"/>
    </row>
    <row r="1431" customHeight="1" spans="1:59">
      <c r="A1431" s="9"/>
      <c r="B1431" s="5"/>
      <c r="C1431" s="5"/>
      <c r="D1431" s="5"/>
      <c r="E1431" s="7"/>
      <c r="F1431" s="8"/>
      <c r="G1431" s="8"/>
      <c r="H1431" s="8"/>
      <c r="I1431" s="14"/>
      <c r="J1431" s="14"/>
      <c r="K1431" s="14"/>
      <c r="L1431" s="14"/>
      <c r="M1431" s="7"/>
      <c r="N1431" s="8"/>
      <c r="O1431" s="8"/>
      <c r="P1431" s="8"/>
      <c r="Q1431" s="7"/>
      <c r="R1431" s="16"/>
      <c r="S1431" s="17"/>
      <c r="T1431" s="8"/>
      <c r="U1431" s="8"/>
      <c r="V1431" s="8"/>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7"/>
      <c r="BD1431" s="7"/>
      <c r="BE1431" s="7"/>
      <c r="BF1431" s="7"/>
      <c r="BG1431" s="7"/>
    </row>
    <row r="1432" customHeight="1" spans="1:59">
      <c r="A1432" s="9"/>
      <c r="B1432" s="5"/>
      <c r="C1432" s="5"/>
      <c r="D1432" s="5"/>
      <c r="E1432" s="7"/>
      <c r="F1432" s="8"/>
      <c r="G1432" s="8"/>
      <c r="H1432" s="8"/>
      <c r="I1432" s="14"/>
      <c r="J1432" s="14"/>
      <c r="K1432" s="14"/>
      <c r="L1432" s="14"/>
      <c r="M1432" s="7"/>
      <c r="N1432" s="8"/>
      <c r="O1432" s="8"/>
      <c r="P1432" s="8"/>
      <c r="Q1432" s="7"/>
      <c r="R1432" s="16"/>
      <c r="S1432" s="17"/>
      <c r="T1432" s="8"/>
      <c r="U1432" s="8"/>
      <c r="V1432" s="8"/>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7"/>
      <c r="BD1432" s="7"/>
      <c r="BE1432" s="7"/>
      <c r="BF1432" s="7"/>
      <c r="BG1432" s="7"/>
    </row>
    <row r="1433" customHeight="1" spans="1:59">
      <c r="A1433" s="9"/>
      <c r="B1433" s="5"/>
      <c r="C1433" s="5"/>
      <c r="D1433" s="5"/>
      <c r="E1433" s="7"/>
      <c r="F1433" s="8"/>
      <c r="G1433" s="8"/>
      <c r="H1433" s="8"/>
      <c r="I1433" s="14"/>
      <c r="J1433" s="14"/>
      <c r="K1433" s="14"/>
      <c r="L1433" s="14"/>
      <c r="M1433" s="7"/>
      <c r="N1433" s="8"/>
      <c r="O1433" s="8"/>
      <c r="P1433" s="8"/>
      <c r="Q1433" s="7"/>
      <c r="R1433" s="16"/>
      <c r="S1433" s="17"/>
      <c r="T1433" s="8"/>
      <c r="U1433" s="8"/>
      <c r="V1433" s="8"/>
      <c r="W1433" s="7"/>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c r="AX1433" s="7"/>
      <c r="AY1433" s="7"/>
      <c r="AZ1433" s="7"/>
      <c r="BA1433" s="7"/>
      <c r="BB1433" s="7"/>
      <c r="BC1433" s="7"/>
      <c r="BD1433" s="7"/>
      <c r="BE1433" s="7"/>
      <c r="BF1433" s="7"/>
      <c r="BG1433" s="7"/>
    </row>
    <row r="1434" customHeight="1" spans="1:59">
      <c r="A1434" s="9"/>
      <c r="B1434" s="5"/>
      <c r="C1434" s="5"/>
      <c r="D1434" s="5"/>
      <c r="E1434" s="7"/>
      <c r="F1434" s="8"/>
      <c r="G1434" s="8"/>
      <c r="H1434" s="8"/>
      <c r="I1434" s="14"/>
      <c r="J1434" s="14"/>
      <c r="K1434" s="14"/>
      <c r="L1434" s="14"/>
      <c r="M1434" s="7"/>
      <c r="N1434" s="8"/>
      <c r="O1434" s="8"/>
      <c r="P1434" s="8"/>
      <c r="Q1434" s="7"/>
      <c r="R1434" s="16"/>
      <c r="S1434" s="17"/>
      <c r="T1434" s="8"/>
      <c r="U1434" s="8"/>
      <c r="V1434" s="8"/>
      <c r="W1434" s="7"/>
      <c r="X1434" s="7"/>
      <c r="Y1434" s="7"/>
      <c r="Z1434" s="7"/>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c r="AX1434" s="7"/>
      <c r="AY1434" s="7"/>
      <c r="AZ1434" s="7"/>
      <c r="BA1434" s="7"/>
      <c r="BB1434" s="7"/>
      <c r="BC1434" s="7"/>
      <c r="BD1434" s="7"/>
      <c r="BE1434" s="7"/>
      <c r="BF1434" s="7"/>
      <c r="BG1434" s="7"/>
    </row>
    <row r="1435" customHeight="1" spans="1:59">
      <c r="A1435" s="9"/>
      <c r="B1435" s="5"/>
      <c r="C1435" s="5"/>
      <c r="D1435" s="5"/>
      <c r="E1435" s="7"/>
      <c r="F1435" s="8"/>
      <c r="G1435" s="8"/>
      <c r="H1435" s="8"/>
      <c r="I1435" s="14"/>
      <c r="J1435" s="14"/>
      <c r="K1435" s="14"/>
      <c r="L1435" s="14"/>
      <c r="M1435" s="7"/>
      <c r="N1435" s="8"/>
      <c r="O1435" s="8"/>
      <c r="P1435" s="8"/>
      <c r="Q1435" s="7"/>
      <c r="R1435" s="16"/>
      <c r="S1435" s="17"/>
      <c r="T1435" s="8"/>
      <c r="U1435" s="8"/>
      <c r="V1435" s="8"/>
      <c r="W1435" s="7"/>
      <c r="X1435" s="7"/>
      <c r="Y1435" s="7"/>
      <c r="Z1435" s="7"/>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c r="AX1435" s="7"/>
      <c r="AY1435" s="7"/>
      <c r="AZ1435" s="7"/>
      <c r="BA1435" s="7"/>
      <c r="BB1435" s="7"/>
      <c r="BC1435" s="7"/>
      <c r="BD1435" s="7"/>
      <c r="BE1435" s="7"/>
      <c r="BF1435" s="7"/>
      <c r="BG1435" s="7"/>
    </row>
    <row r="1436" customHeight="1" spans="1:59">
      <c r="A1436" s="9"/>
      <c r="B1436" s="5"/>
      <c r="C1436" s="5"/>
      <c r="D1436" s="5"/>
      <c r="E1436" s="7"/>
      <c r="F1436" s="8"/>
      <c r="G1436" s="8"/>
      <c r="H1436" s="8"/>
      <c r="I1436" s="14"/>
      <c r="J1436" s="14"/>
      <c r="K1436" s="14"/>
      <c r="L1436" s="14"/>
      <c r="M1436" s="7"/>
      <c r="N1436" s="8"/>
      <c r="O1436" s="8"/>
      <c r="P1436" s="8"/>
      <c r="Q1436" s="7"/>
      <c r="R1436" s="16"/>
      <c r="S1436" s="17"/>
      <c r="T1436" s="8"/>
      <c r="U1436" s="8"/>
      <c r="V1436" s="8"/>
      <c r="W1436" s="7"/>
      <c r="X1436" s="7"/>
      <c r="Y1436" s="7"/>
      <c r="Z1436" s="7"/>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c r="AX1436" s="7"/>
      <c r="AY1436" s="7"/>
      <c r="AZ1436" s="7"/>
      <c r="BA1436" s="7"/>
      <c r="BB1436" s="7"/>
      <c r="BC1436" s="7"/>
      <c r="BD1436" s="7"/>
      <c r="BE1436" s="7"/>
      <c r="BF1436" s="7"/>
      <c r="BG1436" s="7"/>
    </row>
    <row r="1437" customHeight="1" spans="1:59">
      <c r="A1437" s="9"/>
      <c r="B1437" s="5"/>
      <c r="C1437" s="5"/>
      <c r="D1437" s="5"/>
      <c r="E1437" s="7"/>
      <c r="F1437" s="8"/>
      <c r="G1437" s="8"/>
      <c r="H1437" s="8"/>
      <c r="I1437" s="14"/>
      <c r="J1437" s="14"/>
      <c r="K1437" s="14"/>
      <c r="L1437" s="14"/>
      <c r="M1437" s="7"/>
      <c r="N1437" s="8"/>
      <c r="O1437" s="8"/>
      <c r="P1437" s="8"/>
      <c r="Q1437" s="7"/>
      <c r="R1437" s="16"/>
      <c r="S1437" s="17"/>
      <c r="T1437" s="8"/>
      <c r="U1437" s="8"/>
      <c r="V1437" s="8"/>
      <c r="W1437" s="7"/>
      <c r="X1437" s="7"/>
      <c r="Y1437" s="7"/>
      <c r="Z1437" s="7"/>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c r="AX1437" s="7"/>
      <c r="AY1437" s="7"/>
      <c r="AZ1437" s="7"/>
      <c r="BA1437" s="7"/>
      <c r="BB1437" s="7"/>
      <c r="BC1437" s="7"/>
      <c r="BD1437" s="7"/>
      <c r="BE1437" s="7"/>
      <c r="BF1437" s="7"/>
      <c r="BG1437" s="7"/>
    </row>
    <row r="1438" customHeight="1" spans="1:59">
      <c r="A1438" s="9"/>
      <c r="B1438" s="5"/>
      <c r="C1438" s="5"/>
      <c r="D1438" s="5"/>
      <c r="E1438" s="7"/>
      <c r="F1438" s="8"/>
      <c r="G1438" s="8"/>
      <c r="H1438" s="8"/>
      <c r="I1438" s="14"/>
      <c r="J1438" s="14"/>
      <c r="K1438" s="14"/>
      <c r="L1438" s="14"/>
      <c r="M1438" s="7"/>
      <c r="N1438" s="8"/>
      <c r="O1438" s="8"/>
      <c r="P1438" s="8"/>
      <c r="Q1438" s="7"/>
      <c r="R1438" s="16"/>
      <c r="S1438" s="17"/>
      <c r="T1438" s="8"/>
      <c r="U1438" s="8"/>
      <c r="V1438" s="8"/>
      <c r="W1438" s="7"/>
      <c r="X1438" s="7"/>
      <c r="Y1438" s="7"/>
      <c r="Z1438" s="7"/>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c r="AX1438" s="7"/>
      <c r="AY1438" s="7"/>
      <c r="AZ1438" s="7"/>
      <c r="BA1438" s="7"/>
      <c r="BB1438" s="7"/>
      <c r="BC1438" s="7"/>
      <c r="BD1438" s="7"/>
      <c r="BE1438" s="7"/>
      <c r="BF1438" s="7"/>
      <c r="BG1438" s="7"/>
    </row>
    <row r="1439" customHeight="1" spans="1:59">
      <c r="A1439" s="9"/>
      <c r="B1439" s="5"/>
      <c r="C1439" s="5"/>
      <c r="D1439" s="5"/>
      <c r="E1439" s="7"/>
      <c r="F1439" s="8"/>
      <c r="G1439" s="8"/>
      <c r="H1439" s="8"/>
      <c r="I1439" s="14"/>
      <c r="J1439" s="14"/>
      <c r="K1439" s="14"/>
      <c r="L1439" s="14"/>
      <c r="M1439" s="7"/>
      <c r="N1439" s="8"/>
      <c r="O1439" s="8"/>
      <c r="P1439" s="8"/>
      <c r="Q1439" s="7"/>
      <c r="R1439" s="16"/>
      <c r="S1439" s="17"/>
      <c r="T1439" s="8"/>
      <c r="U1439" s="8"/>
      <c r="V1439" s="8"/>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7"/>
      <c r="BD1439" s="7"/>
      <c r="BE1439" s="7"/>
      <c r="BF1439" s="7"/>
      <c r="BG1439" s="7"/>
    </row>
    <row r="1440" customHeight="1" spans="1:59">
      <c r="A1440" s="9"/>
      <c r="B1440" s="5"/>
      <c r="C1440" s="5"/>
      <c r="D1440" s="5"/>
      <c r="E1440" s="7"/>
      <c r="F1440" s="8"/>
      <c r="G1440" s="8"/>
      <c r="H1440" s="8"/>
      <c r="I1440" s="14"/>
      <c r="J1440" s="14"/>
      <c r="K1440" s="14"/>
      <c r="L1440" s="14"/>
      <c r="M1440" s="7"/>
      <c r="N1440" s="8"/>
      <c r="O1440" s="8"/>
      <c r="P1440" s="8"/>
      <c r="Q1440" s="7"/>
      <c r="R1440" s="16"/>
      <c r="S1440" s="17"/>
      <c r="T1440" s="8"/>
      <c r="U1440" s="8"/>
      <c r="V1440" s="8"/>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row>
    <row r="1441" customHeight="1" spans="1:59">
      <c r="A1441" s="9"/>
      <c r="B1441" s="5"/>
      <c r="C1441" s="5"/>
      <c r="D1441" s="5"/>
      <c r="E1441" s="7"/>
      <c r="F1441" s="8"/>
      <c r="G1441" s="8"/>
      <c r="H1441" s="8"/>
      <c r="I1441" s="14"/>
      <c r="J1441" s="14"/>
      <c r="K1441" s="14"/>
      <c r="L1441" s="14"/>
      <c r="M1441" s="7"/>
      <c r="N1441" s="8"/>
      <c r="O1441" s="8"/>
      <c r="P1441" s="8"/>
      <c r="Q1441" s="7"/>
      <c r="R1441" s="16"/>
      <c r="S1441" s="17"/>
      <c r="T1441" s="8"/>
      <c r="U1441" s="8"/>
      <c r="V1441" s="8"/>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row>
    <row r="1442" customHeight="1" spans="1:59">
      <c r="A1442" s="9"/>
      <c r="B1442" s="5"/>
      <c r="C1442" s="5"/>
      <c r="D1442" s="5"/>
      <c r="E1442" s="7"/>
      <c r="F1442" s="8"/>
      <c r="G1442" s="8"/>
      <c r="H1442" s="8"/>
      <c r="I1442" s="14"/>
      <c r="J1442" s="14"/>
      <c r="K1442" s="14"/>
      <c r="L1442" s="14"/>
      <c r="M1442" s="7"/>
      <c r="N1442" s="8"/>
      <c r="O1442" s="8"/>
      <c r="P1442" s="8"/>
      <c r="Q1442" s="7"/>
      <c r="R1442" s="16"/>
      <c r="S1442" s="17"/>
      <c r="T1442" s="8"/>
      <c r="U1442" s="8"/>
      <c r="V1442" s="8"/>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7"/>
      <c r="BD1442" s="7"/>
      <c r="BE1442" s="7"/>
      <c r="BF1442" s="7"/>
      <c r="BG1442" s="7"/>
    </row>
    <row r="1443" customHeight="1" spans="1:59">
      <c r="A1443" s="9"/>
      <c r="B1443" s="5"/>
      <c r="C1443" s="5"/>
      <c r="D1443" s="5"/>
      <c r="E1443" s="7"/>
      <c r="F1443" s="8"/>
      <c r="G1443" s="8"/>
      <c r="H1443" s="8"/>
      <c r="I1443" s="14"/>
      <c r="J1443" s="14"/>
      <c r="K1443" s="14"/>
      <c r="L1443" s="14"/>
      <c r="M1443" s="7"/>
      <c r="N1443" s="8"/>
      <c r="O1443" s="8"/>
      <c r="P1443" s="8"/>
      <c r="Q1443" s="7"/>
      <c r="R1443" s="16"/>
      <c r="S1443" s="17"/>
      <c r="T1443" s="8"/>
      <c r="U1443" s="8"/>
      <c r="V1443" s="8"/>
      <c r="W1443" s="7"/>
      <c r="X1443" s="7"/>
      <c r="Y1443" s="7"/>
      <c r="Z1443" s="7"/>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c r="AX1443" s="7"/>
      <c r="AY1443" s="7"/>
      <c r="AZ1443" s="7"/>
      <c r="BA1443" s="7"/>
      <c r="BB1443" s="7"/>
      <c r="BC1443" s="7"/>
      <c r="BD1443" s="7"/>
      <c r="BE1443" s="7"/>
      <c r="BF1443" s="7"/>
      <c r="BG1443" s="7"/>
    </row>
    <row r="1444" customHeight="1" spans="1:59">
      <c r="A1444" s="9"/>
      <c r="B1444" s="5"/>
      <c r="C1444" s="5"/>
      <c r="D1444" s="5"/>
      <c r="E1444" s="7"/>
      <c r="F1444" s="8"/>
      <c r="G1444" s="8"/>
      <c r="H1444" s="8"/>
      <c r="I1444" s="14"/>
      <c r="J1444" s="14"/>
      <c r="K1444" s="14"/>
      <c r="L1444" s="14"/>
      <c r="M1444" s="7"/>
      <c r="N1444" s="8"/>
      <c r="O1444" s="8"/>
      <c r="P1444" s="8"/>
      <c r="Q1444" s="7"/>
      <c r="R1444" s="16"/>
      <c r="S1444" s="17"/>
      <c r="T1444" s="8"/>
      <c r="U1444" s="8"/>
      <c r="V1444" s="8"/>
      <c r="W1444" s="7"/>
      <c r="X1444" s="7"/>
      <c r="Y1444" s="7"/>
      <c r="Z1444" s="7"/>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c r="AX1444" s="7"/>
      <c r="AY1444" s="7"/>
      <c r="AZ1444" s="7"/>
      <c r="BA1444" s="7"/>
      <c r="BB1444" s="7"/>
      <c r="BC1444" s="7"/>
      <c r="BD1444" s="7"/>
      <c r="BE1444" s="7"/>
      <c r="BF1444" s="7"/>
      <c r="BG1444" s="7"/>
    </row>
    <row r="1445" customHeight="1" spans="1:59">
      <c r="A1445" s="9"/>
      <c r="B1445" s="5"/>
      <c r="C1445" s="5"/>
      <c r="D1445" s="5"/>
      <c r="E1445" s="7"/>
      <c r="F1445" s="8"/>
      <c r="G1445" s="8"/>
      <c r="H1445" s="8"/>
      <c r="I1445" s="14"/>
      <c r="J1445" s="14"/>
      <c r="K1445" s="14"/>
      <c r="L1445" s="14"/>
      <c r="M1445" s="7"/>
      <c r="N1445" s="8"/>
      <c r="O1445" s="8"/>
      <c r="P1445" s="8"/>
      <c r="Q1445" s="7"/>
      <c r="R1445" s="16"/>
      <c r="S1445" s="17"/>
      <c r="T1445" s="8"/>
      <c r="U1445" s="8"/>
      <c r="V1445" s="8"/>
      <c r="W1445" s="7"/>
      <c r="X1445" s="7"/>
      <c r="Y1445" s="7"/>
      <c r="Z1445" s="7"/>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row>
    <row r="1446" customHeight="1" spans="1:59">
      <c r="A1446" s="9"/>
      <c r="B1446" s="5"/>
      <c r="C1446" s="5"/>
      <c r="D1446" s="5"/>
      <c r="E1446" s="7"/>
      <c r="F1446" s="8"/>
      <c r="G1446" s="8"/>
      <c r="H1446" s="8"/>
      <c r="I1446" s="14"/>
      <c r="J1446" s="14"/>
      <c r="K1446" s="14"/>
      <c r="L1446" s="14"/>
      <c r="M1446" s="7"/>
      <c r="N1446" s="8"/>
      <c r="O1446" s="8"/>
      <c r="P1446" s="8"/>
      <c r="Q1446" s="7"/>
      <c r="R1446" s="16"/>
      <c r="S1446" s="17"/>
      <c r="T1446" s="8"/>
      <c r="U1446" s="8"/>
      <c r="V1446" s="8"/>
      <c r="W1446" s="7"/>
      <c r="X1446" s="7"/>
      <c r="Y1446" s="7"/>
      <c r="Z1446" s="7"/>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7"/>
      <c r="BD1446" s="7"/>
      <c r="BE1446" s="7"/>
      <c r="BF1446" s="7"/>
      <c r="BG1446" s="7"/>
    </row>
    <row r="1447" customHeight="1" spans="1:59">
      <c r="A1447" s="9"/>
      <c r="B1447" s="5"/>
      <c r="C1447" s="5"/>
      <c r="D1447" s="5"/>
      <c r="E1447" s="7"/>
      <c r="F1447" s="8"/>
      <c r="G1447" s="8"/>
      <c r="H1447" s="8"/>
      <c r="I1447" s="14"/>
      <c r="J1447" s="14"/>
      <c r="K1447" s="14"/>
      <c r="L1447" s="14"/>
      <c r="M1447" s="7"/>
      <c r="N1447" s="8"/>
      <c r="O1447" s="8"/>
      <c r="P1447" s="8"/>
      <c r="Q1447" s="7"/>
      <c r="R1447" s="16"/>
      <c r="S1447" s="17"/>
      <c r="T1447" s="8"/>
      <c r="U1447" s="8"/>
      <c r="V1447" s="8"/>
      <c r="W1447" s="7"/>
      <c r="X1447" s="7"/>
      <c r="Y1447" s="7"/>
      <c r="Z1447" s="7"/>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c r="AX1447" s="7"/>
      <c r="AY1447" s="7"/>
      <c r="AZ1447" s="7"/>
      <c r="BA1447" s="7"/>
      <c r="BB1447" s="7"/>
      <c r="BC1447" s="7"/>
      <c r="BD1447" s="7"/>
      <c r="BE1447" s="7"/>
      <c r="BF1447" s="7"/>
      <c r="BG1447" s="7"/>
    </row>
    <row r="1448" customHeight="1" spans="1:59">
      <c r="A1448" s="9"/>
      <c r="B1448" s="5"/>
      <c r="C1448" s="5"/>
      <c r="D1448" s="5"/>
      <c r="E1448" s="7"/>
      <c r="F1448" s="8"/>
      <c r="G1448" s="8"/>
      <c r="H1448" s="8"/>
      <c r="I1448" s="14"/>
      <c r="J1448" s="14"/>
      <c r="K1448" s="14"/>
      <c r="L1448" s="14"/>
      <c r="M1448" s="7"/>
      <c r="N1448" s="8"/>
      <c r="O1448" s="8"/>
      <c r="P1448" s="8"/>
      <c r="Q1448" s="7"/>
      <c r="R1448" s="16"/>
      <c r="S1448" s="17"/>
      <c r="T1448" s="8"/>
      <c r="U1448" s="8"/>
      <c r="V1448" s="8"/>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row>
    <row r="1449" customHeight="1" spans="1:59">
      <c r="A1449" s="9"/>
      <c r="B1449" s="5"/>
      <c r="C1449" s="5"/>
      <c r="D1449" s="5"/>
      <c r="E1449" s="7"/>
      <c r="F1449" s="8"/>
      <c r="G1449" s="8"/>
      <c r="H1449" s="8"/>
      <c r="I1449" s="14"/>
      <c r="J1449" s="14"/>
      <c r="K1449" s="14"/>
      <c r="L1449" s="14"/>
      <c r="M1449" s="7"/>
      <c r="N1449" s="8"/>
      <c r="O1449" s="8"/>
      <c r="P1449" s="8"/>
      <c r="Q1449" s="7"/>
      <c r="R1449" s="16"/>
      <c r="S1449" s="17"/>
      <c r="T1449" s="8"/>
      <c r="U1449" s="8"/>
      <c r="V1449" s="8"/>
      <c r="W1449" s="7"/>
      <c r="X1449" s="7"/>
      <c r="Y1449" s="7"/>
      <c r="Z1449" s="7"/>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7"/>
      <c r="BD1449" s="7"/>
      <c r="BE1449" s="7"/>
      <c r="BF1449" s="7"/>
      <c r="BG1449" s="7"/>
    </row>
    <row r="1450" customHeight="1" spans="1:59">
      <c r="A1450" s="9"/>
      <c r="B1450" s="5"/>
      <c r="C1450" s="5"/>
      <c r="D1450" s="5"/>
      <c r="E1450" s="7"/>
      <c r="F1450" s="8"/>
      <c r="G1450" s="8"/>
      <c r="H1450" s="8"/>
      <c r="I1450" s="14"/>
      <c r="J1450" s="14"/>
      <c r="K1450" s="14"/>
      <c r="L1450" s="14"/>
      <c r="M1450" s="7"/>
      <c r="N1450" s="8"/>
      <c r="O1450" s="8"/>
      <c r="P1450" s="8"/>
      <c r="Q1450" s="7"/>
      <c r="R1450" s="16"/>
      <c r="S1450" s="17"/>
      <c r="T1450" s="8"/>
      <c r="U1450" s="8"/>
      <c r="V1450" s="8"/>
      <c r="W1450" s="7"/>
      <c r="X1450" s="7"/>
      <c r="Y1450" s="7"/>
      <c r="Z1450" s="7"/>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c r="AX1450" s="7"/>
      <c r="AY1450" s="7"/>
      <c r="AZ1450" s="7"/>
      <c r="BA1450" s="7"/>
      <c r="BB1450" s="7"/>
      <c r="BC1450" s="7"/>
      <c r="BD1450" s="7"/>
      <c r="BE1450" s="7"/>
      <c r="BF1450" s="7"/>
      <c r="BG1450" s="7"/>
    </row>
    <row r="1451" customHeight="1" spans="1:59">
      <c r="A1451" s="9"/>
      <c r="B1451" s="5"/>
      <c r="C1451" s="5"/>
      <c r="D1451" s="5"/>
      <c r="E1451" s="7"/>
      <c r="F1451" s="8"/>
      <c r="G1451" s="8"/>
      <c r="H1451" s="8"/>
      <c r="I1451" s="14"/>
      <c r="J1451" s="14"/>
      <c r="K1451" s="14"/>
      <c r="L1451" s="14"/>
      <c r="M1451" s="7"/>
      <c r="N1451" s="8"/>
      <c r="O1451" s="8"/>
      <c r="P1451" s="8"/>
      <c r="Q1451" s="7"/>
      <c r="R1451" s="16"/>
      <c r="S1451" s="17"/>
      <c r="T1451" s="8"/>
      <c r="U1451" s="8"/>
      <c r="V1451" s="8"/>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row>
    <row r="1452" customHeight="1" spans="1:59">
      <c r="A1452" s="9"/>
      <c r="B1452" s="5"/>
      <c r="C1452" s="5"/>
      <c r="D1452" s="5"/>
      <c r="E1452" s="7"/>
      <c r="F1452" s="8"/>
      <c r="G1452" s="8"/>
      <c r="H1452" s="8"/>
      <c r="I1452" s="14"/>
      <c r="J1452" s="14"/>
      <c r="K1452" s="14"/>
      <c r="L1452" s="14"/>
      <c r="M1452" s="7"/>
      <c r="N1452" s="8"/>
      <c r="O1452" s="8"/>
      <c r="P1452" s="8"/>
      <c r="Q1452" s="7"/>
      <c r="R1452" s="16"/>
      <c r="S1452" s="17"/>
      <c r="T1452" s="8"/>
      <c r="U1452" s="8"/>
      <c r="V1452" s="8"/>
      <c r="W1452" s="7"/>
      <c r="X1452" s="7"/>
      <c r="Y1452" s="7"/>
      <c r="Z1452" s="7"/>
      <c r="AA1452" s="7"/>
      <c r="AB1452" s="7"/>
      <c r="AC1452" s="7"/>
      <c r="AD1452" s="7"/>
      <c r="AE1452" s="7"/>
      <c r="AF1452" s="7"/>
      <c r="AG1452" s="7"/>
      <c r="AH1452" s="7"/>
      <c r="AI1452" s="7"/>
      <c r="AJ1452" s="7"/>
      <c r="AK1452" s="7"/>
      <c r="AL1452" s="7"/>
      <c r="AM1452" s="7"/>
      <c r="AN1452" s="7"/>
      <c r="AO1452" s="7"/>
      <c r="AP1452" s="7"/>
      <c r="AQ1452" s="7"/>
      <c r="AR1452" s="7"/>
      <c r="AS1452" s="7"/>
      <c r="AT1452" s="7"/>
      <c r="AU1452" s="7"/>
      <c r="AV1452" s="7"/>
      <c r="AW1452" s="7"/>
      <c r="AX1452" s="7"/>
      <c r="AY1452" s="7"/>
      <c r="AZ1452" s="7"/>
      <c r="BA1452" s="7"/>
      <c r="BB1452" s="7"/>
      <c r="BC1452" s="7"/>
      <c r="BD1452" s="7"/>
      <c r="BE1452" s="7"/>
      <c r="BF1452" s="7"/>
      <c r="BG1452" s="7"/>
    </row>
    <row r="1453" customHeight="1" spans="1:59">
      <c r="A1453" s="9"/>
      <c r="B1453" s="5"/>
      <c r="C1453" s="5"/>
      <c r="D1453" s="5"/>
      <c r="E1453" s="7"/>
      <c r="F1453" s="8"/>
      <c r="G1453" s="8"/>
      <c r="H1453" s="8"/>
      <c r="I1453" s="14"/>
      <c r="J1453" s="14"/>
      <c r="K1453" s="14"/>
      <c r="L1453" s="14"/>
      <c r="M1453" s="7"/>
      <c r="N1453" s="8"/>
      <c r="O1453" s="8"/>
      <c r="P1453" s="8"/>
      <c r="Q1453" s="7"/>
      <c r="R1453" s="16"/>
      <c r="S1453" s="17"/>
      <c r="T1453" s="8"/>
      <c r="U1453" s="8"/>
      <c r="V1453" s="8"/>
      <c r="W1453" s="7"/>
      <c r="X1453" s="7"/>
      <c r="Y1453" s="7"/>
      <c r="Z1453" s="7"/>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7"/>
      <c r="AX1453" s="7"/>
      <c r="AY1453" s="7"/>
      <c r="AZ1453" s="7"/>
      <c r="BA1453" s="7"/>
      <c r="BB1453" s="7"/>
      <c r="BC1453" s="7"/>
      <c r="BD1453" s="7"/>
      <c r="BE1453" s="7"/>
      <c r="BF1453" s="7"/>
      <c r="BG1453" s="7"/>
    </row>
    <row r="1454" customHeight="1" spans="1:59">
      <c r="A1454" s="9"/>
      <c r="B1454" s="5"/>
      <c r="C1454" s="5"/>
      <c r="D1454" s="5"/>
      <c r="E1454" s="7"/>
      <c r="F1454" s="8"/>
      <c r="G1454" s="8"/>
      <c r="H1454" s="8"/>
      <c r="I1454" s="14"/>
      <c r="J1454" s="14"/>
      <c r="K1454" s="14"/>
      <c r="L1454" s="14"/>
      <c r="M1454" s="7"/>
      <c r="N1454" s="8"/>
      <c r="O1454" s="8"/>
      <c r="P1454" s="8"/>
      <c r="Q1454" s="7"/>
      <c r="R1454" s="16"/>
      <c r="S1454" s="17"/>
      <c r="T1454" s="8"/>
      <c r="U1454" s="8"/>
      <c r="V1454" s="8"/>
      <c r="W1454" s="7"/>
      <c r="X1454" s="7"/>
      <c r="Y1454" s="7"/>
      <c r="Z1454" s="7"/>
      <c r="AA1454" s="7"/>
      <c r="AB1454" s="7"/>
      <c r="AC1454" s="7"/>
      <c r="AD1454" s="7"/>
      <c r="AE1454" s="7"/>
      <c r="AF1454" s="7"/>
      <c r="AG1454" s="7"/>
      <c r="AH1454" s="7"/>
      <c r="AI1454" s="7"/>
      <c r="AJ1454" s="7"/>
      <c r="AK1454" s="7"/>
      <c r="AL1454" s="7"/>
      <c r="AM1454" s="7"/>
      <c r="AN1454" s="7"/>
      <c r="AO1454" s="7"/>
      <c r="AP1454" s="7"/>
      <c r="AQ1454" s="7"/>
      <c r="AR1454" s="7"/>
      <c r="AS1454" s="7"/>
      <c r="AT1454" s="7"/>
      <c r="AU1454" s="7"/>
      <c r="AV1454" s="7"/>
      <c r="AW1454" s="7"/>
      <c r="AX1454" s="7"/>
      <c r="AY1454" s="7"/>
      <c r="AZ1454" s="7"/>
      <c r="BA1454" s="7"/>
      <c r="BB1454" s="7"/>
      <c r="BC1454" s="7"/>
      <c r="BD1454" s="7"/>
      <c r="BE1454" s="7"/>
      <c r="BF1454" s="7"/>
      <c r="BG1454" s="7"/>
    </row>
    <row r="1455" customHeight="1" spans="1:59">
      <c r="A1455" s="9"/>
      <c r="B1455" s="5"/>
      <c r="C1455" s="5"/>
      <c r="D1455" s="5"/>
      <c r="E1455" s="7"/>
      <c r="F1455" s="8"/>
      <c r="G1455" s="8"/>
      <c r="H1455" s="8"/>
      <c r="I1455" s="14"/>
      <c r="J1455" s="14"/>
      <c r="K1455" s="14"/>
      <c r="L1455" s="14"/>
      <c r="M1455" s="7"/>
      <c r="N1455" s="8"/>
      <c r="O1455" s="8"/>
      <c r="P1455" s="8"/>
      <c r="Q1455" s="7"/>
      <c r="R1455" s="16"/>
      <c r="S1455" s="17"/>
      <c r="T1455" s="8"/>
      <c r="U1455" s="8"/>
      <c r="V1455" s="8"/>
      <c r="W1455" s="7"/>
      <c r="X1455" s="7"/>
      <c r="Y1455" s="7"/>
      <c r="Z1455" s="7"/>
      <c r="AA1455" s="7"/>
      <c r="AB1455" s="7"/>
      <c r="AC1455" s="7"/>
      <c r="AD1455" s="7"/>
      <c r="AE1455" s="7"/>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7"/>
      <c r="BD1455" s="7"/>
      <c r="BE1455" s="7"/>
      <c r="BF1455" s="7"/>
      <c r="BG1455" s="7"/>
    </row>
    <row r="1456" customHeight="1" spans="1:59">
      <c r="A1456" s="9"/>
      <c r="B1456" s="5"/>
      <c r="C1456" s="5"/>
      <c r="D1456" s="5"/>
      <c r="E1456" s="7"/>
      <c r="F1456" s="8"/>
      <c r="G1456" s="8"/>
      <c r="H1456" s="8"/>
      <c r="I1456" s="14"/>
      <c r="J1456" s="14"/>
      <c r="K1456" s="14"/>
      <c r="L1456" s="14"/>
      <c r="M1456" s="7"/>
      <c r="N1456" s="8"/>
      <c r="O1456" s="8"/>
      <c r="P1456" s="8"/>
      <c r="Q1456" s="7"/>
      <c r="R1456" s="16"/>
      <c r="S1456" s="17"/>
      <c r="T1456" s="8"/>
      <c r="U1456" s="8"/>
      <c r="V1456" s="8"/>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7"/>
      <c r="BD1456" s="7"/>
      <c r="BE1456" s="7"/>
      <c r="BF1456" s="7"/>
      <c r="BG1456" s="7"/>
    </row>
    <row r="1457" customHeight="1" spans="1:59">
      <c r="A1457" s="9"/>
      <c r="B1457" s="5"/>
      <c r="C1457" s="5"/>
      <c r="D1457" s="5"/>
      <c r="E1457" s="7"/>
      <c r="F1457" s="8"/>
      <c r="G1457" s="8"/>
      <c r="H1457" s="8"/>
      <c r="I1457" s="14"/>
      <c r="J1457" s="14"/>
      <c r="K1457" s="14"/>
      <c r="L1457" s="14"/>
      <c r="M1457" s="7"/>
      <c r="N1457" s="8"/>
      <c r="O1457" s="8"/>
      <c r="P1457" s="8"/>
      <c r="Q1457" s="7"/>
      <c r="R1457" s="16"/>
      <c r="S1457" s="17"/>
      <c r="T1457" s="8"/>
      <c r="U1457" s="8"/>
      <c r="V1457" s="8"/>
      <c r="W1457" s="7"/>
      <c r="X1457" s="7"/>
      <c r="Y1457" s="7"/>
      <c r="Z1457" s="7"/>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7"/>
      <c r="AX1457" s="7"/>
      <c r="AY1457" s="7"/>
      <c r="AZ1457" s="7"/>
      <c r="BA1457" s="7"/>
      <c r="BB1457" s="7"/>
      <c r="BC1457" s="7"/>
      <c r="BD1457" s="7"/>
      <c r="BE1457" s="7"/>
      <c r="BF1457" s="7"/>
      <c r="BG1457" s="7"/>
    </row>
    <row r="1458" customHeight="1" spans="1:59">
      <c r="A1458" s="9"/>
      <c r="B1458" s="5"/>
      <c r="C1458" s="5"/>
      <c r="D1458" s="5"/>
      <c r="E1458" s="7"/>
      <c r="F1458" s="8"/>
      <c r="G1458" s="8"/>
      <c r="H1458" s="8"/>
      <c r="I1458" s="14"/>
      <c r="J1458" s="14"/>
      <c r="K1458" s="14"/>
      <c r="L1458" s="14"/>
      <c r="M1458" s="7"/>
      <c r="N1458" s="8"/>
      <c r="O1458" s="8"/>
      <c r="P1458" s="8"/>
      <c r="Q1458" s="7"/>
      <c r="R1458" s="16"/>
      <c r="S1458" s="17"/>
      <c r="T1458" s="8"/>
      <c r="U1458" s="8"/>
      <c r="V1458" s="8"/>
      <c r="W1458" s="7"/>
      <c r="X1458" s="7"/>
      <c r="Y1458" s="7"/>
      <c r="Z1458" s="7"/>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7"/>
      <c r="BD1458" s="7"/>
      <c r="BE1458" s="7"/>
      <c r="BF1458" s="7"/>
      <c r="BG1458" s="7"/>
    </row>
    <row r="1459" customHeight="1" spans="1:59">
      <c r="A1459" s="9"/>
      <c r="B1459" s="5"/>
      <c r="C1459" s="5"/>
      <c r="D1459" s="5"/>
      <c r="E1459" s="7"/>
      <c r="F1459" s="8"/>
      <c r="G1459" s="8"/>
      <c r="H1459" s="8"/>
      <c r="I1459" s="14"/>
      <c r="J1459" s="14"/>
      <c r="K1459" s="14"/>
      <c r="L1459" s="14"/>
      <c r="M1459" s="7"/>
      <c r="N1459" s="8"/>
      <c r="O1459" s="8"/>
      <c r="P1459" s="8"/>
      <c r="Q1459" s="7"/>
      <c r="R1459" s="16"/>
      <c r="S1459" s="17"/>
      <c r="T1459" s="8"/>
      <c r="U1459" s="8"/>
      <c r="V1459" s="8"/>
      <c r="W1459" s="7"/>
      <c r="X1459" s="7"/>
      <c r="Y1459" s="7"/>
      <c r="Z1459" s="7"/>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row>
    <row r="1460" customHeight="1" spans="1:59">
      <c r="A1460" s="9"/>
      <c r="B1460" s="5"/>
      <c r="C1460" s="5"/>
      <c r="D1460" s="5"/>
      <c r="E1460" s="7"/>
      <c r="F1460" s="8"/>
      <c r="G1460" s="8"/>
      <c r="H1460" s="8"/>
      <c r="I1460" s="14"/>
      <c r="J1460" s="14"/>
      <c r="K1460" s="14"/>
      <c r="L1460" s="14"/>
      <c r="M1460" s="7"/>
      <c r="N1460" s="8"/>
      <c r="O1460" s="8"/>
      <c r="P1460" s="8"/>
      <c r="Q1460" s="7"/>
      <c r="R1460" s="16"/>
      <c r="S1460" s="17"/>
      <c r="T1460" s="8"/>
      <c r="U1460" s="8"/>
      <c r="V1460" s="8"/>
      <c r="W1460" s="7"/>
      <c r="X1460" s="7"/>
      <c r="Y1460" s="7"/>
      <c r="Z1460" s="7"/>
      <c r="AA1460" s="7"/>
      <c r="AB1460" s="7"/>
      <c r="AC1460" s="7"/>
      <c r="AD1460" s="7"/>
      <c r="AE1460" s="7"/>
      <c r="AF1460" s="7"/>
      <c r="AG1460" s="7"/>
      <c r="AH1460" s="7"/>
      <c r="AI1460" s="7"/>
      <c r="AJ1460" s="7"/>
      <c r="AK1460" s="7"/>
      <c r="AL1460" s="7"/>
      <c r="AM1460" s="7"/>
      <c r="AN1460" s="7"/>
      <c r="AO1460" s="7"/>
      <c r="AP1460" s="7"/>
      <c r="AQ1460" s="7"/>
      <c r="AR1460" s="7"/>
      <c r="AS1460" s="7"/>
      <c r="AT1460" s="7"/>
      <c r="AU1460" s="7"/>
      <c r="AV1460" s="7"/>
      <c r="AW1460" s="7"/>
      <c r="AX1460" s="7"/>
      <c r="AY1460" s="7"/>
      <c r="AZ1460" s="7"/>
      <c r="BA1460" s="7"/>
      <c r="BB1460" s="7"/>
      <c r="BC1460" s="7"/>
      <c r="BD1460" s="7"/>
      <c r="BE1460" s="7"/>
      <c r="BF1460" s="7"/>
      <c r="BG1460" s="7"/>
    </row>
    <row r="1461" customHeight="1" spans="1:59">
      <c r="A1461" s="9"/>
      <c r="B1461" s="5"/>
      <c r="C1461" s="5"/>
      <c r="D1461" s="5"/>
      <c r="E1461" s="7"/>
      <c r="F1461" s="8"/>
      <c r="G1461" s="8"/>
      <c r="H1461" s="8"/>
      <c r="I1461" s="14"/>
      <c r="J1461" s="14"/>
      <c r="K1461" s="14"/>
      <c r="L1461" s="14"/>
      <c r="M1461" s="7"/>
      <c r="N1461" s="8"/>
      <c r="O1461" s="8"/>
      <c r="P1461" s="8"/>
      <c r="Q1461" s="7"/>
      <c r="R1461" s="16"/>
      <c r="S1461" s="17"/>
      <c r="T1461" s="8"/>
      <c r="U1461" s="8"/>
      <c r="V1461" s="8"/>
      <c r="W1461" s="7"/>
      <c r="X1461" s="7"/>
      <c r="Y1461" s="7"/>
      <c r="Z1461" s="7"/>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7"/>
      <c r="BD1461" s="7"/>
      <c r="BE1461" s="7"/>
      <c r="BF1461" s="7"/>
      <c r="BG1461" s="7"/>
    </row>
    <row r="1462" customHeight="1" spans="1:59">
      <c r="A1462" s="9"/>
      <c r="B1462" s="5"/>
      <c r="C1462" s="5"/>
      <c r="D1462" s="5"/>
      <c r="E1462" s="7"/>
      <c r="F1462" s="8"/>
      <c r="G1462" s="8"/>
      <c r="H1462" s="8"/>
      <c r="I1462" s="14"/>
      <c r="J1462" s="14"/>
      <c r="K1462" s="14"/>
      <c r="L1462" s="14"/>
      <c r="M1462" s="7"/>
      <c r="N1462" s="8"/>
      <c r="O1462" s="8"/>
      <c r="P1462" s="8"/>
      <c r="Q1462" s="7"/>
      <c r="R1462" s="16"/>
      <c r="S1462" s="17"/>
      <c r="T1462" s="8"/>
      <c r="U1462" s="8"/>
      <c r="V1462" s="8"/>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row>
    <row r="1463" customHeight="1" spans="1:59">
      <c r="A1463" s="9"/>
      <c r="B1463" s="5"/>
      <c r="C1463" s="5"/>
      <c r="D1463" s="5"/>
      <c r="E1463" s="7"/>
      <c r="F1463" s="8"/>
      <c r="G1463" s="8"/>
      <c r="H1463" s="8"/>
      <c r="I1463" s="14"/>
      <c r="J1463" s="14"/>
      <c r="K1463" s="14"/>
      <c r="L1463" s="14"/>
      <c r="M1463" s="7"/>
      <c r="N1463" s="8"/>
      <c r="O1463" s="8"/>
      <c r="P1463" s="8"/>
      <c r="Q1463" s="7"/>
      <c r="R1463" s="16"/>
      <c r="S1463" s="17"/>
      <c r="T1463" s="8"/>
      <c r="U1463" s="8"/>
      <c r="V1463" s="8"/>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7"/>
      <c r="BD1463" s="7"/>
      <c r="BE1463" s="7"/>
      <c r="BF1463" s="7"/>
      <c r="BG1463" s="7"/>
    </row>
    <row r="1464" customHeight="1" spans="1:59">
      <c r="A1464" s="9"/>
      <c r="B1464" s="5"/>
      <c r="C1464" s="5"/>
      <c r="D1464" s="5"/>
      <c r="E1464" s="7"/>
      <c r="F1464" s="8"/>
      <c r="G1464" s="8"/>
      <c r="H1464" s="8"/>
      <c r="I1464" s="14"/>
      <c r="J1464" s="14"/>
      <c r="K1464" s="14"/>
      <c r="L1464" s="14"/>
      <c r="M1464" s="7"/>
      <c r="N1464" s="8"/>
      <c r="O1464" s="8"/>
      <c r="P1464" s="8"/>
      <c r="Q1464" s="7"/>
      <c r="R1464" s="16"/>
      <c r="S1464" s="17"/>
      <c r="T1464" s="8"/>
      <c r="U1464" s="8"/>
      <c r="V1464" s="8"/>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row>
    <row r="1465" customHeight="1" spans="1:59">
      <c r="A1465" s="9"/>
      <c r="B1465" s="5"/>
      <c r="C1465" s="5"/>
      <c r="D1465" s="5"/>
      <c r="E1465" s="7"/>
      <c r="F1465" s="8"/>
      <c r="G1465" s="8"/>
      <c r="H1465" s="8"/>
      <c r="I1465" s="14"/>
      <c r="J1465" s="14"/>
      <c r="K1465" s="14"/>
      <c r="L1465" s="14"/>
      <c r="M1465" s="7"/>
      <c r="N1465" s="8"/>
      <c r="O1465" s="8"/>
      <c r="P1465" s="8"/>
      <c r="Q1465" s="7"/>
      <c r="R1465" s="16"/>
      <c r="S1465" s="17"/>
      <c r="T1465" s="8"/>
      <c r="U1465" s="8"/>
      <c r="V1465" s="8"/>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7"/>
      <c r="BD1465" s="7"/>
      <c r="BE1465" s="7"/>
      <c r="BF1465" s="7"/>
      <c r="BG1465" s="7"/>
    </row>
    <row r="1466" customHeight="1" spans="1:59">
      <c r="A1466" s="9"/>
      <c r="B1466" s="5"/>
      <c r="C1466" s="5"/>
      <c r="D1466" s="5"/>
      <c r="E1466" s="7"/>
      <c r="F1466" s="8"/>
      <c r="G1466" s="8"/>
      <c r="H1466" s="8"/>
      <c r="I1466" s="14"/>
      <c r="J1466" s="14"/>
      <c r="K1466" s="14"/>
      <c r="L1466" s="14"/>
      <c r="M1466" s="7"/>
      <c r="N1466" s="8"/>
      <c r="O1466" s="8"/>
      <c r="P1466" s="8"/>
      <c r="Q1466" s="7"/>
      <c r="R1466" s="16"/>
      <c r="S1466" s="17"/>
      <c r="T1466" s="8"/>
      <c r="U1466" s="8"/>
      <c r="V1466" s="8"/>
      <c r="W1466" s="7"/>
      <c r="X1466" s="7"/>
      <c r="Y1466" s="7"/>
      <c r="Z1466" s="7"/>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7"/>
      <c r="AX1466" s="7"/>
      <c r="AY1466" s="7"/>
      <c r="AZ1466" s="7"/>
      <c r="BA1466" s="7"/>
      <c r="BB1466" s="7"/>
      <c r="BC1466" s="7"/>
      <c r="BD1466" s="7"/>
      <c r="BE1466" s="7"/>
      <c r="BF1466" s="7"/>
      <c r="BG1466" s="7"/>
    </row>
    <row r="1467" customHeight="1" spans="1:59">
      <c r="A1467" s="9"/>
      <c r="B1467" s="5"/>
      <c r="C1467" s="5"/>
      <c r="D1467" s="5"/>
      <c r="E1467" s="7"/>
      <c r="F1467" s="8"/>
      <c r="G1467" s="8"/>
      <c r="H1467" s="8"/>
      <c r="I1467" s="14"/>
      <c r="J1467" s="14"/>
      <c r="K1467" s="14"/>
      <c r="L1467" s="14"/>
      <c r="M1467" s="7"/>
      <c r="N1467" s="8"/>
      <c r="O1467" s="8"/>
      <c r="P1467" s="8"/>
      <c r="Q1467" s="7"/>
      <c r="R1467" s="16"/>
      <c r="S1467" s="17"/>
      <c r="T1467" s="8"/>
      <c r="U1467" s="8"/>
      <c r="V1467" s="8"/>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row>
    <row r="1468" customHeight="1" spans="1:59">
      <c r="A1468" s="9"/>
      <c r="B1468" s="5"/>
      <c r="C1468" s="5"/>
      <c r="D1468" s="5"/>
      <c r="E1468" s="7"/>
      <c r="F1468" s="8"/>
      <c r="G1468" s="8"/>
      <c r="H1468" s="8"/>
      <c r="I1468" s="14"/>
      <c r="J1468" s="14"/>
      <c r="K1468" s="14"/>
      <c r="L1468" s="14"/>
      <c r="M1468" s="7"/>
      <c r="N1468" s="8"/>
      <c r="O1468" s="8"/>
      <c r="P1468" s="8"/>
      <c r="Q1468" s="7"/>
      <c r="R1468" s="16"/>
      <c r="S1468" s="17"/>
      <c r="T1468" s="8"/>
      <c r="U1468" s="8"/>
      <c r="V1468" s="8"/>
      <c r="W1468" s="7"/>
      <c r="X1468" s="7"/>
      <c r="Y1468" s="7"/>
      <c r="Z1468" s="7"/>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7"/>
      <c r="AX1468" s="7"/>
      <c r="AY1468" s="7"/>
      <c r="AZ1468" s="7"/>
      <c r="BA1468" s="7"/>
      <c r="BB1468" s="7"/>
      <c r="BC1468" s="7"/>
      <c r="BD1468" s="7"/>
      <c r="BE1468" s="7"/>
      <c r="BF1468" s="7"/>
      <c r="BG1468" s="7"/>
    </row>
    <row r="1469" customHeight="1" spans="1:59">
      <c r="A1469" s="9"/>
      <c r="B1469" s="5"/>
      <c r="C1469" s="5"/>
      <c r="D1469" s="5"/>
      <c r="E1469" s="7"/>
      <c r="F1469" s="8"/>
      <c r="G1469" s="8"/>
      <c r="H1469" s="8"/>
      <c r="I1469" s="14"/>
      <c r="J1469" s="14"/>
      <c r="K1469" s="14"/>
      <c r="L1469" s="14"/>
      <c r="M1469" s="7"/>
      <c r="N1469" s="8"/>
      <c r="O1469" s="8"/>
      <c r="P1469" s="8"/>
      <c r="Q1469" s="7"/>
      <c r="R1469" s="16"/>
      <c r="S1469" s="17"/>
      <c r="T1469" s="8"/>
      <c r="U1469" s="8"/>
      <c r="V1469" s="8"/>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7"/>
      <c r="BD1469" s="7"/>
      <c r="BE1469" s="7"/>
      <c r="BF1469" s="7"/>
      <c r="BG1469" s="7"/>
    </row>
    <row r="1470" customHeight="1" spans="1:59">
      <c r="A1470" s="9"/>
      <c r="B1470" s="5"/>
      <c r="C1470" s="5"/>
      <c r="D1470" s="5"/>
      <c r="E1470" s="7"/>
      <c r="F1470" s="8"/>
      <c r="G1470" s="8"/>
      <c r="H1470" s="8"/>
      <c r="I1470" s="14"/>
      <c r="J1470" s="14"/>
      <c r="K1470" s="14"/>
      <c r="L1470" s="14"/>
      <c r="M1470" s="7"/>
      <c r="N1470" s="8"/>
      <c r="O1470" s="8"/>
      <c r="P1470" s="8"/>
      <c r="Q1470" s="7"/>
      <c r="R1470" s="16"/>
      <c r="S1470" s="17"/>
      <c r="T1470" s="8"/>
      <c r="U1470" s="8"/>
      <c r="V1470" s="8"/>
      <c r="W1470" s="7"/>
      <c r="X1470" s="7"/>
      <c r="Y1470" s="7"/>
      <c r="Z1470" s="7"/>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7"/>
      <c r="AX1470" s="7"/>
      <c r="AY1470" s="7"/>
      <c r="AZ1470" s="7"/>
      <c r="BA1470" s="7"/>
      <c r="BB1470" s="7"/>
      <c r="BC1470" s="7"/>
      <c r="BD1470" s="7"/>
      <c r="BE1470" s="7"/>
      <c r="BF1470" s="7"/>
      <c r="BG1470" s="7"/>
    </row>
    <row r="1471" customHeight="1" spans="1:59">
      <c r="A1471" s="9"/>
      <c r="B1471" s="5"/>
      <c r="C1471" s="5"/>
      <c r="D1471" s="5"/>
      <c r="E1471" s="7"/>
      <c r="F1471" s="8"/>
      <c r="G1471" s="8"/>
      <c r="H1471" s="8"/>
      <c r="I1471" s="14"/>
      <c r="J1471" s="14"/>
      <c r="K1471" s="14"/>
      <c r="L1471" s="14"/>
      <c r="M1471" s="7"/>
      <c r="N1471" s="8"/>
      <c r="O1471" s="8"/>
      <c r="P1471" s="8"/>
      <c r="Q1471" s="7"/>
      <c r="R1471" s="16"/>
      <c r="S1471" s="17"/>
      <c r="T1471" s="8"/>
      <c r="U1471" s="8"/>
      <c r="V1471" s="8"/>
      <c r="W1471" s="7"/>
      <c r="X1471" s="7"/>
      <c r="Y1471" s="7"/>
      <c r="Z1471" s="7"/>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7"/>
      <c r="AX1471" s="7"/>
      <c r="AY1471" s="7"/>
      <c r="AZ1471" s="7"/>
      <c r="BA1471" s="7"/>
      <c r="BB1471" s="7"/>
      <c r="BC1471" s="7"/>
      <c r="BD1471" s="7"/>
      <c r="BE1471" s="7"/>
      <c r="BF1471" s="7"/>
      <c r="BG1471" s="7"/>
    </row>
    <row r="1472" customHeight="1" spans="1:59">
      <c r="A1472" s="9"/>
      <c r="B1472" s="5"/>
      <c r="C1472" s="5"/>
      <c r="D1472" s="5"/>
      <c r="E1472" s="7"/>
      <c r="F1472" s="8"/>
      <c r="G1472" s="8"/>
      <c r="H1472" s="8"/>
      <c r="I1472" s="14"/>
      <c r="J1472" s="14"/>
      <c r="K1472" s="14"/>
      <c r="L1472" s="14"/>
      <c r="M1472" s="7"/>
      <c r="N1472" s="8"/>
      <c r="O1472" s="8"/>
      <c r="P1472" s="8"/>
      <c r="Q1472" s="7"/>
      <c r="R1472" s="16"/>
      <c r="S1472" s="17"/>
      <c r="T1472" s="8"/>
      <c r="U1472" s="8"/>
      <c r="V1472" s="8"/>
      <c r="W1472" s="7"/>
      <c r="X1472" s="7"/>
      <c r="Y1472" s="7"/>
      <c r="Z1472" s="7"/>
      <c r="AA1472" s="7"/>
      <c r="AB1472" s="7"/>
      <c r="AC1472" s="7"/>
      <c r="AD1472" s="7"/>
      <c r="AE1472" s="7"/>
      <c r="AF1472" s="7"/>
      <c r="AG1472" s="7"/>
      <c r="AH1472" s="7"/>
      <c r="AI1472" s="7"/>
      <c r="AJ1472" s="7"/>
      <c r="AK1472" s="7"/>
      <c r="AL1472" s="7"/>
      <c r="AM1472" s="7"/>
      <c r="AN1472" s="7"/>
      <c r="AO1472" s="7"/>
      <c r="AP1472" s="7"/>
      <c r="AQ1472" s="7"/>
      <c r="AR1472" s="7"/>
      <c r="AS1472" s="7"/>
      <c r="AT1472" s="7"/>
      <c r="AU1472" s="7"/>
      <c r="AV1472" s="7"/>
      <c r="AW1472" s="7"/>
      <c r="AX1472" s="7"/>
      <c r="AY1472" s="7"/>
      <c r="AZ1472" s="7"/>
      <c r="BA1472" s="7"/>
      <c r="BB1472" s="7"/>
      <c r="BC1472" s="7"/>
      <c r="BD1472" s="7"/>
      <c r="BE1472" s="7"/>
      <c r="BF1472" s="7"/>
      <c r="BG1472" s="7"/>
    </row>
    <row r="1473" customHeight="1" spans="1:59">
      <c r="A1473" s="9"/>
      <c r="B1473" s="5"/>
      <c r="C1473" s="5"/>
      <c r="D1473" s="5"/>
      <c r="E1473" s="7"/>
      <c r="F1473" s="8"/>
      <c r="G1473" s="8"/>
      <c r="H1473" s="8"/>
      <c r="I1473" s="14"/>
      <c r="J1473" s="14"/>
      <c r="K1473" s="14"/>
      <c r="L1473" s="14"/>
      <c r="M1473" s="7"/>
      <c r="N1473" s="8"/>
      <c r="O1473" s="8"/>
      <c r="P1473" s="8"/>
      <c r="Q1473" s="7"/>
      <c r="R1473" s="16"/>
      <c r="S1473" s="17"/>
      <c r="T1473" s="8"/>
      <c r="U1473" s="8"/>
      <c r="V1473" s="8"/>
      <c r="W1473" s="7"/>
      <c r="X1473" s="7"/>
      <c r="Y1473" s="7"/>
      <c r="Z1473" s="7"/>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7"/>
      <c r="AX1473" s="7"/>
      <c r="AY1473" s="7"/>
      <c r="AZ1473" s="7"/>
      <c r="BA1473" s="7"/>
      <c r="BB1473" s="7"/>
      <c r="BC1473" s="7"/>
      <c r="BD1473" s="7"/>
      <c r="BE1473" s="7"/>
      <c r="BF1473" s="7"/>
      <c r="BG1473" s="7"/>
    </row>
    <row r="1474" customHeight="1" spans="1:59">
      <c r="A1474" s="9"/>
      <c r="B1474" s="5"/>
      <c r="C1474" s="5"/>
      <c r="D1474" s="5"/>
      <c r="E1474" s="7"/>
      <c r="F1474" s="8"/>
      <c r="G1474" s="8"/>
      <c r="H1474" s="8"/>
      <c r="I1474" s="14"/>
      <c r="J1474" s="14"/>
      <c r="K1474" s="14"/>
      <c r="L1474" s="14"/>
      <c r="M1474" s="7"/>
      <c r="N1474" s="8"/>
      <c r="O1474" s="8"/>
      <c r="P1474" s="8"/>
      <c r="Q1474" s="7"/>
      <c r="R1474" s="16"/>
      <c r="S1474" s="17"/>
      <c r="T1474" s="8"/>
      <c r="U1474" s="8"/>
      <c r="V1474" s="8"/>
      <c r="W1474" s="7"/>
      <c r="X1474" s="7"/>
      <c r="Y1474" s="7"/>
      <c r="Z1474" s="7"/>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7"/>
      <c r="AX1474" s="7"/>
      <c r="AY1474" s="7"/>
      <c r="AZ1474" s="7"/>
      <c r="BA1474" s="7"/>
      <c r="BB1474" s="7"/>
      <c r="BC1474" s="7"/>
      <c r="BD1474" s="7"/>
      <c r="BE1474" s="7"/>
      <c r="BF1474" s="7"/>
      <c r="BG1474" s="7"/>
    </row>
    <row r="1475" customHeight="1" spans="1:59">
      <c r="A1475" s="9"/>
      <c r="B1475" s="5"/>
      <c r="C1475" s="5"/>
      <c r="D1475" s="5"/>
      <c r="E1475" s="7"/>
      <c r="F1475" s="8"/>
      <c r="G1475" s="8"/>
      <c r="H1475" s="8"/>
      <c r="I1475" s="14"/>
      <c r="J1475" s="14"/>
      <c r="K1475" s="14"/>
      <c r="L1475" s="14"/>
      <c r="M1475" s="7"/>
      <c r="N1475" s="8"/>
      <c r="O1475" s="8"/>
      <c r="P1475" s="8"/>
      <c r="Q1475" s="7"/>
      <c r="R1475" s="16"/>
      <c r="S1475" s="17"/>
      <c r="T1475" s="8"/>
      <c r="U1475" s="8"/>
      <c r="V1475" s="8"/>
      <c r="W1475" s="7"/>
      <c r="X1475" s="7"/>
      <c r="Y1475" s="7"/>
      <c r="Z1475" s="7"/>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7"/>
      <c r="AX1475" s="7"/>
      <c r="AY1475" s="7"/>
      <c r="AZ1475" s="7"/>
      <c r="BA1475" s="7"/>
      <c r="BB1475" s="7"/>
      <c r="BC1475" s="7"/>
      <c r="BD1475" s="7"/>
      <c r="BE1475" s="7"/>
      <c r="BF1475" s="7"/>
      <c r="BG1475" s="7"/>
    </row>
    <row r="1476" customHeight="1" spans="1:59">
      <c r="A1476" s="9"/>
      <c r="B1476" s="5"/>
      <c r="C1476" s="5"/>
      <c r="D1476" s="5"/>
      <c r="E1476" s="7"/>
      <c r="F1476" s="8"/>
      <c r="G1476" s="8"/>
      <c r="H1476" s="8"/>
      <c r="I1476" s="14"/>
      <c r="J1476" s="14"/>
      <c r="K1476" s="14"/>
      <c r="L1476" s="14"/>
      <c r="M1476" s="7"/>
      <c r="N1476" s="8"/>
      <c r="O1476" s="8"/>
      <c r="P1476" s="8"/>
      <c r="Q1476" s="7"/>
      <c r="R1476" s="16"/>
      <c r="S1476" s="17"/>
      <c r="T1476" s="8"/>
      <c r="U1476" s="8"/>
      <c r="V1476" s="8"/>
      <c r="W1476" s="7"/>
      <c r="X1476" s="7"/>
      <c r="Y1476" s="7"/>
      <c r="Z1476" s="7"/>
      <c r="AA1476" s="7"/>
      <c r="AB1476" s="7"/>
      <c r="AC1476" s="7"/>
      <c r="AD1476" s="7"/>
      <c r="AE1476" s="7"/>
      <c r="AF1476" s="7"/>
      <c r="AG1476" s="7"/>
      <c r="AH1476" s="7"/>
      <c r="AI1476" s="7"/>
      <c r="AJ1476" s="7"/>
      <c r="AK1476" s="7"/>
      <c r="AL1476" s="7"/>
      <c r="AM1476" s="7"/>
      <c r="AN1476" s="7"/>
      <c r="AO1476" s="7"/>
      <c r="AP1476" s="7"/>
      <c r="AQ1476" s="7"/>
      <c r="AR1476" s="7"/>
      <c r="AS1476" s="7"/>
      <c r="AT1476" s="7"/>
      <c r="AU1476" s="7"/>
      <c r="AV1476" s="7"/>
      <c r="AW1476" s="7"/>
      <c r="AX1476" s="7"/>
      <c r="AY1476" s="7"/>
      <c r="AZ1476" s="7"/>
      <c r="BA1476" s="7"/>
      <c r="BB1476" s="7"/>
      <c r="BC1476" s="7"/>
      <c r="BD1476" s="7"/>
      <c r="BE1476" s="7"/>
      <c r="BF1476" s="7"/>
      <c r="BG1476" s="7"/>
    </row>
    <row r="1477" customHeight="1" spans="1:59">
      <c r="A1477" s="9"/>
      <c r="B1477" s="5"/>
      <c r="C1477" s="5"/>
      <c r="D1477" s="5"/>
      <c r="E1477" s="7"/>
      <c r="F1477" s="8"/>
      <c r="G1477" s="8"/>
      <c r="H1477" s="8"/>
      <c r="I1477" s="14"/>
      <c r="J1477" s="14"/>
      <c r="K1477" s="14"/>
      <c r="L1477" s="14"/>
      <c r="M1477" s="7"/>
      <c r="N1477" s="8"/>
      <c r="O1477" s="8"/>
      <c r="P1477" s="8"/>
      <c r="Q1477" s="7"/>
      <c r="R1477" s="16"/>
      <c r="S1477" s="17"/>
      <c r="T1477" s="8"/>
      <c r="U1477" s="8"/>
      <c r="V1477" s="8"/>
      <c r="W1477" s="7"/>
      <c r="X1477" s="7"/>
      <c r="Y1477" s="7"/>
      <c r="Z1477" s="7"/>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7"/>
      <c r="AX1477" s="7"/>
      <c r="AY1477" s="7"/>
      <c r="AZ1477" s="7"/>
      <c r="BA1477" s="7"/>
      <c r="BB1477" s="7"/>
      <c r="BC1477" s="7"/>
      <c r="BD1477" s="7"/>
      <c r="BE1477" s="7"/>
      <c r="BF1477" s="7"/>
      <c r="BG1477" s="7"/>
    </row>
    <row r="1478" customHeight="1" spans="1:59">
      <c r="A1478" s="9"/>
      <c r="B1478" s="5"/>
      <c r="C1478" s="5"/>
      <c r="D1478" s="5"/>
      <c r="E1478" s="7"/>
      <c r="F1478" s="8"/>
      <c r="G1478" s="8"/>
      <c r="H1478" s="8"/>
      <c r="I1478" s="14"/>
      <c r="J1478" s="14"/>
      <c r="K1478" s="14"/>
      <c r="L1478" s="14"/>
      <c r="M1478" s="7"/>
      <c r="N1478" s="8"/>
      <c r="O1478" s="8"/>
      <c r="P1478" s="8"/>
      <c r="Q1478" s="7"/>
      <c r="R1478" s="16"/>
      <c r="S1478" s="17"/>
      <c r="T1478" s="8"/>
      <c r="U1478" s="8"/>
      <c r="V1478" s="8"/>
      <c r="W1478" s="7"/>
      <c r="X1478" s="7"/>
      <c r="Y1478" s="7"/>
      <c r="Z1478" s="7"/>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7"/>
      <c r="AX1478" s="7"/>
      <c r="AY1478" s="7"/>
      <c r="AZ1478" s="7"/>
      <c r="BA1478" s="7"/>
      <c r="BB1478" s="7"/>
      <c r="BC1478" s="7"/>
      <c r="BD1478" s="7"/>
      <c r="BE1478" s="7"/>
      <c r="BF1478" s="7"/>
      <c r="BG1478" s="7"/>
    </row>
    <row r="1479" customHeight="1" spans="1:59">
      <c r="A1479" s="9"/>
      <c r="B1479" s="5"/>
      <c r="C1479" s="5"/>
      <c r="D1479" s="5"/>
      <c r="E1479" s="7"/>
      <c r="F1479" s="8"/>
      <c r="G1479" s="8"/>
      <c r="H1479" s="8"/>
      <c r="I1479" s="14"/>
      <c r="J1479" s="14"/>
      <c r="K1479" s="14"/>
      <c r="L1479" s="14"/>
      <c r="M1479" s="7"/>
      <c r="N1479" s="8"/>
      <c r="O1479" s="8"/>
      <c r="P1479" s="8"/>
      <c r="Q1479" s="7"/>
      <c r="R1479" s="16"/>
      <c r="S1479" s="17"/>
      <c r="T1479" s="8"/>
      <c r="U1479" s="8"/>
      <c r="V1479" s="8"/>
      <c r="W1479" s="7"/>
      <c r="X1479" s="7"/>
      <c r="Y1479" s="7"/>
      <c r="Z1479" s="7"/>
      <c r="AA1479" s="7"/>
      <c r="AB1479" s="7"/>
      <c r="AC1479" s="7"/>
      <c r="AD1479" s="7"/>
      <c r="AE1479" s="7"/>
      <c r="AF1479" s="7"/>
      <c r="AG1479" s="7"/>
      <c r="AH1479" s="7"/>
      <c r="AI1479" s="7"/>
      <c r="AJ1479" s="7"/>
      <c r="AK1479" s="7"/>
      <c r="AL1479" s="7"/>
      <c r="AM1479" s="7"/>
      <c r="AN1479" s="7"/>
      <c r="AO1479" s="7"/>
      <c r="AP1479" s="7"/>
      <c r="AQ1479" s="7"/>
      <c r="AR1479" s="7"/>
      <c r="AS1479" s="7"/>
      <c r="AT1479" s="7"/>
      <c r="AU1479" s="7"/>
      <c r="AV1479" s="7"/>
      <c r="AW1479" s="7"/>
      <c r="AX1479" s="7"/>
      <c r="AY1479" s="7"/>
      <c r="AZ1479" s="7"/>
      <c r="BA1479" s="7"/>
      <c r="BB1479" s="7"/>
      <c r="BC1479" s="7"/>
      <c r="BD1479" s="7"/>
      <c r="BE1479" s="7"/>
      <c r="BF1479" s="7"/>
      <c r="BG1479" s="7"/>
    </row>
    <row r="1480" customHeight="1" spans="1:59">
      <c r="A1480" s="9"/>
      <c r="B1480" s="5"/>
      <c r="C1480" s="5"/>
      <c r="D1480" s="5"/>
      <c r="E1480" s="7"/>
      <c r="F1480" s="8"/>
      <c r="G1480" s="8"/>
      <c r="H1480" s="8"/>
      <c r="I1480" s="14"/>
      <c r="J1480" s="14"/>
      <c r="K1480" s="14"/>
      <c r="L1480" s="14"/>
      <c r="M1480" s="7"/>
      <c r="N1480" s="8"/>
      <c r="O1480" s="8"/>
      <c r="P1480" s="8"/>
      <c r="Q1480" s="7"/>
      <c r="R1480" s="16"/>
      <c r="S1480" s="17"/>
      <c r="T1480" s="8"/>
      <c r="U1480" s="8"/>
      <c r="V1480" s="8"/>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7"/>
      <c r="BD1480" s="7"/>
      <c r="BE1480" s="7"/>
      <c r="BF1480" s="7"/>
      <c r="BG1480" s="7"/>
    </row>
    <row r="1481" customHeight="1" spans="1:59">
      <c r="A1481" s="9"/>
      <c r="B1481" s="5"/>
      <c r="C1481" s="5"/>
      <c r="D1481" s="5"/>
      <c r="E1481" s="7"/>
      <c r="F1481" s="8"/>
      <c r="G1481" s="8"/>
      <c r="H1481" s="8"/>
      <c r="I1481" s="14"/>
      <c r="J1481" s="14"/>
      <c r="K1481" s="14"/>
      <c r="L1481" s="14"/>
      <c r="M1481" s="7"/>
      <c r="N1481" s="8"/>
      <c r="O1481" s="8"/>
      <c r="P1481" s="8"/>
      <c r="Q1481" s="7"/>
      <c r="R1481" s="16"/>
      <c r="S1481" s="17"/>
      <c r="T1481" s="8"/>
      <c r="U1481" s="8"/>
      <c r="V1481" s="8"/>
      <c r="W1481" s="7"/>
      <c r="X1481" s="7"/>
      <c r="Y1481" s="7"/>
      <c r="Z1481" s="7"/>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7"/>
      <c r="BD1481" s="7"/>
      <c r="BE1481" s="7"/>
      <c r="BF1481" s="7"/>
      <c r="BG1481" s="7"/>
    </row>
    <row r="1482" customHeight="1" spans="1:59">
      <c r="A1482" s="9"/>
      <c r="B1482" s="5"/>
      <c r="C1482" s="5"/>
      <c r="D1482" s="5"/>
      <c r="E1482" s="7"/>
      <c r="F1482" s="8"/>
      <c r="G1482" s="8"/>
      <c r="H1482" s="8"/>
      <c r="I1482" s="14"/>
      <c r="J1482" s="14"/>
      <c r="K1482" s="14"/>
      <c r="L1482" s="14"/>
      <c r="M1482" s="7"/>
      <c r="N1482" s="8"/>
      <c r="O1482" s="8"/>
      <c r="P1482" s="8"/>
      <c r="Q1482" s="7"/>
      <c r="R1482" s="16"/>
      <c r="S1482" s="17"/>
      <c r="T1482" s="8"/>
      <c r="U1482" s="8"/>
      <c r="V1482" s="8"/>
      <c r="W1482" s="7"/>
      <c r="X1482" s="7"/>
      <c r="Y1482" s="7"/>
      <c r="Z1482" s="7"/>
      <c r="AA1482" s="7"/>
      <c r="AB1482" s="7"/>
      <c r="AC1482" s="7"/>
      <c r="AD1482" s="7"/>
      <c r="AE1482" s="7"/>
      <c r="AF1482" s="7"/>
      <c r="AG1482" s="7"/>
      <c r="AH1482" s="7"/>
      <c r="AI1482" s="7"/>
      <c r="AJ1482" s="7"/>
      <c r="AK1482" s="7"/>
      <c r="AL1482" s="7"/>
      <c r="AM1482" s="7"/>
      <c r="AN1482" s="7"/>
      <c r="AO1482" s="7"/>
      <c r="AP1482" s="7"/>
      <c r="AQ1482" s="7"/>
      <c r="AR1482" s="7"/>
      <c r="AS1482" s="7"/>
      <c r="AT1482" s="7"/>
      <c r="AU1482" s="7"/>
      <c r="AV1482" s="7"/>
      <c r="AW1482" s="7"/>
      <c r="AX1482" s="7"/>
      <c r="AY1482" s="7"/>
      <c r="AZ1482" s="7"/>
      <c r="BA1482" s="7"/>
      <c r="BB1482" s="7"/>
      <c r="BC1482" s="7"/>
      <c r="BD1482" s="7"/>
      <c r="BE1482" s="7"/>
      <c r="BF1482" s="7"/>
      <c r="BG1482" s="7"/>
    </row>
    <row r="1483" customHeight="1" spans="1:59">
      <c r="A1483" s="9"/>
      <c r="B1483" s="5"/>
      <c r="C1483" s="5"/>
      <c r="D1483" s="5"/>
      <c r="E1483" s="7"/>
      <c r="F1483" s="8"/>
      <c r="G1483" s="8"/>
      <c r="H1483" s="8"/>
      <c r="I1483" s="14"/>
      <c r="J1483" s="14"/>
      <c r="K1483" s="14"/>
      <c r="L1483" s="14"/>
      <c r="M1483" s="7"/>
      <c r="N1483" s="8"/>
      <c r="O1483" s="8"/>
      <c r="P1483" s="8"/>
      <c r="Q1483" s="7"/>
      <c r="R1483" s="16"/>
      <c r="S1483" s="17"/>
      <c r="T1483" s="8"/>
      <c r="U1483" s="8"/>
      <c r="V1483" s="8"/>
      <c r="W1483" s="7"/>
      <c r="X1483" s="7"/>
      <c r="Y1483" s="7"/>
      <c r="Z1483" s="7"/>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7"/>
      <c r="AX1483" s="7"/>
      <c r="AY1483" s="7"/>
      <c r="AZ1483" s="7"/>
      <c r="BA1483" s="7"/>
      <c r="BB1483" s="7"/>
      <c r="BC1483" s="7"/>
      <c r="BD1483" s="7"/>
      <c r="BE1483" s="7"/>
      <c r="BF1483" s="7"/>
      <c r="BG1483" s="7"/>
    </row>
    <row r="1484" customHeight="1" spans="1:59">
      <c r="A1484" s="9"/>
      <c r="B1484" s="5"/>
      <c r="C1484" s="5"/>
      <c r="D1484" s="5"/>
      <c r="E1484" s="7"/>
      <c r="F1484" s="8"/>
      <c r="G1484" s="8"/>
      <c r="H1484" s="8"/>
      <c r="I1484" s="14"/>
      <c r="J1484" s="14"/>
      <c r="K1484" s="14"/>
      <c r="L1484" s="14"/>
      <c r="M1484" s="7"/>
      <c r="N1484" s="8"/>
      <c r="O1484" s="8"/>
      <c r="P1484" s="8"/>
      <c r="Q1484" s="7"/>
      <c r="R1484" s="16"/>
      <c r="S1484" s="17"/>
      <c r="T1484" s="8"/>
      <c r="U1484" s="8"/>
      <c r="V1484" s="8"/>
      <c r="W1484" s="7"/>
      <c r="X1484" s="7"/>
      <c r="Y1484" s="7"/>
      <c r="Z1484" s="7"/>
      <c r="AA1484" s="7"/>
      <c r="AB1484" s="7"/>
      <c r="AC1484" s="7"/>
      <c r="AD1484" s="7"/>
      <c r="AE1484" s="7"/>
      <c r="AF1484" s="7"/>
      <c r="AG1484" s="7"/>
      <c r="AH1484" s="7"/>
      <c r="AI1484" s="7"/>
      <c r="AJ1484" s="7"/>
      <c r="AK1484" s="7"/>
      <c r="AL1484" s="7"/>
      <c r="AM1484" s="7"/>
      <c r="AN1484" s="7"/>
      <c r="AO1484" s="7"/>
      <c r="AP1484" s="7"/>
      <c r="AQ1484" s="7"/>
      <c r="AR1484" s="7"/>
      <c r="AS1484" s="7"/>
      <c r="AT1484" s="7"/>
      <c r="AU1484" s="7"/>
      <c r="AV1484" s="7"/>
      <c r="AW1484" s="7"/>
      <c r="AX1484" s="7"/>
      <c r="AY1484" s="7"/>
      <c r="AZ1484" s="7"/>
      <c r="BA1484" s="7"/>
      <c r="BB1484" s="7"/>
      <c r="BC1484" s="7"/>
      <c r="BD1484" s="7"/>
      <c r="BE1484" s="7"/>
      <c r="BF1484" s="7"/>
      <c r="BG1484" s="7"/>
    </row>
    <row r="1485" customHeight="1" spans="1:59">
      <c r="A1485" s="9"/>
      <c r="B1485" s="5"/>
      <c r="C1485" s="5"/>
      <c r="D1485" s="5"/>
      <c r="E1485" s="7"/>
      <c r="F1485" s="8"/>
      <c r="G1485" s="8"/>
      <c r="H1485" s="8"/>
      <c r="I1485" s="14"/>
      <c r="J1485" s="14"/>
      <c r="K1485" s="14"/>
      <c r="L1485" s="14"/>
      <c r="M1485" s="7"/>
      <c r="N1485" s="8"/>
      <c r="O1485" s="8"/>
      <c r="P1485" s="8"/>
      <c r="Q1485" s="7"/>
      <c r="R1485" s="16"/>
      <c r="S1485" s="17"/>
      <c r="T1485" s="8"/>
      <c r="U1485" s="8"/>
      <c r="V1485" s="8"/>
      <c r="W1485" s="7"/>
      <c r="X1485" s="7"/>
      <c r="Y1485" s="7"/>
      <c r="Z1485" s="7"/>
      <c r="AA1485" s="7"/>
      <c r="AB1485" s="7"/>
      <c r="AC1485" s="7"/>
      <c r="AD1485" s="7"/>
      <c r="AE1485" s="7"/>
      <c r="AF1485" s="7"/>
      <c r="AG1485" s="7"/>
      <c r="AH1485" s="7"/>
      <c r="AI1485" s="7"/>
      <c r="AJ1485" s="7"/>
      <c r="AK1485" s="7"/>
      <c r="AL1485" s="7"/>
      <c r="AM1485" s="7"/>
      <c r="AN1485" s="7"/>
      <c r="AO1485" s="7"/>
      <c r="AP1485" s="7"/>
      <c r="AQ1485" s="7"/>
      <c r="AR1485" s="7"/>
      <c r="AS1485" s="7"/>
      <c r="AT1485" s="7"/>
      <c r="AU1485" s="7"/>
      <c r="AV1485" s="7"/>
      <c r="AW1485" s="7"/>
      <c r="AX1485" s="7"/>
      <c r="AY1485" s="7"/>
      <c r="AZ1485" s="7"/>
      <c r="BA1485" s="7"/>
      <c r="BB1485" s="7"/>
      <c r="BC1485" s="7"/>
      <c r="BD1485" s="7"/>
      <c r="BE1485" s="7"/>
      <c r="BF1485" s="7"/>
      <c r="BG1485" s="7"/>
    </row>
    <row r="1486" customHeight="1" spans="1:59">
      <c r="A1486" s="9"/>
      <c r="B1486" s="5"/>
      <c r="C1486" s="5"/>
      <c r="D1486" s="5"/>
      <c r="E1486" s="7"/>
      <c r="F1486" s="8"/>
      <c r="G1486" s="8"/>
      <c r="H1486" s="8"/>
      <c r="I1486" s="14"/>
      <c r="J1486" s="14"/>
      <c r="K1486" s="14"/>
      <c r="L1486" s="14"/>
      <c r="M1486" s="7"/>
      <c r="N1486" s="8"/>
      <c r="O1486" s="8"/>
      <c r="P1486" s="8"/>
      <c r="Q1486" s="7"/>
      <c r="R1486" s="16"/>
      <c r="S1486" s="17"/>
      <c r="T1486" s="8"/>
      <c r="U1486" s="8"/>
      <c r="V1486" s="8"/>
      <c r="W1486" s="7"/>
      <c r="X1486" s="7"/>
      <c r="Y1486" s="7"/>
      <c r="Z1486" s="7"/>
      <c r="AA1486" s="7"/>
      <c r="AB1486" s="7"/>
      <c r="AC1486" s="7"/>
      <c r="AD1486" s="7"/>
      <c r="AE1486" s="7"/>
      <c r="AF1486" s="7"/>
      <c r="AG1486" s="7"/>
      <c r="AH1486" s="7"/>
      <c r="AI1486" s="7"/>
      <c r="AJ1486" s="7"/>
      <c r="AK1486" s="7"/>
      <c r="AL1486" s="7"/>
      <c r="AM1486" s="7"/>
      <c r="AN1486" s="7"/>
      <c r="AO1486" s="7"/>
      <c r="AP1486" s="7"/>
      <c r="AQ1486" s="7"/>
      <c r="AR1486" s="7"/>
      <c r="AS1486" s="7"/>
      <c r="AT1486" s="7"/>
      <c r="AU1486" s="7"/>
      <c r="AV1486" s="7"/>
      <c r="AW1486" s="7"/>
      <c r="AX1486" s="7"/>
      <c r="AY1486" s="7"/>
      <c r="AZ1486" s="7"/>
      <c r="BA1486" s="7"/>
      <c r="BB1486" s="7"/>
      <c r="BC1486" s="7"/>
      <c r="BD1486" s="7"/>
      <c r="BE1486" s="7"/>
      <c r="BF1486" s="7"/>
      <c r="BG1486" s="7"/>
    </row>
    <row r="1487" customHeight="1" spans="1:59">
      <c r="A1487" s="9"/>
      <c r="B1487" s="5"/>
      <c r="C1487" s="5"/>
      <c r="D1487" s="5"/>
      <c r="E1487" s="7"/>
      <c r="F1487" s="8"/>
      <c r="G1487" s="8"/>
      <c r="H1487" s="8"/>
      <c r="I1487" s="14"/>
      <c r="J1487" s="14"/>
      <c r="K1487" s="14"/>
      <c r="L1487" s="14"/>
      <c r="M1487" s="7"/>
      <c r="N1487" s="8"/>
      <c r="O1487" s="8"/>
      <c r="P1487" s="8"/>
      <c r="Q1487" s="7"/>
      <c r="R1487" s="16"/>
      <c r="S1487" s="17"/>
      <c r="T1487" s="8"/>
      <c r="U1487" s="8"/>
      <c r="V1487" s="8"/>
      <c r="W1487" s="7"/>
      <c r="X1487" s="7"/>
      <c r="Y1487" s="7"/>
      <c r="Z1487" s="7"/>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7"/>
      <c r="AX1487" s="7"/>
      <c r="AY1487" s="7"/>
      <c r="AZ1487" s="7"/>
      <c r="BA1487" s="7"/>
      <c r="BB1487" s="7"/>
      <c r="BC1487" s="7"/>
      <c r="BD1487" s="7"/>
      <c r="BE1487" s="7"/>
      <c r="BF1487" s="7"/>
      <c r="BG1487" s="7"/>
    </row>
    <row r="1488" customHeight="1" spans="1:59">
      <c r="A1488" s="9"/>
      <c r="B1488" s="5"/>
      <c r="C1488" s="5"/>
      <c r="D1488" s="5"/>
      <c r="E1488" s="7"/>
      <c r="F1488" s="8"/>
      <c r="G1488" s="8"/>
      <c r="H1488" s="8"/>
      <c r="I1488" s="14"/>
      <c r="J1488" s="14"/>
      <c r="K1488" s="14"/>
      <c r="L1488" s="14"/>
      <c r="M1488" s="7"/>
      <c r="N1488" s="8"/>
      <c r="O1488" s="8"/>
      <c r="P1488" s="8"/>
      <c r="Q1488" s="7"/>
      <c r="R1488" s="16"/>
      <c r="S1488" s="17"/>
      <c r="T1488" s="8"/>
      <c r="U1488" s="8"/>
      <c r="V1488" s="8"/>
      <c r="W1488" s="7"/>
      <c r="X1488" s="7"/>
      <c r="Y1488" s="7"/>
      <c r="Z1488" s="7"/>
      <c r="AA1488" s="7"/>
      <c r="AB1488" s="7"/>
      <c r="AC1488" s="7"/>
      <c r="AD1488" s="7"/>
      <c r="AE1488" s="7"/>
      <c r="AF1488" s="7"/>
      <c r="AG1488" s="7"/>
      <c r="AH1488" s="7"/>
      <c r="AI1488" s="7"/>
      <c r="AJ1488" s="7"/>
      <c r="AK1488" s="7"/>
      <c r="AL1488" s="7"/>
      <c r="AM1488" s="7"/>
      <c r="AN1488" s="7"/>
      <c r="AO1488" s="7"/>
      <c r="AP1488" s="7"/>
      <c r="AQ1488" s="7"/>
      <c r="AR1488" s="7"/>
      <c r="AS1488" s="7"/>
      <c r="AT1488" s="7"/>
      <c r="AU1488" s="7"/>
      <c r="AV1488" s="7"/>
      <c r="AW1488" s="7"/>
      <c r="AX1488" s="7"/>
      <c r="AY1488" s="7"/>
      <c r="AZ1488" s="7"/>
      <c r="BA1488" s="7"/>
      <c r="BB1488" s="7"/>
      <c r="BC1488" s="7"/>
      <c r="BD1488" s="7"/>
      <c r="BE1488" s="7"/>
      <c r="BF1488" s="7"/>
      <c r="BG1488" s="7"/>
    </row>
    <row r="1489" customHeight="1" spans="1:59">
      <c r="A1489" s="9"/>
      <c r="B1489" s="5"/>
      <c r="C1489" s="5"/>
      <c r="D1489" s="5"/>
      <c r="E1489" s="7"/>
      <c r="F1489" s="8"/>
      <c r="G1489" s="8"/>
      <c r="H1489" s="8"/>
      <c r="I1489" s="14"/>
      <c r="J1489" s="14"/>
      <c r="K1489" s="14"/>
      <c r="L1489" s="14"/>
      <c r="M1489" s="7"/>
      <c r="N1489" s="8"/>
      <c r="O1489" s="8"/>
      <c r="P1489" s="8"/>
      <c r="Q1489" s="7"/>
      <c r="R1489" s="16"/>
      <c r="S1489" s="17"/>
      <c r="T1489" s="8"/>
      <c r="U1489" s="8"/>
      <c r="V1489" s="8"/>
      <c r="W1489" s="7"/>
      <c r="X1489" s="7"/>
      <c r="Y1489" s="7"/>
      <c r="Z1489" s="7"/>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7"/>
      <c r="AX1489" s="7"/>
      <c r="AY1489" s="7"/>
      <c r="AZ1489" s="7"/>
      <c r="BA1489" s="7"/>
      <c r="BB1489" s="7"/>
      <c r="BC1489" s="7"/>
      <c r="BD1489" s="7"/>
      <c r="BE1489" s="7"/>
      <c r="BF1489" s="7"/>
      <c r="BG1489" s="7"/>
    </row>
    <row r="1490" customHeight="1" spans="1:59">
      <c r="A1490" s="9"/>
      <c r="B1490" s="5"/>
      <c r="C1490" s="5"/>
      <c r="D1490" s="5"/>
      <c r="E1490" s="7"/>
      <c r="F1490" s="8"/>
      <c r="G1490" s="8"/>
      <c r="H1490" s="8"/>
      <c r="I1490" s="14"/>
      <c r="J1490" s="14"/>
      <c r="K1490" s="14"/>
      <c r="L1490" s="14"/>
      <c r="M1490" s="7"/>
      <c r="N1490" s="8"/>
      <c r="O1490" s="8"/>
      <c r="P1490" s="8"/>
      <c r="Q1490" s="7"/>
      <c r="R1490" s="16"/>
      <c r="S1490" s="17"/>
      <c r="T1490" s="8"/>
      <c r="U1490" s="8"/>
      <c r="V1490" s="8"/>
      <c r="W1490" s="7"/>
      <c r="X1490" s="7"/>
      <c r="Y1490" s="7"/>
      <c r="Z1490" s="7"/>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7"/>
      <c r="AX1490" s="7"/>
      <c r="AY1490" s="7"/>
      <c r="AZ1490" s="7"/>
      <c r="BA1490" s="7"/>
      <c r="BB1490" s="7"/>
      <c r="BC1490" s="7"/>
      <c r="BD1490" s="7"/>
      <c r="BE1490" s="7"/>
      <c r="BF1490" s="7"/>
      <c r="BG1490" s="7"/>
    </row>
    <row r="1491" customHeight="1" spans="1:59">
      <c r="A1491" s="9"/>
      <c r="B1491" s="5"/>
      <c r="C1491" s="5"/>
      <c r="D1491" s="5"/>
      <c r="E1491" s="7"/>
      <c r="F1491" s="8"/>
      <c r="G1491" s="8"/>
      <c r="H1491" s="8"/>
      <c r="I1491" s="14"/>
      <c r="J1491" s="14"/>
      <c r="K1491" s="14"/>
      <c r="L1491" s="14"/>
      <c r="M1491" s="7"/>
      <c r="N1491" s="8"/>
      <c r="O1491" s="8"/>
      <c r="P1491" s="8"/>
      <c r="Q1491" s="7"/>
      <c r="R1491" s="16"/>
      <c r="S1491" s="17"/>
      <c r="T1491" s="8"/>
      <c r="U1491" s="8"/>
      <c r="V1491" s="8"/>
      <c r="W1491" s="7"/>
      <c r="X1491" s="7"/>
      <c r="Y1491" s="7"/>
      <c r="Z1491" s="7"/>
      <c r="AA1491" s="7"/>
      <c r="AB1491" s="7"/>
      <c r="AC1491" s="7"/>
      <c r="AD1491" s="7"/>
      <c r="AE1491" s="7"/>
      <c r="AF1491" s="7"/>
      <c r="AG1491" s="7"/>
      <c r="AH1491" s="7"/>
      <c r="AI1491" s="7"/>
      <c r="AJ1491" s="7"/>
      <c r="AK1491" s="7"/>
      <c r="AL1491" s="7"/>
      <c r="AM1491" s="7"/>
      <c r="AN1491" s="7"/>
      <c r="AO1491" s="7"/>
      <c r="AP1491" s="7"/>
      <c r="AQ1491" s="7"/>
      <c r="AR1491" s="7"/>
      <c r="AS1491" s="7"/>
      <c r="AT1491" s="7"/>
      <c r="AU1491" s="7"/>
      <c r="AV1491" s="7"/>
      <c r="AW1491" s="7"/>
      <c r="AX1491" s="7"/>
      <c r="AY1491" s="7"/>
      <c r="AZ1491" s="7"/>
      <c r="BA1491" s="7"/>
      <c r="BB1491" s="7"/>
      <c r="BC1491" s="7"/>
      <c r="BD1491" s="7"/>
      <c r="BE1491" s="7"/>
      <c r="BF1491" s="7"/>
      <c r="BG1491" s="7"/>
    </row>
    <row r="1492" customHeight="1" spans="1:59">
      <c r="A1492" s="9"/>
      <c r="B1492" s="5"/>
      <c r="C1492" s="5"/>
      <c r="D1492" s="5"/>
      <c r="E1492" s="7"/>
      <c r="F1492" s="8"/>
      <c r="G1492" s="8"/>
      <c r="H1492" s="8"/>
      <c r="I1492" s="14"/>
      <c r="J1492" s="14"/>
      <c r="K1492" s="14"/>
      <c r="L1492" s="14"/>
      <c r="M1492" s="7"/>
      <c r="N1492" s="8"/>
      <c r="O1492" s="8"/>
      <c r="P1492" s="8"/>
      <c r="Q1492" s="7"/>
      <c r="R1492" s="16"/>
      <c r="S1492" s="17"/>
      <c r="T1492" s="8"/>
      <c r="U1492" s="8"/>
      <c r="V1492" s="8"/>
      <c r="W1492" s="7"/>
      <c r="X1492" s="7"/>
      <c r="Y1492" s="7"/>
      <c r="Z1492" s="7"/>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7"/>
      <c r="AX1492" s="7"/>
      <c r="AY1492" s="7"/>
      <c r="AZ1492" s="7"/>
      <c r="BA1492" s="7"/>
      <c r="BB1492" s="7"/>
      <c r="BC1492" s="7"/>
      <c r="BD1492" s="7"/>
      <c r="BE1492" s="7"/>
      <c r="BF1492" s="7"/>
      <c r="BG1492" s="7"/>
    </row>
    <row r="1493" customHeight="1" spans="1:59">
      <c r="A1493" s="9"/>
      <c r="B1493" s="5"/>
      <c r="C1493" s="5"/>
      <c r="D1493" s="5"/>
      <c r="E1493" s="7"/>
      <c r="F1493" s="8"/>
      <c r="G1493" s="8"/>
      <c r="H1493" s="8"/>
      <c r="I1493" s="14"/>
      <c r="J1493" s="14"/>
      <c r="K1493" s="14"/>
      <c r="L1493" s="14"/>
      <c r="M1493" s="7"/>
      <c r="N1493" s="8"/>
      <c r="O1493" s="8"/>
      <c r="P1493" s="8"/>
      <c r="Q1493" s="7"/>
      <c r="R1493" s="16"/>
      <c r="S1493" s="17"/>
      <c r="T1493" s="8"/>
      <c r="U1493" s="8"/>
      <c r="V1493" s="8"/>
      <c r="W1493" s="7"/>
      <c r="X1493" s="7"/>
      <c r="Y1493" s="7"/>
      <c r="Z1493" s="7"/>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7"/>
      <c r="AX1493" s="7"/>
      <c r="AY1493" s="7"/>
      <c r="AZ1493" s="7"/>
      <c r="BA1493" s="7"/>
      <c r="BB1493" s="7"/>
      <c r="BC1493" s="7"/>
      <c r="BD1493" s="7"/>
      <c r="BE1493" s="7"/>
      <c r="BF1493" s="7"/>
      <c r="BG1493" s="7"/>
    </row>
    <row r="1494" customHeight="1" spans="1:59">
      <c r="A1494" s="9"/>
      <c r="B1494" s="5"/>
      <c r="C1494" s="5"/>
      <c r="D1494" s="5"/>
      <c r="E1494" s="7"/>
      <c r="F1494" s="8"/>
      <c r="G1494" s="8"/>
      <c r="H1494" s="8"/>
      <c r="I1494" s="14"/>
      <c r="J1494" s="14"/>
      <c r="K1494" s="14"/>
      <c r="L1494" s="14"/>
      <c r="M1494" s="7"/>
      <c r="N1494" s="8"/>
      <c r="O1494" s="8"/>
      <c r="P1494" s="8"/>
      <c r="Q1494" s="7"/>
      <c r="R1494" s="16"/>
      <c r="S1494" s="17"/>
      <c r="T1494" s="8"/>
      <c r="U1494" s="8"/>
      <c r="V1494" s="8"/>
      <c r="W1494" s="7"/>
      <c r="X1494" s="7"/>
      <c r="Y1494" s="7"/>
      <c r="Z1494" s="7"/>
      <c r="AA1494" s="7"/>
      <c r="AB1494" s="7"/>
      <c r="AC1494" s="7"/>
      <c r="AD1494" s="7"/>
      <c r="AE1494" s="7"/>
      <c r="AF1494" s="7"/>
      <c r="AG1494" s="7"/>
      <c r="AH1494" s="7"/>
      <c r="AI1494" s="7"/>
      <c r="AJ1494" s="7"/>
      <c r="AK1494" s="7"/>
      <c r="AL1494" s="7"/>
      <c r="AM1494" s="7"/>
      <c r="AN1494" s="7"/>
      <c r="AO1494" s="7"/>
      <c r="AP1494" s="7"/>
      <c r="AQ1494" s="7"/>
      <c r="AR1494" s="7"/>
      <c r="AS1494" s="7"/>
      <c r="AT1494" s="7"/>
      <c r="AU1494" s="7"/>
      <c r="AV1494" s="7"/>
      <c r="AW1494" s="7"/>
      <c r="AX1494" s="7"/>
      <c r="AY1494" s="7"/>
      <c r="AZ1494" s="7"/>
      <c r="BA1494" s="7"/>
      <c r="BB1494" s="7"/>
      <c r="BC1494" s="7"/>
      <c r="BD1494" s="7"/>
      <c r="BE1494" s="7"/>
      <c r="BF1494" s="7"/>
      <c r="BG1494" s="7"/>
    </row>
    <row r="1495" customHeight="1" spans="1:59">
      <c r="A1495" s="9"/>
      <c r="B1495" s="5"/>
      <c r="C1495" s="5"/>
      <c r="D1495" s="5"/>
      <c r="E1495" s="7"/>
      <c r="F1495" s="8"/>
      <c r="G1495" s="8"/>
      <c r="H1495" s="8"/>
      <c r="I1495" s="14"/>
      <c r="J1495" s="14"/>
      <c r="K1495" s="14"/>
      <c r="L1495" s="14"/>
      <c r="M1495" s="7"/>
      <c r="N1495" s="8"/>
      <c r="O1495" s="8"/>
      <c r="P1495" s="8"/>
      <c r="Q1495" s="7"/>
      <c r="R1495" s="16"/>
      <c r="S1495" s="17"/>
      <c r="T1495" s="8"/>
      <c r="U1495" s="8"/>
      <c r="V1495" s="8"/>
      <c r="W1495" s="7"/>
      <c r="X1495" s="7"/>
      <c r="Y1495" s="7"/>
      <c r="Z1495" s="7"/>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7"/>
      <c r="AX1495" s="7"/>
      <c r="AY1495" s="7"/>
      <c r="AZ1495" s="7"/>
      <c r="BA1495" s="7"/>
      <c r="BB1495" s="7"/>
      <c r="BC1495" s="7"/>
      <c r="BD1495" s="7"/>
      <c r="BE1495" s="7"/>
      <c r="BF1495" s="7"/>
      <c r="BG1495" s="7"/>
    </row>
    <row r="1496" customHeight="1" spans="1:59">
      <c r="A1496" s="9"/>
      <c r="B1496" s="5"/>
      <c r="C1496" s="5"/>
      <c r="D1496" s="5"/>
      <c r="E1496" s="7"/>
      <c r="F1496" s="8"/>
      <c r="G1496" s="8"/>
      <c r="H1496" s="8"/>
      <c r="I1496" s="14"/>
      <c r="J1496" s="14"/>
      <c r="K1496" s="14"/>
      <c r="L1496" s="14"/>
      <c r="M1496" s="7"/>
      <c r="N1496" s="8"/>
      <c r="O1496" s="8"/>
      <c r="P1496" s="8"/>
      <c r="Q1496" s="7"/>
      <c r="R1496" s="16"/>
      <c r="S1496" s="17"/>
      <c r="T1496" s="8"/>
      <c r="U1496" s="8"/>
      <c r="V1496" s="8"/>
      <c r="W1496" s="7"/>
      <c r="X1496" s="7"/>
      <c r="Y1496" s="7"/>
      <c r="Z1496" s="7"/>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7"/>
      <c r="AX1496" s="7"/>
      <c r="AY1496" s="7"/>
      <c r="AZ1496" s="7"/>
      <c r="BA1496" s="7"/>
      <c r="BB1496" s="7"/>
      <c r="BC1496" s="7"/>
      <c r="BD1496" s="7"/>
      <c r="BE1496" s="7"/>
      <c r="BF1496" s="7"/>
      <c r="BG1496" s="7"/>
    </row>
    <row r="1497" customHeight="1" spans="1:59">
      <c r="A1497" s="9"/>
      <c r="B1497" s="5"/>
      <c r="C1497" s="5"/>
      <c r="D1497" s="5"/>
      <c r="E1497" s="7"/>
      <c r="F1497" s="8"/>
      <c r="G1497" s="8"/>
      <c r="H1497" s="8"/>
      <c r="I1497" s="14"/>
      <c r="J1497" s="14"/>
      <c r="K1497" s="14"/>
      <c r="L1497" s="14"/>
      <c r="M1497" s="7"/>
      <c r="N1497" s="8"/>
      <c r="O1497" s="8"/>
      <c r="P1497" s="8"/>
      <c r="Q1497" s="7"/>
      <c r="R1497" s="16"/>
      <c r="S1497" s="17"/>
      <c r="T1497" s="8"/>
      <c r="U1497" s="8"/>
      <c r="V1497" s="8"/>
      <c r="W1497" s="7"/>
      <c r="X1497" s="7"/>
      <c r="Y1497" s="7"/>
      <c r="Z1497" s="7"/>
      <c r="AA1497" s="7"/>
      <c r="AB1497" s="7"/>
      <c r="AC1497" s="7"/>
      <c r="AD1497" s="7"/>
      <c r="AE1497" s="7"/>
      <c r="AF1497" s="7"/>
      <c r="AG1497" s="7"/>
      <c r="AH1497" s="7"/>
      <c r="AI1497" s="7"/>
      <c r="AJ1497" s="7"/>
      <c r="AK1497" s="7"/>
      <c r="AL1497" s="7"/>
      <c r="AM1497" s="7"/>
      <c r="AN1497" s="7"/>
      <c r="AO1497" s="7"/>
      <c r="AP1497" s="7"/>
      <c r="AQ1497" s="7"/>
      <c r="AR1497" s="7"/>
      <c r="AS1497" s="7"/>
      <c r="AT1497" s="7"/>
      <c r="AU1497" s="7"/>
      <c r="AV1497" s="7"/>
      <c r="AW1497" s="7"/>
      <c r="AX1497" s="7"/>
      <c r="AY1497" s="7"/>
      <c r="AZ1497" s="7"/>
      <c r="BA1497" s="7"/>
      <c r="BB1497" s="7"/>
      <c r="BC1497" s="7"/>
      <c r="BD1497" s="7"/>
      <c r="BE1497" s="7"/>
      <c r="BF1497" s="7"/>
      <c r="BG1497" s="7"/>
    </row>
    <row r="1498" customHeight="1" spans="1:59">
      <c r="A1498" s="9"/>
      <c r="B1498" s="5"/>
      <c r="C1498" s="5"/>
      <c r="D1498" s="5"/>
      <c r="E1498" s="7"/>
      <c r="F1498" s="8"/>
      <c r="G1498" s="8"/>
      <c r="H1498" s="8"/>
      <c r="I1498" s="14"/>
      <c r="J1498" s="14"/>
      <c r="K1498" s="14"/>
      <c r="L1498" s="14"/>
      <c r="M1498" s="7"/>
      <c r="N1498" s="8"/>
      <c r="O1498" s="8"/>
      <c r="P1498" s="8"/>
      <c r="Q1498" s="7"/>
      <c r="R1498" s="16"/>
      <c r="S1498" s="17"/>
      <c r="T1498" s="8"/>
      <c r="U1498" s="8"/>
      <c r="V1498" s="8"/>
      <c r="W1498" s="7"/>
      <c r="X1498" s="7"/>
      <c r="Y1498" s="7"/>
      <c r="Z1498" s="7"/>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7"/>
      <c r="AX1498" s="7"/>
      <c r="AY1498" s="7"/>
      <c r="AZ1498" s="7"/>
      <c r="BA1498" s="7"/>
      <c r="BB1498" s="7"/>
      <c r="BC1498" s="7"/>
      <c r="BD1498" s="7"/>
      <c r="BE1498" s="7"/>
      <c r="BF1498" s="7"/>
      <c r="BG1498" s="7"/>
    </row>
    <row r="1499" customHeight="1" spans="1:59">
      <c r="A1499" s="9"/>
      <c r="B1499" s="5"/>
      <c r="C1499" s="5"/>
      <c r="D1499" s="5"/>
      <c r="E1499" s="7"/>
      <c r="F1499" s="8"/>
      <c r="G1499" s="8"/>
      <c r="H1499" s="8"/>
      <c r="I1499" s="14"/>
      <c r="J1499" s="14"/>
      <c r="K1499" s="14"/>
      <c r="L1499" s="14"/>
      <c r="M1499" s="7"/>
      <c r="N1499" s="8"/>
      <c r="O1499" s="8"/>
      <c r="P1499" s="8"/>
      <c r="Q1499" s="7"/>
      <c r="R1499" s="16"/>
      <c r="S1499" s="17"/>
      <c r="T1499" s="8"/>
      <c r="U1499" s="8"/>
      <c r="V1499" s="8"/>
      <c r="W1499" s="7"/>
      <c r="X1499" s="7"/>
      <c r="Y1499" s="7"/>
      <c r="Z1499" s="7"/>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7"/>
      <c r="AX1499" s="7"/>
      <c r="AY1499" s="7"/>
      <c r="AZ1499" s="7"/>
      <c r="BA1499" s="7"/>
      <c r="BB1499" s="7"/>
      <c r="BC1499" s="7"/>
      <c r="BD1499" s="7"/>
      <c r="BE1499" s="7"/>
      <c r="BF1499" s="7"/>
      <c r="BG1499" s="7"/>
    </row>
    <row r="1500" customHeight="1" spans="1:59">
      <c r="A1500" s="9"/>
      <c r="B1500" s="5"/>
      <c r="C1500" s="5"/>
      <c r="D1500" s="5"/>
      <c r="E1500" s="7"/>
      <c r="F1500" s="8"/>
      <c r="G1500" s="8"/>
      <c r="H1500" s="8"/>
      <c r="I1500" s="14"/>
      <c r="J1500" s="14"/>
      <c r="K1500" s="14"/>
      <c r="L1500" s="14"/>
      <c r="M1500" s="7"/>
      <c r="N1500" s="8"/>
      <c r="O1500" s="8"/>
      <c r="P1500" s="8"/>
      <c r="Q1500" s="7"/>
      <c r="R1500" s="16"/>
      <c r="S1500" s="17"/>
      <c r="T1500" s="8"/>
      <c r="U1500" s="8"/>
      <c r="V1500" s="8"/>
      <c r="W1500" s="7"/>
      <c r="X1500" s="7"/>
      <c r="Y1500" s="7"/>
      <c r="Z1500" s="7"/>
      <c r="AA1500" s="7"/>
      <c r="AB1500" s="7"/>
      <c r="AC1500" s="7"/>
      <c r="AD1500" s="7"/>
      <c r="AE1500" s="7"/>
      <c r="AF1500" s="7"/>
      <c r="AG1500" s="7"/>
      <c r="AH1500" s="7"/>
      <c r="AI1500" s="7"/>
      <c r="AJ1500" s="7"/>
      <c r="AK1500" s="7"/>
      <c r="AL1500" s="7"/>
      <c r="AM1500" s="7"/>
      <c r="AN1500" s="7"/>
      <c r="AO1500" s="7"/>
      <c r="AP1500" s="7"/>
      <c r="AQ1500" s="7"/>
      <c r="AR1500" s="7"/>
      <c r="AS1500" s="7"/>
      <c r="AT1500" s="7"/>
      <c r="AU1500" s="7"/>
      <c r="AV1500" s="7"/>
      <c r="AW1500" s="7"/>
      <c r="AX1500" s="7"/>
      <c r="AY1500" s="7"/>
      <c r="AZ1500" s="7"/>
      <c r="BA1500" s="7"/>
      <c r="BB1500" s="7"/>
      <c r="BC1500" s="7"/>
      <c r="BD1500" s="7"/>
      <c r="BE1500" s="7"/>
      <c r="BF1500" s="7"/>
      <c r="BG1500" s="7"/>
    </row>
    <row r="1501" customHeight="1" spans="1:59">
      <c r="A1501" s="9"/>
      <c r="B1501" s="5"/>
      <c r="C1501" s="5"/>
      <c r="D1501" s="5"/>
      <c r="E1501" s="7"/>
      <c r="F1501" s="8"/>
      <c r="G1501" s="8"/>
      <c r="H1501" s="8"/>
      <c r="I1501" s="14"/>
      <c r="J1501" s="14"/>
      <c r="K1501" s="14"/>
      <c r="L1501" s="14"/>
      <c r="M1501" s="7"/>
      <c r="N1501" s="8"/>
      <c r="O1501" s="8"/>
      <c r="P1501" s="8"/>
      <c r="Q1501" s="7"/>
      <c r="R1501" s="16"/>
      <c r="S1501" s="17"/>
      <c r="T1501" s="8"/>
      <c r="U1501" s="8"/>
      <c r="V1501" s="8"/>
      <c r="W1501" s="7"/>
      <c r="X1501" s="7"/>
      <c r="Y1501" s="7"/>
      <c r="Z1501" s="7"/>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7"/>
      <c r="AX1501" s="7"/>
      <c r="AY1501" s="7"/>
      <c r="AZ1501" s="7"/>
      <c r="BA1501" s="7"/>
      <c r="BB1501" s="7"/>
      <c r="BC1501" s="7"/>
      <c r="BD1501" s="7"/>
      <c r="BE1501" s="7"/>
      <c r="BF1501" s="7"/>
      <c r="BG1501" s="7"/>
    </row>
    <row r="1502" customHeight="1" spans="1:59">
      <c r="A1502" s="9"/>
      <c r="B1502" s="5"/>
      <c r="C1502" s="5"/>
      <c r="D1502" s="5"/>
      <c r="E1502" s="7"/>
      <c r="F1502" s="8"/>
      <c r="G1502" s="8"/>
      <c r="H1502" s="8"/>
      <c r="I1502" s="14"/>
      <c r="J1502" s="14"/>
      <c r="K1502" s="14"/>
      <c r="L1502" s="14"/>
      <c r="M1502" s="7"/>
      <c r="N1502" s="8"/>
      <c r="O1502" s="8"/>
      <c r="P1502" s="8"/>
      <c r="Q1502" s="7"/>
      <c r="R1502" s="16"/>
      <c r="S1502" s="17"/>
      <c r="T1502" s="8"/>
      <c r="U1502" s="8"/>
      <c r="V1502" s="8"/>
      <c r="W1502" s="7"/>
      <c r="X1502" s="7"/>
      <c r="Y1502" s="7"/>
      <c r="Z1502" s="7"/>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7"/>
      <c r="AX1502" s="7"/>
      <c r="AY1502" s="7"/>
      <c r="AZ1502" s="7"/>
      <c r="BA1502" s="7"/>
      <c r="BB1502" s="7"/>
      <c r="BC1502" s="7"/>
      <c r="BD1502" s="7"/>
      <c r="BE1502" s="7"/>
      <c r="BF1502" s="7"/>
      <c r="BG1502" s="7"/>
    </row>
    <row r="1503" customHeight="1" spans="1:59">
      <c r="A1503" s="9"/>
      <c r="B1503" s="5"/>
      <c r="C1503" s="5"/>
      <c r="D1503" s="5"/>
      <c r="E1503" s="7"/>
      <c r="F1503" s="8"/>
      <c r="G1503" s="8"/>
      <c r="H1503" s="8"/>
      <c r="I1503" s="14"/>
      <c r="J1503" s="14"/>
      <c r="K1503" s="14"/>
      <c r="L1503" s="14"/>
      <c r="M1503" s="7"/>
      <c r="N1503" s="8"/>
      <c r="O1503" s="8"/>
      <c r="P1503" s="8"/>
      <c r="Q1503" s="7"/>
      <c r="R1503" s="16"/>
      <c r="S1503" s="17"/>
      <c r="T1503" s="8"/>
      <c r="U1503" s="8"/>
      <c r="V1503" s="8"/>
      <c r="W1503" s="7"/>
      <c r="X1503" s="7"/>
      <c r="Y1503" s="7"/>
      <c r="Z1503" s="7"/>
      <c r="AA1503" s="7"/>
      <c r="AB1503" s="7"/>
      <c r="AC1503" s="7"/>
      <c r="AD1503" s="7"/>
      <c r="AE1503" s="7"/>
      <c r="AF1503" s="7"/>
      <c r="AG1503" s="7"/>
      <c r="AH1503" s="7"/>
      <c r="AI1503" s="7"/>
      <c r="AJ1503" s="7"/>
      <c r="AK1503" s="7"/>
      <c r="AL1503" s="7"/>
      <c r="AM1503" s="7"/>
      <c r="AN1503" s="7"/>
      <c r="AO1503" s="7"/>
      <c r="AP1503" s="7"/>
      <c r="AQ1503" s="7"/>
      <c r="AR1503" s="7"/>
      <c r="AS1503" s="7"/>
      <c r="AT1503" s="7"/>
      <c r="AU1503" s="7"/>
      <c r="AV1503" s="7"/>
      <c r="AW1503" s="7"/>
      <c r="AX1503" s="7"/>
      <c r="AY1503" s="7"/>
      <c r="AZ1503" s="7"/>
      <c r="BA1503" s="7"/>
      <c r="BB1503" s="7"/>
      <c r="BC1503" s="7"/>
      <c r="BD1503" s="7"/>
      <c r="BE1503" s="7"/>
      <c r="BF1503" s="7"/>
      <c r="BG1503" s="7"/>
    </row>
    <row r="1504" customHeight="1" spans="1:59">
      <c r="A1504" s="9"/>
      <c r="B1504" s="5"/>
      <c r="C1504" s="5"/>
      <c r="D1504" s="5"/>
      <c r="E1504" s="7"/>
      <c r="F1504" s="8"/>
      <c r="G1504" s="8"/>
      <c r="H1504" s="8"/>
      <c r="I1504" s="14"/>
      <c r="J1504" s="14"/>
      <c r="K1504" s="14"/>
      <c r="L1504" s="14"/>
      <c r="M1504" s="7"/>
      <c r="N1504" s="8"/>
      <c r="O1504" s="8"/>
      <c r="P1504" s="8"/>
      <c r="Q1504" s="7"/>
      <c r="R1504" s="16"/>
      <c r="S1504" s="17"/>
      <c r="T1504" s="8"/>
      <c r="U1504" s="8"/>
      <c r="V1504" s="8"/>
      <c r="W1504" s="7"/>
      <c r="X1504" s="7"/>
      <c r="Y1504" s="7"/>
      <c r="Z1504" s="7"/>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7"/>
      <c r="AX1504" s="7"/>
      <c r="AY1504" s="7"/>
      <c r="AZ1504" s="7"/>
      <c r="BA1504" s="7"/>
      <c r="BB1504" s="7"/>
      <c r="BC1504" s="7"/>
      <c r="BD1504" s="7"/>
      <c r="BE1504" s="7"/>
      <c r="BF1504" s="7"/>
      <c r="BG1504" s="7"/>
    </row>
    <row r="1505" customHeight="1" spans="1:59">
      <c r="A1505" s="9"/>
      <c r="B1505" s="5"/>
      <c r="C1505" s="5"/>
      <c r="D1505" s="5"/>
      <c r="E1505" s="7"/>
      <c r="F1505" s="8"/>
      <c r="G1505" s="8"/>
      <c r="H1505" s="8"/>
      <c r="I1505" s="14"/>
      <c r="J1505" s="14"/>
      <c r="K1505" s="14"/>
      <c r="L1505" s="14"/>
      <c r="M1505" s="7"/>
      <c r="N1505" s="8"/>
      <c r="O1505" s="8"/>
      <c r="P1505" s="8"/>
      <c r="Q1505" s="7"/>
      <c r="R1505" s="16"/>
      <c r="S1505" s="17"/>
      <c r="T1505" s="8"/>
      <c r="U1505" s="8"/>
      <c r="V1505" s="8"/>
      <c r="W1505" s="7"/>
      <c r="X1505" s="7"/>
      <c r="Y1505" s="7"/>
      <c r="Z1505" s="7"/>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7"/>
      <c r="AX1505" s="7"/>
      <c r="AY1505" s="7"/>
      <c r="AZ1505" s="7"/>
      <c r="BA1505" s="7"/>
      <c r="BB1505" s="7"/>
      <c r="BC1505" s="7"/>
      <c r="BD1505" s="7"/>
      <c r="BE1505" s="7"/>
      <c r="BF1505" s="7"/>
      <c r="BG1505" s="7"/>
    </row>
    <row r="1506" customHeight="1" spans="1:59">
      <c r="A1506" s="9"/>
      <c r="B1506" s="5"/>
      <c r="C1506" s="5"/>
      <c r="D1506" s="5"/>
      <c r="E1506" s="7"/>
      <c r="F1506" s="8"/>
      <c r="G1506" s="8"/>
      <c r="H1506" s="8"/>
      <c r="I1506" s="14"/>
      <c r="J1506" s="14"/>
      <c r="K1506" s="14"/>
      <c r="L1506" s="14"/>
      <c r="M1506" s="7"/>
      <c r="N1506" s="8"/>
      <c r="O1506" s="8"/>
      <c r="P1506" s="8"/>
      <c r="Q1506" s="7"/>
      <c r="R1506" s="16"/>
      <c r="S1506" s="17"/>
      <c r="T1506" s="8"/>
      <c r="U1506" s="8"/>
      <c r="V1506" s="8"/>
      <c r="W1506" s="7"/>
      <c r="X1506" s="7"/>
      <c r="Y1506" s="7"/>
      <c r="Z1506" s="7"/>
      <c r="AA1506" s="7"/>
      <c r="AB1506" s="7"/>
      <c r="AC1506" s="7"/>
      <c r="AD1506" s="7"/>
      <c r="AE1506" s="7"/>
      <c r="AF1506" s="7"/>
      <c r="AG1506" s="7"/>
      <c r="AH1506" s="7"/>
      <c r="AI1506" s="7"/>
      <c r="AJ1506" s="7"/>
      <c r="AK1506" s="7"/>
      <c r="AL1506" s="7"/>
      <c r="AM1506" s="7"/>
      <c r="AN1506" s="7"/>
      <c r="AO1506" s="7"/>
      <c r="AP1506" s="7"/>
      <c r="AQ1506" s="7"/>
      <c r="AR1506" s="7"/>
      <c r="AS1506" s="7"/>
      <c r="AT1506" s="7"/>
      <c r="AU1506" s="7"/>
      <c r="AV1506" s="7"/>
      <c r="AW1506" s="7"/>
      <c r="AX1506" s="7"/>
      <c r="AY1506" s="7"/>
      <c r="AZ1506" s="7"/>
      <c r="BA1506" s="7"/>
      <c r="BB1506" s="7"/>
      <c r="BC1506" s="7"/>
      <c r="BD1506" s="7"/>
      <c r="BE1506" s="7"/>
      <c r="BF1506" s="7"/>
      <c r="BG1506" s="7"/>
    </row>
    <row r="1507" customHeight="1" spans="1:59">
      <c r="A1507" s="9"/>
      <c r="B1507" s="5"/>
      <c r="C1507" s="5"/>
      <c r="D1507" s="5"/>
      <c r="E1507" s="7"/>
      <c r="F1507" s="8"/>
      <c r="G1507" s="8"/>
      <c r="H1507" s="8"/>
      <c r="I1507" s="14"/>
      <c r="J1507" s="14"/>
      <c r="K1507" s="14"/>
      <c r="L1507" s="14"/>
      <c r="M1507" s="7"/>
      <c r="N1507" s="8"/>
      <c r="O1507" s="8"/>
      <c r="P1507" s="8"/>
      <c r="Q1507" s="7"/>
      <c r="R1507" s="16"/>
      <c r="S1507" s="17"/>
      <c r="T1507" s="8"/>
      <c r="U1507" s="8"/>
      <c r="V1507" s="8"/>
      <c r="W1507" s="7"/>
      <c r="X1507" s="7"/>
      <c r="Y1507" s="7"/>
      <c r="Z1507" s="7"/>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7"/>
      <c r="AX1507" s="7"/>
      <c r="AY1507" s="7"/>
      <c r="AZ1507" s="7"/>
      <c r="BA1507" s="7"/>
      <c r="BB1507" s="7"/>
      <c r="BC1507" s="7"/>
      <c r="BD1507" s="7"/>
      <c r="BE1507" s="7"/>
      <c r="BF1507" s="7"/>
      <c r="BG1507" s="7"/>
    </row>
    <row r="1508" customHeight="1" spans="1:59">
      <c r="A1508" s="9"/>
      <c r="B1508" s="5"/>
      <c r="C1508" s="5"/>
      <c r="D1508" s="5"/>
      <c r="E1508" s="7"/>
      <c r="F1508" s="8"/>
      <c r="G1508" s="8"/>
      <c r="H1508" s="8"/>
      <c r="I1508" s="14"/>
      <c r="J1508" s="14"/>
      <c r="K1508" s="14"/>
      <c r="L1508" s="14"/>
      <c r="M1508" s="7"/>
      <c r="N1508" s="8"/>
      <c r="O1508" s="8"/>
      <c r="P1508" s="8"/>
      <c r="Q1508" s="7"/>
      <c r="R1508" s="16"/>
      <c r="S1508" s="17"/>
      <c r="T1508" s="8"/>
      <c r="U1508" s="8"/>
      <c r="V1508" s="8"/>
      <c r="W1508" s="7"/>
      <c r="X1508" s="7"/>
      <c r="Y1508" s="7"/>
      <c r="Z1508" s="7"/>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7"/>
      <c r="AX1508" s="7"/>
      <c r="AY1508" s="7"/>
      <c r="AZ1508" s="7"/>
      <c r="BA1508" s="7"/>
      <c r="BB1508" s="7"/>
      <c r="BC1508" s="7"/>
      <c r="BD1508" s="7"/>
      <c r="BE1508" s="7"/>
      <c r="BF1508" s="7"/>
      <c r="BG1508" s="7"/>
    </row>
    <row r="1509" customHeight="1" spans="1:59">
      <c r="A1509" s="9"/>
      <c r="B1509" s="5"/>
      <c r="C1509" s="5"/>
      <c r="D1509" s="5"/>
      <c r="E1509" s="7"/>
      <c r="F1509" s="8"/>
      <c r="G1509" s="8"/>
      <c r="H1509" s="8"/>
      <c r="I1509" s="14"/>
      <c r="J1509" s="14"/>
      <c r="K1509" s="14"/>
      <c r="L1509" s="14"/>
      <c r="M1509" s="7"/>
      <c r="N1509" s="8"/>
      <c r="O1509" s="8"/>
      <c r="P1509" s="8"/>
      <c r="Q1509" s="7"/>
      <c r="R1509" s="16"/>
      <c r="S1509" s="17"/>
      <c r="T1509" s="8"/>
      <c r="U1509" s="8"/>
      <c r="V1509" s="8"/>
      <c r="W1509" s="7"/>
      <c r="X1509" s="7"/>
      <c r="Y1509" s="7"/>
      <c r="Z1509" s="7"/>
      <c r="AA1509" s="7"/>
      <c r="AB1509" s="7"/>
      <c r="AC1509" s="7"/>
      <c r="AD1509" s="7"/>
      <c r="AE1509" s="7"/>
      <c r="AF1509" s="7"/>
      <c r="AG1509" s="7"/>
      <c r="AH1509" s="7"/>
      <c r="AI1509" s="7"/>
      <c r="AJ1509" s="7"/>
      <c r="AK1509" s="7"/>
      <c r="AL1509" s="7"/>
      <c r="AM1509" s="7"/>
      <c r="AN1509" s="7"/>
      <c r="AO1509" s="7"/>
      <c r="AP1509" s="7"/>
      <c r="AQ1509" s="7"/>
      <c r="AR1509" s="7"/>
      <c r="AS1509" s="7"/>
      <c r="AT1509" s="7"/>
      <c r="AU1509" s="7"/>
      <c r="AV1509" s="7"/>
      <c r="AW1509" s="7"/>
      <c r="AX1509" s="7"/>
      <c r="AY1509" s="7"/>
      <c r="AZ1509" s="7"/>
      <c r="BA1509" s="7"/>
      <c r="BB1509" s="7"/>
      <c r="BC1509" s="7"/>
      <c r="BD1509" s="7"/>
      <c r="BE1509" s="7"/>
      <c r="BF1509" s="7"/>
      <c r="BG1509" s="7"/>
    </row>
    <row r="1510" customHeight="1" spans="1:59">
      <c r="A1510" s="9"/>
      <c r="B1510" s="5"/>
      <c r="C1510" s="5"/>
      <c r="D1510" s="5"/>
      <c r="E1510" s="7"/>
      <c r="F1510" s="8"/>
      <c r="G1510" s="8"/>
      <c r="H1510" s="8"/>
      <c r="I1510" s="14"/>
      <c r="J1510" s="14"/>
      <c r="K1510" s="14"/>
      <c r="L1510" s="14"/>
      <c r="M1510" s="7"/>
      <c r="N1510" s="8"/>
      <c r="O1510" s="8"/>
      <c r="P1510" s="8"/>
      <c r="Q1510" s="7"/>
      <c r="R1510" s="16"/>
      <c r="S1510" s="17"/>
      <c r="T1510" s="8"/>
      <c r="U1510" s="8"/>
      <c r="V1510" s="8"/>
      <c r="W1510" s="7"/>
      <c r="X1510" s="7"/>
      <c r="Y1510" s="7"/>
      <c r="Z1510" s="7"/>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7"/>
      <c r="AX1510" s="7"/>
      <c r="AY1510" s="7"/>
      <c r="AZ1510" s="7"/>
      <c r="BA1510" s="7"/>
      <c r="BB1510" s="7"/>
      <c r="BC1510" s="7"/>
      <c r="BD1510" s="7"/>
      <c r="BE1510" s="7"/>
      <c r="BF1510" s="7"/>
      <c r="BG1510" s="7"/>
    </row>
    <row r="1511" customHeight="1" spans="1:59">
      <c r="A1511" s="9"/>
      <c r="B1511" s="5"/>
      <c r="C1511" s="5"/>
      <c r="D1511" s="5"/>
      <c r="E1511" s="7"/>
      <c r="F1511" s="8"/>
      <c r="G1511" s="8"/>
      <c r="H1511" s="8"/>
      <c r="I1511" s="14"/>
      <c r="J1511" s="14"/>
      <c r="K1511" s="14"/>
      <c r="L1511" s="14"/>
      <c r="M1511" s="7"/>
      <c r="N1511" s="8"/>
      <c r="O1511" s="8"/>
      <c r="P1511" s="8"/>
      <c r="Q1511" s="7"/>
      <c r="R1511" s="16"/>
      <c r="S1511" s="17"/>
      <c r="T1511" s="8"/>
      <c r="U1511" s="8"/>
      <c r="V1511" s="8"/>
      <c r="W1511" s="7"/>
      <c r="X1511" s="7"/>
      <c r="Y1511" s="7"/>
      <c r="Z1511" s="7"/>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7"/>
      <c r="AX1511" s="7"/>
      <c r="AY1511" s="7"/>
      <c r="AZ1511" s="7"/>
      <c r="BA1511" s="7"/>
      <c r="BB1511" s="7"/>
      <c r="BC1511" s="7"/>
      <c r="BD1511" s="7"/>
      <c r="BE1511" s="7"/>
      <c r="BF1511" s="7"/>
      <c r="BG1511" s="7"/>
    </row>
    <row r="1512" customHeight="1" spans="1:59">
      <c r="A1512" s="9"/>
      <c r="B1512" s="5"/>
      <c r="C1512" s="5"/>
      <c r="D1512" s="5"/>
      <c r="E1512" s="7"/>
      <c r="F1512" s="8"/>
      <c r="G1512" s="8"/>
      <c r="H1512" s="8"/>
      <c r="I1512" s="14"/>
      <c r="J1512" s="14"/>
      <c r="K1512" s="14"/>
      <c r="L1512" s="14"/>
      <c r="M1512" s="7"/>
      <c r="N1512" s="8"/>
      <c r="O1512" s="8"/>
      <c r="P1512" s="8"/>
      <c r="Q1512" s="7"/>
      <c r="R1512" s="16"/>
      <c r="S1512" s="17"/>
      <c r="T1512" s="8"/>
      <c r="U1512" s="8"/>
      <c r="V1512" s="8"/>
      <c r="W1512" s="7"/>
      <c r="X1512" s="7"/>
      <c r="Y1512" s="7"/>
      <c r="Z1512" s="7"/>
      <c r="AA1512" s="7"/>
      <c r="AB1512" s="7"/>
      <c r="AC1512" s="7"/>
      <c r="AD1512" s="7"/>
      <c r="AE1512" s="7"/>
      <c r="AF1512" s="7"/>
      <c r="AG1512" s="7"/>
      <c r="AH1512" s="7"/>
      <c r="AI1512" s="7"/>
      <c r="AJ1512" s="7"/>
      <c r="AK1512" s="7"/>
      <c r="AL1512" s="7"/>
      <c r="AM1512" s="7"/>
      <c r="AN1512" s="7"/>
      <c r="AO1512" s="7"/>
      <c r="AP1512" s="7"/>
      <c r="AQ1512" s="7"/>
      <c r="AR1512" s="7"/>
      <c r="AS1512" s="7"/>
      <c r="AT1512" s="7"/>
      <c r="AU1512" s="7"/>
      <c r="AV1512" s="7"/>
      <c r="AW1512" s="7"/>
      <c r="AX1512" s="7"/>
      <c r="AY1512" s="7"/>
      <c r="AZ1512" s="7"/>
      <c r="BA1512" s="7"/>
      <c r="BB1512" s="7"/>
      <c r="BC1512" s="7"/>
      <c r="BD1512" s="7"/>
      <c r="BE1512" s="7"/>
      <c r="BF1512" s="7"/>
      <c r="BG1512" s="7"/>
    </row>
    <row r="1513" customHeight="1" spans="1:59">
      <c r="A1513" s="9"/>
      <c r="B1513" s="5"/>
      <c r="C1513" s="5"/>
      <c r="D1513" s="5"/>
      <c r="E1513" s="7"/>
      <c r="F1513" s="8"/>
      <c r="G1513" s="8"/>
      <c r="H1513" s="8"/>
      <c r="I1513" s="14"/>
      <c r="J1513" s="14"/>
      <c r="K1513" s="14"/>
      <c r="L1513" s="14"/>
      <c r="M1513" s="7"/>
      <c r="N1513" s="8"/>
      <c r="O1513" s="8"/>
      <c r="P1513" s="8"/>
      <c r="Q1513" s="7"/>
      <c r="R1513" s="16"/>
      <c r="S1513" s="17"/>
      <c r="T1513" s="8"/>
      <c r="U1513" s="8"/>
      <c r="V1513" s="8"/>
      <c r="W1513" s="7"/>
      <c r="X1513" s="7"/>
      <c r="Y1513" s="7"/>
      <c r="Z1513" s="7"/>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7"/>
      <c r="AX1513" s="7"/>
      <c r="AY1513" s="7"/>
      <c r="AZ1513" s="7"/>
      <c r="BA1513" s="7"/>
      <c r="BB1513" s="7"/>
      <c r="BC1513" s="7"/>
      <c r="BD1513" s="7"/>
      <c r="BE1513" s="7"/>
      <c r="BF1513" s="7"/>
      <c r="BG1513" s="7"/>
    </row>
    <row r="1514" customHeight="1" spans="1:59">
      <c r="A1514" s="9"/>
      <c r="B1514" s="5"/>
      <c r="C1514" s="5"/>
      <c r="D1514" s="5"/>
      <c r="E1514" s="7"/>
      <c r="F1514" s="8"/>
      <c r="G1514" s="8"/>
      <c r="H1514" s="8"/>
      <c r="I1514" s="14"/>
      <c r="J1514" s="14"/>
      <c r="K1514" s="14"/>
      <c r="L1514" s="14"/>
      <c r="M1514" s="7"/>
      <c r="N1514" s="8"/>
      <c r="O1514" s="8"/>
      <c r="P1514" s="8"/>
      <c r="Q1514" s="7"/>
      <c r="R1514" s="16"/>
      <c r="S1514" s="17"/>
      <c r="T1514" s="8"/>
      <c r="U1514" s="8"/>
      <c r="V1514" s="8"/>
      <c r="W1514" s="7"/>
      <c r="X1514" s="7"/>
      <c r="Y1514" s="7"/>
      <c r="Z1514" s="7"/>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7"/>
      <c r="AX1514" s="7"/>
      <c r="AY1514" s="7"/>
      <c r="AZ1514" s="7"/>
      <c r="BA1514" s="7"/>
      <c r="BB1514" s="7"/>
      <c r="BC1514" s="7"/>
      <c r="BD1514" s="7"/>
      <c r="BE1514" s="7"/>
      <c r="BF1514" s="7"/>
      <c r="BG1514" s="7"/>
    </row>
    <row r="1515" customHeight="1" spans="1:59">
      <c r="A1515" s="9"/>
      <c r="B1515" s="5"/>
      <c r="C1515" s="5"/>
      <c r="D1515" s="5"/>
      <c r="E1515" s="7"/>
      <c r="F1515" s="8"/>
      <c r="G1515" s="8"/>
      <c r="H1515" s="8"/>
      <c r="I1515" s="14"/>
      <c r="J1515" s="14"/>
      <c r="K1515" s="14"/>
      <c r="L1515" s="14"/>
      <c r="M1515" s="7"/>
      <c r="N1515" s="8"/>
      <c r="O1515" s="8"/>
      <c r="P1515" s="8"/>
      <c r="Q1515" s="7"/>
      <c r="R1515" s="16"/>
      <c r="S1515" s="17"/>
      <c r="T1515" s="8"/>
      <c r="U1515" s="8"/>
      <c r="V1515" s="8"/>
      <c r="W1515" s="7"/>
      <c r="X1515" s="7"/>
      <c r="Y1515" s="7"/>
      <c r="Z1515" s="7"/>
      <c r="AA1515" s="7"/>
      <c r="AB1515" s="7"/>
      <c r="AC1515" s="7"/>
      <c r="AD1515" s="7"/>
      <c r="AE1515" s="7"/>
      <c r="AF1515" s="7"/>
      <c r="AG1515" s="7"/>
      <c r="AH1515" s="7"/>
      <c r="AI1515" s="7"/>
      <c r="AJ1515" s="7"/>
      <c r="AK1515" s="7"/>
      <c r="AL1515" s="7"/>
      <c r="AM1515" s="7"/>
      <c r="AN1515" s="7"/>
      <c r="AO1515" s="7"/>
      <c r="AP1515" s="7"/>
      <c r="AQ1515" s="7"/>
      <c r="AR1515" s="7"/>
      <c r="AS1515" s="7"/>
      <c r="AT1515" s="7"/>
      <c r="AU1515" s="7"/>
      <c r="AV1515" s="7"/>
      <c r="AW1515" s="7"/>
      <c r="AX1515" s="7"/>
      <c r="AY1515" s="7"/>
      <c r="AZ1515" s="7"/>
      <c r="BA1515" s="7"/>
      <c r="BB1515" s="7"/>
      <c r="BC1515" s="7"/>
      <c r="BD1515" s="7"/>
      <c r="BE1515" s="7"/>
      <c r="BF1515" s="7"/>
      <c r="BG1515" s="7"/>
    </row>
    <row r="1516" customHeight="1" spans="1:59">
      <c r="A1516" s="9"/>
      <c r="B1516" s="5"/>
      <c r="C1516" s="5"/>
      <c r="D1516" s="5"/>
      <c r="E1516" s="7"/>
      <c r="F1516" s="8"/>
      <c r="G1516" s="8"/>
      <c r="H1516" s="8"/>
      <c r="I1516" s="14"/>
      <c r="J1516" s="14"/>
      <c r="K1516" s="14"/>
      <c r="L1516" s="14"/>
      <c r="M1516" s="7"/>
      <c r="N1516" s="8"/>
      <c r="O1516" s="8"/>
      <c r="P1516" s="8"/>
      <c r="Q1516" s="7"/>
      <c r="R1516" s="16"/>
      <c r="S1516" s="17"/>
      <c r="T1516" s="8"/>
      <c r="U1516" s="8"/>
      <c r="V1516" s="8"/>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7"/>
      <c r="BD1516" s="7"/>
      <c r="BE1516" s="7"/>
      <c r="BF1516" s="7"/>
      <c r="BG1516" s="7"/>
    </row>
    <row r="1517" customHeight="1" spans="1:59">
      <c r="A1517" s="9"/>
      <c r="B1517" s="5"/>
      <c r="C1517" s="5"/>
      <c r="D1517" s="5"/>
      <c r="E1517" s="7"/>
      <c r="F1517" s="8"/>
      <c r="G1517" s="8"/>
      <c r="H1517" s="8"/>
      <c r="I1517" s="14"/>
      <c r="J1517" s="14"/>
      <c r="K1517" s="14"/>
      <c r="L1517" s="14"/>
      <c r="M1517" s="7"/>
      <c r="N1517" s="8"/>
      <c r="O1517" s="8"/>
      <c r="P1517" s="8"/>
      <c r="Q1517" s="7"/>
      <c r="R1517" s="16"/>
      <c r="S1517" s="17"/>
      <c r="T1517" s="8"/>
      <c r="U1517" s="8"/>
      <c r="V1517" s="8"/>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7"/>
      <c r="AX1517" s="7"/>
      <c r="AY1517" s="7"/>
      <c r="AZ1517" s="7"/>
      <c r="BA1517" s="7"/>
      <c r="BB1517" s="7"/>
      <c r="BC1517" s="7"/>
      <c r="BD1517" s="7"/>
      <c r="BE1517" s="7"/>
      <c r="BF1517" s="7"/>
      <c r="BG1517" s="7"/>
    </row>
    <row r="1518" customHeight="1" spans="1:59">
      <c r="A1518" s="9"/>
      <c r="B1518" s="5"/>
      <c r="C1518" s="5"/>
      <c r="D1518" s="5"/>
      <c r="E1518" s="7"/>
      <c r="F1518" s="8"/>
      <c r="G1518" s="8"/>
      <c r="H1518" s="8"/>
      <c r="I1518" s="14"/>
      <c r="J1518" s="14"/>
      <c r="K1518" s="14"/>
      <c r="L1518" s="14"/>
      <c r="M1518" s="7"/>
      <c r="N1518" s="8"/>
      <c r="O1518" s="8"/>
      <c r="P1518" s="8"/>
      <c r="Q1518" s="7"/>
      <c r="R1518" s="16"/>
      <c r="S1518" s="17"/>
      <c r="T1518" s="8"/>
      <c r="U1518" s="8"/>
      <c r="V1518" s="8"/>
      <c r="W1518" s="7"/>
      <c r="X1518" s="7"/>
      <c r="Y1518" s="7"/>
      <c r="Z1518" s="7"/>
      <c r="AA1518" s="7"/>
      <c r="AB1518" s="7"/>
      <c r="AC1518" s="7"/>
      <c r="AD1518" s="7"/>
      <c r="AE1518" s="7"/>
      <c r="AF1518" s="7"/>
      <c r="AG1518" s="7"/>
      <c r="AH1518" s="7"/>
      <c r="AI1518" s="7"/>
      <c r="AJ1518" s="7"/>
      <c r="AK1518" s="7"/>
      <c r="AL1518" s="7"/>
      <c r="AM1518" s="7"/>
      <c r="AN1518" s="7"/>
      <c r="AO1518" s="7"/>
      <c r="AP1518" s="7"/>
      <c r="AQ1518" s="7"/>
      <c r="AR1518" s="7"/>
      <c r="AS1518" s="7"/>
      <c r="AT1518" s="7"/>
      <c r="AU1518" s="7"/>
      <c r="AV1518" s="7"/>
      <c r="AW1518" s="7"/>
      <c r="AX1518" s="7"/>
      <c r="AY1518" s="7"/>
      <c r="AZ1518" s="7"/>
      <c r="BA1518" s="7"/>
      <c r="BB1518" s="7"/>
      <c r="BC1518" s="7"/>
      <c r="BD1518" s="7"/>
      <c r="BE1518" s="7"/>
      <c r="BF1518" s="7"/>
      <c r="BG1518" s="7"/>
    </row>
    <row r="1519" customHeight="1" spans="1:59">
      <c r="A1519" s="9"/>
      <c r="B1519" s="5"/>
      <c r="C1519" s="5"/>
      <c r="D1519" s="5"/>
      <c r="E1519" s="7"/>
      <c r="F1519" s="8"/>
      <c r="G1519" s="8"/>
      <c r="H1519" s="8"/>
      <c r="I1519" s="14"/>
      <c r="J1519" s="14"/>
      <c r="K1519" s="14"/>
      <c r="L1519" s="14"/>
      <c r="M1519" s="7"/>
      <c r="N1519" s="8"/>
      <c r="O1519" s="8"/>
      <c r="P1519" s="8"/>
      <c r="Q1519" s="7"/>
      <c r="R1519" s="16"/>
      <c r="S1519" s="17"/>
      <c r="T1519" s="8"/>
      <c r="U1519" s="8"/>
      <c r="V1519" s="8"/>
      <c r="W1519" s="7"/>
      <c r="X1519" s="7"/>
      <c r="Y1519" s="7"/>
      <c r="Z1519" s="7"/>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7"/>
      <c r="AX1519" s="7"/>
      <c r="AY1519" s="7"/>
      <c r="AZ1519" s="7"/>
      <c r="BA1519" s="7"/>
      <c r="BB1519" s="7"/>
      <c r="BC1519" s="7"/>
      <c r="BD1519" s="7"/>
      <c r="BE1519" s="7"/>
      <c r="BF1519" s="7"/>
      <c r="BG1519" s="7"/>
    </row>
    <row r="1520" customHeight="1" spans="1:59">
      <c r="A1520" s="9"/>
      <c r="B1520" s="5"/>
      <c r="C1520" s="5"/>
      <c r="D1520" s="5"/>
      <c r="E1520" s="7"/>
      <c r="F1520" s="8"/>
      <c r="G1520" s="8"/>
      <c r="H1520" s="8"/>
      <c r="I1520" s="14"/>
      <c r="J1520" s="14"/>
      <c r="K1520" s="14"/>
      <c r="L1520" s="14"/>
      <c r="M1520" s="7"/>
      <c r="N1520" s="8"/>
      <c r="O1520" s="8"/>
      <c r="P1520" s="8"/>
      <c r="Q1520" s="7"/>
      <c r="R1520" s="16"/>
      <c r="S1520" s="17"/>
      <c r="T1520" s="8"/>
      <c r="U1520" s="8"/>
      <c r="V1520" s="8"/>
      <c r="W1520" s="7"/>
      <c r="X1520" s="7"/>
      <c r="Y1520" s="7"/>
      <c r="Z1520" s="7"/>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7"/>
      <c r="BD1520" s="7"/>
      <c r="BE1520" s="7"/>
      <c r="BF1520" s="7"/>
      <c r="BG1520" s="7"/>
    </row>
    <row r="1521" customHeight="1" spans="1:59">
      <c r="A1521" s="9"/>
      <c r="B1521" s="5"/>
      <c r="C1521" s="5"/>
      <c r="D1521" s="5"/>
      <c r="E1521" s="7"/>
      <c r="F1521" s="8"/>
      <c r="G1521" s="8"/>
      <c r="H1521" s="8"/>
      <c r="I1521" s="14"/>
      <c r="J1521" s="14"/>
      <c r="K1521" s="14"/>
      <c r="L1521" s="14"/>
      <c r="M1521" s="7"/>
      <c r="N1521" s="8"/>
      <c r="O1521" s="8"/>
      <c r="P1521" s="8"/>
      <c r="Q1521" s="7"/>
      <c r="R1521" s="16"/>
      <c r="S1521" s="17"/>
      <c r="T1521" s="8"/>
      <c r="U1521" s="8"/>
      <c r="V1521" s="8"/>
      <c r="W1521" s="7"/>
      <c r="X1521" s="7"/>
      <c r="Y1521" s="7"/>
      <c r="Z1521" s="7"/>
      <c r="AA1521" s="7"/>
      <c r="AB1521" s="7"/>
      <c r="AC1521" s="7"/>
      <c r="AD1521" s="7"/>
      <c r="AE1521" s="7"/>
      <c r="AF1521" s="7"/>
      <c r="AG1521" s="7"/>
      <c r="AH1521" s="7"/>
      <c r="AI1521" s="7"/>
      <c r="AJ1521" s="7"/>
      <c r="AK1521" s="7"/>
      <c r="AL1521" s="7"/>
      <c r="AM1521" s="7"/>
      <c r="AN1521" s="7"/>
      <c r="AO1521" s="7"/>
      <c r="AP1521" s="7"/>
      <c r="AQ1521" s="7"/>
      <c r="AR1521" s="7"/>
      <c r="AS1521" s="7"/>
      <c r="AT1521" s="7"/>
      <c r="AU1521" s="7"/>
      <c r="AV1521" s="7"/>
      <c r="AW1521" s="7"/>
      <c r="AX1521" s="7"/>
      <c r="AY1521" s="7"/>
      <c r="AZ1521" s="7"/>
      <c r="BA1521" s="7"/>
      <c r="BB1521" s="7"/>
      <c r="BC1521" s="7"/>
      <c r="BD1521" s="7"/>
      <c r="BE1521" s="7"/>
      <c r="BF1521" s="7"/>
      <c r="BG1521" s="7"/>
    </row>
    <row r="1522" customHeight="1" spans="1:59">
      <c r="A1522" s="9"/>
      <c r="B1522" s="5"/>
      <c r="C1522" s="5"/>
      <c r="D1522" s="5"/>
      <c r="E1522" s="7"/>
      <c r="F1522" s="8"/>
      <c r="G1522" s="8"/>
      <c r="H1522" s="8"/>
      <c r="I1522" s="14"/>
      <c r="J1522" s="14"/>
      <c r="K1522" s="14"/>
      <c r="L1522" s="14"/>
      <c r="M1522" s="7"/>
      <c r="N1522" s="8"/>
      <c r="O1522" s="8"/>
      <c r="P1522" s="8"/>
      <c r="Q1522" s="7"/>
      <c r="R1522" s="16"/>
      <c r="S1522" s="17"/>
      <c r="T1522" s="8"/>
      <c r="U1522" s="8"/>
      <c r="V1522" s="8"/>
      <c r="W1522" s="7"/>
      <c r="X1522" s="7"/>
      <c r="Y1522" s="7"/>
      <c r="Z1522" s="7"/>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7"/>
      <c r="AX1522" s="7"/>
      <c r="AY1522" s="7"/>
      <c r="AZ1522" s="7"/>
      <c r="BA1522" s="7"/>
      <c r="BB1522" s="7"/>
      <c r="BC1522" s="7"/>
      <c r="BD1522" s="7"/>
      <c r="BE1522" s="7"/>
      <c r="BF1522" s="7"/>
      <c r="BG1522" s="7"/>
    </row>
    <row r="1523" customHeight="1" spans="1:59">
      <c r="A1523" s="9"/>
      <c r="B1523" s="5"/>
      <c r="C1523" s="5"/>
      <c r="D1523" s="5"/>
      <c r="E1523" s="7"/>
      <c r="F1523" s="8"/>
      <c r="G1523" s="8"/>
      <c r="H1523" s="8"/>
      <c r="I1523" s="14"/>
      <c r="J1523" s="14"/>
      <c r="K1523" s="14"/>
      <c r="L1523" s="14"/>
      <c r="M1523" s="7"/>
      <c r="N1523" s="8"/>
      <c r="O1523" s="8"/>
      <c r="P1523" s="8"/>
      <c r="Q1523" s="7"/>
      <c r="R1523" s="16"/>
      <c r="S1523" s="17"/>
      <c r="T1523" s="8"/>
      <c r="U1523" s="8"/>
      <c r="V1523" s="8"/>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7"/>
      <c r="BD1523" s="7"/>
      <c r="BE1523" s="7"/>
      <c r="BF1523" s="7"/>
      <c r="BG1523" s="7"/>
    </row>
    <row r="1524" customHeight="1" spans="1:59">
      <c r="A1524" s="9"/>
      <c r="B1524" s="5"/>
      <c r="C1524" s="5"/>
      <c r="D1524" s="5"/>
      <c r="E1524" s="7"/>
      <c r="F1524" s="8"/>
      <c r="G1524" s="8"/>
      <c r="H1524" s="8"/>
      <c r="I1524" s="14"/>
      <c r="J1524" s="14"/>
      <c r="K1524" s="14"/>
      <c r="L1524" s="14"/>
      <c r="M1524" s="7"/>
      <c r="N1524" s="8"/>
      <c r="O1524" s="8"/>
      <c r="P1524" s="8"/>
      <c r="Q1524" s="7"/>
      <c r="R1524" s="16"/>
      <c r="S1524" s="17"/>
      <c r="T1524" s="8"/>
      <c r="U1524" s="8"/>
      <c r="V1524" s="8"/>
      <c r="W1524" s="7"/>
      <c r="X1524" s="7"/>
      <c r="Y1524" s="7"/>
      <c r="Z1524" s="7"/>
      <c r="AA1524" s="7"/>
      <c r="AB1524" s="7"/>
      <c r="AC1524" s="7"/>
      <c r="AD1524" s="7"/>
      <c r="AE1524" s="7"/>
      <c r="AF1524" s="7"/>
      <c r="AG1524" s="7"/>
      <c r="AH1524" s="7"/>
      <c r="AI1524" s="7"/>
      <c r="AJ1524" s="7"/>
      <c r="AK1524" s="7"/>
      <c r="AL1524" s="7"/>
      <c r="AM1524" s="7"/>
      <c r="AN1524" s="7"/>
      <c r="AO1524" s="7"/>
      <c r="AP1524" s="7"/>
      <c r="AQ1524" s="7"/>
      <c r="AR1524" s="7"/>
      <c r="AS1524" s="7"/>
      <c r="AT1524" s="7"/>
      <c r="AU1524" s="7"/>
      <c r="AV1524" s="7"/>
      <c r="AW1524" s="7"/>
      <c r="AX1524" s="7"/>
      <c r="AY1524" s="7"/>
      <c r="AZ1524" s="7"/>
      <c r="BA1524" s="7"/>
      <c r="BB1524" s="7"/>
      <c r="BC1524" s="7"/>
      <c r="BD1524" s="7"/>
      <c r="BE1524" s="7"/>
      <c r="BF1524" s="7"/>
      <c r="BG1524" s="7"/>
    </row>
    <row r="1525" customHeight="1" spans="1:59">
      <c r="A1525" s="9"/>
      <c r="B1525" s="5"/>
      <c r="C1525" s="5"/>
      <c r="D1525" s="5"/>
      <c r="E1525" s="7"/>
      <c r="F1525" s="8"/>
      <c r="G1525" s="8"/>
      <c r="H1525" s="8"/>
      <c r="I1525" s="14"/>
      <c r="J1525" s="14"/>
      <c r="K1525" s="14"/>
      <c r="L1525" s="14"/>
      <c r="M1525" s="7"/>
      <c r="N1525" s="8"/>
      <c r="O1525" s="8"/>
      <c r="P1525" s="8"/>
      <c r="Q1525" s="7"/>
      <c r="R1525" s="16"/>
      <c r="S1525" s="17"/>
      <c r="T1525" s="8"/>
      <c r="U1525" s="8"/>
      <c r="V1525" s="8"/>
      <c r="W1525" s="7"/>
      <c r="X1525" s="7"/>
      <c r="Y1525" s="7"/>
      <c r="Z1525" s="7"/>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7"/>
      <c r="AX1525" s="7"/>
      <c r="AY1525" s="7"/>
      <c r="AZ1525" s="7"/>
      <c r="BA1525" s="7"/>
      <c r="BB1525" s="7"/>
      <c r="BC1525" s="7"/>
      <c r="BD1525" s="7"/>
      <c r="BE1525" s="7"/>
      <c r="BF1525" s="7"/>
      <c r="BG1525" s="7"/>
    </row>
    <row r="1526" customHeight="1" spans="1:59">
      <c r="A1526" s="9"/>
      <c r="B1526" s="5"/>
      <c r="C1526" s="5"/>
      <c r="D1526" s="5"/>
      <c r="E1526" s="7"/>
      <c r="F1526" s="8"/>
      <c r="G1526" s="8"/>
      <c r="H1526" s="8"/>
      <c r="I1526" s="14"/>
      <c r="J1526" s="14"/>
      <c r="K1526" s="14"/>
      <c r="L1526" s="14"/>
      <c r="M1526" s="7"/>
      <c r="N1526" s="8"/>
      <c r="O1526" s="8"/>
      <c r="P1526" s="8"/>
      <c r="Q1526" s="7"/>
      <c r="R1526" s="16"/>
      <c r="S1526" s="17"/>
      <c r="T1526" s="8"/>
      <c r="U1526" s="8"/>
      <c r="V1526" s="8"/>
      <c r="W1526" s="7"/>
      <c r="X1526" s="7"/>
      <c r="Y1526" s="7"/>
      <c r="Z1526" s="7"/>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7"/>
      <c r="AX1526" s="7"/>
      <c r="AY1526" s="7"/>
      <c r="AZ1526" s="7"/>
      <c r="BA1526" s="7"/>
      <c r="BB1526" s="7"/>
      <c r="BC1526" s="7"/>
      <c r="BD1526" s="7"/>
      <c r="BE1526" s="7"/>
      <c r="BF1526" s="7"/>
      <c r="BG1526" s="7"/>
    </row>
    <row r="1527" customHeight="1" spans="1:59">
      <c r="A1527" s="9"/>
      <c r="B1527" s="5"/>
      <c r="C1527" s="5"/>
      <c r="D1527" s="5"/>
      <c r="E1527" s="7"/>
      <c r="F1527" s="8"/>
      <c r="G1527" s="8"/>
      <c r="H1527" s="8"/>
      <c r="I1527" s="14"/>
      <c r="J1527" s="14"/>
      <c r="K1527" s="14"/>
      <c r="L1527" s="14"/>
      <c r="M1527" s="7"/>
      <c r="N1527" s="8"/>
      <c r="O1527" s="8"/>
      <c r="P1527" s="8"/>
      <c r="Q1527" s="7"/>
      <c r="R1527" s="16"/>
      <c r="S1527" s="17"/>
      <c r="T1527" s="8"/>
      <c r="U1527" s="8"/>
      <c r="V1527" s="8"/>
      <c r="W1527" s="7"/>
      <c r="X1527" s="7"/>
      <c r="Y1527" s="7"/>
      <c r="Z1527" s="7"/>
      <c r="AA1527" s="7"/>
      <c r="AB1527" s="7"/>
      <c r="AC1527" s="7"/>
      <c r="AD1527" s="7"/>
      <c r="AE1527" s="7"/>
      <c r="AF1527" s="7"/>
      <c r="AG1527" s="7"/>
      <c r="AH1527" s="7"/>
      <c r="AI1527" s="7"/>
      <c r="AJ1527" s="7"/>
      <c r="AK1527" s="7"/>
      <c r="AL1527" s="7"/>
      <c r="AM1527" s="7"/>
      <c r="AN1527" s="7"/>
      <c r="AO1527" s="7"/>
      <c r="AP1527" s="7"/>
      <c r="AQ1527" s="7"/>
      <c r="AR1527" s="7"/>
      <c r="AS1527" s="7"/>
      <c r="AT1527" s="7"/>
      <c r="AU1527" s="7"/>
      <c r="AV1527" s="7"/>
      <c r="AW1527" s="7"/>
      <c r="AX1527" s="7"/>
      <c r="AY1527" s="7"/>
      <c r="AZ1527" s="7"/>
      <c r="BA1527" s="7"/>
      <c r="BB1527" s="7"/>
      <c r="BC1527" s="7"/>
      <c r="BD1527" s="7"/>
      <c r="BE1527" s="7"/>
      <c r="BF1527" s="7"/>
      <c r="BG1527" s="7"/>
    </row>
    <row r="1528" customHeight="1" spans="1:59">
      <c r="A1528" s="9"/>
      <c r="B1528" s="5"/>
      <c r="C1528" s="5"/>
      <c r="D1528" s="5"/>
      <c r="E1528" s="7"/>
      <c r="F1528" s="8"/>
      <c r="G1528" s="8"/>
      <c r="H1528" s="8"/>
      <c r="I1528" s="14"/>
      <c r="J1528" s="14"/>
      <c r="K1528" s="14"/>
      <c r="L1528" s="14"/>
      <c r="M1528" s="7"/>
      <c r="N1528" s="8"/>
      <c r="O1528" s="8"/>
      <c r="P1528" s="8"/>
      <c r="Q1528" s="7"/>
      <c r="R1528" s="16"/>
      <c r="S1528" s="17"/>
      <c r="T1528" s="8"/>
      <c r="U1528" s="8"/>
      <c r="V1528" s="8"/>
      <c r="W1528" s="7"/>
      <c r="X1528" s="7"/>
      <c r="Y1528" s="7"/>
      <c r="Z1528" s="7"/>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7"/>
      <c r="AX1528" s="7"/>
      <c r="AY1528" s="7"/>
      <c r="AZ1528" s="7"/>
      <c r="BA1528" s="7"/>
      <c r="BB1528" s="7"/>
      <c r="BC1528" s="7"/>
      <c r="BD1528" s="7"/>
      <c r="BE1528" s="7"/>
      <c r="BF1528" s="7"/>
      <c r="BG1528" s="7"/>
    </row>
    <row r="1529" customHeight="1" spans="1:59">
      <c r="A1529" s="9"/>
      <c r="B1529" s="5"/>
      <c r="C1529" s="5"/>
      <c r="D1529" s="5"/>
      <c r="E1529" s="7"/>
      <c r="F1529" s="8"/>
      <c r="G1529" s="8"/>
      <c r="H1529" s="8"/>
      <c r="I1529" s="14"/>
      <c r="J1529" s="14"/>
      <c r="K1529" s="14"/>
      <c r="L1529" s="14"/>
      <c r="M1529" s="7"/>
      <c r="N1529" s="8"/>
      <c r="O1529" s="8"/>
      <c r="P1529" s="8"/>
      <c r="Q1529" s="7"/>
      <c r="R1529" s="16"/>
      <c r="S1529" s="17"/>
      <c r="T1529" s="8"/>
      <c r="U1529" s="8"/>
      <c r="V1529" s="8"/>
      <c r="W1529" s="7"/>
      <c r="X1529" s="7"/>
      <c r="Y1529" s="7"/>
      <c r="Z1529" s="7"/>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7"/>
      <c r="AX1529" s="7"/>
      <c r="AY1529" s="7"/>
      <c r="AZ1529" s="7"/>
      <c r="BA1529" s="7"/>
      <c r="BB1529" s="7"/>
      <c r="BC1529" s="7"/>
      <c r="BD1529" s="7"/>
      <c r="BE1529" s="7"/>
      <c r="BF1529" s="7"/>
      <c r="BG1529" s="7"/>
    </row>
    <row r="1530" customHeight="1" spans="1:59">
      <c r="A1530" s="9"/>
      <c r="B1530" s="5"/>
      <c r="C1530" s="5"/>
      <c r="D1530" s="5"/>
      <c r="E1530" s="7"/>
      <c r="F1530" s="8"/>
      <c r="G1530" s="8"/>
      <c r="H1530" s="8"/>
      <c r="I1530" s="14"/>
      <c r="J1530" s="14"/>
      <c r="K1530" s="14"/>
      <c r="L1530" s="14"/>
      <c r="M1530" s="7"/>
      <c r="N1530" s="8"/>
      <c r="O1530" s="8"/>
      <c r="P1530" s="8"/>
      <c r="Q1530" s="7"/>
      <c r="R1530" s="16"/>
      <c r="S1530" s="17"/>
      <c r="T1530" s="8"/>
      <c r="U1530" s="8"/>
      <c r="V1530" s="8"/>
      <c r="W1530" s="7"/>
      <c r="X1530" s="7"/>
      <c r="Y1530" s="7"/>
      <c r="Z1530" s="7"/>
      <c r="AA1530" s="7"/>
      <c r="AB1530" s="7"/>
      <c r="AC1530" s="7"/>
      <c r="AD1530" s="7"/>
      <c r="AE1530" s="7"/>
      <c r="AF1530" s="7"/>
      <c r="AG1530" s="7"/>
      <c r="AH1530" s="7"/>
      <c r="AI1530" s="7"/>
      <c r="AJ1530" s="7"/>
      <c r="AK1530" s="7"/>
      <c r="AL1530" s="7"/>
      <c r="AM1530" s="7"/>
      <c r="AN1530" s="7"/>
      <c r="AO1530" s="7"/>
      <c r="AP1530" s="7"/>
      <c r="AQ1530" s="7"/>
      <c r="AR1530" s="7"/>
      <c r="AS1530" s="7"/>
      <c r="AT1530" s="7"/>
      <c r="AU1530" s="7"/>
      <c r="AV1530" s="7"/>
      <c r="AW1530" s="7"/>
      <c r="AX1530" s="7"/>
      <c r="AY1530" s="7"/>
      <c r="AZ1530" s="7"/>
      <c r="BA1530" s="7"/>
      <c r="BB1530" s="7"/>
      <c r="BC1530" s="7"/>
      <c r="BD1530" s="7"/>
      <c r="BE1530" s="7"/>
      <c r="BF1530" s="7"/>
      <c r="BG1530" s="7"/>
    </row>
    <row r="1531" customHeight="1" spans="1:59">
      <c r="A1531" s="9"/>
      <c r="B1531" s="5"/>
      <c r="C1531" s="5"/>
      <c r="D1531" s="5"/>
      <c r="E1531" s="7"/>
      <c r="F1531" s="8"/>
      <c r="G1531" s="8"/>
      <c r="H1531" s="8"/>
      <c r="I1531" s="14"/>
      <c r="J1531" s="14"/>
      <c r="K1531" s="14"/>
      <c r="L1531" s="14"/>
      <c r="M1531" s="7"/>
      <c r="N1531" s="8"/>
      <c r="O1531" s="8"/>
      <c r="P1531" s="8"/>
      <c r="Q1531" s="7"/>
      <c r="R1531" s="16"/>
      <c r="S1531" s="17"/>
      <c r="T1531" s="8"/>
      <c r="U1531" s="8"/>
      <c r="V1531" s="8"/>
      <c r="W1531" s="7"/>
      <c r="X1531" s="7"/>
      <c r="Y1531" s="7"/>
      <c r="Z1531" s="7"/>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7"/>
      <c r="AX1531" s="7"/>
      <c r="AY1531" s="7"/>
      <c r="AZ1531" s="7"/>
      <c r="BA1531" s="7"/>
      <c r="BB1531" s="7"/>
      <c r="BC1531" s="7"/>
      <c r="BD1531" s="7"/>
      <c r="BE1531" s="7"/>
      <c r="BF1531" s="7"/>
      <c r="BG1531" s="7"/>
    </row>
    <row r="1532" customHeight="1" spans="1:59">
      <c r="A1532" s="9"/>
      <c r="B1532" s="5"/>
      <c r="C1532" s="5"/>
      <c r="D1532" s="5"/>
      <c r="E1532" s="7"/>
      <c r="F1532" s="8"/>
      <c r="G1532" s="8"/>
      <c r="H1532" s="8"/>
      <c r="I1532" s="14"/>
      <c r="J1532" s="14"/>
      <c r="K1532" s="14"/>
      <c r="L1532" s="14"/>
      <c r="M1532" s="7"/>
      <c r="N1532" s="8"/>
      <c r="O1532" s="8"/>
      <c r="P1532" s="8"/>
      <c r="Q1532" s="7"/>
      <c r="R1532" s="16"/>
      <c r="S1532" s="17"/>
      <c r="T1532" s="8"/>
      <c r="U1532" s="8"/>
      <c r="V1532" s="8"/>
      <c r="W1532" s="7"/>
      <c r="X1532" s="7"/>
      <c r="Y1532" s="7"/>
      <c r="Z1532" s="7"/>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7"/>
      <c r="AX1532" s="7"/>
      <c r="AY1532" s="7"/>
      <c r="AZ1532" s="7"/>
      <c r="BA1532" s="7"/>
      <c r="BB1532" s="7"/>
      <c r="BC1532" s="7"/>
      <c r="BD1532" s="7"/>
      <c r="BE1532" s="7"/>
      <c r="BF1532" s="7"/>
      <c r="BG1532" s="7"/>
    </row>
    <row r="1533" customHeight="1" spans="1:59">
      <c r="A1533" s="9"/>
      <c r="B1533" s="5"/>
      <c r="C1533" s="5"/>
      <c r="D1533" s="5"/>
      <c r="E1533" s="7"/>
      <c r="F1533" s="8"/>
      <c r="G1533" s="8"/>
      <c r="H1533" s="8"/>
      <c r="I1533" s="14"/>
      <c r="J1533" s="14"/>
      <c r="K1533" s="14"/>
      <c r="L1533" s="14"/>
      <c r="M1533" s="7"/>
      <c r="N1533" s="8"/>
      <c r="O1533" s="8"/>
      <c r="P1533" s="8"/>
      <c r="Q1533" s="7"/>
      <c r="R1533" s="16"/>
      <c r="S1533" s="17"/>
      <c r="T1533" s="8"/>
      <c r="U1533" s="8"/>
      <c r="V1533" s="8"/>
      <c r="W1533" s="7"/>
      <c r="X1533" s="7"/>
      <c r="Y1533" s="7"/>
      <c r="Z1533" s="7"/>
      <c r="AA1533" s="7"/>
      <c r="AB1533" s="7"/>
      <c r="AC1533" s="7"/>
      <c r="AD1533" s="7"/>
      <c r="AE1533" s="7"/>
      <c r="AF1533" s="7"/>
      <c r="AG1533" s="7"/>
      <c r="AH1533" s="7"/>
      <c r="AI1533" s="7"/>
      <c r="AJ1533" s="7"/>
      <c r="AK1533" s="7"/>
      <c r="AL1533" s="7"/>
      <c r="AM1533" s="7"/>
      <c r="AN1533" s="7"/>
      <c r="AO1533" s="7"/>
      <c r="AP1533" s="7"/>
      <c r="AQ1533" s="7"/>
      <c r="AR1533" s="7"/>
      <c r="AS1533" s="7"/>
      <c r="AT1533" s="7"/>
      <c r="AU1533" s="7"/>
      <c r="AV1533" s="7"/>
      <c r="AW1533" s="7"/>
      <c r="AX1533" s="7"/>
      <c r="AY1533" s="7"/>
      <c r="AZ1533" s="7"/>
      <c r="BA1533" s="7"/>
      <c r="BB1533" s="7"/>
      <c r="BC1533" s="7"/>
      <c r="BD1533" s="7"/>
      <c r="BE1533" s="7"/>
      <c r="BF1533" s="7"/>
      <c r="BG1533" s="7"/>
    </row>
    <row r="1534" customHeight="1" spans="1:59">
      <c r="A1534" s="9"/>
      <c r="B1534" s="5"/>
      <c r="C1534" s="5"/>
      <c r="D1534" s="5"/>
      <c r="E1534" s="7"/>
      <c r="F1534" s="8"/>
      <c r="G1534" s="8"/>
      <c r="H1534" s="8"/>
      <c r="I1534" s="14"/>
      <c r="J1534" s="14"/>
      <c r="K1534" s="14"/>
      <c r="L1534" s="14"/>
      <c r="M1534" s="7"/>
      <c r="N1534" s="8"/>
      <c r="O1534" s="8"/>
      <c r="P1534" s="8"/>
      <c r="Q1534" s="7"/>
      <c r="R1534" s="16"/>
      <c r="S1534" s="17"/>
      <c r="T1534" s="8"/>
      <c r="U1534" s="8"/>
      <c r="V1534" s="8"/>
      <c r="W1534" s="7"/>
      <c r="X1534" s="7"/>
      <c r="Y1534" s="7"/>
      <c r="Z1534" s="7"/>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7"/>
      <c r="AX1534" s="7"/>
      <c r="AY1534" s="7"/>
      <c r="AZ1534" s="7"/>
      <c r="BA1534" s="7"/>
      <c r="BB1534" s="7"/>
      <c r="BC1534" s="7"/>
      <c r="BD1534" s="7"/>
      <c r="BE1534" s="7"/>
      <c r="BF1534" s="7"/>
      <c r="BG1534" s="7"/>
    </row>
    <row r="1535" customHeight="1" spans="1:59">
      <c r="A1535" s="9"/>
      <c r="B1535" s="5"/>
      <c r="C1535" s="5"/>
      <c r="D1535" s="5"/>
      <c r="E1535" s="7"/>
      <c r="F1535" s="8"/>
      <c r="G1535" s="8"/>
      <c r="H1535" s="8"/>
      <c r="I1535" s="14"/>
      <c r="J1535" s="14"/>
      <c r="K1535" s="14"/>
      <c r="L1535" s="14"/>
      <c r="M1535" s="7"/>
      <c r="N1535" s="8"/>
      <c r="O1535" s="8"/>
      <c r="P1535" s="8"/>
      <c r="Q1535" s="7"/>
      <c r="R1535" s="16"/>
      <c r="S1535" s="17"/>
      <c r="T1535" s="8"/>
      <c r="U1535" s="8"/>
      <c r="V1535" s="8"/>
      <c r="W1535" s="7"/>
      <c r="X1535" s="7"/>
      <c r="Y1535" s="7"/>
      <c r="Z1535" s="7"/>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7"/>
      <c r="AX1535" s="7"/>
      <c r="AY1535" s="7"/>
      <c r="AZ1535" s="7"/>
      <c r="BA1535" s="7"/>
      <c r="BB1535" s="7"/>
      <c r="BC1535" s="7"/>
      <c r="BD1535" s="7"/>
      <c r="BE1535" s="7"/>
      <c r="BF1535" s="7"/>
      <c r="BG1535" s="7"/>
    </row>
    <row r="1536" customHeight="1" spans="1:59">
      <c r="A1536" s="9"/>
      <c r="B1536" s="5"/>
      <c r="C1536" s="5"/>
      <c r="D1536" s="5"/>
      <c r="E1536" s="7"/>
      <c r="F1536" s="8"/>
      <c r="G1536" s="8"/>
      <c r="H1536" s="8"/>
      <c r="I1536" s="14"/>
      <c r="J1536" s="14"/>
      <c r="K1536" s="14"/>
      <c r="L1536" s="14"/>
      <c r="M1536" s="7"/>
      <c r="N1536" s="8"/>
      <c r="O1536" s="8"/>
      <c r="P1536" s="8"/>
      <c r="Q1536" s="7"/>
      <c r="R1536" s="16"/>
      <c r="S1536" s="17"/>
      <c r="T1536" s="8"/>
      <c r="U1536" s="8"/>
      <c r="V1536" s="8"/>
      <c r="W1536" s="7"/>
      <c r="X1536" s="7"/>
      <c r="Y1536" s="7"/>
      <c r="Z1536" s="7"/>
      <c r="AA1536" s="7"/>
      <c r="AB1536" s="7"/>
      <c r="AC1536" s="7"/>
      <c r="AD1536" s="7"/>
      <c r="AE1536" s="7"/>
      <c r="AF1536" s="7"/>
      <c r="AG1536" s="7"/>
      <c r="AH1536" s="7"/>
      <c r="AI1536" s="7"/>
      <c r="AJ1536" s="7"/>
      <c r="AK1536" s="7"/>
      <c r="AL1536" s="7"/>
      <c r="AM1536" s="7"/>
      <c r="AN1536" s="7"/>
      <c r="AO1536" s="7"/>
      <c r="AP1536" s="7"/>
      <c r="AQ1536" s="7"/>
      <c r="AR1536" s="7"/>
      <c r="AS1536" s="7"/>
      <c r="AT1536" s="7"/>
      <c r="AU1536" s="7"/>
      <c r="AV1536" s="7"/>
      <c r="AW1536" s="7"/>
      <c r="AX1536" s="7"/>
      <c r="AY1536" s="7"/>
      <c r="AZ1536" s="7"/>
      <c r="BA1536" s="7"/>
      <c r="BB1536" s="7"/>
      <c r="BC1536" s="7"/>
      <c r="BD1536" s="7"/>
      <c r="BE1536" s="7"/>
      <c r="BF1536" s="7"/>
      <c r="BG1536" s="7"/>
    </row>
    <row r="1537" customHeight="1" spans="1:59">
      <c r="A1537" s="9"/>
      <c r="B1537" s="5"/>
      <c r="C1537" s="5"/>
      <c r="D1537" s="5"/>
      <c r="E1537" s="7"/>
      <c r="F1537" s="8"/>
      <c r="G1537" s="8"/>
      <c r="H1537" s="8"/>
      <c r="I1537" s="14"/>
      <c r="J1537" s="14"/>
      <c r="K1537" s="14"/>
      <c r="L1537" s="14"/>
      <c r="M1537" s="7"/>
      <c r="N1537" s="8"/>
      <c r="O1537" s="8"/>
      <c r="P1537" s="8"/>
      <c r="Q1537" s="7"/>
      <c r="R1537" s="16"/>
      <c r="S1537" s="17"/>
      <c r="T1537" s="8"/>
      <c r="U1537" s="8"/>
      <c r="V1537" s="8"/>
      <c r="W1537" s="7"/>
      <c r="X1537" s="7"/>
      <c r="Y1537" s="7"/>
      <c r="Z1537" s="7"/>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7"/>
      <c r="AX1537" s="7"/>
      <c r="AY1537" s="7"/>
      <c r="AZ1537" s="7"/>
      <c r="BA1537" s="7"/>
      <c r="BB1537" s="7"/>
      <c r="BC1537" s="7"/>
      <c r="BD1537" s="7"/>
      <c r="BE1537" s="7"/>
      <c r="BF1537" s="7"/>
      <c r="BG1537" s="7"/>
    </row>
    <row r="1538" customHeight="1" spans="1:59">
      <c r="A1538" s="9"/>
      <c r="B1538" s="5"/>
      <c r="C1538" s="5"/>
      <c r="D1538" s="5"/>
      <c r="E1538" s="7"/>
      <c r="F1538" s="8"/>
      <c r="G1538" s="8"/>
      <c r="H1538" s="8"/>
      <c r="I1538" s="14"/>
      <c r="J1538" s="14"/>
      <c r="K1538" s="14"/>
      <c r="L1538" s="14"/>
      <c r="M1538" s="7"/>
      <c r="N1538" s="8"/>
      <c r="O1538" s="8"/>
      <c r="P1538" s="8"/>
      <c r="Q1538" s="7"/>
      <c r="R1538" s="16"/>
      <c r="S1538" s="17"/>
      <c r="T1538" s="8"/>
      <c r="U1538" s="8"/>
      <c r="V1538" s="8"/>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7"/>
      <c r="AX1538" s="7"/>
      <c r="AY1538" s="7"/>
      <c r="AZ1538" s="7"/>
      <c r="BA1538" s="7"/>
      <c r="BB1538" s="7"/>
      <c r="BC1538" s="7"/>
      <c r="BD1538" s="7"/>
      <c r="BE1538" s="7"/>
      <c r="BF1538" s="7"/>
      <c r="BG1538" s="7"/>
    </row>
    <row r="1539" customHeight="1" spans="1:59">
      <c r="A1539" s="9"/>
      <c r="B1539" s="5"/>
      <c r="C1539" s="5"/>
      <c r="D1539" s="5"/>
      <c r="E1539" s="7"/>
      <c r="F1539" s="8"/>
      <c r="G1539" s="8"/>
      <c r="H1539" s="8"/>
      <c r="I1539" s="14"/>
      <c r="J1539" s="14"/>
      <c r="K1539" s="14"/>
      <c r="L1539" s="14"/>
      <c r="M1539" s="7"/>
      <c r="N1539" s="8"/>
      <c r="O1539" s="8"/>
      <c r="P1539" s="8"/>
      <c r="Q1539" s="7"/>
      <c r="R1539" s="16"/>
      <c r="S1539" s="17"/>
      <c r="T1539" s="8"/>
      <c r="U1539" s="8"/>
      <c r="V1539" s="8"/>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7"/>
      <c r="AX1539" s="7"/>
      <c r="AY1539" s="7"/>
      <c r="AZ1539" s="7"/>
      <c r="BA1539" s="7"/>
      <c r="BB1539" s="7"/>
      <c r="BC1539" s="7"/>
      <c r="BD1539" s="7"/>
      <c r="BE1539" s="7"/>
      <c r="BF1539" s="7"/>
      <c r="BG1539" s="7"/>
    </row>
    <row r="1540" customHeight="1" spans="1:59">
      <c r="A1540" s="9"/>
      <c r="B1540" s="5"/>
      <c r="C1540" s="5"/>
      <c r="D1540" s="5"/>
      <c r="E1540" s="7"/>
      <c r="F1540" s="8"/>
      <c r="G1540" s="8"/>
      <c r="H1540" s="8"/>
      <c r="I1540" s="14"/>
      <c r="J1540" s="14"/>
      <c r="K1540" s="14"/>
      <c r="L1540" s="14"/>
      <c r="M1540" s="7"/>
      <c r="N1540" s="8"/>
      <c r="O1540" s="8"/>
      <c r="P1540" s="8"/>
      <c r="Q1540" s="7"/>
      <c r="R1540" s="16"/>
      <c r="S1540" s="17"/>
      <c r="T1540" s="8"/>
      <c r="U1540" s="8"/>
      <c r="V1540" s="8"/>
      <c r="W1540" s="7"/>
      <c r="X1540" s="7"/>
      <c r="Y1540" s="7"/>
      <c r="Z1540" s="7"/>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7"/>
      <c r="AX1540" s="7"/>
      <c r="AY1540" s="7"/>
      <c r="AZ1540" s="7"/>
      <c r="BA1540" s="7"/>
      <c r="BB1540" s="7"/>
      <c r="BC1540" s="7"/>
      <c r="BD1540" s="7"/>
      <c r="BE1540" s="7"/>
      <c r="BF1540" s="7"/>
      <c r="BG1540" s="7"/>
    </row>
    <row r="1541" customHeight="1" spans="1:59">
      <c r="A1541" s="9"/>
      <c r="B1541" s="5"/>
      <c r="C1541" s="5"/>
      <c r="D1541" s="5"/>
      <c r="E1541" s="7"/>
      <c r="F1541" s="8"/>
      <c r="G1541" s="8"/>
      <c r="H1541" s="8"/>
      <c r="I1541" s="14"/>
      <c r="J1541" s="14"/>
      <c r="K1541" s="14"/>
      <c r="L1541" s="14"/>
      <c r="M1541" s="7"/>
      <c r="N1541" s="8"/>
      <c r="O1541" s="8"/>
      <c r="P1541" s="8"/>
      <c r="Q1541" s="7"/>
      <c r="R1541" s="16"/>
      <c r="S1541" s="17"/>
      <c r="T1541" s="8"/>
      <c r="U1541" s="8"/>
      <c r="V1541" s="8"/>
      <c r="W1541" s="7"/>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7"/>
      <c r="AX1541" s="7"/>
      <c r="AY1541" s="7"/>
      <c r="AZ1541" s="7"/>
      <c r="BA1541" s="7"/>
      <c r="BB1541" s="7"/>
      <c r="BC1541" s="7"/>
      <c r="BD1541" s="7"/>
      <c r="BE1541" s="7"/>
      <c r="BF1541" s="7"/>
      <c r="BG1541" s="7"/>
    </row>
    <row r="1542" customHeight="1" spans="1:59">
      <c r="A1542" s="9"/>
      <c r="B1542" s="5"/>
      <c r="C1542" s="5"/>
      <c r="D1542" s="5"/>
      <c r="E1542" s="7"/>
      <c r="F1542" s="8"/>
      <c r="G1542" s="8"/>
      <c r="H1542" s="8"/>
      <c r="I1542" s="14"/>
      <c r="J1542" s="14"/>
      <c r="K1542" s="14"/>
      <c r="L1542" s="14"/>
      <c r="M1542" s="7"/>
      <c r="N1542" s="8"/>
      <c r="O1542" s="8"/>
      <c r="P1542" s="8"/>
      <c r="Q1542" s="7"/>
      <c r="R1542" s="16"/>
      <c r="S1542" s="17"/>
      <c r="T1542" s="8"/>
      <c r="U1542" s="8"/>
      <c r="V1542" s="8"/>
      <c r="W1542" s="7"/>
      <c r="X1542" s="7"/>
      <c r="Y1542" s="7"/>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7"/>
      <c r="BD1542" s="7"/>
      <c r="BE1542" s="7"/>
      <c r="BF1542" s="7"/>
      <c r="BG1542" s="7"/>
    </row>
    <row r="1543" customHeight="1" spans="1:59">
      <c r="A1543" s="9"/>
      <c r="B1543" s="5"/>
      <c r="C1543" s="5"/>
      <c r="D1543" s="5"/>
      <c r="E1543" s="7"/>
      <c r="F1543" s="8"/>
      <c r="G1543" s="8"/>
      <c r="H1543" s="8"/>
      <c r="I1543" s="14"/>
      <c r="J1543" s="14"/>
      <c r="K1543" s="14"/>
      <c r="L1543" s="14"/>
      <c r="M1543" s="7"/>
      <c r="N1543" s="8"/>
      <c r="O1543" s="8"/>
      <c r="P1543" s="8"/>
      <c r="Q1543" s="7"/>
      <c r="R1543" s="16"/>
      <c r="S1543" s="17"/>
      <c r="T1543" s="8"/>
      <c r="U1543" s="8"/>
      <c r="V1543" s="8"/>
      <c r="W1543" s="7"/>
      <c r="X1543" s="7"/>
      <c r="Y1543" s="7"/>
      <c r="Z1543" s="7"/>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7"/>
      <c r="AX1543" s="7"/>
      <c r="AY1543" s="7"/>
      <c r="AZ1543" s="7"/>
      <c r="BA1543" s="7"/>
      <c r="BB1543" s="7"/>
      <c r="BC1543" s="7"/>
      <c r="BD1543" s="7"/>
      <c r="BE1543" s="7"/>
      <c r="BF1543" s="7"/>
      <c r="BG1543" s="7"/>
    </row>
    <row r="1544" customHeight="1" spans="1:59">
      <c r="A1544" s="9"/>
      <c r="B1544" s="5"/>
      <c r="C1544" s="5"/>
      <c r="D1544" s="5"/>
      <c r="E1544" s="7"/>
      <c r="F1544" s="8"/>
      <c r="G1544" s="8"/>
      <c r="H1544" s="8"/>
      <c r="I1544" s="14"/>
      <c r="J1544" s="14"/>
      <c r="K1544" s="14"/>
      <c r="L1544" s="14"/>
      <c r="M1544" s="7"/>
      <c r="N1544" s="8"/>
      <c r="O1544" s="8"/>
      <c r="P1544" s="8"/>
      <c r="Q1544" s="7"/>
      <c r="R1544" s="16"/>
      <c r="S1544" s="17"/>
      <c r="T1544" s="8"/>
      <c r="U1544" s="8"/>
      <c r="V1544" s="8"/>
      <c r="W1544" s="7"/>
      <c r="X1544" s="7"/>
      <c r="Y1544" s="7"/>
      <c r="Z1544" s="7"/>
      <c r="AA1544" s="7"/>
      <c r="AB1544" s="7"/>
      <c r="AC1544" s="7"/>
      <c r="AD1544" s="7"/>
      <c r="AE1544" s="7"/>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7"/>
      <c r="BD1544" s="7"/>
      <c r="BE1544" s="7"/>
      <c r="BF1544" s="7"/>
      <c r="BG1544" s="7"/>
    </row>
    <row r="1545" customHeight="1" spans="1:59">
      <c r="A1545" s="9"/>
      <c r="B1545" s="5"/>
      <c r="C1545" s="5"/>
      <c r="D1545" s="5"/>
      <c r="E1545" s="7"/>
      <c r="F1545" s="8"/>
      <c r="G1545" s="8"/>
      <c r="H1545" s="8"/>
      <c r="I1545" s="14"/>
      <c r="J1545" s="14"/>
      <c r="K1545" s="14"/>
      <c r="L1545" s="14"/>
      <c r="M1545" s="7"/>
      <c r="N1545" s="8"/>
      <c r="O1545" s="8"/>
      <c r="P1545" s="8"/>
      <c r="Q1545" s="7"/>
      <c r="R1545" s="16"/>
      <c r="S1545" s="17"/>
      <c r="T1545" s="8"/>
      <c r="U1545" s="8"/>
      <c r="V1545" s="8"/>
      <c r="W1545" s="7"/>
      <c r="X1545" s="7"/>
      <c r="Y1545" s="7"/>
      <c r="Z1545" s="7"/>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7"/>
      <c r="BD1545" s="7"/>
      <c r="BE1545" s="7"/>
      <c r="BF1545" s="7"/>
      <c r="BG1545" s="7"/>
    </row>
    <row r="1546" customHeight="1" spans="1:59">
      <c r="A1546" s="9"/>
      <c r="B1546" s="5"/>
      <c r="C1546" s="5"/>
      <c r="D1546" s="5"/>
      <c r="E1546" s="7"/>
      <c r="F1546" s="8"/>
      <c r="G1546" s="8"/>
      <c r="H1546" s="8"/>
      <c r="I1546" s="14"/>
      <c r="J1546" s="14"/>
      <c r="K1546" s="14"/>
      <c r="L1546" s="14"/>
      <c r="M1546" s="7"/>
      <c r="N1546" s="8"/>
      <c r="O1546" s="8"/>
      <c r="P1546" s="8"/>
      <c r="Q1546" s="7"/>
      <c r="R1546" s="16"/>
      <c r="S1546" s="17"/>
      <c r="T1546" s="8"/>
      <c r="U1546" s="8"/>
      <c r="V1546" s="8"/>
      <c r="W1546" s="7"/>
      <c r="X1546" s="7"/>
      <c r="Y1546" s="7"/>
      <c r="Z1546" s="7"/>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7"/>
      <c r="AX1546" s="7"/>
      <c r="AY1546" s="7"/>
      <c r="AZ1546" s="7"/>
      <c r="BA1546" s="7"/>
      <c r="BB1546" s="7"/>
      <c r="BC1546" s="7"/>
      <c r="BD1546" s="7"/>
      <c r="BE1546" s="7"/>
      <c r="BF1546" s="7"/>
      <c r="BG1546" s="7"/>
    </row>
    <row r="1547" customHeight="1" spans="1:59">
      <c r="A1547" s="9"/>
      <c r="B1547" s="5"/>
      <c r="C1547" s="5"/>
      <c r="D1547" s="5"/>
      <c r="E1547" s="7"/>
      <c r="F1547" s="8"/>
      <c r="G1547" s="8"/>
      <c r="H1547" s="8"/>
      <c r="I1547" s="14"/>
      <c r="J1547" s="14"/>
      <c r="K1547" s="14"/>
      <c r="L1547" s="14"/>
      <c r="M1547" s="7"/>
      <c r="N1547" s="8"/>
      <c r="O1547" s="8"/>
      <c r="P1547" s="8"/>
      <c r="Q1547" s="7"/>
      <c r="R1547" s="16"/>
      <c r="S1547" s="17"/>
      <c r="T1547" s="8"/>
      <c r="U1547" s="8"/>
      <c r="V1547" s="8"/>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c r="BA1547" s="7"/>
      <c r="BB1547" s="7"/>
      <c r="BC1547" s="7"/>
      <c r="BD1547" s="7"/>
      <c r="BE1547" s="7"/>
      <c r="BF1547" s="7"/>
      <c r="BG1547" s="7"/>
    </row>
    <row r="1548" customHeight="1" spans="1:59">
      <c r="A1548" s="9"/>
      <c r="B1548" s="5"/>
      <c r="C1548" s="5"/>
      <c r="D1548" s="5"/>
      <c r="E1548" s="7"/>
      <c r="F1548" s="8"/>
      <c r="G1548" s="8"/>
      <c r="H1548" s="8"/>
      <c r="I1548" s="14"/>
      <c r="J1548" s="14"/>
      <c r="K1548" s="14"/>
      <c r="L1548" s="14"/>
      <c r="M1548" s="7"/>
      <c r="N1548" s="8"/>
      <c r="O1548" s="8"/>
      <c r="P1548" s="8"/>
      <c r="Q1548" s="7"/>
      <c r="R1548" s="16"/>
      <c r="S1548" s="17"/>
      <c r="T1548" s="8"/>
      <c r="U1548" s="8"/>
      <c r="V1548" s="8"/>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7"/>
      <c r="AX1548" s="7"/>
      <c r="AY1548" s="7"/>
      <c r="AZ1548" s="7"/>
      <c r="BA1548" s="7"/>
      <c r="BB1548" s="7"/>
      <c r="BC1548" s="7"/>
      <c r="BD1548" s="7"/>
      <c r="BE1548" s="7"/>
      <c r="BF1548" s="7"/>
      <c r="BG1548" s="7"/>
    </row>
    <row r="1549" customHeight="1" spans="1:59">
      <c r="A1549" s="9"/>
      <c r="B1549" s="5"/>
      <c r="C1549" s="5"/>
      <c r="D1549" s="5"/>
      <c r="E1549" s="7"/>
      <c r="F1549" s="8"/>
      <c r="G1549" s="8"/>
      <c r="H1549" s="8"/>
      <c r="I1549" s="14"/>
      <c r="J1549" s="14"/>
      <c r="K1549" s="14"/>
      <c r="L1549" s="14"/>
      <c r="M1549" s="7"/>
      <c r="N1549" s="8"/>
      <c r="O1549" s="8"/>
      <c r="P1549" s="8"/>
      <c r="Q1549" s="7"/>
      <c r="R1549" s="16"/>
      <c r="S1549" s="17"/>
      <c r="T1549" s="8"/>
      <c r="U1549" s="8"/>
      <c r="V1549" s="8"/>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7"/>
      <c r="AU1549" s="7"/>
      <c r="AV1549" s="7"/>
      <c r="AW1549" s="7"/>
      <c r="AX1549" s="7"/>
      <c r="AY1549" s="7"/>
      <c r="AZ1549" s="7"/>
      <c r="BA1549" s="7"/>
      <c r="BB1549" s="7"/>
      <c r="BC1549" s="7"/>
      <c r="BD1549" s="7"/>
      <c r="BE1549" s="7"/>
      <c r="BF1549" s="7"/>
      <c r="BG1549" s="7"/>
    </row>
    <row r="1550" customHeight="1" spans="1:59">
      <c r="A1550" s="9"/>
      <c r="B1550" s="5"/>
      <c r="C1550" s="5"/>
      <c r="D1550" s="5"/>
      <c r="E1550" s="7"/>
      <c r="F1550" s="8"/>
      <c r="G1550" s="8"/>
      <c r="H1550" s="8"/>
      <c r="I1550" s="14"/>
      <c r="J1550" s="14"/>
      <c r="K1550" s="14"/>
      <c r="L1550" s="14"/>
      <c r="M1550" s="7"/>
      <c r="N1550" s="8"/>
      <c r="O1550" s="8"/>
      <c r="P1550" s="8"/>
      <c r="Q1550" s="7"/>
      <c r="R1550" s="16"/>
      <c r="S1550" s="17"/>
      <c r="T1550" s="8"/>
      <c r="U1550" s="8"/>
      <c r="V1550" s="8"/>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7"/>
      <c r="BD1550" s="7"/>
      <c r="BE1550" s="7"/>
      <c r="BF1550" s="7"/>
      <c r="BG1550" s="7"/>
    </row>
    <row r="1551" customHeight="1" spans="1:59">
      <c r="A1551" s="9"/>
      <c r="B1551" s="5"/>
      <c r="C1551" s="5"/>
      <c r="D1551" s="5"/>
      <c r="E1551" s="7"/>
      <c r="F1551" s="8"/>
      <c r="G1551" s="8"/>
      <c r="H1551" s="8"/>
      <c r="I1551" s="14"/>
      <c r="J1551" s="14"/>
      <c r="K1551" s="14"/>
      <c r="L1551" s="14"/>
      <c r="M1551" s="7"/>
      <c r="N1551" s="8"/>
      <c r="O1551" s="8"/>
      <c r="P1551" s="8"/>
      <c r="Q1551" s="7"/>
      <c r="R1551" s="16"/>
      <c r="S1551" s="17"/>
      <c r="T1551" s="8"/>
      <c r="U1551" s="8"/>
      <c r="V1551" s="8"/>
      <c r="W1551" s="7"/>
      <c r="X1551" s="7"/>
      <c r="Y1551" s="7"/>
      <c r="Z1551" s="7"/>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7"/>
      <c r="AX1551" s="7"/>
      <c r="AY1551" s="7"/>
      <c r="AZ1551" s="7"/>
      <c r="BA1551" s="7"/>
      <c r="BB1551" s="7"/>
      <c r="BC1551" s="7"/>
      <c r="BD1551" s="7"/>
      <c r="BE1551" s="7"/>
      <c r="BF1551" s="7"/>
      <c r="BG1551" s="7"/>
    </row>
    <row r="1552" customHeight="1" spans="1:59">
      <c r="A1552" s="9"/>
      <c r="B1552" s="5"/>
      <c r="C1552" s="5"/>
      <c r="D1552" s="5"/>
      <c r="E1552" s="7"/>
      <c r="F1552" s="8"/>
      <c r="G1552" s="8"/>
      <c r="H1552" s="8"/>
      <c r="I1552" s="14"/>
      <c r="J1552" s="14"/>
      <c r="K1552" s="14"/>
      <c r="L1552" s="14"/>
      <c r="M1552" s="7"/>
      <c r="N1552" s="8"/>
      <c r="O1552" s="8"/>
      <c r="P1552" s="8"/>
      <c r="Q1552" s="7"/>
      <c r="R1552" s="16"/>
      <c r="S1552" s="17"/>
      <c r="T1552" s="8"/>
      <c r="U1552" s="8"/>
      <c r="V1552" s="8"/>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7"/>
      <c r="AX1552" s="7"/>
      <c r="AY1552" s="7"/>
      <c r="AZ1552" s="7"/>
      <c r="BA1552" s="7"/>
      <c r="BB1552" s="7"/>
      <c r="BC1552" s="7"/>
      <c r="BD1552" s="7"/>
      <c r="BE1552" s="7"/>
      <c r="BF1552" s="7"/>
      <c r="BG1552" s="7"/>
    </row>
    <row r="1553" customHeight="1" spans="1:59">
      <c r="A1553" s="9"/>
      <c r="B1553" s="5"/>
      <c r="C1553" s="5"/>
      <c r="D1553" s="5"/>
      <c r="E1553" s="7"/>
      <c r="F1553" s="8"/>
      <c r="G1553" s="8"/>
      <c r="H1553" s="8"/>
      <c r="I1553" s="14"/>
      <c r="J1553" s="14"/>
      <c r="K1553" s="14"/>
      <c r="L1553" s="14"/>
      <c r="M1553" s="7"/>
      <c r="N1553" s="8"/>
      <c r="O1553" s="8"/>
      <c r="P1553" s="8"/>
      <c r="Q1553" s="7"/>
      <c r="R1553" s="16"/>
      <c r="S1553" s="17"/>
      <c r="T1553" s="8"/>
      <c r="U1553" s="8"/>
      <c r="V1553" s="8"/>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7"/>
      <c r="AX1553" s="7"/>
      <c r="AY1553" s="7"/>
      <c r="AZ1553" s="7"/>
      <c r="BA1553" s="7"/>
      <c r="BB1553" s="7"/>
      <c r="BC1553" s="7"/>
      <c r="BD1553" s="7"/>
      <c r="BE1553" s="7"/>
      <c r="BF1553" s="7"/>
      <c r="BG1553" s="7"/>
    </row>
    <row r="1554" customHeight="1" spans="1:59">
      <c r="A1554" s="9"/>
      <c r="B1554" s="5"/>
      <c r="C1554" s="5"/>
      <c r="D1554" s="5"/>
      <c r="E1554" s="7"/>
      <c r="F1554" s="8"/>
      <c r="G1554" s="8"/>
      <c r="H1554" s="8"/>
      <c r="I1554" s="14"/>
      <c r="J1554" s="14"/>
      <c r="K1554" s="14"/>
      <c r="L1554" s="14"/>
      <c r="M1554" s="7"/>
      <c r="N1554" s="8"/>
      <c r="O1554" s="8"/>
      <c r="P1554" s="8"/>
      <c r="Q1554" s="7"/>
      <c r="R1554" s="16"/>
      <c r="S1554" s="17"/>
      <c r="T1554" s="8"/>
      <c r="U1554" s="8"/>
      <c r="V1554" s="8"/>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7"/>
      <c r="BD1554" s="7"/>
      <c r="BE1554" s="7"/>
      <c r="BF1554" s="7"/>
      <c r="BG1554" s="7"/>
    </row>
    <row r="1555" customHeight="1" spans="1:59">
      <c r="A1555" s="9"/>
      <c r="B1555" s="5"/>
      <c r="C1555" s="5"/>
      <c r="D1555" s="5"/>
      <c r="E1555" s="7"/>
      <c r="F1555" s="8"/>
      <c r="G1555" s="8"/>
      <c r="H1555" s="8"/>
      <c r="I1555" s="14"/>
      <c r="J1555" s="14"/>
      <c r="K1555" s="14"/>
      <c r="L1555" s="14"/>
      <c r="M1555" s="7"/>
      <c r="N1555" s="8"/>
      <c r="O1555" s="8"/>
      <c r="P1555" s="8"/>
      <c r="Q1555" s="7"/>
      <c r="R1555" s="16"/>
      <c r="S1555" s="17"/>
      <c r="T1555" s="8"/>
      <c r="U1555" s="8"/>
      <c r="V1555" s="8"/>
      <c r="W1555" s="7"/>
      <c r="X1555" s="7"/>
      <c r="Y1555" s="7"/>
      <c r="Z1555" s="7"/>
      <c r="AA1555" s="7"/>
      <c r="AB1555" s="7"/>
      <c r="AC1555" s="7"/>
      <c r="AD1555" s="7"/>
      <c r="AE1555" s="7"/>
      <c r="AF1555" s="7"/>
      <c r="AG1555" s="7"/>
      <c r="AH1555" s="7"/>
      <c r="AI1555" s="7"/>
      <c r="AJ1555" s="7"/>
      <c r="AK1555" s="7"/>
      <c r="AL1555" s="7"/>
      <c r="AM1555" s="7"/>
      <c r="AN1555" s="7"/>
      <c r="AO1555" s="7"/>
      <c r="AP1555" s="7"/>
      <c r="AQ1555" s="7"/>
      <c r="AR1555" s="7"/>
      <c r="AS1555" s="7"/>
      <c r="AT1555" s="7"/>
      <c r="AU1555" s="7"/>
      <c r="AV1555" s="7"/>
      <c r="AW1555" s="7"/>
      <c r="AX1555" s="7"/>
      <c r="AY1555" s="7"/>
      <c r="AZ1555" s="7"/>
      <c r="BA1555" s="7"/>
      <c r="BB1555" s="7"/>
      <c r="BC1555" s="7"/>
      <c r="BD1555" s="7"/>
      <c r="BE1555" s="7"/>
      <c r="BF1555" s="7"/>
      <c r="BG1555" s="7"/>
    </row>
    <row r="1556" customHeight="1" spans="1:59">
      <c r="A1556" s="9"/>
      <c r="B1556" s="5"/>
      <c r="C1556" s="5"/>
      <c r="D1556" s="5"/>
      <c r="E1556" s="7"/>
      <c r="F1556" s="8"/>
      <c r="G1556" s="8"/>
      <c r="H1556" s="8"/>
      <c r="I1556" s="14"/>
      <c r="J1556" s="14"/>
      <c r="K1556" s="14"/>
      <c r="L1556" s="14"/>
      <c r="M1556" s="7"/>
      <c r="N1556" s="8"/>
      <c r="O1556" s="8"/>
      <c r="P1556" s="8"/>
      <c r="Q1556" s="7"/>
      <c r="R1556" s="16"/>
      <c r="S1556" s="17"/>
      <c r="T1556" s="8"/>
      <c r="U1556" s="8"/>
      <c r="V1556" s="8"/>
      <c r="W1556" s="7"/>
      <c r="X1556" s="7"/>
      <c r="Y1556" s="7"/>
      <c r="Z1556" s="7"/>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7"/>
      <c r="BD1556" s="7"/>
      <c r="BE1556" s="7"/>
      <c r="BF1556" s="7"/>
      <c r="BG1556" s="7"/>
    </row>
    <row r="1557" customHeight="1" spans="1:59">
      <c r="A1557" s="9"/>
      <c r="B1557" s="5"/>
      <c r="C1557" s="5"/>
      <c r="D1557" s="5"/>
      <c r="E1557" s="7"/>
      <c r="F1557" s="8"/>
      <c r="G1557" s="8"/>
      <c r="H1557" s="8"/>
      <c r="I1557" s="14"/>
      <c r="J1557" s="14"/>
      <c r="K1557" s="14"/>
      <c r="L1557" s="14"/>
      <c r="M1557" s="7"/>
      <c r="N1557" s="8"/>
      <c r="O1557" s="8"/>
      <c r="P1557" s="8"/>
      <c r="Q1557" s="7"/>
      <c r="R1557" s="16"/>
      <c r="S1557" s="17"/>
      <c r="T1557" s="8"/>
      <c r="U1557" s="8"/>
      <c r="V1557" s="8"/>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7"/>
      <c r="BD1557" s="7"/>
      <c r="BE1557" s="7"/>
      <c r="BF1557" s="7"/>
      <c r="BG1557" s="7"/>
    </row>
    <row r="1558" customHeight="1" spans="1:59">
      <c r="A1558" s="9"/>
      <c r="B1558" s="5"/>
      <c r="C1558" s="5"/>
      <c r="D1558" s="5"/>
      <c r="E1558" s="7"/>
      <c r="F1558" s="8"/>
      <c r="G1558" s="8"/>
      <c r="H1558" s="8"/>
      <c r="I1558" s="14"/>
      <c r="J1558" s="14"/>
      <c r="K1558" s="14"/>
      <c r="L1558" s="14"/>
      <c r="M1558" s="7"/>
      <c r="N1558" s="8"/>
      <c r="O1558" s="8"/>
      <c r="P1558" s="8"/>
      <c r="Q1558" s="7"/>
      <c r="R1558" s="16"/>
      <c r="S1558" s="17"/>
      <c r="T1558" s="8"/>
      <c r="U1558" s="8"/>
      <c r="V1558" s="8"/>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7"/>
      <c r="AX1558" s="7"/>
      <c r="AY1558" s="7"/>
      <c r="AZ1558" s="7"/>
      <c r="BA1558" s="7"/>
      <c r="BB1558" s="7"/>
      <c r="BC1558" s="7"/>
      <c r="BD1558" s="7"/>
      <c r="BE1558" s="7"/>
      <c r="BF1558" s="7"/>
      <c r="BG1558" s="7"/>
    </row>
    <row r="1559" customHeight="1" spans="1:59">
      <c r="A1559" s="9"/>
      <c r="B1559" s="5"/>
      <c r="C1559" s="5"/>
      <c r="D1559" s="5"/>
      <c r="E1559" s="7"/>
      <c r="F1559" s="8"/>
      <c r="G1559" s="8"/>
      <c r="H1559" s="8"/>
      <c r="I1559" s="14"/>
      <c r="J1559" s="14"/>
      <c r="K1559" s="14"/>
      <c r="L1559" s="14"/>
      <c r="M1559" s="7"/>
      <c r="N1559" s="8"/>
      <c r="O1559" s="8"/>
      <c r="P1559" s="8"/>
      <c r="Q1559" s="7"/>
      <c r="R1559" s="16"/>
      <c r="S1559" s="17"/>
      <c r="T1559" s="8"/>
      <c r="U1559" s="8"/>
      <c r="V1559" s="8"/>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7"/>
      <c r="AX1559" s="7"/>
      <c r="AY1559" s="7"/>
      <c r="AZ1559" s="7"/>
      <c r="BA1559" s="7"/>
      <c r="BB1559" s="7"/>
      <c r="BC1559" s="7"/>
      <c r="BD1559" s="7"/>
      <c r="BE1559" s="7"/>
      <c r="BF1559" s="7"/>
      <c r="BG1559" s="7"/>
    </row>
    <row r="1560" customHeight="1" spans="1:59">
      <c r="A1560" s="9"/>
      <c r="B1560" s="5"/>
      <c r="C1560" s="5"/>
      <c r="D1560" s="5"/>
      <c r="E1560" s="7"/>
      <c r="F1560" s="8"/>
      <c r="G1560" s="8"/>
      <c r="H1560" s="8"/>
      <c r="I1560" s="14"/>
      <c r="J1560" s="14"/>
      <c r="K1560" s="14"/>
      <c r="L1560" s="14"/>
      <c r="M1560" s="7"/>
      <c r="N1560" s="8"/>
      <c r="O1560" s="8"/>
      <c r="P1560" s="8"/>
      <c r="Q1560" s="7"/>
      <c r="R1560" s="16"/>
      <c r="S1560" s="17"/>
      <c r="T1560" s="8"/>
      <c r="U1560" s="8"/>
      <c r="V1560" s="8"/>
      <c r="W1560" s="7"/>
      <c r="X1560" s="7"/>
      <c r="Y1560" s="7"/>
      <c r="Z1560" s="7"/>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7"/>
      <c r="AX1560" s="7"/>
      <c r="AY1560" s="7"/>
      <c r="AZ1560" s="7"/>
      <c r="BA1560" s="7"/>
      <c r="BB1560" s="7"/>
      <c r="BC1560" s="7"/>
      <c r="BD1560" s="7"/>
      <c r="BE1560" s="7"/>
      <c r="BF1560" s="7"/>
      <c r="BG1560" s="7"/>
    </row>
    <row r="1561" customHeight="1" spans="1:59">
      <c r="A1561" s="9"/>
      <c r="B1561" s="5"/>
      <c r="C1561" s="5"/>
      <c r="D1561" s="5"/>
      <c r="E1561" s="7"/>
      <c r="F1561" s="8"/>
      <c r="G1561" s="8"/>
      <c r="H1561" s="8"/>
      <c r="I1561" s="14"/>
      <c r="J1561" s="14"/>
      <c r="K1561" s="14"/>
      <c r="L1561" s="14"/>
      <c r="M1561" s="7"/>
      <c r="N1561" s="8"/>
      <c r="O1561" s="8"/>
      <c r="P1561" s="8"/>
      <c r="Q1561" s="7"/>
      <c r="R1561" s="16"/>
      <c r="S1561" s="17"/>
      <c r="T1561" s="8"/>
      <c r="U1561" s="8"/>
      <c r="V1561" s="8"/>
      <c r="W1561" s="7"/>
      <c r="X1561" s="7"/>
      <c r="Y1561" s="7"/>
      <c r="Z1561" s="7"/>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7"/>
      <c r="AX1561" s="7"/>
      <c r="AY1561" s="7"/>
      <c r="AZ1561" s="7"/>
      <c r="BA1561" s="7"/>
      <c r="BB1561" s="7"/>
      <c r="BC1561" s="7"/>
      <c r="BD1561" s="7"/>
      <c r="BE1561" s="7"/>
      <c r="BF1561" s="7"/>
      <c r="BG1561" s="7"/>
    </row>
    <row r="1562" customHeight="1" spans="1:59">
      <c r="A1562" s="9"/>
      <c r="B1562" s="5"/>
      <c r="C1562" s="5"/>
      <c r="D1562" s="5"/>
      <c r="E1562" s="7"/>
      <c r="F1562" s="8"/>
      <c r="G1562" s="8"/>
      <c r="H1562" s="8"/>
      <c r="I1562" s="14"/>
      <c r="J1562" s="14"/>
      <c r="K1562" s="14"/>
      <c r="L1562" s="14"/>
      <c r="M1562" s="7"/>
      <c r="N1562" s="8"/>
      <c r="O1562" s="8"/>
      <c r="P1562" s="8"/>
      <c r="Q1562" s="7"/>
      <c r="R1562" s="16"/>
      <c r="S1562" s="17"/>
      <c r="T1562" s="8"/>
      <c r="U1562" s="8"/>
      <c r="V1562" s="8"/>
      <c r="W1562" s="7"/>
      <c r="X1562" s="7"/>
      <c r="Y1562" s="7"/>
      <c r="Z1562" s="7"/>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7"/>
      <c r="AX1562" s="7"/>
      <c r="AY1562" s="7"/>
      <c r="AZ1562" s="7"/>
      <c r="BA1562" s="7"/>
      <c r="BB1562" s="7"/>
      <c r="BC1562" s="7"/>
      <c r="BD1562" s="7"/>
      <c r="BE1562" s="7"/>
      <c r="BF1562" s="7"/>
      <c r="BG1562" s="7"/>
    </row>
    <row r="1563" customHeight="1" spans="1:59">
      <c r="A1563" s="9"/>
      <c r="B1563" s="5"/>
      <c r="C1563" s="5"/>
      <c r="D1563" s="5"/>
      <c r="E1563" s="7"/>
      <c r="F1563" s="8"/>
      <c r="G1563" s="8"/>
      <c r="H1563" s="8"/>
      <c r="I1563" s="14"/>
      <c r="J1563" s="14"/>
      <c r="K1563" s="14"/>
      <c r="L1563" s="14"/>
      <c r="M1563" s="7"/>
      <c r="N1563" s="8"/>
      <c r="O1563" s="8"/>
      <c r="P1563" s="8"/>
      <c r="Q1563" s="7"/>
      <c r="R1563" s="16"/>
      <c r="S1563" s="17"/>
      <c r="T1563" s="8"/>
      <c r="U1563" s="8"/>
      <c r="V1563" s="8"/>
      <c r="W1563" s="7"/>
      <c r="X1563" s="7"/>
      <c r="Y1563" s="7"/>
      <c r="Z1563" s="7"/>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7"/>
      <c r="AX1563" s="7"/>
      <c r="AY1563" s="7"/>
      <c r="AZ1563" s="7"/>
      <c r="BA1563" s="7"/>
      <c r="BB1563" s="7"/>
      <c r="BC1563" s="7"/>
      <c r="BD1563" s="7"/>
      <c r="BE1563" s="7"/>
      <c r="BF1563" s="7"/>
      <c r="BG1563" s="7"/>
    </row>
    <row r="1564" customHeight="1" spans="1:59">
      <c r="A1564" s="9"/>
      <c r="B1564" s="5"/>
      <c r="C1564" s="5"/>
      <c r="D1564" s="5"/>
      <c r="E1564" s="7"/>
      <c r="F1564" s="8"/>
      <c r="G1564" s="8"/>
      <c r="H1564" s="8"/>
      <c r="I1564" s="14"/>
      <c r="J1564" s="14"/>
      <c r="K1564" s="14"/>
      <c r="L1564" s="14"/>
      <c r="M1564" s="7"/>
      <c r="N1564" s="8"/>
      <c r="O1564" s="8"/>
      <c r="P1564" s="8"/>
      <c r="Q1564" s="7"/>
      <c r="R1564" s="16"/>
      <c r="S1564" s="17"/>
      <c r="T1564" s="8"/>
      <c r="U1564" s="8"/>
      <c r="V1564" s="8"/>
      <c r="W1564" s="7"/>
      <c r="X1564" s="7"/>
      <c r="Y1564" s="7"/>
      <c r="Z1564" s="7"/>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7"/>
      <c r="AX1564" s="7"/>
      <c r="AY1564" s="7"/>
      <c r="AZ1564" s="7"/>
      <c r="BA1564" s="7"/>
      <c r="BB1564" s="7"/>
      <c r="BC1564" s="7"/>
      <c r="BD1564" s="7"/>
      <c r="BE1564" s="7"/>
      <c r="BF1564" s="7"/>
      <c r="BG1564" s="7"/>
    </row>
    <row r="1565" customHeight="1" spans="1:59">
      <c r="A1565" s="9"/>
      <c r="B1565" s="5"/>
      <c r="C1565" s="5"/>
      <c r="D1565" s="5"/>
      <c r="E1565" s="7"/>
      <c r="F1565" s="8"/>
      <c r="G1565" s="8"/>
      <c r="H1565" s="8"/>
      <c r="I1565" s="14"/>
      <c r="J1565" s="14"/>
      <c r="K1565" s="14"/>
      <c r="L1565" s="14"/>
      <c r="M1565" s="7"/>
      <c r="N1565" s="8"/>
      <c r="O1565" s="8"/>
      <c r="P1565" s="8"/>
      <c r="Q1565" s="7"/>
      <c r="R1565" s="16"/>
      <c r="S1565" s="17"/>
      <c r="T1565" s="8"/>
      <c r="U1565" s="8"/>
      <c r="V1565" s="8"/>
      <c r="W1565" s="7"/>
      <c r="X1565" s="7"/>
      <c r="Y1565" s="7"/>
      <c r="Z1565" s="7"/>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7"/>
      <c r="AX1565" s="7"/>
      <c r="AY1565" s="7"/>
      <c r="AZ1565" s="7"/>
      <c r="BA1565" s="7"/>
      <c r="BB1565" s="7"/>
      <c r="BC1565" s="7"/>
      <c r="BD1565" s="7"/>
      <c r="BE1565" s="7"/>
      <c r="BF1565" s="7"/>
      <c r="BG1565" s="7"/>
    </row>
    <row r="1566" customHeight="1" spans="1:59">
      <c r="A1566" s="9"/>
      <c r="B1566" s="5"/>
      <c r="C1566" s="5"/>
      <c r="D1566" s="5"/>
      <c r="E1566" s="7"/>
      <c r="F1566" s="8"/>
      <c r="G1566" s="8"/>
      <c r="H1566" s="8"/>
      <c r="I1566" s="14"/>
      <c r="J1566" s="14"/>
      <c r="K1566" s="14"/>
      <c r="L1566" s="14"/>
      <c r="M1566" s="7"/>
      <c r="N1566" s="8"/>
      <c r="O1566" s="8"/>
      <c r="P1566" s="8"/>
      <c r="Q1566" s="7"/>
      <c r="R1566" s="16"/>
      <c r="S1566" s="17"/>
      <c r="T1566" s="8"/>
      <c r="U1566" s="8"/>
      <c r="V1566" s="8"/>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7"/>
      <c r="AY1566" s="7"/>
      <c r="AZ1566" s="7"/>
      <c r="BA1566" s="7"/>
      <c r="BB1566" s="7"/>
      <c r="BC1566" s="7"/>
      <c r="BD1566" s="7"/>
      <c r="BE1566" s="7"/>
      <c r="BF1566" s="7"/>
      <c r="BG1566" s="7"/>
    </row>
    <row r="1567" customHeight="1" spans="1:59">
      <c r="A1567" s="9"/>
      <c r="B1567" s="5"/>
      <c r="C1567" s="5"/>
      <c r="D1567" s="5"/>
      <c r="E1567" s="7"/>
      <c r="F1567" s="8"/>
      <c r="G1567" s="8"/>
      <c r="H1567" s="8"/>
      <c r="I1567" s="14"/>
      <c r="J1567" s="14"/>
      <c r="K1567" s="14"/>
      <c r="L1567" s="14"/>
      <c r="M1567" s="7"/>
      <c r="N1567" s="8"/>
      <c r="O1567" s="8"/>
      <c r="P1567" s="8"/>
      <c r="Q1567" s="7"/>
      <c r="R1567" s="16"/>
      <c r="S1567" s="17"/>
      <c r="T1567" s="8"/>
      <c r="U1567" s="8"/>
      <c r="V1567" s="8"/>
      <c r="W1567" s="7"/>
      <c r="X1567" s="7"/>
      <c r="Y1567" s="7"/>
      <c r="Z1567" s="7"/>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7"/>
      <c r="AX1567" s="7"/>
      <c r="AY1567" s="7"/>
      <c r="AZ1567" s="7"/>
      <c r="BA1567" s="7"/>
      <c r="BB1567" s="7"/>
      <c r="BC1567" s="7"/>
      <c r="BD1567" s="7"/>
      <c r="BE1567" s="7"/>
      <c r="BF1567" s="7"/>
      <c r="BG1567" s="7"/>
    </row>
    <row r="1568" customHeight="1" spans="1:59">
      <c r="A1568" s="9"/>
      <c r="B1568" s="5"/>
      <c r="C1568" s="5"/>
      <c r="D1568" s="5"/>
      <c r="E1568" s="7"/>
      <c r="F1568" s="8"/>
      <c r="G1568" s="8"/>
      <c r="H1568" s="8"/>
      <c r="I1568" s="14"/>
      <c r="J1568" s="14"/>
      <c r="K1568" s="14"/>
      <c r="L1568" s="14"/>
      <c r="M1568" s="7"/>
      <c r="N1568" s="8"/>
      <c r="O1568" s="8"/>
      <c r="P1568" s="8"/>
      <c r="Q1568" s="7"/>
      <c r="R1568" s="16"/>
      <c r="S1568" s="17"/>
      <c r="T1568" s="8"/>
      <c r="U1568" s="8"/>
      <c r="V1568" s="8"/>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7"/>
      <c r="BF1568" s="7"/>
      <c r="BG1568" s="7"/>
    </row>
    <row r="1569" customHeight="1" spans="1:59">
      <c r="A1569" s="9"/>
      <c r="B1569" s="5"/>
      <c r="C1569" s="5"/>
      <c r="D1569" s="5"/>
      <c r="E1569" s="7"/>
      <c r="F1569" s="8"/>
      <c r="G1569" s="8"/>
      <c r="H1569" s="8"/>
      <c r="I1569" s="14"/>
      <c r="J1569" s="14"/>
      <c r="K1569" s="14"/>
      <c r="L1569" s="14"/>
      <c r="M1569" s="7"/>
      <c r="N1569" s="8"/>
      <c r="O1569" s="8"/>
      <c r="P1569" s="8"/>
      <c r="Q1569" s="7"/>
      <c r="R1569" s="16"/>
      <c r="S1569" s="17"/>
      <c r="T1569" s="8"/>
      <c r="U1569" s="8"/>
      <c r="V1569" s="8"/>
      <c r="W1569" s="7"/>
      <c r="X1569" s="7"/>
      <c r="Y1569" s="7"/>
      <c r="Z1569" s="7"/>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7"/>
      <c r="AX1569" s="7"/>
      <c r="AY1569" s="7"/>
      <c r="AZ1569" s="7"/>
      <c r="BA1569" s="7"/>
      <c r="BB1569" s="7"/>
      <c r="BC1569" s="7"/>
      <c r="BD1569" s="7"/>
      <c r="BE1569" s="7"/>
      <c r="BF1569" s="7"/>
      <c r="BG1569" s="7"/>
    </row>
    <row r="1570" customHeight="1" spans="1:59">
      <c r="A1570" s="9"/>
      <c r="B1570" s="5"/>
      <c r="C1570" s="5"/>
      <c r="D1570" s="5"/>
      <c r="E1570" s="7"/>
      <c r="F1570" s="8"/>
      <c r="G1570" s="8"/>
      <c r="H1570" s="8"/>
      <c r="I1570" s="14"/>
      <c r="J1570" s="14"/>
      <c r="K1570" s="14"/>
      <c r="L1570" s="14"/>
      <c r="M1570" s="7"/>
      <c r="N1570" s="8"/>
      <c r="O1570" s="8"/>
      <c r="P1570" s="8"/>
      <c r="Q1570" s="7"/>
      <c r="R1570" s="16"/>
      <c r="S1570" s="17"/>
      <c r="T1570" s="8"/>
      <c r="U1570" s="8"/>
      <c r="V1570" s="8"/>
      <c r="W1570" s="7"/>
      <c r="X1570" s="7"/>
      <c r="Y1570" s="7"/>
      <c r="Z1570" s="7"/>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7"/>
      <c r="AX1570" s="7"/>
      <c r="AY1570" s="7"/>
      <c r="AZ1570" s="7"/>
      <c r="BA1570" s="7"/>
      <c r="BB1570" s="7"/>
      <c r="BC1570" s="7"/>
      <c r="BD1570" s="7"/>
      <c r="BE1570" s="7"/>
      <c r="BF1570" s="7"/>
      <c r="BG1570" s="7"/>
    </row>
    <row r="1571" customHeight="1" spans="1:59">
      <c r="A1571" s="9"/>
      <c r="B1571" s="5"/>
      <c r="C1571" s="5"/>
      <c r="D1571" s="5"/>
      <c r="E1571" s="7"/>
      <c r="F1571" s="8"/>
      <c r="G1571" s="8"/>
      <c r="H1571" s="8"/>
      <c r="I1571" s="14"/>
      <c r="J1571" s="14"/>
      <c r="K1571" s="14"/>
      <c r="L1571" s="14"/>
      <c r="M1571" s="7"/>
      <c r="N1571" s="8"/>
      <c r="O1571" s="8"/>
      <c r="P1571" s="8"/>
      <c r="Q1571" s="7"/>
      <c r="R1571" s="16"/>
      <c r="S1571" s="17"/>
      <c r="T1571" s="8"/>
      <c r="U1571" s="8"/>
      <c r="V1571" s="8"/>
      <c r="W1571" s="7"/>
      <c r="X1571" s="7"/>
      <c r="Y1571" s="7"/>
      <c r="Z1571" s="7"/>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7"/>
      <c r="AX1571" s="7"/>
      <c r="AY1571" s="7"/>
      <c r="AZ1571" s="7"/>
      <c r="BA1571" s="7"/>
      <c r="BB1571" s="7"/>
      <c r="BC1571" s="7"/>
      <c r="BD1571" s="7"/>
      <c r="BE1571" s="7"/>
      <c r="BF1571" s="7"/>
      <c r="BG1571" s="7"/>
    </row>
    <row r="1572" customHeight="1" spans="1:59">
      <c r="A1572" s="9"/>
      <c r="B1572" s="5"/>
      <c r="C1572" s="5"/>
      <c r="D1572" s="5"/>
      <c r="E1572" s="7"/>
      <c r="F1572" s="8"/>
      <c r="G1572" s="8"/>
      <c r="H1572" s="8"/>
      <c r="I1572" s="14"/>
      <c r="J1572" s="14"/>
      <c r="K1572" s="14"/>
      <c r="L1572" s="14"/>
      <c r="M1572" s="7"/>
      <c r="N1572" s="8"/>
      <c r="O1572" s="8"/>
      <c r="P1572" s="8"/>
      <c r="Q1572" s="7"/>
      <c r="R1572" s="16"/>
      <c r="S1572" s="17"/>
      <c r="T1572" s="8"/>
      <c r="U1572" s="8"/>
      <c r="V1572" s="8"/>
      <c r="W1572" s="7"/>
      <c r="X1572" s="7"/>
      <c r="Y1572" s="7"/>
      <c r="Z1572" s="7"/>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7"/>
      <c r="AX1572" s="7"/>
      <c r="AY1572" s="7"/>
      <c r="AZ1572" s="7"/>
      <c r="BA1572" s="7"/>
      <c r="BB1572" s="7"/>
      <c r="BC1572" s="7"/>
      <c r="BD1572" s="7"/>
      <c r="BE1572" s="7"/>
      <c r="BF1572" s="7"/>
      <c r="BG1572" s="7"/>
    </row>
    <row r="1573" customHeight="1" spans="1:59">
      <c r="A1573" s="9"/>
      <c r="B1573" s="5"/>
      <c r="C1573" s="5"/>
      <c r="D1573" s="5"/>
      <c r="E1573" s="7"/>
      <c r="F1573" s="8"/>
      <c r="G1573" s="8"/>
      <c r="H1573" s="8"/>
      <c r="I1573" s="14"/>
      <c r="J1573" s="14"/>
      <c r="K1573" s="14"/>
      <c r="L1573" s="14"/>
      <c r="M1573" s="7"/>
      <c r="N1573" s="8"/>
      <c r="O1573" s="8"/>
      <c r="P1573" s="8"/>
      <c r="Q1573" s="7"/>
      <c r="R1573" s="16"/>
      <c r="S1573" s="17"/>
      <c r="T1573" s="8"/>
      <c r="U1573" s="8"/>
      <c r="V1573" s="8"/>
      <c r="W1573" s="7"/>
      <c r="X1573" s="7"/>
      <c r="Y1573" s="7"/>
      <c r="Z1573" s="7"/>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7"/>
      <c r="AX1573" s="7"/>
      <c r="AY1573" s="7"/>
      <c r="AZ1573" s="7"/>
      <c r="BA1573" s="7"/>
      <c r="BB1573" s="7"/>
      <c r="BC1573" s="7"/>
      <c r="BD1573" s="7"/>
      <c r="BE1573" s="7"/>
      <c r="BF1573" s="7"/>
      <c r="BG1573" s="7"/>
    </row>
    <row r="1574" customHeight="1" spans="1:59">
      <c r="A1574" s="9"/>
      <c r="B1574" s="5"/>
      <c r="C1574" s="5"/>
      <c r="D1574" s="5"/>
      <c r="E1574" s="7"/>
      <c r="F1574" s="8"/>
      <c r="G1574" s="8"/>
      <c r="H1574" s="8"/>
      <c r="I1574" s="14"/>
      <c r="J1574" s="14"/>
      <c r="K1574" s="14"/>
      <c r="L1574" s="14"/>
      <c r="M1574" s="7"/>
      <c r="N1574" s="8"/>
      <c r="O1574" s="8"/>
      <c r="P1574" s="8"/>
      <c r="Q1574" s="7"/>
      <c r="R1574" s="16"/>
      <c r="S1574" s="17"/>
      <c r="T1574" s="8"/>
      <c r="U1574" s="8"/>
      <c r="V1574" s="8"/>
      <c r="W1574" s="7"/>
      <c r="X1574" s="7"/>
      <c r="Y1574" s="7"/>
      <c r="Z1574" s="7"/>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7"/>
      <c r="AX1574" s="7"/>
      <c r="AY1574" s="7"/>
      <c r="AZ1574" s="7"/>
      <c r="BA1574" s="7"/>
      <c r="BB1574" s="7"/>
      <c r="BC1574" s="7"/>
      <c r="BD1574" s="7"/>
      <c r="BE1574" s="7"/>
      <c r="BF1574" s="7"/>
      <c r="BG1574" s="7"/>
    </row>
    <row r="1575" customHeight="1" spans="1:59">
      <c r="A1575" s="9"/>
      <c r="B1575" s="5"/>
      <c r="C1575" s="5"/>
      <c r="D1575" s="5"/>
      <c r="E1575" s="7"/>
      <c r="F1575" s="8"/>
      <c r="G1575" s="8"/>
      <c r="H1575" s="8"/>
      <c r="I1575" s="14"/>
      <c r="J1575" s="14"/>
      <c r="K1575" s="14"/>
      <c r="L1575" s="14"/>
      <c r="M1575" s="7"/>
      <c r="N1575" s="8"/>
      <c r="O1575" s="8"/>
      <c r="P1575" s="8"/>
      <c r="Q1575" s="7"/>
      <c r="R1575" s="16"/>
      <c r="S1575" s="17"/>
      <c r="T1575" s="8"/>
      <c r="U1575" s="8"/>
      <c r="V1575" s="8"/>
      <c r="W1575" s="7"/>
      <c r="X1575" s="7"/>
      <c r="Y1575" s="7"/>
      <c r="Z1575" s="7"/>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7"/>
      <c r="AX1575" s="7"/>
      <c r="AY1575" s="7"/>
      <c r="AZ1575" s="7"/>
      <c r="BA1575" s="7"/>
      <c r="BB1575" s="7"/>
      <c r="BC1575" s="7"/>
      <c r="BD1575" s="7"/>
      <c r="BE1575" s="7"/>
      <c r="BF1575" s="7"/>
      <c r="BG1575" s="7"/>
    </row>
    <row r="1576" customHeight="1" spans="1:59">
      <c r="A1576" s="9"/>
      <c r="B1576" s="5"/>
      <c r="C1576" s="5"/>
      <c r="D1576" s="5"/>
      <c r="E1576" s="7"/>
      <c r="F1576" s="8"/>
      <c r="G1576" s="8"/>
      <c r="H1576" s="8"/>
      <c r="I1576" s="14"/>
      <c r="J1576" s="14"/>
      <c r="K1576" s="14"/>
      <c r="L1576" s="14"/>
      <c r="M1576" s="7"/>
      <c r="N1576" s="8"/>
      <c r="O1576" s="8"/>
      <c r="P1576" s="8"/>
      <c r="Q1576" s="7"/>
      <c r="R1576" s="16"/>
      <c r="S1576" s="17"/>
      <c r="T1576" s="8"/>
      <c r="U1576" s="8"/>
      <c r="V1576" s="8"/>
      <c r="W1576" s="7"/>
      <c r="X1576" s="7"/>
      <c r="Y1576" s="7"/>
      <c r="Z1576" s="7"/>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7"/>
      <c r="AX1576" s="7"/>
      <c r="AY1576" s="7"/>
      <c r="AZ1576" s="7"/>
      <c r="BA1576" s="7"/>
      <c r="BB1576" s="7"/>
      <c r="BC1576" s="7"/>
      <c r="BD1576" s="7"/>
      <c r="BE1576" s="7"/>
      <c r="BF1576" s="7"/>
      <c r="BG1576" s="7"/>
    </row>
    <row r="1577" customHeight="1" spans="1:59">
      <c r="A1577" s="9"/>
      <c r="B1577" s="5"/>
      <c r="C1577" s="5"/>
      <c r="D1577" s="5"/>
      <c r="E1577" s="7"/>
      <c r="F1577" s="8"/>
      <c r="G1577" s="8"/>
      <c r="H1577" s="8"/>
      <c r="I1577" s="14"/>
      <c r="J1577" s="14"/>
      <c r="K1577" s="14"/>
      <c r="L1577" s="14"/>
      <c r="M1577" s="7"/>
      <c r="N1577" s="8"/>
      <c r="O1577" s="8"/>
      <c r="P1577" s="8"/>
      <c r="Q1577" s="7"/>
      <c r="R1577" s="16"/>
      <c r="S1577" s="17"/>
      <c r="T1577" s="8"/>
      <c r="U1577" s="8"/>
      <c r="V1577" s="8"/>
      <c r="W1577" s="7"/>
      <c r="X1577" s="7"/>
      <c r="Y1577" s="7"/>
      <c r="Z1577" s="7"/>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7"/>
      <c r="AX1577" s="7"/>
      <c r="AY1577" s="7"/>
      <c r="AZ1577" s="7"/>
      <c r="BA1577" s="7"/>
      <c r="BB1577" s="7"/>
      <c r="BC1577" s="7"/>
      <c r="BD1577" s="7"/>
      <c r="BE1577" s="7"/>
      <c r="BF1577" s="7"/>
      <c r="BG1577" s="7"/>
    </row>
    <row r="1578" customHeight="1" spans="1:59">
      <c r="A1578" s="9"/>
      <c r="B1578" s="5"/>
      <c r="C1578" s="5"/>
      <c r="D1578" s="5"/>
      <c r="E1578" s="7"/>
      <c r="F1578" s="8"/>
      <c r="G1578" s="8"/>
      <c r="H1578" s="8"/>
      <c r="I1578" s="14"/>
      <c r="J1578" s="14"/>
      <c r="K1578" s="14"/>
      <c r="L1578" s="14"/>
      <c r="M1578" s="7"/>
      <c r="N1578" s="8"/>
      <c r="O1578" s="8"/>
      <c r="P1578" s="8"/>
      <c r="Q1578" s="7"/>
      <c r="R1578" s="16"/>
      <c r="S1578" s="17"/>
      <c r="T1578" s="8"/>
      <c r="U1578" s="8"/>
      <c r="V1578" s="8"/>
      <c r="W1578" s="7"/>
      <c r="X1578" s="7"/>
      <c r="Y1578" s="7"/>
      <c r="Z1578" s="7"/>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7"/>
      <c r="AX1578" s="7"/>
      <c r="AY1578" s="7"/>
      <c r="AZ1578" s="7"/>
      <c r="BA1578" s="7"/>
      <c r="BB1578" s="7"/>
      <c r="BC1578" s="7"/>
      <c r="BD1578" s="7"/>
      <c r="BE1578" s="7"/>
      <c r="BF1578" s="7"/>
      <c r="BG1578" s="7"/>
    </row>
    <row r="1579" customHeight="1" spans="1:59">
      <c r="A1579" s="9"/>
      <c r="B1579" s="5"/>
      <c r="C1579" s="5"/>
      <c r="D1579" s="5"/>
      <c r="E1579" s="7"/>
      <c r="F1579" s="8"/>
      <c r="G1579" s="8"/>
      <c r="H1579" s="8"/>
      <c r="I1579" s="14"/>
      <c r="J1579" s="14"/>
      <c r="K1579" s="14"/>
      <c r="L1579" s="14"/>
      <c r="M1579" s="7"/>
      <c r="N1579" s="8"/>
      <c r="O1579" s="8"/>
      <c r="P1579" s="8"/>
      <c r="Q1579" s="7"/>
      <c r="R1579" s="16"/>
      <c r="S1579" s="17"/>
      <c r="T1579" s="8"/>
      <c r="U1579" s="8"/>
      <c r="V1579" s="8"/>
      <c r="W1579" s="7"/>
      <c r="X1579" s="7"/>
      <c r="Y1579" s="7"/>
      <c r="Z1579" s="7"/>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7"/>
      <c r="AX1579" s="7"/>
      <c r="AY1579" s="7"/>
      <c r="AZ1579" s="7"/>
      <c r="BA1579" s="7"/>
      <c r="BB1579" s="7"/>
      <c r="BC1579" s="7"/>
      <c r="BD1579" s="7"/>
      <c r="BE1579" s="7"/>
      <c r="BF1579" s="7"/>
      <c r="BG1579" s="7"/>
    </row>
    <row r="1580" customHeight="1" spans="1:59">
      <c r="A1580" s="9"/>
      <c r="B1580" s="5"/>
      <c r="C1580" s="5"/>
      <c r="D1580" s="5"/>
      <c r="E1580" s="7"/>
      <c r="F1580" s="8"/>
      <c r="G1580" s="8"/>
      <c r="H1580" s="8"/>
      <c r="I1580" s="14"/>
      <c r="J1580" s="14"/>
      <c r="K1580" s="14"/>
      <c r="L1580" s="14"/>
      <c r="M1580" s="7"/>
      <c r="N1580" s="8"/>
      <c r="O1580" s="8"/>
      <c r="P1580" s="8"/>
      <c r="Q1580" s="7"/>
      <c r="R1580" s="16"/>
      <c r="S1580" s="17"/>
      <c r="T1580" s="8"/>
      <c r="U1580" s="8"/>
      <c r="V1580" s="8"/>
      <c r="W1580" s="7"/>
      <c r="X1580" s="7"/>
      <c r="Y1580" s="7"/>
      <c r="Z1580" s="7"/>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7"/>
      <c r="AX1580" s="7"/>
      <c r="AY1580" s="7"/>
      <c r="AZ1580" s="7"/>
      <c r="BA1580" s="7"/>
      <c r="BB1580" s="7"/>
      <c r="BC1580" s="7"/>
      <c r="BD1580" s="7"/>
      <c r="BE1580" s="7"/>
      <c r="BF1580" s="7"/>
      <c r="BG1580" s="7"/>
    </row>
    <row r="1581" customHeight="1" spans="1:59">
      <c r="A1581" s="9"/>
      <c r="B1581" s="5"/>
      <c r="C1581" s="5"/>
      <c r="D1581" s="5"/>
      <c r="E1581" s="7"/>
      <c r="F1581" s="8"/>
      <c r="G1581" s="8"/>
      <c r="H1581" s="8"/>
      <c r="I1581" s="14"/>
      <c r="J1581" s="14"/>
      <c r="K1581" s="14"/>
      <c r="L1581" s="14"/>
      <c r="M1581" s="7"/>
      <c r="N1581" s="8"/>
      <c r="O1581" s="8"/>
      <c r="P1581" s="8"/>
      <c r="Q1581" s="7"/>
      <c r="R1581" s="16"/>
      <c r="S1581" s="17"/>
      <c r="T1581" s="8"/>
      <c r="U1581" s="8"/>
      <c r="V1581" s="8"/>
      <c r="W1581" s="7"/>
      <c r="X1581" s="7"/>
      <c r="Y1581" s="7"/>
      <c r="Z1581" s="7"/>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7"/>
      <c r="AX1581" s="7"/>
      <c r="AY1581" s="7"/>
      <c r="AZ1581" s="7"/>
      <c r="BA1581" s="7"/>
      <c r="BB1581" s="7"/>
      <c r="BC1581" s="7"/>
      <c r="BD1581" s="7"/>
      <c r="BE1581" s="7"/>
      <c r="BF1581" s="7"/>
      <c r="BG1581" s="7"/>
    </row>
    <row r="1582" customHeight="1" spans="1:59">
      <c r="A1582" s="9"/>
      <c r="B1582" s="5"/>
      <c r="C1582" s="5"/>
      <c r="D1582" s="5"/>
      <c r="E1582" s="7"/>
      <c r="F1582" s="8"/>
      <c r="G1582" s="8"/>
      <c r="H1582" s="8"/>
      <c r="I1582" s="14"/>
      <c r="J1582" s="14"/>
      <c r="K1582" s="14"/>
      <c r="L1582" s="14"/>
      <c r="M1582" s="7"/>
      <c r="N1582" s="8"/>
      <c r="O1582" s="8"/>
      <c r="P1582" s="8"/>
      <c r="Q1582" s="7"/>
      <c r="R1582" s="16"/>
      <c r="S1582" s="17"/>
      <c r="T1582" s="8"/>
      <c r="U1582" s="8"/>
      <c r="V1582" s="8"/>
      <c r="W1582" s="7"/>
      <c r="X1582" s="7"/>
      <c r="Y1582" s="7"/>
      <c r="Z1582" s="7"/>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7"/>
      <c r="AX1582" s="7"/>
      <c r="AY1582" s="7"/>
      <c r="AZ1582" s="7"/>
      <c r="BA1582" s="7"/>
      <c r="BB1582" s="7"/>
      <c r="BC1582" s="7"/>
      <c r="BD1582" s="7"/>
      <c r="BE1582" s="7"/>
      <c r="BF1582" s="7"/>
      <c r="BG1582" s="7"/>
    </row>
    <row r="1583" customHeight="1" spans="1:59">
      <c r="A1583" s="9"/>
      <c r="B1583" s="5"/>
      <c r="C1583" s="5"/>
      <c r="D1583" s="5"/>
      <c r="E1583" s="7"/>
      <c r="F1583" s="8"/>
      <c r="G1583" s="8"/>
      <c r="H1583" s="8"/>
      <c r="I1583" s="14"/>
      <c r="J1583" s="14"/>
      <c r="K1583" s="14"/>
      <c r="L1583" s="14"/>
      <c r="M1583" s="7"/>
      <c r="N1583" s="8"/>
      <c r="O1583" s="8"/>
      <c r="P1583" s="8"/>
      <c r="Q1583" s="7"/>
      <c r="R1583" s="16"/>
      <c r="S1583" s="17"/>
      <c r="T1583" s="8"/>
      <c r="U1583" s="8"/>
      <c r="V1583" s="8"/>
      <c r="W1583" s="7"/>
      <c r="X1583" s="7"/>
      <c r="Y1583" s="7"/>
      <c r="Z1583" s="7"/>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7"/>
      <c r="AX1583" s="7"/>
      <c r="AY1583" s="7"/>
      <c r="AZ1583" s="7"/>
      <c r="BA1583" s="7"/>
      <c r="BB1583" s="7"/>
      <c r="BC1583" s="7"/>
      <c r="BD1583" s="7"/>
      <c r="BE1583" s="7"/>
      <c r="BF1583" s="7"/>
      <c r="BG1583" s="7"/>
    </row>
    <row r="1584" customHeight="1" spans="1:59">
      <c r="A1584" s="9"/>
      <c r="B1584" s="5"/>
      <c r="C1584" s="5"/>
      <c r="D1584" s="5"/>
      <c r="E1584" s="7"/>
      <c r="F1584" s="8"/>
      <c r="G1584" s="8"/>
      <c r="H1584" s="8"/>
      <c r="I1584" s="14"/>
      <c r="J1584" s="14"/>
      <c r="K1584" s="14"/>
      <c r="L1584" s="14"/>
      <c r="M1584" s="7"/>
      <c r="N1584" s="8"/>
      <c r="O1584" s="8"/>
      <c r="P1584" s="8"/>
      <c r="Q1584" s="7"/>
      <c r="R1584" s="16"/>
      <c r="S1584" s="17"/>
      <c r="T1584" s="8"/>
      <c r="U1584" s="8"/>
      <c r="V1584" s="8"/>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7"/>
      <c r="AX1584" s="7"/>
      <c r="AY1584" s="7"/>
      <c r="AZ1584" s="7"/>
      <c r="BA1584" s="7"/>
      <c r="BB1584" s="7"/>
      <c r="BC1584" s="7"/>
      <c r="BD1584" s="7"/>
      <c r="BE1584" s="7"/>
      <c r="BF1584" s="7"/>
      <c r="BG1584" s="7"/>
    </row>
    <row r="1585" customHeight="1" spans="1:59">
      <c r="A1585" s="9"/>
      <c r="B1585" s="5"/>
      <c r="C1585" s="5"/>
      <c r="D1585" s="5"/>
      <c r="E1585" s="7"/>
      <c r="F1585" s="8"/>
      <c r="G1585" s="8"/>
      <c r="H1585" s="8"/>
      <c r="I1585" s="14"/>
      <c r="J1585" s="14"/>
      <c r="K1585" s="14"/>
      <c r="L1585" s="14"/>
      <c r="M1585" s="7"/>
      <c r="N1585" s="8"/>
      <c r="O1585" s="8"/>
      <c r="P1585" s="8"/>
      <c r="Q1585" s="7"/>
      <c r="R1585" s="16"/>
      <c r="S1585" s="17"/>
      <c r="T1585" s="8"/>
      <c r="U1585" s="8"/>
      <c r="V1585" s="8"/>
      <c r="W1585" s="7"/>
      <c r="X1585" s="7"/>
      <c r="Y1585" s="7"/>
      <c r="Z1585" s="7"/>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7"/>
      <c r="AX1585" s="7"/>
      <c r="AY1585" s="7"/>
      <c r="AZ1585" s="7"/>
      <c r="BA1585" s="7"/>
      <c r="BB1585" s="7"/>
      <c r="BC1585" s="7"/>
      <c r="BD1585" s="7"/>
      <c r="BE1585" s="7"/>
      <c r="BF1585" s="7"/>
      <c r="BG1585" s="7"/>
    </row>
    <row r="1586" customHeight="1" spans="1:59">
      <c r="A1586" s="9"/>
      <c r="B1586" s="5"/>
      <c r="C1586" s="5"/>
      <c r="D1586" s="5"/>
      <c r="E1586" s="7"/>
      <c r="F1586" s="8"/>
      <c r="G1586" s="8"/>
      <c r="H1586" s="8"/>
      <c r="I1586" s="14"/>
      <c r="J1586" s="14"/>
      <c r="K1586" s="14"/>
      <c r="L1586" s="14"/>
      <c r="M1586" s="7"/>
      <c r="N1586" s="8"/>
      <c r="O1586" s="8"/>
      <c r="P1586" s="8"/>
      <c r="Q1586" s="7"/>
      <c r="R1586" s="16"/>
      <c r="S1586" s="17"/>
      <c r="T1586" s="8"/>
      <c r="U1586" s="8"/>
      <c r="V1586" s="8"/>
      <c r="W1586" s="7"/>
      <c r="X1586" s="7"/>
      <c r="Y1586" s="7"/>
      <c r="Z1586" s="7"/>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7"/>
      <c r="BB1586" s="7"/>
      <c r="BC1586" s="7"/>
      <c r="BD1586" s="7"/>
      <c r="BE1586" s="7"/>
      <c r="BF1586" s="7"/>
      <c r="BG1586" s="7"/>
    </row>
    <row r="1587" customHeight="1" spans="1:59">
      <c r="A1587" s="9"/>
      <c r="B1587" s="5"/>
      <c r="C1587" s="5"/>
      <c r="D1587" s="5"/>
      <c r="E1587" s="7"/>
      <c r="F1587" s="8"/>
      <c r="G1587" s="8"/>
      <c r="H1587" s="8"/>
      <c r="I1587" s="14"/>
      <c r="J1587" s="14"/>
      <c r="K1587" s="14"/>
      <c r="L1587" s="14"/>
      <c r="M1587" s="7"/>
      <c r="N1587" s="8"/>
      <c r="O1587" s="8"/>
      <c r="P1587" s="8"/>
      <c r="Q1587" s="7"/>
      <c r="R1587" s="16"/>
      <c r="S1587" s="17"/>
      <c r="T1587" s="8"/>
      <c r="U1587" s="8"/>
      <c r="V1587" s="8"/>
      <c r="W1587" s="7"/>
      <c r="X1587" s="7"/>
      <c r="Y1587" s="7"/>
      <c r="Z1587" s="7"/>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7"/>
      <c r="AX1587" s="7"/>
      <c r="AY1587" s="7"/>
      <c r="AZ1587" s="7"/>
      <c r="BA1587" s="7"/>
      <c r="BB1587" s="7"/>
      <c r="BC1587" s="7"/>
      <c r="BD1587" s="7"/>
      <c r="BE1587" s="7"/>
      <c r="BF1587" s="7"/>
      <c r="BG1587" s="7"/>
    </row>
    <row r="1588" customHeight="1" spans="1:59">
      <c r="A1588" s="9"/>
      <c r="B1588" s="5"/>
      <c r="C1588" s="5"/>
      <c r="D1588" s="5"/>
      <c r="E1588" s="7"/>
      <c r="F1588" s="8"/>
      <c r="G1588" s="8"/>
      <c r="H1588" s="8"/>
      <c r="I1588" s="14"/>
      <c r="J1588" s="14"/>
      <c r="K1588" s="14"/>
      <c r="L1588" s="14"/>
      <c r="M1588" s="7"/>
      <c r="N1588" s="8"/>
      <c r="O1588" s="8"/>
      <c r="P1588" s="8"/>
      <c r="Q1588" s="7"/>
      <c r="R1588" s="16"/>
      <c r="S1588" s="17"/>
      <c r="T1588" s="8"/>
      <c r="U1588" s="8"/>
      <c r="V1588" s="8"/>
      <c r="W1588" s="7"/>
      <c r="X1588" s="7"/>
      <c r="Y1588" s="7"/>
      <c r="Z1588" s="7"/>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7"/>
      <c r="AX1588" s="7"/>
      <c r="AY1588" s="7"/>
      <c r="AZ1588" s="7"/>
      <c r="BA1588" s="7"/>
      <c r="BB1588" s="7"/>
      <c r="BC1588" s="7"/>
      <c r="BD1588" s="7"/>
      <c r="BE1588" s="7"/>
      <c r="BF1588" s="7"/>
      <c r="BG1588" s="7"/>
    </row>
    <row r="1589" customHeight="1" spans="1:59">
      <c r="A1589" s="9"/>
      <c r="B1589" s="5"/>
      <c r="C1589" s="5"/>
      <c r="D1589" s="5"/>
      <c r="E1589" s="7"/>
      <c r="F1589" s="8"/>
      <c r="G1589" s="8"/>
      <c r="H1589" s="8"/>
      <c r="I1589" s="14"/>
      <c r="J1589" s="14"/>
      <c r="K1589" s="14"/>
      <c r="L1589" s="14"/>
      <c r="M1589" s="7"/>
      <c r="N1589" s="8"/>
      <c r="O1589" s="8"/>
      <c r="P1589" s="8"/>
      <c r="Q1589" s="7"/>
      <c r="R1589" s="16"/>
      <c r="S1589" s="17"/>
      <c r="T1589" s="8"/>
      <c r="U1589" s="8"/>
      <c r="V1589" s="8"/>
      <c r="W1589" s="7"/>
      <c r="X1589" s="7"/>
      <c r="Y1589" s="7"/>
      <c r="Z1589" s="7"/>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7"/>
      <c r="BD1589" s="7"/>
      <c r="BE1589" s="7"/>
      <c r="BF1589" s="7"/>
      <c r="BG1589" s="7"/>
    </row>
    <row r="1590" customHeight="1" spans="1:59">
      <c r="A1590" s="9"/>
      <c r="B1590" s="5"/>
      <c r="C1590" s="5"/>
      <c r="D1590" s="5"/>
      <c r="E1590" s="7"/>
      <c r="F1590" s="8"/>
      <c r="G1590" s="8"/>
      <c r="H1590" s="8"/>
      <c r="I1590" s="14"/>
      <c r="J1590" s="14"/>
      <c r="K1590" s="14"/>
      <c r="L1590" s="14"/>
      <c r="M1590" s="7"/>
      <c r="N1590" s="8"/>
      <c r="O1590" s="8"/>
      <c r="P1590" s="8"/>
      <c r="Q1590" s="7"/>
      <c r="R1590" s="16"/>
      <c r="S1590" s="17"/>
      <c r="T1590" s="8"/>
      <c r="U1590" s="8"/>
      <c r="V1590" s="8"/>
      <c r="W1590" s="7"/>
      <c r="X1590" s="7"/>
      <c r="Y1590" s="7"/>
      <c r="Z1590" s="7"/>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7"/>
      <c r="AX1590" s="7"/>
      <c r="AY1590" s="7"/>
      <c r="AZ1590" s="7"/>
      <c r="BA1590" s="7"/>
      <c r="BB1590" s="7"/>
      <c r="BC1590" s="7"/>
      <c r="BD1590" s="7"/>
      <c r="BE1590" s="7"/>
      <c r="BF1590" s="7"/>
      <c r="BG1590" s="7"/>
    </row>
    <row r="1591" customHeight="1" spans="1:59">
      <c r="A1591" s="9"/>
      <c r="B1591" s="5"/>
      <c r="C1591" s="5"/>
      <c r="D1591" s="5"/>
      <c r="E1591" s="7"/>
      <c r="F1591" s="8"/>
      <c r="G1591" s="8"/>
      <c r="H1591" s="8"/>
      <c r="I1591" s="14"/>
      <c r="J1591" s="14"/>
      <c r="K1591" s="14"/>
      <c r="L1591" s="14"/>
      <c r="M1591" s="7"/>
      <c r="N1591" s="8"/>
      <c r="O1591" s="8"/>
      <c r="P1591" s="8"/>
      <c r="Q1591" s="7"/>
      <c r="R1591" s="16"/>
      <c r="S1591" s="17"/>
      <c r="T1591" s="8"/>
      <c r="U1591" s="8"/>
      <c r="V1591" s="8"/>
      <c r="W1591" s="7"/>
      <c r="X1591" s="7"/>
      <c r="Y1591" s="7"/>
      <c r="Z1591" s="7"/>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7"/>
      <c r="AX1591" s="7"/>
      <c r="AY1591" s="7"/>
      <c r="AZ1591" s="7"/>
      <c r="BA1591" s="7"/>
      <c r="BB1591" s="7"/>
      <c r="BC1591" s="7"/>
      <c r="BD1591" s="7"/>
      <c r="BE1591" s="7"/>
      <c r="BF1591" s="7"/>
      <c r="BG1591" s="7"/>
    </row>
    <row r="1592" customHeight="1" spans="1:59">
      <c r="A1592" s="9"/>
      <c r="B1592" s="5"/>
      <c r="C1592" s="5"/>
      <c r="D1592" s="5"/>
      <c r="E1592" s="7"/>
      <c r="F1592" s="8"/>
      <c r="G1592" s="8"/>
      <c r="H1592" s="8"/>
      <c r="I1592" s="14"/>
      <c r="J1592" s="14"/>
      <c r="K1592" s="14"/>
      <c r="L1592" s="14"/>
      <c r="M1592" s="7"/>
      <c r="N1592" s="8"/>
      <c r="O1592" s="8"/>
      <c r="P1592" s="8"/>
      <c r="Q1592" s="7"/>
      <c r="R1592" s="16"/>
      <c r="S1592" s="17"/>
      <c r="T1592" s="8"/>
      <c r="U1592" s="8"/>
      <c r="V1592" s="8"/>
      <c r="W1592" s="7"/>
      <c r="X1592" s="7"/>
      <c r="Y1592" s="7"/>
      <c r="Z1592" s="7"/>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7"/>
      <c r="AX1592" s="7"/>
      <c r="AY1592" s="7"/>
      <c r="AZ1592" s="7"/>
      <c r="BA1592" s="7"/>
      <c r="BB1592" s="7"/>
      <c r="BC1592" s="7"/>
      <c r="BD1592" s="7"/>
      <c r="BE1592" s="7"/>
      <c r="BF1592" s="7"/>
      <c r="BG1592" s="7"/>
    </row>
    <row r="1593" customHeight="1" spans="1:59">
      <c r="A1593" s="9"/>
      <c r="B1593" s="5"/>
      <c r="C1593" s="5"/>
      <c r="D1593" s="5"/>
      <c r="E1593" s="7"/>
      <c r="F1593" s="8"/>
      <c r="G1593" s="8"/>
      <c r="H1593" s="8"/>
      <c r="I1593" s="14"/>
      <c r="J1593" s="14"/>
      <c r="K1593" s="14"/>
      <c r="L1593" s="14"/>
      <c r="M1593" s="7"/>
      <c r="N1593" s="8"/>
      <c r="O1593" s="8"/>
      <c r="P1593" s="8"/>
      <c r="Q1593" s="7"/>
      <c r="R1593" s="16"/>
      <c r="S1593" s="17"/>
      <c r="T1593" s="8"/>
      <c r="U1593" s="8"/>
      <c r="V1593" s="8"/>
      <c r="W1593" s="7"/>
      <c r="X1593" s="7"/>
      <c r="Y1593" s="7"/>
      <c r="Z1593" s="7"/>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row>
    <row r="1594" customHeight="1" spans="1:59">
      <c r="A1594" s="9"/>
      <c r="B1594" s="5"/>
      <c r="C1594" s="5"/>
      <c r="D1594" s="5"/>
      <c r="E1594" s="7"/>
      <c r="F1594" s="8"/>
      <c r="G1594" s="8"/>
      <c r="H1594" s="8"/>
      <c r="I1594" s="14"/>
      <c r="J1594" s="14"/>
      <c r="K1594" s="14"/>
      <c r="L1594" s="14"/>
      <c r="M1594" s="7"/>
      <c r="N1594" s="8"/>
      <c r="O1594" s="8"/>
      <c r="P1594" s="8"/>
      <c r="Q1594" s="7"/>
      <c r="R1594" s="16"/>
      <c r="S1594" s="17"/>
      <c r="T1594" s="8"/>
      <c r="U1594" s="8"/>
      <c r="V1594" s="8"/>
      <c r="W1594" s="7"/>
      <c r="X1594" s="7"/>
      <c r="Y1594" s="7"/>
      <c r="Z1594" s="7"/>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7"/>
      <c r="AX1594" s="7"/>
      <c r="AY1594" s="7"/>
      <c r="AZ1594" s="7"/>
      <c r="BA1594" s="7"/>
      <c r="BB1594" s="7"/>
      <c r="BC1594" s="7"/>
      <c r="BD1594" s="7"/>
      <c r="BE1594" s="7"/>
      <c r="BF1594" s="7"/>
      <c r="BG1594" s="7"/>
    </row>
    <row r="1595" customHeight="1" spans="1:59">
      <c r="A1595" s="9"/>
      <c r="B1595" s="5"/>
      <c r="C1595" s="5"/>
      <c r="D1595" s="5"/>
      <c r="E1595" s="7"/>
      <c r="F1595" s="8"/>
      <c r="G1595" s="8"/>
      <c r="H1595" s="8"/>
      <c r="I1595" s="14"/>
      <c r="J1595" s="14"/>
      <c r="K1595" s="14"/>
      <c r="L1595" s="14"/>
      <c r="M1595" s="7"/>
      <c r="N1595" s="8"/>
      <c r="O1595" s="8"/>
      <c r="P1595" s="8"/>
      <c r="Q1595" s="7"/>
      <c r="R1595" s="16"/>
      <c r="S1595" s="17"/>
      <c r="T1595" s="8"/>
      <c r="U1595" s="8"/>
      <c r="V1595" s="8"/>
      <c r="W1595" s="7"/>
      <c r="X1595" s="7"/>
      <c r="Y1595" s="7"/>
      <c r="Z1595" s="7"/>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7"/>
      <c r="AX1595" s="7"/>
      <c r="AY1595" s="7"/>
      <c r="AZ1595" s="7"/>
      <c r="BA1595" s="7"/>
      <c r="BB1595" s="7"/>
      <c r="BC1595" s="7"/>
      <c r="BD1595" s="7"/>
      <c r="BE1595" s="7"/>
      <c r="BF1595" s="7"/>
      <c r="BG1595" s="7"/>
    </row>
    <row r="1596" customHeight="1" spans="1:59">
      <c r="A1596" s="9"/>
      <c r="B1596" s="5"/>
      <c r="C1596" s="5"/>
      <c r="D1596" s="5"/>
      <c r="E1596" s="7"/>
      <c r="F1596" s="8"/>
      <c r="G1596" s="8"/>
      <c r="H1596" s="8"/>
      <c r="I1596" s="14"/>
      <c r="J1596" s="14"/>
      <c r="K1596" s="14"/>
      <c r="L1596" s="14"/>
      <c r="M1596" s="7"/>
      <c r="N1596" s="8"/>
      <c r="O1596" s="8"/>
      <c r="P1596" s="8"/>
      <c r="Q1596" s="7"/>
      <c r="R1596" s="16"/>
      <c r="S1596" s="17"/>
      <c r="T1596" s="8"/>
      <c r="U1596" s="8"/>
      <c r="V1596" s="8"/>
      <c r="W1596" s="7"/>
      <c r="X1596" s="7"/>
      <c r="Y1596" s="7"/>
      <c r="Z1596" s="7"/>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7"/>
      <c r="AX1596" s="7"/>
      <c r="AY1596" s="7"/>
      <c r="AZ1596" s="7"/>
      <c r="BA1596" s="7"/>
      <c r="BB1596" s="7"/>
      <c r="BC1596" s="7"/>
      <c r="BD1596" s="7"/>
      <c r="BE1596" s="7"/>
      <c r="BF1596" s="7"/>
      <c r="BG1596" s="7"/>
    </row>
    <row r="1597" customHeight="1" spans="1:59">
      <c r="A1597" s="9"/>
      <c r="B1597" s="5"/>
      <c r="C1597" s="5"/>
      <c r="D1597" s="5"/>
      <c r="E1597" s="7"/>
      <c r="F1597" s="8"/>
      <c r="G1597" s="8"/>
      <c r="H1597" s="8"/>
      <c r="I1597" s="14"/>
      <c r="J1597" s="14"/>
      <c r="K1597" s="14"/>
      <c r="L1597" s="14"/>
      <c r="M1597" s="7"/>
      <c r="N1597" s="8"/>
      <c r="O1597" s="8"/>
      <c r="P1597" s="8"/>
      <c r="Q1597" s="7"/>
      <c r="R1597" s="16"/>
      <c r="S1597" s="17"/>
      <c r="T1597" s="8"/>
      <c r="U1597" s="8"/>
      <c r="V1597" s="8"/>
      <c r="W1597" s="7"/>
      <c r="X1597" s="7"/>
      <c r="Y1597" s="7"/>
      <c r="Z1597" s="7"/>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7"/>
      <c r="AX1597" s="7"/>
      <c r="AY1597" s="7"/>
      <c r="AZ1597" s="7"/>
      <c r="BA1597" s="7"/>
      <c r="BB1597" s="7"/>
      <c r="BC1597" s="7"/>
      <c r="BD1597" s="7"/>
      <c r="BE1597" s="7"/>
      <c r="BF1597" s="7"/>
      <c r="BG1597" s="7"/>
    </row>
    <row r="1598" customHeight="1" spans="1:59">
      <c r="A1598" s="9"/>
      <c r="B1598" s="5"/>
      <c r="C1598" s="5"/>
      <c r="D1598" s="5"/>
      <c r="E1598" s="7"/>
      <c r="F1598" s="8"/>
      <c r="G1598" s="8"/>
      <c r="H1598" s="8"/>
      <c r="I1598" s="14"/>
      <c r="J1598" s="14"/>
      <c r="K1598" s="14"/>
      <c r="L1598" s="14"/>
      <c r="M1598" s="7"/>
      <c r="N1598" s="8"/>
      <c r="O1598" s="8"/>
      <c r="P1598" s="8"/>
      <c r="Q1598" s="7"/>
      <c r="R1598" s="16"/>
      <c r="S1598" s="17"/>
      <c r="T1598" s="8"/>
      <c r="U1598" s="8"/>
      <c r="V1598" s="8"/>
      <c r="W1598" s="7"/>
      <c r="X1598" s="7"/>
      <c r="Y1598" s="7"/>
      <c r="Z1598" s="7"/>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7"/>
      <c r="AX1598" s="7"/>
      <c r="AY1598" s="7"/>
      <c r="AZ1598" s="7"/>
      <c r="BA1598" s="7"/>
      <c r="BB1598" s="7"/>
      <c r="BC1598" s="7"/>
      <c r="BD1598" s="7"/>
      <c r="BE1598" s="7"/>
      <c r="BF1598" s="7"/>
      <c r="BG1598" s="7"/>
    </row>
    <row r="1599" customHeight="1" spans="1:59">
      <c r="A1599" s="9"/>
      <c r="B1599" s="5"/>
      <c r="C1599" s="5"/>
      <c r="D1599" s="5"/>
      <c r="E1599" s="7"/>
      <c r="F1599" s="8"/>
      <c r="G1599" s="8"/>
      <c r="H1599" s="8"/>
      <c r="I1599" s="14"/>
      <c r="J1599" s="14"/>
      <c r="K1599" s="14"/>
      <c r="L1599" s="14"/>
      <c r="M1599" s="7"/>
      <c r="N1599" s="8"/>
      <c r="O1599" s="8"/>
      <c r="P1599" s="8"/>
      <c r="Q1599" s="7"/>
      <c r="R1599" s="16"/>
      <c r="S1599" s="17"/>
      <c r="T1599" s="8"/>
      <c r="U1599" s="8"/>
      <c r="V1599" s="8"/>
      <c r="W1599" s="7"/>
      <c r="X1599" s="7"/>
      <c r="Y1599" s="7"/>
      <c r="Z1599" s="7"/>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7"/>
      <c r="AX1599" s="7"/>
      <c r="AY1599" s="7"/>
      <c r="AZ1599" s="7"/>
      <c r="BA1599" s="7"/>
      <c r="BB1599" s="7"/>
      <c r="BC1599" s="7"/>
      <c r="BD1599" s="7"/>
      <c r="BE1599" s="7"/>
      <c r="BF1599" s="7"/>
      <c r="BG1599" s="7"/>
    </row>
    <row r="1600" customHeight="1" spans="1:59">
      <c r="A1600" s="9"/>
      <c r="B1600" s="5"/>
      <c r="C1600" s="5"/>
      <c r="D1600" s="5"/>
      <c r="E1600" s="7"/>
      <c r="F1600" s="8"/>
      <c r="G1600" s="8"/>
      <c r="H1600" s="8"/>
      <c r="I1600" s="14"/>
      <c r="J1600" s="14"/>
      <c r="K1600" s="14"/>
      <c r="L1600" s="14"/>
      <c r="M1600" s="7"/>
      <c r="N1600" s="8"/>
      <c r="O1600" s="8"/>
      <c r="P1600" s="8"/>
      <c r="Q1600" s="7"/>
      <c r="R1600" s="16"/>
      <c r="S1600" s="17"/>
      <c r="T1600" s="8"/>
      <c r="U1600" s="8"/>
      <c r="V1600" s="8"/>
      <c r="W1600" s="7"/>
      <c r="X1600" s="7"/>
      <c r="Y1600" s="7"/>
      <c r="Z1600" s="7"/>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7"/>
      <c r="AX1600" s="7"/>
      <c r="AY1600" s="7"/>
      <c r="AZ1600" s="7"/>
      <c r="BA1600" s="7"/>
      <c r="BB1600" s="7"/>
      <c r="BC1600" s="7"/>
      <c r="BD1600" s="7"/>
      <c r="BE1600" s="7"/>
      <c r="BF1600" s="7"/>
      <c r="BG1600" s="7"/>
    </row>
    <row r="1601" customHeight="1" spans="1:59">
      <c r="A1601" s="9"/>
      <c r="B1601" s="5"/>
      <c r="C1601" s="5"/>
      <c r="D1601" s="5"/>
      <c r="E1601" s="7"/>
      <c r="F1601" s="8"/>
      <c r="G1601" s="8"/>
      <c r="H1601" s="8"/>
      <c r="I1601" s="14"/>
      <c r="J1601" s="14"/>
      <c r="K1601" s="14"/>
      <c r="L1601" s="14"/>
      <c r="M1601" s="7"/>
      <c r="N1601" s="8"/>
      <c r="O1601" s="8"/>
      <c r="P1601" s="8"/>
      <c r="Q1601" s="7"/>
      <c r="R1601" s="16"/>
      <c r="S1601" s="17"/>
      <c r="T1601" s="8"/>
      <c r="U1601" s="8"/>
      <c r="V1601" s="8"/>
      <c r="W1601" s="7"/>
      <c r="X1601" s="7"/>
      <c r="Y1601" s="7"/>
      <c r="Z1601" s="7"/>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7"/>
      <c r="AX1601" s="7"/>
      <c r="AY1601" s="7"/>
      <c r="AZ1601" s="7"/>
      <c r="BA1601" s="7"/>
      <c r="BB1601" s="7"/>
      <c r="BC1601" s="7"/>
      <c r="BD1601" s="7"/>
      <c r="BE1601" s="7"/>
      <c r="BF1601" s="7"/>
      <c r="BG1601" s="7"/>
    </row>
    <row r="1602" customHeight="1" spans="1:59">
      <c r="A1602" s="9"/>
      <c r="B1602" s="5"/>
      <c r="C1602" s="5"/>
      <c r="D1602" s="5"/>
      <c r="E1602" s="7"/>
      <c r="F1602" s="8"/>
      <c r="G1602" s="8"/>
      <c r="H1602" s="8"/>
      <c r="I1602" s="14"/>
      <c r="J1602" s="14"/>
      <c r="K1602" s="14"/>
      <c r="L1602" s="14"/>
      <c r="M1602" s="7"/>
      <c r="N1602" s="8"/>
      <c r="O1602" s="8"/>
      <c r="P1602" s="8"/>
      <c r="Q1602" s="7"/>
      <c r="R1602" s="16"/>
      <c r="S1602" s="17"/>
      <c r="T1602" s="8"/>
      <c r="U1602" s="8"/>
      <c r="V1602" s="8"/>
      <c r="W1602" s="7"/>
      <c r="X1602" s="7"/>
      <c r="Y1602" s="7"/>
      <c r="Z1602" s="7"/>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7"/>
      <c r="AX1602" s="7"/>
      <c r="AY1602" s="7"/>
      <c r="AZ1602" s="7"/>
      <c r="BA1602" s="7"/>
      <c r="BB1602" s="7"/>
      <c r="BC1602" s="7"/>
      <c r="BD1602" s="7"/>
      <c r="BE1602" s="7"/>
      <c r="BF1602" s="7"/>
      <c r="BG1602" s="7"/>
    </row>
    <row r="1603" customHeight="1" spans="1:59">
      <c r="A1603" s="9"/>
      <c r="B1603" s="5"/>
      <c r="C1603" s="5"/>
      <c r="D1603" s="5"/>
      <c r="E1603" s="7"/>
      <c r="F1603" s="8"/>
      <c r="G1603" s="8"/>
      <c r="H1603" s="8"/>
      <c r="I1603" s="14"/>
      <c r="J1603" s="14"/>
      <c r="K1603" s="14"/>
      <c r="L1603" s="14"/>
      <c r="M1603" s="7"/>
      <c r="N1603" s="8"/>
      <c r="O1603" s="8"/>
      <c r="P1603" s="8"/>
      <c r="Q1603" s="7"/>
      <c r="R1603" s="16"/>
      <c r="S1603" s="17"/>
      <c r="T1603" s="8"/>
      <c r="U1603" s="8"/>
      <c r="V1603" s="8"/>
      <c r="W1603" s="7"/>
      <c r="X1603" s="7"/>
      <c r="Y1603" s="7"/>
      <c r="Z1603" s="7"/>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7"/>
      <c r="AX1603" s="7"/>
      <c r="AY1603" s="7"/>
      <c r="AZ1603" s="7"/>
      <c r="BA1603" s="7"/>
      <c r="BB1603" s="7"/>
      <c r="BC1603" s="7"/>
      <c r="BD1603" s="7"/>
      <c r="BE1603" s="7"/>
      <c r="BF1603" s="7"/>
      <c r="BG1603" s="7"/>
    </row>
    <row r="1604" customHeight="1" spans="1:59">
      <c r="A1604" s="9"/>
      <c r="B1604" s="5"/>
      <c r="C1604" s="5"/>
      <c r="D1604" s="5"/>
      <c r="E1604" s="7"/>
      <c r="F1604" s="8"/>
      <c r="G1604" s="8"/>
      <c r="H1604" s="8"/>
      <c r="I1604" s="14"/>
      <c r="J1604" s="14"/>
      <c r="K1604" s="14"/>
      <c r="L1604" s="14"/>
      <c r="M1604" s="7"/>
      <c r="N1604" s="8"/>
      <c r="O1604" s="8"/>
      <c r="P1604" s="8"/>
      <c r="Q1604" s="7"/>
      <c r="R1604" s="16"/>
      <c r="S1604" s="17"/>
      <c r="T1604" s="8"/>
      <c r="U1604" s="8"/>
      <c r="V1604" s="8"/>
      <c r="W1604" s="7"/>
      <c r="X1604" s="7"/>
      <c r="Y1604" s="7"/>
      <c r="Z1604" s="7"/>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7"/>
      <c r="AX1604" s="7"/>
      <c r="AY1604" s="7"/>
      <c r="AZ1604" s="7"/>
      <c r="BA1604" s="7"/>
      <c r="BB1604" s="7"/>
      <c r="BC1604" s="7"/>
      <c r="BD1604" s="7"/>
      <c r="BE1604" s="7"/>
      <c r="BF1604" s="7"/>
      <c r="BG1604" s="7"/>
    </row>
    <row r="1605" customHeight="1" spans="1:59">
      <c r="A1605" s="9"/>
      <c r="B1605" s="5"/>
      <c r="C1605" s="5"/>
      <c r="D1605" s="5"/>
      <c r="E1605" s="7"/>
      <c r="F1605" s="8"/>
      <c r="G1605" s="8"/>
      <c r="H1605" s="8"/>
      <c r="I1605" s="14"/>
      <c r="J1605" s="14"/>
      <c r="K1605" s="14"/>
      <c r="L1605" s="14"/>
      <c r="M1605" s="7"/>
      <c r="N1605" s="8"/>
      <c r="O1605" s="8"/>
      <c r="P1605" s="8"/>
      <c r="Q1605" s="7"/>
      <c r="R1605" s="16"/>
      <c r="S1605" s="17"/>
      <c r="T1605" s="8"/>
      <c r="U1605" s="8"/>
      <c r="V1605" s="8"/>
      <c r="W1605" s="7"/>
      <c r="X1605" s="7"/>
      <c r="Y1605" s="7"/>
      <c r="Z1605" s="7"/>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7"/>
      <c r="AX1605" s="7"/>
      <c r="AY1605" s="7"/>
      <c r="AZ1605" s="7"/>
      <c r="BA1605" s="7"/>
      <c r="BB1605" s="7"/>
      <c r="BC1605" s="7"/>
      <c r="BD1605" s="7"/>
      <c r="BE1605" s="7"/>
      <c r="BF1605" s="7"/>
      <c r="BG1605" s="7"/>
    </row>
    <row r="1606" customHeight="1" spans="1:59">
      <c r="A1606" s="9"/>
      <c r="B1606" s="5"/>
      <c r="C1606" s="5"/>
      <c r="D1606" s="5"/>
      <c r="E1606" s="7"/>
      <c r="F1606" s="8"/>
      <c r="G1606" s="8"/>
      <c r="H1606" s="8"/>
      <c r="I1606" s="14"/>
      <c r="J1606" s="14"/>
      <c r="K1606" s="14"/>
      <c r="L1606" s="14"/>
      <c r="M1606" s="7"/>
      <c r="N1606" s="8"/>
      <c r="O1606" s="8"/>
      <c r="P1606" s="8"/>
      <c r="Q1606" s="7"/>
      <c r="R1606" s="16"/>
      <c r="S1606" s="17"/>
      <c r="T1606" s="8"/>
      <c r="U1606" s="8"/>
      <c r="V1606" s="8"/>
      <c r="W1606" s="7"/>
      <c r="X1606" s="7"/>
      <c r="Y1606" s="7"/>
      <c r="Z1606" s="7"/>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7"/>
      <c r="AX1606" s="7"/>
      <c r="AY1606" s="7"/>
      <c r="AZ1606" s="7"/>
      <c r="BA1606" s="7"/>
      <c r="BB1606" s="7"/>
      <c r="BC1606" s="7"/>
      <c r="BD1606" s="7"/>
      <c r="BE1606" s="7"/>
      <c r="BF1606" s="7"/>
      <c r="BG1606" s="7"/>
    </row>
    <row r="1607" customHeight="1" spans="1:59">
      <c r="A1607" s="9"/>
      <c r="B1607" s="5"/>
      <c r="C1607" s="5"/>
      <c r="D1607" s="5"/>
      <c r="E1607" s="7"/>
      <c r="F1607" s="8"/>
      <c r="G1607" s="8"/>
      <c r="H1607" s="8"/>
      <c r="I1607" s="14"/>
      <c r="J1607" s="14"/>
      <c r="K1607" s="14"/>
      <c r="L1607" s="14"/>
      <c r="M1607" s="7"/>
      <c r="N1607" s="8"/>
      <c r="O1607" s="8"/>
      <c r="P1607" s="8"/>
      <c r="Q1607" s="7"/>
      <c r="R1607" s="16"/>
      <c r="S1607" s="17"/>
      <c r="T1607" s="8"/>
      <c r="U1607" s="8"/>
      <c r="V1607" s="8"/>
      <c r="W1607" s="7"/>
      <c r="X1607" s="7"/>
      <c r="Y1607" s="7"/>
      <c r="Z1607" s="7"/>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7"/>
      <c r="AX1607" s="7"/>
      <c r="AY1607" s="7"/>
      <c r="AZ1607" s="7"/>
      <c r="BA1607" s="7"/>
      <c r="BB1607" s="7"/>
      <c r="BC1607" s="7"/>
      <c r="BD1607" s="7"/>
      <c r="BE1607" s="7"/>
      <c r="BF1607" s="7"/>
      <c r="BG1607" s="7"/>
    </row>
    <row r="1608" customHeight="1" spans="1:59">
      <c r="A1608" s="9"/>
      <c r="B1608" s="5"/>
      <c r="C1608" s="5"/>
      <c r="D1608" s="5"/>
      <c r="E1608" s="7"/>
      <c r="F1608" s="8"/>
      <c r="G1608" s="8"/>
      <c r="H1608" s="8"/>
      <c r="I1608" s="14"/>
      <c r="J1608" s="14"/>
      <c r="K1608" s="14"/>
      <c r="L1608" s="14"/>
      <c r="M1608" s="7"/>
      <c r="N1608" s="8"/>
      <c r="O1608" s="8"/>
      <c r="P1608" s="8"/>
      <c r="Q1608" s="7"/>
      <c r="R1608" s="16"/>
      <c r="S1608" s="17"/>
      <c r="T1608" s="8"/>
      <c r="U1608" s="8"/>
      <c r="V1608" s="8"/>
      <c r="W1608" s="7"/>
      <c r="X1608" s="7"/>
      <c r="Y1608" s="7"/>
      <c r="Z1608" s="7"/>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7"/>
      <c r="AX1608" s="7"/>
      <c r="AY1608" s="7"/>
      <c r="AZ1608" s="7"/>
      <c r="BA1608" s="7"/>
      <c r="BB1608" s="7"/>
      <c r="BC1608" s="7"/>
      <c r="BD1608" s="7"/>
      <c r="BE1608" s="7"/>
      <c r="BF1608" s="7"/>
      <c r="BG1608" s="7"/>
    </row>
    <row r="1609" customHeight="1" spans="1:59">
      <c r="A1609" s="9"/>
      <c r="B1609" s="5"/>
      <c r="C1609" s="5"/>
      <c r="D1609" s="5"/>
      <c r="E1609" s="7"/>
      <c r="F1609" s="8"/>
      <c r="G1609" s="8"/>
      <c r="H1609" s="8"/>
      <c r="I1609" s="14"/>
      <c r="J1609" s="14"/>
      <c r="K1609" s="14"/>
      <c r="L1609" s="14"/>
      <c r="M1609" s="7"/>
      <c r="N1609" s="8"/>
      <c r="O1609" s="8"/>
      <c r="P1609" s="8"/>
      <c r="Q1609" s="7"/>
      <c r="R1609" s="16"/>
      <c r="S1609" s="17"/>
      <c r="T1609" s="8"/>
      <c r="U1609" s="8"/>
      <c r="V1609" s="8"/>
      <c r="W1609" s="7"/>
      <c r="X1609" s="7"/>
      <c r="Y1609" s="7"/>
      <c r="Z1609" s="7"/>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7"/>
      <c r="AX1609" s="7"/>
      <c r="AY1609" s="7"/>
      <c r="AZ1609" s="7"/>
      <c r="BA1609" s="7"/>
      <c r="BB1609" s="7"/>
      <c r="BC1609" s="7"/>
      <c r="BD1609" s="7"/>
      <c r="BE1609" s="7"/>
      <c r="BF1609" s="7"/>
      <c r="BG1609" s="7"/>
    </row>
    <row r="1610" customHeight="1" spans="1:59">
      <c r="A1610" s="9"/>
      <c r="B1610" s="5"/>
      <c r="C1610" s="5"/>
      <c r="D1610" s="5"/>
      <c r="E1610" s="7"/>
      <c r="F1610" s="8"/>
      <c r="G1610" s="8"/>
      <c r="H1610" s="8"/>
      <c r="I1610" s="14"/>
      <c r="J1610" s="14"/>
      <c r="K1610" s="14"/>
      <c r="L1610" s="14"/>
      <c r="M1610" s="7"/>
      <c r="N1610" s="8"/>
      <c r="O1610" s="8"/>
      <c r="P1610" s="8"/>
      <c r="Q1610" s="7"/>
      <c r="R1610" s="16"/>
      <c r="S1610" s="17"/>
      <c r="T1610" s="8"/>
      <c r="U1610" s="8"/>
      <c r="V1610" s="8"/>
      <c r="W1610" s="7"/>
      <c r="X1610" s="7"/>
      <c r="Y1610" s="7"/>
      <c r="Z1610" s="7"/>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7"/>
      <c r="AX1610" s="7"/>
      <c r="AY1610" s="7"/>
      <c r="AZ1610" s="7"/>
      <c r="BA1610" s="7"/>
      <c r="BB1610" s="7"/>
      <c r="BC1610" s="7"/>
      <c r="BD1610" s="7"/>
      <c r="BE1610" s="7"/>
      <c r="BF1610" s="7"/>
      <c r="BG1610" s="7"/>
    </row>
    <row r="1611" customHeight="1" spans="1:59">
      <c r="A1611" s="9"/>
      <c r="B1611" s="5"/>
      <c r="C1611" s="5"/>
      <c r="D1611" s="5"/>
      <c r="E1611" s="7"/>
      <c r="F1611" s="8"/>
      <c r="G1611" s="8"/>
      <c r="H1611" s="8"/>
      <c r="I1611" s="14"/>
      <c r="J1611" s="14"/>
      <c r="K1611" s="14"/>
      <c r="L1611" s="14"/>
      <c r="M1611" s="7"/>
      <c r="N1611" s="8"/>
      <c r="O1611" s="8"/>
      <c r="P1611" s="8"/>
      <c r="Q1611" s="7"/>
      <c r="R1611" s="16"/>
      <c r="S1611" s="17"/>
      <c r="T1611" s="8"/>
      <c r="U1611" s="8"/>
      <c r="V1611" s="8"/>
      <c r="W1611" s="7"/>
      <c r="X1611" s="7"/>
      <c r="Y1611" s="7"/>
      <c r="Z1611" s="7"/>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7"/>
      <c r="BA1611" s="7"/>
      <c r="BB1611" s="7"/>
      <c r="BC1611" s="7"/>
      <c r="BD1611" s="7"/>
      <c r="BE1611" s="7"/>
      <c r="BF1611" s="7"/>
      <c r="BG1611" s="7"/>
    </row>
    <row r="1612" customHeight="1" spans="1:59">
      <c r="A1612" s="9"/>
      <c r="B1612" s="5"/>
      <c r="C1612" s="5"/>
      <c r="D1612" s="5"/>
      <c r="E1612" s="7"/>
      <c r="F1612" s="8"/>
      <c r="G1612" s="8"/>
      <c r="H1612" s="8"/>
      <c r="I1612" s="14"/>
      <c r="J1612" s="14"/>
      <c r="K1612" s="14"/>
      <c r="L1612" s="14"/>
      <c r="M1612" s="7"/>
      <c r="N1612" s="8"/>
      <c r="O1612" s="8"/>
      <c r="P1612" s="8"/>
      <c r="Q1612" s="7"/>
      <c r="R1612" s="16"/>
      <c r="S1612" s="17"/>
      <c r="T1612" s="8"/>
      <c r="U1612" s="8"/>
      <c r="V1612" s="8"/>
      <c r="W1612" s="7"/>
      <c r="X1612" s="7"/>
      <c r="Y1612" s="7"/>
      <c r="Z1612" s="7"/>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7"/>
      <c r="AX1612" s="7"/>
      <c r="AY1612" s="7"/>
      <c r="AZ1612" s="7"/>
      <c r="BA1612" s="7"/>
      <c r="BB1612" s="7"/>
      <c r="BC1612" s="7"/>
      <c r="BD1612" s="7"/>
      <c r="BE1612" s="7"/>
      <c r="BF1612" s="7"/>
      <c r="BG1612" s="7"/>
    </row>
    <row r="1613" customHeight="1" spans="1:59">
      <c r="A1613" s="9"/>
      <c r="B1613" s="5"/>
      <c r="C1613" s="5"/>
      <c r="D1613" s="5"/>
      <c r="E1613" s="7"/>
      <c r="F1613" s="8"/>
      <c r="G1613" s="8"/>
      <c r="H1613" s="8"/>
      <c r="I1613" s="14"/>
      <c r="J1613" s="14"/>
      <c r="K1613" s="14"/>
      <c r="L1613" s="14"/>
      <c r="M1613" s="7"/>
      <c r="N1613" s="8"/>
      <c r="O1613" s="8"/>
      <c r="P1613" s="8"/>
      <c r="Q1613" s="7"/>
      <c r="R1613" s="16"/>
      <c r="S1613" s="17"/>
      <c r="T1613" s="8"/>
      <c r="U1613" s="8"/>
      <c r="V1613" s="8"/>
      <c r="W1613" s="7"/>
      <c r="X1613" s="7"/>
      <c r="Y1613" s="7"/>
      <c r="Z1613" s="7"/>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7"/>
      <c r="AX1613" s="7"/>
      <c r="AY1613" s="7"/>
      <c r="AZ1613" s="7"/>
      <c r="BA1613" s="7"/>
      <c r="BB1613" s="7"/>
      <c r="BC1613" s="7"/>
      <c r="BD1613" s="7"/>
      <c r="BE1613" s="7"/>
      <c r="BF1613" s="7"/>
      <c r="BG1613" s="7"/>
    </row>
    <row r="1614" customHeight="1" spans="1:59">
      <c r="A1614" s="9"/>
      <c r="B1614" s="5"/>
      <c r="C1614" s="5"/>
      <c r="D1614" s="5"/>
      <c r="E1614" s="7"/>
      <c r="F1614" s="8"/>
      <c r="G1614" s="8"/>
      <c r="H1614" s="8"/>
      <c r="I1614" s="14"/>
      <c r="J1614" s="14"/>
      <c r="K1614" s="14"/>
      <c r="L1614" s="14"/>
      <c r="M1614" s="7"/>
      <c r="N1614" s="8"/>
      <c r="O1614" s="8"/>
      <c r="P1614" s="8"/>
      <c r="Q1614" s="7"/>
      <c r="R1614" s="16"/>
      <c r="S1614" s="17"/>
      <c r="T1614" s="8"/>
      <c r="U1614" s="8"/>
      <c r="V1614" s="8"/>
      <c r="W1614" s="7"/>
      <c r="X1614" s="7"/>
      <c r="Y1614" s="7"/>
      <c r="Z1614" s="7"/>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7"/>
      <c r="AX1614" s="7"/>
      <c r="AY1614" s="7"/>
      <c r="AZ1614" s="7"/>
      <c r="BA1614" s="7"/>
      <c r="BB1614" s="7"/>
      <c r="BC1614" s="7"/>
      <c r="BD1614" s="7"/>
      <c r="BE1614" s="7"/>
      <c r="BF1614" s="7"/>
      <c r="BG1614" s="7"/>
    </row>
    <row r="1615" customHeight="1" spans="1:59">
      <c r="A1615" s="9"/>
      <c r="B1615" s="5"/>
      <c r="C1615" s="5"/>
      <c r="D1615" s="5"/>
      <c r="E1615" s="7"/>
      <c r="F1615" s="8"/>
      <c r="G1615" s="8"/>
      <c r="H1615" s="8"/>
      <c r="I1615" s="14"/>
      <c r="J1615" s="14"/>
      <c r="K1615" s="14"/>
      <c r="L1615" s="14"/>
      <c r="M1615" s="7"/>
      <c r="N1615" s="8"/>
      <c r="O1615" s="8"/>
      <c r="P1615" s="8"/>
      <c r="Q1615" s="7"/>
      <c r="R1615" s="16"/>
      <c r="S1615" s="17"/>
      <c r="T1615" s="8"/>
      <c r="U1615" s="8"/>
      <c r="V1615" s="8"/>
      <c r="W1615" s="7"/>
      <c r="X1615" s="7"/>
      <c r="Y1615" s="7"/>
      <c r="Z1615" s="7"/>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7"/>
      <c r="AX1615" s="7"/>
      <c r="AY1615" s="7"/>
      <c r="AZ1615" s="7"/>
      <c r="BA1615" s="7"/>
      <c r="BB1615" s="7"/>
      <c r="BC1615" s="7"/>
      <c r="BD1615" s="7"/>
      <c r="BE1615" s="7"/>
      <c r="BF1615" s="7"/>
      <c r="BG1615" s="7"/>
    </row>
    <row r="1616" customHeight="1" spans="1:59">
      <c r="A1616" s="9"/>
      <c r="B1616" s="5"/>
      <c r="C1616" s="5"/>
      <c r="D1616" s="5"/>
      <c r="E1616" s="7"/>
      <c r="F1616" s="8"/>
      <c r="G1616" s="8"/>
      <c r="H1616" s="8"/>
      <c r="I1616" s="14"/>
      <c r="J1616" s="14"/>
      <c r="K1616" s="14"/>
      <c r="L1616" s="14"/>
      <c r="M1616" s="7"/>
      <c r="N1616" s="8"/>
      <c r="O1616" s="8"/>
      <c r="P1616" s="8"/>
      <c r="Q1616" s="7"/>
      <c r="R1616" s="16"/>
      <c r="S1616" s="17"/>
      <c r="T1616" s="8"/>
      <c r="U1616" s="8"/>
      <c r="V1616" s="8"/>
      <c r="W1616" s="7"/>
      <c r="X1616" s="7"/>
      <c r="Y1616" s="7"/>
      <c r="Z1616" s="7"/>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7"/>
      <c r="AX1616" s="7"/>
      <c r="AY1616" s="7"/>
      <c r="AZ1616" s="7"/>
      <c r="BA1616" s="7"/>
      <c r="BB1616" s="7"/>
      <c r="BC1616" s="7"/>
      <c r="BD1616" s="7"/>
      <c r="BE1616" s="7"/>
      <c r="BF1616" s="7"/>
      <c r="BG1616" s="7"/>
    </row>
    <row r="1617" customHeight="1" spans="1:59">
      <c r="A1617" s="9"/>
      <c r="B1617" s="5"/>
      <c r="C1617" s="5"/>
      <c r="D1617" s="5"/>
      <c r="E1617" s="7"/>
      <c r="F1617" s="8"/>
      <c r="G1617" s="8"/>
      <c r="H1617" s="8"/>
      <c r="I1617" s="14"/>
      <c r="J1617" s="14"/>
      <c r="K1617" s="14"/>
      <c r="L1617" s="14"/>
      <c r="M1617" s="7"/>
      <c r="N1617" s="8"/>
      <c r="O1617" s="8"/>
      <c r="P1617" s="8"/>
      <c r="Q1617" s="7"/>
      <c r="R1617" s="16"/>
      <c r="S1617" s="17"/>
      <c r="T1617" s="8"/>
      <c r="U1617" s="8"/>
      <c r="V1617" s="8"/>
      <c r="W1617" s="7"/>
      <c r="X1617" s="7"/>
      <c r="Y1617" s="7"/>
      <c r="Z1617" s="7"/>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7"/>
      <c r="AX1617" s="7"/>
      <c r="AY1617" s="7"/>
      <c r="AZ1617" s="7"/>
      <c r="BA1617" s="7"/>
      <c r="BB1617" s="7"/>
      <c r="BC1617" s="7"/>
      <c r="BD1617" s="7"/>
      <c r="BE1617" s="7"/>
      <c r="BF1617" s="7"/>
      <c r="BG1617" s="7"/>
    </row>
    <row r="1618" customHeight="1" spans="1:59">
      <c r="A1618" s="9"/>
      <c r="B1618" s="5"/>
      <c r="C1618" s="5"/>
      <c r="D1618" s="5"/>
      <c r="E1618" s="7"/>
      <c r="F1618" s="8"/>
      <c r="G1618" s="8"/>
      <c r="H1618" s="8"/>
      <c r="I1618" s="14"/>
      <c r="J1618" s="14"/>
      <c r="K1618" s="14"/>
      <c r="L1618" s="14"/>
      <c r="M1618" s="7"/>
      <c r="N1618" s="8"/>
      <c r="O1618" s="8"/>
      <c r="P1618" s="8"/>
      <c r="Q1618" s="7"/>
      <c r="R1618" s="16"/>
      <c r="S1618" s="17"/>
      <c r="T1618" s="8"/>
      <c r="U1618" s="8"/>
      <c r="V1618" s="8"/>
      <c r="W1618" s="7"/>
      <c r="X1618" s="7"/>
      <c r="Y1618" s="7"/>
      <c r="Z1618" s="7"/>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7"/>
      <c r="AX1618" s="7"/>
      <c r="AY1618" s="7"/>
      <c r="AZ1618" s="7"/>
      <c r="BA1618" s="7"/>
      <c r="BB1618" s="7"/>
      <c r="BC1618" s="7"/>
      <c r="BD1618" s="7"/>
      <c r="BE1618" s="7"/>
      <c r="BF1618" s="7"/>
      <c r="BG1618" s="7"/>
    </row>
    <row r="1619" customHeight="1" spans="1:59">
      <c r="A1619" s="9"/>
      <c r="B1619" s="5"/>
      <c r="C1619" s="5"/>
      <c r="D1619" s="5"/>
      <c r="E1619" s="7"/>
      <c r="F1619" s="8"/>
      <c r="G1619" s="8"/>
      <c r="H1619" s="8"/>
      <c r="I1619" s="14"/>
      <c r="J1619" s="14"/>
      <c r="K1619" s="14"/>
      <c r="L1619" s="14"/>
      <c r="M1619" s="7"/>
      <c r="N1619" s="8"/>
      <c r="O1619" s="8"/>
      <c r="P1619" s="8"/>
      <c r="Q1619" s="7"/>
      <c r="R1619" s="16"/>
      <c r="S1619" s="17"/>
      <c r="T1619" s="8"/>
      <c r="U1619" s="8"/>
      <c r="V1619" s="8"/>
      <c r="W1619" s="7"/>
      <c r="X1619" s="7"/>
      <c r="Y1619" s="7"/>
      <c r="Z1619" s="7"/>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7"/>
      <c r="AX1619" s="7"/>
      <c r="AY1619" s="7"/>
      <c r="AZ1619" s="7"/>
      <c r="BA1619" s="7"/>
      <c r="BB1619" s="7"/>
      <c r="BC1619" s="7"/>
      <c r="BD1619" s="7"/>
      <c r="BE1619" s="7"/>
      <c r="BF1619" s="7"/>
      <c r="BG1619" s="7"/>
    </row>
    <row r="1620" customHeight="1" spans="1:59">
      <c r="A1620" s="9"/>
      <c r="B1620" s="5"/>
      <c r="C1620" s="5"/>
      <c r="D1620" s="5"/>
      <c r="E1620" s="7"/>
      <c r="F1620" s="8"/>
      <c r="G1620" s="8"/>
      <c r="H1620" s="8"/>
      <c r="I1620" s="14"/>
      <c r="J1620" s="14"/>
      <c r="K1620" s="14"/>
      <c r="L1620" s="14"/>
      <c r="M1620" s="7"/>
      <c r="N1620" s="8"/>
      <c r="O1620" s="8"/>
      <c r="P1620" s="8"/>
      <c r="Q1620" s="7"/>
      <c r="R1620" s="16"/>
      <c r="S1620" s="17"/>
      <c r="T1620" s="8"/>
      <c r="U1620" s="8"/>
      <c r="V1620" s="8"/>
      <c r="W1620" s="7"/>
      <c r="X1620" s="7"/>
      <c r="Y1620" s="7"/>
      <c r="Z1620" s="7"/>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7"/>
      <c r="AX1620" s="7"/>
      <c r="AY1620" s="7"/>
      <c r="AZ1620" s="7"/>
      <c r="BA1620" s="7"/>
      <c r="BB1620" s="7"/>
      <c r="BC1620" s="7"/>
      <c r="BD1620" s="7"/>
      <c r="BE1620" s="7"/>
      <c r="BF1620" s="7"/>
      <c r="BG1620" s="7"/>
    </row>
    <row r="1621" customHeight="1" spans="1:59">
      <c r="A1621" s="9"/>
      <c r="B1621" s="5"/>
      <c r="C1621" s="5"/>
      <c r="D1621" s="5"/>
      <c r="E1621" s="7"/>
      <c r="F1621" s="8"/>
      <c r="G1621" s="8"/>
      <c r="H1621" s="8"/>
      <c r="I1621" s="14"/>
      <c r="J1621" s="14"/>
      <c r="K1621" s="14"/>
      <c r="L1621" s="14"/>
      <c r="M1621" s="7"/>
      <c r="N1621" s="8"/>
      <c r="O1621" s="8"/>
      <c r="P1621" s="8"/>
      <c r="Q1621" s="7"/>
      <c r="R1621" s="16"/>
      <c r="S1621" s="17"/>
      <c r="T1621" s="8"/>
      <c r="U1621" s="8"/>
      <c r="V1621" s="8"/>
      <c r="W1621" s="7"/>
      <c r="X1621" s="7"/>
      <c r="Y1621" s="7"/>
      <c r="Z1621" s="7"/>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7"/>
      <c r="AX1621" s="7"/>
      <c r="AY1621" s="7"/>
      <c r="AZ1621" s="7"/>
      <c r="BA1621" s="7"/>
      <c r="BB1621" s="7"/>
      <c r="BC1621" s="7"/>
      <c r="BD1621" s="7"/>
      <c r="BE1621" s="7"/>
      <c r="BF1621" s="7"/>
      <c r="BG1621" s="7"/>
    </row>
    <row r="1622" customHeight="1" spans="1:59">
      <c r="A1622" s="9"/>
      <c r="B1622" s="5"/>
      <c r="C1622" s="5"/>
      <c r="D1622" s="5"/>
      <c r="E1622" s="7"/>
      <c r="F1622" s="8"/>
      <c r="G1622" s="8"/>
      <c r="H1622" s="8"/>
      <c r="I1622" s="14"/>
      <c r="J1622" s="14"/>
      <c r="K1622" s="14"/>
      <c r="L1622" s="14"/>
      <c r="M1622" s="7"/>
      <c r="N1622" s="8"/>
      <c r="O1622" s="8"/>
      <c r="P1622" s="8"/>
      <c r="Q1622" s="7"/>
      <c r="R1622" s="16"/>
      <c r="S1622" s="17"/>
      <c r="T1622" s="8"/>
      <c r="U1622" s="8"/>
      <c r="V1622" s="8"/>
      <c r="W1622" s="7"/>
      <c r="X1622" s="7"/>
      <c r="Y1622" s="7"/>
      <c r="Z1622" s="7"/>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7"/>
      <c r="AX1622" s="7"/>
      <c r="AY1622" s="7"/>
      <c r="AZ1622" s="7"/>
      <c r="BA1622" s="7"/>
      <c r="BB1622" s="7"/>
      <c r="BC1622" s="7"/>
      <c r="BD1622" s="7"/>
      <c r="BE1622" s="7"/>
      <c r="BF1622" s="7"/>
      <c r="BG1622" s="7"/>
    </row>
    <row r="1623" customHeight="1" spans="1:59">
      <c r="A1623" s="9"/>
      <c r="B1623" s="5"/>
      <c r="C1623" s="5"/>
      <c r="D1623" s="5"/>
      <c r="E1623" s="7"/>
      <c r="F1623" s="8"/>
      <c r="G1623" s="8"/>
      <c r="H1623" s="8"/>
      <c r="I1623" s="14"/>
      <c r="J1623" s="14"/>
      <c r="K1623" s="14"/>
      <c r="L1623" s="14"/>
      <c r="M1623" s="7"/>
      <c r="N1623" s="8"/>
      <c r="O1623" s="8"/>
      <c r="P1623" s="8"/>
      <c r="Q1623" s="7"/>
      <c r="R1623" s="16"/>
      <c r="S1623" s="17"/>
      <c r="T1623" s="8"/>
      <c r="U1623" s="8"/>
      <c r="V1623" s="8"/>
      <c r="W1623" s="7"/>
      <c r="X1623" s="7"/>
      <c r="Y1623" s="7"/>
      <c r="Z1623" s="7"/>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7"/>
      <c r="AX1623" s="7"/>
      <c r="AY1623" s="7"/>
      <c r="AZ1623" s="7"/>
      <c r="BA1623" s="7"/>
      <c r="BB1623" s="7"/>
      <c r="BC1623" s="7"/>
      <c r="BD1623" s="7"/>
      <c r="BE1623" s="7"/>
      <c r="BF1623" s="7"/>
      <c r="BG1623" s="7"/>
    </row>
    <row r="1624" customHeight="1" spans="1:59">
      <c r="A1624" s="9"/>
      <c r="B1624" s="5"/>
      <c r="C1624" s="5"/>
      <c r="D1624" s="5"/>
      <c r="E1624" s="7"/>
      <c r="F1624" s="8"/>
      <c r="G1624" s="8"/>
      <c r="H1624" s="8"/>
      <c r="I1624" s="14"/>
      <c r="J1624" s="14"/>
      <c r="K1624" s="14"/>
      <c r="L1624" s="14"/>
      <c r="M1624" s="7"/>
      <c r="N1624" s="8"/>
      <c r="O1624" s="8"/>
      <c r="P1624" s="8"/>
      <c r="Q1624" s="7"/>
      <c r="R1624" s="16"/>
      <c r="S1624" s="17"/>
      <c r="T1624" s="8"/>
      <c r="U1624" s="8"/>
      <c r="V1624" s="8"/>
      <c r="W1624" s="7"/>
      <c r="X1624" s="7"/>
      <c r="Y1624" s="7"/>
      <c r="Z1624" s="7"/>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7"/>
      <c r="AX1624" s="7"/>
      <c r="AY1624" s="7"/>
      <c r="AZ1624" s="7"/>
      <c r="BA1624" s="7"/>
      <c r="BB1624" s="7"/>
      <c r="BC1624" s="7"/>
      <c r="BD1624" s="7"/>
      <c r="BE1624" s="7"/>
      <c r="BF1624" s="7"/>
      <c r="BG1624" s="7"/>
    </row>
    <row r="1625" customHeight="1" spans="1:59">
      <c r="A1625" s="9"/>
      <c r="B1625" s="5"/>
      <c r="C1625" s="5"/>
      <c r="D1625" s="5"/>
      <c r="E1625" s="7"/>
      <c r="F1625" s="8"/>
      <c r="G1625" s="8"/>
      <c r="H1625" s="8"/>
      <c r="I1625" s="14"/>
      <c r="J1625" s="14"/>
      <c r="K1625" s="14"/>
      <c r="L1625" s="14"/>
      <c r="M1625" s="7"/>
      <c r="N1625" s="8"/>
      <c r="O1625" s="8"/>
      <c r="P1625" s="8"/>
      <c r="Q1625" s="7"/>
      <c r="R1625" s="16"/>
      <c r="S1625" s="17"/>
      <c r="T1625" s="8"/>
      <c r="U1625" s="8"/>
      <c r="V1625" s="8"/>
      <c r="W1625" s="7"/>
      <c r="X1625" s="7"/>
      <c r="Y1625" s="7"/>
      <c r="Z1625" s="7"/>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7"/>
      <c r="AX1625" s="7"/>
      <c r="AY1625" s="7"/>
      <c r="AZ1625" s="7"/>
      <c r="BA1625" s="7"/>
      <c r="BB1625" s="7"/>
      <c r="BC1625" s="7"/>
      <c r="BD1625" s="7"/>
      <c r="BE1625" s="7"/>
      <c r="BF1625" s="7"/>
      <c r="BG1625" s="7"/>
    </row>
    <row r="1626" customHeight="1" spans="1:59">
      <c r="A1626" s="9"/>
      <c r="B1626" s="5"/>
      <c r="C1626" s="5"/>
      <c r="D1626" s="5"/>
      <c r="E1626" s="7"/>
      <c r="F1626" s="8"/>
      <c r="G1626" s="8"/>
      <c r="H1626" s="8"/>
      <c r="I1626" s="14"/>
      <c r="J1626" s="14"/>
      <c r="K1626" s="14"/>
      <c r="L1626" s="14"/>
      <c r="M1626" s="7"/>
      <c r="N1626" s="8"/>
      <c r="O1626" s="8"/>
      <c r="P1626" s="8"/>
      <c r="Q1626" s="7"/>
      <c r="R1626" s="16"/>
      <c r="S1626" s="17"/>
      <c r="T1626" s="8"/>
      <c r="U1626" s="8"/>
      <c r="V1626" s="8"/>
      <c r="W1626" s="7"/>
      <c r="X1626" s="7"/>
      <c r="Y1626" s="7"/>
      <c r="Z1626" s="7"/>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7"/>
      <c r="BD1626" s="7"/>
      <c r="BE1626" s="7"/>
      <c r="BF1626" s="7"/>
      <c r="BG1626" s="7"/>
    </row>
    <row r="1627" customHeight="1" spans="1:59">
      <c r="A1627" s="9"/>
      <c r="B1627" s="5"/>
      <c r="C1627" s="5"/>
      <c r="D1627" s="5"/>
      <c r="E1627" s="7"/>
      <c r="F1627" s="8"/>
      <c r="G1627" s="8"/>
      <c r="H1627" s="8"/>
      <c r="I1627" s="14"/>
      <c r="J1627" s="14"/>
      <c r="K1627" s="14"/>
      <c r="L1627" s="14"/>
      <c r="M1627" s="7"/>
      <c r="N1627" s="8"/>
      <c r="O1627" s="8"/>
      <c r="P1627" s="8"/>
      <c r="Q1627" s="7"/>
      <c r="R1627" s="16"/>
      <c r="S1627" s="17"/>
      <c r="T1627" s="8"/>
      <c r="U1627" s="8"/>
      <c r="V1627" s="8"/>
      <c r="W1627" s="7"/>
      <c r="X1627" s="7"/>
      <c r="Y1627" s="7"/>
      <c r="Z1627" s="7"/>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7"/>
      <c r="AX1627" s="7"/>
      <c r="AY1627" s="7"/>
      <c r="AZ1627" s="7"/>
      <c r="BA1627" s="7"/>
      <c r="BB1627" s="7"/>
      <c r="BC1627" s="7"/>
      <c r="BD1627" s="7"/>
      <c r="BE1627" s="7"/>
      <c r="BF1627" s="7"/>
      <c r="BG1627" s="7"/>
    </row>
    <row r="1628" customHeight="1" spans="1:59">
      <c r="A1628" s="9"/>
      <c r="B1628" s="5"/>
      <c r="C1628" s="5"/>
      <c r="D1628" s="5"/>
      <c r="E1628" s="7"/>
      <c r="F1628" s="8"/>
      <c r="G1628" s="8"/>
      <c r="H1628" s="8"/>
      <c r="I1628" s="14"/>
      <c r="J1628" s="14"/>
      <c r="K1628" s="14"/>
      <c r="L1628" s="14"/>
      <c r="M1628" s="7"/>
      <c r="N1628" s="8"/>
      <c r="O1628" s="8"/>
      <c r="P1628" s="8"/>
      <c r="Q1628" s="7"/>
      <c r="R1628" s="16"/>
      <c r="S1628" s="17"/>
      <c r="T1628" s="8"/>
      <c r="U1628" s="8"/>
      <c r="V1628" s="8"/>
      <c r="W1628" s="7"/>
      <c r="X1628" s="7"/>
      <c r="Y1628" s="7"/>
      <c r="Z1628" s="7"/>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7"/>
      <c r="AX1628" s="7"/>
      <c r="AY1628" s="7"/>
      <c r="AZ1628" s="7"/>
      <c r="BA1628" s="7"/>
      <c r="BB1628" s="7"/>
      <c r="BC1628" s="7"/>
      <c r="BD1628" s="7"/>
      <c r="BE1628" s="7"/>
      <c r="BF1628" s="7"/>
      <c r="BG1628" s="7"/>
    </row>
    <row r="1629" customHeight="1" spans="1:59">
      <c r="A1629" s="9"/>
      <c r="B1629" s="5"/>
      <c r="C1629" s="5"/>
      <c r="D1629" s="5"/>
      <c r="E1629" s="7"/>
      <c r="F1629" s="8"/>
      <c r="G1629" s="8"/>
      <c r="H1629" s="8"/>
      <c r="I1629" s="14"/>
      <c r="J1629" s="14"/>
      <c r="K1629" s="14"/>
      <c r="L1629" s="14"/>
      <c r="M1629" s="7"/>
      <c r="N1629" s="8"/>
      <c r="O1629" s="8"/>
      <c r="P1629" s="8"/>
      <c r="Q1629" s="7"/>
      <c r="R1629" s="16"/>
      <c r="S1629" s="17"/>
      <c r="T1629" s="8"/>
      <c r="U1629" s="8"/>
      <c r="V1629" s="8"/>
      <c r="W1629" s="7"/>
      <c r="X1629" s="7"/>
      <c r="Y1629" s="7"/>
      <c r="Z1629" s="7"/>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7"/>
      <c r="AX1629" s="7"/>
      <c r="AY1629" s="7"/>
      <c r="AZ1629" s="7"/>
      <c r="BA1629" s="7"/>
      <c r="BB1629" s="7"/>
      <c r="BC1629" s="7"/>
      <c r="BD1629" s="7"/>
      <c r="BE1629" s="7"/>
      <c r="BF1629" s="7"/>
      <c r="BG1629" s="7"/>
    </row>
    <row r="1630" customHeight="1" spans="1:59">
      <c r="A1630" s="9"/>
      <c r="B1630" s="5"/>
      <c r="C1630" s="5"/>
      <c r="D1630" s="5"/>
      <c r="E1630" s="7"/>
      <c r="F1630" s="8"/>
      <c r="G1630" s="8"/>
      <c r="H1630" s="8"/>
      <c r="I1630" s="14"/>
      <c r="J1630" s="14"/>
      <c r="K1630" s="14"/>
      <c r="L1630" s="14"/>
      <c r="M1630" s="7"/>
      <c r="N1630" s="8"/>
      <c r="O1630" s="8"/>
      <c r="P1630" s="8"/>
      <c r="Q1630" s="7"/>
      <c r="R1630" s="16"/>
      <c r="S1630" s="17"/>
      <c r="T1630" s="8"/>
      <c r="U1630" s="8"/>
      <c r="V1630" s="8"/>
      <c r="W1630" s="7"/>
      <c r="X1630" s="7"/>
      <c r="Y1630" s="7"/>
      <c r="Z1630" s="7"/>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7"/>
      <c r="AX1630" s="7"/>
      <c r="AY1630" s="7"/>
      <c r="AZ1630" s="7"/>
      <c r="BA1630" s="7"/>
      <c r="BB1630" s="7"/>
      <c r="BC1630" s="7"/>
      <c r="BD1630" s="7"/>
      <c r="BE1630" s="7"/>
      <c r="BF1630" s="7"/>
      <c r="BG1630" s="7"/>
    </row>
    <row r="1631" customHeight="1" spans="1:59">
      <c r="A1631" s="9"/>
      <c r="B1631" s="5"/>
      <c r="C1631" s="5"/>
      <c r="D1631" s="5"/>
      <c r="E1631" s="7"/>
      <c r="F1631" s="8"/>
      <c r="G1631" s="8"/>
      <c r="H1631" s="8"/>
      <c r="I1631" s="14"/>
      <c r="J1631" s="14"/>
      <c r="K1631" s="14"/>
      <c r="L1631" s="14"/>
      <c r="M1631" s="7"/>
      <c r="N1631" s="8"/>
      <c r="O1631" s="8"/>
      <c r="P1631" s="8"/>
      <c r="Q1631" s="7"/>
      <c r="R1631" s="16"/>
      <c r="S1631" s="17"/>
      <c r="T1631" s="8"/>
      <c r="U1631" s="8"/>
      <c r="V1631" s="8"/>
      <c r="W1631" s="7"/>
      <c r="X1631" s="7"/>
      <c r="Y1631" s="7"/>
      <c r="Z1631" s="7"/>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7"/>
      <c r="AX1631" s="7"/>
      <c r="AY1631" s="7"/>
      <c r="AZ1631" s="7"/>
      <c r="BA1631" s="7"/>
      <c r="BB1631" s="7"/>
      <c r="BC1631" s="7"/>
      <c r="BD1631" s="7"/>
      <c r="BE1631" s="7"/>
      <c r="BF1631" s="7"/>
      <c r="BG1631" s="7"/>
    </row>
    <row r="1632" customHeight="1" spans="1:59">
      <c r="A1632" s="9"/>
      <c r="B1632" s="5"/>
      <c r="C1632" s="5"/>
      <c r="D1632" s="5"/>
      <c r="E1632" s="7"/>
      <c r="F1632" s="8"/>
      <c r="G1632" s="8"/>
      <c r="H1632" s="8"/>
      <c r="I1632" s="14"/>
      <c r="J1632" s="14"/>
      <c r="K1632" s="14"/>
      <c r="L1632" s="14"/>
      <c r="M1632" s="7"/>
      <c r="N1632" s="8"/>
      <c r="O1632" s="8"/>
      <c r="P1632" s="8"/>
      <c r="Q1632" s="7"/>
      <c r="R1632" s="16"/>
      <c r="S1632" s="17"/>
      <c r="T1632" s="8"/>
      <c r="U1632" s="8"/>
      <c r="V1632" s="8"/>
      <c r="W1632" s="7"/>
      <c r="X1632" s="7"/>
      <c r="Y1632" s="7"/>
      <c r="Z1632" s="7"/>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7"/>
      <c r="AX1632" s="7"/>
      <c r="AY1632" s="7"/>
      <c r="AZ1632" s="7"/>
      <c r="BA1632" s="7"/>
      <c r="BB1632" s="7"/>
      <c r="BC1632" s="7"/>
      <c r="BD1632" s="7"/>
      <c r="BE1632" s="7"/>
      <c r="BF1632" s="7"/>
      <c r="BG1632" s="7"/>
    </row>
    <row r="1633" customHeight="1" spans="1:59">
      <c r="A1633" s="9"/>
      <c r="B1633" s="5"/>
      <c r="C1633" s="5"/>
      <c r="D1633" s="5"/>
      <c r="E1633" s="7"/>
      <c r="F1633" s="8"/>
      <c r="G1633" s="8"/>
      <c r="H1633" s="8"/>
      <c r="I1633" s="14"/>
      <c r="J1633" s="14"/>
      <c r="K1633" s="14"/>
      <c r="L1633" s="14"/>
      <c r="M1633" s="7"/>
      <c r="N1633" s="8"/>
      <c r="O1633" s="8"/>
      <c r="P1633" s="8"/>
      <c r="Q1633" s="7"/>
      <c r="R1633" s="16"/>
      <c r="S1633" s="17"/>
      <c r="T1633" s="8"/>
      <c r="U1633" s="8"/>
      <c r="V1633" s="8"/>
      <c r="W1633" s="7"/>
      <c r="X1633" s="7"/>
      <c r="Y1633" s="7"/>
      <c r="Z1633" s="7"/>
      <c r="AA1633" s="7"/>
      <c r="AB1633" s="7"/>
      <c r="AC1633" s="7"/>
      <c r="AD1633" s="7"/>
      <c r="AE1633" s="7"/>
      <c r="AF1633" s="7"/>
      <c r="AG1633" s="7"/>
      <c r="AH1633" s="7"/>
      <c r="AI1633" s="7"/>
      <c r="AJ1633" s="7"/>
      <c r="AK1633" s="7"/>
      <c r="AL1633" s="7"/>
      <c r="AM1633" s="7"/>
      <c r="AN1633" s="7"/>
      <c r="AO1633" s="7"/>
      <c r="AP1633" s="7"/>
      <c r="AQ1633" s="7"/>
      <c r="AR1633" s="7"/>
      <c r="AS1633" s="7"/>
      <c r="AT1633" s="7"/>
      <c r="AU1633" s="7"/>
      <c r="AV1633" s="7"/>
      <c r="AW1633" s="7"/>
      <c r="AX1633" s="7"/>
      <c r="AY1633" s="7"/>
      <c r="AZ1633" s="7"/>
      <c r="BA1633" s="7"/>
      <c r="BB1633" s="7"/>
      <c r="BC1633" s="7"/>
      <c r="BD1633" s="7"/>
      <c r="BE1633" s="7"/>
      <c r="BF1633" s="7"/>
      <c r="BG1633" s="7"/>
    </row>
    <row r="1634" customHeight="1" spans="1:59">
      <c r="A1634" s="9"/>
      <c r="B1634" s="5"/>
      <c r="C1634" s="5"/>
      <c r="D1634" s="5"/>
      <c r="E1634" s="7"/>
      <c r="F1634" s="8"/>
      <c r="G1634" s="8"/>
      <c r="H1634" s="8"/>
      <c r="I1634" s="14"/>
      <c r="J1634" s="14"/>
      <c r="K1634" s="14"/>
      <c r="L1634" s="14"/>
      <c r="M1634" s="7"/>
      <c r="N1634" s="8"/>
      <c r="O1634" s="8"/>
      <c r="P1634" s="8"/>
      <c r="Q1634" s="7"/>
      <c r="R1634" s="16"/>
      <c r="S1634" s="17"/>
      <c r="T1634" s="8"/>
      <c r="U1634" s="8"/>
      <c r="V1634" s="8"/>
      <c r="W1634" s="7"/>
      <c r="X1634" s="7"/>
      <c r="Y1634" s="7"/>
      <c r="Z1634" s="7"/>
      <c r="AA1634" s="7"/>
      <c r="AB1634" s="7"/>
      <c r="AC1634" s="7"/>
      <c r="AD1634" s="7"/>
      <c r="AE1634" s="7"/>
      <c r="AF1634" s="7"/>
      <c r="AG1634" s="7"/>
      <c r="AH1634" s="7"/>
      <c r="AI1634" s="7"/>
      <c r="AJ1634" s="7"/>
      <c r="AK1634" s="7"/>
      <c r="AL1634" s="7"/>
      <c r="AM1634" s="7"/>
      <c r="AN1634" s="7"/>
      <c r="AO1634" s="7"/>
      <c r="AP1634" s="7"/>
      <c r="AQ1634" s="7"/>
      <c r="AR1634" s="7"/>
      <c r="AS1634" s="7"/>
      <c r="AT1634" s="7"/>
      <c r="AU1634" s="7"/>
      <c r="AV1634" s="7"/>
      <c r="AW1634" s="7"/>
      <c r="AX1634" s="7"/>
      <c r="AY1634" s="7"/>
      <c r="AZ1634" s="7"/>
      <c r="BA1634" s="7"/>
      <c r="BB1634" s="7"/>
      <c r="BC1634" s="7"/>
      <c r="BD1634" s="7"/>
      <c r="BE1634" s="7"/>
      <c r="BF1634" s="7"/>
      <c r="BG1634" s="7"/>
    </row>
    <row r="1635" customHeight="1" spans="1:59">
      <c r="A1635" s="9"/>
      <c r="B1635" s="5"/>
      <c r="C1635" s="5"/>
      <c r="D1635" s="5"/>
      <c r="E1635" s="7"/>
      <c r="F1635" s="8"/>
      <c r="G1635" s="8"/>
      <c r="H1635" s="8"/>
      <c r="I1635" s="14"/>
      <c r="J1635" s="14"/>
      <c r="K1635" s="14"/>
      <c r="L1635" s="14"/>
      <c r="M1635" s="7"/>
      <c r="N1635" s="8"/>
      <c r="O1635" s="8"/>
      <c r="P1635" s="8"/>
      <c r="Q1635" s="7"/>
      <c r="R1635" s="16"/>
      <c r="S1635" s="17"/>
      <c r="T1635" s="8"/>
      <c r="U1635" s="8"/>
      <c r="V1635" s="8"/>
      <c r="W1635" s="7"/>
      <c r="X1635" s="7"/>
      <c r="Y1635" s="7"/>
      <c r="Z1635" s="7"/>
      <c r="AA1635" s="7"/>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7"/>
      <c r="BD1635" s="7"/>
      <c r="BE1635" s="7"/>
      <c r="BF1635" s="7"/>
      <c r="BG1635" s="7"/>
    </row>
    <row r="1636" customHeight="1" spans="1:59">
      <c r="A1636" s="9"/>
      <c r="B1636" s="5"/>
      <c r="C1636" s="5"/>
      <c r="D1636" s="5"/>
      <c r="E1636" s="7"/>
      <c r="F1636" s="8"/>
      <c r="G1636" s="8"/>
      <c r="H1636" s="8"/>
      <c r="I1636" s="14"/>
      <c r="J1636" s="14"/>
      <c r="K1636" s="14"/>
      <c r="L1636" s="14"/>
      <c r="M1636" s="7"/>
      <c r="N1636" s="8"/>
      <c r="O1636" s="8"/>
      <c r="P1636" s="8"/>
      <c r="Q1636" s="7"/>
      <c r="R1636" s="16"/>
      <c r="S1636" s="17"/>
      <c r="T1636" s="8"/>
      <c r="U1636" s="8"/>
      <c r="V1636" s="8"/>
      <c r="W1636" s="7"/>
      <c r="X1636" s="7"/>
      <c r="Y1636" s="7"/>
      <c r="Z1636" s="7"/>
      <c r="AA1636" s="7"/>
      <c r="AB1636" s="7"/>
      <c r="AC1636" s="7"/>
      <c r="AD1636" s="7"/>
      <c r="AE1636" s="7"/>
      <c r="AF1636" s="7"/>
      <c r="AG1636" s="7"/>
      <c r="AH1636" s="7"/>
      <c r="AI1636" s="7"/>
      <c r="AJ1636" s="7"/>
      <c r="AK1636" s="7"/>
      <c r="AL1636" s="7"/>
      <c r="AM1636" s="7"/>
      <c r="AN1636" s="7"/>
      <c r="AO1636" s="7"/>
      <c r="AP1636" s="7"/>
      <c r="AQ1636" s="7"/>
      <c r="AR1636" s="7"/>
      <c r="AS1636" s="7"/>
      <c r="AT1636" s="7"/>
      <c r="AU1636" s="7"/>
      <c r="AV1636" s="7"/>
      <c r="AW1636" s="7"/>
      <c r="AX1636" s="7"/>
      <c r="AY1636" s="7"/>
      <c r="AZ1636" s="7"/>
      <c r="BA1636" s="7"/>
      <c r="BB1636" s="7"/>
      <c r="BC1636" s="7"/>
      <c r="BD1636" s="7"/>
      <c r="BE1636" s="7"/>
      <c r="BF1636" s="7"/>
      <c r="BG1636" s="7"/>
    </row>
    <row r="1637" customHeight="1" spans="1:59">
      <c r="A1637" s="9"/>
      <c r="B1637" s="5"/>
      <c r="C1637" s="5"/>
      <c r="D1637" s="5"/>
      <c r="E1637" s="7"/>
      <c r="F1637" s="8"/>
      <c r="G1637" s="8"/>
      <c r="H1637" s="8"/>
      <c r="I1637" s="14"/>
      <c r="J1637" s="14"/>
      <c r="K1637" s="14"/>
      <c r="L1637" s="14"/>
      <c r="M1637" s="7"/>
      <c r="N1637" s="8"/>
      <c r="O1637" s="8"/>
      <c r="P1637" s="8"/>
      <c r="Q1637" s="7"/>
      <c r="R1637" s="16"/>
      <c r="S1637" s="17"/>
      <c r="T1637" s="8"/>
      <c r="U1637" s="8"/>
      <c r="V1637" s="8"/>
      <c r="W1637" s="7"/>
      <c r="X1637" s="7"/>
      <c r="Y1637" s="7"/>
      <c r="Z1637" s="7"/>
      <c r="AA1637" s="7"/>
      <c r="AB1637" s="7"/>
      <c r="AC1637" s="7"/>
      <c r="AD1637" s="7"/>
      <c r="AE1637" s="7"/>
      <c r="AF1637" s="7"/>
      <c r="AG1637" s="7"/>
      <c r="AH1637" s="7"/>
      <c r="AI1637" s="7"/>
      <c r="AJ1637" s="7"/>
      <c r="AK1637" s="7"/>
      <c r="AL1637" s="7"/>
      <c r="AM1637" s="7"/>
      <c r="AN1637" s="7"/>
      <c r="AO1637" s="7"/>
      <c r="AP1637" s="7"/>
      <c r="AQ1637" s="7"/>
      <c r="AR1637" s="7"/>
      <c r="AS1637" s="7"/>
      <c r="AT1637" s="7"/>
      <c r="AU1637" s="7"/>
      <c r="AV1637" s="7"/>
      <c r="AW1637" s="7"/>
      <c r="AX1637" s="7"/>
      <c r="AY1637" s="7"/>
      <c r="AZ1637" s="7"/>
      <c r="BA1637" s="7"/>
      <c r="BB1637" s="7"/>
      <c r="BC1637" s="7"/>
      <c r="BD1637" s="7"/>
      <c r="BE1637" s="7"/>
      <c r="BF1637" s="7"/>
      <c r="BG1637" s="7"/>
    </row>
    <row r="1638" customHeight="1" spans="1:59">
      <c r="A1638" s="9"/>
      <c r="B1638" s="5"/>
      <c r="C1638" s="5"/>
      <c r="D1638" s="5"/>
      <c r="E1638" s="7"/>
      <c r="F1638" s="8"/>
      <c r="G1638" s="8"/>
      <c r="H1638" s="8"/>
      <c r="I1638" s="14"/>
      <c r="J1638" s="14"/>
      <c r="K1638" s="14"/>
      <c r="L1638" s="14"/>
      <c r="M1638" s="7"/>
      <c r="N1638" s="8"/>
      <c r="O1638" s="8"/>
      <c r="P1638" s="8"/>
      <c r="Q1638" s="7"/>
      <c r="R1638" s="16"/>
      <c r="S1638" s="17"/>
      <c r="T1638" s="8"/>
      <c r="U1638" s="8"/>
      <c r="V1638" s="8"/>
      <c r="W1638" s="7"/>
      <c r="X1638" s="7"/>
      <c r="Y1638" s="7"/>
      <c r="Z1638" s="7"/>
      <c r="AA1638" s="7"/>
      <c r="AB1638" s="7"/>
      <c r="AC1638" s="7"/>
      <c r="AD1638" s="7"/>
      <c r="AE1638" s="7"/>
      <c r="AF1638" s="7"/>
      <c r="AG1638" s="7"/>
      <c r="AH1638" s="7"/>
      <c r="AI1638" s="7"/>
      <c r="AJ1638" s="7"/>
      <c r="AK1638" s="7"/>
      <c r="AL1638" s="7"/>
      <c r="AM1638" s="7"/>
      <c r="AN1638" s="7"/>
      <c r="AO1638" s="7"/>
      <c r="AP1638" s="7"/>
      <c r="AQ1638" s="7"/>
      <c r="AR1638" s="7"/>
      <c r="AS1638" s="7"/>
      <c r="AT1638" s="7"/>
      <c r="AU1638" s="7"/>
      <c r="AV1638" s="7"/>
      <c r="AW1638" s="7"/>
      <c r="AX1638" s="7"/>
      <c r="AY1638" s="7"/>
      <c r="AZ1638" s="7"/>
      <c r="BA1638" s="7"/>
      <c r="BB1638" s="7"/>
      <c r="BC1638" s="7"/>
      <c r="BD1638" s="7"/>
      <c r="BE1638" s="7"/>
      <c r="BF1638" s="7"/>
      <c r="BG1638" s="7"/>
    </row>
    <row r="1639" customHeight="1" spans="1:59">
      <c r="A1639" s="9"/>
      <c r="B1639" s="5"/>
      <c r="C1639" s="5"/>
      <c r="D1639" s="5"/>
      <c r="E1639" s="7"/>
      <c r="F1639" s="8"/>
      <c r="G1639" s="8"/>
      <c r="H1639" s="8"/>
      <c r="I1639" s="14"/>
      <c r="J1639" s="14"/>
      <c r="K1639" s="14"/>
      <c r="L1639" s="14"/>
      <c r="M1639" s="7"/>
      <c r="N1639" s="8"/>
      <c r="O1639" s="8"/>
      <c r="P1639" s="8"/>
      <c r="Q1639" s="7"/>
      <c r="R1639" s="16"/>
      <c r="S1639" s="17"/>
      <c r="T1639" s="8"/>
      <c r="U1639" s="8"/>
      <c r="V1639" s="8"/>
      <c r="W1639" s="7"/>
      <c r="X1639" s="7"/>
      <c r="Y1639" s="7"/>
      <c r="Z1639" s="7"/>
      <c r="AA1639" s="7"/>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7"/>
      <c r="AX1639" s="7"/>
      <c r="AY1639" s="7"/>
      <c r="AZ1639" s="7"/>
      <c r="BA1639" s="7"/>
      <c r="BB1639" s="7"/>
      <c r="BC1639" s="7"/>
      <c r="BD1639" s="7"/>
      <c r="BE1639" s="7"/>
      <c r="BF1639" s="7"/>
      <c r="BG1639" s="7"/>
    </row>
    <row r="1640" customHeight="1" spans="1:59">
      <c r="A1640" s="9"/>
      <c r="B1640" s="5"/>
      <c r="C1640" s="5"/>
      <c r="D1640" s="5"/>
      <c r="E1640" s="7"/>
      <c r="F1640" s="8"/>
      <c r="G1640" s="8"/>
      <c r="H1640" s="8"/>
      <c r="I1640" s="14"/>
      <c r="J1640" s="14"/>
      <c r="K1640" s="14"/>
      <c r="L1640" s="14"/>
      <c r="M1640" s="7"/>
      <c r="N1640" s="8"/>
      <c r="O1640" s="8"/>
      <c r="P1640" s="8"/>
      <c r="Q1640" s="7"/>
      <c r="R1640" s="16"/>
      <c r="S1640" s="17"/>
      <c r="T1640" s="8"/>
      <c r="U1640" s="8"/>
      <c r="V1640" s="8"/>
      <c r="W1640" s="7"/>
      <c r="X1640" s="7"/>
      <c r="Y1640" s="7"/>
      <c r="Z1640" s="7"/>
      <c r="AA1640" s="7"/>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7"/>
      <c r="AX1640" s="7"/>
      <c r="AY1640" s="7"/>
      <c r="AZ1640" s="7"/>
      <c r="BA1640" s="7"/>
      <c r="BB1640" s="7"/>
      <c r="BC1640" s="7"/>
      <c r="BD1640" s="7"/>
      <c r="BE1640" s="7"/>
      <c r="BF1640" s="7"/>
      <c r="BG1640" s="7"/>
    </row>
    <row r="1641" customHeight="1" spans="1:59">
      <c r="A1641" s="9"/>
      <c r="B1641" s="5"/>
      <c r="C1641" s="5"/>
      <c r="D1641" s="5"/>
      <c r="E1641" s="7"/>
      <c r="F1641" s="8"/>
      <c r="G1641" s="8"/>
      <c r="H1641" s="8"/>
      <c r="I1641" s="14"/>
      <c r="J1641" s="14"/>
      <c r="K1641" s="14"/>
      <c r="L1641" s="14"/>
      <c r="M1641" s="7"/>
      <c r="N1641" s="8"/>
      <c r="O1641" s="8"/>
      <c r="P1641" s="8"/>
      <c r="Q1641" s="7"/>
      <c r="R1641" s="16"/>
      <c r="S1641" s="17"/>
      <c r="T1641" s="8"/>
      <c r="U1641" s="8"/>
      <c r="V1641" s="8"/>
      <c r="W1641" s="7"/>
      <c r="X1641" s="7"/>
      <c r="Y1641" s="7"/>
      <c r="Z1641" s="7"/>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7"/>
      <c r="AX1641" s="7"/>
      <c r="AY1641" s="7"/>
      <c r="AZ1641" s="7"/>
      <c r="BA1641" s="7"/>
      <c r="BB1641" s="7"/>
      <c r="BC1641" s="7"/>
      <c r="BD1641" s="7"/>
      <c r="BE1641" s="7"/>
      <c r="BF1641" s="7"/>
      <c r="BG1641" s="7"/>
    </row>
    <row r="1642" customHeight="1" spans="1:59">
      <c r="A1642" s="9"/>
      <c r="B1642" s="5"/>
      <c r="C1642" s="5"/>
      <c r="D1642" s="5"/>
      <c r="E1642" s="7"/>
      <c r="F1642" s="8"/>
      <c r="G1642" s="8"/>
      <c r="H1642" s="8"/>
      <c r="I1642" s="14"/>
      <c r="J1642" s="14"/>
      <c r="K1642" s="14"/>
      <c r="L1642" s="14"/>
      <c r="M1642" s="7"/>
      <c r="N1642" s="8"/>
      <c r="O1642" s="8"/>
      <c r="P1642" s="8"/>
      <c r="Q1642" s="7"/>
      <c r="R1642" s="16"/>
      <c r="S1642" s="17"/>
      <c r="T1642" s="8"/>
      <c r="U1642" s="8"/>
      <c r="V1642" s="8"/>
      <c r="W1642" s="7"/>
      <c r="X1642" s="7"/>
      <c r="Y1642" s="7"/>
      <c r="Z1642" s="7"/>
      <c r="AA1642" s="7"/>
      <c r="AB1642" s="7"/>
      <c r="AC1642" s="7"/>
      <c r="AD1642" s="7"/>
      <c r="AE1642" s="7"/>
      <c r="AF1642" s="7"/>
      <c r="AG1642" s="7"/>
      <c r="AH1642" s="7"/>
      <c r="AI1642" s="7"/>
      <c r="AJ1642" s="7"/>
      <c r="AK1642" s="7"/>
      <c r="AL1642" s="7"/>
      <c r="AM1642" s="7"/>
      <c r="AN1642" s="7"/>
      <c r="AO1642" s="7"/>
      <c r="AP1642" s="7"/>
      <c r="AQ1642" s="7"/>
      <c r="AR1642" s="7"/>
      <c r="AS1642" s="7"/>
      <c r="AT1642" s="7"/>
      <c r="AU1642" s="7"/>
      <c r="AV1642" s="7"/>
      <c r="AW1642" s="7"/>
      <c r="AX1642" s="7"/>
      <c r="AY1642" s="7"/>
      <c r="AZ1642" s="7"/>
      <c r="BA1642" s="7"/>
      <c r="BB1642" s="7"/>
      <c r="BC1642" s="7"/>
      <c r="BD1642" s="7"/>
      <c r="BE1642" s="7"/>
      <c r="BF1642" s="7"/>
      <c r="BG1642" s="7"/>
    </row>
    <row r="1643" customHeight="1" spans="1:59">
      <c r="A1643" s="9"/>
      <c r="B1643" s="5"/>
      <c r="C1643" s="5"/>
      <c r="D1643" s="5"/>
      <c r="E1643" s="7"/>
      <c r="F1643" s="8"/>
      <c r="G1643" s="8"/>
      <c r="H1643" s="8"/>
      <c r="I1643" s="14"/>
      <c r="J1643" s="14"/>
      <c r="K1643" s="14"/>
      <c r="L1643" s="14"/>
      <c r="M1643" s="7"/>
      <c r="N1643" s="8"/>
      <c r="O1643" s="8"/>
      <c r="P1643" s="8"/>
      <c r="Q1643" s="7"/>
      <c r="R1643" s="16"/>
      <c r="S1643" s="17"/>
      <c r="T1643" s="8"/>
      <c r="U1643" s="8"/>
      <c r="V1643" s="8"/>
      <c r="W1643" s="7"/>
      <c r="X1643" s="7"/>
      <c r="Y1643" s="7"/>
      <c r="Z1643" s="7"/>
      <c r="AA1643" s="7"/>
      <c r="AB1643" s="7"/>
      <c r="AC1643" s="7"/>
      <c r="AD1643" s="7"/>
      <c r="AE1643" s="7"/>
      <c r="AF1643" s="7"/>
      <c r="AG1643" s="7"/>
      <c r="AH1643" s="7"/>
      <c r="AI1643" s="7"/>
      <c r="AJ1643" s="7"/>
      <c r="AK1643" s="7"/>
      <c r="AL1643" s="7"/>
      <c r="AM1643" s="7"/>
      <c r="AN1643" s="7"/>
      <c r="AO1643" s="7"/>
      <c r="AP1643" s="7"/>
      <c r="AQ1643" s="7"/>
      <c r="AR1643" s="7"/>
      <c r="AS1643" s="7"/>
      <c r="AT1643" s="7"/>
      <c r="AU1643" s="7"/>
      <c r="AV1643" s="7"/>
      <c r="AW1643" s="7"/>
      <c r="AX1643" s="7"/>
      <c r="AY1643" s="7"/>
      <c r="AZ1643" s="7"/>
      <c r="BA1643" s="7"/>
      <c r="BB1643" s="7"/>
      <c r="BC1643" s="7"/>
      <c r="BD1643" s="7"/>
      <c r="BE1643" s="7"/>
      <c r="BF1643" s="7"/>
      <c r="BG1643" s="7"/>
    </row>
    <row r="1644" customHeight="1" spans="1:59">
      <c r="A1644" s="9"/>
      <c r="B1644" s="5"/>
      <c r="C1644" s="5"/>
      <c r="D1644" s="5"/>
      <c r="E1644" s="7"/>
      <c r="F1644" s="8"/>
      <c r="G1644" s="8"/>
      <c r="H1644" s="8"/>
      <c r="I1644" s="14"/>
      <c r="J1644" s="14"/>
      <c r="K1644" s="14"/>
      <c r="L1644" s="14"/>
      <c r="M1644" s="7"/>
      <c r="N1644" s="8"/>
      <c r="O1644" s="8"/>
      <c r="P1644" s="8"/>
      <c r="Q1644" s="7"/>
      <c r="R1644" s="16"/>
      <c r="S1644" s="17"/>
      <c r="T1644" s="8"/>
      <c r="U1644" s="8"/>
      <c r="V1644" s="8"/>
      <c r="W1644" s="7"/>
      <c r="X1644" s="7"/>
      <c r="Y1644" s="7"/>
      <c r="Z1644" s="7"/>
      <c r="AA1644" s="7"/>
      <c r="AB1644" s="7"/>
      <c r="AC1644" s="7"/>
      <c r="AD1644" s="7"/>
      <c r="AE1644" s="7"/>
      <c r="AF1644" s="7"/>
      <c r="AG1644" s="7"/>
      <c r="AH1644" s="7"/>
      <c r="AI1644" s="7"/>
      <c r="AJ1644" s="7"/>
      <c r="AK1644" s="7"/>
      <c r="AL1644" s="7"/>
      <c r="AM1644" s="7"/>
      <c r="AN1644" s="7"/>
      <c r="AO1644" s="7"/>
      <c r="AP1644" s="7"/>
      <c r="AQ1644" s="7"/>
      <c r="AR1644" s="7"/>
      <c r="AS1644" s="7"/>
      <c r="AT1644" s="7"/>
      <c r="AU1644" s="7"/>
      <c r="AV1644" s="7"/>
      <c r="AW1644" s="7"/>
      <c r="AX1644" s="7"/>
      <c r="AY1644" s="7"/>
      <c r="AZ1644" s="7"/>
      <c r="BA1644" s="7"/>
      <c r="BB1644" s="7"/>
      <c r="BC1644" s="7"/>
      <c r="BD1644" s="7"/>
      <c r="BE1644" s="7"/>
      <c r="BF1644" s="7"/>
      <c r="BG1644" s="7"/>
    </row>
    <row r="1645" customHeight="1" spans="1:59">
      <c r="A1645" s="9"/>
      <c r="B1645" s="5"/>
      <c r="C1645" s="5"/>
      <c r="D1645" s="5"/>
      <c r="E1645" s="7"/>
      <c r="F1645" s="8"/>
      <c r="G1645" s="8"/>
      <c r="H1645" s="8"/>
      <c r="I1645" s="14"/>
      <c r="J1645" s="14"/>
      <c r="K1645" s="14"/>
      <c r="L1645" s="14"/>
      <c r="M1645" s="7"/>
      <c r="N1645" s="8"/>
      <c r="O1645" s="8"/>
      <c r="P1645" s="8"/>
      <c r="Q1645" s="7"/>
      <c r="R1645" s="16"/>
      <c r="S1645" s="17"/>
      <c r="T1645" s="8"/>
      <c r="U1645" s="8"/>
      <c r="V1645" s="8"/>
      <c r="W1645" s="7"/>
      <c r="X1645" s="7"/>
      <c r="Y1645" s="7"/>
      <c r="Z1645" s="7"/>
      <c r="AA1645" s="7"/>
      <c r="AB1645" s="7"/>
      <c r="AC1645" s="7"/>
      <c r="AD1645" s="7"/>
      <c r="AE1645" s="7"/>
      <c r="AF1645" s="7"/>
      <c r="AG1645" s="7"/>
      <c r="AH1645" s="7"/>
      <c r="AI1645" s="7"/>
      <c r="AJ1645" s="7"/>
      <c r="AK1645" s="7"/>
      <c r="AL1645" s="7"/>
      <c r="AM1645" s="7"/>
      <c r="AN1645" s="7"/>
      <c r="AO1645" s="7"/>
      <c r="AP1645" s="7"/>
      <c r="AQ1645" s="7"/>
      <c r="AR1645" s="7"/>
      <c r="AS1645" s="7"/>
      <c r="AT1645" s="7"/>
      <c r="AU1645" s="7"/>
      <c r="AV1645" s="7"/>
      <c r="AW1645" s="7"/>
      <c r="AX1645" s="7"/>
      <c r="AY1645" s="7"/>
      <c r="AZ1645" s="7"/>
      <c r="BA1645" s="7"/>
      <c r="BB1645" s="7"/>
      <c r="BC1645" s="7"/>
      <c r="BD1645" s="7"/>
      <c r="BE1645" s="7"/>
      <c r="BF1645" s="7"/>
      <c r="BG1645" s="7"/>
    </row>
    <row r="1646" customHeight="1" spans="1:59">
      <c r="A1646" s="9"/>
      <c r="B1646" s="5"/>
      <c r="C1646" s="5"/>
      <c r="D1646" s="5"/>
      <c r="E1646" s="7"/>
      <c r="F1646" s="8"/>
      <c r="G1646" s="8"/>
      <c r="H1646" s="8"/>
      <c r="I1646" s="14"/>
      <c r="J1646" s="14"/>
      <c r="K1646" s="14"/>
      <c r="L1646" s="14"/>
      <c r="M1646" s="7"/>
      <c r="N1646" s="8"/>
      <c r="O1646" s="8"/>
      <c r="P1646" s="8"/>
      <c r="Q1646" s="7"/>
      <c r="R1646" s="16"/>
      <c r="S1646" s="17"/>
      <c r="T1646" s="8"/>
      <c r="U1646" s="8"/>
      <c r="V1646" s="8"/>
      <c r="W1646" s="7"/>
      <c r="X1646" s="7"/>
      <c r="Y1646" s="7"/>
      <c r="Z1646" s="7"/>
      <c r="AA1646" s="7"/>
      <c r="AB1646" s="7"/>
      <c r="AC1646" s="7"/>
      <c r="AD1646" s="7"/>
      <c r="AE1646" s="7"/>
      <c r="AF1646" s="7"/>
      <c r="AG1646" s="7"/>
      <c r="AH1646" s="7"/>
      <c r="AI1646" s="7"/>
      <c r="AJ1646" s="7"/>
      <c r="AK1646" s="7"/>
      <c r="AL1646" s="7"/>
      <c r="AM1646" s="7"/>
      <c r="AN1646" s="7"/>
      <c r="AO1646" s="7"/>
      <c r="AP1646" s="7"/>
      <c r="AQ1646" s="7"/>
      <c r="AR1646" s="7"/>
      <c r="AS1646" s="7"/>
      <c r="AT1646" s="7"/>
      <c r="AU1646" s="7"/>
      <c r="AV1646" s="7"/>
      <c r="AW1646" s="7"/>
      <c r="AX1646" s="7"/>
      <c r="AY1646" s="7"/>
      <c r="AZ1646" s="7"/>
      <c r="BA1646" s="7"/>
      <c r="BB1646" s="7"/>
      <c r="BC1646" s="7"/>
      <c r="BD1646" s="7"/>
      <c r="BE1646" s="7"/>
      <c r="BF1646" s="7"/>
      <c r="BG1646" s="7"/>
    </row>
    <row r="1647" customHeight="1" spans="1:59">
      <c r="A1647" s="9"/>
      <c r="B1647" s="5"/>
      <c r="C1647" s="5"/>
      <c r="D1647" s="5"/>
      <c r="E1647" s="7"/>
      <c r="F1647" s="8"/>
      <c r="G1647" s="8"/>
      <c r="H1647" s="8"/>
      <c r="I1647" s="14"/>
      <c r="J1647" s="14"/>
      <c r="K1647" s="14"/>
      <c r="L1647" s="14"/>
      <c r="M1647" s="7"/>
      <c r="N1647" s="8"/>
      <c r="O1647" s="8"/>
      <c r="P1647" s="8"/>
      <c r="Q1647" s="7"/>
      <c r="R1647" s="16"/>
      <c r="S1647" s="17"/>
      <c r="T1647" s="8"/>
      <c r="U1647" s="8"/>
      <c r="V1647" s="8"/>
      <c r="W1647" s="7"/>
      <c r="X1647" s="7"/>
      <c r="Y1647" s="7"/>
      <c r="Z1647" s="7"/>
      <c r="AA1647" s="7"/>
      <c r="AB1647" s="7"/>
      <c r="AC1647" s="7"/>
      <c r="AD1647" s="7"/>
      <c r="AE1647" s="7"/>
      <c r="AF1647" s="7"/>
      <c r="AG1647" s="7"/>
      <c r="AH1647" s="7"/>
      <c r="AI1647" s="7"/>
      <c r="AJ1647" s="7"/>
      <c r="AK1647" s="7"/>
      <c r="AL1647" s="7"/>
      <c r="AM1647" s="7"/>
      <c r="AN1647" s="7"/>
      <c r="AO1647" s="7"/>
      <c r="AP1647" s="7"/>
      <c r="AQ1647" s="7"/>
      <c r="AR1647" s="7"/>
      <c r="AS1647" s="7"/>
      <c r="AT1647" s="7"/>
      <c r="AU1647" s="7"/>
      <c r="AV1647" s="7"/>
      <c r="AW1647" s="7"/>
      <c r="AX1647" s="7"/>
      <c r="AY1647" s="7"/>
      <c r="AZ1647" s="7"/>
      <c r="BA1647" s="7"/>
      <c r="BB1647" s="7"/>
      <c r="BC1647" s="7"/>
      <c r="BD1647" s="7"/>
      <c r="BE1647" s="7"/>
      <c r="BF1647" s="7"/>
      <c r="BG1647" s="7"/>
    </row>
    <row r="1648" customHeight="1" spans="1:59">
      <c r="A1648" s="9"/>
      <c r="B1648" s="5"/>
      <c r="C1648" s="5"/>
      <c r="D1648" s="5"/>
      <c r="E1648" s="7"/>
      <c r="F1648" s="8"/>
      <c r="G1648" s="8"/>
      <c r="H1648" s="8"/>
      <c r="I1648" s="14"/>
      <c r="J1648" s="14"/>
      <c r="K1648" s="14"/>
      <c r="L1648" s="14"/>
      <c r="M1648" s="7"/>
      <c r="N1648" s="8"/>
      <c r="O1648" s="8"/>
      <c r="P1648" s="8"/>
      <c r="Q1648" s="7"/>
      <c r="R1648" s="16"/>
      <c r="S1648" s="17"/>
      <c r="T1648" s="8"/>
      <c r="U1648" s="8"/>
      <c r="V1648" s="8"/>
      <c r="W1648" s="7"/>
      <c r="X1648" s="7"/>
      <c r="Y1648" s="7"/>
      <c r="Z1648" s="7"/>
      <c r="AA1648" s="7"/>
      <c r="AB1648" s="7"/>
      <c r="AC1648" s="7"/>
      <c r="AD1648" s="7"/>
      <c r="AE1648" s="7"/>
      <c r="AF1648" s="7"/>
      <c r="AG1648" s="7"/>
      <c r="AH1648" s="7"/>
      <c r="AI1648" s="7"/>
      <c r="AJ1648" s="7"/>
      <c r="AK1648" s="7"/>
      <c r="AL1648" s="7"/>
      <c r="AM1648" s="7"/>
      <c r="AN1648" s="7"/>
      <c r="AO1648" s="7"/>
      <c r="AP1648" s="7"/>
      <c r="AQ1648" s="7"/>
      <c r="AR1648" s="7"/>
      <c r="AS1648" s="7"/>
      <c r="AT1648" s="7"/>
      <c r="AU1648" s="7"/>
      <c r="AV1648" s="7"/>
      <c r="AW1648" s="7"/>
      <c r="AX1648" s="7"/>
      <c r="AY1648" s="7"/>
      <c r="AZ1648" s="7"/>
      <c r="BA1648" s="7"/>
      <c r="BB1648" s="7"/>
      <c r="BC1648" s="7"/>
      <c r="BD1648" s="7"/>
      <c r="BE1648" s="7"/>
      <c r="BF1648" s="7"/>
      <c r="BG1648" s="7"/>
    </row>
    <row r="1649" customHeight="1" spans="1:59">
      <c r="A1649" s="9"/>
      <c r="B1649" s="5"/>
      <c r="C1649" s="5"/>
      <c r="D1649" s="5"/>
      <c r="E1649" s="7"/>
      <c r="F1649" s="8"/>
      <c r="G1649" s="8"/>
      <c r="H1649" s="8"/>
      <c r="I1649" s="14"/>
      <c r="J1649" s="14"/>
      <c r="K1649" s="14"/>
      <c r="L1649" s="14"/>
      <c r="M1649" s="7"/>
      <c r="N1649" s="8"/>
      <c r="O1649" s="8"/>
      <c r="P1649" s="8"/>
      <c r="Q1649" s="7"/>
      <c r="R1649" s="16"/>
      <c r="S1649" s="17"/>
      <c r="T1649" s="8"/>
      <c r="U1649" s="8"/>
      <c r="V1649" s="8"/>
      <c r="W1649" s="7"/>
      <c r="X1649" s="7"/>
      <c r="Y1649" s="7"/>
      <c r="Z1649" s="7"/>
      <c r="AA1649" s="7"/>
      <c r="AB1649" s="7"/>
      <c r="AC1649" s="7"/>
      <c r="AD1649" s="7"/>
      <c r="AE1649" s="7"/>
      <c r="AF1649" s="7"/>
      <c r="AG1649" s="7"/>
      <c r="AH1649" s="7"/>
      <c r="AI1649" s="7"/>
      <c r="AJ1649" s="7"/>
      <c r="AK1649" s="7"/>
      <c r="AL1649" s="7"/>
      <c r="AM1649" s="7"/>
      <c r="AN1649" s="7"/>
      <c r="AO1649" s="7"/>
      <c r="AP1649" s="7"/>
      <c r="AQ1649" s="7"/>
      <c r="AR1649" s="7"/>
      <c r="AS1649" s="7"/>
      <c r="AT1649" s="7"/>
      <c r="AU1649" s="7"/>
      <c r="AV1649" s="7"/>
      <c r="AW1649" s="7"/>
      <c r="AX1649" s="7"/>
      <c r="AY1649" s="7"/>
      <c r="AZ1649" s="7"/>
      <c r="BA1649" s="7"/>
      <c r="BB1649" s="7"/>
      <c r="BC1649" s="7"/>
      <c r="BD1649" s="7"/>
      <c r="BE1649" s="7"/>
      <c r="BF1649" s="7"/>
      <c r="BG1649" s="7"/>
    </row>
    <row r="1650" customHeight="1" spans="1:59">
      <c r="A1650" s="9"/>
      <c r="B1650" s="5"/>
      <c r="C1650" s="5"/>
      <c r="D1650" s="5"/>
      <c r="E1650" s="7"/>
      <c r="F1650" s="8"/>
      <c r="G1650" s="8"/>
      <c r="H1650" s="8"/>
      <c r="I1650" s="14"/>
      <c r="J1650" s="14"/>
      <c r="K1650" s="14"/>
      <c r="L1650" s="14"/>
      <c r="M1650" s="7"/>
      <c r="N1650" s="8"/>
      <c r="O1650" s="8"/>
      <c r="P1650" s="8"/>
      <c r="Q1650" s="7"/>
      <c r="R1650" s="16"/>
      <c r="S1650" s="17"/>
      <c r="T1650" s="8"/>
      <c r="U1650" s="8"/>
      <c r="V1650" s="8"/>
      <c r="W1650" s="7"/>
      <c r="X1650" s="7"/>
      <c r="Y1650" s="7"/>
      <c r="Z1650" s="7"/>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7"/>
      <c r="AX1650" s="7"/>
      <c r="AY1650" s="7"/>
      <c r="AZ1650" s="7"/>
      <c r="BA1650" s="7"/>
      <c r="BB1650" s="7"/>
      <c r="BC1650" s="7"/>
      <c r="BD1650" s="7"/>
      <c r="BE1650" s="7"/>
      <c r="BF1650" s="7"/>
      <c r="BG1650" s="7"/>
    </row>
    <row r="1651" customHeight="1" spans="1:59">
      <c r="A1651" s="9"/>
      <c r="B1651" s="5"/>
      <c r="C1651" s="5"/>
      <c r="D1651" s="5"/>
      <c r="E1651" s="7"/>
      <c r="F1651" s="8"/>
      <c r="G1651" s="8"/>
      <c r="H1651" s="8"/>
      <c r="I1651" s="14"/>
      <c r="J1651" s="14"/>
      <c r="K1651" s="14"/>
      <c r="L1651" s="14"/>
      <c r="M1651" s="7"/>
      <c r="N1651" s="8"/>
      <c r="O1651" s="8"/>
      <c r="P1651" s="8"/>
      <c r="Q1651" s="7"/>
      <c r="R1651" s="16"/>
      <c r="S1651" s="17"/>
      <c r="T1651" s="8"/>
      <c r="U1651" s="8"/>
      <c r="V1651" s="8"/>
      <c r="W1651" s="7"/>
      <c r="X1651" s="7"/>
      <c r="Y1651" s="7"/>
      <c r="Z1651" s="7"/>
      <c r="AA1651" s="7"/>
      <c r="AB1651" s="7"/>
      <c r="AC1651" s="7"/>
      <c r="AD1651" s="7"/>
      <c r="AE1651" s="7"/>
      <c r="AF1651" s="7"/>
      <c r="AG1651" s="7"/>
      <c r="AH1651" s="7"/>
      <c r="AI1651" s="7"/>
      <c r="AJ1651" s="7"/>
      <c r="AK1651" s="7"/>
      <c r="AL1651" s="7"/>
      <c r="AM1651" s="7"/>
      <c r="AN1651" s="7"/>
      <c r="AO1651" s="7"/>
      <c r="AP1651" s="7"/>
      <c r="AQ1651" s="7"/>
      <c r="AR1651" s="7"/>
      <c r="AS1651" s="7"/>
      <c r="AT1651" s="7"/>
      <c r="AU1651" s="7"/>
      <c r="AV1651" s="7"/>
      <c r="AW1651" s="7"/>
      <c r="AX1651" s="7"/>
      <c r="AY1651" s="7"/>
      <c r="AZ1651" s="7"/>
      <c r="BA1651" s="7"/>
      <c r="BB1651" s="7"/>
      <c r="BC1651" s="7"/>
      <c r="BD1651" s="7"/>
      <c r="BE1651" s="7"/>
      <c r="BF1651" s="7"/>
      <c r="BG1651" s="7"/>
    </row>
    <row r="1652" customHeight="1" spans="1:59">
      <c r="A1652" s="9"/>
      <c r="B1652" s="5"/>
      <c r="C1652" s="5"/>
      <c r="D1652" s="5"/>
      <c r="E1652" s="7"/>
      <c r="F1652" s="8"/>
      <c r="G1652" s="8"/>
      <c r="H1652" s="8"/>
      <c r="I1652" s="14"/>
      <c r="J1652" s="14"/>
      <c r="K1652" s="14"/>
      <c r="L1652" s="14"/>
      <c r="M1652" s="7"/>
      <c r="N1652" s="8"/>
      <c r="O1652" s="8"/>
      <c r="P1652" s="8"/>
      <c r="Q1652" s="7"/>
      <c r="R1652" s="16"/>
      <c r="S1652" s="17"/>
      <c r="T1652" s="8"/>
      <c r="U1652" s="8"/>
      <c r="V1652" s="8"/>
      <c r="W1652" s="7"/>
      <c r="X1652" s="7"/>
      <c r="Y1652" s="7"/>
      <c r="Z1652" s="7"/>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7"/>
      <c r="AX1652" s="7"/>
      <c r="AY1652" s="7"/>
      <c r="AZ1652" s="7"/>
      <c r="BA1652" s="7"/>
      <c r="BB1652" s="7"/>
      <c r="BC1652" s="7"/>
      <c r="BD1652" s="7"/>
      <c r="BE1652" s="7"/>
      <c r="BF1652" s="7"/>
      <c r="BG1652" s="7"/>
    </row>
    <row r="1653" customHeight="1" spans="1:59">
      <c r="A1653" s="9"/>
      <c r="B1653" s="5"/>
      <c r="C1653" s="5"/>
      <c r="D1653" s="5"/>
      <c r="E1653" s="7"/>
      <c r="F1653" s="8"/>
      <c r="G1653" s="8"/>
      <c r="H1653" s="8"/>
      <c r="I1653" s="14"/>
      <c r="J1653" s="14"/>
      <c r="K1653" s="14"/>
      <c r="L1653" s="14"/>
      <c r="M1653" s="7"/>
      <c r="N1653" s="8"/>
      <c r="O1653" s="8"/>
      <c r="P1653" s="8"/>
      <c r="Q1653" s="7"/>
      <c r="R1653" s="16"/>
      <c r="S1653" s="17"/>
      <c r="T1653" s="8"/>
      <c r="U1653" s="8"/>
      <c r="V1653" s="8"/>
      <c r="W1653" s="7"/>
      <c r="X1653" s="7"/>
      <c r="Y1653" s="7"/>
      <c r="Z1653" s="7"/>
      <c r="AA1653" s="7"/>
      <c r="AB1653" s="7"/>
      <c r="AC1653" s="7"/>
      <c r="AD1653" s="7"/>
      <c r="AE1653" s="7"/>
      <c r="AF1653" s="7"/>
      <c r="AG1653" s="7"/>
      <c r="AH1653" s="7"/>
      <c r="AI1653" s="7"/>
      <c r="AJ1653" s="7"/>
      <c r="AK1653" s="7"/>
      <c r="AL1653" s="7"/>
      <c r="AM1653" s="7"/>
      <c r="AN1653" s="7"/>
      <c r="AO1653" s="7"/>
      <c r="AP1653" s="7"/>
      <c r="AQ1653" s="7"/>
      <c r="AR1653" s="7"/>
      <c r="AS1653" s="7"/>
      <c r="AT1653" s="7"/>
      <c r="AU1653" s="7"/>
      <c r="AV1653" s="7"/>
      <c r="AW1653" s="7"/>
      <c r="AX1653" s="7"/>
      <c r="AY1653" s="7"/>
      <c r="AZ1653" s="7"/>
      <c r="BA1653" s="7"/>
      <c r="BB1653" s="7"/>
      <c r="BC1653" s="7"/>
      <c r="BD1653" s="7"/>
      <c r="BE1653" s="7"/>
      <c r="BF1653" s="7"/>
      <c r="BG1653" s="7"/>
    </row>
    <row r="1654" customHeight="1" spans="1:59">
      <c r="A1654" s="9"/>
      <c r="B1654" s="5"/>
      <c r="C1654" s="5"/>
      <c r="D1654" s="5"/>
      <c r="E1654" s="7"/>
      <c r="F1654" s="8"/>
      <c r="G1654" s="8"/>
      <c r="H1654" s="8"/>
      <c r="I1654" s="14"/>
      <c r="J1654" s="14"/>
      <c r="K1654" s="14"/>
      <c r="L1654" s="14"/>
      <c r="M1654" s="7"/>
      <c r="N1654" s="8"/>
      <c r="O1654" s="8"/>
      <c r="P1654" s="8"/>
      <c r="Q1654" s="7"/>
      <c r="R1654" s="16"/>
      <c r="S1654" s="17"/>
      <c r="T1654" s="8"/>
      <c r="U1654" s="8"/>
      <c r="V1654" s="8"/>
      <c r="W1654" s="7"/>
      <c r="X1654" s="7"/>
      <c r="Y1654" s="7"/>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7"/>
      <c r="BD1654" s="7"/>
      <c r="BE1654" s="7"/>
      <c r="BF1654" s="7"/>
      <c r="BG1654" s="7"/>
    </row>
    <row r="1655" customHeight="1" spans="1:59">
      <c r="A1655" s="9"/>
      <c r="B1655" s="5"/>
      <c r="C1655" s="5"/>
      <c r="D1655" s="5"/>
      <c r="E1655" s="7"/>
      <c r="F1655" s="8"/>
      <c r="G1655" s="8"/>
      <c r="H1655" s="8"/>
      <c r="I1655" s="14"/>
      <c r="J1655" s="14"/>
      <c r="K1655" s="14"/>
      <c r="L1655" s="14"/>
      <c r="M1655" s="7"/>
      <c r="N1655" s="8"/>
      <c r="O1655" s="8"/>
      <c r="P1655" s="8"/>
      <c r="Q1655" s="7"/>
      <c r="R1655" s="16"/>
      <c r="S1655" s="17"/>
      <c r="T1655" s="8"/>
      <c r="U1655" s="8"/>
      <c r="V1655" s="8"/>
      <c r="W1655" s="7"/>
      <c r="X1655" s="7"/>
      <c r="Y1655" s="7"/>
      <c r="Z1655" s="7"/>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7"/>
      <c r="AZ1655" s="7"/>
      <c r="BA1655" s="7"/>
      <c r="BB1655" s="7"/>
      <c r="BC1655" s="7"/>
      <c r="BD1655" s="7"/>
      <c r="BE1655" s="7"/>
      <c r="BF1655" s="7"/>
      <c r="BG1655" s="7"/>
    </row>
    <row r="1656" customHeight="1" spans="1:59">
      <c r="A1656" s="9"/>
      <c r="B1656" s="5"/>
      <c r="C1656" s="5"/>
      <c r="D1656" s="5"/>
      <c r="E1656" s="7"/>
      <c r="F1656" s="8"/>
      <c r="G1656" s="8"/>
      <c r="H1656" s="8"/>
      <c r="I1656" s="14"/>
      <c r="J1656" s="14"/>
      <c r="K1656" s="14"/>
      <c r="L1656" s="14"/>
      <c r="M1656" s="7"/>
      <c r="N1656" s="8"/>
      <c r="O1656" s="8"/>
      <c r="P1656" s="8"/>
      <c r="Q1656" s="7"/>
      <c r="R1656" s="16"/>
      <c r="S1656" s="17"/>
      <c r="T1656" s="8"/>
      <c r="U1656" s="8"/>
      <c r="V1656" s="8"/>
      <c r="W1656" s="7"/>
      <c r="X1656" s="7"/>
      <c r="Y1656" s="7"/>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7"/>
      <c r="BD1656" s="7"/>
      <c r="BE1656" s="7"/>
      <c r="BF1656" s="7"/>
      <c r="BG1656" s="7"/>
    </row>
    <row r="1657" customHeight="1" spans="1:59">
      <c r="A1657" s="9"/>
      <c r="B1657" s="5"/>
      <c r="C1657" s="5"/>
      <c r="D1657" s="5"/>
      <c r="E1657" s="7"/>
      <c r="F1657" s="8"/>
      <c r="G1657" s="8"/>
      <c r="H1657" s="8"/>
      <c r="I1657" s="14"/>
      <c r="J1657" s="14"/>
      <c r="K1657" s="14"/>
      <c r="L1657" s="14"/>
      <c r="M1657" s="7"/>
      <c r="N1657" s="8"/>
      <c r="O1657" s="8"/>
      <c r="P1657" s="8"/>
      <c r="Q1657" s="7"/>
      <c r="R1657" s="16"/>
      <c r="S1657" s="17"/>
      <c r="T1657" s="8"/>
      <c r="U1657" s="8"/>
      <c r="V1657" s="8"/>
      <c r="W1657" s="7"/>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7"/>
      <c r="AX1657" s="7"/>
      <c r="AY1657" s="7"/>
      <c r="AZ1657" s="7"/>
      <c r="BA1657" s="7"/>
      <c r="BB1657" s="7"/>
      <c r="BC1657" s="7"/>
      <c r="BD1657" s="7"/>
      <c r="BE1657" s="7"/>
      <c r="BF1657" s="7"/>
      <c r="BG1657" s="7"/>
    </row>
    <row r="1658" customHeight="1" spans="1:59">
      <c r="A1658" s="9"/>
      <c r="B1658" s="5"/>
      <c r="C1658" s="5"/>
      <c r="D1658" s="5"/>
      <c r="E1658" s="7"/>
      <c r="F1658" s="8"/>
      <c r="G1658" s="8"/>
      <c r="H1658" s="8"/>
      <c r="I1658" s="14"/>
      <c r="J1658" s="14"/>
      <c r="K1658" s="14"/>
      <c r="L1658" s="14"/>
      <c r="M1658" s="7"/>
      <c r="N1658" s="8"/>
      <c r="O1658" s="8"/>
      <c r="P1658" s="8"/>
      <c r="Q1658" s="7"/>
      <c r="R1658" s="16"/>
      <c r="S1658" s="17"/>
      <c r="T1658" s="8"/>
      <c r="U1658" s="8"/>
      <c r="V1658" s="8"/>
      <c r="W1658" s="7"/>
      <c r="X1658" s="7"/>
      <c r="Y1658" s="7"/>
      <c r="Z1658" s="7"/>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7"/>
      <c r="AX1658" s="7"/>
      <c r="AY1658" s="7"/>
      <c r="AZ1658" s="7"/>
      <c r="BA1658" s="7"/>
      <c r="BB1658" s="7"/>
      <c r="BC1658" s="7"/>
      <c r="BD1658" s="7"/>
      <c r="BE1658" s="7"/>
      <c r="BF1658" s="7"/>
      <c r="BG1658" s="7"/>
    </row>
    <row r="1659" customHeight="1" spans="1:59">
      <c r="A1659" s="9"/>
      <c r="B1659" s="5"/>
      <c r="C1659" s="5"/>
      <c r="D1659" s="5"/>
      <c r="E1659" s="7"/>
      <c r="F1659" s="8"/>
      <c r="G1659" s="8"/>
      <c r="H1659" s="8"/>
      <c r="I1659" s="14"/>
      <c r="J1659" s="14"/>
      <c r="K1659" s="14"/>
      <c r="L1659" s="14"/>
      <c r="M1659" s="7"/>
      <c r="N1659" s="8"/>
      <c r="O1659" s="8"/>
      <c r="P1659" s="8"/>
      <c r="Q1659" s="7"/>
      <c r="R1659" s="16"/>
      <c r="S1659" s="17"/>
      <c r="T1659" s="8"/>
      <c r="U1659" s="8"/>
      <c r="V1659" s="8"/>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7"/>
      <c r="BD1659" s="7"/>
      <c r="BE1659" s="7"/>
      <c r="BF1659" s="7"/>
      <c r="BG1659" s="7"/>
    </row>
    <row r="1660" customHeight="1" spans="1:59">
      <c r="A1660" s="9"/>
      <c r="B1660" s="5"/>
      <c r="C1660" s="5"/>
      <c r="D1660" s="5"/>
      <c r="E1660" s="7"/>
      <c r="F1660" s="8"/>
      <c r="G1660" s="8"/>
      <c r="H1660" s="8"/>
      <c r="I1660" s="14"/>
      <c r="J1660" s="14"/>
      <c r="K1660" s="14"/>
      <c r="L1660" s="14"/>
      <c r="M1660" s="7"/>
      <c r="N1660" s="8"/>
      <c r="O1660" s="8"/>
      <c r="P1660" s="8"/>
      <c r="Q1660" s="7"/>
      <c r="R1660" s="16"/>
      <c r="S1660" s="17"/>
      <c r="T1660" s="8"/>
      <c r="U1660" s="8"/>
      <c r="V1660" s="8"/>
      <c r="W1660" s="7"/>
      <c r="X1660" s="7"/>
      <c r="Y1660" s="7"/>
      <c r="Z1660" s="7"/>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7"/>
      <c r="AX1660" s="7"/>
      <c r="AY1660" s="7"/>
      <c r="AZ1660" s="7"/>
      <c r="BA1660" s="7"/>
      <c r="BB1660" s="7"/>
      <c r="BC1660" s="7"/>
      <c r="BD1660" s="7"/>
      <c r="BE1660" s="7"/>
      <c r="BF1660" s="7"/>
      <c r="BG1660" s="7"/>
    </row>
    <row r="1661" customHeight="1" spans="1:59">
      <c r="A1661" s="9"/>
      <c r="B1661" s="5"/>
      <c r="C1661" s="5"/>
      <c r="D1661" s="5"/>
      <c r="E1661" s="7"/>
      <c r="F1661" s="8"/>
      <c r="G1661" s="8"/>
      <c r="H1661" s="8"/>
      <c r="I1661" s="14"/>
      <c r="J1661" s="14"/>
      <c r="K1661" s="14"/>
      <c r="L1661" s="14"/>
      <c r="M1661" s="7"/>
      <c r="N1661" s="8"/>
      <c r="O1661" s="8"/>
      <c r="P1661" s="8"/>
      <c r="Q1661" s="7"/>
      <c r="R1661" s="16"/>
      <c r="S1661" s="17"/>
      <c r="T1661" s="8"/>
      <c r="U1661" s="8"/>
      <c r="V1661" s="8"/>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c r="AW1661" s="7"/>
      <c r="AX1661" s="7"/>
      <c r="AY1661" s="7"/>
      <c r="AZ1661" s="7"/>
      <c r="BA1661" s="7"/>
      <c r="BB1661" s="7"/>
      <c r="BC1661" s="7"/>
      <c r="BD1661" s="7"/>
      <c r="BE1661" s="7"/>
      <c r="BF1661" s="7"/>
      <c r="BG1661" s="7"/>
    </row>
    <row r="1662" customHeight="1" spans="1:59">
      <c r="A1662" s="9"/>
      <c r="B1662" s="5"/>
      <c r="C1662" s="5"/>
      <c r="D1662" s="5"/>
      <c r="E1662" s="7"/>
      <c r="F1662" s="8"/>
      <c r="G1662" s="8"/>
      <c r="H1662" s="8"/>
      <c r="I1662" s="14"/>
      <c r="J1662" s="14"/>
      <c r="K1662" s="14"/>
      <c r="L1662" s="14"/>
      <c r="M1662" s="7"/>
      <c r="N1662" s="8"/>
      <c r="O1662" s="8"/>
      <c r="P1662" s="8"/>
      <c r="Q1662" s="7"/>
      <c r="R1662" s="16"/>
      <c r="S1662" s="17"/>
      <c r="T1662" s="8"/>
      <c r="U1662" s="8"/>
      <c r="V1662" s="8"/>
      <c r="W1662" s="7"/>
      <c r="X1662" s="7"/>
      <c r="Y1662" s="7"/>
      <c r="Z1662" s="7"/>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7"/>
      <c r="AX1662" s="7"/>
      <c r="AY1662" s="7"/>
      <c r="AZ1662" s="7"/>
      <c r="BA1662" s="7"/>
      <c r="BB1662" s="7"/>
      <c r="BC1662" s="7"/>
      <c r="BD1662" s="7"/>
      <c r="BE1662" s="7"/>
      <c r="BF1662" s="7"/>
      <c r="BG1662" s="7"/>
    </row>
    <row r="1663" customHeight="1" spans="1:59">
      <c r="A1663" s="9"/>
      <c r="B1663" s="5"/>
      <c r="C1663" s="5"/>
      <c r="D1663" s="5"/>
      <c r="E1663" s="7"/>
      <c r="F1663" s="8"/>
      <c r="G1663" s="8"/>
      <c r="H1663" s="8"/>
      <c r="I1663" s="14"/>
      <c r="J1663" s="14"/>
      <c r="K1663" s="14"/>
      <c r="L1663" s="14"/>
      <c r="M1663" s="7"/>
      <c r="N1663" s="8"/>
      <c r="O1663" s="8"/>
      <c r="P1663" s="8"/>
      <c r="Q1663" s="7"/>
      <c r="R1663" s="16"/>
      <c r="S1663" s="17"/>
      <c r="T1663" s="8"/>
      <c r="U1663" s="8"/>
      <c r="V1663" s="8"/>
      <c r="W1663" s="7"/>
      <c r="X1663" s="7"/>
      <c r="Y1663" s="7"/>
      <c r="Z1663" s="7"/>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7"/>
      <c r="AX1663" s="7"/>
      <c r="AY1663" s="7"/>
      <c r="AZ1663" s="7"/>
      <c r="BA1663" s="7"/>
      <c r="BB1663" s="7"/>
      <c r="BC1663" s="7"/>
      <c r="BD1663" s="7"/>
      <c r="BE1663" s="7"/>
      <c r="BF1663" s="7"/>
      <c r="BG1663" s="7"/>
    </row>
    <row r="1664" customHeight="1" spans="1:59">
      <c r="A1664" s="9"/>
      <c r="B1664" s="5"/>
      <c r="C1664" s="5"/>
      <c r="D1664" s="5"/>
      <c r="E1664" s="7"/>
      <c r="F1664" s="8"/>
      <c r="G1664" s="8"/>
      <c r="H1664" s="8"/>
      <c r="I1664" s="14"/>
      <c r="J1664" s="14"/>
      <c r="K1664" s="14"/>
      <c r="L1664" s="14"/>
      <c r="M1664" s="7"/>
      <c r="N1664" s="8"/>
      <c r="O1664" s="8"/>
      <c r="P1664" s="8"/>
      <c r="Q1664" s="7"/>
      <c r="R1664" s="16"/>
      <c r="S1664" s="17"/>
      <c r="T1664" s="8"/>
      <c r="U1664" s="8"/>
      <c r="V1664" s="8"/>
      <c r="W1664" s="7"/>
      <c r="X1664" s="7"/>
      <c r="Y1664" s="7"/>
      <c r="Z1664" s="7"/>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7"/>
      <c r="AX1664" s="7"/>
      <c r="AY1664" s="7"/>
      <c r="AZ1664" s="7"/>
      <c r="BA1664" s="7"/>
      <c r="BB1664" s="7"/>
      <c r="BC1664" s="7"/>
      <c r="BD1664" s="7"/>
      <c r="BE1664" s="7"/>
      <c r="BF1664" s="7"/>
      <c r="BG1664" s="7"/>
    </row>
    <row r="1665" customHeight="1" spans="1:59">
      <c r="A1665" s="9"/>
      <c r="B1665" s="5"/>
      <c r="C1665" s="5"/>
      <c r="D1665" s="5"/>
      <c r="E1665" s="7"/>
      <c r="F1665" s="8"/>
      <c r="G1665" s="8"/>
      <c r="H1665" s="8"/>
      <c r="I1665" s="14"/>
      <c r="J1665" s="14"/>
      <c r="K1665" s="14"/>
      <c r="L1665" s="14"/>
      <c r="M1665" s="7"/>
      <c r="N1665" s="8"/>
      <c r="O1665" s="8"/>
      <c r="P1665" s="8"/>
      <c r="Q1665" s="7"/>
      <c r="R1665" s="16"/>
      <c r="S1665" s="17"/>
      <c r="T1665" s="8"/>
      <c r="U1665" s="8"/>
      <c r="V1665" s="8"/>
      <c r="W1665" s="7"/>
      <c r="X1665" s="7"/>
      <c r="Y1665" s="7"/>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7"/>
      <c r="BD1665" s="7"/>
      <c r="BE1665" s="7"/>
      <c r="BF1665" s="7"/>
      <c r="BG1665" s="7"/>
    </row>
    <row r="1666" customHeight="1" spans="1:59">
      <c r="A1666" s="9"/>
      <c r="B1666" s="5"/>
      <c r="C1666" s="5"/>
      <c r="D1666" s="5"/>
      <c r="E1666" s="7"/>
      <c r="F1666" s="8"/>
      <c r="G1666" s="8"/>
      <c r="H1666" s="8"/>
      <c r="I1666" s="14"/>
      <c r="J1666" s="14"/>
      <c r="K1666" s="14"/>
      <c r="L1666" s="14"/>
      <c r="M1666" s="7"/>
      <c r="N1666" s="8"/>
      <c r="O1666" s="8"/>
      <c r="P1666" s="8"/>
      <c r="Q1666" s="7"/>
      <c r="R1666" s="16"/>
      <c r="S1666" s="17"/>
      <c r="T1666" s="8"/>
      <c r="U1666" s="8"/>
      <c r="V1666" s="8"/>
      <c r="W1666" s="7"/>
      <c r="X1666" s="7"/>
      <c r="Y1666" s="7"/>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7"/>
      <c r="BD1666" s="7"/>
      <c r="BE1666" s="7"/>
      <c r="BF1666" s="7"/>
      <c r="BG1666" s="7"/>
    </row>
    <row r="1667" customHeight="1" spans="1:59">
      <c r="A1667" s="9"/>
      <c r="B1667" s="5"/>
      <c r="C1667" s="5"/>
      <c r="D1667" s="5"/>
      <c r="E1667" s="7"/>
      <c r="F1667" s="8"/>
      <c r="G1667" s="8"/>
      <c r="H1667" s="8"/>
      <c r="I1667" s="14"/>
      <c r="J1667" s="14"/>
      <c r="K1667" s="14"/>
      <c r="L1667" s="14"/>
      <c r="M1667" s="7"/>
      <c r="N1667" s="8"/>
      <c r="O1667" s="8"/>
      <c r="P1667" s="8"/>
      <c r="Q1667" s="7"/>
      <c r="R1667" s="16"/>
      <c r="S1667" s="17"/>
      <c r="T1667" s="8"/>
      <c r="U1667" s="8"/>
      <c r="V1667" s="8"/>
      <c r="W1667" s="7"/>
      <c r="X1667" s="7"/>
      <c r="Y1667" s="7"/>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7"/>
      <c r="BD1667" s="7"/>
      <c r="BE1667" s="7"/>
      <c r="BF1667" s="7"/>
      <c r="BG1667" s="7"/>
    </row>
    <row r="1668" customHeight="1" spans="1:59">
      <c r="A1668" s="9"/>
      <c r="B1668" s="5"/>
      <c r="C1668" s="5"/>
      <c r="D1668" s="5"/>
      <c r="E1668" s="7"/>
      <c r="F1668" s="8"/>
      <c r="G1668" s="8"/>
      <c r="H1668" s="8"/>
      <c r="I1668" s="14"/>
      <c r="J1668" s="14"/>
      <c r="K1668" s="14"/>
      <c r="L1668" s="14"/>
      <c r="M1668" s="7"/>
      <c r="N1668" s="8"/>
      <c r="O1668" s="8"/>
      <c r="P1668" s="8"/>
      <c r="Q1668" s="7"/>
      <c r="R1668" s="16"/>
      <c r="S1668" s="17"/>
      <c r="T1668" s="8"/>
      <c r="U1668" s="8"/>
      <c r="V1668" s="8"/>
      <c r="W1668" s="7"/>
      <c r="X1668" s="7"/>
      <c r="Y1668" s="7"/>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7"/>
      <c r="BD1668" s="7"/>
      <c r="BE1668" s="7"/>
      <c r="BF1668" s="7"/>
      <c r="BG1668" s="7"/>
    </row>
    <row r="1669" customHeight="1" spans="1:59">
      <c r="A1669" s="9"/>
      <c r="B1669" s="5"/>
      <c r="C1669" s="5"/>
      <c r="D1669" s="5"/>
      <c r="E1669" s="7"/>
      <c r="F1669" s="8"/>
      <c r="G1669" s="8"/>
      <c r="H1669" s="8"/>
      <c r="I1669" s="14"/>
      <c r="J1669" s="14"/>
      <c r="K1669" s="14"/>
      <c r="L1669" s="14"/>
      <c r="M1669" s="7"/>
      <c r="N1669" s="8"/>
      <c r="O1669" s="8"/>
      <c r="P1669" s="8"/>
      <c r="Q1669" s="7"/>
      <c r="R1669" s="16"/>
      <c r="S1669" s="17"/>
      <c r="T1669" s="8"/>
      <c r="U1669" s="8"/>
      <c r="V1669" s="8"/>
      <c r="W1669" s="7"/>
      <c r="X1669" s="7"/>
      <c r="Y1669" s="7"/>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7"/>
      <c r="BD1669" s="7"/>
      <c r="BE1669" s="7"/>
      <c r="BF1669" s="7"/>
      <c r="BG1669" s="7"/>
    </row>
    <row r="1670" customHeight="1" spans="1:59">
      <c r="A1670" s="9"/>
      <c r="B1670" s="5"/>
      <c r="C1670" s="5"/>
      <c r="D1670" s="5"/>
      <c r="E1670" s="7"/>
      <c r="F1670" s="8"/>
      <c r="G1670" s="8"/>
      <c r="H1670" s="8"/>
      <c r="I1670" s="14"/>
      <c r="J1670" s="14"/>
      <c r="K1670" s="14"/>
      <c r="L1670" s="14"/>
      <c r="M1670" s="7"/>
      <c r="N1670" s="8"/>
      <c r="O1670" s="8"/>
      <c r="P1670" s="8"/>
      <c r="Q1670" s="7"/>
      <c r="R1670" s="16"/>
      <c r="S1670" s="17"/>
      <c r="T1670" s="8"/>
      <c r="U1670" s="8"/>
      <c r="V1670" s="8"/>
      <c r="W1670" s="7"/>
      <c r="X1670" s="7"/>
      <c r="Y1670" s="7"/>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7"/>
      <c r="BD1670" s="7"/>
      <c r="BE1670" s="7"/>
      <c r="BF1670" s="7"/>
      <c r="BG1670" s="7"/>
    </row>
    <row r="1671" customHeight="1" spans="1:59">
      <c r="A1671" s="9"/>
      <c r="B1671" s="5"/>
      <c r="C1671" s="5"/>
      <c r="D1671" s="5"/>
      <c r="E1671" s="7"/>
      <c r="F1671" s="8"/>
      <c r="G1671" s="8"/>
      <c r="H1671" s="8"/>
      <c r="I1671" s="14"/>
      <c r="J1671" s="14"/>
      <c r="K1671" s="14"/>
      <c r="L1671" s="14"/>
      <c r="M1671" s="7"/>
      <c r="N1671" s="8"/>
      <c r="O1671" s="8"/>
      <c r="P1671" s="8"/>
      <c r="Q1671" s="7"/>
      <c r="R1671" s="16"/>
      <c r="S1671" s="17"/>
      <c r="T1671" s="8"/>
      <c r="U1671" s="8"/>
      <c r="V1671" s="8"/>
      <c r="W1671" s="7"/>
      <c r="X1671" s="7"/>
      <c r="Y1671" s="7"/>
      <c r="Z1671" s="7"/>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7"/>
      <c r="AX1671" s="7"/>
      <c r="AY1671" s="7"/>
      <c r="AZ1671" s="7"/>
      <c r="BA1671" s="7"/>
      <c r="BB1671" s="7"/>
      <c r="BC1671" s="7"/>
      <c r="BD1671" s="7"/>
      <c r="BE1671" s="7"/>
      <c r="BF1671" s="7"/>
      <c r="BG1671" s="7"/>
    </row>
    <row r="1672" customHeight="1" spans="1:59">
      <c r="A1672" s="9"/>
      <c r="B1672" s="5"/>
      <c r="C1672" s="5"/>
      <c r="D1672" s="5"/>
      <c r="E1672" s="7"/>
      <c r="F1672" s="8"/>
      <c r="G1672" s="8"/>
      <c r="H1672" s="8"/>
      <c r="I1672" s="14"/>
      <c r="J1672" s="14"/>
      <c r="K1672" s="14"/>
      <c r="L1672" s="14"/>
      <c r="M1672" s="7"/>
      <c r="N1672" s="8"/>
      <c r="O1672" s="8"/>
      <c r="P1672" s="8"/>
      <c r="Q1672" s="7"/>
      <c r="R1672" s="16"/>
      <c r="S1672" s="17"/>
      <c r="T1672" s="8"/>
      <c r="U1672" s="8"/>
      <c r="V1672" s="8"/>
      <c r="W1672" s="7"/>
      <c r="X1672" s="7"/>
      <c r="Y1672" s="7"/>
      <c r="Z1672" s="7"/>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7"/>
      <c r="AX1672" s="7"/>
      <c r="AY1672" s="7"/>
      <c r="AZ1672" s="7"/>
      <c r="BA1672" s="7"/>
      <c r="BB1672" s="7"/>
      <c r="BC1672" s="7"/>
      <c r="BD1672" s="7"/>
      <c r="BE1672" s="7"/>
      <c r="BF1672" s="7"/>
      <c r="BG1672" s="7"/>
    </row>
    <row r="1673" customHeight="1" spans="1:59">
      <c r="A1673" s="9"/>
      <c r="B1673" s="5"/>
      <c r="C1673" s="5"/>
      <c r="D1673" s="5"/>
      <c r="E1673" s="7"/>
      <c r="F1673" s="8"/>
      <c r="G1673" s="8"/>
      <c r="H1673" s="8"/>
      <c r="I1673" s="14"/>
      <c r="J1673" s="14"/>
      <c r="K1673" s="14"/>
      <c r="L1673" s="14"/>
      <c r="M1673" s="7"/>
      <c r="N1673" s="8"/>
      <c r="O1673" s="8"/>
      <c r="P1673" s="8"/>
      <c r="Q1673" s="7"/>
      <c r="R1673" s="16"/>
      <c r="S1673" s="17"/>
      <c r="T1673" s="8"/>
      <c r="U1673" s="8"/>
      <c r="V1673" s="8"/>
      <c r="W1673" s="7"/>
      <c r="X1673" s="7"/>
      <c r="Y1673" s="7"/>
      <c r="Z1673" s="7"/>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7"/>
      <c r="AX1673" s="7"/>
      <c r="AY1673" s="7"/>
      <c r="AZ1673" s="7"/>
      <c r="BA1673" s="7"/>
      <c r="BB1673" s="7"/>
      <c r="BC1673" s="7"/>
      <c r="BD1673" s="7"/>
      <c r="BE1673" s="7"/>
      <c r="BF1673" s="7"/>
      <c r="BG1673" s="7"/>
    </row>
    <row r="1674" customHeight="1" spans="1:59">
      <c r="A1674" s="9"/>
      <c r="B1674" s="5"/>
      <c r="C1674" s="5"/>
      <c r="D1674" s="5"/>
      <c r="E1674" s="7"/>
      <c r="F1674" s="8"/>
      <c r="G1674" s="8"/>
      <c r="H1674" s="8"/>
      <c r="I1674" s="14"/>
      <c r="J1674" s="14"/>
      <c r="K1674" s="14"/>
      <c r="L1674" s="14"/>
      <c r="M1674" s="7"/>
      <c r="N1674" s="8"/>
      <c r="O1674" s="8"/>
      <c r="P1674" s="8"/>
      <c r="Q1674" s="7"/>
      <c r="R1674" s="16"/>
      <c r="S1674" s="17"/>
      <c r="T1674" s="8"/>
      <c r="U1674" s="8"/>
      <c r="V1674" s="8"/>
      <c r="W1674" s="7"/>
      <c r="X1674" s="7"/>
      <c r="Y1674" s="7"/>
      <c r="Z1674" s="7"/>
      <c r="AA1674" s="7"/>
      <c r="AB1674" s="7"/>
      <c r="AC1674" s="7"/>
      <c r="AD1674" s="7"/>
      <c r="AE1674" s="7"/>
      <c r="AF1674" s="7"/>
      <c r="AG1674" s="7"/>
      <c r="AH1674" s="7"/>
      <c r="AI1674" s="7"/>
      <c r="AJ1674" s="7"/>
      <c r="AK1674" s="7"/>
      <c r="AL1674" s="7"/>
      <c r="AM1674" s="7"/>
      <c r="AN1674" s="7"/>
      <c r="AO1674" s="7"/>
      <c r="AP1674" s="7"/>
      <c r="AQ1674" s="7"/>
      <c r="AR1674" s="7"/>
      <c r="AS1674" s="7"/>
      <c r="AT1674" s="7"/>
      <c r="AU1674" s="7"/>
      <c r="AV1674" s="7"/>
      <c r="AW1674" s="7"/>
      <c r="AX1674" s="7"/>
      <c r="AY1674" s="7"/>
      <c r="AZ1674" s="7"/>
      <c r="BA1674" s="7"/>
      <c r="BB1674" s="7"/>
      <c r="BC1674" s="7"/>
      <c r="BD1674" s="7"/>
      <c r="BE1674" s="7"/>
      <c r="BF1674" s="7"/>
      <c r="BG1674" s="7"/>
    </row>
    <row r="1675" customHeight="1" spans="1:59">
      <c r="A1675" s="9"/>
      <c r="B1675" s="5"/>
      <c r="C1675" s="5"/>
      <c r="D1675" s="5"/>
      <c r="E1675" s="7"/>
      <c r="F1675" s="8"/>
      <c r="G1675" s="8"/>
      <c r="H1675" s="8"/>
      <c r="I1675" s="14"/>
      <c r="J1675" s="14"/>
      <c r="K1675" s="14"/>
      <c r="L1675" s="14"/>
      <c r="M1675" s="7"/>
      <c r="N1675" s="8"/>
      <c r="O1675" s="8"/>
      <c r="P1675" s="8"/>
      <c r="Q1675" s="7"/>
      <c r="R1675" s="16"/>
      <c r="S1675" s="17"/>
      <c r="T1675" s="8"/>
      <c r="U1675" s="8"/>
      <c r="V1675" s="8"/>
      <c r="W1675" s="7"/>
      <c r="X1675" s="7"/>
      <c r="Y1675" s="7"/>
      <c r="Z1675" s="7"/>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7"/>
      <c r="BD1675" s="7"/>
      <c r="BE1675" s="7"/>
      <c r="BF1675" s="7"/>
      <c r="BG1675" s="7"/>
    </row>
    <row r="1676" customHeight="1" spans="1:59">
      <c r="A1676" s="9"/>
      <c r="B1676" s="5"/>
      <c r="C1676" s="5"/>
      <c r="D1676" s="5"/>
      <c r="E1676" s="7"/>
      <c r="F1676" s="8"/>
      <c r="G1676" s="8"/>
      <c r="H1676" s="8"/>
      <c r="I1676" s="14"/>
      <c r="J1676" s="14"/>
      <c r="K1676" s="14"/>
      <c r="L1676" s="14"/>
      <c r="M1676" s="7"/>
      <c r="N1676" s="8"/>
      <c r="O1676" s="8"/>
      <c r="P1676" s="8"/>
      <c r="Q1676" s="7"/>
      <c r="R1676" s="16"/>
      <c r="S1676" s="17"/>
      <c r="T1676" s="8"/>
      <c r="U1676" s="8"/>
      <c r="V1676" s="8"/>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row>
    <row r="1677" customHeight="1" spans="1:59">
      <c r="A1677" s="9"/>
      <c r="B1677" s="5"/>
      <c r="C1677" s="5"/>
      <c r="D1677" s="5"/>
      <c r="E1677" s="7"/>
      <c r="F1677" s="8"/>
      <c r="G1677" s="8"/>
      <c r="H1677" s="8"/>
      <c r="I1677" s="14"/>
      <c r="J1677" s="14"/>
      <c r="K1677" s="14"/>
      <c r="L1677" s="14"/>
      <c r="M1677" s="7"/>
      <c r="N1677" s="8"/>
      <c r="O1677" s="8"/>
      <c r="P1677" s="8"/>
      <c r="Q1677" s="7"/>
      <c r="R1677" s="16"/>
      <c r="S1677" s="17"/>
      <c r="T1677" s="8"/>
      <c r="U1677" s="8"/>
      <c r="V1677" s="8"/>
      <c r="W1677" s="7"/>
      <c r="X1677" s="7"/>
      <c r="Y1677" s="7"/>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7"/>
      <c r="BD1677" s="7"/>
      <c r="BE1677" s="7"/>
      <c r="BF1677" s="7"/>
      <c r="BG1677" s="7"/>
    </row>
    <row r="1678" customHeight="1" spans="1:59">
      <c r="A1678" s="9"/>
      <c r="B1678" s="5"/>
      <c r="C1678" s="5"/>
      <c r="D1678" s="5"/>
      <c r="E1678" s="7"/>
      <c r="F1678" s="8"/>
      <c r="G1678" s="8"/>
      <c r="H1678" s="8"/>
      <c r="I1678" s="14"/>
      <c r="J1678" s="14"/>
      <c r="K1678" s="14"/>
      <c r="L1678" s="14"/>
      <c r="M1678" s="7"/>
      <c r="N1678" s="8"/>
      <c r="O1678" s="8"/>
      <c r="P1678" s="8"/>
      <c r="Q1678" s="7"/>
      <c r="R1678" s="16"/>
      <c r="S1678" s="17"/>
      <c r="T1678" s="8"/>
      <c r="U1678" s="8"/>
      <c r="V1678" s="8"/>
      <c r="W1678" s="7"/>
      <c r="X1678" s="7"/>
      <c r="Y1678" s="7"/>
      <c r="Z1678" s="7"/>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7"/>
      <c r="AX1678" s="7"/>
      <c r="AY1678" s="7"/>
      <c r="AZ1678" s="7"/>
      <c r="BA1678" s="7"/>
      <c r="BB1678" s="7"/>
      <c r="BC1678" s="7"/>
      <c r="BD1678" s="7"/>
      <c r="BE1678" s="7"/>
      <c r="BF1678" s="7"/>
      <c r="BG1678" s="7"/>
    </row>
    <row r="1679" customHeight="1" spans="1:59">
      <c r="A1679" s="9"/>
      <c r="B1679" s="5"/>
      <c r="C1679" s="5"/>
      <c r="D1679" s="5"/>
      <c r="E1679" s="7"/>
      <c r="F1679" s="8"/>
      <c r="G1679" s="8"/>
      <c r="H1679" s="8"/>
      <c r="I1679" s="14"/>
      <c r="J1679" s="14"/>
      <c r="K1679" s="14"/>
      <c r="L1679" s="14"/>
      <c r="M1679" s="7"/>
      <c r="N1679" s="8"/>
      <c r="O1679" s="8"/>
      <c r="P1679" s="8"/>
      <c r="Q1679" s="7"/>
      <c r="R1679" s="16"/>
      <c r="S1679" s="17"/>
      <c r="T1679" s="8"/>
      <c r="U1679" s="8"/>
      <c r="V1679" s="8"/>
      <c r="W1679" s="7"/>
      <c r="X1679" s="7"/>
      <c r="Y1679" s="7"/>
      <c r="Z1679" s="7"/>
      <c r="AA1679" s="7"/>
      <c r="AB1679" s="7"/>
      <c r="AC1679" s="7"/>
      <c r="AD1679" s="7"/>
      <c r="AE1679" s="7"/>
      <c r="AF1679" s="7"/>
      <c r="AG1679" s="7"/>
      <c r="AH1679" s="7"/>
      <c r="AI1679" s="7"/>
      <c r="AJ1679" s="7"/>
      <c r="AK1679" s="7"/>
      <c r="AL1679" s="7"/>
      <c r="AM1679" s="7"/>
      <c r="AN1679" s="7"/>
      <c r="AO1679" s="7"/>
      <c r="AP1679" s="7"/>
      <c r="AQ1679" s="7"/>
      <c r="AR1679" s="7"/>
      <c r="AS1679" s="7"/>
      <c r="AT1679" s="7"/>
      <c r="AU1679" s="7"/>
      <c r="AV1679" s="7"/>
      <c r="AW1679" s="7"/>
      <c r="AX1679" s="7"/>
      <c r="AY1679" s="7"/>
      <c r="AZ1679" s="7"/>
      <c r="BA1679" s="7"/>
      <c r="BB1679" s="7"/>
      <c r="BC1679" s="7"/>
      <c r="BD1679" s="7"/>
      <c r="BE1679" s="7"/>
      <c r="BF1679" s="7"/>
      <c r="BG1679" s="7"/>
    </row>
    <row r="1680" customHeight="1" spans="1:59">
      <c r="A1680" s="9"/>
      <c r="B1680" s="5"/>
      <c r="C1680" s="5"/>
      <c r="D1680" s="5"/>
      <c r="E1680" s="7"/>
      <c r="F1680" s="8"/>
      <c r="G1680" s="8"/>
      <c r="H1680" s="8"/>
      <c r="I1680" s="14"/>
      <c r="J1680" s="14"/>
      <c r="K1680" s="14"/>
      <c r="L1680" s="14"/>
      <c r="M1680" s="7"/>
      <c r="N1680" s="8"/>
      <c r="O1680" s="8"/>
      <c r="P1680" s="8"/>
      <c r="Q1680" s="7"/>
      <c r="R1680" s="16"/>
      <c r="S1680" s="17"/>
      <c r="T1680" s="8"/>
      <c r="U1680" s="8"/>
      <c r="V1680" s="8"/>
      <c r="W1680" s="7"/>
      <c r="X1680" s="7"/>
      <c r="Y1680" s="7"/>
      <c r="Z1680" s="7"/>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7"/>
      <c r="AX1680" s="7"/>
      <c r="AY1680" s="7"/>
      <c r="AZ1680" s="7"/>
      <c r="BA1680" s="7"/>
      <c r="BB1680" s="7"/>
      <c r="BC1680" s="7"/>
      <c r="BD1680" s="7"/>
      <c r="BE1680" s="7"/>
      <c r="BF1680" s="7"/>
      <c r="BG1680" s="7"/>
    </row>
    <row r="1681" customHeight="1" spans="1:59">
      <c r="A1681" s="9"/>
      <c r="B1681" s="5"/>
      <c r="C1681" s="5"/>
      <c r="D1681" s="5"/>
      <c r="E1681" s="7"/>
      <c r="F1681" s="8"/>
      <c r="G1681" s="8"/>
      <c r="H1681" s="8"/>
      <c r="I1681" s="14"/>
      <c r="J1681" s="14"/>
      <c r="K1681" s="14"/>
      <c r="L1681" s="14"/>
      <c r="M1681" s="7"/>
      <c r="N1681" s="8"/>
      <c r="O1681" s="8"/>
      <c r="P1681" s="8"/>
      <c r="Q1681" s="7"/>
      <c r="R1681" s="16"/>
      <c r="S1681" s="17"/>
      <c r="T1681" s="8"/>
      <c r="U1681" s="8"/>
      <c r="V1681" s="8"/>
      <c r="W1681" s="7"/>
      <c r="X1681" s="7"/>
      <c r="Y1681" s="7"/>
      <c r="Z1681" s="7"/>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7"/>
      <c r="AX1681" s="7"/>
      <c r="AY1681" s="7"/>
      <c r="AZ1681" s="7"/>
      <c r="BA1681" s="7"/>
      <c r="BB1681" s="7"/>
      <c r="BC1681" s="7"/>
      <c r="BD1681" s="7"/>
      <c r="BE1681" s="7"/>
      <c r="BF1681" s="7"/>
      <c r="BG1681" s="7"/>
    </row>
    <row r="1682" customHeight="1" spans="1:59">
      <c r="A1682" s="9"/>
      <c r="B1682" s="5"/>
      <c r="C1682" s="5"/>
      <c r="D1682" s="5"/>
      <c r="E1682" s="7"/>
      <c r="F1682" s="8"/>
      <c r="G1682" s="8"/>
      <c r="H1682" s="8"/>
      <c r="I1682" s="14"/>
      <c r="J1682" s="14"/>
      <c r="K1682" s="14"/>
      <c r="L1682" s="14"/>
      <c r="M1682" s="7"/>
      <c r="N1682" s="8"/>
      <c r="O1682" s="8"/>
      <c r="P1682" s="8"/>
      <c r="Q1682" s="7"/>
      <c r="R1682" s="16"/>
      <c r="S1682" s="17"/>
      <c r="T1682" s="8"/>
      <c r="U1682" s="8"/>
      <c r="V1682" s="8"/>
      <c r="W1682" s="7"/>
      <c r="X1682" s="7"/>
      <c r="Y1682" s="7"/>
      <c r="Z1682" s="7"/>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7"/>
      <c r="AX1682" s="7"/>
      <c r="AY1682" s="7"/>
      <c r="AZ1682" s="7"/>
      <c r="BA1682" s="7"/>
      <c r="BB1682" s="7"/>
      <c r="BC1682" s="7"/>
      <c r="BD1682" s="7"/>
      <c r="BE1682" s="7"/>
      <c r="BF1682" s="7"/>
      <c r="BG1682" s="7"/>
    </row>
    <row r="1683" customHeight="1" spans="1:59">
      <c r="A1683" s="9"/>
      <c r="B1683" s="5"/>
      <c r="C1683" s="5"/>
      <c r="D1683" s="5"/>
      <c r="E1683" s="7"/>
      <c r="F1683" s="8"/>
      <c r="G1683" s="8"/>
      <c r="H1683" s="8"/>
      <c r="I1683" s="14"/>
      <c r="J1683" s="14"/>
      <c r="K1683" s="14"/>
      <c r="L1683" s="14"/>
      <c r="M1683" s="7"/>
      <c r="N1683" s="8"/>
      <c r="O1683" s="8"/>
      <c r="P1683" s="8"/>
      <c r="Q1683" s="7"/>
      <c r="R1683" s="16"/>
      <c r="S1683" s="17"/>
      <c r="T1683" s="8"/>
      <c r="U1683" s="8"/>
      <c r="V1683" s="8"/>
      <c r="W1683" s="7"/>
      <c r="X1683" s="7"/>
      <c r="Y1683" s="7"/>
      <c r="Z1683" s="7"/>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7"/>
      <c r="AX1683" s="7"/>
      <c r="AY1683" s="7"/>
      <c r="AZ1683" s="7"/>
      <c r="BA1683" s="7"/>
      <c r="BB1683" s="7"/>
      <c r="BC1683" s="7"/>
      <c r="BD1683" s="7"/>
      <c r="BE1683" s="7"/>
      <c r="BF1683" s="7"/>
      <c r="BG1683" s="7"/>
    </row>
    <row r="1684" customHeight="1" spans="1:59">
      <c r="A1684" s="9"/>
      <c r="B1684" s="5"/>
      <c r="C1684" s="5"/>
      <c r="D1684" s="5"/>
      <c r="E1684" s="7"/>
      <c r="F1684" s="8"/>
      <c r="G1684" s="8"/>
      <c r="H1684" s="8"/>
      <c r="I1684" s="14"/>
      <c r="J1684" s="14"/>
      <c r="K1684" s="14"/>
      <c r="L1684" s="14"/>
      <c r="M1684" s="7"/>
      <c r="N1684" s="8"/>
      <c r="O1684" s="8"/>
      <c r="P1684" s="8"/>
      <c r="Q1684" s="7"/>
      <c r="R1684" s="16"/>
      <c r="S1684" s="17"/>
      <c r="T1684" s="8"/>
      <c r="U1684" s="8"/>
      <c r="V1684" s="8"/>
      <c r="W1684" s="7"/>
      <c r="X1684" s="7"/>
      <c r="Y1684" s="7"/>
      <c r="Z1684" s="7"/>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7"/>
      <c r="AX1684" s="7"/>
      <c r="AY1684" s="7"/>
      <c r="AZ1684" s="7"/>
      <c r="BA1684" s="7"/>
      <c r="BB1684" s="7"/>
      <c r="BC1684" s="7"/>
      <c r="BD1684" s="7"/>
      <c r="BE1684" s="7"/>
      <c r="BF1684" s="7"/>
      <c r="BG1684" s="7"/>
    </row>
    <row r="1685" customHeight="1" spans="1:59">
      <c r="A1685" s="9"/>
      <c r="B1685" s="5"/>
      <c r="C1685" s="5"/>
      <c r="D1685" s="5"/>
      <c r="E1685" s="7"/>
      <c r="F1685" s="8"/>
      <c r="G1685" s="8"/>
      <c r="H1685" s="8"/>
      <c r="I1685" s="14"/>
      <c r="J1685" s="14"/>
      <c r="K1685" s="14"/>
      <c r="L1685" s="14"/>
      <c r="M1685" s="7"/>
      <c r="N1685" s="8"/>
      <c r="O1685" s="8"/>
      <c r="P1685" s="8"/>
      <c r="Q1685" s="7"/>
      <c r="R1685" s="16"/>
      <c r="S1685" s="17"/>
      <c r="T1685" s="8"/>
      <c r="U1685" s="8"/>
      <c r="V1685" s="8"/>
      <c r="W1685" s="7"/>
      <c r="X1685" s="7"/>
      <c r="Y1685" s="7"/>
      <c r="Z1685" s="7"/>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7"/>
      <c r="AX1685" s="7"/>
      <c r="AY1685" s="7"/>
      <c r="AZ1685" s="7"/>
      <c r="BA1685" s="7"/>
      <c r="BB1685" s="7"/>
      <c r="BC1685" s="7"/>
      <c r="BD1685" s="7"/>
      <c r="BE1685" s="7"/>
      <c r="BF1685" s="7"/>
      <c r="BG1685" s="7"/>
    </row>
    <row r="1686" customHeight="1" spans="1:59">
      <c r="A1686" s="9"/>
      <c r="B1686" s="5"/>
      <c r="C1686" s="5"/>
      <c r="D1686" s="5"/>
      <c r="E1686" s="7"/>
      <c r="F1686" s="8"/>
      <c r="G1686" s="8"/>
      <c r="H1686" s="8"/>
      <c r="I1686" s="14"/>
      <c r="J1686" s="14"/>
      <c r="K1686" s="14"/>
      <c r="L1686" s="14"/>
      <c r="M1686" s="7"/>
      <c r="N1686" s="8"/>
      <c r="O1686" s="8"/>
      <c r="P1686" s="8"/>
      <c r="Q1686" s="7"/>
      <c r="R1686" s="16"/>
      <c r="S1686" s="17"/>
      <c r="T1686" s="8"/>
      <c r="U1686" s="8"/>
      <c r="V1686" s="8"/>
      <c r="W1686" s="7"/>
      <c r="X1686" s="7"/>
      <c r="Y1686" s="7"/>
      <c r="Z1686" s="7"/>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7"/>
      <c r="AX1686" s="7"/>
      <c r="AY1686" s="7"/>
      <c r="AZ1686" s="7"/>
      <c r="BA1686" s="7"/>
      <c r="BB1686" s="7"/>
      <c r="BC1686" s="7"/>
      <c r="BD1686" s="7"/>
      <c r="BE1686" s="7"/>
      <c r="BF1686" s="7"/>
      <c r="BG1686" s="7"/>
    </row>
    <row r="1687" customHeight="1" spans="1:59">
      <c r="A1687" s="9"/>
      <c r="B1687" s="5"/>
      <c r="C1687" s="5"/>
      <c r="D1687" s="5"/>
      <c r="E1687" s="7"/>
      <c r="F1687" s="8"/>
      <c r="G1687" s="8"/>
      <c r="H1687" s="8"/>
      <c r="I1687" s="14"/>
      <c r="J1687" s="14"/>
      <c r="K1687" s="14"/>
      <c r="L1687" s="14"/>
      <c r="M1687" s="7"/>
      <c r="N1687" s="8"/>
      <c r="O1687" s="8"/>
      <c r="P1687" s="8"/>
      <c r="Q1687" s="7"/>
      <c r="R1687" s="16"/>
      <c r="S1687" s="17"/>
      <c r="T1687" s="8"/>
      <c r="U1687" s="8"/>
      <c r="V1687" s="8"/>
      <c r="W1687" s="7"/>
      <c r="X1687" s="7"/>
      <c r="Y1687" s="7"/>
      <c r="Z1687" s="7"/>
      <c r="AA1687" s="7"/>
      <c r="AB1687" s="7"/>
      <c r="AC1687" s="7"/>
      <c r="AD1687" s="7"/>
      <c r="AE1687" s="7"/>
      <c r="AF1687" s="7"/>
      <c r="AG1687" s="7"/>
      <c r="AH1687" s="7"/>
      <c r="AI1687" s="7"/>
      <c r="AJ1687" s="7"/>
      <c r="AK1687" s="7"/>
      <c r="AL1687" s="7"/>
      <c r="AM1687" s="7"/>
      <c r="AN1687" s="7"/>
      <c r="AO1687" s="7"/>
      <c r="AP1687" s="7"/>
      <c r="AQ1687" s="7"/>
      <c r="AR1687" s="7"/>
      <c r="AS1687" s="7"/>
      <c r="AT1687" s="7"/>
      <c r="AU1687" s="7"/>
      <c r="AV1687" s="7"/>
      <c r="AW1687" s="7"/>
      <c r="AX1687" s="7"/>
      <c r="AY1687" s="7"/>
      <c r="AZ1687" s="7"/>
      <c r="BA1687" s="7"/>
      <c r="BB1687" s="7"/>
      <c r="BC1687" s="7"/>
      <c r="BD1687" s="7"/>
      <c r="BE1687" s="7"/>
      <c r="BF1687" s="7"/>
      <c r="BG1687" s="7"/>
    </row>
    <row r="1688" customHeight="1" spans="1:59">
      <c r="A1688" s="9"/>
      <c r="B1688" s="5"/>
      <c r="C1688" s="5"/>
      <c r="D1688" s="5"/>
      <c r="E1688" s="7"/>
      <c r="F1688" s="8"/>
      <c r="G1688" s="8"/>
      <c r="H1688" s="8"/>
      <c r="I1688" s="14"/>
      <c r="J1688" s="14"/>
      <c r="K1688" s="14"/>
      <c r="L1688" s="14"/>
      <c r="M1688" s="7"/>
      <c r="N1688" s="8"/>
      <c r="O1688" s="8"/>
      <c r="P1688" s="8"/>
      <c r="Q1688" s="7"/>
      <c r="R1688" s="16"/>
      <c r="S1688" s="17"/>
      <c r="T1688" s="8"/>
      <c r="U1688" s="8"/>
      <c r="V1688" s="8"/>
      <c r="W1688" s="7"/>
      <c r="X1688" s="7"/>
      <c r="Y1688" s="7"/>
      <c r="Z1688" s="7"/>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7"/>
      <c r="AX1688" s="7"/>
      <c r="AY1688" s="7"/>
      <c r="AZ1688" s="7"/>
      <c r="BA1688" s="7"/>
      <c r="BB1688" s="7"/>
      <c r="BC1688" s="7"/>
      <c r="BD1688" s="7"/>
      <c r="BE1688" s="7"/>
      <c r="BF1688" s="7"/>
      <c r="BG1688" s="7"/>
    </row>
    <row r="1689" customHeight="1" spans="1:59">
      <c r="A1689" s="9"/>
      <c r="B1689" s="5"/>
      <c r="C1689" s="5"/>
      <c r="D1689" s="5"/>
      <c r="E1689" s="7"/>
      <c r="F1689" s="8"/>
      <c r="G1689" s="8"/>
      <c r="H1689" s="8"/>
      <c r="I1689" s="14"/>
      <c r="J1689" s="14"/>
      <c r="K1689" s="14"/>
      <c r="L1689" s="14"/>
      <c r="M1689" s="7"/>
      <c r="N1689" s="8"/>
      <c r="O1689" s="8"/>
      <c r="P1689" s="8"/>
      <c r="Q1689" s="7"/>
      <c r="R1689" s="16"/>
      <c r="S1689" s="17"/>
      <c r="T1689" s="8"/>
      <c r="U1689" s="8"/>
      <c r="V1689" s="8"/>
      <c r="W1689" s="7"/>
      <c r="X1689" s="7"/>
      <c r="Y1689" s="7"/>
      <c r="Z1689" s="7"/>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7"/>
      <c r="BD1689" s="7"/>
      <c r="BE1689" s="7"/>
      <c r="BF1689" s="7"/>
      <c r="BG1689" s="7"/>
    </row>
    <row r="1690" customHeight="1" spans="1:59">
      <c r="A1690" s="9"/>
      <c r="B1690" s="5"/>
      <c r="C1690" s="5"/>
      <c r="D1690" s="5"/>
      <c r="E1690" s="7"/>
      <c r="F1690" s="8"/>
      <c r="G1690" s="8"/>
      <c r="H1690" s="8"/>
      <c r="I1690" s="14"/>
      <c r="J1690" s="14"/>
      <c r="K1690" s="14"/>
      <c r="L1690" s="14"/>
      <c r="M1690" s="7"/>
      <c r="N1690" s="8"/>
      <c r="O1690" s="8"/>
      <c r="P1690" s="8"/>
      <c r="Q1690" s="7"/>
      <c r="R1690" s="16"/>
      <c r="S1690" s="17"/>
      <c r="T1690" s="8"/>
      <c r="U1690" s="8"/>
      <c r="V1690" s="8"/>
      <c r="W1690" s="7"/>
      <c r="X1690" s="7"/>
      <c r="Y1690" s="7"/>
      <c r="Z1690" s="7"/>
      <c r="AA1690" s="7"/>
      <c r="AB1690" s="7"/>
      <c r="AC1690" s="7"/>
      <c r="AD1690" s="7"/>
      <c r="AE1690" s="7"/>
      <c r="AF1690" s="7"/>
      <c r="AG1690" s="7"/>
      <c r="AH1690" s="7"/>
      <c r="AI1690" s="7"/>
      <c r="AJ1690" s="7"/>
      <c r="AK1690" s="7"/>
      <c r="AL1690" s="7"/>
      <c r="AM1690" s="7"/>
      <c r="AN1690" s="7"/>
      <c r="AO1690" s="7"/>
      <c r="AP1690" s="7"/>
      <c r="AQ1690" s="7"/>
      <c r="AR1690" s="7"/>
      <c r="AS1690" s="7"/>
      <c r="AT1690" s="7"/>
      <c r="AU1690" s="7"/>
      <c r="AV1690" s="7"/>
      <c r="AW1690" s="7"/>
      <c r="AX1690" s="7"/>
      <c r="AY1690" s="7"/>
      <c r="AZ1690" s="7"/>
      <c r="BA1690" s="7"/>
      <c r="BB1690" s="7"/>
      <c r="BC1690" s="7"/>
      <c r="BD1690" s="7"/>
      <c r="BE1690" s="7"/>
      <c r="BF1690" s="7"/>
      <c r="BG1690" s="7"/>
    </row>
    <row r="1691" customHeight="1" spans="1:59">
      <c r="A1691" s="9"/>
      <c r="B1691" s="5"/>
      <c r="C1691" s="5"/>
      <c r="D1691" s="5"/>
      <c r="E1691" s="7"/>
      <c r="F1691" s="8"/>
      <c r="G1691" s="8"/>
      <c r="H1691" s="8"/>
      <c r="I1691" s="14"/>
      <c r="J1691" s="14"/>
      <c r="K1691" s="14"/>
      <c r="L1691" s="14"/>
      <c r="M1691" s="7"/>
      <c r="N1691" s="8"/>
      <c r="O1691" s="8"/>
      <c r="P1691" s="8"/>
      <c r="Q1691" s="7"/>
      <c r="R1691" s="16"/>
      <c r="S1691" s="17"/>
      <c r="T1691" s="8"/>
      <c r="U1691" s="8"/>
      <c r="V1691" s="8"/>
      <c r="W1691" s="7"/>
      <c r="X1691" s="7"/>
      <c r="Y1691" s="7"/>
      <c r="Z1691" s="7"/>
      <c r="AA1691" s="7"/>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7"/>
      <c r="AX1691" s="7"/>
      <c r="AY1691" s="7"/>
      <c r="AZ1691" s="7"/>
      <c r="BA1691" s="7"/>
      <c r="BB1691" s="7"/>
      <c r="BC1691" s="7"/>
      <c r="BD1691" s="7"/>
      <c r="BE1691" s="7"/>
      <c r="BF1691" s="7"/>
      <c r="BG1691" s="7"/>
    </row>
    <row r="1692" customHeight="1" spans="1:59">
      <c r="A1692" s="9"/>
      <c r="B1692" s="5"/>
      <c r="C1692" s="5"/>
      <c r="D1692" s="5"/>
      <c r="E1692" s="7"/>
      <c r="F1692" s="8"/>
      <c r="G1692" s="8"/>
      <c r="H1692" s="8"/>
      <c r="I1692" s="14"/>
      <c r="J1692" s="14"/>
      <c r="K1692" s="14"/>
      <c r="L1692" s="14"/>
      <c r="M1692" s="7"/>
      <c r="N1692" s="8"/>
      <c r="O1692" s="8"/>
      <c r="P1692" s="8"/>
      <c r="Q1692" s="7"/>
      <c r="R1692" s="16"/>
      <c r="S1692" s="17"/>
      <c r="T1692" s="8"/>
      <c r="U1692" s="8"/>
      <c r="V1692" s="8"/>
      <c r="W1692" s="7"/>
      <c r="X1692" s="7"/>
      <c r="Y1692" s="7"/>
      <c r="Z1692" s="7"/>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7"/>
      <c r="AX1692" s="7"/>
      <c r="AY1692" s="7"/>
      <c r="AZ1692" s="7"/>
      <c r="BA1692" s="7"/>
      <c r="BB1692" s="7"/>
      <c r="BC1692" s="7"/>
      <c r="BD1692" s="7"/>
      <c r="BE1692" s="7"/>
      <c r="BF1692" s="7"/>
      <c r="BG1692" s="7"/>
    </row>
    <row r="1693" customHeight="1" spans="1:59">
      <c r="A1693" s="9"/>
      <c r="B1693" s="5"/>
      <c r="C1693" s="5"/>
      <c r="D1693" s="5"/>
      <c r="E1693" s="7"/>
      <c r="F1693" s="8"/>
      <c r="G1693" s="8"/>
      <c r="H1693" s="8"/>
      <c r="I1693" s="14"/>
      <c r="J1693" s="14"/>
      <c r="K1693" s="14"/>
      <c r="L1693" s="14"/>
      <c r="M1693" s="7"/>
      <c r="N1693" s="8"/>
      <c r="O1693" s="8"/>
      <c r="P1693" s="8"/>
      <c r="Q1693" s="7"/>
      <c r="R1693" s="16"/>
      <c r="S1693" s="17"/>
      <c r="T1693" s="8"/>
      <c r="U1693" s="8"/>
      <c r="V1693" s="8"/>
      <c r="W1693" s="7"/>
      <c r="X1693" s="7"/>
      <c r="Y1693" s="7"/>
      <c r="Z1693" s="7"/>
      <c r="AA1693" s="7"/>
      <c r="AB1693" s="7"/>
      <c r="AC1693" s="7"/>
      <c r="AD1693" s="7"/>
      <c r="AE1693" s="7"/>
      <c r="AF1693" s="7"/>
      <c r="AG1693" s="7"/>
      <c r="AH1693" s="7"/>
      <c r="AI1693" s="7"/>
      <c r="AJ1693" s="7"/>
      <c r="AK1693" s="7"/>
      <c r="AL1693" s="7"/>
      <c r="AM1693" s="7"/>
      <c r="AN1693" s="7"/>
      <c r="AO1693" s="7"/>
      <c r="AP1693" s="7"/>
      <c r="AQ1693" s="7"/>
      <c r="AR1693" s="7"/>
      <c r="AS1693" s="7"/>
      <c r="AT1693" s="7"/>
      <c r="AU1693" s="7"/>
      <c r="AV1693" s="7"/>
      <c r="AW1693" s="7"/>
      <c r="AX1693" s="7"/>
      <c r="AY1693" s="7"/>
      <c r="AZ1693" s="7"/>
      <c r="BA1693" s="7"/>
      <c r="BB1693" s="7"/>
      <c r="BC1693" s="7"/>
      <c r="BD1693" s="7"/>
      <c r="BE1693" s="7"/>
      <c r="BF1693" s="7"/>
      <c r="BG1693" s="7"/>
    </row>
    <row r="1694" customHeight="1" spans="1:59">
      <c r="A1694" s="9"/>
      <c r="B1694" s="5"/>
      <c r="C1694" s="5"/>
      <c r="D1694" s="5"/>
      <c r="E1694" s="7"/>
      <c r="F1694" s="8"/>
      <c r="G1694" s="8"/>
      <c r="H1694" s="8"/>
      <c r="I1694" s="14"/>
      <c r="J1694" s="14"/>
      <c r="K1694" s="14"/>
      <c r="L1694" s="14"/>
      <c r="M1694" s="7"/>
      <c r="N1694" s="8"/>
      <c r="O1694" s="8"/>
      <c r="P1694" s="8"/>
      <c r="Q1694" s="7"/>
      <c r="R1694" s="16"/>
      <c r="S1694" s="17"/>
      <c r="T1694" s="8"/>
      <c r="U1694" s="8"/>
      <c r="V1694" s="8"/>
      <c r="W1694" s="7"/>
      <c r="X1694" s="7"/>
      <c r="Y1694" s="7"/>
      <c r="Z1694" s="7"/>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7"/>
      <c r="AX1694" s="7"/>
      <c r="AY1694" s="7"/>
      <c r="AZ1694" s="7"/>
      <c r="BA1694" s="7"/>
      <c r="BB1694" s="7"/>
      <c r="BC1694" s="7"/>
      <c r="BD1694" s="7"/>
      <c r="BE1694" s="7"/>
      <c r="BF1694" s="7"/>
      <c r="BG1694" s="7"/>
    </row>
    <row r="1695" customHeight="1" spans="1:59">
      <c r="A1695" s="9"/>
      <c r="B1695" s="5"/>
      <c r="C1695" s="5"/>
      <c r="D1695" s="5"/>
      <c r="E1695" s="7"/>
      <c r="F1695" s="8"/>
      <c r="G1695" s="8"/>
      <c r="H1695" s="8"/>
      <c r="I1695" s="14"/>
      <c r="J1695" s="14"/>
      <c r="K1695" s="14"/>
      <c r="L1695" s="14"/>
      <c r="M1695" s="7"/>
      <c r="N1695" s="8"/>
      <c r="O1695" s="8"/>
      <c r="P1695" s="8"/>
      <c r="Q1695" s="7"/>
      <c r="R1695" s="16"/>
      <c r="S1695" s="17"/>
      <c r="T1695" s="8"/>
      <c r="U1695" s="8"/>
      <c r="V1695" s="8"/>
      <c r="W1695" s="7"/>
      <c r="X1695" s="7"/>
      <c r="Y1695" s="7"/>
      <c r="Z1695" s="7"/>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7"/>
      <c r="AX1695" s="7"/>
      <c r="AY1695" s="7"/>
      <c r="AZ1695" s="7"/>
      <c r="BA1695" s="7"/>
      <c r="BB1695" s="7"/>
      <c r="BC1695" s="7"/>
      <c r="BD1695" s="7"/>
      <c r="BE1695" s="7"/>
      <c r="BF1695" s="7"/>
      <c r="BG1695" s="7"/>
    </row>
    <row r="1696" customHeight="1" spans="1:59">
      <c r="A1696" s="9"/>
      <c r="B1696" s="5"/>
      <c r="C1696" s="5"/>
      <c r="D1696" s="5"/>
      <c r="E1696" s="7"/>
      <c r="F1696" s="8"/>
      <c r="G1696" s="8"/>
      <c r="H1696" s="8"/>
      <c r="I1696" s="14"/>
      <c r="J1696" s="14"/>
      <c r="K1696" s="14"/>
      <c r="L1696" s="14"/>
      <c r="M1696" s="7"/>
      <c r="N1696" s="8"/>
      <c r="O1696" s="8"/>
      <c r="P1696" s="8"/>
      <c r="Q1696" s="7"/>
      <c r="R1696" s="16"/>
      <c r="S1696" s="17"/>
      <c r="T1696" s="8"/>
      <c r="U1696" s="8"/>
      <c r="V1696" s="8"/>
      <c r="W1696" s="7"/>
      <c r="X1696" s="7"/>
      <c r="Y1696" s="7"/>
      <c r="Z1696" s="7"/>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7"/>
      <c r="AX1696" s="7"/>
      <c r="AY1696" s="7"/>
      <c r="AZ1696" s="7"/>
      <c r="BA1696" s="7"/>
      <c r="BB1696" s="7"/>
      <c r="BC1696" s="7"/>
      <c r="BD1696" s="7"/>
      <c r="BE1696" s="7"/>
      <c r="BF1696" s="7"/>
      <c r="BG1696" s="7"/>
    </row>
    <row r="1697" customHeight="1" spans="1:59">
      <c r="A1697" s="9"/>
      <c r="B1697" s="5"/>
      <c r="C1697" s="5"/>
      <c r="D1697" s="5"/>
      <c r="E1697" s="7"/>
      <c r="F1697" s="8"/>
      <c r="G1697" s="8"/>
      <c r="H1697" s="8"/>
      <c r="I1697" s="14"/>
      <c r="J1697" s="14"/>
      <c r="K1697" s="14"/>
      <c r="L1697" s="14"/>
      <c r="M1697" s="7"/>
      <c r="N1697" s="8"/>
      <c r="O1697" s="8"/>
      <c r="P1697" s="8"/>
      <c r="Q1697" s="7"/>
      <c r="R1697" s="16"/>
      <c r="S1697" s="17"/>
      <c r="T1697" s="8"/>
      <c r="U1697" s="8"/>
      <c r="V1697" s="8"/>
      <c r="W1697" s="7"/>
      <c r="X1697" s="7"/>
      <c r="Y1697" s="7"/>
      <c r="Z1697" s="7"/>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7"/>
      <c r="AX1697" s="7"/>
      <c r="AY1697" s="7"/>
      <c r="AZ1697" s="7"/>
      <c r="BA1697" s="7"/>
      <c r="BB1697" s="7"/>
      <c r="BC1697" s="7"/>
      <c r="BD1697" s="7"/>
      <c r="BE1697" s="7"/>
      <c r="BF1697" s="7"/>
      <c r="BG1697" s="7"/>
    </row>
    <row r="1698" customHeight="1" spans="1:59">
      <c r="A1698" s="9"/>
      <c r="B1698" s="5"/>
      <c r="C1698" s="5"/>
      <c r="D1698" s="5"/>
      <c r="E1698" s="7"/>
      <c r="F1698" s="8"/>
      <c r="G1698" s="8"/>
      <c r="H1698" s="8"/>
      <c r="I1698" s="14"/>
      <c r="J1698" s="14"/>
      <c r="K1698" s="14"/>
      <c r="L1698" s="14"/>
      <c r="M1698" s="7"/>
      <c r="N1698" s="8"/>
      <c r="O1698" s="8"/>
      <c r="P1698" s="8"/>
      <c r="Q1698" s="7"/>
      <c r="R1698" s="16"/>
      <c r="S1698" s="17"/>
      <c r="T1698" s="8"/>
      <c r="U1698" s="8"/>
      <c r="V1698" s="8"/>
      <c r="W1698" s="7"/>
      <c r="X1698" s="7"/>
      <c r="Y1698" s="7"/>
      <c r="Z1698" s="7"/>
      <c r="AA1698" s="7"/>
      <c r="AB1698" s="7"/>
      <c r="AC1698" s="7"/>
      <c r="AD1698" s="7"/>
      <c r="AE1698" s="7"/>
      <c r="AF1698" s="7"/>
      <c r="AG1698" s="7"/>
      <c r="AH1698" s="7"/>
      <c r="AI1698" s="7"/>
      <c r="AJ1698" s="7"/>
      <c r="AK1698" s="7"/>
      <c r="AL1698" s="7"/>
      <c r="AM1698" s="7"/>
      <c r="AN1698" s="7"/>
      <c r="AO1698" s="7"/>
      <c r="AP1698" s="7"/>
      <c r="AQ1698" s="7"/>
      <c r="AR1698" s="7"/>
      <c r="AS1698" s="7"/>
      <c r="AT1698" s="7"/>
      <c r="AU1698" s="7"/>
      <c r="AV1698" s="7"/>
      <c r="AW1698" s="7"/>
      <c r="AX1698" s="7"/>
      <c r="AY1698" s="7"/>
      <c r="AZ1698" s="7"/>
      <c r="BA1698" s="7"/>
      <c r="BB1698" s="7"/>
      <c r="BC1698" s="7"/>
      <c r="BD1698" s="7"/>
      <c r="BE1698" s="7"/>
      <c r="BF1698" s="7"/>
      <c r="BG1698" s="7"/>
    </row>
    <row r="1699" customHeight="1" spans="1:59">
      <c r="A1699" s="9"/>
      <c r="B1699" s="5"/>
      <c r="C1699" s="5"/>
      <c r="D1699" s="5"/>
      <c r="E1699" s="7"/>
      <c r="F1699" s="8"/>
      <c r="G1699" s="8"/>
      <c r="H1699" s="8"/>
      <c r="I1699" s="14"/>
      <c r="J1699" s="14"/>
      <c r="K1699" s="14"/>
      <c r="L1699" s="14"/>
      <c r="M1699" s="7"/>
      <c r="N1699" s="8"/>
      <c r="O1699" s="8"/>
      <c r="P1699" s="8"/>
      <c r="Q1699" s="7"/>
      <c r="R1699" s="16"/>
      <c r="S1699" s="17"/>
      <c r="T1699" s="8"/>
      <c r="U1699" s="8"/>
      <c r="V1699" s="8"/>
      <c r="W1699" s="7"/>
      <c r="X1699" s="7"/>
      <c r="Y1699" s="7"/>
      <c r="Z1699" s="7"/>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7"/>
      <c r="AX1699" s="7"/>
      <c r="AY1699" s="7"/>
      <c r="AZ1699" s="7"/>
      <c r="BA1699" s="7"/>
      <c r="BB1699" s="7"/>
      <c r="BC1699" s="7"/>
      <c r="BD1699" s="7"/>
      <c r="BE1699" s="7"/>
      <c r="BF1699" s="7"/>
      <c r="BG1699" s="7"/>
    </row>
    <row r="1700" customHeight="1" spans="1:59">
      <c r="A1700" s="9"/>
      <c r="B1700" s="5"/>
      <c r="C1700" s="5"/>
      <c r="D1700" s="5"/>
      <c r="E1700" s="7"/>
      <c r="F1700" s="8"/>
      <c r="G1700" s="8"/>
      <c r="H1700" s="8"/>
      <c r="I1700" s="14"/>
      <c r="J1700" s="14"/>
      <c r="K1700" s="14"/>
      <c r="L1700" s="14"/>
      <c r="M1700" s="7"/>
      <c r="N1700" s="8"/>
      <c r="O1700" s="8"/>
      <c r="P1700" s="8"/>
      <c r="Q1700" s="7"/>
      <c r="R1700" s="16"/>
      <c r="S1700" s="17"/>
      <c r="T1700" s="8"/>
      <c r="U1700" s="8"/>
      <c r="V1700" s="8"/>
      <c r="W1700" s="7"/>
      <c r="X1700" s="7"/>
      <c r="Y1700" s="7"/>
      <c r="Z1700" s="7"/>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7"/>
      <c r="AX1700" s="7"/>
      <c r="AY1700" s="7"/>
      <c r="AZ1700" s="7"/>
      <c r="BA1700" s="7"/>
      <c r="BB1700" s="7"/>
      <c r="BC1700" s="7"/>
      <c r="BD1700" s="7"/>
      <c r="BE1700" s="7"/>
      <c r="BF1700" s="7"/>
      <c r="BG1700" s="7"/>
    </row>
    <row r="1701" customHeight="1" spans="1:59">
      <c r="A1701" s="9"/>
      <c r="B1701" s="5"/>
      <c r="C1701" s="5"/>
      <c r="D1701" s="5"/>
      <c r="E1701" s="7"/>
      <c r="F1701" s="8"/>
      <c r="G1701" s="8"/>
      <c r="H1701" s="8"/>
      <c r="I1701" s="14"/>
      <c r="J1701" s="14"/>
      <c r="K1701" s="14"/>
      <c r="L1701" s="14"/>
      <c r="M1701" s="7"/>
      <c r="N1701" s="8"/>
      <c r="O1701" s="8"/>
      <c r="P1701" s="8"/>
      <c r="Q1701" s="7"/>
      <c r="R1701" s="16"/>
      <c r="S1701" s="17"/>
      <c r="T1701" s="8"/>
      <c r="U1701" s="8"/>
      <c r="V1701" s="8"/>
      <c r="W1701" s="7"/>
      <c r="X1701" s="7"/>
      <c r="Y1701" s="7"/>
      <c r="Z1701" s="7"/>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7"/>
      <c r="AX1701" s="7"/>
      <c r="AY1701" s="7"/>
      <c r="AZ1701" s="7"/>
      <c r="BA1701" s="7"/>
      <c r="BB1701" s="7"/>
      <c r="BC1701" s="7"/>
      <c r="BD1701" s="7"/>
      <c r="BE1701" s="7"/>
      <c r="BF1701" s="7"/>
      <c r="BG1701" s="7"/>
    </row>
    <row r="1702" customHeight="1" spans="1:59">
      <c r="A1702" s="9"/>
      <c r="B1702" s="5"/>
      <c r="C1702" s="5"/>
      <c r="D1702" s="5"/>
      <c r="E1702" s="7"/>
      <c r="F1702" s="8"/>
      <c r="G1702" s="8"/>
      <c r="H1702" s="8"/>
      <c r="I1702" s="14"/>
      <c r="J1702" s="14"/>
      <c r="K1702" s="14"/>
      <c r="L1702" s="14"/>
      <c r="M1702" s="7"/>
      <c r="N1702" s="8"/>
      <c r="O1702" s="8"/>
      <c r="P1702" s="8"/>
      <c r="Q1702" s="7"/>
      <c r="R1702" s="16"/>
      <c r="S1702" s="17"/>
      <c r="T1702" s="8"/>
      <c r="U1702" s="8"/>
      <c r="V1702" s="8"/>
      <c r="W1702" s="7"/>
      <c r="X1702" s="7"/>
      <c r="Y1702" s="7"/>
      <c r="Z1702" s="7"/>
      <c r="AA1702" s="7"/>
      <c r="AB1702" s="7"/>
      <c r="AC1702" s="7"/>
      <c r="AD1702" s="7"/>
      <c r="AE1702" s="7"/>
      <c r="AF1702" s="7"/>
      <c r="AG1702" s="7"/>
      <c r="AH1702" s="7"/>
      <c r="AI1702" s="7"/>
      <c r="AJ1702" s="7"/>
      <c r="AK1702" s="7"/>
      <c r="AL1702" s="7"/>
      <c r="AM1702" s="7"/>
      <c r="AN1702" s="7"/>
      <c r="AO1702" s="7"/>
      <c r="AP1702" s="7"/>
      <c r="AQ1702" s="7"/>
      <c r="AR1702" s="7"/>
      <c r="AS1702" s="7"/>
      <c r="AT1702" s="7"/>
      <c r="AU1702" s="7"/>
      <c r="AV1702" s="7"/>
      <c r="AW1702" s="7"/>
      <c r="AX1702" s="7"/>
      <c r="AY1702" s="7"/>
      <c r="AZ1702" s="7"/>
      <c r="BA1702" s="7"/>
      <c r="BB1702" s="7"/>
      <c r="BC1702" s="7"/>
      <c r="BD1702" s="7"/>
      <c r="BE1702" s="7"/>
      <c r="BF1702" s="7"/>
      <c r="BG1702" s="7"/>
    </row>
    <row r="1703" customHeight="1" spans="1:59">
      <c r="A1703" s="9"/>
      <c r="B1703" s="5"/>
      <c r="C1703" s="5"/>
      <c r="D1703" s="5"/>
      <c r="E1703" s="7"/>
      <c r="F1703" s="8"/>
      <c r="G1703" s="8"/>
      <c r="H1703" s="8"/>
      <c r="I1703" s="14"/>
      <c r="J1703" s="14"/>
      <c r="K1703" s="14"/>
      <c r="L1703" s="14"/>
      <c r="M1703" s="7"/>
      <c r="N1703" s="8"/>
      <c r="O1703" s="8"/>
      <c r="P1703" s="8"/>
      <c r="Q1703" s="7"/>
      <c r="R1703" s="16"/>
      <c r="S1703" s="17"/>
      <c r="T1703" s="8"/>
      <c r="U1703" s="8"/>
      <c r="V1703" s="8"/>
      <c r="W1703" s="7"/>
      <c r="X1703" s="7"/>
      <c r="Y1703" s="7"/>
      <c r="Z1703" s="7"/>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7"/>
      <c r="AX1703" s="7"/>
      <c r="AY1703" s="7"/>
      <c r="AZ1703" s="7"/>
      <c r="BA1703" s="7"/>
      <c r="BB1703" s="7"/>
      <c r="BC1703" s="7"/>
      <c r="BD1703" s="7"/>
      <c r="BE1703" s="7"/>
      <c r="BF1703" s="7"/>
      <c r="BG1703" s="7"/>
    </row>
    <row r="1704" customHeight="1" spans="1:59">
      <c r="A1704" s="9"/>
      <c r="B1704" s="5"/>
      <c r="C1704" s="5"/>
      <c r="D1704" s="5"/>
      <c r="E1704" s="7"/>
      <c r="F1704" s="8"/>
      <c r="G1704" s="8"/>
      <c r="H1704" s="8"/>
      <c r="I1704" s="14"/>
      <c r="J1704" s="14"/>
      <c r="K1704" s="14"/>
      <c r="L1704" s="14"/>
      <c r="M1704" s="7"/>
      <c r="N1704" s="8"/>
      <c r="O1704" s="8"/>
      <c r="P1704" s="8"/>
      <c r="Q1704" s="7"/>
      <c r="R1704" s="16"/>
      <c r="S1704" s="17"/>
      <c r="T1704" s="8"/>
      <c r="U1704" s="8"/>
      <c r="V1704" s="8"/>
      <c r="W1704" s="7"/>
      <c r="X1704" s="7"/>
      <c r="Y1704" s="7"/>
      <c r="Z1704" s="7"/>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7"/>
      <c r="AX1704" s="7"/>
      <c r="AY1704" s="7"/>
      <c r="AZ1704" s="7"/>
      <c r="BA1704" s="7"/>
      <c r="BB1704" s="7"/>
      <c r="BC1704" s="7"/>
      <c r="BD1704" s="7"/>
      <c r="BE1704" s="7"/>
      <c r="BF1704" s="7"/>
      <c r="BG1704" s="7"/>
    </row>
    <row r="1705" customHeight="1" spans="1:59">
      <c r="A1705" s="9"/>
      <c r="B1705" s="5"/>
      <c r="C1705" s="5"/>
      <c r="D1705" s="5"/>
      <c r="E1705" s="7"/>
      <c r="F1705" s="8"/>
      <c r="G1705" s="8"/>
      <c r="H1705" s="8"/>
      <c r="I1705" s="14"/>
      <c r="J1705" s="14"/>
      <c r="K1705" s="14"/>
      <c r="L1705" s="14"/>
      <c r="M1705" s="7"/>
      <c r="N1705" s="8"/>
      <c r="O1705" s="8"/>
      <c r="P1705" s="8"/>
      <c r="Q1705" s="7"/>
      <c r="R1705" s="16"/>
      <c r="S1705" s="17"/>
      <c r="T1705" s="8"/>
      <c r="U1705" s="8"/>
      <c r="V1705" s="8"/>
      <c r="W1705" s="7"/>
      <c r="X1705" s="7"/>
      <c r="Y1705" s="7"/>
      <c r="Z1705" s="7"/>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7"/>
      <c r="AX1705" s="7"/>
      <c r="AY1705" s="7"/>
      <c r="AZ1705" s="7"/>
      <c r="BA1705" s="7"/>
      <c r="BB1705" s="7"/>
      <c r="BC1705" s="7"/>
      <c r="BD1705" s="7"/>
      <c r="BE1705" s="7"/>
      <c r="BF1705" s="7"/>
      <c r="BG1705" s="7"/>
    </row>
    <row r="1706" customHeight="1" spans="1:59">
      <c r="A1706" s="9"/>
      <c r="B1706" s="5"/>
      <c r="C1706" s="5"/>
      <c r="D1706" s="5"/>
      <c r="E1706" s="7"/>
      <c r="F1706" s="8"/>
      <c r="G1706" s="8"/>
      <c r="H1706" s="8"/>
      <c r="I1706" s="14"/>
      <c r="J1706" s="14"/>
      <c r="K1706" s="14"/>
      <c r="L1706" s="14"/>
      <c r="M1706" s="7"/>
      <c r="N1706" s="8"/>
      <c r="O1706" s="8"/>
      <c r="P1706" s="8"/>
      <c r="Q1706" s="7"/>
      <c r="R1706" s="16"/>
      <c r="S1706" s="17"/>
      <c r="T1706" s="8"/>
      <c r="U1706" s="8"/>
      <c r="V1706" s="8"/>
      <c r="W1706" s="7"/>
      <c r="X1706" s="7"/>
      <c r="Y1706" s="7"/>
      <c r="Z1706" s="7"/>
      <c r="AA1706" s="7"/>
      <c r="AB1706" s="7"/>
      <c r="AC1706" s="7"/>
      <c r="AD1706" s="7"/>
      <c r="AE1706" s="7"/>
      <c r="AF1706" s="7"/>
      <c r="AG1706" s="7"/>
      <c r="AH1706" s="7"/>
      <c r="AI1706" s="7"/>
      <c r="AJ1706" s="7"/>
      <c r="AK1706" s="7"/>
      <c r="AL1706" s="7"/>
      <c r="AM1706" s="7"/>
      <c r="AN1706" s="7"/>
      <c r="AO1706" s="7"/>
      <c r="AP1706" s="7"/>
      <c r="AQ1706" s="7"/>
      <c r="AR1706" s="7"/>
      <c r="AS1706" s="7"/>
      <c r="AT1706" s="7"/>
      <c r="AU1706" s="7"/>
      <c r="AV1706" s="7"/>
      <c r="AW1706" s="7"/>
      <c r="AX1706" s="7"/>
      <c r="AY1706" s="7"/>
      <c r="AZ1706" s="7"/>
      <c r="BA1706" s="7"/>
      <c r="BB1706" s="7"/>
      <c r="BC1706" s="7"/>
      <c r="BD1706" s="7"/>
      <c r="BE1706" s="7"/>
      <c r="BF1706" s="7"/>
      <c r="BG1706" s="7"/>
    </row>
    <row r="1707" customHeight="1" spans="1:59">
      <c r="A1707" s="9"/>
      <c r="B1707" s="5"/>
      <c r="C1707" s="5"/>
      <c r="D1707" s="5"/>
      <c r="E1707" s="7"/>
      <c r="F1707" s="8"/>
      <c r="G1707" s="8"/>
      <c r="H1707" s="8"/>
      <c r="I1707" s="14"/>
      <c r="J1707" s="14"/>
      <c r="K1707" s="14"/>
      <c r="L1707" s="14"/>
      <c r="M1707" s="7"/>
      <c r="N1707" s="8"/>
      <c r="O1707" s="8"/>
      <c r="P1707" s="8"/>
      <c r="Q1707" s="7"/>
      <c r="R1707" s="16"/>
      <c r="S1707" s="17"/>
      <c r="T1707" s="8"/>
      <c r="U1707" s="8"/>
      <c r="V1707" s="8"/>
      <c r="W1707" s="7"/>
      <c r="X1707" s="7"/>
      <c r="Y1707" s="7"/>
      <c r="Z1707" s="7"/>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7"/>
      <c r="AX1707" s="7"/>
      <c r="AY1707" s="7"/>
      <c r="AZ1707" s="7"/>
      <c r="BA1707" s="7"/>
      <c r="BB1707" s="7"/>
      <c r="BC1707" s="7"/>
      <c r="BD1707" s="7"/>
      <c r="BE1707" s="7"/>
      <c r="BF1707" s="7"/>
      <c r="BG1707" s="7"/>
    </row>
    <row r="1708" customHeight="1" spans="1:59">
      <c r="A1708" s="9"/>
      <c r="B1708" s="5"/>
      <c r="C1708" s="5"/>
      <c r="D1708" s="5"/>
      <c r="E1708" s="7"/>
      <c r="F1708" s="8"/>
      <c r="G1708" s="8"/>
      <c r="H1708" s="8"/>
      <c r="I1708" s="14"/>
      <c r="J1708" s="14"/>
      <c r="K1708" s="14"/>
      <c r="L1708" s="14"/>
      <c r="M1708" s="7"/>
      <c r="N1708" s="8"/>
      <c r="O1708" s="8"/>
      <c r="P1708" s="8"/>
      <c r="Q1708" s="7"/>
      <c r="R1708" s="16"/>
      <c r="S1708" s="17"/>
      <c r="T1708" s="8"/>
      <c r="U1708" s="8"/>
      <c r="V1708" s="8"/>
      <c r="W1708" s="7"/>
      <c r="X1708" s="7"/>
      <c r="Y1708" s="7"/>
      <c r="Z1708" s="7"/>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7"/>
      <c r="AX1708" s="7"/>
      <c r="AY1708" s="7"/>
      <c r="AZ1708" s="7"/>
      <c r="BA1708" s="7"/>
      <c r="BB1708" s="7"/>
      <c r="BC1708" s="7"/>
      <c r="BD1708" s="7"/>
      <c r="BE1708" s="7"/>
      <c r="BF1708" s="7"/>
      <c r="BG1708" s="7"/>
    </row>
    <row r="1709" customHeight="1" spans="1:59">
      <c r="A1709" s="9"/>
      <c r="B1709" s="5"/>
      <c r="C1709" s="5"/>
      <c r="D1709" s="5"/>
      <c r="E1709" s="7"/>
      <c r="F1709" s="8"/>
      <c r="G1709" s="8"/>
      <c r="H1709" s="8"/>
      <c r="I1709" s="14"/>
      <c r="J1709" s="14"/>
      <c r="K1709" s="14"/>
      <c r="L1709" s="14"/>
      <c r="M1709" s="7"/>
      <c r="N1709" s="8"/>
      <c r="O1709" s="8"/>
      <c r="P1709" s="8"/>
      <c r="Q1709" s="7"/>
      <c r="R1709" s="16"/>
      <c r="S1709" s="17"/>
      <c r="T1709" s="8"/>
      <c r="U1709" s="8"/>
      <c r="V1709" s="8"/>
      <c r="W1709" s="7"/>
      <c r="X1709" s="7"/>
      <c r="Y1709" s="7"/>
      <c r="Z1709" s="7"/>
      <c r="AA1709" s="7"/>
      <c r="AB1709" s="7"/>
      <c r="AC1709" s="7"/>
      <c r="AD1709" s="7"/>
      <c r="AE1709" s="7"/>
      <c r="AF1709" s="7"/>
      <c r="AG1709" s="7"/>
      <c r="AH1709" s="7"/>
      <c r="AI1709" s="7"/>
      <c r="AJ1709" s="7"/>
      <c r="AK1709" s="7"/>
      <c r="AL1709" s="7"/>
      <c r="AM1709" s="7"/>
      <c r="AN1709" s="7"/>
      <c r="AO1709" s="7"/>
      <c r="AP1709" s="7"/>
      <c r="AQ1709" s="7"/>
      <c r="AR1709" s="7"/>
      <c r="AS1709" s="7"/>
      <c r="AT1709" s="7"/>
      <c r="AU1709" s="7"/>
      <c r="AV1709" s="7"/>
      <c r="AW1709" s="7"/>
      <c r="AX1709" s="7"/>
      <c r="AY1709" s="7"/>
      <c r="AZ1709" s="7"/>
      <c r="BA1709" s="7"/>
      <c r="BB1709" s="7"/>
      <c r="BC1709" s="7"/>
      <c r="BD1709" s="7"/>
      <c r="BE1709" s="7"/>
      <c r="BF1709" s="7"/>
      <c r="BG1709" s="7"/>
    </row>
    <row r="1710" customHeight="1" spans="1:59">
      <c r="A1710" s="9"/>
      <c r="B1710" s="5"/>
      <c r="C1710" s="5"/>
      <c r="D1710" s="5"/>
      <c r="E1710" s="7"/>
      <c r="F1710" s="8"/>
      <c r="G1710" s="8"/>
      <c r="H1710" s="8"/>
      <c r="I1710" s="14"/>
      <c r="J1710" s="14"/>
      <c r="K1710" s="14"/>
      <c r="L1710" s="14"/>
      <c r="M1710" s="7"/>
      <c r="N1710" s="8"/>
      <c r="O1710" s="8"/>
      <c r="P1710" s="8"/>
      <c r="Q1710" s="7"/>
      <c r="R1710" s="16"/>
      <c r="S1710" s="17"/>
      <c r="T1710" s="8"/>
      <c r="U1710" s="8"/>
      <c r="V1710" s="8"/>
      <c r="W1710" s="7"/>
      <c r="X1710" s="7"/>
      <c r="Y1710" s="7"/>
      <c r="Z1710" s="7"/>
      <c r="AA1710" s="7"/>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7"/>
      <c r="AX1710" s="7"/>
      <c r="AY1710" s="7"/>
      <c r="AZ1710" s="7"/>
      <c r="BA1710" s="7"/>
      <c r="BB1710" s="7"/>
      <c r="BC1710" s="7"/>
      <c r="BD1710" s="7"/>
      <c r="BE1710" s="7"/>
      <c r="BF1710" s="7"/>
      <c r="BG1710" s="7"/>
    </row>
    <row r="1711" customHeight="1" spans="1:59">
      <c r="A1711" s="9"/>
      <c r="B1711" s="5"/>
      <c r="C1711" s="5"/>
      <c r="D1711" s="5"/>
      <c r="E1711" s="7"/>
      <c r="F1711" s="8"/>
      <c r="G1711" s="8"/>
      <c r="H1711" s="8"/>
      <c r="I1711" s="14"/>
      <c r="J1711" s="14"/>
      <c r="K1711" s="14"/>
      <c r="L1711" s="14"/>
      <c r="M1711" s="7"/>
      <c r="N1711" s="8"/>
      <c r="O1711" s="8"/>
      <c r="P1711" s="8"/>
      <c r="Q1711" s="7"/>
      <c r="R1711" s="16"/>
      <c r="S1711" s="17"/>
      <c r="T1711" s="8"/>
      <c r="U1711" s="8"/>
      <c r="V1711" s="8"/>
      <c r="W1711" s="7"/>
      <c r="X1711" s="7"/>
      <c r="Y1711" s="7"/>
      <c r="Z1711" s="7"/>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7"/>
      <c r="AX1711" s="7"/>
      <c r="AY1711" s="7"/>
      <c r="AZ1711" s="7"/>
      <c r="BA1711" s="7"/>
      <c r="BB1711" s="7"/>
      <c r="BC1711" s="7"/>
      <c r="BD1711" s="7"/>
      <c r="BE1711" s="7"/>
      <c r="BF1711" s="7"/>
      <c r="BG1711" s="7"/>
    </row>
    <row r="1712" customHeight="1" spans="1:59">
      <c r="A1712" s="9"/>
      <c r="B1712" s="5"/>
      <c r="C1712" s="5"/>
      <c r="D1712" s="5"/>
      <c r="E1712" s="7"/>
      <c r="F1712" s="8"/>
      <c r="G1712" s="8"/>
      <c r="H1712" s="8"/>
      <c r="I1712" s="14"/>
      <c r="J1712" s="14"/>
      <c r="K1712" s="14"/>
      <c r="L1712" s="14"/>
      <c r="M1712" s="7"/>
      <c r="N1712" s="8"/>
      <c r="O1712" s="8"/>
      <c r="P1712" s="8"/>
      <c r="Q1712" s="7"/>
      <c r="R1712" s="16"/>
      <c r="S1712" s="17"/>
      <c r="T1712" s="8"/>
      <c r="U1712" s="8"/>
      <c r="V1712" s="8"/>
      <c r="W1712" s="7"/>
      <c r="X1712" s="7"/>
      <c r="Y1712" s="7"/>
      <c r="Z1712" s="7"/>
      <c r="AA1712" s="7"/>
      <c r="AB1712" s="7"/>
      <c r="AC1712" s="7"/>
      <c r="AD1712" s="7"/>
      <c r="AE1712" s="7"/>
      <c r="AF1712" s="7"/>
      <c r="AG1712" s="7"/>
      <c r="AH1712" s="7"/>
      <c r="AI1712" s="7"/>
      <c r="AJ1712" s="7"/>
      <c r="AK1712" s="7"/>
      <c r="AL1712" s="7"/>
      <c r="AM1712" s="7"/>
      <c r="AN1712" s="7"/>
      <c r="AO1712" s="7"/>
      <c r="AP1712" s="7"/>
      <c r="AQ1712" s="7"/>
      <c r="AR1712" s="7"/>
      <c r="AS1712" s="7"/>
      <c r="AT1712" s="7"/>
      <c r="AU1712" s="7"/>
      <c r="AV1712" s="7"/>
      <c r="AW1712" s="7"/>
      <c r="AX1712" s="7"/>
      <c r="AY1712" s="7"/>
      <c r="AZ1712" s="7"/>
      <c r="BA1712" s="7"/>
      <c r="BB1712" s="7"/>
      <c r="BC1712" s="7"/>
      <c r="BD1712" s="7"/>
      <c r="BE1712" s="7"/>
      <c r="BF1712" s="7"/>
      <c r="BG1712" s="7"/>
    </row>
    <row r="1713" customHeight="1" spans="1:59">
      <c r="A1713" s="9"/>
      <c r="B1713" s="5"/>
      <c r="C1713" s="5"/>
      <c r="D1713" s="5"/>
      <c r="E1713" s="7"/>
      <c r="F1713" s="8"/>
      <c r="G1713" s="8"/>
      <c r="H1713" s="8"/>
      <c r="I1713" s="14"/>
      <c r="J1713" s="14"/>
      <c r="K1713" s="14"/>
      <c r="L1713" s="14"/>
      <c r="M1713" s="7"/>
      <c r="N1713" s="8"/>
      <c r="O1713" s="8"/>
      <c r="P1713" s="8"/>
      <c r="Q1713" s="7"/>
      <c r="R1713" s="16"/>
      <c r="S1713" s="17"/>
      <c r="T1713" s="8"/>
      <c r="U1713" s="8"/>
      <c r="V1713" s="8"/>
      <c r="W1713" s="7"/>
      <c r="X1713" s="7"/>
      <c r="Y1713" s="7"/>
      <c r="Z1713" s="7"/>
      <c r="AA1713" s="7"/>
      <c r="AB1713" s="7"/>
      <c r="AC1713" s="7"/>
      <c r="AD1713" s="7"/>
      <c r="AE1713" s="7"/>
      <c r="AF1713" s="7"/>
      <c r="AG1713" s="7"/>
      <c r="AH1713" s="7"/>
      <c r="AI1713" s="7"/>
      <c r="AJ1713" s="7"/>
      <c r="AK1713" s="7"/>
      <c r="AL1713" s="7"/>
      <c r="AM1713" s="7"/>
      <c r="AN1713" s="7"/>
      <c r="AO1713" s="7"/>
      <c r="AP1713" s="7"/>
      <c r="AQ1713" s="7"/>
      <c r="AR1713" s="7"/>
      <c r="AS1713" s="7"/>
      <c r="AT1713" s="7"/>
      <c r="AU1713" s="7"/>
      <c r="AV1713" s="7"/>
      <c r="AW1713" s="7"/>
      <c r="AX1713" s="7"/>
      <c r="AY1713" s="7"/>
      <c r="AZ1713" s="7"/>
      <c r="BA1713" s="7"/>
      <c r="BB1713" s="7"/>
      <c r="BC1713" s="7"/>
      <c r="BD1713" s="7"/>
      <c r="BE1713" s="7"/>
      <c r="BF1713" s="7"/>
      <c r="BG1713" s="7"/>
    </row>
    <row r="1714" customHeight="1" spans="1:59">
      <c r="A1714" s="9"/>
      <c r="B1714" s="5"/>
      <c r="C1714" s="5"/>
      <c r="D1714" s="5"/>
      <c r="E1714" s="7"/>
      <c r="F1714" s="8"/>
      <c r="G1714" s="8"/>
      <c r="H1714" s="8"/>
      <c r="I1714" s="14"/>
      <c r="J1714" s="14"/>
      <c r="K1714" s="14"/>
      <c r="L1714" s="14"/>
      <c r="M1714" s="7"/>
      <c r="N1714" s="8"/>
      <c r="O1714" s="8"/>
      <c r="P1714" s="8"/>
      <c r="Q1714" s="7"/>
      <c r="R1714" s="16"/>
      <c r="S1714" s="17"/>
      <c r="T1714" s="8"/>
      <c r="U1714" s="8"/>
      <c r="V1714" s="8"/>
      <c r="W1714" s="7"/>
      <c r="X1714" s="7"/>
      <c r="Y1714" s="7"/>
      <c r="Z1714" s="7"/>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7"/>
      <c r="AX1714" s="7"/>
      <c r="AY1714" s="7"/>
      <c r="AZ1714" s="7"/>
      <c r="BA1714" s="7"/>
      <c r="BB1714" s="7"/>
      <c r="BC1714" s="7"/>
      <c r="BD1714" s="7"/>
      <c r="BE1714" s="7"/>
      <c r="BF1714" s="7"/>
      <c r="BG1714" s="7"/>
    </row>
    <row r="1715" customHeight="1" spans="1:59">
      <c r="A1715" s="9"/>
      <c r="B1715" s="5"/>
      <c r="C1715" s="5"/>
      <c r="D1715" s="5"/>
      <c r="E1715" s="7"/>
      <c r="F1715" s="8"/>
      <c r="G1715" s="8"/>
      <c r="H1715" s="8"/>
      <c r="I1715" s="14"/>
      <c r="J1715" s="14"/>
      <c r="K1715" s="14"/>
      <c r="L1715" s="14"/>
      <c r="M1715" s="7"/>
      <c r="N1715" s="8"/>
      <c r="O1715" s="8"/>
      <c r="P1715" s="8"/>
      <c r="Q1715" s="7"/>
      <c r="R1715" s="16"/>
      <c r="S1715" s="17"/>
      <c r="T1715" s="8"/>
      <c r="U1715" s="8"/>
      <c r="V1715" s="8"/>
      <c r="W1715" s="7"/>
      <c r="X1715" s="7"/>
      <c r="Y1715" s="7"/>
      <c r="Z1715" s="7"/>
      <c r="AA1715" s="7"/>
      <c r="AB1715" s="7"/>
      <c r="AC1715" s="7"/>
      <c r="AD1715" s="7"/>
      <c r="AE1715" s="7"/>
      <c r="AF1715" s="7"/>
      <c r="AG1715" s="7"/>
      <c r="AH1715" s="7"/>
      <c r="AI1715" s="7"/>
      <c r="AJ1715" s="7"/>
      <c r="AK1715" s="7"/>
      <c r="AL1715" s="7"/>
      <c r="AM1715" s="7"/>
      <c r="AN1715" s="7"/>
      <c r="AO1715" s="7"/>
      <c r="AP1715" s="7"/>
      <c r="AQ1715" s="7"/>
      <c r="AR1715" s="7"/>
      <c r="AS1715" s="7"/>
      <c r="AT1715" s="7"/>
      <c r="AU1715" s="7"/>
      <c r="AV1715" s="7"/>
      <c r="AW1715" s="7"/>
      <c r="AX1715" s="7"/>
      <c r="AY1715" s="7"/>
      <c r="AZ1715" s="7"/>
      <c r="BA1715" s="7"/>
      <c r="BB1715" s="7"/>
      <c r="BC1715" s="7"/>
      <c r="BD1715" s="7"/>
      <c r="BE1715" s="7"/>
      <c r="BF1715" s="7"/>
      <c r="BG1715" s="7"/>
    </row>
    <row r="1716" customHeight="1" spans="1:59">
      <c r="A1716" s="9"/>
      <c r="B1716" s="5"/>
      <c r="C1716" s="5"/>
      <c r="D1716" s="5"/>
      <c r="E1716" s="7"/>
      <c r="F1716" s="8"/>
      <c r="G1716" s="8"/>
      <c r="H1716" s="8"/>
      <c r="I1716" s="14"/>
      <c r="J1716" s="14"/>
      <c r="K1716" s="14"/>
      <c r="L1716" s="14"/>
      <c r="M1716" s="7"/>
      <c r="N1716" s="8"/>
      <c r="O1716" s="8"/>
      <c r="P1716" s="8"/>
      <c r="Q1716" s="7"/>
      <c r="R1716" s="16"/>
      <c r="S1716" s="17"/>
      <c r="T1716" s="8"/>
      <c r="U1716" s="8"/>
      <c r="V1716" s="8"/>
      <c r="W1716" s="7"/>
      <c r="X1716" s="7"/>
      <c r="Y1716" s="7"/>
      <c r="Z1716" s="7"/>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7"/>
      <c r="AX1716" s="7"/>
      <c r="AY1716" s="7"/>
      <c r="AZ1716" s="7"/>
      <c r="BA1716" s="7"/>
      <c r="BB1716" s="7"/>
      <c r="BC1716" s="7"/>
      <c r="BD1716" s="7"/>
      <c r="BE1716" s="7"/>
      <c r="BF1716" s="7"/>
      <c r="BG1716" s="7"/>
    </row>
    <row r="1717" customHeight="1" spans="1:59">
      <c r="A1717" s="9"/>
      <c r="B1717" s="5"/>
      <c r="C1717" s="5"/>
      <c r="D1717" s="5"/>
      <c r="E1717" s="7"/>
      <c r="F1717" s="8"/>
      <c r="G1717" s="8"/>
      <c r="H1717" s="8"/>
      <c r="I1717" s="14"/>
      <c r="J1717" s="14"/>
      <c r="K1717" s="14"/>
      <c r="L1717" s="14"/>
      <c r="M1717" s="7"/>
      <c r="N1717" s="8"/>
      <c r="O1717" s="8"/>
      <c r="P1717" s="8"/>
      <c r="Q1717" s="7"/>
      <c r="R1717" s="16"/>
      <c r="S1717" s="17"/>
      <c r="T1717" s="8"/>
      <c r="U1717" s="8"/>
      <c r="V1717" s="8"/>
      <c r="W1717" s="7"/>
      <c r="X1717" s="7"/>
      <c r="Y1717" s="7"/>
      <c r="Z1717" s="7"/>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7"/>
      <c r="AX1717" s="7"/>
      <c r="AY1717" s="7"/>
      <c r="AZ1717" s="7"/>
      <c r="BA1717" s="7"/>
      <c r="BB1717" s="7"/>
      <c r="BC1717" s="7"/>
      <c r="BD1717" s="7"/>
      <c r="BE1717" s="7"/>
      <c r="BF1717" s="7"/>
      <c r="BG1717" s="7"/>
    </row>
  </sheetData>
  <customSheetViews>
    <customSheetView guid="{2A59C315-A457-46C0-B92B-FA005B422632}" filter="1" showAutoFilter="1">
      <pageMargins left="0.7" right="0.7" top="0.75" bottom="0.75" header="0.3" footer="0.3"/>
      <headerFooter/>
      <autoFilter ref="A1:W1084">
        <filterColumn colId="0">
          <customFilters>
            <customFilter operator="equal" val="*R00*"/>
          </customFilters>
        </filterColumn>
      </autoFilter>
    </customSheetView>
  </customSheetView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O158"/>
  <sheetViews>
    <sheetView workbookViewId="0">
      <selection activeCell="A1" sqref="A1"/>
    </sheetView>
  </sheetViews>
  <sheetFormatPr defaultColWidth="12.6285714285714" defaultRowHeight="15.75" customHeight="1"/>
  <cols>
    <col min="2" max="2" width="33.7238095238095" customWidth="1"/>
    <col min="5" max="15" width="6.36190476190476" customWidth="1"/>
    <col min="16" max="16" width="59.6285714285714" customWidth="1"/>
    <col min="17" max="19" width="6.36190476190476" customWidth="1"/>
  </cols>
  <sheetData>
    <row r="1" customHeight="1" spans="1:17">
      <c r="A1" s="1" t="s">
        <v>171</v>
      </c>
      <c r="B1" s="1" t="s">
        <v>587</v>
      </c>
      <c r="C1" s="1" t="s">
        <v>173</v>
      </c>
      <c r="D1" s="1" t="s">
        <v>143</v>
      </c>
      <c r="E1" s="1" t="s">
        <v>588</v>
      </c>
      <c r="M1" s="1" t="s">
        <v>589</v>
      </c>
      <c r="P1" s="1" t="s">
        <v>590</v>
      </c>
      <c r="Q1" s="1" t="s">
        <v>591</v>
      </c>
    </row>
    <row r="2" customHeight="1" spans="1:19">
      <c r="A2" s="1">
        <v>44113.5442918403</v>
      </c>
      <c r="B2" s="1" t="s">
        <v>592</v>
      </c>
      <c r="C2" s="1">
        <v>44113.3840698634</v>
      </c>
      <c r="D2" s="1">
        <v>44113.3895456981</v>
      </c>
      <c r="E2" s="1" t="s">
        <v>593</v>
      </c>
      <c r="F2" s="1">
        <v>804.792</v>
      </c>
      <c r="G2" s="1" t="s">
        <v>594</v>
      </c>
      <c r="H2" s="1">
        <v>898.192</v>
      </c>
      <c r="I2" s="1" t="s">
        <v>595</v>
      </c>
      <c r="J2" s="1">
        <v>947.713</v>
      </c>
      <c r="K2" s="1" t="s">
        <v>596</v>
      </c>
      <c r="L2" s="1">
        <v>248.832</v>
      </c>
      <c r="M2" s="1">
        <v>-522.007459130787</v>
      </c>
      <c r="N2" s="1">
        <v>-891.185050817826</v>
      </c>
      <c r="O2" s="1">
        <v>498.567060149644</v>
      </c>
      <c r="P2" s="1" t="s">
        <v>597</v>
      </c>
      <c r="Q2" s="1">
        <v>1032.79092609882</v>
      </c>
      <c r="R2" s="1">
        <v>-6.777842309</v>
      </c>
      <c r="S2" s="1">
        <v>498.567617486</v>
      </c>
    </row>
    <row r="3" customHeight="1" spans="1:19">
      <c r="A3" s="1">
        <v>44113.574665162</v>
      </c>
      <c r="B3" s="1" t="s">
        <v>598</v>
      </c>
      <c r="C3" s="1">
        <v>44113.3668667841</v>
      </c>
      <c r="D3" s="1">
        <v>44113.5032786627</v>
      </c>
      <c r="E3" s="1" t="s">
        <v>507</v>
      </c>
      <c r="F3" s="1">
        <v>472.562</v>
      </c>
      <c r="G3" s="1" t="s">
        <v>599</v>
      </c>
      <c r="H3" s="1">
        <v>403.425</v>
      </c>
      <c r="I3" s="1" t="s">
        <v>600</v>
      </c>
      <c r="J3" s="1">
        <v>500.787</v>
      </c>
      <c r="K3" s="1" t="s">
        <v>601</v>
      </c>
      <c r="L3" s="1">
        <v>762.107</v>
      </c>
      <c r="M3" s="1">
        <v>-472.558194915907</v>
      </c>
      <c r="N3" s="1">
        <v>0.211788907445498</v>
      </c>
      <c r="O3" s="1">
        <v>1.26789820460144</v>
      </c>
      <c r="P3" s="1" t="s">
        <v>602</v>
      </c>
      <c r="Q3" s="1">
        <v>-467.636978799477</v>
      </c>
      <c r="R3" s="1">
        <v>68.040317017003</v>
      </c>
      <c r="S3" s="1">
        <v>1.266089376</v>
      </c>
    </row>
    <row r="4" customHeight="1" spans="1:19">
      <c r="A4" s="1">
        <v>44113.5804203125</v>
      </c>
      <c r="B4" s="1" t="s">
        <v>603</v>
      </c>
      <c r="C4" s="1">
        <v>44113.3804954236</v>
      </c>
      <c r="D4" s="1">
        <v>44113.4155974975</v>
      </c>
      <c r="E4" s="1" t="s">
        <v>502</v>
      </c>
      <c r="F4" s="1">
        <v>437.64</v>
      </c>
      <c r="G4" s="1" t="s">
        <v>604</v>
      </c>
      <c r="H4" s="1">
        <v>616.042</v>
      </c>
      <c r="I4" s="1" t="s">
        <v>605</v>
      </c>
      <c r="J4" s="1">
        <v>352.325</v>
      </c>
      <c r="K4" s="1" t="s">
        <v>606</v>
      </c>
      <c r="L4" s="1">
        <v>664.808</v>
      </c>
      <c r="M4" s="1">
        <v>-261.5946470128</v>
      </c>
      <c r="N4" s="1">
        <v>-350.895331397466</v>
      </c>
      <c r="O4" s="1">
        <v>0.994920448969796</v>
      </c>
      <c r="P4" s="1" t="s">
        <v>607</v>
      </c>
      <c r="Q4" s="1">
        <v>-347.094224898145</v>
      </c>
      <c r="R4" s="1">
        <v>266.5600450899</v>
      </c>
      <c r="S4" s="1">
        <v>0.95008388</v>
      </c>
    </row>
    <row r="5" customHeight="1" spans="1:19">
      <c r="A5" s="1">
        <v>44113.5978515278</v>
      </c>
      <c r="B5" s="1" t="s">
        <v>608</v>
      </c>
      <c r="C5" s="1">
        <v>44113.4464709577</v>
      </c>
      <c r="D5" s="1">
        <v>44113.47093515</v>
      </c>
      <c r="E5" s="1" t="s">
        <v>500</v>
      </c>
      <c r="F5" s="1">
        <v>511.271</v>
      </c>
      <c r="G5" s="1" t="s">
        <v>609</v>
      </c>
      <c r="H5" s="1">
        <v>778.664</v>
      </c>
      <c r="I5" s="1" t="s">
        <v>610</v>
      </c>
      <c r="J5" s="1">
        <v>516.128</v>
      </c>
      <c r="K5" s="1" t="s">
        <v>611</v>
      </c>
      <c r="L5" s="1">
        <v>198.836</v>
      </c>
      <c r="M5" s="1">
        <v>118.725723344271</v>
      </c>
      <c r="N5" s="1">
        <v>497.289381700642</v>
      </c>
      <c r="O5" s="1">
        <v>2.41599354549627</v>
      </c>
      <c r="P5" s="1" t="s">
        <v>612</v>
      </c>
      <c r="Q5" s="1">
        <v>66.6925076004118</v>
      </c>
      <c r="R5" s="1">
        <v>506.8976099949</v>
      </c>
      <c r="S5" s="1">
        <v>2.417261997</v>
      </c>
    </row>
    <row r="6" customHeight="1" spans="1:19">
      <c r="A6" s="1">
        <v>44113.6212377662</v>
      </c>
      <c r="B6" s="1" t="s">
        <v>613</v>
      </c>
      <c r="C6" s="1">
        <v>44113.4327125426</v>
      </c>
      <c r="D6" s="1">
        <v>44113.5157356715</v>
      </c>
      <c r="E6" s="1" t="s">
        <v>509</v>
      </c>
      <c r="F6" s="1">
        <v>911.933</v>
      </c>
      <c r="G6" s="1" t="s">
        <v>614</v>
      </c>
      <c r="H6" s="1">
        <v>666.973</v>
      </c>
      <c r="I6" s="1" t="s">
        <v>615</v>
      </c>
      <c r="J6" s="1">
        <v>229.47</v>
      </c>
      <c r="K6" s="1" t="s">
        <v>616</v>
      </c>
      <c r="L6" s="1">
        <v>5.336</v>
      </c>
      <c r="M6" s="1">
        <v>-771.702206641713</v>
      </c>
      <c r="N6" s="1">
        <v>-320.145366881532</v>
      </c>
      <c r="O6" s="1">
        <v>-365.532161780032</v>
      </c>
      <c r="P6" s="1" t="s">
        <v>617</v>
      </c>
      <c r="Q6" s="1">
        <v>285.476998198777</v>
      </c>
      <c r="R6" s="1">
        <v>785.535779900849</v>
      </c>
      <c r="S6" s="1">
        <v>-364.773868913</v>
      </c>
    </row>
    <row r="7" customHeight="1" spans="1:19">
      <c r="A7" s="1">
        <v>44113.6313084491</v>
      </c>
      <c r="B7" s="1" t="s">
        <v>618</v>
      </c>
      <c r="C7" s="1">
        <v>44113.3708849612</v>
      </c>
      <c r="D7" s="1">
        <v>44113.6382696685</v>
      </c>
      <c r="E7" s="1" t="s">
        <v>520</v>
      </c>
      <c r="F7" s="1">
        <v>383.945</v>
      </c>
      <c r="G7" s="1" t="s">
        <v>619</v>
      </c>
      <c r="H7" s="1">
        <v>303.774</v>
      </c>
      <c r="I7" s="1" t="s">
        <v>620</v>
      </c>
      <c r="J7" s="1">
        <v>331.112</v>
      </c>
      <c r="K7" s="1" t="s">
        <v>621</v>
      </c>
      <c r="L7" s="1">
        <v>337.091</v>
      </c>
      <c r="M7" s="1">
        <v>-261.723302784117</v>
      </c>
      <c r="N7" s="1">
        <v>-280.901192515088</v>
      </c>
      <c r="O7" s="1">
        <v>3.16563208851062</v>
      </c>
      <c r="P7" s="1" t="s">
        <v>622</v>
      </c>
      <c r="Q7" s="1">
        <v>-367.58505929634</v>
      </c>
      <c r="R7" s="1">
        <v>-110.838302999735</v>
      </c>
      <c r="S7" s="1">
        <v>3.164978001</v>
      </c>
    </row>
    <row r="8" customHeight="1" spans="1:19">
      <c r="A8" s="1">
        <v>44113.6375020255</v>
      </c>
      <c r="B8" s="1" t="s">
        <v>623</v>
      </c>
      <c r="C8" s="1">
        <v>44113.5353586977</v>
      </c>
      <c r="D8" s="1">
        <v>44113.6344188882</v>
      </c>
      <c r="E8" s="1" t="s">
        <v>521</v>
      </c>
      <c r="F8" s="1">
        <v>447.123</v>
      </c>
      <c r="G8" s="1" t="s">
        <v>624</v>
      </c>
      <c r="H8" s="1">
        <v>486.775</v>
      </c>
      <c r="I8" s="1" t="s">
        <v>625</v>
      </c>
      <c r="J8" s="1">
        <v>580.222</v>
      </c>
      <c r="K8" s="1" t="s">
        <v>626</v>
      </c>
      <c r="L8" s="1">
        <v>417.292</v>
      </c>
      <c r="M8" s="1">
        <v>-54.2925029227903</v>
      </c>
      <c r="N8" s="1">
        <v>443.808860757453</v>
      </c>
      <c r="O8" s="1">
        <v>1.20940361646815</v>
      </c>
      <c r="P8" s="1" t="s">
        <v>627</v>
      </c>
      <c r="Q8" s="1">
        <v>423.078365299851</v>
      </c>
      <c r="R8" s="1">
        <v>-144.645923599601</v>
      </c>
      <c r="S8" s="1">
        <v>1.210138126</v>
      </c>
    </row>
    <row r="9" customHeight="1" spans="1:19">
      <c r="A9" s="1">
        <v>44113.6685602199</v>
      </c>
      <c r="B9" s="1" t="s">
        <v>628</v>
      </c>
      <c r="C9" s="1">
        <v>44113.6225649602</v>
      </c>
      <c r="D9" s="1">
        <v>44113.554372662</v>
      </c>
      <c r="E9" s="1" t="s">
        <v>629</v>
      </c>
      <c r="F9" s="1">
        <v>640.759</v>
      </c>
      <c r="G9" s="1" t="s">
        <v>630</v>
      </c>
      <c r="H9" s="1">
        <v>945.607</v>
      </c>
      <c r="I9" s="1" t="s">
        <v>631</v>
      </c>
      <c r="J9" s="1">
        <v>648.689</v>
      </c>
      <c r="K9" s="1" t="s">
        <v>632</v>
      </c>
      <c r="L9" s="1">
        <v>545.883</v>
      </c>
      <c r="M9" s="1">
        <v>1427.05221093703</v>
      </c>
      <c r="N9" s="1">
        <v>0.00555584567012196</v>
      </c>
      <c r="O9" s="1">
        <v>-0.00500859568253808</v>
      </c>
      <c r="P9" s="1" t="s">
        <v>633</v>
      </c>
      <c r="Q9" s="1">
        <v>359.766132999212</v>
      </c>
      <c r="R9" s="1">
        <v>1380.94824489951</v>
      </c>
      <c r="S9" s="1">
        <v>-0.001193765</v>
      </c>
    </row>
    <row r="10" customHeight="1" spans="1:19">
      <c r="A10" s="1">
        <v>44113.6737513889</v>
      </c>
      <c r="B10" s="1" t="s">
        <v>634</v>
      </c>
      <c r="C10" s="1">
        <v>44113.6188703672</v>
      </c>
      <c r="D10" s="1">
        <v>44113.5737647477</v>
      </c>
      <c r="E10" s="1" t="s">
        <v>526</v>
      </c>
      <c r="F10" s="1">
        <v>373.283</v>
      </c>
      <c r="G10" s="1" t="s">
        <v>635</v>
      </c>
      <c r="H10" s="1">
        <v>496.772</v>
      </c>
      <c r="I10" s="1" t="s">
        <v>636</v>
      </c>
      <c r="J10" s="1">
        <v>728.511</v>
      </c>
      <c r="K10" s="1" t="s">
        <v>245</v>
      </c>
      <c r="L10" s="1">
        <v>435.9</v>
      </c>
      <c r="M10" s="1">
        <v>-365.341673762403</v>
      </c>
      <c r="N10" s="1">
        <v>76.3553424438784</v>
      </c>
      <c r="O10" s="1">
        <v>4.34772409572948</v>
      </c>
      <c r="P10" s="1" t="s">
        <v>637</v>
      </c>
      <c r="Q10" s="1">
        <v>-109.118270400912</v>
      </c>
      <c r="R10" s="1">
        <v>357.004610493779</v>
      </c>
      <c r="S10" s="1">
        <v>4.407607274</v>
      </c>
    </row>
    <row r="11" customHeight="1" spans="1:19">
      <c r="A11" s="1">
        <v>44113.6899276389</v>
      </c>
      <c r="B11" s="1" t="s">
        <v>638</v>
      </c>
      <c r="C11" s="1">
        <v>44113.6518437517</v>
      </c>
      <c r="D11" s="1">
        <v>44113.498186759</v>
      </c>
      <c r="E11" s="1" t="s">
        <v>525</v>
      </c>
      <c r="F11" s="1">
        <v>503.982</v>
      </c>
      <c r="G11" s="1" t="s">
        <v>639</v>
      </c>
      <c r="H11" s="1">
        <v>354.958</v>
      </c>
      <c r="I11" s="1" t="s">
        <v>640</v>
      </c>
      <c r="J11" s="1">
        <v>801.968</v>
      </c>
      <c r="K11" s="1" t="s">
        <v>641</v>
      </c>
      <c r="L11" s="1">
        <v>382.099</v>
      </c>
      <c r="M11" s="1">
        <v>-500.862322259107</v>
      </c>
      <c r="N11" s="1">
        <v>55.9918539781682</v>
      </c>
      <c r="O11" s="1">
        <v>0.880263721404152</v>
      </c>
      <c r="P11" s="1" t="s">
        <v>642</v>
      </c>
      <c r="Q11" s="1">
        <v>397.581008601934</v>
      </c>
      <c r="R11" s="1">
        <v>-309.666729807854</v>
      </c>
      <c r="S11" s="1">
        <v>0.880619034</v>
      </c>
    </row>
    <row r="12" customHeight="1" spans="1:19">
      <c r="A12" s="1">
        <v>44113.702218125</v>
      </c>
      <c r="B12" s="1" t="s">
        <v>643</v>
      </c>
      <c r="C12" s="1">
        <v>44113.736652384</v>
      </c>
      <c r="D12" s="1">
        <v>44113.6581542372</v>
      </c>
      <c r="E12" s="1" t="s">
        <v>523</v>
      </c>
      <c r="F12" s="1">
        <v>402.34</v>
      </c>
      <c r="G12" s="1" t="s">
        <v>644</v>
      </c>
      <c r="H12" s="1">
        <v>310.936</v>
      </c>
      <c r="I12" s="1" t="s">
        <v>645</v>
      </c>
      <c r="J12" s="1">
        <v>246.344</v>
      </c>
      <c r="K12" s="1" t="s">
        <v>646</v>
      </c>
      <c r="L12" s="1">
        <v>129.795</v>
      </c>
      <c r="M12" s="1">
        <v>291.188022979033</v>
      </c>
      <c r="N12" s="1">
        <v>277.645248497672</v>
      </c>
      <c r="O12" s="1">
        <v>0.612464558391964</v>
      </c>
      <c r="P12" s="1" t="s">
        <v>647</v>
      </c>
      <c r="Q12" s="1">
        <v>298.178248699754</v>
      </c>
      <c r="R12" s="1">
        <v>-270.150359101593</v>
      </c>
      <c r="S12" s="1">
        <v>0.612119822</v>
      </c>
    </row>
    <row r="13" customHeight="1" spans="1:19">
      <c r="A13" s="1">
        <v>44113.7265220023</v>
      </c>
      <c r="B13" s="1" t="s">
        <v>648</v>
      </c>
      <c r="C13" s="1">
        <v>44113.6720980768</v>
      </c>
      <c r="D13" s="1">
        <v>44113.6919213591</v>
      </c>
      <c r="E13" s="1" t="s">
        <v>515</v>
      </c>
      <c r="F13" s="1">
        <v>422.695</v>
      </c>
      <c r="G13" s="1" t="s">
        <v>649</v>
      </c>
      <c r="H13" s="1">
        <v>379.767</v>
      </c>
      <c r="I13" s="1" t="s">
        <v>650</v>
      </c>
      <c r="J13" s="1">
        <v>217.26</v>
      </c>
      <c r="K13" s="1" t="s">
        <v>651</v>
      </c>
      <c r="L13" s="1">
        <v>549.693</v>
      </c>
      <c r="M13" s="1">
        <v>-93.5472865766806</v>
      </c>
      <c r="N13" s="1">
        <v>515.095353143089</v>
      </c>
      <c r="O13" s="1">
        <v>40.0428695573348</v>
      </c>
      <c r="P13" s="1" t="s">
        <v>652</v>
      </c>
      <c r="Q13" s="1">
        <v>146.636387098581</v>
      </c>
      <c r="R13" s="1">
        <v>393.93594154017</v>
      </c>
      <c r="S13" s="1">
        <v>-44.538887519</v>
      </c>
    </row>
    <row r="14" customHeight="1" spans="1:19">
      <c r="A14" s="1">
        <v>44113.7343902546</v>
      </c>
      <c r="B14" s="1" t="s">
        <v>653</v>
      </c>
      <c r="C14" s="1">
        <v>44113.7253449343</v>
      </c>
      <c r="D14" s="1">
        <v>44113.682047761</v>
      </c>
      <c r="E14" s="1" t="s">
        <v>515</v>
      </c>
      <c r="F14" s="1">
        <v>260.751</v>
      </c>
      <c r="G14" s="1" t="s">
        <v>654</v>
      </c>
      <c r="H14" s="1">
        <v>241.335</v>
      </c>
      <c r="I14" s="1" t="s">
        <v>655</v>
      </c>
      <c r="J14" s="1">
        <v>482.163</v>
      </c>
      <c r="K14" s="1" t="s">
        <v>651</v>
      </c>
      <c r="L14" s="1">
        <v>0.005</v>
      </c>
      <c r="M14" s="1">
        <v>-39.5762236947051</v>
      </c>
      <c r="N14" s="1">
        <v>70.0542572925251</v>
      </c>
      <c r="O14" s="1">
        <v>-294.992213866602</v>
      </c>
      <c r="P14" s="1" t="s">
        <v>656</v>
      </c>
      <c r="Q14" s="1">
        <v>233.153287597001</v>
      </c>
      <c r="R14" s="1">
        <v>-80.0369711001404</v>
      </c>
      <c r="S14" s="1">
        <v>84.998390302</v>
      </c>
    </row>
    <row r="15" customHeight="1" spans="1:19">
      <c r="A15" s="1">
        <v>44113.7395834606</v>
      </c>
      <c r="B15" s="1" t="s">
        <v>657</v>
      </c>
      <c r="C15" s="1">
        <v>44113.5691520942</v>
      </c>
      <c r="D15" s="1">
        <v>44113.5776843544</v>
      </c>
      <c r="E15" s="1" t="s">
        <v>516</v>
      </c>
      <c r="F15" s="1">
        <v>459.745</v>
      </c>
      <c r="G15" s="1" t="s">
        <v>658</v>
      </c>
      <c r="H15" s="1">
        <v>386.85</v>
      </c>
      <c r="I15" s="1" t="s">
        <v>659</v>
      </c>
      <c r="J15" s="1">
        <v>597.049</v>
      </c>
      <c r="K15" s="1" t="s">
        <v>660</v>
      </c>
      <c r="L15" s="1">
        <v>445.912</v>
      </c>
      <c r="M15" s="1">
        <v>-356.655989435524</v>
      </c>
      <c r="N15" s="1">
        <v>282.922353922116</v>
      </c>
      <c r="O15" s="1">
        <v>-64.168575898782</v>
      </c>
      <c r="P15" s="1" t="s">
        <v>661</v>
      </c>
      <c r="Q15" s="1">
        <v>-259.389609899372</v>
      </c>
      <c r="R15" s="1">
        <v>-374.11906567961</v>
      </c>
      <c r="S15" s="1">
        <v>-64.167403129</v>
      </c>
    </row>
    <row r="16" customHeight="1" spans="1:19">
      <c r="A16" s="1">
        <v>44113.7440569676</v>
      </c>
      <c r="B16" s="1" t="s">
        <v>662</v>
      </c>
      <c r="C16" s="1">
        <v>44113.6107464128</v>
      </c>
      <c r="D16" s="1">
        <v>44113.5807365108</v>
      </c>
      <c r="E16" s="1" t="s">
        <v>146</v>
      </c>
      <c r="F16" s="1">
        <v>478.503</v>
      </c>
      <c r="G16" s="1" t="s">
        <v>149</v>
      </c>
      <c r="H16" s="1">
        <v>563.211</v>
      </c>
      <c r="I16" s="1" t="s">
        <v>151</v>
      </c>
      <c r="J16" s="1">
        <v>440.951</v>
      </c>
      <c r="K16" s="1" t="s">
        <v>153</v>
      </c>
      <c r="L16" s="1">
        <v>383.805</v>
      </c>
      <c r="M16" s="1">
        <v>450.818828640786</v>
      </c>
      <c r="N16" s="1">
        <v>-160.394918657373</v>
      </c>
      <c r="O16" s="1">
        <v>0.232446188527852</v>
      </c>
      <c r="P16" s="1" t="s">
        <v>157</v>
      </c>
      <c r="Q16" s="1">
        <v>474.571901299059</v>
      </c>
      <c r="R16" s="1">
        <v>61.2115208799951</v>
      </c>
      <c r="S16" s="1">
        <v>0.234150088</v>
      </c>
    </row>
    <row r="17" customHeight="1" spans="1:19">
      <c r="A17" s="1">
        <v>44114.78105</v>
      </c>
      <c r="B17" s="1" t="s">
        <v>663</v>
      </c>
      <c r="C17" s="1">
        <v>44114.72633</v>
      </c>
      <c r="D17" s="1">
        <v>44114.67142</v>
      </c>
      <c r="E17" s="1" t="s">
        <v>515</v>
      </c>
      <c r="F17" s="1">
        <v>423.206</v>
      </c>
      <c r="G17" s="1" t="s">
        <v>664</v>
      </c>
      <c r="H17" s="1">
        <v>470.343</v>
      </c>
      <c r="I17" s="1" t="s">
        <v>665</v>
      </c>
      <c r="J17" s="1">
        <v>628.117</v>
      </c>
      <c r="K17" s="1" t="s">
        <v>655</v>
      </c>
      <c r="L17" s="1">
        <v>405.959</v>
      </c>
      <c r="M17" s="1">
        <v>420.6850348</v>
      </c>
      <c r="N17" s="1">
        <v>-10.88952424</v>
      </c>
      <c r="O17" s="1">
        <v>-44.87049425</v>
      </c>
      <c r="P17" s="1" t="s">
        <v>666</v>
      </c>
      <c r="Q17" s="1">
        <v>135.6791555</v>
      </c>
      <c r="R17" s="1">
        <v>398.3484846</v>
      </c>
      <c r="S17" s="1">
        <v>-44.86932239</v>
      </c>
    </row>
    <row r="18" customHeight="1" spans="1:19">
      <c r="A18" s="1">
        <v>44125.78443</v>
      </c>
      <c r="B18" s="1" t="s">
        <v>667</v>
      </c>
      <c r="C18" s="1">
        <v>44125.57221</v>
      </c>
      <c r="D18" s="1">
        <v>44125.57761</v>
      </c>
      <c r="E18" s="1" t="s">
        <v>596</v>
      </c>
      <c r="F18" s="1">
        <v>715.379</v>
      </c>
      <c r="G18" s="1" t="s">
        <v>668</v>
      </c>
      <c r="H18" s="1">
        <v>772.653</v>
      </c>
      <c r="I18" s="1" t="s">
        <v>595</v>
      </c>
      <c r="J18" s="1">
        <v>445.296</v>
      </c>
      <c r="K18" s="1" t="s">
        <v>669</v>
      </c>
      <c r="L18" s="1">
        <v>621.963</v>
      </c>
      <c r="M18" s="1">
        <v>-249.4358857</v>
      </c>
      <c r="N18" s="1">
        <v>-1173.588261</v>
      </c>
      <c r="O18" s="1">
        <v>-0.6537946032</v>
      </c>
      <c r="P18" s="1" t="s">
        <v>670</v>
      </c>
      <c r="Q18" s="1">
        <v>-1199.252099</v>
      </c>
      <c r="R18" s="1">
        <v>-36.32176711</v>
      </c>
      <c r="S18" s="1">
        <v>-0.653838897</v>
      </c>
    </row>
    <row r="19" customHeight="1" spans="1:19">
      <c r="A19" s="1">
        <v>44125.78894</v>
      </c>
      <c r="B19" s="1" t="s">
        <v>671</v>
      </c>
      <c r="C19" s="1">
        <v>44125.59735</v>
      </c>
      <c r="D19" s="1">
        <v>44125.62173</v>
      </c>
      <c r="E19" s="1" t="s">
        <v>500</v>
      </c>
      <c r="F19" s="1">
        <v>511.512</v>
      </c>
      <c r="G19" s="1" t="s">
        <v>609</v>
      </c>
      <c r="H19" s="1">
        <v>788.051</v>
      </c>
      <c r="I19" s="1" t="s">
        <v>610</v>
      </c>
      <c r="J19" s="1">
        <v>654.264</v>
      </c>
      <c r="K19" s="1" t="s">
        <v>611</v>
      </c>
      <c r="L19" s="1">
        <v>47.744</v>
      </c>
      <c r="M19" s="1">
        <v>-118.7197141</v>
      </c>
      <c r="N19" s="1">
        <v>497.5433806</v>
      </c>
      <c r="O19" s="1">
        <v>-0.8464438316</v>
      </c>
      <c r="P19" s="1" t="s">
        <v>672</v>
      </c>
      <c r="Q19" s="1">
        <v>-426.1821649</v>
      </c>
      <c r="R19" s="1">
        <v>282.8654387</v>
      </c>
      <c r="S19" s="1">
        <v>-0.847939449</v>
      </c>
    </row>
    <row r="20" customHeight="1" spans="1:19">
      <c r="A20" s="1">
        <v>44125.79398</v>
      </c>
      <c r="B20" s="1" t="s">
        <v>673</v>
      </c>
      <c r="C20" s="1">
        <v>44125.55827</v>
      </c>
      <c r="D20" s="1">
        <v>44125.59329</v>
      </c>
      <c r="E20" s="1" t="s">
        <v>502</v>
      </c>
      <c r="F20" s="1">
        <v>437.487</v>
      </c>
      <c r="G20" s="1" t="s">
        <v>604</v>
      </c>
      <c r="H20" s="1">
        <v>333.816</v>
      </c>
      <c r="I20" s="1" t="s">
        <v>674</v>
      </c>
      <c r="J20" s="1">
        <v>324.431</v>
      </c>
      <c r="K20" s="1" t="s">
        <v>606</v>
      </c>
      <c r="L20" s="1">
        <v>456.722</v>
      </c>
      <c r="M20" s="1">
        <v>31.49705238</v>
      </c>
      <c r="N20" s="1">
        <v>436.3544838</v>
      </c>
      <c r="O20" s="1">
        <v>0.9206918511</v>
      </c>
      <c r="P20" s="1" t="s">
        <v>675</v>
      </c>
      <c r="Q20" s="1">
        <v>-55.3274806</v>
      </c>
      <c r="R20" s="1">
        <v>-433.9734847</v>
      </c>
      <c r="S20" s="1">
        <v>0.922726364</v>
      </c>
    </row>
    <row r="21" customHeight="1" spans="1:19">
      <c r="A21" s="1">
        <v>44125.79783</v>
      </c>
      <c r="B21" s="1" t="s">
        <v>676</v>
      </c>
      <c r="C21" s="1">
        <v>44125.71005</v>
      </c>
      <c r="D21" s="1">
        <v>44125.64429</v>
      </c>
      <c r="E21" s="1" t="s">
        <v>507</v>
      </c>
      <c r="F21" s="1">
        <v>491.037</v>
      </c>
      <c r="G21" s="1" t="s">
        <v>599</v>
      </c>
      <c r="H21" s="1">
        <v>564.521</v>
      </c>
      <c r="I21" s="1" t="s">
        <v>600</v>
      </c>
      <c r="J21" s="1">
        <v>362.781</v>
      </c>
      <c r="K21" s="1" t="s">
        <v>601</v>
      </c>
      <c r="L21" s="1">
        <v>900.954</v>
      </c>
      <c r="M21" s="1">
        <v>-431.3171915</v>
      </c>
      <c r="N21" s="1">
        <v>234.702046</v>
      </c>
      <c r="O21" s="1">
        <v>0.5718438503</v>
      </c>
      <c r="P21" s="1" t="s">
        <v>677</v>
      </c>
      <c r="Q21" s="1">
        <v>367.6364616</v>
      </c>
      <c r="R21" s="1">
        <v>-325.5164319</v>
      </c>
      <c r="S21" s="1">
        <v>0.574839353</v>
      </c>
    </row>
    <row r="22" customHeight="1" spans="1:19">
      <c r="A22" s="1">
        <v>44126.69121</v>
      </c>
      <c r="B22" s="1" t="s">
        <v>678</v>
      </c>
      <c r="C22" s="1">
        <v>44126.521</v>
      </c>
      <c r="D22" s="1">
        <v>44126.60404</v>
      </c>
      <c r="E22" s="1" t="s">
        <v>509</v>
      </c>
      <c r="F22" s="1">
        <v>912.205</v>
      </c>
      <c r="G22" s="1" t="s">
        <v>679</v>
      </c>
      <c r="H22" s="1">
        <v>947.979</v>
      </c>
      <c r="I22" s="1" t="s">
        <v>614</v>
      </c>
      <c r="J22" s="1">
        <v>644.414</v>
      </c>
      <c r="K22" s="1" t="s">
        <v>615</v>
      </c>
      <c r="L22" s="1">
        <v>212.625</v>
      </c>
      <c r="M22" s="1">
        <v>-786.1025607</v>
      </c>
      <c r="N22" s="1">
        <v>-308.73756</v>
      </c>
      <c r="O22" s="1">
        <v>-344.7012868</v>
      </c>
      <c r="P22" s="1" t="s">
        <v>680</v>
      </c>
      <c r="Q22" s="1">
        <v>795.7457284</v>
      </c>
      <c r="R22" s="1">
        <v>282.9974662</v>
      </c>
      <c r="S22" s="1">
        <v>-344.7022777</v>
      </c>
    </row>
    <row r="23" customHeight="1" spans="1:19">
      <c r="A23" s="1">
        <v>44126.69392</v>
      </c>
      <c r="B23" s="1" t="s">
        <v>681</v>
      </c>
      <c r="C23" s="1">
        <v>44126.43478</v>
      </c>
      <c r="D23" s="1">
        <v>44126.70218</v>
      </c>
      <c r="E23" s="1" t="s">
        <v>520</v>
      </c>
      <c r="F23" s="1">
        <v>376.281</v>
      </c>
      <c r="G23" s="1" t="s">
        <v>619</v>
      </c>
      <c r="H23" s="1">
        <v>286.73</v>
      </c>
      <c r="I23" s="1" t="s">
        <v>682</v>
      </c>
      <c r="J23" s="1">
        <v>410.993</v>
      </c>
      <c r="K23" s="1" t="s">
        <v>620</v>
      </c>
      <c r="L23" s="1">
        <v>508.374</v>
      </c>
      <c r="M23" s="1">
        <v>256.7318324</v>
      </c>
      <c r="N23" s="1">
        <v>-275.0945829</v>
      </c>
      <c r="O23" s="1">
        <v>-1.198403436</v>
      </c>
      <c r="P23" s="1" t="s">
        <v>683</v>
      </c>
      <c r="Q23" s="1">
        <v>-362.402592</v>
      </c>
      <c r="R23" s="1">
        <v>-101.2444872</v>
      </c>
      <c r="S23" s="1">
        <v>-1.202371906</v>
      </c>
    </row>
    <row r="24" customHeight="1" spans="1:19">
      <c r="A24" s="1">
        <v>44126.69696</v>
      </c>
      <c r="B24" s="1" t="s">
        <v>684</v>
      </c>
      <c r="C24" s="1">
        <v>44126.59557</v>
      </c>
      <c r="D24" s="1">
        <v>44126.69465</v>
      </c>
      <c r="E24" s="1" t="s">
        <v>521</v>
      </c>
      <c r="F24" s="1">
        <v>447.116</v>
      </c>
      <c r="G24" s="1" t="s">
        <v>624</v>
      </c>
      <c r="H24" s="1">
        <v>417.792</v>
      </c>
      <c r="I24" s="1" t="s">
        <v>625</v>
      </c>
      <c r="J24" s="1">
        <v>536.657</v>
      </c>
      <c r="K24" s="1" t="s">
        <v>685</v>
      </c>
      <c r="L24" s="1">
        <v>272.824</v>
      </c>
      <c r="M24" s="1">
        <v>-206.5407571</v>
      </c>
      <c r="N24" s="1">
        <v>-396.5519327</v>
      </c>
      <c r="O24" s="1">
        <v>0.924744431</v>
      </c>
      <c r="P24" s="1" t="s">
        <v>686</v>
      </c>
      <c r="Q24" s="1">
        <v>422.3388287</v>
      </c>
      <c r="R24" s="1">
        <v>-146.7720251</v>
      </c>
      <c r="S24" s="1">
        <v>0.924135007</v>
      </c>
    </row>
    <row r="25" customHeight="1" spans="1:19">
      <c r="A25" s="1">
        <v>44126.70258</v>
      </c>
      <c r="B25" s="1" t="s">
        <v>687</v>
      </c>
      <c r="C25" s="1">
        <v>44126.59297</v>
      </c>
      <c r="D25" s="1">
        <v>44126.53809</v>
      </c>
      <c r="E25" s="1" t="s">
        <v>515</v>
      </c>
      <c r="F25" s="1">
        <v>423.206</v>
      </c>
      <c r="G25" s="1" t="s">
        <v>688</v>
      </c>
      <c r="H25" s="1">
        <v>429.921</v>
      </c>
      <c r="I25" s="1" t="s">
        <v>664</v>
      </c>
      <c r="J25" s="1">
        <v>470.343</v>
      </c>
      <c r="K25" s="1" t="s">
        <v>655</v>
      </c>
      <c r="L25" s="1">
        <v>405.96</v>
      </c>
      <c r="M25" s="1">
        <v>420.6856958</v>
      </c>
      <c r="N25" s="1">
        <v>-10.89114963</v>
      </c>
      <c r="O25" s="1">
        <v>-44.87056768</v>
      </c>
      <c r="P25" s="1" t="s">
        <v>689</v>
      </c>
      <c r="Q25" s="1">
        <v>-420.5763404</v>
      </c>
      <c r="R25" s="1">
        <v>14.34887874</v>
      </c>
      <c r="S25" s="1">
        <v>-44.86932235</v>
      </c>
    </row>
    <row r="26" customHeight="1" spans="1:19">
      <c r="A26" s="1">
        <v>44126.70525</v>
      </c>
      <c r="B26" s="1" t="s">
        <v>690</v>
      </c>
      <c r="C26" s="1">
        <v>44126.58818</v>
      </c>
      <c r="D26" s="1">
        <v>44126.55819</v>
      </c>
      <c r="E26" s="1" t="s">
        <v>146</v>
      </c>
      <c r="F26" s="1">
        <v>478.644</v>
      </c>
      <c r="G26" s="1" t="s">
        <v>149</v>
      </c>
      <c r="H26" s="1">
        <v>484.396</v>
      </c>
      <c r="I26" s="1" t="s">
        <v>153</v>
      </c>
      <c r="J26" s="1">
        <v>519.847</v>
      </c>
      <c r="K26" s="1" t="s">
        <v>151</v>
      </c>
      <c r="L26" s="1">
        <v>257.38</v>
      </c>
      <c r="M26" s="1">
        <v>188.2808791</v>
      </c>
      <c r="N26" s="1">
        <v>-440.0566497</v>
      </c>
      <c r="O26" s="1">
        <v>0.5788281943</v>
      </c>
      <c r="P26" s="1" t="s">
        <v>691</v>
      </c>
      <c r="Q26" s="1">
        <v>192.8475062</v>
      </c>
      <c r="R26" s="1">
        <v>-438.0757806</v>
      </c>
      <c r="S26" s="1">
        <v>0.57816868</v>
      </c>
    </row>
    <row r="27" customHeight="1" spans="1:19">
      <c r="A27" s="1">
        <v>44126.70851</v>
      </c>
      <c r="B27" s="1" t="s">
        <v>692</v>
      </c>
      <c r="C27" s="1">
        <v>44126.55229</v>
      </c>
      <c r="D27" s="1">
        <v>44126.56085</v>
      </c>
      <c r="E27" s="1" t="s">
        <v>516</v>
      </c>
      <c r="F27" s="1">
        <v>459.642</v>
      </c>
      <c r="G27" s="1" t="s">
        <v>693</v>
      </c>
      <c r="H27" s="1">
        <v>401.882</v>
      </c>
      <c r="I27" s="1" t="s">
        <v>659</v>
      </c>
      <c r="J27" s="1">
        <v>461.627</v>
      </c>
      <c r="K27" s="1" t="s">
        <v>660</v>
      </c>
      <c r="L27" s="1">
        <v>536.251</v>
      </c>
      <c r="M27" s="1">
        <v>-0.6448245839</v>
      </c>
      <c r="N27" s="1">
        <v>-459.6406599</v>
      </c>
      <c r="O27" s="1">
        <v>-0.8435886182</v>
      </c>
      <c r="P27" s="1" t="s">
        <v>694</v>
      </c>
      <c r="Q27" s="1">
        <v>-456.0726125</v>
      </c>
      <c r="R27" s="1">
        <v>-57.16677628</v>
      </c>
      <c r="S27" s="1">
        <v>-0.843662601</v>
      </c>
    </row>
    <row r="28" customHeight="1" spans="1:19">
      <c r="A28" s="1">
        <v>44126.71428</v>
      </c>
      <c r="B28" s="1" t="s">
        <v>695</v>
      </c>
      <c r="C28" s="1">
        <v>44126.76476</v>
      </c>
      <c r="D28" s="1">
        <v>44126.59066</v>
      </c>
      <c r="E28" s="1" t="s">
        <v>523</v>
      </c>
      <c r="F28" s="1">
        <v>351.341</v>
      </c>
      <c r="G28" s="1" t="s">
        <v>644</v>
      </c>
      <c r="H28" s="1">
        <v>191.588</v>
      </c>
      <c r="I28" s="1" t="s">
        <v>696</v>
      </c>
      <c r="J28" s="1">
        <v>557.695</v>
      </c>
      <c r="K28" s="1" t="s">
        <v>645</v>
      </c>
      <c r="L28" s="1">
        <v>381.658</v>
      </c>
      <c r="M28" s="1">
        <v>351.3034494</v>
      </c>
      <c r="N28" s="1">
        <v>0.5511549225</v>
      </c>
      <c r="O28" s="1">
        <v>-0.706819453</v>
      </c>
      <c r="P28" s="1" t="s">
        <v>697</v>
      </c>
      <c r="Q28" s="1">
        <v>110.9142087</v>
      </c>
      <c r="R28" s="1">
        <v>-333.3767291</v>
      </c>
      <c r="S28" s="1">
        <v>-0.647827745</v>
      </c>
    </row>
    <row r="29" customHeight="1" spans="1:19">
      <c r="A29" s="1">
        <v>44126.74692</v>
      </c>
      <c r="B29" s="1" t="s">
        <v>698</v>
      </c>
      <c r="C29" s="1">
        <v>44126.58337</v>
      </c>
      <c r="D29" s="1">
        <v>44126.68686</v>
      </c>
      <c r="E29" s="1" t="s">
        <v>699</v>
      </c>
      <c r="F29" s="1">
        <v>601.479</v>
      </c>
      <c r="G29" s="1" t="s">
        <v>630</v>
      </c>
      <c r="H29" s="1">
        <v>946.587</v>
      </c>
      <c r="I29" s="1" t="s">
        <v>632</v>
      </c>
      <c r="J29" s="1">
        <v>546.546</v>
      </c>
      <c r="K29" s="1" t="s">
        <v>700</v>
      </c>
      <c r="L29" s="1">
        <v>669.841</v>
      </c>
      <c r="M29" s="1">
        <v>1427.316596</v>
      </c>
      <c r="N29" s="1">
        <v>0.7584120403</v>
      </c>
      <c r="O29" s="1">
        <v>0.9256713143</v>
      </c>
      <c r="P29" s="1" t="s">
        <v>701</v>
      </c>
      <c r="Q29" s="1">
        <v>-456.7018818</v>
      </c>
      <c r="R29" s="1">
        <v>1352.288634</v>
      </c>
      <c r="S29" s="1">
        <v>0.922110191</v>
      </c>
    </row>
    <row r="30" customHeight="1" spans="1:19">
      <c r="A30" s="1">
        <v>44126.75209</v>
      </c>
      <c r="B30" s="1" t="s">
        <v>702</v>
      </c>
      <c r="C30" s="1">
        <v>44126.60798</v>
      </c>
      <c r="D30" s="1">
        <v>44126.56289</v>
      </c>
      <c r="E30" s="1" t="s">
        <v>526</v>
      </c>
      <c r="F30" s="1">
        <v>372.945</v>
      </c>
      <c r="G30" s="1" t="s">
        <v>635</v>
      </c>
      <c r="H30" s="1">
        <v>502.364</v>
      </c>
      <c r="I30" s="1" t="s">
        <v>636</v>
      </c>
      <c r="J30" s="1">
        <v>215.529</v>
      </c>
      <c r="K30" s="1" t="s">
        <v>245</v>
      </c>
      <c r="L30" s="1">
        <v>256.8</v>
      </c>
      <c r="M30" s="1">
        <v>253.5600459</v>
      </c>
      <c r="N30" s="1">
        <v>273.4741849</v>
      </c>
      <c r="O30" s="1">
        <v>4.204645168</v>
      </c>
      <c r="P30" s="1" t="s">
        <v>703</v>
      </c>
      <c r="Q30" s="1">
        <v>-106.1154567</v>
      </c>
      <c r="R30" s="1">
        <v>357.5594266</v>
      </c>
      <c r="S30" s="1">
        <v>4.161117449</v>
      </c>
    </row>
    <row r="31" customHeight="1" spans="1:19">
      <c r="A31" s="1">
        <v>44126.75512</v>
      </c>
      <c r="B31" s="1" t="s">
        <v>704</v>
      </c>
      <c r="C31" s="1">
        <v>44126.64967</v>
      </c>
      <c r="D31" s="1">
        <v>44126.63144</v>
      </c>
      <c r="E31" s="1" t="s">
        <v>525</v>
      </c>
      <c r="F31" s="1">
        <v>503.929</v>
      </c>
      <c r="G31" s="1" t="s">
        <v>639</v>
      </c>
      <c r="H31" s="1">
        <v>767.382</v>
      </c>
      <c r="I31" s="1" t="s">
        <v>640</v>
      </c>
      <c r="J31" s="1">
        <v>319.666</v>
      </c>
      <c r="K31" s="1" t="s">
        <v>641</v>
      </c>
      <c r="L31" s="1">
        <v>912.974</v>
      </c>
      <c r="M31" s="1">
        <v>503.8983748</v>
      </c>
      <c r="N31" s="1">
        <v>-5.443483953</v>
      </c>
      <c r="O31" s="1">
        <v>0.708969096</v>
      </c>
      <c r="P31" s="1" t="s">
        <v>705</v>
      </c>
      <c r="Q31" s="1">
        <v>400.1370743</v>
      </c>
      <c r="R31" s="1">
        <v>-306.2696734</v>
      </c>
      <c r="S31" s="1">
        <v>0.707789762</v>
      </c>
    </row>
    <row r="32" customHeight="1" spans="1:19">
      <c r="A32" s="1">
        <v>44126.75833</v>
      </c>
      <c r="B32" s="1" t="s">
        <v>706</v>
      </c>
      <c r="C32" s="1">
        <v>44126.69822</v>
      </c>
      <c r="D32" s="1">
        <v>44126.61974</v>
      </c>
      <c r="E32" s="1" t="s">
        <v>523</v>
      </c>
      <c r="F32" s="1">
        <v>401.965</v>
      </c>
      <c r="G32" s="1" t="s">
        <v>644</v>
      </c>
      <c r="H32" s="1">
        <v>358.536</v>
      </c>
      <c r="I32" s="1" t="s">
        <v>696</v>
      </c>
      <c r="J32" s="1">
        <v>469.884</v>
      </c>
      <c r="K32" s="1" t="s">
        <v>645</v>
      </c>
      <c r="L32" s="1">
        <v>590.64</v>
      </c>
      <c r="M32" s="1">
        <v>232.7058201</v>
      </c>
      <c r="N32" s="1">
        <v>-327.9380494</v>
      </c>
      <c r="O32" s="1">
        <v>2.928941257</v>
      </c>
      <c r="P32" s="1" t="s">
        <v>707</v>
      </c>
      <c r="Q32" s="1">
        <v>293.3806892</v>
      </c>
      <c r="R32" s="1">
        <v>-274.7911424</v>
      </c>
      <c r="S32" s="1">
        <v>2.641996437</v>
      </c>
    </row>
    <row r="33" customHeight="1" spans="1:19">
      <c r="A33" s="1">
        <v>44132.02684</v>
      </c>
      <c r="B33" s="1" t="s">
        <v>708</v>
      </c>
      <c r="C33" s="1">
        <v>44131.90501</v>
      </c>
      <c r="D33" s="1">
        <v>44131.83685</v>
      </c>
      <c r="E33" s="1" t="s">
        <v>699</v>
      </c>
      <c r="F33" s="1">
        <v>601.516</v>
      </c>
      <c r="G33" s="1" t="s">
        <v>630</v>
      </c>
      <c r="H33" s="1">
        <v>946.156</v>
      </c>
      <c r="I33" s="1" t="s">
        <v>700</v>
      </c>
      <c r="J33" s="1">
        <v>669.231</v>
      </c>
      <c r="K33" s="1" t="s">
        <v>632</v>
      </c>
      <c r="L33" s="1">
        <v>546.012</v>
      </c>
      <c r="M33" s="1">
        <v>1427.016018</v>
      </c>
      <c r="N33" s="1">
        <v>1.207037831</v>
      </c>
      <c r="O33" s="1">
        <v>0.4537119321</v>
      </c>
      <c r="P33" s="1" t="s">
        <v>709</v>
      </c>
      <c r="Q33" s="1">
        <v>836.4582437</v>
      </c>
      <c r="R33" s="1">
        <v>1156.169054</v>
      </c>
      <c r="S33" s="1">
        <v>0.452176903</v>
      </c>
    </row>
    <row r="34" customHeight="1" spans="1:23">
      <c r="A34" s="1">
        <v>44133.59172</v>
      </c>
      <c r="B34" s="1" t="s">
        <v>710</v>
      </c>
      <c r="C34" s="1">
        <v>44133.46827</v>
      </c>
      <c r="D34" s="1">
        <v>44133.38979</v>
      </c>
      <c r="E34" s="1" t="s">
        <v>523</v>
      </c>
      <c r="F34" s="1">
        <v>402.332</v>
      </c>
      <c r="G34" s="1" t="s">
        <v>696</v>
      </c>
      <c r="H34" s="1">
        <v>332.349</v>
      </c>
      <c r="I34" s="1" t="s">
        <v>644</v>
      </c>
      <c r="J34" s="1">
        <v>612.405</v>
      </c>
      <c r="K34" s="1" t="s">
        <v>645</v>
      </c>
      <c r="L34" s="1">
        <v>445.919</v>
      </c>
      <c r="M34" s="1">
        <v>-382.1380884</v>
      </c>
      <c r="N34" s="1">
        <v>126.1019028</v>
      </c>
      <c r="O34" s="1">
        <v>0.7903824876</v>
      </c>
      <c r="P34" s="1" t="s">
        <v>711</v>
      </c>
      <c r="Q34" s="1">
        <v>122.6778521</v>
      </c>
      <c r="R34" s="1">
        <v>383.189848</v>
      </c>
      <c r="S34" s="1">
        <v>0.90520403</v>
      </c>
      <c r="T34" s="1">
        <v>44133.46827</v>
      </c>
      <c r="U34" s="1">
        <v>44133.46827</v>
      </c>
      <c r="V34" s="1">
        <v>-3.57972749e-6</v>
      </c>
      <c r="W34" s="1">
        <v>-0.3092884552</v>
      </c>
    </row>
    <row r="35" customHeight="1" spans="1:23">
      <c r="A35" s="1">
        <v>44133.59547</v>
      </c>
      <c r="B35" s="1" t="s">
        <v>712</v>
      </c>
      <c r="C35" s="1">
        <v>44133.43551</v>
      </c>
      <c r="D35" s="1">
        <v>44133.39041</v>
      </c>
      <c r="E35" s="1" t="s">
        <v>526</v>
      </c>
      <c r="F35" s="1">
        <v>373.388</v>
      </c>
      <c r="G35" s="1" t="s">
        <v>636</v>
      </c>
      <c r="H35" s="1">
        <v>425.069</v>
      </c>
      <c r="I35" s="1" t="s">
        <v>635</v>
      </c>
      <c r="J35" s="1">
        <v>240.569</v>
      </c>
      <c r="K35" s="1" t="s">
        <v>713</v>
      </c>
      <c r="L35" s="1">
        <v>609</v>
      </c>
      <c r="M35" s="1">
        <v>211.4870227</v>
      </c>
      <c r="N35" s="1">
        <v>-307.8010445</v>
      </c>
      <c r="O35" s="1">
        <v>-1.049676303</v>
      </c>
      <c r="P35" s="1" t="s">
        <v>714</v>
      </c>
      <c r="Q35" s="1">
        <v>-279.0079405</v>
      </c>
      <c r="R35" s="1">
        <v>248.2015608</v>
      </c>
      <c r="S35" s="1">
        <v>-0.941483364</v>
      </c>
      <c r="T35" s="1">
        <v>44133.4355</v>
      </c>
      <c r="U35" s="1">
        <v>44133.43566</v>
      </c>
      <c r="V35" s="1">
        <v>-0.00015352021</v>
      </c>
      <c r="W35" s="1">
        <v>-13.26414614</v>
      </c>
    </row>
    <row r="36" customHeight="1" spans="1:23">
      <c r="A36" s="1">
        <v>44133.59861</v>
      </c>
      <c r="B36" s="1" t="s">
        <v>715</v>
      </c>
      <c r="C36" s="1">
        <v>44133.49296</v>
      </c>
      <c r="D36" s="1">
        <v>44133.47473</v>
      </c>
      <c r="E36" s="1" t="s">
        <v>525</v>
      </c>
      <c r="F36" s="1">
        <v>503.756</v>
      </c>
      <c r="G36" s="1" t="s">
        <v>639</v>
      </c>
      <c r="H36" s="1">
        <v>323.596</v>
      </c>
      <c r="I36" s="1" t="s">
        <v>640</v>
      </c>
      <c r="J36" s="1">
        <v>807.24</v>
      </c>
      <c r="K36" s="1" t="s">
        <v>641</v>
      </c>
      <c r="L36" s="1">
        <v>325.535</v>
      </c>
      <c r="M36" s="1">
        <v>-490.3421278</v>
      </c>
      <c r="N36" s="1">
        <v>115.4694797</v>
      </c>
      <c r="O36" s="1">
        <v>0.9417452411</v>
      </c>
      <c r="P36" s="1" t="s">
        <v>716</v>
      </c>
      <c r="Q36" s="1">
        <v>396.2979695</v>
      </c>
      <c r="R36" s="1">
        <v>-310.9406505</v>
      </c>
      <c r="S36" s="1">
        <v>0.940981399</v>
      </c>
      <c r="T36" s="1">
        <v>44133.49296</v>
      </c>
      <c r="U36" s="1">
        <v>44133.4931</v>
      </c>
      <c r="V36" s="1">
        <v>-0.0001429931217</v>
      </c>
      <c r="W36" s="1">
        <v>-12.35460571</v>
      </c>
    </row>
    <row r="37" customHeight="1" spans="1:23">
      <c r="A37" s="1">
        <v>44133.60573</v>
      </c>
      <c r="B37" s="1" t="s">
        <v>717</v>
      </c>
      <c r="C37" s="1">
        <v>44133.43043</v>
      </c>
      <c r="D37" s="1">
        <v>44133.43592</v>
      </c>
      <c r="E37" s="1" t="s">
        <v>669</v>
      </c>
      <c r="F37" s="1">
        <v>1.98</v>
      </c>
      <c r="G37" s="1" t="s">
        <v>596</v>
      </c>
      <c r="H37" s="1">
        <v>244.113</v>
      </c>
      <c r="I37" s="1" t="s">
        <v>595</v>
      </c>
      <c r="J37" s="1">
        <v>936.779</v>
      </c>
      <c r="K37" s="1" t="s">
        <v>593</v>
      </c>
      <c r="L37" s="1">
        <v>819.905</v>
      </c>
      <c r="M37" s="1">
        <v>-506.9357434</v>
      </c>
      <c r="N37" s="1">
        <v>-901.9467237</v>
      </c>
      <c r="O37" s="1">
        <v>497.4724186</v>
      </c>
      <c r="P37" s="1" t="s">
        <v>718</v>
      </c>
      <c r="Q37" s="1">
        <v>618.2747913</v>
      </c>
      <c r="R37" s="1">
        <v>829.5955923</v>
      </c>
      <c r="S37" s="1">
        <v>497.4736536</v>
      </c>
      <c r="T37" s="1">
        <v>44133.43052</v>
      </c>
      <c r="U37" s="1">
        <v>44133.43043</v>
      </c>
      <c r="V37" s="1">
        <v>9.416178364e-5</v>
      </c>
      <c r="W37" s="1">
        <v>8.135578106</v>
      </c>
    </row>
    <row r="38" customHeight="1" spans="1:23">
      <c r="A38" s="1">
        <v>44133.61111</v>
      </c>
      <c r="B38" s="1" t="s">
        <v>719</v>
      </c>
      <c r="C38" s="1">
        <v>44133.42069</v>
      </c>
      <c r="D38" s="1">
        <v>44133.44514</v>
      </c>
      <c r="E38" s="1" t="s">
        <v>500</v>
      </c>
      <c r="F38" s="1">
        <v>511.487</v>
      </c>
      <c r="G38" s="1" t="s">
        <v>609</v>
      </c>
      <c r="H38" s="1">
        <v>774.467</v>
      </c>
      <c r="I38" s="1" t="s">
        <v>610</v>
      </c>
      <c r="J38" s="1">
        <v>511.098</v>
      </c>
      <c r="K38" s="1" t="s">
        <v>611</v>
      </c>
      <c r="L38" s="1">
        <v>204.201</v>
      </c>
      <c r="M38" s="1">
        <v>124.9476549</v>
      </c>
      <c r="N38" s="1">
        <v>495.8001822</v>
      </c>
      <c r="O38" s="1">
        <v>13.76316721</v>
      </c>
      <c r="P38" s="1" t="s">
        <v>720</v>
      </c>
      <c r="Q38" s="1">
        <v>-418.3051908</v>
      </c>
      <c r="R38" s="1">
        <v>294.0252805</v>
      </c>
      <c r="S38" s="1">
        <v>13.76469103</v>
      </c>
      <c r="T38" s="1">
        <v>44133.42076</v>
      </c>
      <c r="U38" s="1">
        <v>44133.42087</v>
      </c>
      <c r="V38" s="1">
        <v>-0.0001111045203</v>
      </c>
      <c r="W38" s="1">
        <v>-9.599430556</v>
      </c>
    </row>
    <row r="39" customHeight="1" spans="1:23">
      <c r="A39" s="1">
        <v>44133.61531</v>
      </c>
      <c r="B39" s="1" t="s">
        <v>721</v>
      </c>
      <c r="C39" s="1">
        <v>44133.54041</v>
      </c>
      <c r="D39" s="1">
        <v>44133.47475</v>
      </c>
      <c r="E39" s="1" t="s">
        <v>507</v>
      </c>
      <c r="F39" s="1">
        <v>491.123</v>
      </c>
      <c r="G39" s="1" t="s">
        <v>599</v>
      </c>
      <c r="H39" s="1">
        <v>192.362</v>
      </c>
      <c r="I39" s="1" t="s">
        <v>600</v>
      </c>
      <c r="J39" s="1">
        <v>757.85</v>
      </c>
      <c r="K39" s="1" t="s">
        <v>601</v>
      </c>
      <c r="L39" s="1">
        <v>356.477</v>
      </c>
      <c r="M39" s="1">
        <v>-231.1302315</v>
      </c>
      <c r="N39" s="1">
        <v>-433.329449</v>
      </c>
      <c r="O39" s="1">
        <v>2.520930032</v>
      </c>
      <c r="P39" s="1" t="s">
        <v>722</v>
      </c>
      <c r="Q39" s="1">
        <v>203.3790302</v>
      </c>
      <c r="R39" s="1">
        <v>-447.0269237</v>
      </c>
      <c r="S39" s="1">
        <v>2.52123901</v>
      </c>
      <c r="T39" s="1">
        <v>44133.54051</v>
      </c>
      <c r="U39" s="1">
        <v>44133.54041</v>
      </c>
      <c r="V39" s="1">
        <v>9.920011507e-5</v>
      </c>
      <c r="W39" s="1">
        <v>8.570889942</v>
      </c>
    </row>
    <row r="40" customHeight="1" spans="1:23">
      <c r="A40" s="1">
        <v>44133.61887</v>
      </c>
      <c r="B40" s="1" t="s">
        <v>723</v>
      </c>
      <c r="C40" s="1">
        <v>44133.41997</v>
      </c>
      <c r="D40" s="1">
        <v>44133.45659</v>
      </c>
      <c r="E40" s="1" t="s">
        <v>502</v>
      </c>
      <c r="F40" s="1">
        <v>437.493</v>
      </c>
      <c r="G40" s="1" t="s">
        <v>604</v>
      </c>
      <c r="H40" s="1">
        <v>627.21</v>
      </c>
      <c r="I40" s="1" t="s">
        <v>724</v>
      </c>
      <c r="J40" s="1">
        <v>647.935</v>
      </c>
      <c r="K40" s="1" t="s">
        <v>606</v>
      </c>
      <c r="L40" s="1">
        <v>647.819</v>
      </c>
      <c r="M40" s="1">
        <v>-226.3666501</v>
      </c>
      <c r="N40" s="1">
        <v>-329.6178509</v>
      </c>
      <c r="O40" s="1">
        <v>-46.82228852</v>
      </c>
      <c r="P40" s="1" t="s">
        <v>725</v>
      </c>
      <c r="Q40" s="1">
        <v>-331.3399722</v>
      </c>
      <c r="R40" s="1">
        <v>285.6809288</v>
      </c>
      <c r="S40" s="1">
        <v>-0.859054139</v>
      </c>
      <c r="T40" s="1">
        <v>44133.42157</v>
      </c>
      <c r="U40" s="1">
        <v>44133.41997</v>
      </c>
      <c r="V40" s="1">
        <v>0.001600132484</v>
      </c>
      <c r="W40" s="1">
        <v>138.2514466</v>
      </c>
    </row>
    <row r="41" customHeight="1" spans="1:23">
      <c r="A41" s="1">
        <v>44133.62793</v>
      </c>
      <c r="B41" s="1" t="s">
        <v>726</v>
      </c>
      <c r="C41" s="1">
        <v>44133.45711</v>
      </c>
      <c r="D41" s="1">
        <v>44133.46567</v>
      </c>
      <c r="E41" s="1" t="s">
        <v>516</v>
      </c>
      <c r="F41" s="1">
        <v>459.446</v>
      </c>
      <c r="G41" s="1" t="s">
        <v>727</v>
      </c>
      <c r="H41" s="1">
        <v>356.452</v>
      </c>
      <c r="I41" s="1" t="s">
        <v>728</v>
      </c>
      <c r="J41" s="1">
        <v>595.292</v>
      </c>
      <c r="K41" s="1" t="s">
        <v>658</v>
      </c>
      <c r="L41" s="1">
        <v>650.879</v>
      </c>
      <c r="M41" s="1">
        <v>410.3985973</v>
      </c>
      <c r="N41" s="1">
        <v>-196.5508296</v>
      </c>
      <c r="O41" s="1">
        <v>-63.51584567</v>
      </c>
      <c r="P41" s="1" t="s">
        <v>729</v>
      </c>
      <c r="Q41" s="1">
        <v>-246.7998535</v>
      </c>
      <c r="R41" s="1">
        <v>-382.2911157</v>
      </c>
      <c r="S41" s="1">
        <v>-63.51536714</v>
      </c>
      <c r="T41" s="1">
        <v>44133.45711</v>
      </c>
      <c r="U41" s="1">
        <v>44133.45711</v>
      </c>
      <c r="V41" s="1">
        <v>-2.853739716e-6</v>
      </c>
      <c r="W41" s="1">
        <v>-0.2465631114</v>
      </c>
    </row>
    <row r="42" customHeight="1" spans="1:23">
      <c r="A42" s="1">
        <v>44133.63364</v>
      </c>
      <c r="B42" s="1" t="s">
        <v>730</v>
      </c>
      <c r="C42" s="1">
        <v>44133.50103</v>
      </c>
      <c r="D42" s="1">
        <v>44133.47104</v>
      </c>
      <c r="E42" s="1" t="s">
        <v>146</v>
      </c>
      <c r="F42" s="1">
        <v>478.642</v>
      </c>
      <c r="G42" s="1" t="s">
        <v>149</v>
      </c>
      <c r="H42" s="1">
        <v>465.496</v>
      </c>
      <c r="I42" s="1" t="s">
        <v>153</v>
      </c>
      <c r="J42" s="1">
        <v>676.06</v>
      </c>
      <c r="K42" s="1" t="s">
        <v>731</v>
      </c>
      <c r="L42" s="1">
        <v>532.476</v>
      </c>
      <c r="M42" s="1">
        <v>-266.7286126</v>
      </c>
      <c r="N42" s="1">
        <v>-397.4259401</v>
      </c>
      <c r="O42" s="1">
        <v>-0.2033516532</v>
      </c>
      <c r="P42" s="1" t="s">
        <v>732</v>
      </c>
      <c r="Q42" s="1">
        <v>475.1641452</v>
      </c>
      <c r="R42" s="1">
        <v>57.59588587</v>
      </c>
      <c r="S42" s="1">
        <v>-0.207193921</v>
      </c>
      <c r="T42" s="1">
        <v>44133.50103</v>
      </c>
      <c r="U42" s="1">
        <v>44133.50103</v>
      </c>
      <c r="V42" s="1">
        <v>-4.674657248e-6</v>
      </c>
      <c r="W42" s="1">
        <v>-0.4038903862</v>
      </c>
    </row>
    <row r="43" customHeight="1" spans="1:23">
      <c r="A43" s="1">
        <v>44133.63654</v>
      </c>
      <c r="B43" s="1" t="s">
        <v>733</v>
      </c>
      <c r="C43" s="1">
        <v>44133.56112</v>
      </c>
      <c r="D43" s="1">
        <v>44133.50623</v>
      </c>
      <c r="E43" s="1" t="s">
        <v>515</v>
      </c>
      <c r="F43" s="1">
        <v>423.284</v>
      </c>
      <c r="G43" s="1" t="s">
        <v>734</v>
      </c>
      <c r="H43" s="1">
        <v>369.055</v>
      </c>
      <c r="I43" s="1" t="s">
        <v>649</v>
      </c>
      <c r="J43" s="1">
        <v>435.664</v>
      </c>
      <c r="K43" s="1" t="s">
        <v>655</v>
      </c>
      <c r="L43" s="1">
        <v>621.007</v>
      </c>
      <c r="M43" s="1">
        <v>-364.177168</v>
      </c>
      <c r="N43" s="1">
        <v>215.7408352</v>
      </c>
      <c r="O43" s="1">
        <v>-0.9852994029</v>
      </c>
      <c r="P43" s="1" t="s">
        <v>735</v>
      </c>
      <c r="Q43" s="1">
        <v>-159.5612938</v>
      </c>
      <c r="R43" s="1">
        <v>392.0572323</v>
      </c>
      <c r="S43" s="1">
        <v>-0.985381821</v>
      </c>
      <c r="T43" s="1">
        <v>44133.56112</v>
      </c>
      <c r="U43" s="1">
        <v>44133.56125</v>
      </c>
      <c r="V43" s="1">
        <v>-0.0001271871224</v>
      </c>
      <c r="W43" s="1">
        <v>-10.98896738</v>
      </c>
    </row>
    <row r="44" customHeight="1" spans="1:23">
      <c r="A44" s="1">
        <v>44133.64246</v>
      </c>
      <c r="B44" s="1" t="s">
        <v>736</v>
      </c>
      <c r="C44" s="1">
        <v>44133.48788</v>
      </c>
      <c r="D44" s="1">
        <v>44133.58695</v>
      </c>
      <c r="E44" s="1" t="s">
        <v>521</v>
      </c>
      <c r="F44" s="1">
        <v>412.739</v>
      </c>
      <c r="G44" s="1" t="s">
        <v>624</v>
      </c>
      <c r="H44" s="1">
        <v>131.293</v>
      </c>
      <c r="I44" s="1" t="s">
        <v>626</v>
      </c>
      <c r="J44" s="1">
        <v>320.748</v>
      </c>
      <c r="K44" s="1" t="s">
        <v>685</v>
      </c>
      <c r="L44" s="1">
        <v>481.331</v>
      </c>
      <c r="M44" s="1">
        <v>-412.7368835</v>
      </c>
      <c r="N44" s="1">
        <v>-0.7050585244</v>
      </c>
      <c r="O44" s="1">
        <v>-0.9596752935</v>
      </c>
      <c r="P44" s="1" t="s">
        <v>737</v>
      </c>
      <c r="Q44" s="1">
        <v>246.5061304</v>
      </c>
      <c r="R44" s="1">
        <v>331.0409126</v>
      </c>
      <c r="S44" s="1">
        <v>-0.960119122</v>
      </c>
      <c r="T44" s="1">
        <v>44133.48787</v>
      </c>
      <c r="U44" s="1">
        <v>44133.48788</v>
      </c>
      <c r="V44" s="1">
        <v>-4.090186849e-6</v>
      </c>
      <c r="W44" s="1">
        <v>-0.3533921437</v>
      </c>
    </row>
    <row r="45" customHeight="1" spans="1:23">
      <c r="A45" s="1">
        <v>44133.64605</v>
      </c>
      <c r="B45" s="1" t="s">
        <v>738</v>
      </c>
      <c r="C45" s="1">
        <v>44133.41256</v>
      </c>
      <c r="D45" s="1">
        <v>44133.67995</v>
      </c>
      <c r="E45" s="1" t="s">
        <v>520</v>
      </c>
      <c r="F45" s="1">
        <v>384.123</v>
      </c>
      <c r="G45" s="1" t="s">
        <v>739</v>
      </c>
      <c r="H45" s="1">
        <v>329.693</v>
      </c>
      <c r="I45" s="1" t="s">
        <v>619</v>
      </c>
      <c r="J45" s="1">
        <v>251.172</v>
      </c>
      <c r="K45" s="1" t="s">
        <v>621</v>
      </c>
      <c r="L45" s="1">
        <v>672.142</v>
      </c>
      <c r="M45" s="1">
        <v>174.3057112</v>
      </c>
      <c r="N45" s="1">
        <v>-342.297915</v>
      </c>
      <c r="O45" s="1">
        <v>-0.8198455328</v>
      </c>
      <c r="P45" s="1" t="s">
        <v>740</v>
      </c>
      <c r="Q45" s="1">
        <v>-363.1666311</v>
      </c>
      <c r="R45" s="1">
        <v>125.1399926</v>
      </c>
      <c r="S45" s="1">
        <v>-0.820581721</v>
      </c>
      <c r="T45" s="1">
        <v>44133.41254</v>
      </c>
      <c r="U45" s="1">
        <v>44133.41256</v>
      </c>
      <c r="V45" s="1">
        <v>-1.815636642e-5</v>
      </c>
      <c r="W45" s="1">
        <v>-1.568710059</v>
      </c>
    </row>
    <row r="46" customHeight="1" spans="1:23">
      <c r="A46" s="1">
        <v>44133.64926</v>
      </c>
      <c r="B46" s="1" t="s">
        <v>741</v>
      </c>
      <c r="C46" s="1">
        <v>44133.51779</v>
      </c>
      <c r="D46" s="1">
        <v>44133.47124</v>
      </c>
      <c r="E46" s="1" t="s">
        <v>509</v>
      </c>
      <c r="F46" s="1">
        <v>904.224</v>
      </c>
      <c r="G46" s="1" t="s">
        <v>679</v>
      </c>
      <c r="H46" s="1">
        <v>941.393</v>
      </c>
      <c r="I46" s="1" t="s">
        <v>614</v>
      </c>
      <c r="J46" s="1">
        <v>663.779</v>
      </c>
      <c r="K46" s="1" t="s">
        <v>615</v>
      </c>
      <c r="L46" s="1">
        <v>234.842</v>
      </c>
      <c r="M46" s="1">
        <v>-761.3722608</v>
      </c>
      <c r="N46" s="1">
        <v>-330.0914425</v>
      </c>
      <c r="O46" s="1">
        <v>-359.0922207</v>
      </c>
      <c r="P46" s="1" t="s">
        <v>742</v>
      </c>
      <c r="Q46" s="1">
        <v>29.5047794</v>
      </c>
      <c r="R46" s="1">
        <v>-829.34</v>
      </c>
      <c r="S46" s="1">
        <v>-359.0923652</v>
      </c>
      <c r="T46" s="1">
        <v>44133.51778</v>
      </c>
      <c r="U46" s="1">
        <v>44133.51779</v>
      </c>
      <c r="V46" s="1">
        <v>-7.993876352e-6</v>
      </c>
      <c r="W46" s="1">
        <v>-0.6906709168</v>
      </c>
    </row>
    <row r="47" customHeight="1" spans="1:23">
      <c r="A47" s="1">
        <v>44146.59653</v>
      </c>
      <c r="B47" s="1" t="s">
        <v>733</v>
      </c>
      <c r="C47" s="1">
        <v>44146.54146</v>
      </c>
      <c r="D47" s="1">
        <v>44146.48658</v>
      </c>
      <c r="E47" s="1" t="s">
        <v>515</v>
      </c>
      <c r="F47" s="1">
        <v>423.195</v>
      </c>
      <c r="G47" s="1" t="s">
        <v>734</v>
      </c>
      <c r="H47" s="1">
        <v>393.702</v>
      </c>
      <c r="I47" s="1" t="s">
        <v>664</v>
      </c>
      <c r="J47" s="1">
        <v>468.593</v>
      </c>
      <c r="K47" s="1" t="s">
        <v>654</v>
      </c>
      <c r="L47" s="1">
        <v>258.019</v>
      </c>
      <c r="M47" s="1">
        <v>-353.1092683</v>
      </c>
      <c r="N47" s="1">
        <v>228.7389076</v>
      </c>
      <c r="O47" s="1">
        <v>-45.67858831</v>
      </c>
      <c r="P47" s="1" t="s">
        <v>743</v>
      </c>
      <c r="Q47" s="1">
        <v>119.1302344</v>
      </c>
      <c r="R47" s="1">
        <v>403.5046385</v>
      </c>
      <c r="S47" s="1">
        <v>-45.67859895</v>
      </c>
      <c r="T47" s="1">
        <v>44146.54147</v>
      </c>
      <c r="U47" s="1">
        <v>44146.54146</v>
      </c>
      <c r="V47" s="1">
        <v>9.297596989e-6</v>
      </c>
      <c r="W47" s="1">
        <v>0.8033123799</v>
      </c>
    </row>
    <row r="48" customHeight="1" spans="1:23">
      <c r="A48" s="1">
        <v>44146.60311</v>
      </c>
      <c r="B48" s="1" t="s">
        <v>744</v>
      </c>
      <c r="C48" s="1">
        <v>44146.48288</v>
      </c>
      <c r="D48" s="1">
        <v>44146.4529</v>
      </c>
      <c r="E48" s="1" t="s">
        <v>146</v>
      </c>
      <c r="F48" s="1">
        <v>478.496</v>
      </c>
      <c r="G48" s="1" t="s">
        <v>745</v>
      </c>
      <c r="H48" s="1">
        <v>300.921</v>
      </c>
      <c r="I48" s="1" t="s">
        <v>746</v>
      </c>
      <c r="J48" s="1">
        <v>536.672</v>
      </c>
      <c r="K48" s="1" t="s">
        <v>151</v>
      </c>
      <c r="L48" s="1">
        <v>654.227</v>
      </c>
      <c r="M48" s="1">
        <v>-467.9329525</v>
      </c>
      <c r="N48" s="1">
        <v>100.005139</v>
      </c>
      <c r="O48" s="1">
        <v>0.2747647634</v>
      </c>
      <c r="P48" s="1" t="s">
        <v>747</v>
      </c>
      <c r="Q48" s="1">
        <v>292.2055468</v>
      </c>
      <c r="R48" s="1">
        <v>-378.9120064</v>
      </c>
      <c r="S48" s="1">
        <v>0.263322306</v>
      </c>
      <c r="T48" s="1">
        <v>44146.4829</v>
      </c>
      <c r="U48" s="1">
        <v>44146.48288</v>
      </c>
      <c r="V48" s="1">
        <v>1.154939673e-5</v>
      </c>
      <c r="W48" s="1">
        <v>0.9978678776</v>
      </c>
    </row>
    <row r="49" customHeight="1" spans="1:23">
      <c r="A49" s="1">
        <v>44146.60647</v>
      </c>
      <c r="B49" s="1" t="s">
        <v>748</v>
      </c>
      <c r="C49" s="1">
        <v>44146.45015</v>
      </c>
      <c r="D49" s="1">
        <v>44146.45872</v>
      </c>
      <c r="E49" s="1" t="s">
        <v>516</v>
      </c>
      <c r="F49" s="1">
        <v>459.744</v>
      </c>
      <c r="G49" s="1" t="s">
        <v>728</v>
      </c>
      <c r="H49" s="1">
        <v>387.39</v>
      </c>
      <c r="I49" s="1" t="s">
        <v>749</v>
      </c>
      <c r="J49" s="1">
        <v>566.109</v>
      </c>
      <c r="K49" s="1" t="s">
        <v>659</v>
      </c>
      <c r="L49" s="1">
        <v>597.59</v>
      </c>
      <c r="M49" s="1">
        <v>170.1171824</v>
      </c>
      <c r="N49" s="1">
        <v>427.1100711</v>
      </c>
      <c r="O49" s="1">
        <v>-0.9522939995</v>
      </c>
      <c r="P49" s="1" t="s">
        <v>750</v>
      </c>
      <c r="Q49" s="1">
        <v>-457.0085551</v>
      </c>
      <c r="R49" s="1">
        <v>-50.0722489</v>
      </c>
      <c r="S49" s="1">
        <v>-0.952456048</v>
      </c>
      <c r="T49" s="1">
        <v>44146.45017</v>
      </c>
      <c r="U49" s="1">
        <v>44146.45015</v>
      </c>
      <c r="V49" s="1">
        <v>1.527027052e-5</v>
      </c>
      <c r="W49" s="1">
        <v>1.319351373</v>
      </c>
    </row>
    <row r="50" customHeight="1" spans="1:23">
      <c r="A50" s="1">
        <v>44146.63306</v>
      </c>
      <c r="B50" s="1" t="s">
        <v>751</v>
      </c>
      <c r="C50" s="1">
        <v>44146.56405</v>
      </c>
      <c r="D50" s="1">
        <v>44146.4984</v>
      </c>
      <c r="E50" s="1" t="s">
        <v>507</v>
      </c>
      <c r="F50" s="1">
        <v>491.159</v>
      </c>
      <c r="G50" s="1" t="s">
        <v>600</v>
      </c>
      <c r="H50" s="1">
        <v>248.166</v>
      </c>
      <c r="I50" s="1" t="s">
        <v>599</v>
      </c>
      <c r="J50" s="1">
        <v>793.167</v>
      </c>
      <c r="K50" s="1" t="s">
        <v>601</v>
      </c>
      <c r="L50" s="1">
        <v>962.286</v>
      </c>
      <c r="M50" s="1">
        <v>76.59420145</v>
      </c>
      <c r="N50" s="1">
        <v>485.143735</v>
      </c>
      <c r="O50" s="1">
        <v>2.409986322</v>
      </c>
      <c r="P50" s="1" t="s">
        <v>752</v>
      </c>
      <c r="Q50" s="1">
        <v>117.6106823</v>
      </c>
      <c r="R50" s="1">
        <v>-476.8638908</v>
      </c>
      <c r="S50" s="1">
        <v>2.407748214</v>
      </c>
      <c r="T50" s="1">
        <v>44146.56406</v>
      </c>
      <c r="U50" s="1">
        <v>44146.56405</v>
      </c>
      <c r="V50" s="1">
        <v>9.636576578e-6</v>
      </c>
      <c r="W50" s="1">
        <v>0.8326002164</v>
      </c>
    </row>
    <row r="51" customHeight="1" spans="1:23">
      <c r="A51" s="1">
        <v>44146.6364</v>
      </c>
      <c r="B51" s="1" t="s">
        <v>753</v>
      </c>
      <c r="C51" s="1">
        <v>44146.46482</v>
      </c>
      <c r="D51" s="1">
        <v>44146.48931</v>
      </c>
      <c r="E51" s="1" t="s">
        <v>500</v>
      </c>
      <c r="F51" s="1">
        <v>511.719</v>
      </c>
      <c r="G51" s="1" t="s">
        <v>609</v>
      </c>
      <c r="H51" s="1">
        <v>742.397</v>
      </c>
      <c r="I51" s="1" t="s">
        <v>610</v>
      </c>
      <c r="J51" s="1">
        <v>795.532</v>
      </c>
      <c r="K51" s="1" t="s">
        <v>611</v>
      </c>
      <c r="L51" s="1">
        <v>375.766</v>
      </c>
      <c r="M51" s="1">
        <v>-402.3445772</v>
      </c>
      <c r="N51" s="1">
        <v>316.1874323</v>
      </c>
      <c r="O51" s="1">
        <v>-0.6025802118</v>
      </c>
      <c r="P51" s="1" t="s">
        <v>754</v>
      </c>
      <c r="Q51" s="1">
        <v>-214.0896513</v>
      </c>
      <c r="R51" s="1">
        <v>464.7819443</v>
      </c>
      <c r="S51" s="1">
        <v>-0.603413895</v>
      </c>
      <c r="T51" s="1">
        <v>44146.46486</v>
      </c>
      <c r="U51" s="1">
        <v>44146.46482</v>
      </c>
      <c r="V51" s="1">
        <v>3.48496178e-5</v>
      </c>
      <c r="W51" s="1">
        <v>3.011006978</v>
      </c>
    </row>
    <row r="52" customHeight="1" spans="1:23">
      <c r="A52" s="1">
        <v>44146.64041</v>
      </c>
      <c r="B52" s="1" t="s">
        <v>755</v>
      </c>
      <c r="C52" s="1">
        <v>44146.40347</v>
      </c>
      <c r="D52" s="1">
        <v>44146.4386</v>
      </c>
      <c r="E52" s="1" t="s">
        <v>502</v>
      </c>
      <c r="F52" s="1">
        <v>437.63</v>
      </c>
      <c r="G52" s="1" t="s">
        <v>606</v>
      </c>
      <c r="H52" s="1">
        <v>451.014</v>
      </c>
      <c r="I52" s="1" t="s">
        <v>605</v>
      </c>
      <c r="J52" s="1">
        <v>714.649</v>
      </c>
      <c r="K52" s="1" t="s">
        <v>604</v>
      </c>
      <c r="L52" s="1">
        <v>647.927</v>
      </c>
      <c r="M52" s="1">
        <v>187.0522602</v>
      </c>
      <c r="N52" s="1">
        <v>-395.6443471</v>
      </c>
      <c r="O52" s="1">
        <v>0.9726873717</v>
      </c>
      <c r="P52" s="1" t="s">
        <v>756</v>
      </c>
      <c r="Q52" s="1">
        <v>-59.0431868</v>
      </c>
      <c r="R52" s="1">
        <v>-433.6281422</v>
      </c>
      <c r="S52" s="1">
        <v>0.969110087</v>
      </c>
      <c r="T52" s="1">
        <v>44146.40198</v>
      </c>
      <c r="U52" s="1">
        <v>44146.40347</v>
      </c>
      <c r="V52" s="1">
        <v>-0.00148486549</v>
      </c>
      <c r="W52" s="1">
        <v>-128.2923783</v>
      </c>
    </row>
    <row r="53" customHeight="1" spans="1:23">
      <c r="A53" s="1">
        <v>44146.64428</v>
      </c>
      <c r="B53" s="1" t="s">
        <v>757</v>
      </c>
      <c r="C53" s="1">
        <v>44146.47306</v>
      </c>
      <c r="D53" s="1">
        <v>44146.47857</v>
      </c>
      <c r="E53" s="1" t="s">
        <v>593</v>
      </c>
      <c r="F53" s="1">
        <v>730.299</v>
      </c>
      <c r="G53" s="1" t="s">
        <v>758</v>
      </c>
      <c r="H53" s="1">
        <v>812.379</v>
      </c>
      <c r="I53" s="1" t="s">
        <v>759</v>
      </c>
      <c r="J53" s="1">
        <v>861.474</v>
      </c>
      <c r="K53" s="1" t="s">
        <v>760</v>
      </c>
      <c r="L53" s="1">
        <v>282.935</v>
      </c>
      <c r="M53" s="1">
        <v>-1139.459308</v>
      </c>
      <c r="N53" s="1">
        <v>375.401817</v>
      </c>
      <c r="O53" s="1">
        <v>-0.02204440087</v>
      </c>
      <c r="P53" s="1" t="s">
        <v>761</v>
      </c>
      <c r="Q53" s="1">
        <v>897.8047499</v>
      </c>
      <c r="R53" s="1">
        <v>795.7667501</v>
      </c>
      <c r="S53" s="1">
        <v>-0.021066159</v>
      </c>
      <c r="T53" s="1">
        <v>44146.47307</v>
      </c>
      <c r="U53" s="1">
        <v>44146.47306</v>
      </c>
      <c r="V53" s="1">
        <v>1.336446439e-5</v>
      </c>
      <c r="W53" s="1">
        <v>1.154689724</v>
      </c>
    </row>
    <row r="54" customHeight="1" spans="1:23">
      <c r="A54" s="1">
        <v>44146.65602</v>
      </c>
      <c r="B54" s="1" t="s">
        <v>762</v>
      </c>
      <c r="C54" s="1">
        <v>44146.49668</v>
      </c>
      <c r="D54" s="1">
        <v>44146.60019</v>
      </c>
      <c r="E54" s="1" t="s">
        <v>629</v>
      </c>
      <c r="F54" s="1">
        <v>641.442</v>
      </c>
      <c r="G54" s="1" t="s">
        <v>630</v>
      </c>
      <c r="H54" s="1">
        <v>946.304</v>
      </c>
      <c r="I54" s="1" t="s">
        <v>632</v>
      </c>
      <c r="J54" s="1">
        <v>546.205</v>
      </c>
      <c r="K54" s="1" t="s">
        <v>700</v>
      </c>
      <c r="L54" s="1">
        <v>669.446</v>
      </c>
      <c r="M54" s="1">
        <v>1427.159558</v>
      </c>
      <c r="N54" s="1">
        <v>1.047804962</v>
      </c>
      <c r="O54" s="1">
        <v>0.5801255967</v>
      </c>
      <c r="P54" s="1" t="s">
        <v>763</v>
      </c>
      <c r="Q54" s="1">
        <v>-951.5288695</v>
      </c>
      <c r="R54" s="1">
        <v>1063.657903</v>
      </c>
      <c r="S54" s="1">
        <v>0.582021847</v>
      </c>
      <c r="T54" s="1">
        <v>44146.49668</v>
      </c>
      <c r="U54" s="1">
        <v>44146.49668</v>
      </c>
      <c r="V54" s="1">
        <v>-2.918051905e-6</v>
      </c>
      <c r="W54" s="1">
        <v>-0.2521196846</v>
      </c>
    </row>
    <row r="55" customHeight="1" spans="1:23">
      <c r="A55" s="1">
        <v>44146.66161</v>
      </c>
      <c r="B55" s="1" t="s">
        <v>764</v>
      </c>
      <c r="C55" s="1">
        <v>44146.56983</v>
      </c>
      <c r="D55" s="1">
        <v>44146.49136</v>
      </c>
      <c r="E55" s="1" t="s">
        <v>523</v>
      </c>
      <c r="F55" s="1">
        <v>402.299</v>
      </c>
      <c r="G55" s="1" t="s">
        <v>765</v>
      </c>
      <c r="H55" s="1">
        <v>381.689</v>
      </c>
      <c r="I55" s="1" t="s">
        <v>644</v>
      </c>
      <c r="J55" s="1">
        <v>259.944</v>
      </c>
      <c r="K55" s="1" t="s">
        <v>696</v>
      </c>
      <c r="L55" s="1">
        <v>568.118</v>
      </c>
      <c r="M55" s="1">
        <v>377.8173236</v>
      </c>
      <c r="N55" s="1">
        <v>-137.804889</v>
      </c>
      <c r="O55" s="1">
        <v>5.773282471</v>
      </c>
      <c r="P55" s="1" t="s">
        <v>766</v>
      </c>
      <c r="Q55" s="1">
        <v>384.2667043</v>
      </c>
      <c r="R55" s="1">
        <v>119.0571601</v>
      </c>
      <c r="S55" s="1">
        <v>5.911075723</v>
      </c>
      <c r="T55" s="1">
        <v>44146.56984</v>
      </c>
      <c r="U55" s="1">
        <v>44146.56983</v>
      </c>
      <c r="V55" s="1">
        <v>1.617838279e-5</v>
      </c>
      <c r="W55" s="1">
        <v>1.397812273</v>
      </c>
    </row>
    <row r="56" customHeight="1" spans="1:23">
      <c r="A56" s="1">
        <v>44146.66532</v>
      </c>
      <c r="B56" s="1" t="s">
        <v>767</v>
      </c>
      <c r="C56" s="1">
        <v>44146.505</v>
      </c>
      <c r="D56" s="1">
        <v>44146.45992</v>
      </c>
      <c r="E56" s="1" t="s">
        <v>526</v>
      </c>
      <c r="F56" s="1">
        <v>373.454</v>
      </c>
      <c r="G56" s="1" t="s">
        <v>636</v>
      </c>
      <c r="H56" s="1">
        <v>745.764</v>
      </c>
      <c r="I56" s="1" t="s">
        <v>635</v>
      </c>
      <c r="J56" s="1">
        <v>416.635</v>
      </c>
      <c r="K56" s="1" t="s">
        <v>713</v>
      </c>
      <c r="L56" s="1">
        <v>139.3</v>
      </c>
      <c r="M56" s="1">
        <v>-348.1783197</v>
      </c>
      <c r="N56" s="1">
        <v>-135.0537966</v>
      </c>
      <c r="O56" s="1">
        <v>-0.9928541863</v>
      </c>
      <c r="P56" s="1" t="s">
        <v>768</v>
      </c>
      <c r="Q56" s="1">
        <v>-277.6989665</v>
      </c>
      <c r="R56" s="1">
        <v>249.7650677</v>
      </c>
      <c r="S56" s="1">
        <v>-0.981035571</v>
      </c>
      <c r="T56" s="1">
        <v>44146.50501</v>
      </c>
      <c r="U56" s="1">
        <v>44146.505</v>
      </c>
      <c r="V56" s="1">
        <v>1.096350752e-5</v>
      </c>
      <c r="W56" s="1">
        <v>0.9472470498</v>
      </c>
    </row>
    <row r="57" customHeight="1" spans="1:23">
      <c r="A57" s="1">
        <v>44146.67836</v>
      </c>
      <c r="B57" s="1" t="s">
        <v>769</v>
      </c>
      <c r="C57" s="1">
        <v>44146.52053</v>
      </c>
      <c r="D57" s="1">
        <v>44146.50231</v>
      </c>
      <c r="E57" s="1" t="s">
        <v>525</v>
      </c>
      <c r="F57" s="1">
        <v>503.512</v>
      </c>
      <c r="G57" s="1" t="s">
        <v>641</v>
      </c>
      <c r="H57" s="1">
        <v>309.8</v>
      </c>
      <c r="I57" s="1" t="s">
        <v>639</v>
      </c>
      <c r="J57" s="1">
        <v>370.224</v>
      </c>
      <c r="K57" s="1" t="s">
        <v>640</v>
      </c>
      <c r="L57" s="1">
        <v>708.656</v>
      </c>
      <c r="M57" s="1">
        <v>-30.06413764</v>
      </c>
      <c r="N57" s="1">
        <v>502.6020821</v>
      </c>
      <c r="O57" s="1">
        <v>3.294953859</v>
      </c>
      <c r="P57" s="1" t="s">
        <v>770</v>
      </c>
      <c r="Q57" s="1">
        <v>-96.9413484</v>
      </c>
      <c r="R57" s="1">
        <v>494.1276983</v>
      </c>
      <c r="S57" s="1">
        <v>3.29405319</v>
      </c>
      <c r="T57" s="1">
        <v>44146.52054</v>
      </c>
      <c r="U57" s="1">
        <v>44146.52053</v>
      </c>
      <c r="V57" s="1">
        <v>8.555034583e-6</v>
      </c>
      <c r="W57" s="1">
        <v>0.739154988</v>
      </c>
    </row>
    <row r="58" customHeight="1" spans="1:23">
      <c r="A58" s="1">
        <v>44146.68859</v>
      </c>
      <c r="B58" s="1" t="s">
        <v>771</v>
      </c>
      <c r="C58" s="1">
        <v>44146.50797</v>
      </c>
      <c r="D58" s="1">
        <v>44146.60704</v>
      </c>
      <c r="E58" s="1" t="s">
        <v>521</v>
      </c>
      <c r="F58" s="1">
        <v>447.299</v>
      </c>
      <c r="G58" s="1" t="s">
        <v>625</v>
      </c>
      <c r="H58" s="1">
        <v>445.782</v>
      </c>
      <c r="I58" s="1" t="s">
        <v>626</v>
      </c>
      <c r="J58" s="1">
        <v>631.139</v>
      </c>
      <c r="K58" s="1" t="s">
        <v>685</v>
      </c>
      <c r="L58" s="1">
        <v>611.758</v>
      </c>
      <c r="M58" s="1">
        <v>419.0275013</v>
      </c>
      <c r="N58" s="1">
        <v>156.4769767</v>
      </c>
      <c r="O58" s="1">
        <v>-0.86611173</v>
      </c>
      <c r="P58" s="1" t="s">
        <v>772</v>
      </c>
      <c r="Q58" s="1">
        <v>8.686856799</v>
      </c>
      <c r="R58" s="1">
        <v>447.2138316</v>
      </c>
      <c r="S58" s="1">
        <v>-0.868858783</v>
      </c>
      <c r="T58" s="1">
        <v>44146.50797</v>
      </c>
      <c r="U58" s="1">
        <v>44146.50797</v>
      </c>
      <c r="V58" s="1">
        <v>3.460510925e-6</v>
      </c>
      <c r="W58" s="1">
        <v>0.2989881439</v>
      </c>
    </row>
    <row r="59" customHeight="1" spans="1:23">
      <c r="A59" s="1">
        <v>44146.6918</v>
      </c>
      <c r="B59" s="1" t="s">
        <v>773</v>
      </c>
      <c r="C59" s="1">
        <v>44146.45849</v>
      </c>
      <c r="D59" s="1">
        <v>44146.72591</v>
      </c>
      <c r="E59" s="1" t="s">
        <v>520</v>
      </c>
      <c r="F59" s="1">
        <v>384.112</v>
      </c>
      <c r="G59" s="1" t="s">
        <v>682</v>
      </c>
      <c r="H59" s="1">
        <v>174.634</v>
      </c>
      <c r="I59" s="1" t="s">
        <v>619</v>
      </c>
      <c r="J59" s="1">
        <v>551.293</v>
      </c>
      <c r="K59" s="1" t="s">
        <v>620</v>
      </c>
      <c r="L59" s="1">
        <v>533.694</v>
      </c>
      <c r="M59" s="1">
        <v>261.4038017</v>
      </c>
      <c r="N59" s="1">
        <v>281.4407381</v>
      </c>
      <c r="O59" s="1">
        <v>-0.8822509003</v>
      </c>
      <c r="P59" s="1" t="s">
        <v>774</v>
      </c>
      <c r="Q59" s="1">
        <v>-362.5827199</v>
      </c>
      <c r="R59" s="1">
        <v>126.7873968</v>
      </c>
      <c r="S59" s="1">
        <v>-0.884268083</v>
      </c>
      <c r="T59" s="1">
        <v>44146.45852</v>
      </c>
      <c r="U59" s="1">
        <v>44146.45849</v>
      </c>
      <c r="V59" s="1">
        <v>2.670678077e-5</v>
      </c>
      <c r="W59" s="1">
        <v>2.307465859</v>
      </c>
    </row>
    <row r="60" customHeight="1" spans="1:23">
      <c r="A60" s="1">
        <v>44146.6967</v>
      </c>
      <c r="B60" s="1" t="s">
        <v>775</v>
      </c>
      <c r="C60" s="1">
        <v>44146.47702</v>
      </c>
      <c r="D60" s="1">
        <v>44146.55985</v>
      </c>
      <c r="E60" s="1" t="s">
        <v>509</v>
      </c>
      <c r="F60" s="1">
        <v>897.769</v>
      </c>
      <c r="G60" s="1" t="s">
        <v>679</v>
      </c>
      <c r="H60" s="1">
        <v>945.572</v>
      </c>
      <c r="I60" s="1" t="s">
        <v>614</v>
      </c>
      <c r="J60" s="1">
        <v>646.864</v>
      </c>
      <c r="K60" s="1" t="s">
        <v>615</v>
      </c>
      <c r="L60" s="1">
        <v>207.396</v>
      </c>
      <c r="M60" s="1">
        <v>-769.1264176</v>
      </c>
      <c r="N60" s="1">
        <v>-303.317006</v>
      </c>
      <c r="O60" s="1">
        <v>-349.8698049</v>
      </c>
      <c r="P60" s="1" t="s">
        <v>776</v>
      </c>
      <c r="Q60" s="1">
        <v>-754.7373119</v>
      </c>
      <c r="R60" s="1">
        <v>337.567968</v>
      </c>
      <c r="S60" s="1">
        <v>-349.8705577</v>
      </c>
      <c r="T60" s="1">
        <v>44146.47682</v>
      </c>
      <c r="U60" s="1">
        <v>44146.47702</v>
      </c>
      <c r="V60" s="1">
        <v>-0.0002041424959</v>
      </c>
      <c r="W60" s="1">
        <v>-17.63791165</v>
      </c>
    </row>
    <row r="61" customHeight="1" spans="1:21">
      <c r="A61" s="1">
        <v>44146.71451</v>
      </c>
      <c r="B61" s="1" t="s">
        <v>777</v>
      </c>
      <c r="C61" s="1">
        <v>44146.66131</v>
      </c>
      <c r="D61" s="1">
        <v>44146.60642</v>
      </c>
      <c r="E61" s="1" t="s">
        <v>515</v>
      </c>
      <c r="F61" s="1">
        <v>423.329</v>
      </c>
      <c r="G61" s="1" t="s">
        <v>664</v>
      </c>
      <c r="H61" s="1">
        <v>483.933</v>
      </c>
      <c r="I61" s="1" t="s">
        <v>688</v>
      </c>
      <c r="J61" s="1">
        <v>534.549</v>
      </c>
      <c r="K61" s="1" t="s">
        <v>655</v>
      </c>
      <c r="L61" s="1">
        <v>798.131</v>
      </c>
      <c r="M61" s="1">
        <v>32.14771344</v>
      </c>
      <c r="N61" s="1">
        <v>-419.6391331</v>
      </c>
      <c r="O61" s="1">
        <v>-45.59698485</v>
      </c>
      <c r="P61" s="1" t="s">
        <v>778</v>
      </c>
      <c r="Q61" s="1">
        <v>149.3746997</v>
      </c>
      <c r="R61" s="1">
        <v>393.4671452</v>
      </c>
      <c r="S61" s="1">
        <v>-45.59691076</v>
      </c>
      <c r="T61" s="1">
        <v>44146.66131</v>
      </c>
      <c r="U61" s="1">
        <v>44146.66131</v>
      </c>
    </row>
    <row r="62" customHeight="1" spans="1:21">
      <c r="A62" s="1">
        <v>44183.59081</v>
      </c>
      <c r="B62" s="1" t="s">
        <v>779</v>
      </c>
      <c r="C62" s="1">
        <v>44183.34993</v>
      </c>
      <c r="D62" s="1">
        <v>44183.40424</v>
      </c>
      <c r="E62" s="1" t="s">
        <v>505</v>
      </c>
      <c r="F62" s="1">
        <v>494.67</v>
      </c>
      <c r="G62" s="1" t="s">
        <v>780</v>
      </c>
      <c r="H62" s="1">
        <v>267.839</v>
      </c>
      <c r="I62" s="1" t="s">
        <v>781</v>
      </c>
      <c r="J62" s="1">
        <v>803.95</v>
      </c>
      <c r="K62" s="1" t="s">
        <v>782</v>
      </c>
      <c r="L62" s="1">
        <v>954.674</v>
      </c>
      <c r="M62" s="1">
        <v>0.6469983263</v>
      </c>
      <c r="N62" s="1">
        <v>-494.6598661</v>
      </c>
      <c r="O62" s="1">
        <v>1.25889961</v>
      </c>
      <c r="P62" s="1" t="s">
        <v>783</v>
      </c>
      <c r="Q62" s="1">
        <v>-285.9194126</v>
      </c>
      <c r="R62" s="1">
        <v>403.6669439</v>
      </c>
      <c r="S62" s="1">
        <v>1.248952196</v>
      </c>
      <c r="T62" s="1">
        <v>44183.40424</v>
      </c>
      <c r="U62" s="1">
        <v>44183.34993</v>
      </c>
    </row>
    <row r="63" customHeight="1" spans="1:21">
      <c r="A63" s="1">
        <v>44187.62957</v>
      </c>
      <c r="B63" s="1" t="s">
        <v>784</v>
      </c>
      <c r="C63" s="1">
        <v>44187.41543</v>
      </c>
      <c r="D63" s="1">
        <v>44187.42093</v>
      </c>
      <c r="E63" s="1" t="s">
        <v>785</v>
      </c>
      <c r="F63" s="1">
        <v>444.524</v>
      </c>
      <c r="G63" s="1" t="s">
        <v>786</v>
      </c>
      <c r="H63" s="1">
        <v>875.731</v>
      </c>
      <c r="I63" s="1" t="s">
        <v>668</v>
      </c>
      <c r="J63" s="1">
        <v>770.636</v>
      </c>
      <c r="K63" s="1" t="s">
        <v>787</v>
      </c>
      <c r="L63" s="1">
        <v>700.507</v>
      </c>
      <c r="M63" s="1">
        <v>575.9827486</v>
      </c>
      <c r="N63" s="1">
        <v>-1052.716955</v>
      </c>
      <c r="O63" s="1">
        <v>-0.3494316793</v>
      </c>
      <c r="P63" s="1" t="s">
        <v>788</v>
      </c>
      <c r="Q63" s="1">
        <v>864.6360879</v>
      </c>
      <c r="R63" s="1">
        <v>832.0986726</v>
      </c>
      <c r="S63" s="1">
        <v>-0.349153041</v>
      </c>
      <c r="T63" s="1">
        <v>44187.41542</v>
      </c>
      <c r="U63" s="1">
        <v>44187.41568</v>
      </c>
    </row>
    <row r="64" customHeight="1" spans="1:21">
      <c r="A64" s="1">
        <v>44187.63503</v>
      </c>
      <c r="B64" s="1" t="s">
        <v>789</v>
      </c>
      <c r="C64" s="1">
        <v>44187.3683</v>
      </c>
      <c r="D64" s="1">
        <v>44187.40344</v>
      </c>
      <c r="E64" s="1" t="s">
        <v>502</v>
      </c>
      <c r="F64" s="1">
        <v>437.694</v>
      </c>
      <c r="G64" s="1" t="s">
        <v>674</v>
      </c>
      <c r="H64" s="1">
        <v>259.016</v>
      </c>
      <c r="I64" s="1" t="s">
        <v>606</v>
      </c>
      <c r="J64" s="1">
        <v>546.75</v>
      </c>
      <c r="K64" s="1" t="s">
        <v>604</v>
      </c>
      <c r="L64" s="1">
        <v>332.294</v>
      </c>
      <c r="M64" s="1">
        <v>-131.8575817</v>
      </c>
      <c r="N64" s="1">
        <v>417.3600664</v>
      </c>
      <c r="O64" s="1">
        <v>-0.9173228579</v>
      </c>
      <c r="P64" s="1" t="s">
        <v>790</v>
      </c>
      <c r="Q64" s="1">
        <v>-307.855285</v>
      </c>
      <c r="R64" s="1">
        <v>-311.1275167</v>
      </c>
      <c r="S64" s="1">
        <v>-0.916996238</v>
      </c>
      <c r="T64" s="1">
        <v>44187.3683</v>
      </c>
      <c r="U64" s="1">
        <v>44187.3683</v>
      </c>
    </row>
    <row r="65" customHeight="1" spans="1:21">
      <c r="A65" s="1">
        <v>44187.64195</v>
      </c>
      <c r="B65" s="1" t="s">
        <v>791</v>
      </c>
      <c r="C65" s="1">
        <v>44187.44996</v>
      </c>
      <c r="D65" s="1">
        <v>44187.47447</v>
      </c>
      <c r="E65" s="1" t="s">
        <v>500</v>
      </c>
      <c r="F65" s="1">
        <v>511.718</v>
      </c>
      <c r="G65" s="1" t="s">
        <v>609</v>
      </c>
      <c r="H65" s="1">
        <v>405.654</v>
      </c>
      <c r="I65" s="1" t="s">
        <v>610</v>
      </c>
      <c r="J65" s="1">
        <v>731.665</v>
      </c>
      <c r="K65" s="1" t="s">
        <v>611</v>
      </c>
      <c r="L65" s="1">
        <v>990.047</v>
      </c>
      <c r="M65" s="1">
        <v>-180.0728311</v>
      </c>
      <c r="N65" s="1">
        <v>-478.9828212</v>
      </c>
      <c r="O65" s="1">
        <v>2.284454345</v>
      </c>
      <c r="P65" s="1" t="s">
        <v>792</v>
      </c>
      <c r="Q65" s="1">
        <v>72.3982771</v>
      </c>
      <c r="R65" s="1">
        <v>506.5663271</v>
      </c>
      <c r="S65" s="1">
        <v>2.285665979</v>
      </c>
      <c r="T65" s="1">
        <v>44187.44998</v>
      </c>
      <c r="U65" s="1">
        <v>44187.44996</v>
      </c>
    </row>
    <row r="66" customHeight="1" spans="1:21">
      <c r="A66" s="1">
        <v>44187.64873</v>
      </c>
      <c r="B66" s="1" t="s">
        <v>793</v>
      </c>
      <c r="C66" s="1">
        <v>44187.42968</v>
      </c>
      <c r="D66" s="1">
        <v>44187.4033</v>
      </c>
      <c r="E66" s="1" t="s">
        <v>505</v>
      </c>
      <c r="F66" s="1">
        <v>507.868</v>
      </c>
      <c r="G66" s="1" t="s">
        <v>782</v>
      </c>
      <c r="H66" s="1">
        <v>392.814</v>
      </c>
      <c r="I66" s="1" t="s">
        <v>780</v>
      </c>
      <c r="J66" s="1">
        <v>800.305</v>
      </c>
      <c r="K66" s="1" t="s">
        <v>781</v>
      </c>
      <c r="L66" s="1">
        <v>249.449</v>
      </c>
      <c r="M66" s="1">
        <v>-86.85746193</v>
      </c>
      <c r="N66" s="1">
        <v>500.3793537</v>
      </c>
      <c r="O66" s="1">
        <v>2.423931391</v>
      </c>
      <c r="P66" s="1" t="s">
        <v>794</v>
      </c>
      <c r="Q66" s="1">
        <v>436.5404603</v>
      </c>
      <c r="R66" s="1">
        <v>259.5322774</v>
      </c>
      <c r="S66" s="1">
        <v>2.42467979</v>
      </c>
      <c r="T66" s="1">
        <v>44187.42982</v>
      </c>
      <c r="U66" s="1">
        <v>44187.42968</v>
      </c>
    </row>
    <row r="67" customHeight="1" spans="1:21">
      <c r="A67" s="1">
        <v>44187.65468</v>
      </c>
      <c r="B67" s="1" t="s">
        <v>795</v>
      </c>
      <c r="C67" s="1">
        <v>44187.35535</v>
      </c>
      <c r="D67" s="1">
        <v>44187.4918</v>
      </c>
      <c r="E67" s="1" t="s">
        <v>507</v>
      </c>
      <c r="F67" s="1">
        <v>491.243</v>
      </c>
      <c r="G67" s="1" t="s">
        <v>599</v>
      </c>
      <c r="H67" s="1">
        <v>810.891</v>
      </c>
      <c r="I67" s="1" t="s">
        <v>600</v>
      </c>
      <c r="J67" s="1">
        <v>321.393</v>
      </c>
      <c r="K67" s="1" t="s">
        <v>601</v>
      </c>
      <c r="L67" s="1">
        <v>907.963</v>
      </c>
      <c r="M67" s="1">
        <v>250.1267147</v>
      </c>
      <c r="N67" s="1">
        <v>422.7943729</v>
      </c>
      <c r="O67" s="1">
        <v>1.383985908</v>
      </c>
      <c r="P67" s="1" t="s">
        <v>796</v>
      </c>
      <c r="Q67" s="1">
        <v>-78.2246122</v>
      </c>
      <c r="R67" s="1">
        <v>-484.9737598</v>
      </c>
      <c r="S67" s="1">
        <v>1.385348905</v>
      </c>
      <c r="T67" s="1">
        <v>44187.35536</v>
      </c>
      <c r="U67" s="1">
        <v>44187.35535</v>
      </c>
    </row>
    <row r="68" customHeight="1" spans="1:21">
      <c r="A68" s="1">
        <v>44187.66846</v>
      </c>
      <c r="B68" s="1" t="s">
        <v>797</v>
      </c>
      <c r="C68" s="1">
        <v>44187.52252</v>
      </c>
      <c r="D68" s="1">
        <v>44187.62162</v>
      </c>
      <c r="E68" s="1" t="s">
        <v>521</v>
      </c>
      <c r="F68" s="1">
        <v>447.301</v>
      </c>
      <c r="G68" s="1" t="s">
        <v>626</v>
      </c>
      <c r="H68" s="1">
        <v>553.648</v>
      </c>
      <c r="I68" s="1" t="s">
        <v>625</v>
      </c>
      <c r="J68" s="1">
        <v>502.791</v>
      </c>
      <c r="K68" s="1" t="s">
        <v>624</v>
      </c>
      <c r="L68" s="1">
        <v>650.142</v>
      </c>
      <c r="M68" s="1">
        <v>269.4722639</v>
      </c>
      <c r="N68" s="1">
        <v>357.0226865</v>
      </c>
      <c r="O68" s="1">
        <v>0.9075025211</v>
      </c>
      <c r="P68" s="1" t="s">
        <v>798</v>
      </c>
      <c r="Q68" s="1">
        <v>426.7298297</v>
      </c>
      <c r="R68" s="1">
        <v>-134.0874752</v>
      </c>
      <c r="S68" s="1">
        <v>0.907884555</v>
      </c>
      <c r="T68" s="1">
        <v>44187.52254</v>
      </c>
      <c r="U68" s="1">
        <v>44187.52252</v>
      </c>
    </row>
    <row r="69" customHeight="1" spans="1:21">
      <c r="A69" s="1">
        <v>44187.67403</v>
      </c>
      <c r="B69" s="1" t="s">
        <v>799</v>
      </c>
      <c r="C69" s="1">
        <v>44187.39826</v>
      </c>
      <c r="D69" s="1">
        <v>44187.66569</v>
      </c>
      <c r="E69" s="1" t="s">
        <v>520</v>
      </c>
      <c r="F69" s="1">
        <v>384.144</v>
      </c>
      <c r="G69" s="1" t="s">
        <v>682</v>
      </c>
      <c r="H69" s="1">
        <v>207.201</v>
      </c>
      <c r="I69" s="1" t="s">
        <v>619</v>
      </c>
      <c r="J69" s="1">
        <v>570.116</v>
      </c>
      <c r="K69" s="1" t="s">
        <v>620</v>
      </c>
      <c r="L69" s="1">
        <v>515.321</v>
      </c>
      <c r="M69" s="1">
        <v>190.4198584</v>
      </c>
      <c r="N69" s="1">
        <v>333.6254954</v>
      </c>
      <c r="O69" s="1">
        <v>-0.4335332243</v>
      </c>
      <c r="P69" s="1" t="s">
        <v>800</v>
      </c>
      <c r="Q69" s="1">
        <v>-365.4685749</v>
      </c>
      <c r="R69" s="1">
        <v>118.3185369</v>
      </c>
      <c r="S69" s="1">
        <v>-0.435484849</v>
      </c>
      <c r="T69" s="1">
        <v>44187.39827</v>
      </c>
      <c r="U69" s="1">
        <v>44187.39826</v>
      </c>
    </row>
    <row r="70" customHeight="1" spans="1:21">
      <c r="A70" s="1">
        <v>44187.68186</v>
      </c>
      <c r="B70" s="1" t="s">
        <v>801</v>
      </c>
      <c r="C70" s="1">
        <v>44187.38281</v>
      </c>
      <c r="D70" s="1">
        <v>44187.4657</v>
      </c>
      <c r="E70" s="1" t="s">
        <v>509</v>
      </c>
      <c r="F70" s="1">
        <v>889.68</v>
      </c>
      <c r="G70" s="1" t="s">
        <v>614</v>
      </c>
      <c r="H70" s="1">
        <v>662.023</v>
      </c>
      <c r="I70" s="1" t="s">
        <v>615</v>
      </c>
      <c r="J70" s="1">
        <v>231.573</v>
      </c>
      <c r="K70" s="1" t="s">
        <v>616</v>
      </c>
      <c r="L70" s="1">
        <v>15.482</v>
      </c>
      <c r="M70" s="1">
        <v>-745.4228116</v>
      </c>
      <c r="N70" s="1">
        <v>-328.5485336</v>
      </c>
      <c r="O70" s="1">
        <v>-358.3976503</v>
      </c>
      <c r="P70" s="1" t="s">
        <v>802</v>
      </c>
      <c r="Q70" s="1">
        <v>-116.6212038</v>
      </c>
      <c r="R70" s="1">
        <v>-816.9399358</v>
      </c>
      <c r="S70" s="1">
        <v>-358.3759176</v>
      </c>
      <c r="T70" s="1">
        <v>44187.38287</v>
      </c>
      <c r="U70" s="1">
        <v>44187.38281</v>
      </c>
    </row>
    <row r="71" customHeight="1" spans="1:21">
      <c r="A71" s="1">
        <v>44187.70423</v>
      </c>
      <c r="B71" s="1" t="s">
        <v>803</v>
      </c>
      <c r="C71" s="1">
        <v>44187.48334</v>
      </c>
      <c r="D71" s="1">
        <v>44187.58685</v>
      </c>
      <c r="E71" s="1" t="s">
        <v>700</v>
      </c>
      <c r="F71" s="1">
        <v>669.251</v>
      </c>
      <c r="G71" s="1" t="s">
        <v>630</v>
      </c>
      <c r="H71" s="1">
        <v>946.211</v>
      </c>
      <c r="I71" s="1" t="s">
        <v>629</v>
      </c>
      <c r="J71" s="1">
        <v>641.281</v>
      </c>
      <c r="K71" s="1" t="s">
        <v>632</v>
      </c>
      <c r="L71" s="1">
        <v>545.894</v>
      </c>
      <c r="M71" s="1">
        <v>1426.85099</v>
      </c>
      <c r="N71" s="1">
        <v>1.221951773</v>
      </c>
      <c r="O71" s="1">
        <v>0.7117450439</v>
      </c>
      <c r="P71" s="1" t="s">
        <v>804</v>
      </c>
      <c r="Q71" s="1">
        <v>-1422.728072</v>
      </c>
      <c r="R71" s="1">
        <v>108.3969016</v>
      </c>
      <c r="S71" s="1">
        <v>0.71302208</v>
      </c>
      <c r="T71" s="1">
        <v>44187.48334</v>
      </c>
      <c r="U71" s="1">
        <v>44187.48334</v>
      </c>
    </row>
    <row r="72" customHeight="1" spans="1:21">
      <c r="A72" s="1">
        <v>44187.71111</v>
      </c>
      <c r="B72" s="1" t="s">
        <v>805</v>
      </c>
      <c r="C72" s="1">
        <v>44187.5762</v>
      </c>
      <c r="D72" s="1">
        <v>44187.49774</v>
      </c>
      <c r="E72" s="1" t="s">
        <v>523</v>
      </c>
      <c r="F72" s="1">
        <v>402.344</v>
      </c>
      <c r="G72" s="1" t="s">
        <v>696</v>
      </c>
      <c r="H72" s="1">
        <v>504.334</v>
      </c>
      <c r="I72" s="1" t="s">
        <v>644</v>
      </c>
      <c r="J72" s="1">
        <v>530.914</v>
      </c>
      <c r="K72" s="1" t="s">
        <v>645</v>
      </c>
      <c r="L72" s="1">
        <v>249.041</v>
      </c>
      <c r="M72" s="1">
        <v>-157.402582</v>
      </c>
      <c r="N72" s="1">
        <v>370.0660781</v>
      </c>
      <c r="O72" s="1">
        <v>9.371729726</v>
      </c>
      <c r="P72" s="1" t="s">
        <v>806</v>
      </c>
      <c r="Q72" s="1">
        <v>378.3659103</v>
      </c>
      <c r="R72" s="1">
        <v>136.6049315</v>
      </c>
      <c r="S72" s="1">
        <v>9.179742675</v>
      </c>
      <c r="T72" s="1">
        <v>44187.57621</v>
      </c>
      <c r="U72" s="1">
        <v>44187.5762</v>
      </c>
    </row>
    <row r="73" customHeight="1" spans="1:21">
      <c r="A73" s="1">
        <v>44187.71648</v>
      </c>
      <c r="B73" s="1" t="s">
        <v>807</v>
      </c>
      <c r="C73" s="1">
        <v>44187.50302</v>
      </c>
      <c r="D73" s="1">
        <v>44187.48481</v>
      </c>
      <c r="E73" s="1" t="s">
        <v>525</v>
      </c>
      <c r="F73" s="1">
        <v>504.018</v>
      </c>
      <c r="G73" s="1" t="s">
        <v>639</v>
      </c>
      <c r="H73" s="1">
        <v>289.795</v>
      </c>
      <c r="I73" s="1" t="s">
        <v>640</v>
      </c>
      <c r="J73" s="1">
        <v>568.723</v>
      </c>
      <c r="K73" s="1" t="s">
        <v>641</v>
      </c>
      <c r="L73" s="1">
        <v>149.858</v>
      </c>
      <c r="M73" s="1">
        <v>-190.9842228</v>
      </c>
      <c r="N73" s="1">
        <v>466.4326082</v>
      </c>
      <c r="O73" s="1">
        <v>0.6543807673</v>
      </c>
      <c r="P73" s="1" t="s">
        <v>808</v>
      </c>
      <c r="Q73" s="1">
        <v>-379.2975824</v>
      </c>
      <c r="R73" s="1">
        <v>331.9686708</v>
      </c>
      <c r="S73" s="1">
        <v>0.655789874</v>
      </c>
      <c r="T73" s="1">
        <v>44187.50302</v>
      </c>
      <c r="U73" s="1">
        <v>44187.50302</v>
      </c>
    </row>
    <row r="74" customHeight="1" spans="1:21">
      <c r="A74" s="1">
        <v>44187.72192</v>
      </c>
      <c r="B74" s="1" t="s">
        <v>809</v>
      </c>
      <c r="C74" s="1">
        <v>44187.51831</v>
      </c>
      <c r="D74" s="1">
        <v>44187.47323</v>
      </c>
      <c r="E74" s="1" t="s">
        <v>526</v>
      </c>
      <c r="F74" s="1">
        <v>373.469</v>
      </c>
      <c r="G74" s="1" t="s">
        <v>636</v>
      </c>
      <c r="H74" s="1">
        <v>612.311</v>
      </c>
      <c r="I74" s="1" t="s">
        <v>635</v>
      </c>
      <c r="J74" s="1">
        <v>556.832</v>
      </c>
      <c r="K74" s="1" t="s">
        <v>810</v>
      </c>
      <c r="L74" s="1">
        <v>243.865</v>
      </c>
      <c r="M74" s="1">
        <v>-207.9920757</v>
      </c>
      <c r="N74" s="1">
        <v>309.9913515</v>
      </c>
      <c r="O74" s="1">
        <v>11.12240387</v>
      </c>
      <c r="P74" s="1" t="s">
        <v>811</v>
      </c>
      <c r="Q74" s="1">
        <v>-296.0114031</v>
      </c>
      <c r="R74" s="1">
        <v>227.5146079</v>
      </c>
      <c r="S74" s="1">
        <v>11.11938795</v>
      </c>
      <c r="T74" s="1">
        <v>44187.51831</v>
      </c>
      <c r="U74" s="1">
        <v>44187.51831</v>
      </c>
    </row>
    <row r="75" customHeight="1" spans="1:21">
      <c r="A75" s="1">
        <v>44187.7533</v>
      </c>
      <c r="B75" s="1" t="s">
        <v>812</v>
      </c>
      <c r="C75" s="1">
        <v>44187.65183</v>
      </c>
      <c r="D75" s="1">
        <v>44187.59695</v>
      </c>
      <c r="E75" s="1" t="s">
        <v>515</v>
      </c>
      <c r="F75" s="1">
        <v>423.343</v>
      </c>
      <c r="G75" s="1" t="s">
        <v>654</v>
      </c>
      <c r="H75" s="1">
        <v>199.084</v>
      </c>
      <c r="I75" s="1" t="s">
        <v>734</v>
      </c>
      <c r="J75" s="1">
        <v>416.942</v>
      </c>
      <c r="K75" s="1" t="s">
        <v>664</v>
      </c>
      <c r="L75" s="1">
        <v>473.116</v>
      </c>
      <c r="M75" s="1">
        <v>-410.7204087</v>
      </c>
      <c r="N75" s="1">
        <v>92.04970571</v>
      </c>
      <c r="O75" s="1">
        <v>-45.33561633</v>
      </c>
      <c r="P75" s="1" t="s">
        <v>813</v>
      </c>
      <c r="Q75" s="1">
        <v>63.4872157</v>
      </c>
      <c r="R75" s="1">
        <v>416.0937495</v>
      </c>
      <c r="S75" s="1">
        <v>-45.33526281</v>
      </c>
      <c r="T75" s="1">
        <v>44187.65184</v>
      </c>
      <c r="U75" s="1">
        <v>44187.65183</v>
      </c>
    </row>
    <row r="76" customHeight="1" spans="1:21">
      <c r="A76" s="1">
        <v>44187.75888</v>
      </c>
      <c r="B76" s="1" t="s">
        <v>814</v>
      </c>
      <c r="C76" s="1">
        <v>44187.59912</v>
      </c>
      <c r="D76" s="1">
        <v>44187.56913</v>
      </c>
      <c r="E76" s="1" t="s">
        <v>146</v>
      </c>
      <c r="F76" s="1">
        <v>478.643</v>
      </c>
      <c r="G76" s="1" t="s">
        <v>149</v>
      </c>
      <c r="H76" s="1">
        <v>457.603</v>
      </c>
      <c r="I76" s="1" t="s">
        <v>153</v>
      </c>
      <c r="J76" s="1">
        <v>618.049</v>
      </c>
      <c r="K76" s="1" t="s">
        <v>151</v>
      </c>
      <c r="L76" s="1">
        <v>272.894</v>
      </c>
      <c r="M76" s="1">
        <v>-74.57455609</v>
      </c>
      <c r="N76" s="1">
        <v>-472.7915941</v>
      </c>
      <c r="O76" s="1">
        <v>2.408130352</v>
      </c>
      <c r="P76" s="1" t="s">
        <v>815</v>
      </c>
      <c r="Q76" s="1">
        <v>235.9849155</v>
      </c>
      <c r="R76" s="1">
        <v>-416.4196393</v>
      </c>
      <c r="S76" s="1">
        <v>2.408245596</v>
      </c>
      <c r="T76" s="1">
        <v>44187.59911</v>
      </c>
      <c r="U76" s="1">
        <v>44187.59912</v>
      </c>
    </row>
    <row r="77" customHeight="1" spans="1:21">
      <c r="A77" s="1">
        <v>44187.764</v>
      </c>
      <c r="B77" s="1" t="s">
        <v>816</v>
      </c>
      <c r="C77" s="1">
        <v>44187.56595</v>
      </c>
      <c r="D77" s="1">
        <v>44187.57453</v>
      </c>
      <c r="E77" s="1" t="s">
        <v>516</v>
      </c>
      <c r="F77" s="1">
        <v>459.753</v>
      </c>
      <c r="G77" s="1" t="s">
        <v>693</v>
      </c>
      <c r="H77" s="1">
        <v>348.345</v>
      </c>
      <c r="I77" s="1" t="s">
        <v>659</v>
      </c>
      <c r="J77" s="1">
        <v>452.287</v>
      </c>
      <c r="K77" s="1" t="s">
        <v>817</v>
      </c>
      <c r="L77" s="1">
        <v>705.883</v>
      </c>
      <c r="M77" s="1">
        <v>357.0278614</v>
      </c>
      <c r="N77" s="1">
        <v>-289.722133</v>
      </c>
      <c r="O77" s="1">
        <v>1.300464604</v>
      </c>
      <c r="P77" s="1" t="s">
        <v>818</v>
      </c>
      <c r="Q77" s="1">
        <v>-454.7305011</v>
      </c>
      <c r="R77" s="1">
        <v>-67.69760225</v>
      </c>
      <c r="S77" s="1">
        <v>1.308814311</v>
      </c>
      <c r="T77" s="1">
        <v>44187.56596</v>
      </c>
      <c r="U77" s="1">
        <v>44187.56595</v>
      </c>
    </row>
    <row r="78" customHeight="1" spans="1:21">
      <c r="A78" s="1">
        <v>44208.07029</v>
      </c>
      <c r="B78" s="1" t="s">
        <v>819</v>
      </c>
      <c r="C78" s="1">
        <v>44207.93905</v>
      </c>
      <c r="D78" s="1">
        <v>44207.84429</v>
      </c>
      <c r="E78" s="1" t="s">
        <v>516</v>
      </c>
      <c r="F78" s="1">
        <v>459.743</v>
      </c>
      <c r="G78" s="1" t="s">
        <v>727</v>
      </c>
      <c r="H78" s="1">
        <v>241.229</v>
      </c>
      <c r="I78" s="1" t="s">
        <v>659</v>
      </c>
      <c r="J78" s="1">
        <v>430.93</v>
      </c>
      <c r="K78" s="1" t="s">
        <v>693</v>
      </c>
      <c r="L78" s="1">
        <v>451.579</v>
      </c>
      <c r="M78" s="1">
        <v>-49.8624356</v>
      </c>
      <c r="N78" s="1">
        <v>-452.5734836</v>
      </c>
      <c r="O78" s="1">
        <v>-63.67210888</v>
      </c>
      <c r="P78" s="1" t="s">
        <v>820</v>
      </c>
      <c r="Q78" s="1">
        <v>311.1089899</v>
      </c>
      <c r="R78" s="1">
        <v>-332.44784</v>
      </c>
      <c r="S78" s="1">
        <v>-63.67209616</v>
      </c>
      <c r="T78" s="1">
        <v>44207.93905</v>
      </c>
      <c r="U78" s="1">
        <v>44207.93927</v>
      </c>
    </row>
    <row r="79" customHeight="1" spans="1:21">
      <c r="A79" s="1">
        <v>44212.80315</v>
      </c>
      <c r="B79" s="1" t="s">
        <v>821</v>
      </c>
      <c r="C79" s="1">
        <v>44212.58677</v>
      </c>
      <c r="D79" s="1">
        <v>44212.59532</v>
      </c>
      <c r="E79" s="1" t="s">
        <v>516</v>
      </c>
      <c r="F79" s="1">
        <v>459.743</v>
      </c>
      <c r="G79" s="1" t="s">
        <v>727</v>
      </c>
      <c r="H79" s="1">
        <v>195.723</v>
      </c>
      <c r="I79" s="1" t="s">
        <v>659</v>
      </c>
      <c r="J79" s="1">
        <v>460.913</v>
      </c>
      <c r="K79" s="1" t="s">
        <v>693</v>
      </c>
      <c r="L79" s="1">
        <v>396.487</v>
      </c>
      <c r="M79" s="1">
        <v>14.01603663</v>
      </c>
      <c r="N79" s="1">
        <v>-459.5283127</v>
      </c>
      <c r="O79" s="1">
        <v>0.8250723965</v>
      </c>
      <c r="P79" s="1" t="s">
        <v>822</v>
      </c>
      <c r="Q79" s="1">
        <v>-158.1025994</v>
      </c>
      <c r="R79" s="1">
        <v>-431.7029009</v>
      </c>
      <c r="S79" s="1">
        <v>0.824600977</v>
      </c>
      <c r="T79" s="1">
        <v>44212.58675</v>
      </c>
      <c r="U79" s="1">
        <v>44212.58677</v>
      </c>
    </row>
    <row r="80" customHeight="1" spans="1:21">
      <c r="A80" s="1">
        <v>44232.09248</v>
      </c>
      <c r="B80" s="1" t="s">
        <v>823</v>
      </c>
      <c r="C80" s="1">
        <v>44231.82747</v>
      </c>
      <c r="D80" s="1">
        <v>44231.86258</v>
      </c>
      <c r="E80" s="1" t="s">
        <v>502</v>
      </c>
      <c r="F80" s="1">
        <v>437.694</v>
      </c>
      <c r="G80" s="1" t="s">
        <v>604</v>
      </c>
      <c r="H80" s="1">
        <v>610.949</v>
      </c>
      <c r="I80" s="1" t="s">
        <v>674</v>
      </c>
      <c r="J80" s="1">
        <v>681.352</v>
      </c>
      <c r="K80" s="1" t="s">
        <v>606</v>
      </c>
      <c r="L80" s="1">
        <v>304.966</v>
      </c>
      <c r="M80" s="1">
        <v>364.42984</v>
      </c>
      <c r="N80" s="1">
        <v>-242.3983911</v>
      </c>
      <c r="O80" s="1">
        <v>3.22766078</v>
      </c>
      <c r="P80" s="1" t="s">
        <v>824</v>
      </c>
      <c r="Q80" s="1">
        <v>-337.2119584</v>
      </c>
      <c r="R80" s="1">
        <v>-279.0228339</v>
      </c>
      <c r="S80" s="1">
        <v>3.225112659</v>
      </c>
      <c r="T80" s="1">
        <v>44231.82744</v>
      </c>
      <c r="U80" s="1">
        <v>44231.82747</v>
      </c>
    </row>
    <row r="81" customHeight="1" spans="1:21">
      <c r="A81" s="1">
        <v>44232.10039</v>
      </c>
      <c r="B81" s="1" t="s">
        <v>825</v>
      </c>
      <c r="C81" s="1">
        <v>44231.9076</v>
      </c>
      <c r="D81" s="1">
        <v>44231.93208</v>
      </c>
      <c r="E81" s="1" t="s">
        <v>500</v>
      </c>
      <c r="F81" s="1">
        <v>511.718</v>
      </c>
      <c r="G81" s="1" t="s">
        <v>609</v>
      </c>
      <c r="H81" s="1">
        <v>652.06</v>
      </c>
      <c r="I81" s="1" t="s">
        <v>610</v>
      </c>
      <c r="J81" s="1">
        <v>198.094</v>
      </c>
      <c r="K81" s="1" t="s">
        <v>611</v>
      </c>
      <c r="L81" s="1">
        <v>668.852</v>
      </c>
      <c r="M81" s="1">
        <v>488.5907813</v>
      </c>
      <c r="N81" s="1">
        <v>152.0876349</v>
      </c>
      <c r="O81" s="1">
        <v>1.967295529</v>
      </c>
      <c r="P81" s="1" t="s">
        <v>826</v>
      </c>
      <c r="Q81" s="1">
        <v>78.1256488</v>
      </c>
      <c r="R81" s="1">
        <v>505.7160199</v>
      </c>
      <c r="S81" s="1">
        <v>1.966946357</v>
      </c>
      <c r="T81" s="1">
        <v>44231.90756</v>
      </c>
      <c r="U81" s="1">
        <v>44231.9076</v>
      </c>
    </row>
    <row r="82" customHeight="1" spans="1:21">
      <c r="A82" s="1">
        <v>44232.10661</v>
      </c>
      <c r="B82" s="1" t="s">
        <v>827</v>
      </c>
      <c r="C82" s="1">
        <v>44231.88812</v>
      </c>
      <c r="D82" s="1">
        <v>44231.86169</v>
      </c>
      <c r="E82" s="1" t="s">
        <v>505</v>
      </c>
      <c r="F82" s="1">
        <v>507.868</v>
      </c>
      <c r="G82" s="1" t="s">
        <v>780</v>
      </c>
      <c r="H82" s="1">
        <v>800.81</v>
      </c>
      <c r="I82" s="1" t="s">
        <v>781</v>
      </c>
      <c r="J82" s="1">
        <v>250.726</v>
      </c>
      <c r="K82" s="1" t="s">
        <v>782</v>
      </c>
      <c r="L82" s="1">
        <v>390.483</v>
      </c>
      <c r="M82" s="1">
        <v>-84.41184264</v>
      </c>
      <c r="N82" s="1">
        <v>500.7928883</v>
      </c>
      <c r="O82" s="1">
        <v>3.232399443</v>
      </c>
      <c r="P82" s="1" t="s">
        <v>828</v>
      </c>
      <c r="Q82" s="1">
        <v>444.983237</v>
      </c>
      <c r="R82" s="1">
        <v>244.7650143</v>
      </c>
      <c r="S82" s="1">
        <v>3.234385605</v>
      </c>
      <c r="T82" s="1">
        <v>44231.88808</v>
      </c>
      <c r="U82" s="1">
        <v>44231.88812</v>
      </c>
    </row>
    <row r="83" customHeight="1" spans="1:21">
      <c r="A83" s="1">
        <v>44232.11191</v>
      </c>
      <c r="B83" s="1" t="s">
        <v>829</v>
      </c>
      <c r="C83" s="1">
        <v>44231.81264</v>
      </c>
      <c r="D83" s="1">
        <v>44231.94907</v>
      </c>
      <c r="E83" s="1" t="s">
        <v>507</v>
      </c>
      <c r="F83" s="1">
        <v>491.243</v>
      </c>
      <c r="G83" s="1" t="s">
        <v>599</v>
      </c>
      <c r="H83" s="1">
        <v>810.438</v>
      </c>
      <c r="I83" s="1" t="s">
        <v>600</v>
      </c>
      <c r="J83" s="1">
        <v>320.912</v>
      </c>
      <c r="K83" s="1" t="s">
        <v>601</v>
      </c>
      <c r="L83" s="1">
        <v>914.038</v>
      </c>
      <c r="M83" s="1">
        <v>236.0479739</v>
      </c>
      <c r="N83" s="1">
        <v>430.8133778</v>
      </c>
      <c r="O83" s="1">
        <v>1.427402735</v>
      </c>
      <c r="P83" s="1" t="s">
        <v>830</v>
      </c>
      <c r="Q83" s="1">
        <v>-79.5697705</v>
      </c>
      <c r="R83" s="1">
        <v>-484.7547484</v>
      </c>
      <c r="S83" s="1">
        <v>1.42919674</v>
      </c>
      <c r="T83" s="1">
        <v>44231.81263</v>
      </c>
      <c r="U83" s="1">
        <v>44231.81264</v>
      </c>
    </row>
    <row r="84" customHeight="1" spans="1:21">
      <c r="A84" s="1">
        <v>44232.11696</v>
      </c>
      <c r="B84" s="1" t="s">
        <v>831</v>
      </c>
      <c r="C84" s="1">
        <v>44231.88612</v>
      </c>
      <c r="D84" s="1">
        <v>44231.8916</v>
      </c>
      <c r="E84" s="1" t="s">
        <v>593</v>
      </c>
      <c r="F84" s="1">
        <v>612.77</v>
      </c>
      <c r="G84" s="1" t="s">
        <v>832</v>
      </c>
      <c r="H84" s="1">
        <v>449.389</v>
      </c>
      <c r="I84" s="1" t="s">
        <v>760</v>
      </c>
      <c r="J84" s="1">
        <v>363.382</v>
      </c>
      <c r="K84" s="1" t="s">
        <v>833</v>
      </c>
      <c r="L84" s="1">
        <v>401.587</v>
      </c>
      <c r="M84" s="1">
        <v>-1176.382176</v>
      </c>
      <c r="N84" s="1">
        <v>236.8310587</v>
      </c>
      <c r="O84" s="1">
        <v>4.365198548</v>
      </c>
      <c r="P84" s="1" t="s">
        <v>834</v>
      </c>
      <c r="Q84" s="1">
        <v>-295.8090543</v>
      </c>
      <c r="R84" s="1">
        <v>1162.953928</v>
      </c>
      <c r="S84" s="1">
        <v>4.364796572</v>
      </c>
      <c r="T84" s="1">
        <v>44231.8861</v>
      </c>
      <c r="U84" s="1">
        <v>44231.88612</v>
      </c>
    </row>
    <row r="85" customHeight="1" spans="1:21">
      <c r="A85" s="1">
        <v>44232.59097</v>
      </c>
      <c r="B85" s="1" t="s">
        <v>835</v>
      </c>
      <c r="C85" s="1">
        <v>44232.49476</v>
      </c>
      <c r="D85" s="1">
        <v>44232.43988</v>
      </c>
      <c r="E85" s="1" t="s">
        <v>515</v>
      </c>
      <c r="F85" s="1">
        <v>423.343</v>
      </c>
      <c r="G85" s="1" t="s">
        <v>688</v>
      </c>
      <c r="H85" s="1">
        <v>589.486</v>
      </c>
      <c r="I85" s="1" t="s">
        <v>664</v>
      </c>
      <c r="J85" s="1">
        <v>482.483</v>
      </c>
      <c r="K85" s="1" t="s">
        <v>651</v>
      </c>
      <c r="L85" s="1">
        <v>466.157</v>
      </c>
      <c r="M85" s="1">
        <v>-314.9504523</v>
      </c>
      <c r="N85" s="1">
        <v>-279.1911054</v>
      </c>
      <c r="O85" s="1">
        <v>-45.60868275</v>
      </c>
      <c r="P85" s="1" t="s">
        <v>836</v>
      </c>
      <c r="Q85" s="1">
        <v>141.975115</v>
      </c>
      <c r="R85" s="1">
        <v>396.2104856</v>
      </c>
      <c r="S85" s="1">
        <v>-45.60963904</v>
      </c>
      <c r="T85" s="1">
        <v>44232.49475</v>
      </c>
      <c r="U85" s="1">
        <v>44232.49476</v>
      </c>
    </row>
    <row r="86" customHeight="1" spans="1:21">
      <c r="A86" s="1">
        <v>44232.59678</v>
      </c>
      <c r="B86" s="1" t="s">
        <v>837</v>
      </c>
      <c r="C86" s="1">
        <v>44232.38502</v>
      </c>
      <c r="D86" s="1">
        <v>44232.3936</v>
      </c>
      <c r="E86" s="1" t="s">
        <v>516</v>
      </c>
      <c r="F86" s="1">
        <v>459.743</v>
      </c>
      <c r="G86" s="1" t="s">
        <v>693</v>
      </c>
      <c r="H86" s="1">
        <v>615.49</v>
      </c>
      <c r="I86" s="1" t="s">
        <v>659</v>
      </c>
      <c r="J86" s="1">
        <v>552.737</v>
      </c>
      <c r="K86" s="1" t="s">
        <v>817</v>
      </c>
      <c r="L86" s="1">
        <v>345.104</v>
      </c>
      <c r="M86" s="1">
        <v>247.2730952</v>
      </c>
      <c r="N86" s="1">
        <v>382.2983808</v>
      </c>
      <c r="O86" s="1">
        <v>-63.75061595</v>
      </c>
      <c r="P86" s="1" t="s">
        <v>838</v>
      </c>
      <c r="Q86" s="1">
        <v>-260.383904</v>
      </c>
      <c r="R86" s="1">
        <v>-373.49763</v>
      </c>
      <c r="S86" s="1">
        <v>-63.75146208</v>
      </c>
      <c r="T86" s="1">
        <v>44232.38505</v>
      </c>
      <c r="U86" s="1">
        <v>44232.38502</v>
      </c>
    </row>
    <row r="87" customHeight="1" spans="1:21">
      <c r="A87" s="1">
        <v>44232.60184</v>
      </c>
      <c r="B87" s="1" t="s">
        <v>839</v>
      </c>
      <c r="C87" s="1">
        <v>44232.42771</v>
      </c>
      <c r="D87" s="1">
        <v>44232.39771</v>
      </c>
      <c r="E87" s="1" t="s">
        <v>146</v>
      </c>
      <c r="F87" s="1">
        <v>478.643</v>
      </c>
      <c r="G87" s="1" t="s">
        <v>149</v>
      </c>
      <c r="H87" s="1">
        <v>495.127</v>
      </c>
      <c r="I87" s="1" t="s">
        <v>153</v>
      </c>
      <c r="J87" s="1">
        <v>717.304</v>
      </c>
      <c r="K87" s="1" t="s">
        <v>731</v>
      </c>
      <c r="L87" s="1">
        <v>652.704</v>
      </c>
      <c r="M87" s="1">
        <v>-420.7971366</v>
      </c>
      <c r="N87" s="1">
        <v>-228.0845328</v>
      </c>
      <c r="O87" s="1">
        <v>3.09855457</v>
      </c>
      <c r="P87" s="1" t="s">
        <v>840</v>
      </c>
      <c r="Q87" s="1">
        <v>474.1434712</v>
      </c>
      <c r="R87" s="1">
        <v>65.40912332</v>
      </c>
      <c r="S87" s="1">
        <v>3.100175552</v>
      </c>
      <c r="T87" s="1">
        <v>44232.4277</v>
      </c>
      <c r="U87" s="1">
        <v>44232.42771</v>
      </c>
    </row>
    <row r="88" customHeight="1" spans="1:21">
      <c r="A88" s="1">
        <v>44232.63542</v>
      </c>
      <c r="B88" s="1" t="s">
        <v>841</v>
      </c>
      <c r="C88" s="1">
        <v>44232.33373</v>
      </c>
      <c r="D88" s="1">
        <v>44232.60114</v>
      </c>
      <c r="E88" s="1" t="s">
        <v>520</v>
      </c>
      <c r="F88" s="1">
        <v>384.144</v>
      </c>
      <c r="G88" s="1" t="s">
        <v>842</v>
      </c>
      <c r="H88" s="1">
        <v>328.273</v>
      </c>
      <c r="I88" s="1" t="s">
        <v>619</v>
      </c>
      <c r="J88" s="1">
        <v>501.264</v>
      </c>
      <c r="K88" s="1" t="s">
        <v>682</v>
      </c>
      <c r="L88" s="1">
        <v>544.423</v>
      </c>
      <c r="M88" s="1">
        <v>-362.0029371</v>
      </c>
      <c r="N88" s="1">
        <v>128.5190558</v>
      </c>
      <c r="O88" s="1">
        <v>-0.99919532</v>
      </c>
      <c r="P88" s="1" t="s">
        <v>843</v>
      </c>
      <c r="Q88" s="1">
        <v>-367.3192154</v>
      </c>
      <c r="R88" s="1">
        <v>-112.438136</v>
      </c>
      <c r="S88" s="1">
        <v>-1.002343151</v>
      </c>
      <c r="T88" s="1">
        <v>44232.4277</v>
      </c>
      <c r="U88" s="1">
        <v>44232.42771</v>
      </c>
    </row>
    <row r="89" customHeight="1" spans="1:21">
      <c r="A89" s="1">
        <v>44232.6411</v>
      </c>
      <c r="B89" s="1" t="s">
        <v>844</v>
      </c>
      <c r="C89" s="1">
        <v>44232.49751</v>
      </c>
      <c r="D89" s="1">
        <v>44232.59659</v>
      </c>
      <c r="E89" s="1" t="s">
        <v>521</v>
      </c>
      <c r="F89" s="1">
        <v>447.301</v>
      </c>
      <c r="G89" s="1" t="s">
        <v>625</v>
      </c>
      <c r="H89" s="1">
        <v>615.953</v>
      </c>
      <c r="I89" s="1" t="s">
        <v>685</v>
      </c>
      <c r="J89" s="1">
        <v>664.902</v>
      </c>
      <c r="K89" s="1" t="s">
        <v>624</v>
      </c>
      <c r="L89" s="1">
        <v>337.627</v>
      </c>
      <c r="M89" s="1">
        <v>-276.5734157</v>
      </c>
      <c r="N89" s="1">
        <v>351.5451835</v>
      </c>
      <c r="O89" s="1">
        <v>1.164033493</v>
      </c>
      <c r="P89" s="1" t="s">
        <v>845</v>
      </c>
      <c r="Q89" s="1">
        <v>423.8148796</v>
      </c>
      <c r="R89" s="1">
        <v>-143.0322186</v>
      </c>
      <c r="S89" s="1">
        <v>1.163073496</v>
      </c>
      <c r="T89" s="1">
        <v>44232.49749</v>
      </c>
      <c r="U89" s="1">
        <v>44232.49751</v>
      </c>
    </row>
    <row r="90" customHeight="1" spans="1:21">
      <c r="A90" s="1">
        <v>44232.64673</v>
      </c>
      <c r="B90" s="1" t="s">
        <v>846</v>
      </c>
      <c r="C90" s="1">
        <v>44232.34945</v>
      </c>
      <c r="D90" s="1">
        <v>44232.43248</v>
      </c>
      <c r="E90" s="1" t="s">
        <v>509</v>
      </c>
      <c r="F90" s="1">
        <v>901.716</v>
      </c>
      <c r="G90" s="1" t="s">
        <v>614</v>
      </c>
      <c r="H90" s="1">
        <v>650.708</v>
      </c>
      <c r="I90" s="1" t="s">
        <v>615</v>
      </c>
      <c r="J90" s="1">
        <v>194.875</v>
      </c>
      <c r="K90" s="1" t="s">
        <v>616</v>
      </c>
      <c r="L90" s="1">
        <v>38.801</v>
      </c>
      <c r="M90" s="1">
        <v>-777.0543121</v>
      </c>
      <c r="N90" s="1">
        <v>-282.8820907</v>
      </c>
      <c r="O90" s="1">
        <v>-359.5219565</v>
      </c>
      <c r="P90" s="1" t="s">
        <v>847</v>
      </c>
      <c r="Q90" s="1">
        <v>-176.810016</v>
      </c>
      <c r="R90" s="1">
        <v>-807.8204328</v>
      </c>
      <c r="S90" s="1">
        <v>-359.5229464</v>
      </c>
      <c r="T90" s="1">
        <v>44232.34958</v>
      </c>
      <c r="U90" s="1">
        <v>44232.34945</v>
      </c>
    </row>
    <row r="91" customHeight="1" spans="1:21">
      <c r="A91" s="1">
        <v>44232.67907</v>
      </c>
      <c r="B91" s="1" t="s">
        <v>848</v>
      </c>
      <c r="C91" s="1">
        <v>44232.545</v>
      </c>
      <c r="D91" s="1">
        <v>44232.46653</v>
      </c>
      <c r="E91" s="1" t="s">
        <v>523</v>
      </c>
      <c r="F91" s="1">
        <v>402.344</v>
      </c>
      <c r="G91" s="1" t="s">
        <v>696</v>
      </c>
      <c r="H91" s="1">
        <v>610.715</v>
      </c>
      <c r="I91" s="1" t="s">
        <v>644</v>
      </c>
      <c r="J91" s="1">
        <v>386.045</v>
      </c>
      <c r="K91" s="1" t="s">
        <v>765</v>
      </c>
      <c r="L91" s="1">
        <v>208.494</v>
      </c>
      <c r="M91" s="1">
        <v>164.1035804</v>
      </c>
      <c r="N91" s="1">
        <v>367.3172324</v>
      </c>
      <c r="O91" s="1">
        <v>5.820574299</v>
      </c>
      <c r="P91" s="1" t="s">
        <v>849</v>
      </c>
      <c r="Q91" s="1">
        <v>382.8968694</v>
      </c>
      <c r="R91" s="1">
        <v>123.5456284</v>
      </c>
      <c r="S91" s="1">
        <v>5.697988853</v>
      </c>
      <c r="T91" s="1">
        <v>44232.54498</v>
      </c>
      <c r="U91" s="1">
        <v>44232.545</v>
      </c>
    </row>
    <row r="92" customHeight="1" spans="1:21">
      <c r="A92" s="1">
        <v>44232.68363</v>
      </c>
      <c r="B92" s="1" t="s">
        <v>850</v>
      </c>
      <c r="C92" s="1">
        <v>44232.47074</v>
      </c>
      <c r="D92" s="1">
        <v>44232.45252</v>
      </c>
      <c r="E92" s="1" t="s">
        <v>525</v>
      </c>
      <c r="F92" s="1">
        <v>504.018</v>
      </c>
      <c r="G92" s="1" t="s">
        <v>639</v>
      </c>
      <c r="H92" s="1">
        <v>401.392</v>
      </c>
      <c r="I92" s="1" t="s">
        <v>640</v>
      </c>
      <c r="J92" s="1">
        <v>685.209</v>
      </c>
      <c r="K92" s="1" t="s">
        <v>641</v>
      </c>
      <c r="L92" s="1">
        <v>360.462</v>
      </c>
      <c r="M92" s="1">
        <v>23.36238775</v>
      </c>
      <c r="N92" s="1">
        <v>503.4765656</v>
      </c>
      <c r="O92" s="1">
        <v>0.7154918019</v>
      </c>
      <c r="P92" s="1" t="s">
        <v>851</v>
      </c>
      <c r="Q92" s="1">
        <v>-373.8006587</v>
      </c>
      <c r="R92" s="1">
        <v>338.1468915</v>
      </c>
      <c r="S92" s="1">
        <v>0.715561777</v>
      </c>
      <c r="T92" s="1">
        <v>44232.47073</v>
      </c>
      <c r="U92" s="1">
        <v>44232.47074</v>
      </c>
    </row>
    <row r="93" customHeight="1" spans="1:21">
      <c r="A93" s="1">
        <v>44232.69012</v>
      </c>
      <c r="B93" s="1" t="s">
        <v>852</v>
      </c>
      <c r="C93" s="1">
        <v>44232.48571</v>
      </c>
      <c r="D93" s="1">
        <v>44232.44062</v>
      </c>
      <c r="E93" s="1" t="s">
        <v>526</v>
      </c>
      <c r="F93" s="1">
        <v>373.469</v>
      </c>
      <c r="G93" s="1" t="s">
        <v>635</v>
      </c>
      <c r="H93" s="1">
        <v>536.983</v>
      </c>
      <c r="I93" s="1" t="s">
        <v>810</v>
      </c>
      <c r="J93" s="1">
        <v>183.366</v>
      </c>
      <c r="K93" s="1" t="s">
        <v>636</v>
      </c>
      <c r="L93" s="1">
        <v>344.052</v>
      </c>
      <c r="M93" s="1">
        <v>136.4079182</v>
      </c>
      <c r="N93" s="1">
        <v>347.4794216</v>
      </c>
      <c r="O93" s="1">
        <v>11.41350313</v>
      </c>
      <c r="P93" s="1" t="s">
        <v>853</v>
      </c>
      <c r="Q93" s="1">
        <v>-294.1544678</v>
      </c>
      <c r="R93" s="1">
        <v>229.8964591</v>
      </c>
      <c r="S93" s="1">
        <v>11.41253924</v>
      </c>
      <c r="T93" s="1">
        <v>44232.4857</v>
      </c>
      <c r="U93" s="1">
        <v>44232.48571</v>
      </c>
    </row>
    <row r="94" customHeight="1" spans="1:21">
      <c r="A94" s="1">
        <v>44232.69713</v>
      </c>
      <c r="B94" s="1" t="s">
        <v>854</v>
      </c>
      <c r="C94" s="1">
        <v>44232.46004</v>
      </c>
      <c r="D94" s="1">
        <v>44232.56354</v>
      </c>
      <c r="E94" s="1" t="s">
        <v>629</v>
      </c>
      <c r="F94" s="1">
        <v>640.55</v>
      </c>
      <c r="G94" s="1" t="s">
        <v>630</v>
      </c>
      <c r="H94" s="1">
        <v>946.458</v>
      </c>
      <c r="I94" s="1" t="s">
        <v>631</v>
      </c>
      <c r="J94" s="1">
        <v>649.368</v>
      </c>
      <c r="K94" s="1" t="s">
        <v>632</v>
      </c>
      <c r="L94" s="1">
        <v>546.403</v>
      </c>
      <c r="M94" s="1">
        <v>1426.919107</v>
      </c>
      <c r="N94" s="1">
        <v>0.004580396367</v>
      </c>
      <c r="O94" s="1">
        <v>1.411407267</v>
      </c>
      <c r="P94" s="1" t="s">
        <v>855</v>
      </c>
      <c r="Q94" s="1">
        <v>-1244.390649</v>
      </c>
      <c r="R94" s="1">
        <v>-698.2878134</v>
      </c>
      <c r="S94" s="1">
        <v>1.409487406</v>
      </c>
      <c r="T94" s="1">
        <v>44232.46003</v>
      </c>
      <c r="U94" s="1">
        <v>44232.46004</v>
      </c>
    </row>
    <row r="95" customHeight="1" spans="1:21">
      <c r="A95" s="1">
        <v>44309.57741</v>
      </c>
      <c r="B95" s="1" t="s">
        <v>856</v>
      </c>
      <c r="C95" s="1">
        <v>44309.40546</v>
      </c>
      <c r="D95" s="1">
        <v>44309.41089</v>
      </c>
      <c r="E95" s="1" t="s">
        <v>669</v>
      </c>
      <c r="F95" s="1">
        <v>239.67</v>
      </c>
      <c r="G95" s="1" t="s">
        <v>596</v>
      </c>
      <c r="H95" s="1">
        <v>10.307</v>
      </c>
      <c r="I95" s="1" t="s">
        <v>786</v>
      </c>
      <c r="J95" s="1">
        <v>334.749</v>
      </c>
      <c r="K95" s="1" t="s">
        <v>857</v>
      </c>
      <c r="L95" s="1">
        <v>108.923</v>
      </c>
      <c r="M95" s="1">
        <v>-328.8893887</v>
      </c>
      <c r="N95" s="1">
        <v>-758.9863609</v>
      </c>
      <c r="O95" s="1">
        <v>564.160907</v>
      </c>
      <c r="P95" s="1" t="s">
        <v>858</v>
      </c>
      <c r="Q95" s="1">
        <v>610.0160873</v>
      </c>
      <c r="R95" s="1">
        <v>558.6712671</v>
      </c>
      <c r="S95" s="1">
        <v>564.166498</v>
      </c>
      <c r="T95" s="1">
        <v>44232.46003</v>
      </c>
      <c r="U95" s="1">
        <v>44232.46004</v>
      </c>
    </row>
    <row r="96" customHeight="1" spans="1:23">
      <c r="A96" s="1">
        <v>44309.59048</v>
      </c>
      <c r="B96" s="1" t="s">
        <v>859</v>
      </c>
      <c r="C96" s="1">
        <v>44309.3998</v>
      </c>
      <c r="D96" s="1">
        <v>44309.42427</v>
      </c>
      <c r="E96" s="1" t="s">
        <v>500</v>
      </c>
      <c r="F96" s="1">
        <v>511.718</v>
      </c>
      <c r="G96" s="1" t="s">
        <v>609</v>
      </c>
      <c r="H96" s="1">
        <v>396.666</v>
      </c>
      <c r="I96" s="1" t="s">
        <v>610</v>
      </c>
      <c r="J96" s="1">
        <v>727.146</v>
      </c>
      <c r="K96" s="1" t="s">
        <v>611</v>
      </c>
      <c r="L96" s="1">
        <v>991.886</v>
      </c>
      <c r="M96" s="1">
        <v>-171.8538278</v>
      </c>
      <c r="N96" s="1">
        <v>-481.8201118</v>
      </c>
      <c r="O96" s="1">
        <v>13.09927208</v>
      </c>
      <c r="P96" s="1" t="s">
        <v>860</v>
      </c>
      <c r="Q96" s="1">
        <v>-416.068011</v>
      </c>
      <c r="R96" s="1">
        <v>297.6103445</v>
      </c>
      <c r="S96" s="1">
        <v>13.10236136</v>
      </c>
      <c r="T96" s="1">
        <v>44309.39979</v>
      </c>
      <c r="U96" s="1">
        <v>44309.3998</v>
      </c>
      <c r="V96" s="1">
        <v>-8.881135727e-6</v>
      </c>
      <c r="W96" s="1">
        <v>-0.7673301268</v>
      </c>
    </row>
    <row r="97" customHeight="1" spans="1:23">
      <c r="A97" s="1">
        <v>44309.59586</v>
      </c>
      <c r="B97" s="1" t="s">
        <v>861</v>
      </c>
      <c r="C97" s="1">
        <v>44309.35968</v>
      </c>
      <c r="D97" s="1">
        <v>44309.39479</v>
      </c>
      <c r="E97" s="1" t="s">
        <v>502</v>
      </c>
      <c r="F97" s="1">
        <v>437.694</v>
      </c>
      <c r="G97" s="1" t="s">
        <v>604</v>
      </c>
      <c r="H97" s="1">
        <v>589.652</v>
      </c>
      <c r="I97" s="1" t="s">
        <v>674</v>
      </c>
      <c r="J97" s="1">
        <v>527.908</v>
      </c>
      <c r="K97" s="1" t="s">
        <v>606</v>
      </c>
      <c r="L97" s="1">
        <v>690.473</v>
      </c>
      <c r="M97" s="1">
        <v>-338.5317337</v>
      </c>
      <c r="N97" s="1">
        <v>-277.4080874</v>
      </c>
      <c r="O97" s="1">
        <v>3.948859891</v>
      </c>
      <c r="P97" s="1" t="s">
        <v>862</v>
      </c>
      <c r="Q97" s="1">
        <v>-47.979328</v>
      </c>
      <c r="R97" s="1">
        <v>-435.0384337</v>
      </c>
      <c r="S97" s="1">
        <v>3.94873656</v>
      </c>
      <c r="T97" s="1">
        <v>44309.35967</v>
      </c>
      <c r="U97" s="1">
        <v>44309.35968</v>
      </c>
      <c r="V97" s="1">
        <v>-5.536225217e-6</v>
      </c>
      <c r="W97" s="1">
        <v>-0.4783298587</v>
      </c>
    </row>
    <row r="98" customHeight="1" spans="1:23">
      <c r="A98" s="1">
        <v>44309.60086</v>
      </c>
      <c r="B98" s="1" t="s">
        <v>863</v>
      </c>
      <c r="C98" s="1">
        <v>44309.5141</v>
      </c>
      <c r="D98" s="1">
        <v>44309.44845</v>
      </c>
      <c r="E98" s="1" t="s">
        <v>507</v>
      </c>
      <c r="F98" s="1">
        <v>491.243</v>
      </c>
      <c r="G98" s="1" t="s">
        <v>599</v>
      </c>
      <c r="H98" s="1">
        <v>533.461</v>
      </c>
      <c r="I98" s="1" t="s">
        <v>600</v>
      </c>
      <c r="J98" s="1">
        <v>647.863</v>
      </c>
      <c r="K98" s="1" t="s">
        <v>601</v>
      </c>
      <c r="L98" s="1">
        <v>258.155</v>
      </c>
      <c r="M98" s="1">
        <v>345.8961147</v>
      </c>
      <c r="N98" s="1">
        <v>-348.8111231</v>
      </c>
      <c r="O98" s="1">
        <v>2.722134648</v>
      </c>
      <c r="P98" s="1" t="s">
        <v>864</v>
      </c>
      <c r="Q98" s="1">
        <v>360.2435869</v>
      </c>
      <c r="R98" s="1">
        <v>-333.9726055</v>
      </c>
      <c r="S98" s="1">
        <v>2.722672269</v>
      </c>
      <c r="T98" s="1">
        <v>44309.5141</v>
      </c>
      <c r="U98" s="1">
        <v>44309.5141</v>
      </c>
      <c r="V98" s="1">
        <v>-2.008819138e-6</v>
      </c>
      <c r="W98" s="1">
        <v>-0.1735619735</v>
      </c>
    </row>
    <row r="99" customHeight="1" spans="1:23">
      <c r="A99" s="1">
        <v>44309.60656</v>
      </c>
      <c r="B99" s="1" t="s">
        <v>865</v>
      </c>
      <c r="C99" s="1">
        <v>44309.37827</v>
      </c>
      <c r="D99" s="1">
        <v>44309.43269</v>
      </c>
      <c r="E99" s="1" t="s">
        <v>505</v>
      </c>
      <c r="F99" s="1">
        <v>498.902</v>
      </c>
      <c r="G99" s="1" t="s">
        <v>780</v>
      </c>
      <c r="H99" s="1">
        <v>824.949</v>
      </c>
      <c r="I99" s="1" t="s">
        <v>781</v>
      </c>
      <c r="J99" s="1">
        <v>471.158</v>
      </c>
      <c r="K99" s="1" t="s">
        <v>782</v>
      </c>
      <c r="L99" s="1">
        <v>14.039</v>
      </c>
      <c r="M99" s="1">
        <v>290.3921771</v>
      </c>
      <c r="N99" s="1">
        <v>404.27765</v>
      </c>
      <c r="O99" s="1">
        <v>33.69193816</v>
      </c>
      <c r="P99" s="1" t="s">
        <v>866</v>
      </c>
      <c r="Q99" s="1">
        <v>-85.6590221</v>
      </c>
      <c r="R99" s="1">
        <v>-490.3374739</v>
      </c>
      <c r="S99" s="1">
        <v>33.69411263</v>
      </c>
      <c r="T99" s="1">
        <v>44309.37828</v>
      </c>
      <c r="U99" s="1">
        <v>44309.37827</v>
      </c>
      <c r="V99" s="1">
        <v>1.49714615e-5</v>
      </c>
      <c r="W99" s="1">
        <v>1.293534273</v>
      </c>
    </row>
    <row r="100" customHeight="1" spans="1:23">
      <c r="A100" s="1">
        <v>44309.89031</v>
      </c>
      <c r="B100" s="1" t="s">
        <v>867</v>
      </c>
      <c r="C100" s="1">
        <v>44309.75637</v>
      </c>
      <c r="D100" s="1">
        <v>44309.70981</v>
      </c>
      <c r="E100" s="1" t="s">
        <v>509</v>
      </c>
      <c r="F100" s="1">
        <v>800.771</v>
      </c>
      <c r="G100" s="1" t="s">
        <v>614</v>
      </c>
      <c r="H100" s="1">
        <v>529.609</v>
      </c>
      <c r="I100" s="1" t="s">
        <v>615</v>
      </c>
      <c r="J100" s="1">
        <v>0.202</v>
      </c>
      <c r="K100" s="1" t="s">
        <v>616</v>
      </c>
      <c r="L100" s="1">
        <v>227.799</v>
      </c>
      <c r="M100" s="1">
        <v>-747.5543323</v>
      </c>
      <c r="N100" s="1">
        <v>-116.8301722</v>
      </c>
      <c r="O100" s="1">
        <v>-262.1973031</v>
      </c>
      <c r="P100" s="1" t="s">
        <v>868</v>
      </c>
      <c r="Q100" s="1">
        <v>127.4638488</v>
      </c>
      <c r="R100" s="1">
        <v>-745.815151</v>
      </c>
      <c r="S100" s="1">
        <v>-262.1976564</v>
      </c>
      <c r="T100" s="1">
        <v>44309.37828</v>
      </c>
      <c r="U100" s="1">
        <v>44309.37827</v>
      </c>
      <c r="V100" s="1">
        <v>1.49714615e-5</v>
      </c>
      <c r="W100" s="1">
        <v>1.293534273</v>
      </c>
    </row>
    <row r="101" customHeight="1" spans="1:21">
      <c r="A101" s="1">
        <v>44309.90245</v>
      </c>
      <c r="B101" s="1" t="s">
        <v>869</v>
      </c>
      <c r="C101" s="1">
        <v>44309.64351</v>
      </c>
      <c r="D101" s="1">
        <v>44309.91092</v>
      </c>
      <c r="E101" s="1" t="s">
        <v>520</v>
      </c>
      <c r="F101" s="1">
        <v>384.144</v>
      </c>
      <c r="G101" s="1" t="s">
        <v>682</v>
      </c>
      <c r="H101" s="1">
        <v>192.105</v>
      </c>
      <c r="I101" s="1" t="s">
        <v>619</v>
      </c>
      <c r="J101" s="1">
        <v>483.433</v>
      </c>
      <c r="K101" s="1" t="s">
        <v>620</v>
      </c>
      <c r="L101" s="1">
        <v>556.199</v>
      </c>
      <c r="M101" s="1">
        <v>370.7223892</v>
      </c>
      <c r="N101" s="1">
        <v>100.5908283</v>
      </c>
      <c r="O101" s="1">
        <v>3.667723782</v>
      </c>
      <c r="P101" s="1" t="s">
        <v>870</v>
      </c>
      <c r="Q101" s="1">
        <v>-369.7846921</v>
      </c>
      <c r="R101" s="1">
        <v>-103.9836368</v>
      </c>
      <c r="S101" s="1">
        <v>3.664559681</v>
      </c>
      <c r="T101" s="1">
        <v>44309.37828</v>
      </c>
      <c r="U101" s="1">
        <v>44309.37827</v>
      </c>
    </row>
    <row r="102" customHeight="1" spans="1:21">
      <c r="A102" s="1">
        <v>44309.90636</v>
      </c>
      <c r="B102" s="1" t="s">
        <v>871</v>
      </c>
      <c r="C102" s="1">
        <v>44309.8051</v>
      </c>
      <c r="D102" s="1">
        <v>44309.90418</v>
      </c>
      <c r="E102" s="1" t="s">
        <v>521</v>
      </c>
      <c r="F102" s="1">
        <v>447.301</v>
      </c>
      <c r="G102" s="1" t="s">
        <v>625</v>
      </c>
      <c r="H102" s="1">
        <v>407.59</v>
      </c>
      <c r="I102" s="1" t="s">
        <v>626</v>
      </c>
      <c r="J102" s="1">
        <v>678.764</v>
      </c>
      <c r="K102" s="1" t="s">
        <v>872</v>
      </c>
      <c r="L102" s="1">
        <v>636.973</v>
      </c>
      <c r="M102" s="1">
        <v>417.116285</v>
      </c>
      <c r="N102" s="1">
        <v>-161.5359353</v>
      </c>
      <c r="O102" s="1">
        <v>1.394827477</v>
      </c>
      <c r="P102" s="1" t="s">
        <v>873</v>
      </c>
      <c r="Q102" s="1">
        <v>423.5180877</v>
      </c>
      <c r="R102" s="1">
        <v>-143.9065563</v>
      </c>
      <c r="S102" s="1">
        <v>1.397369704</v>
      </c>
      <c r="T102" s="1">
        <v>44309.37828</v>
      </c>
      <c r="U102" s="1">
        <v>44309.37827</v>
      </c>
    </row>
    <row r="103" customHeight="1" spans="1:21">
      <c r="A103" s="1">
        <v>44309.92184</v>
      </c>
      <c r="B103" s="1" t="s">
        <v>874</v>
      </c>
      <c r="C103" s="1">
        <v>44309.75168</v>
      </c>
      <c r="D103" s="1">
        <v>44309.85518</v>
      </c>
      <c r="E103" s="1" t="s">
        <v>699</v>
      </c>
      <c r="F103" s="1">
        <v>600.946</v>
      </c>
      <c r="G103" s="1" t="s">
        <v>630</v>
      </c>
      <c r="H103" s="1">
        <v>946.089</v>
      </c>
      <c r="I103" s="1" t="s">
        <v>632</v>
      </c>
      <c r="J103" s="1">
        <v>545.775</v>
      </c>
      <c r="K103" s="1" t="s">
        <v>631</v>
      </c>
      <c r="L103" s="1">
        <v>648.551</v>
      </c>
      <c r="M103" s="1">
        <v>1426.547662</v>
      </c>
      <c r="N103" s="1">
        <v>0.9355300798</v>
      </c>
      <c r="O103" s="1">
        <v>0.9531978417</v>
      </c>
      <c r="P103" s="1" t="s">
        <v>875</v>
      </c>
      <c r="Q103" s="1">
        <v>-1312.633497</v>
      </c>
      <c r="R103" s="1">
        <v>558.5866084</v>
      </c>
      <c r="S103" s="1">
        <v>0.9554902</v>
      </c>
      <c r="T103" s="1">
        <v>44309.37828</v>
      </c>
      <c r="U103" s="1">
        <v>44309.37827</v>
      </c>
    </row>
    <row r="104" customHeight="1" spans="1:21">
      <c r="A104" s="1">
        <v>44309.92607</v>
      </c>
      <c r="B104" s="1" t="s">
        <v>876</v>
      </c>
      <c r="C104" s="1">
        <v>44309.83457</v>
      </c>
      <c r="D104" s="1">
        <v>44309.75611</v>
      </c>
      <c r="E104" s="1" t="s">
        <v>523</v>
      </c>
      <c r="F104" s="1">
        <v>402.344</v>
      </c>
      <c r="G104" s="1" t="s">
        <v>645</v>
      </c>
      <c r="H104" s="1">
        <v>199.173</v>
      </c>
      <c r="I104" s="1" t="s">
        <v>644</v>
      </c>
      <c r="J104" s="1">
        <v>485.687</v>
      </c>
      <c r="K104" s="1" t="s">
        <v>696</v>
      </c>
      <c r="L104" s="1">
        <v>549.217</v>
      </c>
      <c r="M104" s="1">
        <v>-56.57194815</v>
      </c>
      <c r="N104" s="1">
        <v>398.1309978</v>
      </c>
      <c r="O104" s="1">
        <v>-7.626215796</v>
      </c>
      <c r="P104" s="1" t="s">
        <v>877</v>
      </c>
      <c r="Q104" s="1">
        <v>384.2127838</v>
      </c>
      <c r="R104" s="1">
        <v>119.2557761</v>
      </c>
      <c r="S104" s="1">
        <v>-8.037993516</v>
      </c>
      <c r="T104" s="1">
        <v>44309.37828</v>
      </c>
      <c r="U104" s="1">
        <v>44309.37827</v>
      </c>
    </row>
    <row r="105" customHeight="1" spans="1:21">
      <c r="A105" s="1">
        <v>44309.92964</v>
      </c>
      <c r="B105" s="1" t="s">
        <v>878</v>
      </c>
      <c r="C105" s="1">
        <v>44309.75857</v>
      </c>
      <c r="D105" s="1">
        <v>44309.74035</v>
      </c>
      <c r="E105" s="1" t="s">
        <v>525</v>
      </c>
      <c r="F105" s="1">
        <v>504.018</v>
      </c>
      <c r="G105" s="1" t="s">
        <v>639</v>
      </c>
      <c r="H105" s="1">
        <v>805.956</v>
      </c>
      <c r="I105" s="1" t="s">
        <v>640</v>
      </c>
      <c r="J105" s="1">
        <v>638.238</v>
      </c>
      <c r="K105" s="1" t="s">
        <v>641</v>
      </c>
      <c r="L105" s="1">
        <v>996.217</v>
      </c>
      <c r="M105" s="1">
        <v>183.8176408</v>
      </c>
      <c r="N105" s="1">
        <v>-469.3025419</v>
      </c>
      <c r="O105" s="1">
        <v>0.9985178189</v>
      </c>
      <c r="P105" s="1" t="s">
        <v>879</v>
      </c>
      <c r="Q105" s="1">
        <v>-371.6553266</v>
      </c>
      <c r="R105" s="1">
        <v>340.5029614</v>
      </c>
      <c r="S105" s="1">
        <v>0.999246827</v>
      </c>
      <c r="T105" s="1">
        <v>44309.37828</v>
      </c>
      <c r="U105" s="1">
        <v>44309.37827</v>
      </c>
    </row>
    <row r="106" customHeight="1" spans="1:21">
      <c r="A106" s="1">
        <v>44309.93408</v>
      </c>
      <c r="B106" s="1" t="s">
        <v>880</v>
      </c>
      <c r="C106" s="1">
        <v>44309.7734</v>
      </c>
      <c r="D106" s="1">
        <v>44309.72831</v>
      </c>
      <c r="E106" s="1" t="s">
        <v>526</v>
      </c>
      <c r="F106" s="1">
        <v>373.469</v>
      </c>
      <c r="G106" s="1" t="s">
        <v>635</v>
      </c>
      <c r="H106" s="1">
        <v>417.183</v>
      </c>
      <c r="I106" s="1" t="s">
        <v>810</v>
      </c>
      <c r="J106" s="1">
        <v>373.136</v>
      </c>
      <c r="K106" s="1" t="s">
        <v>636</v>
      </c>
      <c r="L106" s="1">
        <v>14.518</v>
      </c>
      <c r="M106" s="1">
        <v>364.1999413</v>
      </c>
      <c r="N106" s="1">
        <v>81.92054192</v>
      </c>
      <c r="O106" s="1">
        <v>11.24446926</v>
      </c>
      <c r="P106" s="1" t="s">
        <v>881</v>
      </c>
      <c r="Q106" s="1">
        <v>-288.6166948</v>
      </c>
      <c r="R106" s="1">
        <v>236.8207814</v>
      </c>
      <c r="S106" s="1">
        <v>11.24067091</v>
      </c>
      <c r="T106" s="1">
        <v>44309.37828</v>
      </c>
      <c r="U106" s="1">
        <v>44309.37827</v>
      </c>
    </row>
    <row r="107" customHeight="1" spans="1:21">
      <c r="A107" s="1">
        <v>44312.24586</v>
      </c>
      <c r="B107" s="1" t="s">
        <v>882</v>
      </c>
      <c r="C107" s="1">
        <v>44312.19233</v>
      </c>
      <c r="D107" s="1">
        <v>44312.13745</v>
      </c>
      <c r="E107" s="1" t="s">
        <v>515</v>
      </c>
      <c r="F107" s="1">
        <v>423.343</v>
      </c>
      <c r="G107" s="1" t="s">
        <v>650</v>
      </c>
      <c r="H107" s="1">
        <v>505.62</v>
      </c>
      <c r="I107" s="1" t="s">
        <v>688</v>
      </c>
      <c r="J107" s="1">
        <v>427.564</v>
      </c>
      <c r="K107" s="1" t="s">
        <v>649</v>
      </c>
      <c r="L107" s="1">
        <v>568.896</v>
      </c>
      <c r="M107" s="1">
        <v>420.0773903</v>
      </c>
      <c r="N107" s="1">
        <v>27.84624617</v>
      </c>
      <c r="O107" s="1">
        <v>-44.63462379</v>
      </c>
      <c r="P107" s="1" t="s">
        <v>883</v>
      </c>
      <c r="Q107" s="1">
        <v>142.5993822</v>
      </c>
      <c r="R107" s="1">
        <v>396.0980705</v>
      </c>
      <c r="S107" s="1">
        <v>-44.62796149</v>
      </c>
      <c r="T107" s="1">
        <v>44309.37828</v>
      </c>
      <c r="U107" s="1">
        <v>44309.37827</v>
      </c>
    </row>
    <row r="108" customHeight="1" spans="1:21">
      <c r="A108" s="1">
        <v>44312.25024</v>
      </c>
      <c r="B108" s="1" t="s">
        <v>884</v>
      </c>
      <c r="C108" s="1">
        <v>44312.13284</v>
      </c>
      <c r="D108" s="1">
        <v>44312.10284</v>
      </c>
      <c r="E108" s="1" t="s">
        <v>146</v>
      </c>
      <c r="F108" s="1">
        <v>478.643</v>
      </c>
      <c r="G108" s="1" t="s">
        <v>151</v>
      </c>
      <c r="H108" s="1">
        <v>633.084</v>
      </c>
      <c r="I108" s="1" t="s">
        <v>746</v>
      </c>
      <c r="J108" s="1">
        <v>477.375</v>
      </c>
      <c r="K108" s="1" t="s">
        <v>153</v>
      </c>
      <c r="L108" s="1">
        <v>373.014</v>
      </c>
      <c r="M108" s="1">
        <v>430.603356</v>
      </c>
      <c r="N108" s="1">
        <v>208.9813082</v>
      </c>
      <c r="O108" s="1">
        <v>2.50763318</v>
      </c>
      <c r="P108" s="1" t="s">
        <v>885</v>
      </c>
      <c r="Q108" s="1">
        <v>214.6722881</v>
      </c>
      <c r="R108" s="1">
        <v>-427.7961108</v>
      </c>
      <c r="S108" s="1">
        <v>2.508423674</v>
      </c>
      <c r="T108" s="1">
        <v>44309.37828</v>
      </c>
      <c r="U108" s="1">
        <v>44309.37827</v>
      </c>
    </row>
    <row r="109" customHeight="1" spans="1:21">
      <c r="A109" s="1">
        <v>44312.25494</v>
      </c>
      <c r="B109" s="1" t="s">
        <v>886</v>
      </c>
      <c r="C109" s="1">
        <v>44312.09879</v>
      </c>
      <c r="D109" s="1">
        <v>44312.10737</v>
      </c>
      <c r="E109" s="1" t="s">
        <v>516</v>
      </c>
      <c r="F109" s="1">
        <v>459.743</v>
      </c>
      <c r="G109" s="1" t="s">
        <v>749</v>
      </c>
      <c r="H109" s="1">
        <v>502.632</v>
      </c>
      <c r="I109" s="1" t="s">
        <v>658</v>
      </c>
      <c r="J109" s="1">
        <v>323.909</v>
      </c>
      <c r="K109" s="1" t="s">
        <v>728</v>
      </c>
      <c r="L109" s="1">
        <v>428.163</v>
      </c>
      <c r="M109" s="1">
        <v>297.0430611</v>
      </c>
      <c r="N109" s="1">
        <v>350.8926198</v>
      </c>
      <c r="O109" s="1">
        <v>1.514298564</v>
      </c>
      <c r="P109" s="1" t="s">
        <v>887</v>
      </c>
      <c r="Q109" s="1">
        <v>-456.6110983</v>
      </c>
      <c r="R109" s="1">
        <v>-53.55855532</v>
      </c>
      <c r="S109" s="1">
        <v>1.514197188</v>
      </c>
      <c r="T109" s="1">
        <v>44309.37828</v>
      </c>
      <c r="U109" s="1">
        <v>44309.37827</v>
      </c>
    </row>
    <row r="110" customHeight="1" spans="1:21">
      <c r="A110" s="1">
        <v>44511.57957</v>
      </c>
      <c r="B110" s="1" t="s">
        <v>888</v>
      </c>
      <c r="C110" s="1">
        <v>44511.34137</v>
      </c>
      <c r="D110" s="1">
        <v>44511.42442</v>
      </c>
      <c r="E110" s="1" t="s">
        <v>615</v>
      </c>
      <c r="F110" s="1">
        <v>229.398</v>
      </c>
      <c r="G110" s="1" t="s">
        <v>614</v>
      </c>
      <c r="H110" s="1">
        <v>662.396</v>
      </c>
      <c r="I110" s="1" t="s">
        <v>616</v>
      </c>
      <c r="J110" s="1">
        <v>1.541</v>
      </c>
      <c r="K110" s="1" t="s">
        <v>679</v>
      </c>
      <c r="L110" s="1">
        <v>949.443</v>
      </c>
      <c r="M110" s="1">
        <v>-772.5561798</v>
      </c>
      <c r="N110" s="1">
        <v>-322.7606273</v>
      </c>
      <c r="O110" s="1">
        <v>-359.7881474</v>
      </c>
      <c r="P110" s="1" t="s">
        <v>889</v>
      </c>
      <c r="Q110" s="1">
        <v>5.395875201</v>
      </c>
      <c r="R110" s="1">
        <v>837.1891672</v>
      </c>
      <c r="S110" s="1">
        <v>-359.7892744</v>
      </c>
      <c r="T110" s="1">
        <v>44511.3414</v>
      </c>
      <c r="U110" s="1">
        <v>44511.34137</v>
      </c>
    </row>
    <row r="111" customHeight="1" spans="1:21">
      <c r="A111" s="1">
        <v>44511.58542</v>
      </c>
      <c r="B111" s="1" t="s">
        <v>890</v>
      </c>
      <c r="C111" s="1">
        <v>44511.28333</v>
      </c>
      <c r="D111" s="1">
        <v>44511.55078</v>
      </c>
      <c r="E111" s="1" t="s">
        <v>891</v>
      </c>
      <c r="F111" s="1">
        <v>198.852</v>
      </c>
      <c r="G111" s="1" t="s">
        <v>892</v>
      </c>
      <c r="H111" s="1">
        <v>286.541</v>
      </c>
      <c r="I111" s="1" t="s">
        <v>682</v>
      </c>
      <c r="J111" s="1">
        <v>336.085</v>
      </c>
      <c r="K111" s="1" t="s">
        <v>842</v>
      </c>
      <c r="L111" s="1">
        <v>347.962</v>
      </c>
      <c r="M111" s="1">
        <v>-36.34427826</v>
      </c>
      <c r="N111" s="1">
        <v>382.4160568</v>
      </c>
      <c r="O111" s="1">
        <v>-1.999395765</v>
      </c>
      <c r="P111" s="1" t="s">
        <v>893</v>
      </c>
      <c r="Q111" s="1">
        <v>-368.1227601</v>
      </c>
      <c r="R111" s="1">
        <v>-109.7507696</v>
      </c>
      <c r="S111" s="1">
        <v>-2.001304466</v>
      </c>
      <c r="T111" s="1">
        <v>44511.28336</v>
      </c>
      <c r="U111" s="1">
        <v>44511.28344</v>
      </c>
    </row>
    <row r="112" customHeight="1" spans="1:21">
      <c r="A112" s="1">
        <v>44511.58959</v>
      </c>
      <c r="B112" s="1" t="s">
        <v>894</v>
      </c>
      <c r="C112" s="1">
        <v>44511.44621</v>
      </c>
      <c r="D112" s="1">
        <v>44511.54533</v>
      </c>
      <c r="E112" s="1" t="s">
        <v>625</v>
      </c>
      <c r="F112" s="1">
        <v>445.203</v>
      </c>
      <c r="G112" s="1" t="s">
        <v>685</v>
      </c>
      <c r="H112" s="1">
        <v>612.26</v>
      </c>
      <c r="I112" s="1" t="s">
        <v>626</v>
      </c>
      <c r="J112" s="1">
        <v>631.366</v>
      </c>
      <c r="K112" s="1" t="s">
        <v>624</v>
      </c>
      <c r="L112" s="1">
        <v>716.099</v>
      </c>
      <c r="M112" s="1">
        <v>418.8086952</v>
      </c>
      <c r="N112" s="1">
        <v>157.0801453</v>
      </c>
      <c r="O112" s="1">
        <v>0.3684663626</v>
      </c>
      <c r="P112" s="1" t="s">
        <v>895</v>
      </c>
      <c r="Q112" s="1">
        <v>422.92802</v>
      </c>
      <c r="R112" s="1">
        <v>-145.6252673</v>
      </c>
      <c r="S112" s="1">
        <v>0.369003936</v>
      </c>
      <c r="T112" s="1">
        <v>44511.44625</v>
      </c>
      <c r="U112" s="1">
        <v>44511.44634</v>
      </c>
    </row>
    <row r="113" customHeight="1" spans="1:21">
      <c r="A113" s="1">
        <v>44511.59879</v>
      </c>
      <c r="B113" s="1" t="s">
        <v>896</v>
      </c>
      <c r="C113" s="1">
        <v>44511.39728</v>
      </c>
      <c r="E113" s="1" t="s">
        <v>897</v>
      </c>
      <c r="F113" s="1">
        <v>1.456</v>
      </c>
      <c r="G113" s="1" t="s">
        <v>334</v>
      </c>
      <c r="H113" s="1">
        <v>148.513</v>
      </c>
      <c r="I113" s="1" t="s">
        <v>898</v>
      </c>
      <c r="J113" s="1">
        <v>884.482</v>
      </c>
      <c r="K113" s="1" t="s">
        <v>899</v>
      </c>
      <c r="L113" s="1">
        <v>888.551</v>
      </c>
      <c r="M113" s="1">
        <v>562.7977298</v>
      </c>
      <c r="N113" s="1">
        <v>546.240169</v>
      </c>
      <c r="O113" s="1">
        <v>808.3721184</v>
      </c>
      <c r="P113" s="1" t="s">
        <v>900</v>
      </c>
      <c r="Q113" s="1">
        <v>-542.7871119</v>
      </c>
      <c r="R113" s="1">
        <v>566.1297326</v>
      </c>
      <c r="S113" s="1">
        <v>808.3723997</v>
      </c>
      <c r="T113" s="1">
        <v>44511.39731</v>
      </c>
      <c r="U113" s="1">
        <v>44511.39745</v>
      </c>
    </row>
    <row r="114" customHeight="1" spans="1:21">
      <c r="A114" s="1">
        <v>44511.60489</v>
      </c>
      <c r="B114" s="1" t="s">
        <v>901</v>
      </c>
      <c r="C114" s="1">
        <v>44511.47098</v>
      </c>
      <c r="D114" s="1">
        <v>44511.47098</v>
      </c>
      <c r="E114" s="1" t="s">
        <v>902</v>
      </c>
      <c r="F114" s="1">
        <v>295.223</v>
      </c>
      <c r="G114" s="1" t="s">
        <v>903</v>
      </c>
      <c r="H114" s="1">
        <v>261.362</v>
      </c>
      <c r="I114" s="1" t="s">
        <v>904</v>
      </c>
      <c r="J114" s="1">
        <v>443.255</v>
      </c>
      <c r="K114" s="1" t="s">
        <v>905</v>
      </c>
      <c r="L114" s="1">
        <v>395.391</v>
      </c>
      <c r="M114" s="1">
        <v>-8.604120481</v>
      </c>
      <c r="N114" s="1">
        <v>-402.2133254</v>
      </c>
      <c r="O114" s="1">
        <v>5.099628051</v>
      </c>
      <c r="P114" s="1" t="s">
        <v>906</v>
      </c>
      <c r="Q114" s="1">
        <v>382.4249351</v>
      </c>
      <c r="R114" s="1">
        <v>125.0115356</v>
      </c>
      <c r="S114" s="1">
        <v>5.098576621</v>
      </c>
      <c r="T114" s="1">
        <v>44511.47099</v>
      </c>
      <c r="U114" s="1">
        <v>44511.47111</v>
      </c>
    </row>
    <row r="115" customHeight="1" spans="1:21">
      <c r="A115" s="1">
        <v>44511.60972</v>
      </c>
      <c r="B115" s="1" t="s">
        <v>907</v>
      </c>
      <c r="C115" s="1">
        <v>44511.40774</v>
      </c>
      <c r="D115" s="1">
        <v>44511.40774</v>
      </c>
      <c r="E115" s="1" t="s">
        <v>526</v>
      </c>
      <c r="F115" s="1">
        <v>373.465</v>
      </c>
      <c r="G115" s="1" t="s">
        <v>636</v>
      </c>
      <c r="H115" s="1">
        <v>239.658</v>
      </c>
      <c r="I115" s="1" t="s">
        <v>810</v>
      </c>
      <c r="J115" s="1">
        <v>235.821</v>
      </c>
      <c r="K115" s="1" t="s">
        <v>635</v>
      </c>
      <c r="L115" s="1">
        <v>511.267</v>
      </c>
      <c r="M115" s="1">
        <v>235.1987958</v>
      </c>
      <c r="N115" s="1">
        <v>290.0993178</v>
      </c>
      <c r="O115" s="1">
        <v>-0.4195576925</v>
      </c>
      <c r="P115" s="1" t="s">
        <v>908</v>
      </c>
      <c r="Q115" s="1">
        <v>-280.6006026</v>
      </c>
      <c r="R115" s="1">
        <v>246.5174863</v>
      </c>
      <c r="S115" s="1">
        <v>-0.422577487</v>
      </c>
      <c r="T115" s="1">
        <v>44511.40777</v>
      </c>
      <c r="U115" s="1">
        <v>44511.40774</v>
      </c>
    </row>
    <row r="116" customHeight="1" spans="1:21">
      <c r="A116" s="1">
        <v>44511.62007</v>
      </c>
      <c r="B116" s="1" t="s">
        <v>878</v>
      </c>
      <c r="C116" s="1">
        <v>44511.49112</v>
      </c>
      <c r="D116" s="1">
        <v>44511.49573</v>
      </c>
      <c r="E116" s="1" t="s">
        <v>525</v>
      </c>
      <c r="F116" s="1">
        <v>490.159</v>
      </c>
      <c r="G116" s="1" t="s">
        <v>641</v>
      </c>
      <c r="H116" s="1">
        <v>937.422</v>
      </c>
      <c r="I116" s="1" t="s">
        <v>639</v>
      </c>
      <c r="J116" s="1">
        <v>752.033</v>
      </c>
      <c r="K116" s="1" t="s">
        <v>640</v>
      </c>
      <c r="L116" s="1">
        <v>520.538</v>
      </c>
      <c r="M116" s="1">
        <v>1.215918156</v>
      </c>
      <c r="N116" s="1">
        <v>-490.1573762</v>
      </c>
      <c r="O116" s="1">
        <v>0.6461435286</v>
      </c>
      <c r="P116" s="1" t="s">
        <v>909</v>
      </c>
      <c r="Q116" s="1">
        <v>1.2089458</v>
      </c>
      <c r="R116" s="1">
        <v>-490.1121059</v>
      </c>
      <c r="S116" s="1">
        <v>0.646236562</v>
      </c>
      <c r="T116" s="1">
        <v>44511.40777</v>
      </c>
      <c r="U116" s="1">
        <v>44511.40774</v>
      </c>
    </row>
    <row r="117" customHeight="1" spans="1:21">
      <c r="A117" s="1">
        <v>44514.57098</v>
      </c>
      <c r="B117" s="1" t="s">
        <v>910</v>
      </c>
      <c r="C117" s="1">
        <v>44514.37877</v>
      </c>
      <c r="D117" s="1">
        <v>44514.37877</v>
      </c>
      <c r="E117" s="1" t="s">
        <v>594</v>
      </c>
      <c r="F117" s="1">
        <v>903.405</v>
      </c>
      <c r="G117" s="1" t="s">
        <v>593</v>
      </c>
      <c r="H117" s="1">
        <v>819.915</v>
      </c>
      <c r="I117" s="1" t="s">
        <v>595</v>
      </c>
      <c r="J117" s="1">
        <v>936.777</v>
      </c>
      <c r="K117" s="1" t="s">
        <v>669</v>
      </c>
      <c r="L117" s="1">
        <v>1.97</v>
      </c>
      <c r="M117" s="1">
        <v>-506.9335066</v>
      </c>
      <c r="N117" s="1">
        <v>-901.9588889</v>
      </c>
      <c r="O117" s="1">
        <v>497.4727192</v>
      </c>
      <c r="P117" s="1" t="s">
        <v>911</v>
      </c>
      <c r="Q117" s="1">
        <v>882.017062</v>
      </c>
      <c r="R117" s="1">
        <v>-540.8871653</v>
      </c>
      <c r="S117" s="1">
        <v>497.4721571</v>
      </c>
      <c r="T117" s="1">
        <v>44514.37882</v>
      </c>
      <c r="U117" s="1">
        <v>44514.37888</v>
      </c>
    </row>
    <row r="118" customHeight="1" spans="1:21">
      <c r="A118" s="1">
        <v>44514.57695</v>
      </c>
      <c r="B118" s="1" t="s">
        <v>912</v>
      </c>
      <c r="C118" s="1">
        <v>44514.30617</v>
      </c>
      <c r="D118" s="1">
        <v>44514.53575</v>
      </c>
      <c r="E118" s="1" t="s">
        <v>500</v>
      </c>
      <c r="F118" s="1">
        <v>500.465</v>
      </c>
      <c r="G118" s="1" t="s">
        <v>611</v>
      </c>
      <c r="H118" s="1">
        <v>769.64</v>
      </c>
      <c r="I118" s="1" t="s">
        <v>609</v>
      </c>
      <c r="J118" s="1">
        <v>585.545</v>
      </c>
      <c r="K118" s="1" t="s">
        <v>610</v>
      </c>
      <c r="L118" s="1">
        <v>174.307</v>
      </c>
      <c r="M118" s="1">
        <v>500.4645029</v>
      </c>
      <c r="N118" s="1">
        <v>-0.5667758278</v>
      </c>
      <c r="O118" s="1">
        <v>-0.7383320975</v>
      </c>
      <c r="P118" s="1" t="s">
        <v>913</v>
      </c>
      <c r="Q118" s="1">
        <v>-452.4415944</v>
      </c>
      <c r="R118" s="1">
        <v>-213.9200507</v>
      </c>
      <c r="S118" s="1">
        <v>-0.737778591</v>
      </c>
      <c r="T118" s="1">
        <v>44514.31847</v>
      </c>
      <c r="U118" s="1">
        <v>44514.30617</v>
      </c>
    </row>
    <row r="119" customHeight="1" spans="1:21">
      <c r="A119" s="1">
        <v>44514.5795</v>
      </c>
      <c r="B119" s="1" t="s">
        <v>914</v>
      </c>
      <c r="C119" s="1">
        <v>44514.30219</v>
      </c>
      <c r="D119" s="1">
        <v>44514.41052</v>
      </c>
      <c r="E119" s="1" t="s">
        <v>502</v>
      </c>
      <c r="F119" s="1">
        <v>437.689</v>
      </c>
      <c r="G119" s="1" t="s">
        <v>724</v>
      </c>
      <c r="H119" s="1">
        <v>500.985</v>
      </c>
      <c r="I119" s="1" t="s">
        <v>604</v>
      </c>
      <c r="J119" s="1">
        <v>440.33</v>
      </c>
      <c r="K119" s="1" t="s">
        <v>674</v>
      </c>
      <c r="L119" s="1">
        <v>307.289</v>
      </c>
      <c r="M119" s="1">
        <v>-414.1422771</v>
      </c>
      <c r="N119" s="1">
        <v>141.6199296</v>
      </c>
      <c r="O119" s="1">
        <v>0.7683248691</v>
      </c>
      <c r="P119" s="1" t="s">
        <v>915</v>
      </c>
      <c r="Q119" s="1">
        <v>-52.139076</v>
      </c>
      <c r="R119" s="1">
        <v>-434.572661</v>
      </c>
      <c r="S119" s="1">
        <v>0.7674345</v>
      </c>
      <c r="T119" s="1">
        <v>44514.30219</v>
      </c>
      <c r="U119" s="1">
        <v>44514.30219</v>
      </c>
    </row>
    <row r="120" customHeight="1" spans="1:21">
      <c r="A120" s="1">
        <v>44514.58278</v>
      </c>
      <c r="B120" s="1" t="s">
        <v>916</v>
      </c>
      <c r="C120" s="1">
        <v>44514.45356</v>
      </c>
      <c r="D120" s="1">
        <v>44514.45356</v>
      </c>
      <c r="E120" s="1" t="s">
        <v>507</v>
      </c>
      <c r="F120" s="1">
        <v>491.239</v>
      </c>
      <c r="G120" s="1" t="s">
        <v>601</v>
      </c>
      <c r="H120" s="1">
        <v>706.745</v>
      </c>
      <c r="I120" s="1" t="s">
        <v>599</v>
      </c>
      <c r="J120" s="1">
        <v>349.844</v>
      </c>
      <c r="K120" s="1" t="s">
        <v>600</v>
      </c>
      <c r="L120" s="1">
        <v>709.548</v>
      </c>
      <c r="M120" s="1">
        <v>-479.6628662</v>
      </c>
      <c r="N120" s="1">
        <v>-106.0094399</v>
      </c>
      <c r="O120" s="1">
        <v>0.6579946746</v>
      </c>
      <c r="P120" s="1" t="s">
        <v>917</v>
      </c>
      <c r="Q120" s="1">
        <v>363.3001607</v>
      </c>
      <c r="R120" s="1">
        <v>-330.6495136</v>
      </c>
      <c r="S120" s="1">
        <v>0.658649531</v>
      </c>
      <c r="T120" s="1">
        <v>44514.45358</v>
      </c>
      <c r="U120" s="1">
        <v>44514.45356</v>
      </c>
    </row>
    <row r="121" customHeight="1" spans="1:21">
      <c r="A121" s="1">
        <v>44514.58623</v>
      </c>
      <c r="B121" s="1" t="s">
        <v>918</v>
      </c>
      <c r="C121" s="1">
        <v>44514.35526</v>
      </c>
      <c r="D121" s="1">
        <v>44514.35526</v>
      </c>
      <c r="E121" s="1" t="s">
        <v>505</v>
      </c>
      <c r="F121" s="1">
        <v>507.864</v>
      </c>
      <c r="G121" s="1" t="s">
        <v>782</v>
      </c>
      <c r="H121" s="1">
        <v>845.403</v>
      </c>
      <c r="I121" s="1" t="s">
        <v>780</v>
      </c>
      <c r="J121" s="1">
        <v>448.358</v>
      </c>
      <c r="K121" s="1" t="s">
        <v>781</v>
      </c>
      <c r="L121" s="1">
        <v>835.376</v>
      </c>
      <c r="M121" s="1">
        <v>267.7729606</v>
      </c>
      <c r="N121" s="1">
        <v>-431.5307879</v>
      </c>
      <c r="O121" s="1">
        <v>-0.9696695799</v>
      </c>
      <c r="P121" s="1" t="s">
        <v>919</v>
      </c>
      <c r="Q121" s="1">
        <v>53.8235898</v>
      </c>
      <c r="R121" s="1">
        <v>505.003335</v>
      </c>
      <c r="S121" s="1">
        <v>-0.977538029</v>
      </c>
      <c r="T121" s="1">
        <v>44514.35521</v>
      </c>
      <c r="U121" s="1">
        <v>44514.35526</v>
      </c>
    </row>
    <row r="122" customHeight="1" spans="1:21">
      <c r="A122" s="1">
        <v>44514.5984</v>
      </c>
      <c r="B122" s="1" t="s">
        <v>920</v>
      </c>
      <c r="C122" s="1">
        <v>44514.50772</v>
      </c>
      <c r="D122" s="1">
        <v>44514.50772</v>
      </c>
      <c r="E122" s="1" t="s">
        <v>688</v>
      </c>
      <c r="F122" s="1">
        <v>539.945</v>
      </c>
      <c r="G122" s="1" t="s">
        <v>654</v>
      </c>
      <c r="H122" s="1">
        <v>369.373</v>
      </c>
      <c r="I122" s="1" t="s">
        <v>649</v>
      </c>
      <c r="J122" s="1">
        <v>420.56</v>
      </c>
      <c r="K122" s="1" t="s">
        <v>921</v>
      </c>
      <c r="L122" s="1">
        <v>634.804</v>
      </c>
      <c r="M122" s="1">
        <v>-254.2534792</v>
      </c>
      <c r="N122" s="1">
        <v>-334.4082979</v>
      </c>
      <c r="O122" s="1">
        <v>52.3998938</v>
      </c>
      <c r="P122" s="1" t="s">
        <v>922</v>
      </c>
      <c r="Q122" s="1">
        <v>211.0878533</v>
      </c>
      <c r="R122" s="1">
        <v>363.1978283</v>
      </c>
      <c r="S122" s="1">
        <v>52.39924613</v>
      </c>
      <c r="T122" s="1">
        <v>44514.50773</v>
      </c>
      <c r="U122" s="1">
        <v>44514.50772</v>
      </c>
    </row>
    <row r="123" customHeight="1" spans="1:21">
      <c r="A123" s="1">
        <v>44514.6029</v>
      </c>
      <c r="B123" s="1" t="s">
        <v>923</v>
      </c>
      <c r="C123" s="1">
        <v>44514.44277</v>
      </c>
      <c r="D123" s="1">
        <v>44514.36694</v>
      </c>
      <c r="E123" s="1" t="s">
        <v>149</v>
      </c>
      <c r="F123" s="1">
        <v>458.015</v>
      </c>
      <c r="G123" s="1" t="s">
        <v>731</v>
      </c>
      <c r="H123" s="1">
        <v>453.15</v>
      </c>
      <c r="I123" s="1" t="s">
        <v>924</v>
      </c>
      <c r="J123" s="1">
        <v>597.632</v>
      </c>
      <c r="K123" s="1" t="s">
        <v>153</v>
      </c>
      <c r="L123" s="1">
        <v>641.709</v>
      </c>
      <c r="M123" s="1">
        <v>-149.8954296</v>
      </c>
      <c r="N123" s="1">
        <v>-454.5779002</v>
      </c>
      <c r="O123" s="1">
        <v>1.035438846</v>
      </c>
      <c r="P123" s="1" t="s">
        <v>925</v>
      </c>
      <c r="Q123" s="1">
        <v>212.6973879</v>
      </c>
      <c r="R123" s="1">
        <v>-428.7829565</v>
      </c>
      <c r="S123" s="1">
        <v>1.043343309</v>
      </c>
      <c r="T123" s="1">
        <v>44514.44277</v>
      </c>
      <c r="U123" s="1">
        <v>44514.44277</v>
      </c>
    </row>
    <row r="124" customHeight="1" spans="1:21">
      <c r="A124" s="1">
        <v>44514.60657</v>
      </c>
      <c r="B124" s="1" t="s">
        <v>926</v>
      </c>
      <c r="C124" s="1">
        <v>44514.40835</v>
      </c>
      <c r="D124" s="1">
        <v>44514.40835</v>
      </c>
      <c r="E124" s="1" t="s">
        <v>693</v>
      </c>
      <c r="F124" s="1">
        <v>305.122</v>
      </c>
      <c r="G124" s="1" t="s">
        <v>658</v>
      </c>
      <c r="H124" s="1">
        <v>672.644</v>
      </c>
      <c r="I124" s="1" t="s">
        <v>728</v>
      </c>
      <c r="J124" s="1">
        <v>639.445</v>
      </c>
      <c r="K124" s="1" t="s">
        <v>927</v>
      </c>
      <c r="L124" s="1">
        <v>305.599</v>
      </c>
      <c r="M124" s="1">
        <v>174.225073</v>
      </c>
      <c r="N124" s="1">
        <v>-356.4920219</v>
      </c>
      <c r="O124" s="1">
        <v>33.56114141</v>
      </c>
      <c r="P124" s="1" t="s">
        <v>928</v>
      </c>
      <c r="Q124" s="1">
        <v>-456.2894222</v>
      </c>
      <c r="R124" s="1">
        <v>-56.21490641</v>
      </c>
      <c r="S124" s="1">
        <v>-0.772837615</v>
      </c>
      <c r="T124" s="1">
        <v>44514.41643</v>
      </c>
      <c r="U124" s="1">
        <v>44514.40835</v>
      </c>
    </row>
    <row r="125" customHeight="1" spans="1:21">
      <c r="A125" s="1">
        <v>44514.61305</v>
      </c>
      <c r="B125" s="1" t="s">
        <v>929</v>
      </c>
      <c r="C125" s="1">
        <v>44514.56399</v>
      </c>
      <c r="D125" s="1">
        <v>44514.56399</v>
      </c>
      <c r="E125" s="1" t="s">
        <v>930</v>
      </c>
      <c r="F125" s="1">
        <v>13921.7</v>
      </c>
      <c r="G125" s="1" t="s">
        <v>931</v>
      </c>
      <c r="H125" s="1">
        <v>13820.2</v>
      </c>
      <c r="I125" s="1" t="s">
        <v>242</v>
      </c>
      <c r="J125" s="1">
        <v>15214.1</v>
      </c>
      <c r="K125" s="1" t="s">
        <v>713</v>
      </c>
      <c r="L125" s="1">
        <v>15214.1</v>
      </c>
      <c r="M125" s="1">
        <v>-0.1056723056</v>
      </c>
      <c r="N125" s="1">
        <v>10757.86488</v>
      </c>
      <c r="O125" s="1">
        <v>0.1056723056</v>
      </c>
      <c r="P125" s="1" t="s">
        <v>932</v>
      </c>
      <c r="Q125" s="1">
        <v>9392.634239</v>
      </c>
      <c r="R125" s="1">
        <v>5245.330061</v>
      </c>
      <c r="S125" s="1">
        <v>-0.0009623</v>
      </c>
      <c r="T125" s="1">
        <v>44514.41643</v>
      </c>
      <c r="U125" s="1">
        <v>44514.40835</v>
      </c>
    </row>
    <row r="126" customHeight="1" spans="1:15">
      <c r="A126" s="1">
        <v>44553.602091088</v>
      </c>
      <c r="B126" s="1" t="s">
        <v>933</v>
      </c>
      <c r="D126" s="1" t="s">
        <v>934</v>
      </c>
      <c r="E126" s="1" t="s">
        <v>935</v>
      </c>
      <c r="N126" s="1" t="s">
        <v>934</v>
      </c>
      <c r="O126" s="1" t="s">
        <v>934</v>
      </c>
    </row>
    <row r="127" customHeight="1" spans="1:19">
      <c r="A127" s="1">
        <v>44965.55502</v>
      </c>
      <c r="B127" s="1" t="s">
        <v>936</v>
      </c>
      <c r="C127" s="1">
        <v>44965.5549</v>
      </c>
      <c r="D127" s="1">
        <v>44965.65852</v>
      </c>
      <c r="M127" s="1">
        <v>1439.593</v>
      </c>
      <c r="N127" s="1">
        <v>0</v>
      </c>
      <c r="O127" s="1">
        <v>0</v>
      </c>
      <c r="P127" s="1" t="s">
        <v>937</v>
      </c>
      <c r="Q127" s="1">
        <v>-952.6625969</v>
      </c>
      <c r="R127" s="1">
        <v>-1079.287493</v>
      </c>
      <c r="S127" s="1">
        <v>-0.000357752</v>
      </c>
    </row>
    <row r="128" customHeight="1" spans="1:19">
      <c r="A128" s="1">
        <v>44965.57795</v>
      </c>
      <c r="B128" s="1" t="s">
        <v>938</v>
      </c>
      <c r="C128" s="1">
        <v>44965.60434</v>
      </c>
      <c r="D128" s="1">
        <v>44965.71721</v>
      </c>
      <c r="F128" s="1" t="s">
        <v>939</v>
      </c>
      <c r="M128" s="1">
        <v>-352.214</v>
      </c>
      <c r="N128" s="1">
        <v>0</v>
      </c>
      <c r="O128" s="1">
        <v>0</v>
      </c>
      <c r="P128" s="1" t="s">
        <v>940</v>
      </c>
      <c r="Q128" s="1">
        <v>-352.2046733</v>
      </c>
      <c r="R128" s="1">
        <v>-2.544476897</v>
      </c>
      <c r="S128" s="1">
        <v>-0.000252053</v>
      </c>
    </row>
    <row r="129" customHeight="1" spans="1:19">
      <c r="A129" s="1">
        <v>44965.58611</v>
      </c>
      <c r="B129" s="1" t="s">
        <v>941</v>
      </c>
      <c r="C129" s="1">
        <v>44965.58585</v>
      </c>
      <c r="D129" s="1">
        <v>44965.71921</v>
      </c>
      <c r="F129" s="1" t="s">
        <v>942</v>
      </c>
      <c r="M129" s="1">
        <v>0</v>
      </c>
      <c r="N129" s="1">
        <v>-314.031</v>
      </c>
      <c r="O129" s="1">
        <v>0</v>
      </c>
      <c r="P129" s="1" t="s">
        <v>943</v>
      </c>
      <c r="Q129" s="1">
        <v>-195.8663204</v>
      </c>
      <c r="R129" s="1">
        <v>-245.4626559</v>
      </c>
      <c r="S129" s="1">
        <v>-0.000552735</v>
      </c>
    </row>
    <row r="130" customHeight="1" spans="1:19">
      <c r="A130" s="1">
        <v>44965.67168</v>
      </c>
      <c r="B130" s="1" t="s">
        <v>944</v>
      </c>
      <c r="C130" s="1">
        <v>44965.6962</v>
      </c>
      <c r="D130" s="1">
        <v>44965.67808</v>
      </c>
      <c r="F130" s="1" t="s">
        <v>945</v>
      </c>
      <c r="M130" s="1">
        <v>-489.867</v>
      </c>
      <c r="N130" s="1">
        <v>0</v>
      </c>
      <c r="O130" s="1">
        <v>0</v>
      </c>
      <c r="P130" s="1" t="s">
        <v>946</v>
      </c>
      <c r="Q130" s="1">
        <v>-476.8795078</v>
      </c>
      <c r="R130" s="1">
        <v>112.0537783</v>
      </c>
      <c r="S130" s="1">
        <v>-0.000623828</v>
      </c>
    </row>
    <row r="131" customHeight="1" spans="1:19">
      <c r="A131" s="1">
        <v>44965.59657</v>
      </c>
      <c r="B131" s="1" t="s">
        <v>947</v>
      </c>
      <c r="C131" s="1">
        <v>44965.61859</v>
      </c>
      <c r="D131" s="1">
        <v>44965.62416</v>
      </c>
      <c r="F131" s="1" t="s">
        <v>948</v>
      </c>
      <c r="M131" s="1">
        <v>0</v>
      </c>
      <c r="N131" s="1">
        <v>1436.814</v>
      </c>
      <c r="O131" s="1">
        <v>0</v>
      </c>
      <c r="P131" s="1" t="s">
        <v>949</v>
      </c>
      <c r="Q131" s="1">
        <v>1.1791497</v>
      </c>
      <c r="R131" s="1">
        <v>1436.813993</v>
      </c>
      <c r="S131" s="1">
        <v>-0.000706898</v>
      </c>
    </row>
    <row r="132" customHeight="1" spans="1:19">
      <c r="A132" s="1">
        <v>44965.60182</v>
      </c>
      <c r="B132" s="1" t="s">
        <v>950</v>
      </c>
      <c r="C132" s="1">
        <v>44965.62991</v>
      </c>
      <c r="D132" s="1">
        <v>44965.65449</v>
      </c>
      <c r="M132" s="1">
        <v>0</v>
      </c>
      <c r="N132" s="1">
        <v>501.542</v>
      </c>
      <c r="O132" s="1">
        <v>0</v>
      </c>
      <c r="P132" s="1" t="s">
        <v>951</v>
      </c>
      <c r="Q132" s="1">
        <v>-296.8497191</v>
      </c>
      <c r="R132" s="1">
        <v>404.2576572</v>
      </c>
      <c r="S132" s="1">
        <v>-0.000796465</v>
      </c>
    </row>
    <row r="133" customHeight="1" spans="1:19">
      <c r="A133" s="1">
        <v>44965.60572</v>
      </c>
      <c r="B133" s="1" t="s">
        <v>952</v>
      </c>
      <c r="C133" s="1">
        <v>44965.59224</v>
      </c>
      <c r="D133" s="1">
        <v>44965.62744</v>
      </c>
      <c r="F133" s="1" t="s">
        <v>953</v>
      </c>
      <c r="M133" s="1">
        <v>402.708</v>
      </c>
      <c r="N133" s="1">
        <v>0</v>
      </c>
      <c r="O133" s="1">
        <v>0</v>
      </c>
      <c r="P133" s="1" t="s">
        <v>954</v>
      </c>
      <c r="Q133" s="1">
        <v>-339.019035</v>
      </c>
      <c r="R133" s="1">
        <v>-217.3473259</v>
      </c>
      <c r="S133" s="1">
        <v>-0.000651151</v>
      </c>
    </row>
    <row r="134" customHeight="1" spans="1:19">
      <c r="A134" s="1">
        <v>44965.6102</v>
      </c>
      <c r="B134" s="1" t="s">
        <v>955</v>
      </c>
      <c r="C134" s="1">
        <v>44965.62183</v>
      </c>
      <c r="D134" s="1">
        <v>44965.67638</v>
      </c>
      <c r="F134" s="1" t="s">
        <v>956</v>
      </c>
      <c r="M134" s="1">
        <v>0</v>
      </c>
      <c r="N134" s="1">
        <v>494.84</v>
      </c>
      <c r="O134" s="1">
        <v>0</v>
      </c>
      <c r="P134" s="1" t="s">
        <v>957</v>
      </c>
      <c r="Q134" s="1">
        <v>-208.5181138</v>
      </c>
      <c r="R134" s="1">
        <v>448.7616056</v>
      </c>
      <c r="S134" s="1">
        <v>-0.000579008</v>
      </c>
    </row>
    <row r="135" customHeight="1" spans="1:19">
      <c r="A135" s="1">
        <v>44965.61513</v>
      </c>
      <c r="B135" s="1" t="s">
        <v>958</v>
      </c>
      <c r="C135" s="1">
        <v>44965.60887</v>
      </c>
      <c r="D135" s="1">
        <v>44965.74543</v>
      </c>
      <c r="F135" s="1" t="s">
        <v>959</v>
      </c>
      <c r="M135" s="1">
        <v>0</v>
      </c>
      <c r="N135" s="1">
        <v>472.453</v>
      </c>
      <c r="O135" s="1">
        <v>0</v>
      </c>
      <c r="P135" s="1" t="s">
        <v>960</v>
      </c>
      <c r="Q135" s="1">
        <v>-472.4518006</v>
      </c>
      <c r="R135" s="1">
        <v>1.259104287</v>
      </c>
      <c r="S135" s="1">
        <v>-0.000731648</v>
      </c>
    </row>
    <row r="136" customHeight="1" spans="1:19">
      <c r="A136" s="1">
        <v>44965.62332</v>
      </c>
      <c r="B136" s="1" t="s">
        <v>961</v>
      </c>
      <c r="C136" s="1">
        <v>44965.62703</v>
      </c>
      <c r="D136" s="1">
        <v>44965.71017</v>
      </c>
      <c r="M136" s="1">
        <v>0</v>
      </c>
      <c r="N136" s="1">
        <v>-1151.452</v>
      </c>
      <c r="O136" s="1">
        <v>0</v>
      </c>
      <c r="P136" s="1" t="s">
        <v>962</v>
      </c>
      <c r="Q136" s="1">
        <v>-438.5794116</v>
      </c>
      <c r="R136" s="1">
        <v>1064.655087</v>
      </c>
      <c r="S136" s="1">
        <v>-0.000602341</v>
      </c>
    </row>
    <row r="137" customHeight="1" spans="1:19">
      <c r="A137" s="1">
        <v>44965.62651</v>
      </c>
      <c r="B137" s="1" t="s">
        <v>963</v>
      </c>
      <c r="C137" s="1">
        <v>44965.58903</v>
      </c>
      <c r="D137" s="1">
        <v>44965.85657</v>
      </c>
      <c r="M137" s="1">
        <v>-328.204</v>
      </c>
      <c r="N137" s="1">
        <v>0</v>
      </c>
      <c r="O137" s="1">
        <v>0</v>
      </c>
      <c r="P137" s="1" t="s">
        <v>964</v>
      </c>
      <c r="Q137" s="1">
        <v>-327.7207685</v>
      </c>
      <c r="R137" s="1">
        <v>17.808545</v>
      </c>
      <c r="S137" s="1">
        <v>-0.000708539</v>
      </c>
    </row>
    <row r="138" customHeight="1" spans="1:19">
      <c r="A138" s="1">
        <v>44965.63125</v>
      </c>
      <c r="B138" s="1" t="s">
        <v>965</v>
      </c>
      <c r="C138" s="1">
        <v>44965.69783</v>
      </c>
      <c r="D138" s="1">
        <v>44965.79705</v>
      </c>
      <c r="M138" s="1">
        <v>413.056</v>
      </c>
      <c r="N138" s="1">
        <v>0</v>
      </c>
      <c r="O138" s="1">
        <v>0</v>
      </c>
      <c r="P138" s="1" t="s">
        <v>966</v>
      </c>
      <c r="Q138" s="1">
        <v>346.0899276</v>
      </c>
      <c r="R138" s="1">
        <v>225.4710511</v>
      </c>
      <c r="S138" s="1">
        <v>-0.000673963</v>
      </c>
    </row>
    <row r="139" customHeight="1" spans="1:19">
      <c r="A139" s="1">
        <v>44965.63875</v>
      </c>
      <c r="B139" s="1" t="s">
        <v>967</v>
      </c>
      <c r="C139" s="1">
        <v>44965.84516</v>
      </c>
      <c r="D139" s="1">
        <v>44965.81002</v>
      </c>
      <c r="M139" s="1">
        <v>0</v>
      </c>
      <c r="N139" s="1">
        <v>-10673.17</v>
      </c>
      <c r="O139" s="1">
        <v>0</v>
      </c>
      <c r="P139" s="1" t="s">
        <v>968</v>
      </c>
      <c r="Q139" s="1">
        <v>10061.85703</v>
      </c>
      <c r="R139" s="1">
        <v>3560.279681</v>
      </c>
      <c r="S139" s="1">
        <v>-0.000762141</v>
      </c>
    </row>
    <row r="140" customHeight="1" spans="1:19">
      <c r="A140" s="1">
        <v>44965.64423</v>
      </c>
      <c r="B140" s="1" t="s">
        <v>969</v>
      </c>
      <c r="C140" s="1">
        <v>44965.70757</v>
      </c>
      <c r="D140" s="1">
        <v>44965.6777</v>
      </c>
      <c r="M140" s="1">
        <v>0</v>
      </c>
      <c r="N140" s="1">
        <v>455.483</v>
      </c>
      <c r="O140" s="1">
        <v>0</v>
      </c>
      <c r="P140" s="1" t="s">
        <v>970</v>
      </c>
      <c r="Q140" s="1">
        <v>231.1767948</v>
      </c>
      <c r="R140" s="1">
        <v>392.4561192</v>
      </c>
      <c r="S140" s="1">
        <v>-0.000826987</v>
      </c>
    </row>
    <row r="141" customHeight="1" spans="1:19">
      <c r="A141" s="1">
        <v>44965.64748</v>
      </c>
      <c r="B141" s="1" t="s">
        <v>971</v>
      </c>
      <c r="C141" s="1">
        <v>44965.81081</v>
      </c>
      <c r="D141" s="1">
        <v>44965.75604</v>
      </c>
      <c r="M141" s="1">
        <v>380.53</v>
      </c>
      <c r="N141" s="1">
        <v>0</v>
      </c>
      <c r="O141" s="1">
        <v>0</v>
      </c>
      <c r="P141" s="1" t="s">
        <v>972</v>
      </c>
      <c r="Q141" s="1">
        <v>234.0359973</v>
      </c>
      <c r="R141" s="1">
        <v>300.0498047</v>
      </c>
      <c r="S141" s="1">
        <v>-0.000697873</v>
      </c>
    </row>
    <row r="142" customHeight="1" spans="1:19">
      <c r="A142" s="1">
        <v>44965.65111</v>
      </c>
      <c r="B142" s="1" t="s">
        <v>973</v>
      </c>
      <c r="C142" s="1">
        <v>44965.77535</v>
      </c>
      <c r="D142" s="1">
        <v>44965.68082</v>
      </c>
      <c r="M142" s="1">
        <v>0</v>
      </c>
      <c r="N142" s="1">
        <v>430.028</v>
      </c>
      <c r="O142" s="1">
        <v>0</v>
      </c>
      <c r="P142" s="1" t="s">
        <v>974</v>
      </c>
      <c r="Q142" s="1">
        <v>169.0230929</v>
      </c>
      <c r="R142" s="1">
        <v>-395.4177851</v>
      </c>
      <c r="S142" s="1">
        <v>-0.000624017</v>
      </c>
    </row>
    <row r="143" customHeight="1" spans="1:21">
      <c r="A143" s="1">
        <v>45192.98338</v>
      </c>
      <c r="B143" s="1" t="s">
        <v>975</v>
      </c>
      <c r="C143" s="1">
        <v>45192.99996</v>
      </c>
      <c r="M143" s="1">
        <v>0</v>
      </c>
      <c r="N143" s="1">
        <v>1151.454</v>
      </c>
      <c r="O143" s="1">
        <v>0</v>
      </c>
      <c r="P143" s="1" t="s">
        <v>976</v>
      </c>
      <c r="Q143" s="1">
        <v>290.055088</v>
      </c>
      <c r="R143" s="1">
        <v>1114.322217</v>
      </c>
      <c r="S143" s="1">
        <f t="shared" ref="S143:S145" si="0">0.001</f>
        <v>0.001</v>
      </c>
      <c r="T143" s="1">
        <v>44514.41643</v>
      </c>
      <c r="U143" s="1">
        <v>44514.40835</v>
      </c>
    </row>
    <row r="144" customHeight="1" spans="1:21">
      <c r="A144" s="1">
        <v>45192.99636</v>
      </c>
      <c r="B144" s="1" t="s">
        <v>977</v>
      </c>
      <c r="C144" s="1">
        <v>45192.9699</v>
      </c>
      <c r="M144" s="1">
        <v>0</v>
      </c>
      <c r="N144" s="1">
        <v>413.058</v>
      </c>
      <c r="O144" s="1">
        <v>0</v>
      </c>
      <c r="P144" s="1" t="s">
        <v>978</v>
      </c>
      <c r="Q144" s="1">
        <v>-390.7794756</v>
      </c>
      <c r="R144" s="1">
        <v>133.8219448</v>
      </c>
      <c r="S144" s="1">
        <f t="shared" si="0"/>
        <v>0.001</v>
      </c>
      <c r="T144" s="1">
        <v>44514.41643</v>
      </c>
      <c r="U144" s="1">
        <v>44514.40835</v>
      </c>
    </row>
    <row r="145" customHeight="1" spans="1:21">
      <c r="A145" s="1">
        <v>45193.00533</v>
      </c>
      <c r="B145" s="1" t="s">
        <v>979</v>
      </c>
      <c r="C145" s="1">
        <v>45192.97328</v>
      </c>
      <c r="M145" s="1">
        <v>0</v>
      </c>
      <c r="N145" s="1">
        <v>328.205</v>
      </c>
      <c r="O145" s="1">
        <v>0</v>
      </c>
      <c r="P145" s="1" t="s">
        <v>980</v>
      </c>
      <c r="Q145" s="1">
        <v>-322.6027527</v>
      </c>
      <c r="R145" s="1">
        <v>60.3823829</v>
      </c>
      <c r="S145" s="1">
        <f t="shared" si="0"/>
        <v>0.001</v>
      </c>
      <c r="T145" s="1">
        <v>44514.41643</v>
      </c>
      <c r="U145" s="1">
        <v>44514.40835</v>
      </c>
    </row>
    <row r="146" customHeight="1" spans="1:21">
      <c r="A146" s="1">
        <v>45193.12194</v>
      </c>
      <c r="B146" s="1" t="s">
        <v>981</v>
      </c>
      <c r="C146" s="1">
        <v>45193.09452</v>
      </c>
      <c r="M146" s="1">
        <v>-1436.816</v>
      </c>
      <c r="N146" s="1">
        <v>0</v>
      </c>
      <c r="O146" s="1">
        <v>0</v>
      </c>
      <c r="P146" s="1" t="s">
        <v>982</v>
      </c>
      <c r="Q146" s="1">
        <v>-177.679414</v>
      </c>
      <c r="R146" s="1">
        <v>-1425.787915</v>
      </c>
      <c r="S146" s="1">
        <f>0</f>
        <v>0</v>
      </c>
      <c r="T146" s="1">
        <v>44514.41643</v>
      </c>
      <c r="U146" s="1">
        <v>44514.40835</v>
      </c>
    </row>
    <row r="147" customHeight="1" spans="1:21">
      <c r="A147" s="1">
        <v>45193.13301</v>
      </c>
      <c r="B147" s="1" t="s">
        <v>983</v>
      </c>
      <c r="C147" s="1">
        <v>45193.15562</v>
      </c>
      <c r="M147" s="1">
        <v>-494.842</v>
      </c>
      <c r="N147" s="1">
        <v>0</v>
      </c>
      <c r="O147" s="1">
        <v>0</v>
      </c>
      <c r="P147" s="1" t="s">
        <v>984</v>
      </c>
      <c r="Q147" s="1">
        <v>192.9741665</v>
      </c>
      <c r="R147" s="1">
        <v>455.6642758</v>
      </c>
      <c r="S147" s="1">
        <f>0.001</f>
        <v>0.001</v>
      </c>
      <c r="T147" s="1">
        <v>44514.41643</v>
      </c>
      <c r="U147" s="1">
        <v>44514.40835</v>
      </c>
    </row>
    <row r="148" customHeight="1" spans="1:21">
      <c r="A148" s="1">
        <v>45193.13985</v>
      </c>
      <c r="B148" s="1" t="s">
        <v>985</v>
      </c>
      <c r="C148" s="1">
        <v>45193.10966</v>
      </c>
      <c r="M148" s="1">
        <v>-472.455</v>
      </c>
      <c r="N148" s="1">
        <v>0</v>
      </c>
      <c r="O148" s="1">
        <v>0</v>
      </c>
      <c r="P148" s="1" t="s">
        <v>986</v>
      </c>
      <c r="Q148" s="1">
        <v>-325.4826415</v>
      </c>
      <c r="R148" s="1">
        <v>-342.4540552</v>
      </c>
      <c r="S148" s="1">
        <f t="shared" ref="S148:S151" si="1">0</f>
        <v>0</v>
      </c>
      <c r="T148" s="1">
        <v>44514.41643</v>
      </c>
      <c r="U148" s="1">
        <v>44514.40835</v>
      </c>
    </row>
    <row r="149" customHeight="1" spans="1:21">
      <c r="A149" s="1">
        <v>45193.14793</v>
      </c>
      <c r="B149" s="1" t="s">
        <v>987</v>
      </c>
      <c r="C149" s="1">
        <v>45193.20259</v>
      </c>
      <c r="M149" s="1">
        <v>501.542</v>
      </c>
      <c r="N149" s="1">
        <v>0</v>
      </c>
      <c r="O149" s="1">
        <v>0</v>
      </c>
      <c r="P149" s="1" t="s">
        <v>988</v>
      </c>
      <c r="Q149" s="1">
        <v>34.4182759</v>
      </c>
      <c r="R149" s="1">
        <v>500.3595901</v>
      </c>
      <c r="S149" s="1">
        <f t="shared" si="1"/>
        <v>0</v>
      </c>
      <c r="T149" s="1">
        <v>44514.41643</v>
      </c>
      <c r="U149" s="1">
        <v>44514.40835</v>
      </c>
    </row>
    <row r="150" customHeight="1" spans="1:21">
      <c r="A150" s="1">
        <v>45193.1536</v>
      </c>
      <c r="B150" s="1" t="s">
        <v>989</v>
      </c>
      <c r="C150" s="1">
        <v>45193.13814</v>
      </c>
      <c r="M150" s="1">
        <v>402.709</v>
      </c>
      <c r="N150" s="1">
        <v>0</v>
      </c>
      <c r="O150" s="1">
        <v>0</v>
      </c>
      <c r="P150" s="1" t="s">
        <v>990</v>
      </c>
      <c r="Q150" s="1">
        <v>-310.7477821</v>
      </c>
      <c r="R150" s="1">
        <v>-256.145829</v>
      </c>
      <c r="S150" s="1">
        <f t="shared" si="1"/>
        <v>0</v>
      </c>
      <c r="T150" s="1">
        <v>44514.41643</v>
      </c>
      <c r="U150" s="1">
        <v>44514.40835</v>
      </c>
    </row>
    <row r="151" customHeight="1" spans="1:67">
      <c r="A151" s="3">
        <v>45193.56234</v>
      </c>
      <c r="B151" s="4" t="s">
        <v>991</v>
      </c>
      <c r="C151" s="3">
        <v>45193.55656</v>
      </c>
      <c r="D151" s="4"/>
      <c r="E151" s="4"/>
      <c r="F151" s="4"/>
      <c r="G151" s="4"/>
      <c r="H151" s="4"/>
      <c r="I151" s="4"/>
      <c r="J151" s="4"/>
      <c r="K151" s="4"/>
      <c r="L151" s="4"/>
      <c r="M151" s="3">
        <v>0</v>
      </c>
      <c r="N151" s="3">
        <v>-1439.593</v>
      </c>
      <c r="O151" s="3">
        <v>0</v>
      </c>
      <c r="P151" s="4" t="s">
        <v>992</v>
      </c>
      <c r="Q151" s="3">
        <v>-581.969666</v>
      </c>
      <c r="R151" s="3">
        <v>-1316.715835</v>
      </c>
      <c r="S151" s="3">
        <f t="shared" si="1"/>
        <v>0</v>
      </c>
      <c r="T151" s="3">
        <v>44514.41643</v>
      </c>
      <c r="U151" s="3">
        <v>44514.40835</v>
      </c>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row>
    <row r="152" customHeight="1" spans="1:67">
      <c r="A152" s="3">
        <v>45193.56858</v>
      </c>
      <c r="B152" s="4" t="s">
        <v>993</v>
      </c>
      <c r="C152" s="3">
        <v>45193.72222</v>
      </c>
      <c r="D152" s="4"/>
      <c r="E152" s="4"/>
      <c r="F152" s="4"/>
      <c r="G152" s="4"/>
      <c r="H152" s="4"/>
      <c r="I152" s="4"/>
      <c r="J152" s="4"/>
      <c r="K152" s="4"/>
      <c r="L152" s="4"/>
      <c r="M152" s="3">
        <v>0</v>
      </c>
      <c r="N152" s="3">
        <v>-352.258</v>
      </c>
      <c r="O152" s="3">
        <v>0</v>
      </c>
      <c r="P152" s="4" t="s">
        <v>994</v>
      </c>
      <c r="Q152" s="3">
        <v>201.6679161</v>
      </c>
      <c r="R152" s="3">
        <v>-288.8177442</v>
      </c>
      <c r="S152" s="3">
        <f>0.001</f>
        <v>0.001</v>
      </c>
      <c r="T152" s="3">
        <v>44514.41643</v>
      </c>
      <c r="U152" s="3">
        <v>44514.40835</v>
      </c>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row>
    <row r="153" customHeight="1" spans="1:67">
      <c r="A153" s="3">
        <v>45193.57352</v>
      </c>
      <c r="B153" s="4" t="s">
        <v>995</v>
      </c>
      <c r="C153" s="3">
        <v>45193.58018</v>
      </c>
      <c r="D153" s="4"/>
      <c r="E153" s="4"/>
      <c r="F153" s="4"/>
      <c r="G153" s="4"/>
      <c r="H153" s="4"/>
      <c r="I153" s="4"/>
      <c r="J153" s="4"/>
      <c r="K153" s="4"/>
      <c r="L153" s="4"/>
      <c r="M153" s="3">
        <v>-314.039</v>
      </c>
      <c r="N153" s="3">
        <v>0</v>
      </c>
      <c r="O153" s="3">
        <v>0</v>
      </c>
      <c r="P153" s="4" t="s">
        <v>996</v>
      </c>
      <c r="Q153" s="3">
        <v>-235.0677695</v>
      </c>
      <c r="R153" s="3">
        <v>-208.239539</v>
      </c>
      <c r="S153" s="3">
        <v>0</v>
      </c>
      <c r="T153" s="3">
        <v>44514.41643</v>
      </c>
      <c r="U153" s="3">
        <v>44514.40835</v>
      </c>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row>
    <row r="154" customHeight="1" spans="1:67">
      <c r="A154" s="3">
        <v>45193.57805</v>
      </c>
      <c r="B154" s="4" t="s">
        <v>997</v>
      </c>
      <c r="C154" s="3">
        <v>45193.56527</v>
      </c>
      <c r="D154" s="4"/>
      <c r="E154" s="4"/>
      <c r="F154" s="4"/>
      <c r="G154" s="4"/>
      <c r="H154" s="4"/>
      <c r="I154" s="4"/>
      <c r="J154" s="4"/>
      <c r="K154" s="4"/>
      <c r="L154" s="4"/>
      <c r="M154" s="3">
        <v>-489.807</v>
      </c>
      <c r="N154" s="3">
        <v>0</v>
      </c>
      <c r="O154" s="3">
        <v>0</v>
      </c>
      <c r="P154" s="4" t="s">
        <v>998</v>
      </c>
      <c r="Q154" s="3">
        <v>-21.0199604</v>
      </c>
      <c r="R154" s="3">
        <v>-489.3557588</v>
      </c>
      <c r="S154" s="3">
        <v>-0.001</v>
      </c>
      <c r="T154" s="3">
        <v>44514.41643</v>
      </c>
      <c r="U154" s="3">
        <v>44514.40835</v>
      </c>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row>
    <row r="155" customHeight="1" spans="1:67">
      <c r="A155" s="3">
        <v>45193.62558</v>
      </c>
      <c r="B155" s="4" t="s">
        <v>999</v>
      </c>
      <c r="C155" s="3">
        <v>45193.82845</v>
      </c>
      <c r="D155" s="4"/>
      <c r="E155" s="4"/>
      <c r="F155" s="4"/>
      <c r="G155" s="4"/>
      <c r="H155" s="4"/>
      <c r="I155" s="4"/>
      <c r="J155" s="4"/>
      <c r="K155" s="4"/>
      <c r="L155" s="4"/>
      <c r="M155" s="3">
        <v>10673.171</v>
      </c>
      <c r="N155" s="3">
        <v>0</v>
      </c>
      <c r="O155" s="3">
        <v>0</v>
      </c>
      <c r="P155" s="4" t="s">
        <v>1000</v>
      </c>
      <c r="Q155" s="3">
        <v>9613.909736</v>
      </c>
      <c r="R155" s="3">
        <v>4635.656822</v>
      </c>
      <c r="S155" s="3">
        <v>-0.001</v>
      </c>
      <c r="T155" s="3">
        <v>44514.41643</v>
      </c>
      <c r="U155" s="3">
        <v>44514.40835</v>
      </c>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row>
    <row r="156" customHeight="1" spans="1:67">
      <c r="A156" s="3">
        <v>45193.63517</v>
      </c>
      <c r="B156" s="4" t="s">
        <v>1001</v>
      </c>
      <c r="C156" s="3">
        <v>45193.76108</v>
      </c>
      <c r="D156" s="4"/>
      <c r="E156" s="4"/>
      <c r="F156" s="4"/>
      <c r="G156" s="4"/>
      <c r="H156" s="4"/>
      <c r="I156" s="4"/>
      <c r="J156" s="4"/>
      <c r="K156" s="4"/>
      <c r="L156" s="4"/>
      <c r="M156" s="3">
        <v>-430.029</v>
      </c>
      <c r="N156" s="3">
        <v>0</v>
      </c>
      <c r="O156" s="3">
        <v>0</v>
      </c>
      <c r="P156" s="4" t="s">
        <v>1002</v>
      </c>
      <c r="Q156" s="3">
        <v>136.8132654</v>
      </c>
      <c r="R156" s="3">
        <v>-407.6846926</v>
      </c>
      <c r="S156" s="3">
        <v>-0.001</v>
      </c>
      <c r="T156" s="3">
        <v>44514.41643</v>
      </c>
      <c r="U156" s="3">
        <v>44514.40835</v>
      </c>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row>
    <row r="157" customHeight="1" spans="1:67">
      <c r="A157" s="3">
        <v>45193.63921</v>
      </c>
      <c r="B157" s="4" t="s">
        <v>1003</v>
      </c>
      <c r="C157" s="3">
        <v>45193.7278</v>
      </c>
      <c r="D157" s="4"/>
      <c r="E157" s="4"/>
      <c r="F157" s="4"/>
      <c r="G157" s="4"/>
      <c r="H157" s="4"/>
      <c r="I157" s="4"/>
      <c r="J157" s="4"/>
      <c r="K157" s="4"/>
      <c r="L157" s="4"/>
      <c r="M157" s="3">
        <v>455.484</v>
      </c>
      <c r="N157" s="3">
        <v>0</v>
      </c>
      <c r="O157" s="3">
        <v>0</v>
      </c>
      <c r="P157" s="4" t="s">
        <v>1004</v>
      </c>
      <c r="Q157" s="3">
        <v>256.1797939</v>
      </c>
      <c r="R157" s="3">
        <v>-376.6136913</v>
      </c>
      <c r="S157" s="3">
        <v>-0.001</v>
      </c>
      <c r="T157" s="3">
        <v>44514.41643</v>
      </c>
      <c r="U157" s="3">
        <v>44514.40835</v>
      </c>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row>
    <row r="158" customHeight="1" spans="1:67">
      <c r="A158" s="3">
        <v>45193.64318</v>
      </c>
      <c r="B158" s="4" t="s">
        <v>1005</v>
      </c>
      <c r="C158" s="3">
        <v>45193.80298</v>
      </c>
      <c r="D158" s="4"/>
      <c r="E158" s="4"/>
      <c r="F158" s="4"/>
      <c r="G158" s="4"/>
      <c r="H158" s="4"/>
      <c r="I158" s="4"/>
      <c r="J158" s="4"/>
      <c r="K158" s="4"/>
      <c r="L158" s="4"/>
      <c r="M158" s="3">
        <v>380.531</v>
      </c>
      <c r="N158" s="3">
        <v>0</v>
      </c>
      <c r="O158" s="3">
        <v>0</v>
      </c>
      <c r="P158" s="4" t="s">
        <v>1006</v>
      </c>
      <c r="Q158" s="3">
        <v>194.8131171</v>
      </c>
      <c r="R158" s="3">
        <v>326.8813182</v>
      </c>
      <c r="S158" s="3">
        <v>-0.001</v>
      </c>
      <c r="T158" s="3">
        <v>44514.41643</v>
      </c>
      <c r="U158" s="3">
        <v>44514.40835</v>
      </c>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2:P130"/>
  <sheetViews>
    <sheetView workbookViewId="0">
      <selection activeCell="A1" sqref="A1"/>
    </sheetView>
  </sheetViews>
  <sheetFormatPr defaultColWidth="12.6285714285714" defaultRowHeight="15.75" customHeight="1"/>
  <sheetData>
    <row r="2" customHeight="1" spans="2:14">
      <c r="B2" s="1" t="s">
        <v>0</v>
      </c>
      <c r="M2" s="1" t="s">
        <v>1007</v>
      </c>
      <c r="N2" s="2">
        <f>C3</f>
        <v>295</v>
      </c>
    </row>
    <row r="3" customHeight="1" spans="2:14">
      <c r="B3" s="1" t="s">
        <v>516</v>
      </c>
      <c r="C3" s="2">
        <f>VLOOKUP(CONCATENATE(B3," R00"),Database,15,FALSE)</f>
        <v>295</v>
      </c>
      <c r="E3" s="1">
        <f>ROUND((ACOS(SIN(D13)*SIN(D14)+COS(D13)*COS(D14)*COS(E14-E13))*C3),3)</f>
        <v>503.991</v>
      </c>
      <c r="M3" s="1" t="s">
        <v>1008</v>
      </c>
      <c r="N3" s="1">
        <v>1</v>
      </c>
    </row>
    <row r="4" customHeight="1" spans="10:10">
      <c r="J4" s="1" t="s">
        <v>1009</v>
      </c>
    </row>
    <row r="5" customHeight="1" spans="3:11">
      <c r="C5" s="1" t="s">
        <v>12</v>
      </c>
      <c r="D5" s="1" t="s">
        <v>13</v>
      </c>
      <c r="E5" s="1" t="s">
        <v>14</v>
      </c>
      <c r="G5" s="1" t="s">
        <v>99</v>
      </c>
      <c r="H5" s="1" t="s">
        <v>98</v>
      </c>
      <c r="I5" s="1" t="s">
        <v>1010</v>
      </c>
      <c r="J5" s="1" t="s">
        <v>99</v>
      </c>
      <c r="K5" s="1" t="s">
        <v>98</v>
      </c>
    </row>
    <row r="7" customHeight="1" spans="1:11">
      <c r="A7" s="1" t="s">
        <v>693</v>
      </c>
      <c r="B7" s="1" t="s">
        <v>693</v>
      </c>
      <c r="C7" s="1">
        <v>126.025172040445</v>
      </c>
      <c r="D7" s="1">
        <v>-149.58146894637</v>
      </c>
      <c r="E7" s="1">
        <v>221.25334404046</v>
      </c>
      <c r="G7" s="1">
        <f t="shared" ref="G7:G9" si="0">DEGREES(ATAN2(SQRT(C7^2+D7^2),E7))</f>
        <v>48.5224589483301</v>
      </c>
      <c r="H7" s="1">
        <f t="shared" ref="H7:H9" si="1">IF(ABS(G7)=90,0,IF(DEGREES(MOD((ATAN2(C7,D7)-(PI()/2)),2*PI()))&gt;180,-(360-DEGREES(MOD((ATAN2(C7,D7)-(PI()/2)),2*PI()))),DEGREES(MOD((ATAN2(C7,D7)-(PI()/2)),2*PI()))))</f>
        <v>-139.885238425893</v>
      </c>
      <c r="I7" s="2">
        <f t="shared" ref="I7:I9" si="2">SQRT(C7^2+D7^2+E7^2)-$C$3</f>
        <v>0.31339639282163</v>
      </c>
      <c r="J7" s="1">
        <f t="shared" ref="J7:J9" si="3">ATAN2(SQRT(C7^2+D7^2),E7)</f>
        <v>0.846876669812145</v>
      </c>
      <c r="K7" s="1">
        <f t="shared" ref="K7:K9" si="4">IF(ABS(G7)=90,0,IF(DEGREES(MOD((ATAN2(C7,D7)-(PI()/2)),2*PI()))&gt;180,-(2*PI()-MOD((ATAN2(C7,D7)-(PI()/2)),2*PI())),MOD((ATAN2(C7,D7)-(PI()/2)),2*PI())))</f>
        <v>-2.44145798546912</v>
      </c>
    </row>
    <row r="8" customHeight="1" spans="1:11">
      <c r="A8" s="1" t="s">
        <v>749</v>
      </c>
      <c r="B8" s="1" t="s">
        <v>749</v>
      </c>
      <c r="C8" s="1">
        <v>200.545063565929</v>
      </c>
      <c r="D8" s="1">
        <v>-104.917273995152</v>
      </c>
      <c r="E8" s="1">
        <v>190.096594760393</v>
      </c>
      <c r="G8" s="1">
        <f t="shared" si="0"/>
        <v>40.027011336907</v>
      </c>
      <c r="H8" s="1">
        <f t="shared" si="1"/>
        <v>-117.616791660721</v>
      </c>
      <c r="I8" s="2">
        <f t="shared" si="2"/>
        <v>0.571771728514989</v>
      </c>
      <c r="J8" s="1">
        <f t="shared" si="3"/>
        <v>0.698603137562124</v>
      </c>
      <c r="K8" s="1">
        <f t="shared" si="4"/>
        <v>-2.05280027011178</v>
      </c>
    </row>
    <row r="9" customHeight="1" spans="1:11">
      <c r="A9" s="1" t="s">
        <v>658</v>
      </c>
      <c r="B9" s="1" t="s">
        <v>658</v>
      </c>
      <c r="C9" s="1">
        <v>-4.41978284451699</v>
      </c>
      <c r="D9" s="1">
        <v>279.066633187614</v>
      </c>
      <c r="E9" s="1">
        <v>95.7326590587272</v>
      </c>
      <c r="G9" s="1">
        <f t="shared" si="0"/>
        <v>18.9321151390098</v>
      </c>
      <c r="H9" s="1">
        <f t="shared" si="1"/>
        <v>0.907359401440334</v>
      </c>
      <c r="I9" s="2">
        <f t="shared" si="2"/>
        <v>0.0634885063170714</v>
      </c>
      <c r="J9" s="1">
        <f t="shared" si="3"/>
        <v>0.330427743542385</v>
      </c>
      <c r="K9" s="1">
        <f t="shared" si="4"/>
        <v>0.0158364090540588</v>
      </c>
    </row>
    <row r="12" customHeight="1" spans="4:15">
      <c r="D12" s="1" t="s">
        <v>99</v>
      </c>
      <c r="E12" s="1" t="s">
        <v>98</v>
      </c>
      <c r="F12" s="1" t="s">
        <v>1010</v>
      </c>
      <c r="G12" s="1" t="s">
        <v>1011</v>
      </c>
      <c r="H12" s="1" t="s">
        <v>1012</v>
      </c>
      <c r="I12" s="1" t="s">
        <v>1007</v>
      </c>
      <c r="J12" s="1" t="s">
        <v>1013</v>
      </c>
      <c r="K12" s="1" t="s">
        <v>1014</v>
      </c>
      <c r="L12" s="1" t="s">
        <v>1015</v>
      </c>
      <c r="M12" s="1" t="s">
        <v>1016</v>
      </c>
      <c r="N12" s="1" t="s">
        <v>1017</v>
      </c>
      <c r="O12" s="1" t="s">
        <v>1018</v>
      </c>
    </row>
    <row r="13" customHeight="1" spans="1:15">
      <c r="A13" s="1" t="s">
        <v>273</v>
      </c>
      <c r="B13" s="1" t="s">
        <v>749</v>
      </c>
      <c r="D13" s="1">
        <f t="shared" ref="D13:D14" si="5">VLOOKUP(B13,$B$7:$K$9,9,FALSE)</f>
        <v>0.698603137562124</v>
      </c>
      <c r="E13" s="1">
        <f t="shared" ref="E13:E14" si="6">VLOOKUP(B13,$B$7:$K$9,10,FALSE)</f>
        <v>-2.05280027011178</v>
      </c>
      <c r="F13" s="2">
        <f t="shared" ref="F13:F14" si="7">VLOOKUP(B13,$B$7:$K$9,8,FALSE)</f>
        <v>0.571771728514989</v>
      </c>
      <c r="G13" s="1">
        <f t="shared" ref="G13:H13" si="8">D14-D13</f>
        <v>-0.368175394019739</v>
      </c>
      <c r="H13" s="1">
        <f t="shared" si="8"/>
        <v>2.06863667916584</v>
      </c>
      <c r="I13" s="1">
        <f>SIN(G13/2)*SIN(G13/2)+COS(D13)*COS(D14)*SIN(H13/2)*SIN(H13/2)</f>
        <v>0.568607321495217</v>
      </c>
      <c r="J13" s="1">
        <f>2*ATAN2(SQRT(1-I13),SQRT(I13))</f>
        <v>1.70844523558213</v>
      </c>
      <c r="K13" s="1">
        <f>SIN((1-B16)*J13)/SIN(J13)</f>
        <v>0</v>
      </c>
      <c r="L13" s="1">
        <f>SIN(B16*J13)/SIN(J13)</f>
        <v>1</v>
      </c>
      <c r="M13" s="1">
        <f>K13*COS(D13)*COS(E13)+L13*COS(D14)*COS(E14)</f>
        <v>0.945785039688634</v>
      </c>
      <c r="N13" s="1">
        <f>K13*COS(D13)*SIN(E13)+L13*COS(D14)*SIN(E14)</f>
        <v>0.0149790909979781</v>
      </c>
      <c r="O13" s="1">
        <f>K13*SIN(D13)+L13*SIN(D14)</f>
        <v>0.324447662241605</v>
      </c>
    </row>
    <row r="14" customHeight="1" spans="1:6">
      <c r="A14" s="1" t="s">
        <v>274</v>
      </c>
      <c r="B14" s="1" t="s">
        <v>658</v>
      </c>
      <c r="D14" s="1">
        <f t="shared" si="5"/>
        <v>0.330427743542385</v>
      </c>
      <c r="E14" s="1">
        <f t="shared" si="6"/>
        <v>0.0158364090540588</v>
      </c>
      <c r="F14" s="2">
        <f t="shared" si="7"/>
        <v>0.0634885063170714</v>
      </c>
    </row>
    <row r="16" customHeight="1" spans="1:5">
      <c r="A16" s="1" t="s">
        <v>1019</v>
      </c>
      <c r="B16" s="1">
        <v>1</v>
      </c>
      <c r="D16" s="1">
        <f>DEGREES(ATAN2(SQRT(M13^2+N13^2),O13))</f>
        <v>18.9321151390098</v>
      </c>
      <c r="E16" s="1">
        <f>DEGREES(ATAN2(M13,N13))</f>
        <v>0.907359401440334</v>
      </c>
    </row>
    <row r="17" customHeight="1" spans="7:9">
      <c r="G17" s="1" t="s">
        <v>1016</v>
      </c>
      <c r="H17" s="1" t="s">
        <v>1017</v>
      </c>
      <c r="I17" s="1" t="s">
        <v>1018</v>
      </c>
    </row>
    <row r="18" customHeight="1" spans="1:16">
      <c r="A18" s="1">
        <v>0</v>
      </c>
      <c r="B18" s="1">
        <f t="shared" ref="B18:B118" si="9">IF(A18*10&lt;$E$3,A18*10/$E$3,1)</f>
        <v>0</v>
      </c>
      <c r="D18" s="1">
        <f t="shared" ref="D18:D130" si="10">DEGREES(ATAN2(SQRT(N18^2+O18^2),P18))</f>
        <v>40.027011336907</v>
      </c>
      <c r="E18" s="1">
        <f t="shared" ref="E18:E130" si="11">DEGREES(ATAN2(N18,O18))</f>
        <v>-117.616791660721</v>
      </c>
      <c r="G18" s="1">
        <f>-($C$3+F13)*COS(RADIANS(D18))*SIN(RADIANS(E18))</f>
        <v>200.545063565929</v>
      </c>
      <c r="H18" s="1">
        <f>($C$3+F13)*COS(RADIANS(D18))*COS(RADIANS(E18))</f>
        <v>-104.917273995152</v>
      </c>
      <c r="I18" s="1">
        <f>($C$3+F13)*SIN(RADIANS(D18))</f>
        <v>190.096594760393</v>
      </c>
      <c r="L18" s="1">
        <f t="shared" ref="L18:L130" si="12">SIN((1-B18)*$J$13)/SIN($J$13)</f>
        <v>1</v>
      </c>
      <c r="M18" s="1">
        <f t="shared" ref="M18:M130" si="13">SIN(B18*$J$13)/SIN($J$13)</f>
        <v>0</v>
      </c>
      <c r="N18" s="1">
        <f t="shared" ref="N18:N130" si="14">L18*COS($D$13)*COS($E$13)+M18*COS($D$14)*COS($E$14)</f>
        <v>-0.35496378216902</v>
      </c>
      <c r="O18" s="1">
        <f t="shared" ref="O18:O130" si="15">L18*COS($D$13)*SIN($E$13)+M18*COS($D$14)*SIN($E$14)</f>
        <v>-0.678498702339313</v>
      </c>
      <c r="P18" s="1">
        <f t="shared" ref="P18:P130" si="16">L18*SIN($D$13)+M18*SIN($D$14)</f>
        <v>0.643148679756192</v>
      </c>
    </row>
    <row r="19" customHeight="1" spans="1:16">
      <c r="A19" s="1">
        <v>1</v>
      </c>
      <c r="B19" s="1">
        <f t="shared" si="9"/>
        <v>0.0198416241559869</v>
      </c>
      <c r="D19" s="1">
        <f t="shared" si="10"/>
        <v>41.0638617770672</v>
      </c>
      <c r="E19" s="1">
        <f t="shared" si="11"/>
        <v>-115.45538988278</v>
      </c>
      <c r="G19" s="1">
        <f t="shared" ref="G19:G130" si="17">-$C$3*COS(RADIANS(D19))*SIN(RADIANS(E19))</f>
        <v>200.830646179795</v>
      </c>
      <c r="H19" s="1">
        <f t="shared" ref="H19:H130" si="18">$C$3*COS(RADIANS(D19))*COS(RADIANS(E19))</f>
        <v>-95.5994362203186</v>
      </c>
      <c r="I19" s="1">
        <f t="shared" ref="I19:I130" si="19">$C$3*SIN(RADIANS(D19))</f>
        <v>193.785446691343</v>
      </c>
      <c r="K19" s="1">
        <f>($N$2*F19)*SIN(RADIANS(D19))</f>
        <v>0</v>
      </c>
      <c r="L19" s="1">
        <f t="shared" si="12"/>
        <v>1.00412037006623</v>
      </c>
      <c r="M19" s="1">
        <f t="shared" si="13"/>
        <v>0.0342154691194041</v>
      </c>
      <c r="N19" s="1">
        <f t="shared" si="14"/>
        <v>-0.324065885492605</v>
      </c>
      <c r="O19" s="1">
        <f t="shared" si="15"/>
        <v>-0.680781851456932</v>
      </c>
      <c r="P19" s="1">
        <f t="shared" si="16"/>
        <v>0.656899819292687</v>
      </c>
    </row>
    <row r="20" customHeight="1" spans="1:16">
      <c r="A20" s="1">
        <v>2</v>
      </c>
      <c r="B20" s="1">
        <f t="shared" si="9"/>
        <v>0.0396832483119738</v>
      </c>
      <c r="D20" s="1">
        <f t="shared" si="10"/>
        <v>42.0590531817465</v>
      </c>
      <c r="E20" s="1">
        <f t="shared" si="11"/>
        <v>-113.22616362184</v>
      </c>
      <c r="G20" s="1">
        <f t="shared" si="17"/>
        <v>201.273423442645</v>
      </c>
      <c r="H20" s="1">
        <f t="shared" si="18"/>
        <v>-86.3747142269653</v>
      </c>
      <c r="I20" s="1">
        <f t="shared" si="19"/>
        <v>197.619375967762</v>
      </c>
      <c r="L20" s="1">
        <f t="shared" si="12"/>
        <v>1.00708701925489</v>
      </c>
      <c r="M20" s="1">
        <f t="shared" si="13"/>
        <v>0.0683916251223374</v>
      </c>
      <c r="N20" s="1">
        <f t="shared" si="14"/>
        <v>-0.29279564144734</v>
      </c>
      <c r="O20" s="1">
        <f t="shared" si="15"/>
        <v>-0.682282791331001</v>
      </c>
      <c r="P20" s="1">
        <f t="shared" si="16"/>
        <v>0.669896189721227</v>
      </c>
    </row>
    <row r="21" customHeight="1" spans="1:16">
      <c r="A21" s="1">
        <v>3</v>
      </c>
      <c r="B21" s="1">
        <f t="shared" si="9"/>
        <v>0.0595248724679607</v>
      </c>
      <c r="D21" s="1">
        <f t="shared" si="10"/>
        <v>43.0097542335155</v>
      </c>
      <c r="E21" s="1">
        <f t="shared" si="11"/>
        <v>-110.927575443627</v>
      </c>
      <c r="G21" s="1">
        <f t="shared" si="17"/>
        <v>201.484940233495</v>
      </c>
      <c r="H21" s="1">
        <f t="shared" si="18"/>
        <v>-77.0507488420135</v>
      </c>
      <c r="I21" s="1">
        <f t="shared" si="19"/>
        <v>201.226243223865</v>
      </c>
      <c r="L21" s="1">
        <f t="shared" si="12"/>
        <v>1.00889653892572</v>
      </c>
      <c r="M21" s="1">
        <f t="shared" si="13"/>
        <v>0.102489200062574</v>
      </c>
      <c r="N21" s="1">
        <f t="shared" si="14"/>
        <v>-0.261188979125469</v>
      </c>
      <c r="O21" s="1">
        <f t="shared" si="15"/>
        <v>-0.682999797401677</v>
      </c>
      <c r="P21" s="1">
        <f t="shared" si="16"/>
        <v>0.682122858385982</v>
      </c>
    </row>
    <row r="22" customHeight="1" spans="1:16">
      <c r="A22" s="1">
        <v>4</v>
      </c>
      <c r="B22" s="1">
        <f t="shared" si="9"/>
        <v>0.0793664966239477</v>
      </c>
      <c r="D22" s="1">
        <f t="shared" si="10"/>
        <v>43.9130380745779</v>
      </c>
      <c r="E22" s="1">
        <f t="shared" si="11"/>
        <v>-108.558555286413</v>
      </c>
      <c r="G22" s="1">
        <f t="shared" si="17"/>
        <v>201.464953522379</v>
      </c>
      <c r="H22" s="1">
        <f t="shared" si="18"/>
        <v>-67.6382531770055</v>
      </c>
      <c r="I22" s="1">
        <f t="shared" si="19"/>
        <v>204.601904217407</v>
      </c>
      <c r="L22" s="1">
        <f t="shared" si="12"/>
        <v>1.00954684996482</v>
      </c>
      <c r="M22" s="1">
        <f t="shared" si="13"/>
        <v>0.136469016282478</v>
      </c>
      <c r="N22" s="1">
        <f t="shared" si="14"/>
        <v>-0.229282214159341</v>
      </c>
      <c r="O22" s="1">
        <f t="shared" si="15"/>
        <v>-0.682932045838573</v>
      </c>
      <c r="P22" s="1">
        <f t="shared" si="16"/>
        <v>0.693565777008159</v>
      </c>
    </row>
    <row r="23" customHeight="1" spans="1:16">
      <c r="A23" s="1">
        <v>5</v>
      </c>
      <c r="B23" s="1">
        <f t="shared" si="9"/>
        <v>0.0992081207799346</v>
      </c>
      <c r="D23" s="1">
        <f t="shared" si="10"/>
        <v>44.7659015187381</v>
      </c>
      <c r="E23" s="1">
        <f t="shared" si="11"/>
        <v>-106.118596015161</v>
      </c>
      <c r="G23" s="1">
        <f t="shared" si="17"/>
        <v>201.213486273762</v>
      </c>
      <c r="H23" s="1">
        <f t="shared" si="18"/>
        <v>-58.1480420635915</v>
      </c>
      <c r="I23" s="1">
        <f t="shared" si="19"/>
        <v>207.742480359048</v>
      </c>
      <c r="L23" s="1">
        <f t="shared" si="12"/>
        <v>1.00903720517351</v>
      </c>
      <c r="M23" s="1">
        <f t="shared" si="13"/>
        <v>0.17029203142761</v>
      </c>
      <c r="N23" s="1">
        <f t="shared" si="14"/>
        <v>-0.197112006995226</v>
      </c>
      <c r="O23" s="1">
        <f t="shared" si="15"/>
        <v>-0.682079614487328</v>
      </c>
      <c r="P23" s="1">
        <f t="shared" si="16"/>
        <v>0.704211797827282</v>
      </c>
    </row>
    <row r="24" customHeight="1" spans="1:16">
      <c r="A24" s="1">
        <v>6</v>
      </c>
      <c r="B24" s="1">
        <f t="shared" si="9"/>
        <v>0.119049744935921</v>
      </c>
      <c r="D24" s="1">
        <f t="shared" si="10"/>
        <v>45.5652899061238</v>
      </c>
      <c r="E24" s="1">
        <f t="shared" si="11"/>
        <v>-103.607852504176</v>
      </c>
      <c r="G24" s="1">
        <f t="shared" si="17"/>
        <v>200.730827420149</v>
      </c>
      <c r="H24" s="1">
        <f t="shared" si="18"/>
        <v>-48.5910196274329</v>
      </c>
      <c r="I24" s="1">
        <f t="shared" si="19"/>
        <v>210.644363168799</v>
      </c>
      <c r="L24" s="1">
        <f t="shared" si="12"/>
        <v>1.00736819012683</v>
      </c>
      <c r="M24" s="1">
        <f t="shared" si="13"/>
        <v>0.203919383305866</v>
      </c>
      <c r="N24" s="1">
        <f t="shared" si="14"/>
        <v>-0.164715320770959</v>
      </c>
      <c r="O24" s="1">
        <f t="shared" si="15"/>
        <v>-0.680443482780166</v>
      </c>
      <c r="P24" s="1">
        <f t="shared" si="16"/>
        <v>0.714048688707793</v>
      </c>
    </row>
    <row r="25" customHeight="1" spans="1:16">
      <c r="A25" s="1">
        <v>7</v>
      </c>
      <c r="B25" s="1">
        <f t="shared" si="9"/>
        <v>0.138891369091908</v>
      </c>
      <c r="D25" s="1">
        <f t="shared" si="10"/>
        <v>46.3081279776336</v>
      </c>
      <c r="E25" s="1">
        <f t="shared" si="11"/>
        <v>-101.027240316818</v>
      </c>
      <c r="G25" s="1">
        <f t="shared" si="17"/>
        <v>200.017531530109</v>
      </c>
      <c r="H25" s="1">
        <f t="shared" si="18"/>
        <v>-38.9781667595071</v>
      </c>
      <c r="I25" s="1">
        <f t="shared" si="19"/>
        <v>213.304218422116</v>
      </c>
      <c r="L25" s="1">
        <f t="shared" si="12"/>
        <v>1.00454172250075</v>
      </c>
      <c r="M25" s="1">
        <f t="shared" si="13"/>
        <v>0.237312434539622</v>
      </c>
      <c r="N25" s="1">
        <f t="shared" si="14"/>
        <v>-0.132129378845787</v>
      </c>
      <c r="O25" s="1">
        <f t="shared" si="15"/>
        <v>-0.678025530610539</v>
      </c>
      <c r="P25" s="1">
        <f t="shared" si="16"/>
        <v>0.723065147193615</v>
      </c>
    </row>
    <row r="26" customHeight="1" spans="1:16">
      <c r="A26" s="1">
        <v>8</v>
      </c>
      <c r="B26" s="1">
        <f t="shared" si="9"/>
        <v>0.158732993247895</v>
      </c>
      <c r="D26" s="1">
        <f t="shared" si="10"/>
        <v>46.9913569021617</v>
      </c>
      <c r="E26" s="1">
        <f t="shared" si="11"/>
        <v>-98.3785288854295</v>
      </c>
      <c r="G26" s="1">
        <f t="shared" si="17"/>
        <v>199.074418171081</v>
      </c>
      <c r="H26" s="1">
        <f t="shared" si="18"/>
        <v>-29.3205284992113</v>
      </c>
      <c r="I26" s="1">
        <f t="shared" si="19"/>
        <v>215.718989980884</v>
      </c>
      <c r="L26" s="1">
        <f t="shared" si="12"/>
        <v>1.00056104986879</v>
      </c>
      <c r="M26" s="1">
        <f t="shared" si="13"/>
        <v>0.270432816959559</v>
      </c>
      <c r="N26" s="1">
        <f t="shared" si="14"/>
        <v>-0.0993916220312247</v>
      </c>
      <c r="O26" s="1">
        <f t="shared" si="15"/>
        <v>-0.674828536173156</v>
      </c>
      <c r="P26" s="1">
        <f t="shared" si="16"/>
        <v>0.73125081349452</v>
      </c>
    </row>
    <row r="27" customHeight="1" spans="1:16">
      <c r="A27" s="1">
        <v>9</v>
      </c>
      <c r="B27" s="1">
        <f t="shared" si="9"/>
        <v>0.178574617403882</v>
      </c>
      <c r="D27" s="1">
        <f t="shared" si="10"/>
        <v>47.6119772565986</v>
      </c>
      <c r="E27" s="1">
        <f t="shared" si="11"/>
        <v>-95.6644230214602</v>
      </c>
      <c r="G27" s="1">
        <f t="shared" si="17"/>
        <v>197.902570967703</v>
      </c>
      <c r="H27" s="1">
        <f t="shared" si="18"/>
        <v>-19.6292013437595</v>
      </c>
      <c r="I27" s="1">
        <f t="shared" si="19"/>
        <v>217.885903304871</v>
      </c>
      <c r="L27" s="1">
        <f t="shared" si="12"/>
        <v>0.995430745970552</v>
      </c>
      <c r="M27" s="1">
        <f t="shared" si="13"/>
        <v>0.303242475689179</v>
      </c>
      <c r="N27" s="1">
        <f t="shared" si="14"/>
        <v>-0.0665396655720659</v>
      </c>
      <c r="O27" s="1">
        <f t="shared" si="15"/>
        <v>-0.670856172771873</v>
      </c>
      <c r="P27" s="1">
        <f t="shared" si="16"/>
        <v>0.738596282389393</v>
      </c>
    </row>
    <row r="28" customHeight="1" spans="1:16">
      <c r="A28" s="1">
        <v>10</v>
      </c>
      <c r="B28" s="1">
        <f t="shared" si="9"/>
        <v>0.198416241559869</v>
      </c>
      <c r="D28" s="1">
        <f t="shared" si="10"/>
        <v>48.1670973415208</v>
      </c>
      <c r="E28" s="1">
        <f t="shared" si="11"/>
        <v>-92.8886257772918</v>
      </c>
      <c r="G28" s="1">
        <f t="shared" si="17"/>
        <v>196.50333635674</v>
      </c>
      <c r="H28" s="1">
        <f t="shared" si="18"/>
        <v>-9.91532049845571</v>
      </c>
      <c r="I28" s="1">
        <f t="shared" si="19"/>
        <v>219.802468639646</v>
      </c>
      <c r="L28" s="1">
        <f t="shared" si="12"/>
        <v>0.989156705456623</v>
      </c>
      <c r="M28" s="1">
        <f t="shared" si="13"/>
        <v>0.335703712869352</v>
      </c>
      <c r="N28" s="1">
        <f t="shared" si="14"/>
        <v>-0.0336112559269685</v>
      </c>
      <c r="O28" s="1">
        <f t="shared" si="15"/>
        <v>-0.666113004599119</v>
      </c>
      <c r="P28" s="1">
        <f t="shared" si="16"/>
        <v>0.7450931140327</v>
      </c>
    </row>
    <row r="29" customHeight="1" spans="1:16">
      <c r="A29" s="1">
        <v>11</v>
      </c>
      <c r="B29" s="1">
        <f t="shared" si="9"/>
        <v>0.218257865715856</v>
      </c>
      <c r="D29" s="1">
        <f t="shared" si="10"/>
        <v>48.6539857336326</v>
      </c>
      <c r="E29" s="1">
        <f t="shared" si="11"/>
        <v>-90.0558753388765</v>
      </c>
      <c r="G29" s="1">
        <f t="shared" si="17"/>
        <v>194.87832204005</v>
      </c>
      <c r="H29" s="1">
        <f t="shared" si="18"/>
        <v>-0.190047082492077</v>
      </c>
      <c r="I29" s="1">
        <f t="shared" si="19"/>
        <v>221.46648387727</v>
      </c>
      <c r="L29" s="1">
        <f t="shared" si="12"/>
        <v>0.98174613711565</v>
      </c>
      <c r="M29" s="1">
        <f t="shared" si="13"/>
        <v>0.367779230972644</v>
      </c>
      <c r="N29" s="1">
        <f t="shared" si="14"/>
        <v>-0.000644227398278296</v>
      </c>
      <c r="O29" s="1">
        <f t="shared" si="15"/>
        <v>-0.660604481491696</v>
      </c>
      <c r="P29" s="1">
        <f t="shared" si="16"/>
        <v>0.750733843651761</v>
      </c>
    </row>
    <row r="30" customHeight="1" spans="1:16">
      <c r="A30" s="1">
        <v>12</v>
      </c>
      <c r="B30" s="1">
        <f t="shared" si="9"/>
        <v>0.238099489871843</v>
      </c>
      <c r="D30" s="1">
        <f t="shared" si="10"/>
        <v>49.0701264653532</v>
      </c>
      <c r="E30" s="1">
        <f t="shared" si="11"/>
        <v>-87.1719489531622</v>
      </c>
      <c r="G30" s="1">
        <f t="shared" si="17"/>
        <v>193.029395137352</v>
      </c>
      <c r="H30" s="1">
        <f t="shared" si="18"/>
        <v>9.53544469502785</v>
      </c>
      <c r="I30" s="1">
        <f t="shared" si="19"/>
        <v>222.876037086485</v>
      </c>
      <c r="L30" s="1">
        <f t="shared" si="12"/>
        <v>0.973207555591558</v>
      </c>
      <c r="M30" s="1">
        <f t="shared" si="13"/>
        <v>0.399432175657688</v>
      </c>
      <c r="N30" s="1">
        <f t="shared" si="14"/>
        <v>0.0323235413390775</v>
      </c>
      <c r="O30" s="1">
        <f t="shared" si="15"/>
        <v>-0.65433693266899</v>
      </c>
      <c r="P30" s="1">
        <f t="shared" si="16"/>
        <v>0.755511990123676</v>
      </c>
    </row>
    <row r="31" customHeight="1" spans="1:16">
      <c r="A31" s="1">
        <v>13</v>
      </c>
      <c r="B31" s="1">
        <f t="shared" si="9"/>
        <v>0.25794111402783</v>
      </c>
      <c r="D31" s="1">
        <f t="shared" si="10"/>
        <v>49.4132747348986</v>
      </c>
      <c r="E31" s="1">
        <f t="shared" si="11"/>
        <v>-84.2436280460578</v>
      </c>
      <c r="G31" s="1">
        <f t="shared" si="17"/>
        <v>190.958680040932</v>
      </c>
      <c r="H31" s="1">
        <f t="shared" si="18"/>
        <v>19.2499803741062</v>
      </c>
      <c r="I31" s="1">
        <f t="shared" si="19"/>
        <v>224.029508709503</v>
      </c>
      <c r="L31" s="1">
        <f t="shared" si="12"/>
        <v>0.963550771600338</v>
      </c>
      <c r="M31" s="1">
        <f t="shared" si="13"/>
        <v>0.430626178114319</v>
      </c>
      <c r="N31" s="1">
        <f t="shared" si="14"/>
        <v>0.0652541707596822</v>
      </c>
      <c r="O31" s="1">
        <f t="shared" si="15"/>
        <v>-0.647317559460787</v>
      </c>
      <c r="P31" s="1">
        <f t="shared" si="16"/>
        <v>0.759422063422045</v>
      </c>
    </row>
    <row r="32" customHeight="1" spans="1:16">
      <c r="A32" s="1">
        <v>14</v>
      </c>
      <c r="B32" s="1">
        <f t="shared" si="9"/>
        <v>0.277782738183817</v>
      </c>
      <c r="D32" s="1">
        <f t="shared" si="10"/>
        <v>49.6815106517577</v>
      </c>
      <c r="E32" s="1">
        <f t="shared" si="11"/>
        <v>-81.2786207334225</v>
      </c>
      <c r="G32" s="1">
        <f t="shared" si="17"/>
        <v>188.668555974746</v>
      </c>
      <c r="H32" s="1">
        <f t="shared" si="18"/>
        <v>28.9423980831556</v>
      </c>
      <c r="I32" s="1">
        <f t="shared" si="19"/>
        <v>224.925573422856</v>
      </c>
      <c r="L32" s="1">
        <f t="shared" si="12"/>
        <v>0.952786880657658</v>
      </c>
      <c r="M32" s="1">
        <f t="shared" si="13"/>
        <v>0.461325396850857</v>
      </c>
      <c r="N32" s="1">
        <f t="shared" si="14"/>
        <v>0.0981098240106971</v>
      </c>
      <c r="O32" s="1">
        <f t="shared" si="15"/>
        <v>-0.639554427033036</v>
      </c>
      <c r="P32" s="1">
        <f t="shared" si="16"/>
        <v>0.762459570924935</v>
      </c>
    </row>
    <row r="33" customHeight="1" spans="1:16">
      <c r="A33" s="1">
        <v>15</v>
      </c>
      <c r="B33" s="1">
        <f t="shared" si="9"/>
        <v>0.297624362339804</v>
      </c>
      <c r="D33" s="1">
        <f t="shared" si="10"/>
        <v>49.8732882816306</v>
      </c>
      <c r="E33" s="1">
        <f t="shared" si="11"/>
        <v>-78.2854408002135</v>
      </c>
      <c r="G33" s="1">
        <f t="shared" si="17"/>
        <v>186.161654260719</v>
      </c>
      <c r="H33" s="1">
        <f t="shared" si="18"/>
        <v>38.6015613638406</v>
      </c>
      <c r="I33" s="1">
        <f t="shared" si="19"/>
        <v>225.563201660169</v>
      </c>
      <c r="L33" s="1">
        <f t="shared" si="12"/>
        <v>0.940928250330273</v>
      </c>
      <c r="M33" s="1">
        <f t="shared" si="13"/>
        <v>0.4914945588755</v>
      </c>
      <c r="N33" s="1">
        <f t="shared" si="14"/>
        <v>0.1308527503859</v>
      </c>
      <c r="O33" s="1">
        <f t="shared" si="15"/>
        <v>-0.631056455121083</v>
      </c>
      <c r="P33" s="1">
        <f t="shared" si="16"/>
        <v>0.764621022576844</v>
      </c>
    </row>
    <row r="34" customHeight="1" spans="1:16">
      <c r="A34" s="1">
        <v>16</v>
      </c>
      <c r="B34" s="1">
        <f t="shared" si="9"/>
        <v>0.317465986495791</v>
      </c>
      <c r="D34" s="1">
        <f t="shared" si="10"/>
        <v>49.9874772325874</v>
      </c>
      <c r="E34" s="1">
        <f t="shared" si="11"/>
        <v>-75.2732456890613</v>
      </c>
      <c r="G34" s="1">
        <f t="shared" si="17"/>
        <v>183.4408552954</v>
      </c>
      <c r="H34" s="1">
        <f t="shared" si="18"/>
        <v>48.2163719667189</v>
      </c>
      <c r="I34" s="1">
        <f t="shared" si="19"/>
        <v>225.941660795125</v>
      </c>
      <c r="L34" s="1">
        <f t="shared" si="12"/>
        <v>0.927988506025847</v>
      </c>
      <c r="M34" s="1">
        <f t="shared" si="13"/>
        <v>0.52109900022452</v>
      </c>
      <c r="N34" s="1">
        <f t="shared" si="14"/>
        <v>0.163445328700742</v>
      </c>
      <c r="O34" s="1">
        <f t="shared" si="15"/>
        <v>-0.621833407781016</v>
      </c>
      <c r="P34" s="1">
        <f t="shared" si="16"/>
        <v>0.765903934898728</v>
      </c>
    </row>
    <row r="35" customHeight="1" spans="1:16">
      <c r="A35" s="1">
        <v>17</v>
      </c>
      <c r="B35" s="1">
        <f t="shared" si="9"/>
        <v>0.337307610651778</v>
      </c>
      <c r="D35" s="1">
        <f t="shared" si="10"/>
        <v>50.0233942593423</v>
      </c>
      <c r="E35" s="1">
        <f t="shared" si="11"/>
        <v>-72.251639711618</v>
      </c>
      <c r="G35" s="1">
        <f t="shared" si="17"/>
        <v>180.509285240414</v>
      </c>
      <c r="H35" s="1">
        <f t="shared" si="18"/>
        <v>57.7757826029823</v>
      </c>
      <c r="I35" s="1">
        <f t="shared" si="19"/>
        <v>226.060515983238</v>
      </c>
      <c r="L35" s="1">
        <f t="shared" si="12"/>
        <v>0.91398251533755</v>
      </c>
      <c r="M35" s="1">
        <f t="shared" si="13"/>
        <v>0.550104705790693</v>
      </c>
      <c r="N35" s="1">
        <f t="shared" si="14"/>
        <v>0.195850110518584</v>
      </c>
      <c r="O35" s="1">
        <f t="shared" si="15"/>
        <v>-0.611895882170894</v>
      </c>
      <c r="P35" s="1">
        <f t="shared" si="16"/>
        <v>0.766306833841485</v>
      </c>
    </row>
    <row r="36" customHeight="1" spans="1:16">
      <c r="A36" s="1">
        <v>18</v>
      </c>
      <c r="B36" s="1">
        <f t="shared" si="9"/>
        <v>0.357149234807764</v>
      </c>
      <c r="D36" s="1">
        <f t="shared" si="10"/>
        <v>49.9808228600021</v>
      </c>
      <c r="E36" s="1">
        <f t="shared" si="11"/>
        <v>-69.2304520820476</v>
      </c>
      <c r="G36" s="1">
        <f t="shared" si="17"/>
        <v>177.370312430552</v>
      </c>
      <c r="H36" s="1">
        <f t="shared" si="18"/>
        <v>67.2688096376431</v>
      </c>
      <c r="I36" s="1">
        <f t="shared" si="19"/>
        <v>225.919630661487</v>
      </c>
      <c r="L36" s="1">
        <f t="shared" si="12"/>
        <v>0.898926370961387</v>
      </c>
      <c r="M36" s="1">
        <f t="shared" si="13"/>
        <v>0.578478348406203</v>
      </c>
      <c r="N36" s="1">
        <f t="shared" si="14"/>
        <v>0.228029863178451</v>
      </c>
      <c r="O36" s="1">
        <f t="shared" si="15"/>
        <v>-0.601255296374752</v>
      </c>
      <c r="P36" s="1">
        <f t="shared" si="16"/>
        <v>0.765829256479618</v>
      </c>
    </row>
    <row r="37" customHeight="1" spans="1:16">
      <c r="A37" s="1">
        <v>19</v>
      </c>
      <c r="B37" s="1">
        <f t="shared" si="9"/>
        <v>0.376990858963751</v>
      </c>
      <c r="D37" s="1">
        <f t="shared" si="10"/>
        <v>49.8600195638024</v>
      </c>
      <c r="E37" s="1">
        <f t="shared" si="11"/>
        <v>-66.219501963911</v>
      </c>
      <c r="G37" s="1">
        <f t="shared" si="17"/>
        <v>174.027543503597</v>
      </c>
      <c r="H37" s="1">
        <f t="shared" si="18"/>
        <v>76.6845457095844</v>
      </c>
      <c r="I37" s="1">
        <f t="shared" si="19"/>
        <v>225.519166705223</v>
      </c>
      <c r="L37" s="1">
        <f t="shared" si="12"/>
        <v>0.882837372205908</v>
      </c>
      <c r="M37" s="1">
        <f t="shared" si="13"/>
        <v>0.606187327135113</v>
      </c>
      <c r="N37" s="1">
        <f t="shared" si="14"/>
        <v>0.259947612574862</v>
      </c>
      <c r="O37" s="1">
        <f t="shared" si="15"/>
        <v>-0.58992387628338</v>
      </c>
      <c r="P37" s="1">
        <f t="shared" si="16"/>
        <v>0.76447175154313</v>
      </c>
    </row>
    <row r="38" customHeight="1" spans="1:16">
      <c r="A38" s="1">
        <v>20</v>
      </c>
      <c r="B38" s="1">
        <f t="shared" si="9"/>
        <v>0.396832483119738</v>
      </c>
      <c r="D38" s="1">
        <f t="shared" si="10"/>
        <v>49.6617064850022</v>
      </c>
      <c r="E38" s="1">
        <f t="shared" si="11"/>
        <v>-63.2283641018709</v>
      </c>
      <c r="G38" s="1">
        <f t="shared" si="17"/>
        <v>170.484819256345</v>
      </c>
      <c r="H38" s="1">
        <f t="shared" si="18"/>
        <v>86.0121722639715</v>
      </c>
      <c r="I38" s="1">
        <f t="shared" si="19"/>
        <v>224.859584242176</v>
      </c>
      <c r="L38" s="1">
        <f t="shared" si="12"/>
        <v>0.865734005115532</v>
      </c>
      <c r="M38" s="1">
        <f t="shared" si="13"/>
        <v>0.633199804731402</v>
      </c>
      <c r="N38" s="1">
        <f t="shared" si="14"/>
        <v>0.291566685640581</v>
      </c>
      <c r="O38" s="1">
        <f t="shared" si="15"/>
        <v>-0.577914641546931</v>
      </c>
      <c r="P38" s="1">
        <f t="shared" si="16"/>
        <v>0.762235878787038</v>
      </c>
    </row>
    <row r="39" customHeight="1" spans="1:16">
      <c r="A39" s="1">
        <v>21</v>
      </c>
      <c r="B39" s="1">
        <f t="shared" si="9"/>
        <v>0.416674107275725</v>
      </c>
      <c r="D39" s="1">
        <f t="shared" si="10"/>
        <v>49.3870506456491</v>
      </c>
      <c r="E39" s="1">
        <f t="shared" si="11"/>
        <v>-60.2661485468738</v>
      </c>
      <c r="G39" s="1">
        <f t="shared" si="17"/>
        <v>166.74621023158</v>
      </c>
      <c r="H39" s="1">
        <f t="shared" si="18"/>
        <v>95.2409719826276</v>
      </c>
      <c r="I39" s="1">
        <f t="shared" si="19"/>
        <v>223.941641123776</v>
      </c>
      <c r="L39" s="1">
        <f t="shared" si="12"/>
        <v>0.84763592123033</v>
      </c>
      <c r="M39" s="1">
        <f t="shared" si="13"/>
        <v>0.659484744219536</v>
      </c>
      <c r="N39" s="1">
        <f t="shared" si="14"/>
        <v>0.322850752483483</v>
      </c>
      <c r="O39" s="1">
        <f t="shared" si="15"/>
        <v>-0.565241390615524</v>
      </c>
      <c r="P39" s="1">
        <f t="shared" si="16"/>
        <v>0.759124207199241</v>
      </c>
    </row>
    <row r="40" customHeight="1" spans="1:16">
      <c r="A40" s="1">
        <v>22</v>
      </c>
      <c r="B40" s="1">
        <f t="shared" si="9"/>
        <v>0.436515731431712</v>
      </c>
      <c r="D40" s="1">
        <f t="shared" si="10"/>
        <v>49.037631437316</v>
      </c>
      <c r="E40" s="1">
        <f t="shared" si="11"/>
        <v>-57.3413064883997</v>
      </c>
      <c r="G40" s="1">
        <f t="shared" si="17"/>
        <v>162.816012041077</v>
      </c>
      <c r="H40" s="1">
        <f t="shared" si="18"/>
        <v>104.360341098088</v>
      </c>
      <c r="I40" s="1">
        <f t="shared" si="19"/>
        <v>222.766392054391</v>
      </c>
      <c r="L40" s="1">
        <f t="shared" si="12"/>
        <v>0.82856391500667</v>
      </c>
      <c r="M40" s="1">
        <f t="shared" si="13"/>
        <v>0.68501194455554</v>
      </c>
      <c r="N40" s="1">
        <f t="shared" si="14"/>
        <v>0.353763868129112</v>
      </c>
      <c r="O40" s="1">
        <f t="shared" si="15"/>
        <v>-0.551918684885007</v>
      </c>
      <c r="P40" s="1">
        <f t="shared" si="16"/>
        <v>0.755140312048782</v>
      </c>
    </row>
    <row r="41" customHeight="1" spans="1:16">
      <c r="A41" s="1">
        <v>23</v>
      </c>
      <c r="B41" s="1">
        <f t="shared" si="9"/>
        <v>0.456357355587699</v>
      </c>
      <c r="D41" s="1">
        <f t="shared" si="10"/>
        <v>48.6153982992229</v>
      </c>
      <c r="E41" s="1">
        <f t="shared" si="11"/>
        <v>-54.4614715299355</v>
      </c>
      <c r="G41" s="1">
        <f t="shared" si="17"/>
        <v>158.698740430001</v>
      </c>
      <c r="H41" s="1">
        <f t="shared" si="18"/>
        <v>113.359801577189</v>
      </c>
      <c r="I41" s="1">
        <f t="shared" si="19"/>
        <v>221.335187379485</v>
      </c>
      <c r="L41" s="1">
        <f t="shared" si="12"/>
        <v>0.808539899924661</v>
      </c>
      <c r="M41" s="1">
        <f t="shared" si="13"/>
        <v>0.709752075327592</v>
      </c>
      <c r="N41" s="1">
        <f t="shared" si="14"/>
        <v>0.384270513820978</v>
      </c>
      <c r="O41" s="1">
        <f t="shared" si="15"/>
        <v>-0.537961831966105</v>
      </c>
      <c r="P41" s="1">
        <f t="shared" si="16"/>
        <v>0.750288770777914</v>
      </c>
    </row>
    <row r="42" customHeight="1" spans="1:16">
      <c r="A42" s="1">
        <v>24</v>
      </c>
      <c r="B42" s="1">
        <f t="shared" si="9"/>
        <v>0.476198979743686</v>
      </c>
      <c r="D42" s="1">
        <f t="shared" si="10"/>
        <v>48.1226211661725</v>
      </c>
      <c r="E42" s="1">
        <f t="shared" si="11"/>
        <v>-51.6333423133333</v>
      </c>
      <c r="G42" s="1">
        <f t="shared" si="17"/>
        <v>154.399126088374</v>
      </c>
      <c r="H42" s="1">
        <f t="shared" si="18"/>
        <v>122.229013160184</v>
      </c>
      <c r="I42" s="1">
        <f t="shared" si="19"/>
        <v>219.649671534091</v>
      </c>
      <c r="L42" s="1">
        <f t="shared" si="12"/>
        <v>0.787586883309862</v>
      </c>
      <c r="M42" s="1">
        <f t="shared" si="13"/>
        <v>0.733676710456272</v>
      </c>
      <c r="N42" s="1">
        <f t="shared" si="14"/>
        <v>0.414335637831132</v>
      </c>
      <c r="O42" s="1">
        <f t="shared" si="15"/>
        <v>-0.523386868096184</v>
      </c>
      <c r="P42" s="1">
        <f t="shared" si="16"/>
        <v>0.74457515774268</v>
      </c>
    </row>
    <row r="43" customHeight="1" spans="1:16">
      <c r="A43" s="1">
        <v>25</v>
      </c>
      <c r="B43" s="1">
        <f t="shared" si="9"/>
        <v>0.496040603899673</v>
      </c>
      <c r="D43" s="1">
        <f t="shared" si="10"/>
        <v>47.5618364522952</v>
      </c>
      <c r="E43" s="1">
        <f t="shared" si="11"/>
        <v>-48.8626087249789</v>
      </c>
      <c r="G43" s="1">
        <f t="shared" si="17"/>
        <v>149.922109215579</v>
      </c>
      <c r="H43" s="1">
        <f t="shared" si="18"/>
        <v>130.957785241569</v>
      </c>
      <c r="I43" s="1">
        <f t="shared" si="19"/>
        <v>217.711781153375</v>
      </c>
      <c r="L43" s="1">
        <f t="shared" si="12"/>
        <v>0.765728939898167</v>
      </c>
      <c r="M43" s="1">
        <f t="shared" si="13"/>
        <v>0.75675836085575</v>
      </c>
      <c r="N43" s="1">
        <f t="shared" si="14"/>
        <v>0.443924695734133</v>
      </c>
      <c r="O43" s="1">
        <f t="shared" si="15"/>
        <v>-0.508210539713825</v>
      </c>
      <c r="P43" s="1">
        <f t="shared" si="16"/>
        <v>0.738006037808052</v>
      </c>
    </row>
    <row r="44" customHeight="1" spans="1:16">
      <c r="A44" s="1">
        <v>26</v>
      </c>
      <c r="B44" s="1">
        <f t="shared" si="9"/>
        <v>0.51588222805566</v>
      </c>
      <c r="D44" s="1">
        <f t="shared" si="10"/>
        <v>46.9357912938439</v>
      </c>
      <c r="E44" s="1">
        <f t="shared" si="11"/>
        <v>-46.1539204878154</v>
      </c>
      <c r="G44" s="1">
        <f t="shared" si="17"/>
        <v>145.272833844132</v>
      </c>
      <c r="H44" s="1">
        <f t="shared" si="18"/>
        <v>139.536088578949</v>
      </c>
      <c r="I44" s="1">
        <f t="shared" si="19"/>
        <v>215.523742847472</v>
      </c>
      <c r="L44" s="1">
        <f t="shared" si="12"/>
        <v>0.742991184174262</v>
      </c>
      <c r="M44" s="1">
        <f t="shared" si="13"/>
        <v>0.778970506018377</v>
      </c>
      <c r="N44" s="1">
        <f t="shared" si="14"/>
        <v>0.473003690098131</v>
      </c>
      <c r="O44" s="1">
        <f t="shared" si="15"/>
        <v>-0.492450284217396</v>
      </c>
      <c r="P44" s="1">
        <f t="shared" si="16"/>
        <v>0.730588958804988</v>
      </c>
    </row>
    <row r="45" customHeight="1" spans="1:16">
      <c r="A45" s="1">
        <v>27</v>
      </c>
      <c r="B45" s="1">
        <f t="shared" si="9"/>
        <v>0.535723852211647</v>
      </c>
      <c r="D45" s="1">
        <f t="shared" si="10"/>
        <v>46.2473885175064</v>
      </c>
      <c r="E45" s="1">
        <f t="shared" si="11"/>
        <v>-43.5108941340035</v>
      </c>
      <c r="G45" s="1">
        <f t="shared" si="17"/>
        <v>140.456641929263</v>
      </c>
      <c r="H45" s="1">
        <f t="shared" si="18"/>
        <v>147.954066816501</v>
      </c>
      <c r="I45" s="1">
        <f t="shared" si="19"/>
        <v>213.088070643134</v>
      </c>
      <c r="L45" s="1">
        <f t="shared" si="12"/>
        <v>0.71939974151541</v>
      </c>
      <c r="M45" s="1">
        <f t="shared" si="13"/>
        <v>0.800287624486394</v>
      </c>
      <c r="N45" s="1">
        <f t="shared" si="14"/>
        <v>0.501539209547462</v>
      </c>
      <c r="O45" s="1">
        <f t="shared" si="15"/>
        <v>-0.476124209929705</v>
      </c>
      <c r="P45" s="1">
        <f t="shared" si="16"/>
        <v>0.72233244285808</v>
      </c>
    </row>
    <row r="46" customHeight="1" spans="1:16">
      <c r="A46" s="1">
        <v>28</v>
      </c>
      <c r="B46" s="1">
        <f t="shared" si="9"/>
        <v>0.555565476367634</v>
      </c>
      <c r="D46" s="1">
        <f t="shared" si="10"/>
        <v>45.4996343920417</v>
      </c>
      <c r="E46" s="1">
        <f t="shared" si="11"/>
        <v>-40.936152381678</v>
      </c>
      <c r="G46" s="1">
        <f t="shared" si="17"/>
        <v>135.479067211078</v>
      </c>
      <c r="H46" s="1">
        <f t="shared" si="18"/>
        <v>156.202047809801</v>
      </c>
      <c r="I46" s="1">
        <f t="shared" si="19"/>
        <v>210.407563095153</v>
      </c>
      <c r="L46" s="1">
        <f t="shared" si="12"/>
        <v>0.694981718173751</v>
      </c>
      <c r="M46" s="1">
        <f t="shared" si="13"/>
        <v>0.820685223175745</v>
      </c>
      <c r="N46" s="1">
        <f t="shared" si="14"/>
        <v>0.529498467151869</v>
      </c>
      <c r="O46" s="1">
        <f t="shared" si="15"/>
        <v>-0.45925107529179</v>
      </c>
      <c r="P46" s="1">
        <f t="shared" si="16"/>
        <v>0.713245976593738</v>
      </c>
    </row>
    <row r="47" customHeight="1" spans="1:16">
      <c r="A47" s="1">
        <v>29</v>
      </c>
      <c r="B47" s="1">
        <f t="shared" si="9"/>
        <v>0.57540710052362</v>
      </c>
      <c r="D47" s="1">
        <f t="shared" si="10"/>
        <v>44.6955907296117</v>
      </c>
      <c r="E47" s="1">
        <f t="shared" si="11"/>
        <v>-38.4313888619004</v>
      </c>
      <c r="G47" s="1">
        <f t="shared" si="17"/>
        <v>130.345828856365</v>
      </c>
      <c r="H47" s="1">
        <f t="shared" si="18"/>
        <v>164.270554738984</v>
      </c>
      <c r="I47" s="1">
        <f t="shared" si="19"/>
        <v>207.485300070857</v>
      </c>
      <c r="L47" s="1">
        <f t="shared" si="12"/>
        <v>0.669765170131572</v>
      </c>
      <c r="M47" s="1">
        <f t="shared" si="13"/>
        <v>0.840139865518303</v>
      </c>
      <c r="N47" s="1">
        <f t="shared" si="14"/>
        <v>0.556849338098252</v>
      </c>
      <c r="O47" s="1">
        <f t="shared" si="15"/>
        <v>-0.441850267309713</v>
      </c>
      <c r="P47" s="1">
        <f t="shared" si="16"/>
        <v>0.703340000240192</v>
      </c>
    </row>
    <row r="48" customHeight="1" spans="1:16">
      <c r="A48" s="1">
        <v>30</v>
      </c>
      <c r="B48" s="1">
        <f t="shared" si="9"/>
        <v>0.595248724679607</v>
      </c>
      <c r="D48" s="1">
        <f t="shared" si="10"/>
        <v>43.8383323931314</v>
      </c>
      <c r="E48" s="1">
        <f t="shared" si="11"/>
        <v>-35.9974508807205</v>
      </c>
      <c r="G48" s="1">
        <f t="shared" si="17"/>
        <v>125.06282488735</v>
      </c>
      <c r="H48" s="1">
        <f t="shared" si="18"/>
        <v>172.150316997485</v>
      </c>
      <c r="I48" s="1">
        <f t="shared" si="19"/>
        <v>204.324639211382</v>
      </c>
      <c r="L48" s="1">
        <f t="shared" si="12"/>
        <v>0.643779070865366</v>
      </c>
      <c r="M48" s="1">
        <f t="shared" si="13"/>
        <v>0.858629198390175</v>
      </c>
      <c r="N48" s="1">
        <f t="shared" si="14"/>
        <v>0.583560396601644</v>
      </c>
      <c r="O48" s="1">
        <f t="shared" si="15"/>
        <v>-0.423941779279152</v>
      </c>
      <c r="P48" s="1">
        <f t="shared" si="16"/>
        <v>0.692625895631804</v>
      </c>
    </row>
    <row r="49" customHeight="1" spans="1:16">
      <c r="A49" s="1">
        <v>31</v>
      </c>
      <c r="B49" s="1">
        <f t="shared" si="9"/>
        <v>0.615090348835594</v>
      </c>
      <c r="D49" s="1">
        <f t="shared" si="10"/>
        <v>42.9309107884559</v>
      </c>
      <c r="E49" s="1">
        <f t="shared" si="11"/>
        <v>-33.6344332912919</v>
      </c>
      <c r="G49" s="1">
        <f t="shared" si="17"/>
        <v>119.636125404945</v>
      </c>
      <c r="H49" s="1">
        <f t="shared" si="18"/>
        <v>179.83228084384</v>
      </c>
      <c r="I49" s="1">
        <f t="shared" si="19"/>
        <v>200.929212073791</v>
      </c>
      <c r="L49" s="1">
        <f t="shared" si="12"/>
        <v>0.61705327805569</v>
      </c>
      <c r="M49" s="1">
        <f t="shared" si="13"/>
        <v>0.87613197779514</v>
      </c>
      <c r="N49" s="1">
        <f t="shared" si="14"/>
        <v>0.609600952013019</v>
      </c>
      <c r="O49" s="1">
        <f t="shared" si="15"/>
        <v>-0.405546187813373</v>
      </c>
      <c r="P49" s="1">
        <f t="shared" si="16"/>
        <v>0.681115973131494</v>
      </c>
    </row>
    <row r="50" customHeight="1" spans="1:16">
      <c r="A50" s="1">
        <v>32</v>
      </c>
      <c r="B50" s="1">
        <f t="shared" si="9"/>
        <v>0.634931972991581</v>
      </c>
      <c r="D50" s="1">
        <f t="shared" si="10"/>
        <v>41.9763235097334</v>
      </c>
      <c r="E50" s="1">
        <f t="shared" si="11"/>
        <v>-31.3417773894267</v>
      </c>
      <c r="G50" s="1">
        <f t="shared" si="17"/>
        <v>114.071965614287</v>
      </c>
      <c r="H50" s="1">
        <f t="shared" si="18"/>
        <v>187.307619804319</v>
      </c>
      <c r="I50" s="1">
        <f t="shared" si="19"/>
        <v>197.302919958458</v>
      </c>
      <c r="L50" s="1">
        <f t="shared" si="12"/>
        <v>0.589618499281089</v>
      </c>
      <c r="M50" s="1">
        <f t="shared" si="13"/>
        <v>0.892628093273717</v>
      </c>
      <c r="N50" s="1">
        <f t="shared" si="14"/>
        <v>0.634941084082436</v>
      </c>
      <c r="O50" s="1">
        <f t="shared" si="15"/>
        <v>-0.386684629200973</v>
      </c>
      <c r="P50" s="1">
        <f t="shared" si="16"/>
        <v>0.668823457486299</v>
      </c>
    </row>
    <row r="51" customHeight="1" spans="1:16">
      <c r="A51" s="1">
        <v>33</v>
      </c>
      <c r="B51" s="1">
        <f t="shared" si="9"/>
        <v>0.654773597147568</v>
      </c>
      <c r="D51" s="1">
        <f t="shared" si="10"/>
        <v>40.9774899807387</v>
      </c>
      <c r="E51" s="1">
        <f t="shared" si="11"/>
        <v>-29.1183698331658</v>
      </c>
      <c r="G51" s="1">
        <f t="shared" si="17"/>
        <v>108.376738660569</v>
      </c>
      <c r="H51" s="1">
        <f t="shared" si="18"/>
        <v>194.567744814418</v>
      </c>
      <c r="I51" s="1">
        <f t="shared" si="19"/>
        <v>193.449929426532</v>
      </c>
      <c r="L51" s="1">
        <f t="shared" si="12"/>
        <v>0.561506256735505</v>
      </c>
      <c r="M51" s="1">
        <f t="shared" si="13"/>
        <v>0.908098591009818</v>
      </c>
      <c r="N51" s="1">
        <f t="shared" si="14"/>
        <v>0.65955167733701</v>
      </c>
      <c r="O51" s="1">
        <f t="shared" si="15"/>
        <v>-0.367378775120573</v>
      </c>
      <c r="P51" s="1">
        <f t="shared" si="16"/>
        <v>0.655762472632312</v>
      </c>
    </row>
    <row r="52" customHeight="1" spans="1:16">
      <c r="A52" s="1">
        <v>34</v>
      </c>
      <c r="B52" s="1">
        <f t="shared" si="9"/>
        <v>0.674615221303555</v>
      </c>
      <c r="D52" s="1">
        <f t="shared" si="10"/>
        <v>39.9372326985192</v>
      </c>
      <c r="E52" s="1">
        <f t="shared" si="11"/>
        <v>-26.9626377535114</v>
      </c>
      <c r="G52" s="1">
        <f t="shared" si="17"/>
        <v>102.556988283401</v>
      </c>
      <c r="H52" s="1">
        <f t="shared" si="18"/>
        <v>201.604314087588</v>
      </c>
      <c r="I52" s="1">
        <f t="shared" si="19"/>
        <v>189.37466751261</v>
      </c>
      <c r="L52" s="1">
        <f t="shared" si="12"/>
        <v>0.53274885100969</v>
      </c>
      <c r="M52" s="1">
        <f t="shared" si="13"/>
        <v>0.922525695608422</v>
      </c>
      <c r="N52" s="1">
        <f t="shared" si="14"/>
        <v>0.683404454534197</v>
      </c>
      <c r="O52" s="1">
        <f t="shared" si="15"/>
        <v>-0.347650807740343</v>
      </c>
      <c r="P52" s="1">
        <f t="shared" si="16"/>
        <v>0.641948025466473</v>
      </c>
    </row>
    <row r="53" customHeight="1" spans="1:16">
      <c r="A53" s="1">
        <v>35</v>
      </c>
      <c r="B53" s="1">
        <f t="shared" si="9"/>
        <v>0.694456845459542</v>
      </c>
      <c r="D53" s="1">
        <f t="shared" si="10"/>
        <v>38.8582635322617</v>
      </c>
      <c r="E53" s="1">
        <f t="shared" si="11"/>
        <v>-24.8726373433701</v>
      </c>
      <c r="G53" s="1">
        <f t="shared" si="17"/>
        <v>96.6194012981417</v>
      </c>
      <c r="H53" s="1">
        <f t="shared" si="18"/>
        <v>208.409242699831</v>
      </c>
      <c r="I53" s="1">
        <f t="shared" si="19"/>
        <v>185.081816638133</v>
      </c>
      <c r="L53" s="1">
        <f t="shared" si="12"/>
        <v>0.503379323978264</v>
      </c>
      <c r="M53" s="1">
        <f t="shared" si="13"/>
        <v>0.935892830519273</v>
      </c>
      <c r="N53" s="1">
        <f t="shared" si="14"/>
        <v>0.70647200915197</v>
      </c>
      <c r="O53" s="1">
        <f t="shared" si="15"/>
        <v>-0.327523394230989</v>
      </c>
      <c r="P53" s="1">
        <f t="shared" si="16"/>
        <v>0.627395988603841</v>
      </c>
    </row>
    <row r="54" customHeight="1" spans="1:16">
      <c r="A54" s="1">
        <v>36</v>
      </c>
      <c r="B54" s="1">
        <f t="shared" si="9"/>
        <v>0.714298469615529</v>
      </c>
      <c r="D54" s="1">
        <f t="shared" si="10"/>
        <v>37.7431744478859</v>
      </c>
      <c r="E54" s="1">
        <f t="shared" si="11"/>
        <v>-22.8461342039986</v>
      </c>
      <c r="G54" s="1">
        <f t="shared" si="17"/>
        <v>90.5707999128364</v>
      </c>
      <c r="H54" s="1">
        <f t="shared" si="18"/>
        <v>214.97471187917</v>
      </c>
      <c r="I54" s="1">
        <f t="shared" si="19"/>
        <v>180.576309231351</v>
      </c>
      <c r="L54" s="1">
        <f t="shared" si="12"/>
        <v>0.47343142083504</v>
      </c>
      <c r="M54" s="1">
        <f t="shared" si="13"/>
        <v>0.94818463708311</v>
      </c>
      <c r="N54" s="1">
        <f t="shared" si="14"/>
        <v>0.728727836878544</v>
      </c>
      <c r="O54" s="1">
        <f t="shared" si="15"/>
        <v>-0.307019660721479</v>
      </c>
      <c r="P54" s="1">
        <f t="shared" si="16"/>
        <v>0.612123082140174</v>
      </c>
    </row>
    <row r="55" customHeight="1" spans="1:16">
      <c r="A55" s="1">
        <v>37</v>
      </c>
      <c r="B55" s="1">
        <f t="shared" si="9"/>
        <v>0.734140093771516</v>
      </c>
      <c r="D55" s="1">
        <f t="shared" si="10"/>
        <v>36.5944320027567</v>
      </c>
      <c r="E55" s="1">
        <f t="shared" si="11"/>
        <v>-20.8806745512477</v>
      </c>
      <c r="G55" s="1">
        <f t="shared" si="17"/>
        <v>84.4181338895918</v>
      </c>
      <c r="H55" s="1">
        <f t="shared" si="18"/>
        <v>221.293177989316</v>
      </c>
      <c r="I55" s="1">
        <f t="shared" si="19"/>
        <v>175.863322060024</v>
      </c>
      <c r="L55" s="1">
        <f t="shared" si="12"/>
        <v>0.442939551320253</v>
      </c>
      <c r="M55" s="1">
        <f t="shared" si="13"/>
        <v>0.959386992178565</v>
      </c>
      <c r="N55" s="1">
        <f t="shared" si="14"/>
        <v>0.750146366065478</v>
      </c>
      <c r="O55" s="1">
        <f t="shared" si="15"/>
        <v>-0.28616316572743</v>
      </c>
      <c r="P55" s="1">
        <f t="shared" si="16"/>
        <v>0.596146854440761</v>
      </c>
    </row>
    <row r="56" customHeight="1" spans="1:16">
      <c r="A56" s="1">
        <v>38</v>
      </c>
      <c r="B56" s="1">
        <f t="shared" si="9"/>
        <v>0.753981717927503</v>
      </c>
      <c r="D56" s="1">
        <f t="shared" si="10"/>
        <v>35.4143749701829</v>
      </c>
      <c r="E56" s="1">
        <f t="shared" si="11"/>
        <v>-18.9736470264012</v>
      </c>
      <c r="G56" s="1">
        <f t="shared" si="17"/>
        <v>78.1684725593919</v>
      </c>
      <c r="H56" s="1">
        <f t="shared" si="18"/>
        <v>227.357381197201</v>
      </c>
      <c r="I56" s="1">
        <f t="shared" si="19"/>
        <v>170.948270283388</v>
      </c>
      <c r="L56" s="1">
        <f t="shared" si="12"/>
        <v>0.41193875018422</v>
      </c>
      <c r="M56" s="1">
        <f t="shared" si="13"/>
        <v>0.969487024449436</v>
      </c>
      <c r="N56" s="1">
        <f t="shared" si="14"/>
        <v>0.770702987109156</v>
      </c>
      <c r="O56" s="1">
        <f t="shared" si="15"/>
        <v>-0.264977873082685</v>
      </c>
      <c r="P56" s="1">
        <f t="shared" si="16"/>
        <v>0.579485661977586</v>
      </c>
    </row>
    <row r="57" customHeight="1" spans="1:16">
      <c r="A57" s="1">
        <v>39</v>
      </c>
      <c r="B57" s="1">
        <f t="shared" si="9"/>
        <v>0.77382334208349</v>
      </c>
      <c r="D57" s="1">
        <f t="shared" si="10"/>
        <v>34.2052144965636</v>
      </c>
      <c r="E57" s="1">
        <f t="shared" si="11"/>
        <v>-17.1223353277303</v>
      </c>
      <c r="G57" s="1">
        <f t="shared" si="17"/>
        <v>71.8289966995315</v>
      </c>
      <c r="H57" s="1">
        <f t="shared" si="18"/>
        <v>233.160353814433</v>
      </c>
      <c r="I57" s="1">
        <f t="shared" si="19"/>
        <v>165.836801230206</v>
      </c>
      <c r="L57" s="1">
        <f t="shared" si="12"/>
        <v>0.380464636932888</v>
      </c>
      <c r="M57" s="1">
        <f t="shared" si="13"/>
        <v>0.978473129093707</v>
      </c>
      <c r="N57" s="1">
        <f t="shared" si="14"/>
        <v>0.790374080726893</v>
      </c>
      <c r="O57" s="1">
        <f t="shared" si="15"/>
        <v>-0.243488124405191</v>
      </c>
      <c r="P57" s="1">
        <f t="shared" si="16"/>
        <v>0.562158648237987</v>
      </c>
    </row>
    <row r="58" customHeight="1" spans="1:16">
      <c r="A58" s="1">
        <v>40</v>
      </c>
      <c r="B58" s="1">
        <f t="shared" si="9"/>
        <v>0.793664966239477</v>
      </c>
      <c r="D58" s="1">
        <f t="shared" si="10"/>
        <v>32.9690362539149</v>
      </c>
      <c r="E58" s="1">
        <f t="shared" si="11"/>
        <v>-15.3239622003149</v>
      </c>
      <c r="G58" s="1">
        <f t="shared" si="17"/>
        <v>65.4069902829984</v>
      </c>
      <c r="H58" s="1">
        <f t="shared" si="18"/>
        <v>238.695428303076</v>
      </c>
      <c r="I58" s="1">
        <f t="shared" si="19"/>
        <v>160.534787910068</v>
      </c>
      <c r="L58" s="1">
        <f t="shared" si="12"/>
        <v>0.348553374901494</v>
      </c>
      <c r="M58" s="1">
        <f t="shared" si="13"/>
        <v>0.986334981197309</v>
      </c>
      <c r="N58" s="1">
        <f t="shared" si="14"/>
        <v>0.809137045095175</v>
      </c>
      <c r="O58" s="1">
        <f t="shared" si="15"/>
        <v>-0.221718611128808</v>
      </c>
      <c r="P58" s="1">
        <f t="shared" si="16"/>
        <v>0.544185721729045</v>
      </c>
    </row>
    <row r="59" customHeight="1" spans="1:16">
      <c r="A59" s="1">
        <v>41</v>
      </c>
      <c r="B59" s="1">
        <f t="shared" si="9"/>
        <v>0.813506590395463</v>
      </c>
      <c r="D59" s="1">
        <f t="shared" si="10"/>
        <v>31.7078041183417</v>
      </c>
      <c r="E59" s="1">
        <f t="shared" si="11"/>
        <v>-13.5757255197933</v>
      </c>
      <c r="G59" s="1">
        <f t="shared" si="17"/>
        <v>58.9098321092871</v>
      </c>
      <c r="H59" s="1">
        <f t="shared" si="18"/>
        <v>243.956244936561</v>
      </c>
      <c r="I59" s="1">
        <f t="shared" si="19"/>
        <v>155.048322265378</v>
      </c>
      <c r="L59" s="1">
        <f t="shared" si="12"/>
        <v>0.316241629703378</v>
      </c>
      <c r="M59" s="1">
        <f t="shared" si="13"/>
        <v>0.993063547597307</v>
      </c>
      <c r="N59" s="1">
        <f t="shared" si="14"/>
        <v>0.82697032181885</v>
      </c>
      <c r="O59" s="1">
        <f t="shared" si="15"/>
        <v>-0.199694346133177</v>
      </c>
      <c r="P59" s="1">
        <f t="shared" si="16"/>
        <v>0.525587533102975</v>
      </c>
    </row>
    <row r="60" customHeight="1" spans="1:16">
      <c r="A60" s="1">
        <v>42</v>
      </c>
      <c r="B60" s="1">
        <f t="shared" si="9"/>
        <v>0.83334821455145</v>
      </c>
      <c r="D60" s="1">
        <f t="shared" si="10"/>
        <v>30.4233649744356</v>
      </c>
      <c r="E60" s="1">
        <f t="shared" si="11"/>
        <v>-11.8748273077237</v>
      </c>
      <c r="G60" s="1">
        <f t="shared" si="17"/>
        <v>52.3449873262556</v>
      </c>
      <c r="H60" s="1">
        <f t="shared" si="18"/>
        <v>248.936759106924</v>
      </c>
      <c r="I60" s="1">
        <f t="shared" si="19"/>
        <v>149.383708171792</v>
      </c>
      <c r="L60" s="1">
        <f t="shared" si="12"/>
        <v>0.283566527101683</v>
      </c>
      <c r="M60" s="1">
        <f t="shared" si="13"/>
        <v>0.998651097260887</v>
      </c>
      <c r="N60" s="1">
        <f t="shared" si="14"/>
        <v>0.843853420701439</v>
      </c>
      <c r="O60" s="1">
        <f t="shared" si="15"/>
        <v>-0.177440635004256</v>
      </c>
      <c r="P60" s="1">
        <f t="shared" si="16"/>
        <v>0.506385451429804</v>
      </c>
    </row>
    <row r="61" customHeight="1" spans="1:16">
      <c r="A61" s="1">
        <v>43</v>
      </c>
      <c r="B61" s="1">
        <f t="shared" si="9"/>
        <v>0.853189838707437</v>
      </c>
      <c r="D61" s="1">
        <f t="shared" si="10"/>
        <v>29.1174543122937</v>
      </c>
      <c r="E61" s="1">
        <f t="shared" si="11"/>
        <v>-10.2184965472037</v>
      </c>
      <c r="G61" s="1">
        <f t="shared" si="17"/>
        <v>45.719998852771</v>
      </c>
      <c r="H61" s="1">
        <f t="shared" si="18"/>
        <v>253.631248269988</v>
      </c>
      <c r="I61" s="1">
        <f t="shared" si="19"/>
        <v>143.547454195155</v>
      </c>
      <c r="L61" s="1">
        <f t="shared" si="12"/>
        <v>0.25056561035235</v>
      </c>
      <c r="M61" s="1">
        <f t="shared" si="13"/>
        <v>1.0030912101682</v>
      </c>
      <c r="N61" s="1">
        <f t="shared" si="14"/>
        <v>0.859766943288096</v>
      </c>
      <c r="O61" s="1">
        <f t="shared" si="15"/>
        <v>-0.154983046958546</v>
      </c>
      <c r="P61" s="1">
        <f t="shared" si="16"/>
        <v>0.486601539644594</v>
      </c>
    </row>
    <row r="62" customHeight="1" spans="1:16">
      <c r="A62" s="1">
        <v>44</v>
      </c>
      <c r="B62" s="1">
        <f t="shared" si="9"/>
        <v>0.873031462863424</v>
      </c>
      <c r="D62" s="1">
        <f t="shared" si="10"/>
        <v>27.7917023452008</v>
      </c>
      <c r="E62" s="1">
        <f t="shared" si="11"/>
        <v>-8.6040066487347</v>
      </c>
      <c r="G62" s="1">
        <f t="shared" si="17"/>
        <v>39.0424787119966</v>
      </c>
      <c r="H62" s="1">
        <f t="shared" si="18"/>
        <v>258.034318520481</v>
      </c>
      <c r="I62" s="1">
        <f t="shared" si="19"/>
        <v>137.54626611324</v>
      </c>
      <c r="L62" s="1">
        <f t="shared" si="12"/>
        <v>0.217276797067417</v>
      </c>
      <c r="M62" s="1">
        <f t="shared" si="13"/>
        <v>1.0063787846889</v>
      </c>
      <c r="N62" s="1">
        <f t="shared" si="14"/>
        <v>0.874692605154172</v>
      </c>
      <c r="O62" s="1">
        <f t="shared" si="15"/>
        <v>-0.132347385464395</v>
      </c>
      <c r="P62" s="1">
        <f t="shared" si="16"/>
        <v>0.466258529197425</v>
      </c>
    </row>
    <row r="63" customHeight="1" spans="1:16">
      <c r="A63" s="1">
        <v>45</v>
      </c>
      <c r="B63" s="1">
        <f t="shared" si="9"/>
        <v>0.892873087019411</v>
      </c>
      <c r="D63" s="1">
        <f t="shared" si="10"/>
        <v>26.4476404306074</v>
      </c>
      <c r="E63" s="1">
        <f t="shared" si="11"/>
        <v>-7.02868836533429</v>
      </c>
      <c r="G63" s="1">
        <f t="shared" si="17"/>
        <v>32.3200992852787</v>
      </c>
      <c r="H63" s="1">
        <f t="shared" si="18"/>
        <v>262.140910789564</v>
      </c>
      <c r="I63" s="1">
        <f t="shared" si="19"/>
        <v>131.387039210903</v>
      </c>
      <c r="L63" s="1">
        <f t="shared" si="12"/>
        <v>0.183738335648195</v>
      </c>
      <c r="M63" s="1">
        <f t="shared" si="13"/>
        <v>1.00851004344382</v>
      </c>
      <c r="N63" s="1">
        <f t="shared" si="14"/>
        <v>0.888613256913778</v>
      </c>
      <c r="O63" s="1">
        <f t="shared" si="15"/>
        <v>-0.109559658594165</v>
      </c>
      <c r="P63" s="1">
        <f t="shared" si="16"/>
        <v>0.445379793935264</v>
      </c>
    </row>
    <row r="64" customHeight="1" spans="1:16">
      <c r="A64" s="1">
        <v>46</v>
      </c>
      <c r="B64" s="1">
        <f t="shared" si="9"/>
        <v>0.912714711175398</v>
      </c>
      <c r="D64" s="1">
        <f t="shared" si="10"/>
        <v>25.0867076243548</v>
      </c>
      <c r="E64" s="1">
        <f t="shared" si="11"/>
        <v>-5.48993888596206</v>
      </c>
      <c r="G64" s="1">
        <f t="shared" si="17"/>
        <v>25.5605844966835</v>
      </c>
      <c r="H64" s="1">
        <f t="shared" si="18"/>
        <v>265.946306657638</v>
      </c>
      <c r="I64" s="1">
        <f t="shared" si="19"/>
        <v>125.076850357489</v>
      </c>
      <c r="L64" s="1">
        <f t="shared" si="12"/>
        <v>0.149988761338358</v>
      </c>
      <c r="M64" s="1">
        <f t="shared" si="13"/>
        <v>1.00948253764515</v>
      </c>
      <c r="N64" s="1">
        <f t="shared" si="14"/>
        <v>0.901512903924196</v>
      </c>
      <c r="O64" s="1">
        <f t="shared" si="15"/>
        <v>-0.0866460491413</v>
      </c>
      <c r="P64" s="1">
        <f t="shared" si="16"/>
        <v>0.423989323245724</v>
      </c>
    </row>
    <row r="65" customHeight="1" spans="1:16">
      <c r="A65" s="1">
        <v>47</v>
      </c>
      <c r="B65" s="1">
        <f t="shared" si="9"/>
        <v>0.932556335331385</v>
      </c>
      <c r="D65" s="1">
        <f t="shared" si="10"/>
        <v>23.7102572382503</v>
      </c>
      <c r="E65" s="1">
        <f t="shared" si="11"/>
        <v>-3.9852277572512</v>
      </c>
      <c r="G65" s="1">
        <f t="shared" si="17"/>
        <v>18.7717009383112</v>
      </c>
      <c r="H65" s="1">
        <f t="shared" si="18"/>
        <v>269.446133775736</v>
      </c>
      <c r="I65" s="1">
        <f t="shared" si="19"/>
        <v>118.622949875608</v>
      </c>
      <c r="L65" s="1">
        <f t="shared" si="12"/>
        <v>0.116066851947472</v>
      </c>
      <c r="M65" s="1">
        <f t="shared" si="13"/>
        <v>1.00929514991007</v>
      </c>
      <c r="N65" s="1">
        <f t="shared" si="14"/>
        <v>0.913376724663511</v>
      </c>
      <c r="O65" s="1">
        <f t="shared" si="15"/>
        <v>-0.0636328845366482</v>
      </c>
      <c r="P65" s="1">
        <f t="shared" si="16"/>
        <v>0.402111694493585</v>
      </c>
    </row>
    <row r="66" customHeight="1" spans="1:16">
      <c r="A66" s="1">
        <v>48</v>
      </c>
      <c r="B66" s="1">
        <f t="shared" si="9"/>
        <v>0.952397959487372</v>
      </c>
      <c r="D66" s="1">
        <f t="shared" si="10"/>
        <v>22.3195633045394</v>
      </c>
      <c r="E66" s="1">
        <f t="shared" si="11"/>
        <v>-2.51210020225945</v>
      </c>
      <c r="G66" s="1">
        <f t="shared" si="17"/>
        <v>11.9612489465859</v>
      </c>
      <c r="H66" s="1">
        <f t="shared" si="18"/>
        <v>272.636370889301</v>
      </c>
      <c r="I66" s="1">
        <f t="shared" si="19"/>
        <v>112.032753210608</v>
      </c>
      <c r="L66" s="1">
        <f t="shared" si="12"/>
        <v>0.0820115832958063</v>
      </c>
      <c r="M66" s="1">
        <f t="shared" si="13"/>
        <v>1.00794809554456</v>
      </c>
      <c r="N66" s="1">
        <f t="shared" si="14"/>
        <v>0.924191087760344</v>
      </c>
      <c r="O66" s="1">
        <f t="shared" si="15"/>
        <v>-0.0405466065985964</v>
      </c>
      <c r="P66" s="1">
        <f t="shared" si="16"/>
        <v>0.379772044781722</v>
      </c>
    </row>
    <row r="67" customHeight="1" spans="1:16">
      <c r="A67" s="1">
        <v>49</v>
      </c>
      <c r="B67" s="1">
        <f t="shared" si="9"/>
        <v>0.972239583643359</v>
      </c>
      <c r="D67" s="1">
        <f t="shared" si="10"/>
        <v>20.9158268782372</v>
      </c>
      <c r="E67" s="1">
        <f t="shared" si="11"/>
        <v>-1.06817832606416</v>
      </c>
      <c r="G67" s="1">
        <f t="shared" si="17"/>
        <v>5.13705363977316</v>
      </c>
      <c r="H67" s="1">
        <f t="shared" si="18"/>
        <v>275.513352458553</v>
      </c>
      <c r="I67" s="1">
        <f t="shared" si="19"/>
        <v>105.313832410331</v>
      </c>
      <c r="L67" s="1">
        <f t="shared" si="12"/>
        <v>0.0478620844316358</v>
      </c>
      <c r="M67" s="1">
        <f t="shared" si="13"/>
        <v>1.00544292229608</v>
      </c>
      <c r="N67" s="1">
        <f t="shared" si="14"/>
        <v>0.933943567656112</v>
      </c>
      <c r="O67" s="1">
        <f t="shared" si="15"/>
        <v>-0.0174137411517734</v>
      </c>
      <c r="P67" s="1">
        <f t="shared" si="16"/>
        <v>0.356996042068918</v>
      </c>
    </row>
    <row r="68" customHeight="1" spans="1:16">
      <c r="A68" s="1">
        <v>50</v>
      </c>
      <c r="B68" s="1">
        <f t="shared" si="9"/>
        <v>0.992081207799346</v>
      </c>
      <c r="D68" s="1">
        <f t="shared" si="10"/>
        <v>19.5001821304174</v>
      </c>
      <c r="E68" s="1">
        <f t="shared" si="11"/>
        <v>0.348839375623076</v>
      </c>
      <c r="G68" s="1">
        <f t="shared" si="17"/>
        <v>-1.69304407297632</v>
      </c>
      <c r="H68" s="1">
        <f t="shared" si="18"/>
        <v>278.07377287014</v>
      </c>
      <c r="I68" s="1">
        <f t="shared" si="19"/>
        <v>98.4739074249262</v>
      </c>
      <c r="L68" s="1">
        <f t="shared" si="12"/>
        <v>0.0136575926724903</v>
      </c>
      <c r="M68" s="1">
        <f t="shared" si="13"/>
        <v>1.00178250857521</v>
      </c>
      <c r="N68" s="1">
        <f t="shared" si="14"/>
        <v>0.942622958881829</v>
      </c>
      <c r="O68" s="1">
        <f t="shared" si="15"/>
        <v>0.00573913245076719</v>
      </c>
      <c r="P68" s="1">
        <f t="shared" si="16"/>
        <v>0.333809855677716</v>
      </c>
    </row>
    <row r="69" customHeight="1" spans="1:16">
      <c r="A69" s="1">
        <v>51</v>
      </c>
      <c r="B69" s="1">
        <f t="shared" si="9"/>
        <v>1</v>
      </c>
      <c r="D69" s="1">
        <f t="shared" si="10"/>
        <v>18.9321151390098</v>
      </c>
      <c r="E69" s="1">
        <f t="shared" si="11"/>
        <v>0.907359401440334</v>
      </c>
      <c r="G69" s="1">
        <f t="shared" si="17"/>
        <v>-4.41883184440354</v>
      </c>
      <c r="H69" s="1">
        <f t="shared" si="18"/>
        <v>279.006586708147</v>
      </c>
      <c r="I69" s="1">
        <f t="shared" si="19"/>
        <v>95.7120603612734</v>
      </c>
      <c r="L69" s="1">
        <f t="shared" si="12"/>
        <v>0</v>
      </c>
      <c r="M69" s="1">
        <f t="shared" si="13"/>
        <v>1</v>
      </c>
      <c r="N69" s="1">
        <f t="shared" si="14"/>
        <v>0.945785039688634</v>
      </c>
      <c r="O69" s="1">
        <f t="shared" si="15"/>
        <v>0.0149790909979781</v>
      </c>
      <c r="P69" s="1">
        <f t="shared" si="16"/>
        <v>0.324447662241605</v>
      </c>
    </row>
    <row r="70" customHeight="1" spans="1:16">
      <c r="A70" s="1">
        <v>52</v>
      </c>
      <c r="B70" s="1">
        <f t="shared" si="9"/>
        <v>1</v>
      </c>
      <c r="D70" s="1">
        <f t="shared" si="10"/>
        <v>18.9321151390098</v>
      </c>
      <c r="E70" s="1">
        <f t="shared" si="11"/>
        <v>0.907359401440334</v>
      </c>
      <c r="G70" s="1">
        <f t="shared" si="17"/>
        <v>-4.41883184440354</v>
      </c>
      <c r="H70" s="1">
        <f t="shared" si="18"/>
        <v>279.006586708147</v>
      </c>
      <c r="I70" s="1">
        <f t="shared" si="19"/>
        <v>95.7120603612734</v>
      </c>
      <c r="L70" s="1">
        <f t="shared" si="12"/>
        <v>0</v>
      </c>
      <c r="M70" s="1">
        <f t="shared" si="13"/>
        <v>1</v>
      </c>
      <c r="N70" s="1">
        <f t="shared" si="14"/>
        <v>0.945785039688634</v>
      </c>
      <c r="O70" s="1">
        <f t="shared" si="15"/>
        <v>0.0149790909979781</v>
      </c>
      <c r="P70" s="1">
        <f t="shared" si="16"/>
        <v>0.324447662241605</v>
      </c>
    </row>
    <row r="71" customHeight="1" spans="1:16">
      <c r="A71" s="1">
        <v>53</v>
      </c>
      <c r="B71" s="1">
        <f t="shared" si="9"/>
        <v>1</v>
      </c>
      <c r="D71" s="1">
        <f t="shared" si="10"/>
        <v>18.9321151390098</v>
      </c>
      <c r="E71" s="1">
        <f t="shared" si="11"/>
        <v>0.907359401440334</v>
      </c>
      <c r="G71" s="1">
        <f t="shared" si="17"/>
        <v>-4.41883184440354</v>
      </c>
      <c r="H71" s="1">
        <f t="shared" si="18"/>
        <v>279.006586708147</v>
      </c>
      <c r="I71" s="1">
        <f t="shared" si="19"/>
        <v>95.7120603612734</v>
      </c>
      <c r="L71" s="1">
        <f t="shared" si="12"/>
        <v>0</v>
      </c>
      <c r="M71" s="1">
        <f t="shared" si="13"/>
        <v>1</v>
      </c>
      <c r="N71" s="1">
        <f t="shared" si="14"/>
        <v>0.945785039688634</v>
      </c>
      <c r="O71" s="1">
        <f t="shared" si="15"/>
        <v>0.0149790909979781</v>
      </c>
      <c r="P71" s="1">
        <f t="shared" si="16"/>
        <v>0.324447662241605</v>
      </c>
    </row>
    <row r="72" customHeight="1" spans="1:16">
      <c r="A72" s="1">
        <v>54</v>
      </c>
      <c r="B72" s="1">
        <f t="shared" si="9"/>
        <v>1</v>
      </c>
      <c r="D72" s="1">
        <f t="shared" si="10"/>
        <v>18.9321151390098</v>
      </c>
      <c r="E72" s="1">
        <f t="shared" si="11"/>
        <v>0.907359401440334</v>
      </c>
      <c r="G72" s="1">
        <f t="shared" si="17"/>
        <v>-4.41883184440354</v>
      </c>
      <c r="H72" s="1">
        <f t="shared" si="18"/>
        <v>279.006586708147</v>
      </c>
      <c r="I72" s="1">
        <f t="shared" si="19"/>
        <v>95.7120603612734</v>
      </c>
      <c r="L72" s="1">
        <f t="shared" si="12"/>
        <v>0</v>
      </c>
      <c r="M72" s="1">
        <f t="shared" si="13"/>
        <v>1</v>
      </c>
      <c r="N72" s="1">
        <f t="shared" si="14"/>
        <v>0.945785039688634</v>
      </c>
      <c r="O72" s="1">
        <f t="shared" si="15"/>
        <v>0.0149790909979781</v>
      </c>
      <c r="P72" s="1">
        <f t="shared" si="16"/>
        <v>0.324447662241605</v>
      </c>
    </row>
    <row r="73" customHeight="1" spans="1:16">
      <c r="A73" s="1">
        <v>55</v>
      </c>
      <c r="B73" s="1">
        <f t="shared" si="9"/>
        <v>1</v>
      </c>
      <c r="D73" s="1">
        <f t="shared" si="10"/>
        <v>18.9321151390098</v>
      </c>
      <c r="E73" s="1">
        <f t="shared" si="11"/>
        <v>0.907359401440334</v>
      </c>
      <c r="G73" s="1">
        <f t="shared" si="17"/>
        <v>-4.41883184440354</v>
      </c>
      <c r="H73" s="1">
        <f t="shared" si="18"/>
        <v>279.006586708147</v>
      </c>
      <c r="I73" s="1">
        <f t="shared" si="19"/>
        <v>95.7120603612734</v>
      </c>
      <c r="L73" s="1">
        <f t="shared" si="12"/>
        <v>0</v>
      </c>
      <c r="M73" s="1">
        <f t="shared" si="13"/>
        <v>1</v>
      </c>
      <c r="N73" s="1">
        <f t="shared" si="14"/>
        <v>0.945785039688634</v>
      </c>
      <c r="O73" s="1">
        <f t="shared" si="15"/>
        <v>0.0149790909979781</v>
      </c>
      <c r="P73" s="1">
        <f t="shared" si="16"/>
        <v>0.324447662241605</v>
      </c>
    </row>
    <row r="74" customHeight="1" spans="1:16">
      <c r="A74" s="1">
        <v>56</v>
      </c>
      <c r="B74" s="1">
        <f t="shared" si="9"/>
        <v>1</v>
      </c>
      <c r="D74" s="1">
        <f t="shared" si="10"/>
        <v>18.9321151390098</v>
      </c>
      <c r="E74" s="1">
        <f t="shared" si="11"/>
        <v>0.907359401440334</v>
      </c>
      <c r="G74" s="1">
        <f t="shared" si="17"/>
        <v>-4.41883184440354</v>
      </c>
      <c r="H74" s="1">
        <f t="shared" si="18"/>
        <v>279.006586708147</v>
      </c>
      <c r="I74" s="1">
        <f t="shared" si="19"/>
        <v>95.7120603612734</v>
      </c>
      <c r="L74" s="1">
        <f t="shared" si="12"/>
        <v>0</v>
      </c>
      <c r="M74" s="1">
        <f t="shared" si="13"/>
        <v>1</v>
      </c>
      <c r="N74" s="1">
        <f t="shared" si="14"/>
        <v>0.945785039688634</v>
      </c>
      <c r="O74" s="1">
        <f t="shared" si="15"/>
        <v>0.0149790909979781</v>
      </c>
      <c r="P74" s="1">
        <f t="shared" si="16"/>
        <v>0.324447662241605</v>
      </c>
    </row>
    <row r="75" customHeight="1" spans="1:16">
      <c r="A75" s="1">
        <v>57</v>
      </c>
      <c r="B75" s="1">
        <f t="shared" si="9"/>
        <v>1</v>
      </c>
      <c r="D75" s="1">
        <f t="shared" si="10"/>
        <v>18.9321151390098</v>
      </c>
      <c r="E75" s="1">
        <f t="shared" si="11"/>
        <v>0.907359401440334</v>
      </c>
      <c r="G75" s="1">
        <f t="shared" si="17"/>
        <v>-4.41883184440354</v>
      </c>
      <c r="H75" s="1">
        <f t="shared" si="18"/>
        <v>279.006586708147</v>
      </c>
      <c r="I75" s="1">
        <f t="shared" si="19"/>
        <v>95.7120603612734</v>
      </c>
      <c r="L75" s="1">
        <f t="shared" si="12"/>
        <v>0</v>
      </c>
      <c r="M75" s="1">
        <f t="shared" si="13"/>
        <v>1</v>
      </c>
      <c r="N75" s="1">
        <f t="shared" si="14"/>
        <v>0.945785039688634</v>
      </c>
      <c r="O75" s="1">
        <f t="shared" si="15"/>
        <v>0.0149790909979781</v>
      </c>
      <c r="P75" s="1">
        <f t="shared" si="16"/>
        <v>0.324447662241605</v>
      </c>
    </row>
    <row r="76" customHeight="1" spans="1:16">
      <c r="A76" s="1">
        <v>58</v>
      </c>
      <c r="B76" s="1">
        <f t="shared" si="9"/>
        <v>1</v>
      </c>
      <c r="D76" s="1">
        <f t="shared" si="10"/>
        <v>18.9321151390098</v>
      </c>
      <c r="E76" s="1">
        <f t="shared" si="11"/>
        <v>0.907359401440334</v>
      </c>
      <c r="G76" s="1">
        <f t="shared" si="17"/>
        <v>-4.41883184440354</v>
      </c>
      <c r="H76" s="1">
        <f t="shared" si="18"/>
        <v>279.006586708147</v>
      </c>
      <c r="I76" s="1">
        <f t="shared" si="19"/>
        <v>95.7120603612734</v>
      </c>
      <c r="L76" s="1">
        <f t="shared" si="12"/>
        <v>0</v>
      </c>
      <c r="M76" s="1">
        <f t="shared" si="13"/>
        <v>1</v>
      </c>
      <c r="N76" s="1">
        <f t="shared" si="14"/>
        <v>0.945785039688634</v>
      </c>
      <c r="O76" s="1">
        <f t="shared" si="15"/>
        <v>0.0149790909979781</v>
      </c>
      <c r="P76" s="1">
        <f t="shared" si="16"/>
        <v>0.324447662241605</v>
      </c>
    </row>
    <row r="77" customHeight="1" spans="1:16">
      <c r="A77" s="1">
        <v>59</v>
      </c>
      <c r="B77" s="1">
        <f t="shared" si="9"/>
        <v>1</v>
      </c>
      <c r="D77" s="1">
        <f t="shared" si="10"/>
        <v>18.9321151390098</v>
      </c>
      <c r="E77" s="1">
        <f t="shared" si="11"/>
        <v>0.907359401440334</v>
      </c>
      <c r="G77" s="1">
        <f t="shared" si="17"/>
        <v>-4.41883184440354</v>
      </c>
      <c r="H77" s="1">
        <f t="shared" si="18"/>
        <v>279.006586708147</v>
      </c>
      <c r="I77" s="1">
        <f t="shared" si="19"/>
        <v>95.7120603612734</v>
      </c>
      <c r="L77" s="1">
        <f t="shared" si="12"/>
        <v>0</v>
      </c>
      <c r="M77" s="1">
        <f t="shared" si="13"/>
        <v>1</v>
      </c>
      <c r="N77" s="1">
        <f t="shared" si="14"/>
        <v>0.945785039688634</v>
      </c>
      <c r="O77" s="1">
        <f t="shared" si="15"/>
        <v>0.0149790909979781</v>
      </c>
      <c r="P77" s="1">
        <f t="shared" si="16"/>
        <v>0.324447662241605</v>
      </c>
    </row>
    <row r="78" customHeight="1" spans="1:16">
      <c r="A78" s="1">
        <v>60</v>
      </c>
      <c r="B78" s="1">
        <f t="shared" si="9"/>
        <v>1</v>
      </c>
      <c r="D78" s="1">
        <f t="shared" si="10"/>
        <v>18.9321151390098</v>
      </c>
      <c r="E78" s="1">
        <f t="shared" si="11"/>
        <v>0.907359401440334</v>
      </c>
      <c r="G78" s="1">
        <f t="shared" si="17"/>
        <v>-4.41883184440354</v>
      </c>
      <c r="H78" s="1">
        <f t="shared" si="18"/>
        <v>279.006586708147</v>
      </c>
      <c r="I78" s="1">
        <f t="shared" si="19"/>
        <v>95.7120603612734</v>
      </c>
      <c r="L78" s="1">
        <f t="shared" si="12"/>
        <v>0</v>
      </c>
      <c r="M78" s="1">
        <f t="shared" si="13"/>
        <v>1</v>
      </c>
      <c r="N78" s="1">
        <f t="shared" si="14"/>
        <v>0.945785039688634</v>
      </c>
      <c r="O78" s="1">
        <f t="shared" si="15"/>
        <v>0.0149790909979781</v>
      </c>
      <c r="P78" s="1">
        <f t="shared" si="16"/>
        <v>0.324447662241605</v>
      </c>
    </row>
    <row r="79" customHeight="1" spans="1:16">
      <c r="A79" s="1">
        <v>61</v>
      </c>
      <c r="B79" s="1">
        <f t="shared" si="9"/>
        <v>1</v>
      </c>
      <c r="D79" s="1">
        <f t="shared" si="10"/>
        <v>18.9321151390098</v>
      </c>
      <c r="E79" s="1">
        <f t="shared" si="11"/>
        <v>0.907359401440334</v>
      </c>
      <c r="G79" s="1">
        <f t="shared" si="17"/>
        <v>-4.41883184440354</v>
      </c>
      <c r="H79" s="1">
        <f t="shared" si="18"/>
        <v>279.006586708147</v>
      </c>
      <c r="I79" s="1">
        <f t="shared" si="19"/>
        <v>95.7120603612734</v>
      </c>
      <c r="L79" s="1">
        <f t="shared" si="12"/>
        <v>0</v>
      </c>
      <c r="M79" s="1">
        <f t="shared" si="13"/>
        <v>1</v>
      </c>
      <c r="N79" s="1">
        <f t="shared" si="14"/>
        <v>0.945785039688634</v>
      </c>
      <c r="O79" s="1">
        <f t="shared" si="15"/>
        <v>0.0149790909979781</v>
      </c>
      <c r="P79" s="1">
        <f t="shared" si="16"/>
        <v>0.324447662241605</v>
      </c>
    </row>
    <row r="80" customHeight="1" spans="1:16">
      <c r="A80" s="1">
        <v>62</v>
      </c>
      <c r="B80" s="1">
        <f t="shared" si="9"/>
        <v>1</v>
      </c>
      <c r="D80" s="1">
        <f t="shared" si="10"/>
        <v>18.9321151390098</v>
      </c>
      <c r="E80" s="1">
        <f t="shared" si="11"/>
        <v>0.907359401440334</v>
      </c>
      <c r="G80" s="1">
        <f t="shared" si="17"/>
        <v>-4.41883184440354</v>
      </c>
      <c r="H80" s="1">
        <f t="shared" si="18"/>
        <v>279.006586708147</v>
      </c>
      <c r="I80" s="1">
        <f t="shared" si="19"/>
        <v>95.7120603612734</v>
      </c>
      <c r="L80" s="1">
        <f t="shared" si="12"/>
        <v>0</v>
      </c>
      <c r="M80" s="1">
        <f t="shared" si="13"/>
        <v>1</v>
      </c>
      <c r="N80" s="1">
        <f t="shared" si="14"/>
        <v>0.945785039688634</v>
      </c>
      <c r="O80" s="1">
        <f t="shared" si="15"/>
        <v>0.0149790909979781</v>
      </c>
      <c r="P80" s="1">
        <f t="shared" si="16"/>
        <v>0.324447662241605</v>
      </c>
    </row>
    <row r="81" customHeight="1" spans="1:16">
      <c r="A81" s="1">
        <v>63</v>
      </c>
      <c r="B81" s="1">
        <f t="shared" si="9"/>
        <v>1</v>
      </c>
      <c r="D81" s="1">
        <f t="shared" si="10"/>
        <v>18.9321151390098</v>
      </c>
      <c r="E81" s="1">
        <f t="shared" si="11"/>
        <v>0.907359401440334</v>
      </c>
      <c r="G81" s="1">
        <f t="shared" si="17"/>
        <v>-4.41883184440354</v>
      </c>
      <c r="H81" s="1">
        <f t="shared" si="18"/>
        <v>279.006586708147</v>
      </c>
      <c r="I81" s="1">
        <f t="shared" si="19"/>
        <v>95.7120603612734</v>
      </c>
      <c r="L81" s="1">
        <f t="shared" si="12"/>
        <v>0</v>
      </c>
      <c r="M81" s="1">
        <f t="shared" si="13"/>
        <v>1</v>
      </c>
      <c r="N81" s="1">
        <f t="shared" si="14"/>
        <v>0.945785039688634</v>
      </c>
      <c r="O81" s="1">
        <f t="shared" si="15"/>
        <v>0.0149790909979781</v>
      </c>
      <c r="P81" s="1">
        <f t="shared" si="16"/>
        <v>0.324447662241605</v>
      </c>
    </row>
    <row r="82" customHeight="1" spans="1:16">
      <c r="A82" s="1">
        <v>64</v>
      </c>
      <c r="B82" s="1">
        <f t="shared" si="9"/>
        <v>1</v>
      </c>
      <c r="D82" s="1">
        <f t="shared" si="10"/>
        <v>18.9321151390098</v>
      </c>
      <c r="E82" s="1">
        <f t="shared" si="11"/>
        <v>0.907359401440334</v>
      </c>
      <c r="G82" s="1">
        <f t="shared" si="17"/>
        <v>-4.41883184440354</v>
      </c>
      <c r="H82" s="1">
        <f t="shared" si="18"/>
        <v>279.006586708147</v>
      </c>
      <c r="I82" s="1">
        <f t="shared" si="19"/>
        <v>95.7120603612734</v>
      </c>
      <c r="L82" s="1">
        <f t="shared" si="12"/>
        <v>0</v>
      </c>
      <c r="M82" s="1">
        <f t="shared" si="13"/>
        <v>1</v>
      </c>
      <c r="N82" s="1">
        <f t="shared" si="14"/>
        <v>0.945785039688634</v>
      </c>
      <c r="O82" s="1">
        <f t="shared" si="15"/>
        <v>0.0149790909979781</v>
      </c>
      <c r="P82" s="1">
        <f t="shared" si="16"/>
        <v>0.324447662241605</v>
      </c>
    </row>
    <row r="83" customHeight="1" spans="1:16">
      <c r="A83" s="1">
        <v>65</v>
      </c>
      <c r="B83" s="1">
        <f t="shared" si="9"/>
        <v>1</v>
      </c>
      <c r="D83" s="1">
        <f t="shared" si="10"/>
        <v>18.9321151390098</v>
      </c>
      <c r="E83" s="1">
        <f t="shared" si="11"/>
        <v>0.907359401440334</v>
      </c>
      <c r="G83" s="1">
        <f t="shared" si="17"/>
        <v>-4.41883184440354</v>
      </c>
      <c r="H83" s="1">
        <f t="shared" si="18"/>
        <v>279.006586708147</v>
      </c>
      <c r="I83" s="1">
        <f t="shared" si="19"/>
        <v>95.7120603612734</v>
      </c>
      <c r="L83" s="1">
        <f t="shared" si="12"/>
        <v>0</v>
      </c>
      <c r="M83" s="1">
        <f t="shared" si="13"/>
        <v>1</v>
      </c>
      <c r="N83" s="1">
        <f t="shared" si="14"/>
        <v>0.945785039688634</v>
      </c>
      <c r="O83" s="1">
        <f t="shared" si="15"/>
        <v>0.0149790909979781</v>
      </c>
      <c r="P83" s="1">
        <f t="shared" si="16"/>
        <v>0.324447662241605</v>
      </c>
    </row>
    <row r="84" customHeight="1" spans="1:16">
      <c r="A84" s="1">
        <v>66</v>
      </c>
      <c r="B84" s="1">
        <f t="shared" si="9"/>
        <v>1</v>
      </c>
      <c r="D84" s="1">
        <f t="shared" si="10"/>
        <v>18.9321151390098</v>
      </c>
      <c r="E84" s="1">
        <f t="shared" si="11"/>
        <v>0.907359401440334</v>
      </c>
      <c r="G84" s="1">
        <f t="shared" si="17"/>
        <v>-4.41883184440354</v>
      </c>
      <c r="H84" s="1">
        <f t="shared" si="18"/>
        <v>279.006586708147</v>
      </c>
      <c r="I84" s="1">
        <f t="shared" si="19"/>
        <v>95.7120603612734</v>
      </c>
      <c r="L84" s="1">
        <f t="shared" si="12"/>
        <v>0</v>
      </c>
      <c r="M84" s="1">
        <f t="shared" si="13"/>
        <v>1</v>
      </c>
      <c r="N84" s="1">
        <f t="shared" si="14"/>
        <v>0.945785039688634</v>
      </c>
      <c r="O84" s="1">
        <f t="shared" si="15"/>
        <v>0.0149790909979781</v>
      </c>
      <c r="P84" s="1">
        <f t="shared" si="16"/>
        <v>0.324447662241605</v>
      </c>
    </row>
    <row r="85" customHeight="1" spans="1:16">
      <c r="A85" s="1">
        <v>67</v>
      </c>
      <c r="B85" s="1">
        <f t="shared" si="9"/>
        <v>1</v>
      </c>
      <c r="D85" s="1">
        <f t="shared" si="10"/>
        <v>18.9321151390098</v>
      </c>
      <c r="E85" s="1">
        <f t="shared" si="11"/>
        <v>0.907359401440334</v>
      </c>
      <c r="G85" s="1">
        <f t="shared" si="17"/>
        <v>-4.41883184440354</v>
      </c>
      <c r="H85" s="1">
        <f t="shared" si="18"/>
        <v>279.006586708147</v>
      </c>
      <c r="I85" s="1">
        <f t="shared" si="19"/>
        <v>95.7120603612734</v>
      </c>
      <c r="L85" s="1">
        <f t="shared" si="12"/>
        <v>0</v>
      </c>
      <c r="M85" s="1">
        <f t="shared" si="13"/>
        <v>1</v>
      </c>
      <c r="N85" s="1">
        <f t="shared" si="14"/>
        <v>0.945785039688634</v>
      </c>
      <c r="O85" s="1">
        <f t="shared" si="15"/>
        <v>0.0149790909979781</v>
      </c>
      <c r="P85" s="1">
        <f t="shared" si="16"/>
        <v>0.324447662241605</v>
      </c>
    </row>
    <row r="86" customHeight="1" spans="1:16">
      <c r="A86" s="1">
        <v>68</v>
      </c>
      <c r="B86" s="1">
        <f t="shared" si="9"/>
        <v>1</v>
      </c>
      <c r="D86" s="1">
        <f t="shared" si="10"/>
        <v>18.9321151390098</v>
      </c>
      <c r="E86" s="1">
        <f t="shared" si="11"/>
        <v>0.907359401440334</v>
      </c>
      <c r="G86" s="1">
        <f t="shared" si="17"/>
        <v>-4.41883184440354</v>
      </c>
      <c r="H86" s="1">
        <f t="shared" si="18"/>
        <v>279.006586708147</v>
      </c>
      <c r="I86" s="1">
        <f t="shared" si="19"/>
        <v>95.7120603612734</v>
      </c>
      <c r="L86" s="1">
        <f t="shared" si="12"/>
        <v>0</v>
      </c>
      <c r="M86" s="1">
        <f t="shared" si="13"/>
        <v>1</v>
      </c>
      <c r="N86" s="1">
        <f t="shared" si="14"/>
        <v>0.945785039688634</v>
      </c>
      <c r="O86" s="1">
        <f t="shared" si="15"/>
        <v>0.0149790909979781</v>
      </c>
      <c r="P86" s="1">
        <f t="shared" si="16"/>
        <v>0.324447662241605</v>
      </c>
    </row>
    <row r="87" customHeight="1" spans="1:16">
      <c r="A87" s="1">
        <v>69</v>
      </c>
      <c r="B87" s="1">
        <f t="shared" si="9"/>
        <v>1</v>
      </c>
      <c r="D87" s="1">
        <f t="shared" si="10"/>
        <v>18.9321151390098</v>
      </c>
      <c r="E87" s="1">
        <f t="shared" si="11"/>
        <v>0.907359401440334</v>
      </c>
      <c r="G87" s="1">
        <f t="shared" si="17"/>
        <v>-4.41883184440354</v>
      </c>
      <c r="H87" s="1">
        <f t="shared" si="18"/>
        <v>279.006586708147</v>
      </c>
      <c r="I87" s="1">
        <f t="shared" si="19"/>
        <v>95.7120603612734</v>
      </c>
      <c r="L87" s="1">
        <f t="shared" si="12"/>
        <v>0</v>
      </c>
      <c r="M87" s="1">
        <f t="shared" si="13"/>
        <v>1</v>
      </c>
      <c r="N87" s="1">
        <f t="shared" si="14"/>
        <v>0.945785039688634</v>
      </c>
      <c r="O87" s="1">
        <f t="shared" si="15"/>
        <v>0.0149790909979781</v>
      </c>
      <c r="P87" s="1">
        <f t="shared" si="16"/>
        <v>0.324447662241605</v>
      </c>
    </row>
    <row r="88" customHeight="1" spans="1:16">
      <c r="A88" s="1">
        <v>70</v>
      </c>
      <c r="B88" s="1">
        <f t="shared" si="9"/>
        <v>1</v>
      </c>
      <c r="D88" s="1">
        <f t="shared" si="10"/>
        <v>18.9321151390098</v>
      </c>
      <c r="E88" s="1">
        <f t="shared" si="11"/>
        <v>0.907359401440334</v>
      </c>
      <c r="G88" s="1">
        <f t="shared" si="17"/>
        <v>-4.41883184440354</v>
      </c>
      <c r="H88" s="1">
        <f t="shared" si="18"/>
        <v>279.006586708147</v>
      </c>
      <c r="I88" s="1">
        <f t="shared" si="19"/>
        <v>95.7120603612734</v>
      </c>
      <c r="L88" s="1">
        <f t="shared" si="12"/>
        <v>0</v>
      </c>
      <c r="M88" s="1">
        <f t="shared" si="13"/>
        <v>1</v>
      </c>
      <c r="N88" s="1">
        <f t="shared" si="14"/>
        <v>0.945785039688634</v>
      </c>
      <c r="O88" s="1">
        <f t="shared" si="15"/>
        <v>0.0149790909979781</v>
      </c>
      <c r="P88" s="1">
        <f t="shared" si="16"/>
        <v>0.324447662241605</v>
      </c>
    </row>
    <row r="89" customHeight="1" spans="1:16">
      <c r="A89" s="1">
        <v>71</v>
      </c>
      <c r="B89" s="1">
        <f t="shared" si="9"/>
        <v>1</v>
      </c>
      <c r="D89" s="1">
        <f t="shared" si="10"/>
        <v>18.9321151390098</v>
      </c>
      <c r="E89" s="1">
        <f t="shared" si="11"/>
        <v>0.907359401440334</v>
      </c>
      <c r="G89" s="1">
        <f t="shared" si="17"/>
        <v>-4.41883184440354</v>
      </c>
      <c r="H89" s="1">
        <f t="shared" si="18"/>
        <v>279.006586708147</v>
      </c>
      <c r="I89" s="1">
        <f t="shared" si="19"/>
        <v>95.7120603612734</v>
      </c>
      <c r="L89" s="1">
        <f t="shared" si="12"/>
        <v>0</v>
      </c>
      <c r="M89" s="1">
        <f t="shared" si="13"/>
        <v>1</v>
      </c>
      <c r="N89" s="1">
        <f t="shared" si="14"/>
        <v>0.945785039688634</v>
      </c>
      <c r="O89" s="1">
        <f t="shared" si="15"/>
        <v>0.0149790909979781</v>
      </c>
      <c r="P89" s="1">
        <f t="shared" si="16"/>
        <v>0.324447662241605</v>
      </c>
    </row>
    <row r="90" customHeight="1" spans="1:16">
      <c r="A90" s="1">
        <v>72</v>
      </c>
      <c r="B90" s="1">
        <f t="shared" si="9"/>
        <v>1</v>
      </c>
      <c r="D90" s="1">
        <f t="shared" si="10"/>
        <v>18.9321151390098</v>
      </c>
      <c r="E90" s="1">
        <f t="shared" si="11"/>
        <v>0.907359401440334</v>
      </c>
      <c r="G90" s="1">
        <f t="shared" si="17"/>
        <v>-4.41883184440354</v>
      </c>
      <c r="H90" s="1">
        <f t="shared" si="18"/>
        <v>279.006586708147</v>
      </c>
      <c r="I90" s="1">
        <f t="shared" si="19"/>
        <v>95.7120603612734</v>
      </c>
      <c r="L90" s="1">
        <f t="shared" si="12"/>
        <v>0</v>
      </c>
      <c r="M90" s="1">
        <f t="shared" si="13"/>
        <v>1</v>
      </c>
      <c r="N90" s="1">
        <f t="shared" si="14"/>
        <v>0.945785039688634</v>
      </c>
      <c r="O90" s="1">
        <f t="shared" si="15"/>
        <v>0.0149790909979781</v>
      </c>
      <c r="P90" s="1">
        <f t="shared" si="16"/>
        <v>0.324447662241605</v>
      </c>
    </row>
    <row r="91" customHeight="1" spans="1:16">
      <c r="A91" s="1">
        <v>73</v>
      </c>
      <c r="B91" s="1">
        <f t="shared" si="9"/>
        <v>1</v>
      </c>
      <c r="D91" s="1">
        <f t="shared" si="10"/>
        <v>18.9321151390098</v>
      </c>
      <c r="E91" s="1">
        <f t="shared" si="11"/>
        <v>0.907359401440334</v>
      </c>
      <c r="G91" s="1">
        <f t="shared" si="17"/>
        <v>-4.41883184440354</v>
      </c>
      <c r="H91" s="1">
        <f t="shared" si="18"/>
        <v>279.006586708147</v>
      </c>
      <c r="I91" s="1">
        <f t="shared" si="19"/>
        <v>95.7120603612734</v>
      </c>
      <c r="L91" s="1">
        <f t="shared" si="12"/>
        <v>0</v>
      </c>
      <c r="M91" s="1">
        <f t="shared" si="13"/>
        <v>1</v>
      </c>
      <c r="N91" s="1">
        <f t="shared" si="14"/>
        <v>0.945785039688634</v>
      </c>
      <c r="O91" s="1">
        <f t="shared" si="15"/>
        <v>0.0149790909979781</v>
      </c>
      <c r="P91" s="1">
        <f t="shared" si="16"/>
        <v>0.324447662241605</v>
      </c>
    </row>
    <row r="92" customHeight="1" spans="1:16">
      <c r="A92" s="1">
        <v>74</v>
      </c>
      <c r="B92" s="1">
        <f t="shared" si="9"/>
        <v>1</v>
      </c>
      <c r="D92" s="1">
        <f t="shared" si="10"/>
        <v>18.9321151390098</v>
      </c>
      <c r="E92" s="1">
        <f t="shared" si="11"/>
        <v>0.907359401440334</v>
      </c>
      <c r="G92" s="1">
        <f t="shared" si="17"/>
        <v>-4.41883184440354</v>
      </c>
      <c r="H92" s="1">
        <f t="shared" si="18"/>
        <v>279.006586708147</v>
      </c>
      <c r="I92" s="1">
        <f t="shared" si="19"/>
        <v>95.7120603612734</v>
      </c>
      <c r="L92" s="1">
        <f t="shared" si="12"/>
        <v>0</v>
      </c>
      <c r="M92" s="1">
        <f t="shared" si="13"/>
        <v>1</v>
      </c>
      <c r="N92" s="1">
        <f t="shared" si="14"/>
        <v>0.945785039688634</v>
      </c>
      <c r="O92" s="1">
        <f t="shared" si="15"/>
        <v>0.0149790909979781</v>
      </c>
      <c r="P92" s="1">
        <f t="shared" si="16"/>
        <v>0.324447662241605</v>
      </c>
    </row>
    <row r="93" customHeight="1" spans="1:16">
      <c r="A93" s="1">
        <v>75</v>
      </c>
      <c r="B93" s="1">
        <f t="shared" si="9"/>
        <v>1</v>
      </c>
      <c r="D93" s="1">
        <f t="shared" si="10"/>
        <v>18.9321151390098</v>
      </c>
      <c r="E93" s="1">
        <f t="shared" si="11"/>
        <v>0.907359401440334</v>
      </c>
      <c r="G93" s="1">
        <f t="shared" si="17"/>
        <v>-4.41883184440354</v>
      </c>
      <c r="H93" s="1">
        <f t="shared" si="18"/>
        <v>279.006586708147</v>
      </c>
      <c r="I93" s="1">
        <f t="shared" si="19"/>
        <v>95.7120603612734</v>
      </c>
      <c r="L93" s="1">
        <f t="shared" si="12"/>
        <v>0</v>
      </c>
      <c r="M93" s="1">
        <f t="shared" si="13"/>
        <v>1</v>
      </c>
      <c r="N93" s="1">
        <f t="shared" si="14"/>
        <v>0.945785039688634</v>
      </c>
      <c r="O93" s="1">
        <f t="shared" si="15"/>
        <v>0.0149790909979781</v>
      </c>
      <c r="P93" s="1">
        <f t="shared" si="16"/>
        <v>0.324447662241605</v>
      </c>
    </row>
    <row r="94" customHeight="1" spans="1:16">
      <c r="A94" s="1">
        <v>76</v>
      </c>
      <c r="B94" s="1">
        <f t="shared" si="9"/>
        <v>1</v>
      </c>
      <c r="D94" s="1">
        <f t="shared" si="10"/>
        <v>18.9321151390098</v>
      </c>
      <c r="E94" s="1">
        <f t="shared" si="11"/>
        <v>0.907359401440334</v>
      </c>
      <c r="G94" s="1">
        <f t="shared" si="17"/>
        <v>-4.41883184440354</v>
      </c>
      <c r="H94" s="1">
        <f t="shared" si="18"/>
        <v>279.006586708147</v>
      </c>
      <c r="I94" s="1">
        <f t="shared" si="19"/>
        <v>95.7120603612734</v>
      </c>
      <c r="L94" s="1">
        <f t="shared" si="12"/>
        <v>0</v>
      </c>
      <c r="M94" s="1">
        <f t="shared" si="13"/>
        <v>1</v>
      </c>
      <c r="N94" s="1">
        <f t="shared" si="14"/>
        <v>0.945785039688634</v>
      </c>
      <c r="O94" s="1">
        <f t="shared" si="15"/>
        <v>0.0149790909979781</v>
      </c>
      <c r="P94" s="1">
        <f t="shared" si="16"/>
        <v>0.324447662241605</v>
      </c>
    </row>
    <row r="95" customHeight="1" spans="1:16">
      <c r="A95" s="1">
        <v>77</v>
      </c>
      <c r="B95" s="1">
        <f t="shared" si="9"/>
        <v>1</v>
      </c>
      <c r="D95" s="1">
        <f t="shared" si="10"/>
        <v>18.9321151390098</v>
      </c>
      <c r="E95" s="1">
        <f t="shared" si="11"/>
        <v>0.907359401440334</v>
      </c>
      <c r="G95" s="1">
        <f t="shared" si="17"/>
        <v>-4.41883184440354</v>
      </c>
      <c r="H95" s="1">
        <f t="shared" si="18"/>
        <v>279.006586708147</v>
      </c>
      <c r="I95" s="1">
        <f t="shared" si="19"/>
        <v>95.7120603612734</v>
      </c>
      <c r="L95" s="1">
        <f t="shared" si="12"/>
        <v>0</v>
      </c>
      <c r="M95" s="1">
        <f t="shared" si="13"/>
        <v>1</v>
      </c>
      <c r="N95" s="1">
        <f t="shared" si="14"/>
        <v>0.945785039688634</v>
      </c>
      <c r="O95" s="1">
        <f t="shared" si="15"/>
        <v>0.0149790909979781</v>
      </c>
      <c r="P95" s="1">
        <f t="shared" si="16"/>
        <v>0.324447662241605</v>
      </c>
    </row>
    <row r="96" customHeight="1" spans="1:16">
      <c r="A96" s="1">
        <v>78</v>
      </c>
      <c r="B96" s="1">
        <f t="shared" si="9"/>
        <v>1</v>
      </c>
      <c r="D96" s="1">
        <f t="shared" si="10"/>
        <v>18.9321151390098</v>
      </c>
      <c r="E96" s="1">
        <f t="shared" si="11"/>
        <v>0.907359401440334</v>
      </c>
      <c r="G96" s="1">
        <f t="shared" si="17"/>
        <v>-4.41883184440354</v>
      </c>
      <c r="H96" s="1">
        <f t="shared" si="18"/>
        <v>279.006586708147</v>
      </c>
      <c r="I96" s="1">
        <f t="shared" si="19"/>
        <v>95.7120603612734</v>
      </c>
      <c r="L96" s="1">
        <f t="shared" si="12"/>
        <v>0</v>
      </c>
      <c r="M96" s="1">
        <f t="shared" si="13"/>
        <v>1</v>
      </c>
      <c r="N96" s="1">
        <f t="shared" si="14"/>
        <v>0.945785039688634</v>
      </c>
      <c r="O96" s="1">
        <f t="shared" si="15"/>
        <v>0.0149790909979781</v>
      </c>
      <c r="P96" s="1">
        <f t="shared" si="16"/>
        <v>0.324447662241605</v>
      </c>
    </row>
    <row r="97" customHeight="1" spans="1:16">
      <c r="A97" s="1">
        <v>79</v>
      </c>
      <c r="B97" s="1">
        <f t="shared" si="9"/>
        <v>1</v>
      </c>
      <c r="D97" s="1">
        <f t="shared" si="10"/>
        <v>18.9321151390098</v>
      </c>
      <c r="E97" s="1">
        <f t="shared" si="11"/>
        <v>0.907359401440334</v>
      </c>
      <c r="G97" s="1">
        <f t="shared" si="17"/>
        <v>-4.41883184440354</v>
      </c>
      <c r="H97" s="1">
        <f t="shared" si="18"/>
        <v>279.006586708147</v>
      </c>
      <c r="I97" s="1">
        <f t="shared" si="19"/>
        <v>95.7120603612734</v>
      </c>
      <c r="L97" s="1">
        <f t="shared" si="12"/>
        <v>0</v>
      </c>
      <c r="M97" s="1">
        <f t="shared" si="13"/>
        <v>1</v>
      </c>
      <c r="N97" s="1">
        <f t="shared" si="14"/>
        <v>0.945785039688634</v>
      </c>
      <c r="O97" s="1">
        <f t="shared" si="15"/>
        <v>0.0149790909979781</v>
      </c>
      <c r="P97" s="1">
        <f t="shared" si="16"/>
        <v>0.324447662241605</v>
      </c>
    </row>
    <row r="98" customHeight="1" spans="1:16">
      <c r="A98" s="1">
        <v>80</v>
      </c>
      <c r="B98" s="1">
        <f t="shared" si="9"/>
        <v>1</v>
      </c>
      <c r="D98" s="1">
        <f t="shared" si="10"/>
        <v>18.9321151390098</v>
      </c>
      <c r="E98" s="1">
        <f t="shared" si="11"/>
        <v>0.907359401440334</v>
      </c>
      <c r="G98" s="1">
        <f t="shared" si="17"/>
        <v>-4.41883184440354</v>
      </c>
      <c r="H98" s="1">
        <f t="shared" si="18"/>
        <v>279.006586708147</v>
      </c>
      <c r="I98" s="1">
        <f t="shared" si="19"/>
        <v>95.7120603612734</v>
      </c>
      <c r="L98" s="1">
        <f t="shared" si="12"/>
        <v>0</v>
      </c>
      <c r="M98" s="1">
        <f t="shared" si="13"/>
        <v>1</v>
      </c>
      <c r="N98" s="1">
        <f t="shared" si="14"/>
        <v>0.945785039688634</v>
      </c>
      <c r="O98" s="1">
        <f t="shared" si="15"/>
        <v>0.0149790909979781</v>
      </c>
      <c r="P98" s="1">
        <f t="shared" si="16"/>
        <v>0.324447662241605</v>
      </c>
    </row>
    <row r="99" customHeight="1" spans="1:16">
      <c r="A99" s="1">
        <v>81</v>
      </c>
      <c r="B99" s="1">
        <f t="shared" si="9"/>
        <v>1</v>
      </c>
      <c r="D99" s="1">
        <f t="shared" si="10"/>
        <v>18.9321151390098</v>
      </c>
      <c r="E99" s="1">
        <f t="shared" si="11"/>
        <v>0.907359401440334</v>
      </c>
      <c r="G99" s="1">
        <f t="shared" si="17"/>
        <v>-4.41883184440354</v>
      </c>
      <c r="H99" s="1">
        <f t="shared" si="18"/>
        <v>279.006586708147</v>
      </c>
      <c r="I99" s="1">
        <f t="shared" si="19"/>
        <v>95.7120603612734</v>
      </c>
      <c r="L99" s="1">
        <f t="shared" si="12"/>
        <v>0</v>
      </c>
      <c r="M99" s="1">
        <f t="shared" si="13"/>
        <v>1</v>
      </c>
      <c r="N99" s="1">
        <f t="shared" si="14"/>
        <v>0.945785039688634</v>
      </c>
      <c r="O99" s="1">
        <f t="shared" si="15"/>
        <v>0.0149790909979781</v>
      </c>
      <c r="P99" s="1">
        <f t="shared" si="16"/>
        <v>0.324447662241605</v>
      </c>
    </row>
    <row r="100" customHeight="1" spans="1:16">
      <c r="A100" s="1">
        <v>82</v>
      </c>
      <c r="B100" s="1">
        <f t="shared" si="9"/>
        <v>1</v>
      </c>
      <c r="D100" s="1">
        <f t="shared" si="10"/>
        <v>18.9321151390098</v>
      </c>
      <c r="E100" s="1">
        <f t="shared" si="11"/>
        <v>0.907359401440334</v>
      </c>
      <c r="G100" s="1">
        <f t="shared" si="17"/>
        <v>-4.41883184440354</v>
      </c>
      <c r="H100" s="1">
        <f t="shared" si="18"/>
        <v>279.006586708147</v>
      </c>
      <c r="I100" s="1">
        <f t="shared" si="19"/>
        <v>95.7120603612734</v>
      </c>
      <c r="L100" s="1">
        <f t="shared" si="12"/>
        <v>0</v>
      </c>
      <c r="M100" s="1">
        <f t="shared" si="13"/>
        <v>1</v>
      </c>
      <c r="N100" s="1">
        <f t="shared" si="14"/>
        <v>0.945785039688634</v>
      </c>
      <c r="O100" s="1">
        <f t="shared" si="15"/>
        <v>0.0149790909979781</v>
      </c>
      <c r="P100" s="1">
        <f t="shared" si="16"/>
        <v>0.324447662241605</v>
      </c>
    </row>
    <row r="101" customHeight="1" spans="1:16">
      <c r="A101" s="1">
        <v>83</v>
      </c>
      <c r="B101" s="1">
        <f t="shared" si="9"/>
        <v>1</v>
      </c>
      <c r="D101" s="1">
        <f t="shared" si="10"/>
        <v>18.9321151390098</v>
      </c>
      <c r="E101" s="1">
        <f t="shared" si="11"/>
        <v>0.907359401440334</v>
      </c>
      <c r="G101" s="1">
        <f t="shared" si="17"/>
        <v>-4.41883184440354</v>
      </c>
      <c r="H101" s="1">
        <f t="shared" si="18"/>
        <v>279.006586708147</v>
      </c>
      <c r="I101" s="1">
        <f t="shared" si="19"/>
        <v>95.7120603612734</v>
      </c>
      <c r="L101" s="1">
        <f t="shared" si="12"/>
        <v>0</v>
      </c>
      <c r="M101" s="1">
        <f t="shared" si="13"/>
        <v>1</v>
      </c>
      <c r="N101" s="1">
        <f t="shared" si="14"/>
        <v>0.945785039688634</v>
      </c>
      <c r="O101" s="1">
        <f t="shared" si="15"/>
        <v>0.0149790909979781</v>
      </c>
      <c r="P101" s="1">
        <f t="shared" si="16"/>
        <v>0.324447662241605</v>
      </c>
    </row>
    <row r="102" customHeight="1" spans="1:16">
      <c r="A102" s="1">
        <v>84</v>
      </c>
      <c r="B102" s="1">
        <f t="shared" si="9"/>
        <v>1</v>
      </c>
      <c r="D102" s="1">
        <f t="shared" si="10"/>
        <v>18.9321151390098</v>
      </c>
      <c r="E102" s="1">
        <f t="shared" si="11"/>
        <v>0.907359401440334</v>
      </c>
      <c r="G102" s="1">
        <f t="shared" si="17"/>
        <v>-4.41883184440354</v>
      </c>
      <c r="H102" s="1">
        <f t="shared" si="18"/>
        <v>279.006586708147</v>
      </c>
      <c r="I102" s="1">
        <f t="shared" si="19"/>
        <v>95.7120603612734</v>
      </c>
      <c r="L102" s="1">
        <f t="shared" si="12"/>
        <v>0</v>
      </c>
      <c r="M102" s="1">
        <f t="shared" si="13"/>
        <v>1</v>
      </c>
      <c r="N102" s="1">
        <f t="shared" si="14"/>
        <v>0.945785039688634</v>
      </c>
      <c r="O102" s="1">
        <f t="shared" si="15"/>
        <v>0.0149790909979781</v>
      </c>
      <c r="P102" s="1">
        <f t="shared" si="16"/>
        <v>0.324447662241605</v>
      </c>
    </row>
    <row r="103" customHeight="1" spans="1:16">
      <c r="A103" s="1">
        <v>85</v>
      </c>
      <c r="B103" s="1">
        <f t="shared" si="9"/>
        <v>1</v>
      </c>
      <c r="D103" s="1">
        <f t="shared" si="10"/>
        <v>18.9321151390098</v>
      </c>
      <c r="E103" s="1">
        <f t="shared" si="11"/>
        <v>0.907359401440334</v>
      </c>
      <c r="G103" s="1">
        <f t="shared" si="17"/>
        <v>-4.41883184440354</v>
      </c>
      <c r="H103" s="1">
        <f t="shared" si="18"/>
        <v>279.006586708147</v>
      </c>
      <c r="I103" s="1">
        <f t="shared" si="19"/>
        <v>95.7120603612734</v>
      </c>
      <c r="L103" s="1">
        <f t="shared" si="12"/>
        <v>0</v>
      </c>
      <c r="M103" s="1">
        <f t="shared" si="13"/>
        <v>1</v>
      </c>
      <c r="N103" s="1">
        <f t="shared" si="14"/>
        <v>0.945785039688634</v>
      </c>
      <c r="O103" s="1">
        <f t="shared" si="15"/>
        <v>0.0149790909979781</v>
      </c>
      <c r="P103" s="1">
        <f t="shared" si="16"/>
        <v>0.324447662241605</v>
      </c>
    </row>
    <row r="104" customHeight="1" spans="1:16">
      <c r="A104" s="1">
        <v>86</v>
      </c>
      <c r="B104" s="1">
        <f t="shared" si="9"/>
        <v>1</v>
      </c>
      <c r="D104" s="1">
        <f t="shared" si="10"/>
        <v>18.9321151390098</v>
      </c>
      <c r="E104" s="1">
        <f t="shared" si="11"/>
        <v>0.907359401440334</v>
      </c>
      <c r="G104" s="1">
        <f t="shared" si="17"/>
        <v>-4.41883184440354</v>
      </c>
      <c r="H104" s="1">
        <f t="shared" si="18"/>
        <v>279.006586708147</v>
      </c>
      <c r="I104" s="1">
        <f t="shared" si="19"/>
        <v>95.7120603612734</v>
      </c>
      <c r="L104" s="1">
        <f t="shared" si="12"/>
        <v>0</v>
      </c>
      <c r="M104" s="1">
        <f t="shared" si="13"/>
        <v>1</v>
      </c>
      <c r="N104" s="1">
        <f t="shared" si="14"/>
        <v>0.945785039688634</v>
      </c>
      <c r="O104" s="1">
        <f t="shared" si="15"/>
        <v>0.0149790909979781</v>
      </c>
      <c r="P104" s="1">
        <f t="shared" si="16"/>
        <v>0.324447662241605</v>
      </c>
    </row>
    <row r="105" customHeight="1" spans="1:16">
      <c r="A105" s="1">
        <v>87</v>
      </c>
      <c r="B105" s="1">
        <f t="shared" si="9"/>
        <v>1</v>
      </c>
      <c r="D105" s="1">
        <f t="shared" si="10"/>
        <v>18.9321151390098</v>
      </c>
      <c r="E105" s="1">
        <f t="shared" si="11"/>
        <v>0.907359401440334</v>
      </c>
      <c r="G105" s="1">
        <f t="shared" si="17"/>
        <v>-4.41883184440354</v>
      </c>
      <c r="H105" s="1">
        <f t="shared" si="18"/>
        <v>279.006586708147</v>
      </c>
      <c r="I105" s="1">
        <f t="shared" si="19"/>
        <v>95.7120603612734</v>
      </c>
      <c r="L105" s="1">
        <f t="shared" si="12"/>
        <v>0</v>
      </c>
      <c r="M105" s="1">
        <f t="shared" si="13"/>
        <v>1</v>
      </c>
      <c r="N105" s="1">
        <f t="shared" si="14"/>
        <v>0.945785039688634</v>
      </c>
      <c r="O105" s="1">
        <f t="shared" si="15"/>
        <v>0.0149790909979781</v>
      </c>
      <c r="P105" s="1">
        <f t="shared" si="16"/>
        <v>0.324447662241605</v>
      </c>
    </row>
    <row r="106" customHeight="1" spans="1:16">
      <c r="A106" s="1">
        <v>88</v>
      </c>
      <c r="B106" s="1">
        <f t="shared" si="9"/>
        <v>1</v>
      </c>
      <c r="D106" s="1">
        <f t="shared" si="10"/>
        <v>18.9321151390098</v>
      </c>
      <c r="E106" s="1">
        <f t="shared" si="11"/>
        <v>0.907359401440334</v>
      </c>
      <c r="G106" s="1">
        <f t="shared" si="17"/>
        <v>-4.41883184440354</v>
      </c>
      <c r="H106" s="1">
        <f t="shared" si="18"/>
        <v>279.006586708147</v>
      </c>
      <c r="I106" s="1">
        <f t="shared" si="19"/>
        <v>95.7120603612734</v>
      </c>
      <c r="L106" s="1">
        <f t="shared" si="12"/>
        <v>0</v>
      </c>
      <c r="M106" s="1">
        <f t="shared" si="13"/>
        <v>1</v>
      </c>
      <c r="N106" s="1">
        <f t="shared" si="14"/>
        <v>0.945785039688634</v>
      </c>
      <c r="O106" s="1">
        <f t="shared" si="15"/>
        <v>0.0149790909979781</v>
      </c>
      <c r="P106" s="1">
        <f t="shared" si="16"/>
        <v>0.324447662241605</v>
      </c>
    </row>
    <row r="107" customHeight="1" spans="1:16">
      <c r="A107" s="1">
        <v>89</v>
      </c>
      <c r="B107" s="1">
        <f t="shared" si="9"/>
        <v>1</v>
      </c>
      <c r="D107" s="1">
        <f t="shared" si="10"/>
        <v>18.9321151390098</v>
      </c>
      <c r="E107" s="1">
        <f t="shared" si="11"/>
        <v>0.907359401440334</v>
      </c>
      <c r="G107" s="1">
        <f t="shared" si="17"/>
        <v>-4.41883184440354</v>
      </c>
      <c r="H107" s="1">
        <f t="shared" si="18"/>
        <v>279.006586708147</v>
      </c>
      <c r="I107" s="1">
        <f t="shared" si="19"/>
        <v>95.7120603612734</v>
      </c>
      <c r="L107" s="1">
        <f t="shared" si="12"/>
        <v>0</v>
      </c>
      <c r="M107" s="1">
        <f t="shared" si="13"/>
        <v>1</v>
      </c>
      <c r="N107" s="1">
        <f t="shared" si="14"/>
        <v>0.945785039688634</v>
      </c>
      <c r="O107" s="1">
        <f t="shared" si="15"/>
        <v>0.0149790909979781</v>
      </c>
      <c r="P107" s="1">
        <f t="shared" si="16"/>
        <v>0.324447662241605</v>
      </c>
    </row>
    <row r="108" customHeight="1" spans="1:16">
      <c r="A108" s="1">
        <v>90</v>
      </c>
      <c r="B108" s="1">
        <f t="shared" si="9"/>
        <v>1</v>
      </c>
      <c r="D108" s="1">
        <f t="shared" si="10"/>
        <v>18.9321151390098</v>
      </c>
      <c r="E108" s="1">
        <f t="shared" si="11"/>
        <v>0.907359401440334</v>
      </c>
      <c r="G108" s="1">
        <f t="shared" si="17"/>
        <v>-4.41883184440354</v>
      </c>
      <c r="H108" s="1">
        <f t="shared" si="18"/>
        <v>279.006586708147</v>
      </c>
      <c r="I108" s="1">
        <f t="shared" si="19"/>
        <v>95.7120603612734</v>
      </c>
      <c r="L108" s="1">
        <f t="shared" si="12"/>
        <v>0</v>
      </c>
      <c r="M108" s="1">
        <f t="shared" si="13"/>
        <v>1</v>
      </c>
      <c r="N108" s="1">
        <f t="shared" si="14"/>
        <v>0.945785039688634</v>
      </c>
      <c r="O108" s="1">
        <f t="shared" si="15"/>
        <v>0.0149790909979781</v>
      </c>
      <c r="P108" s="1">
        <f t="shared" si="16"/>
        <v>0.324447662241605</v>
      </c>
    </row>
    <row r="109" customHeight="1" spans="1:16">
      <c r="A109" s="1">
        <v>91</v>
      </c>
      <c r="B109" s="1">
        <f t="shared" si="9"/>
        <v>1</v>
      </c>
      <c r="D109" s="1">
        <f t="shared" si="10"/>
        <v>18.9321151390098</v>
      </c>
      <c r="E109" s="1">
        <f t="shared" si="11"/>
        <v>0.907359401440334</v>
      </c>
      <c r="G109" s="1">
        <f t="shared" si="17"/>
        <v>-4.41883184440354</v>
      </c>
      <c r="H109" s="1">
        <f t="shared" si="18"/>
        <v>279.006586708147</v>
      </c>
      <c r="I109" s="1">
        <f t="shared" si="19"/>
        <v>95.7120603612734</v>
      </c>
      <c r="L109" s="1">
        <f t="shared" si="12"/>
        <v>0</v>
      </c>
      <c r="M109" s="1">
        <f t="shared" si="13"/>
        <v>1</v>
      </c>
      <c r="N109" s="1">
        <f t="shared" si="14"/>
        <v>0.945785039688634</v>
      </c>
      <c r="O109" s="1">
        <f t="shared" si="15"/>
        <v>0.0149790909979781</v>
      </c>
      <c r="P109" s="1">
        <f t="shared" si="16"/>
        <v>0.324447662241605</v>
      </c>
    </row>
    <row r="110" customHeight="1" spans="1:16">
      <c r="A110" s="1">
        <v>92</v>
      </c>
      <c r="B110" s="1">
        <f t="shared" si="9"/>
        <v>1</v>
      </c>
      <c r="D110" s="1">
        <f t="shared" si="10"/>
        <v>18.9321151390098</v>
      </c>
      <c r="E110" s="1">
        <f t="shared" si="11"/>
        <v>0.907359401440334</v>
      </c>
      <c r="G110" s="1">
        <f t="shared" si="17"/>
        <v>-4.41883184440354</v>
      </c>
      <c r="H110" s="1">
        <f t="shared" si="18"/>
        <v>279.006586708147</v>
      </c>
      <c r="I110" s="1">
        <f t="shared" si="19"/>
        <v>95.7120603612734</v>
      </c>
      <c r="L110" s="1">
        <f t="shared" si="12"/>
        <v>0</v>
      </c>
      <c r="M110" s="1">
        <f t="shared" si="13"/>
        <v>1</v>
      </c>
      <c r="N110" s="1">
        <f t="shared" si="14"/>
        <v>0.945785039688634</v>
      </c>
      <c r="O110" s="1">
        <f t="shared" si="15"/>
        <v>0.0149790909979781</v>
      </c>
      <c r="P110" s="1">
        <f t="shared" si="16"/>
        <v>0.324447662241605</v>
      </c>
    </row>
    <row r="111" customHeight="1" spans="1:16">
      <c r="A111" s="1">
        <v>93</v>
      </c>
      <c r="B111" s="1">
        <f t="shared" si="9"/>
        <v>1</v>
      </c>
      <c r="D111" s="1">
        <f t="shared" si="10"/>
        <v>18.9321151390098</v>
      </c>
      <c r="E111" s="1">
        <f t="shared" si="11"/>
        <v>0.907359401440334</v>
      </c>
      <c r="G111" s="1">
        <f t="shared" si="17"/>
        <v>-4.41883184440354</v>
      </c>
      <c r="H111" s="1">
        <f t="shared" si="18"/>
        <v>279.006586708147</v>
      </c>
      <c r="I111" s="1">
        <f t="shared" si="19"/>
        <v>95.7120603612734</v>
      </c>
      <c r="L111" s="1">
        <f t="shared" si="12"/>
        <v>0</v>
      </c>
      <c r="M111" s="1">
        <f t="shared" si="13"/>
        <v>1</v>
      </c>
      <c r="N111" s="1">
        <f t="shared" si="14"/>
        <v>0.945785039688634</v>
      </c>
      <c r="O111" s="1">
        <f t="shared" si="15"/>
        <v>0.0149790909979781</v>
      </c>
      <c r="P111" s="1">
        <f t="shared" si="16"/>
        <v>0.324447662241605</v>
      </c>
    </row>
    <row r="112" customHeight="1" spans="1:16">
      <c r="A112" s="1">
        <v>94</v>
      </c>
      <c r="B112" s="1">
        <f t="shared" si="9"/>
        <v>1</v>
      </c>
      <c r="D112" s="1">
        <f t="shared" si="10"/>
        <v>18.9321151390098</v>
      </c>
      <c r="E112" s="1">
        <f t="shared" si="11"/>
        <v>0.907359401440334</v>
      </c>
      <c r="G112" s="1">
        <f t="shared" si="17"/>
        <v>-4.41883184440354</v>
      </c>
      <c r="H112" s="1">
        <f t="shared" si="18"/>
        <v>279.006586708147</v>
      </c>
      <c r="I112" s="1">
        <f t="shared" si="19"/>
        <v>95.7120603612734</v>
      </c>
      <c r="L112" s="1">
        <f t="shared" si="12"/>
        <v>0</v>
      </c>
      <c r="M112" s="1">
        <f t="shared" si="13"/>
        <v>1</v>
      </c>
      <c r="N112" s="1">
        <f t="shared" si="14"/>
        <v>0.945785039688634</v>
      </c>
      <c r="O112" s="1">
        <f t="shared" si="15"/>
        <v>0.0149790909979781</v>
      </c>
      <c r="P112" s="1">
        <f t="shared" si="16"/>
        <v>0.324447662241605</v>
      </c>
    </row>
    <row r="113" customHeight="1" spans="1:16">
      <c r="A113" s="1">
        <v>95</v>
      </c>
      <c r="B113" s="1">
        <f t="shared" si="9"/>
        <v>1</v>
      </c>
      <c r="D113" s="1">
        <f t="shared" si="10"/>
        <v>18.9321151390098</v>
      </c>
      <c r="E113" s="1">
        <f t="shared" si="11"/>
        <v>0.907359401440334</v>
      </c>
      <c r="G113" s="1">
        <f t="shared" si="17"/>
        <v>-4.41883184440354</v>
      </c>
      <c r="H113" s="1">
        <f t="shared" si="18"/>
        <v>279.006586708147</v>
      </c>
      <c r="I113" s="1">
        <f t="shared" si="19"/>
        <v>95.7120603612734</v>
      </c>
      <c r="L113" s="1">
        <f t="shared" si="12"/>
        <v>0</v>
      </c>
      <c r="M113" s="1">
        <f t="shared" si="13"/>
        <v>1</v>
      </c>
      <c r="N113" s="1">
        <f t="shared" si="14"/>
        <v>0.945785039688634</v>
      </c>
      <c r="O113" s="1">
        <f t="shared" si="15"/>
        <v>0.0149790909979781</v>
      </c>
      <c r="P113" s="1">
        <f t="shared" si="16"/>
        <v>0.324447662241605</v>
      </c>
    </row>
    <row r="114" customHeight="1" spans="1:16">
      <c r="A114" s="1">
        <v>96</v>
      </c>
      <c r="B114" s="1">
        <f t="shared" si="9"/>
        <v>1</v>
      </c>
      <c r="D114" s="1">
        <f t="shared" si="10"/>
        <v>18.9321151390098</v>
      </c>
      <c r="E114" s="1">
        <f t="shared" si="11"/>
        <v>0.907359401440334</v>
      </c>
      <c r="G114" s="1">
        <f t="shared" si="17"/>
        <v>-4.41883184440354</v>
      </c>
      <c r="H114" s="1">
        <f t="shared" si="18"/>
        <v>279.006586708147</v>
      </c>
      <c r="I114" s="1">
        <f t="shared" si="19"/>
        <v>95.7120603612734</v>
      </c>
      <c r="L114" s="1">
        <f t="shared" si="12"/>
        <v>0</v>
      </c>
      <c r="M114" s="1">
        <f t="shared" si="13"/>
        <v>1</v>
      </c>
      <c r="N114" s="1">
        <f t="shared" si="14"/>
        <v>0.945785039688634</v>
      </c>
      <c r="O114" s="1">
        <f t="shared" si="15"/>
        <v>0.0149790909979781</v>
      </c>
      <c r="P114" s="1">
        <f t="shared" si="16"/>
        <v>0.324447662241605</v>
      </c>
    </row>
    <row r="115" customHeight="1" spans="1:16">
      <c r="A115" s="1">
        <v>97</v>
      </c>
      <c r="B115" s="1">
        <f t="shared" si="9"/>
        <v>1</v>
      </c>
      <c r="D115" s="1">
        <f t="shared" si="10"/>
        <v>18.9321151390098</v>
      </c>
      <c r="E115" s="1">
        <f t="shared" si="11"/>
        <v>0.907359401440334</v>
      </c>
      <c r="G115" s="1">
        <f t="shared" si="17"/>
        <v>-4.41883184440354</v>
      </c>
      <c r="H115" s="1">
        <f t="shared" si="18"/>
        <v>279.006586708147</v>
      </c>
      <c r="I115" s="1">
        <f t="shared" si="19"/>
        <v>95.7120603612734</v>
      </c>
      <c r="L115" s="1">
        <f t="shared" si="12"/>
        <v>0</v>
      </c>
      <c r="M115" s="1">
        <f t="shared" si="13"/>
        <v>1</v>
      </c>
      <c r="N115" s="1">
        <f t="shared" si="14"/>
        <v>0.945785039688634</v>
      </c>
      <c r="O115" s="1">
        <f t="shared" si="15"/>
        <v>0.0149790909979781</v>
      </c>
      <c r="P115" s="1">
        <f t="shared" si="16"/>
        <v>0.324447662241605</v>
      </c>
    </row>
    <row r="116" customHeight="1" spans="1:16">
      <c r="A116" s="1">
        <v>98</v>
      </c>
      <c r="B116" s="1">
        <f t="shared" si="9"/>
        <v>1</v>
      </c>
      <c r="D116" s="1">
        <f t="shared" si="10"/>
        <v>18.9321151390098</v>
      </c>
      <c r="E116" s="1">
        <f t="shared" si="11"/>
        <v>0.907359401440334</v>
      </c>
      <c r="G116" s="1">
        <f t="shared" si="17"/>
        <v>-4.41883184440354</v>
      </c>
      <c r="H116" s="1">
        <f t="shared" si="18"/>
        <v>279.006586708147</v>
      </c>
      <c r="I116" s="1">
        <f t="shared" si="19"/>
        <v>95.7120603612734</v>
      </c>
      <c r="L116" s="1">
        <f t="shared" si="12"/>
        <v>0</v>
      </c>
      <c r="M116" s="1">
        <f t="shared" si="13"/>
        <v>1</v>
      </c>
      <c r="N116" s="1">
        <f t="shared" si="14"/>
        <v>0.945785039688634</v>
      </c>
      <c r="O116" s="1">
        <f t="shared" si="15"/>
        <v>0.0149790909979781</v>
      </c>
      <c r="P116" s="1">
        <f t="shared" si="16"/>
        <v>0.324447662241605</v>
      </c>
    </row>
    <row r="117" customHeight="1" spans="1:16">
      <c r="A117" s="1">
        <v>99</v>
      </c>
      <c r="B117" s="1">
        <f t="shared" si="9"/>
        <v>1</v>
      </c>
      <c r="D117" s="1">
        <f t="shared" si="10"/>
        <v>18.9321151390098</v>
      </c>
      <c r="E117" s="1">
        <f t="shared" si="11"/>
        <v>0.907359401440334</v>
      </c>
      <c r="G117" s="1">
        <f t="shared" si="17"/>
        <v>-4.41883184440354</v>
      </c>
      <c r="H117" s="1">
        <f t="shared" si="18"/>
        <v>279.006586708147</v>
      </c>
      <c r="I117" s="1">
        <f t="shared" si="19"/>
        <v>95.7120603612734</v>
      </c>
      <c r="L117" s="1">
        <f t="shared" si="12"/>
        <v>0</v>
      </c>
      <c r="M117" s="1">
        <f t="shared" si="13"/>
        <v>1</v>
      </c>
      <c r="N117" s="1">
        <f t="shared" si="14"/>
        <v>0.945785039688634</v>
      </c>
      <c r="O117" s="1">
        <f t="shared" si="15"/>
        <v>0.0149790909979781</v>
      </c>
      <c r="P117" s="1">
        <f t="shared" si="16"/>
        <v>0.324447662241605</v>
      </c>
    </row>
    <row r="118" customHeight="1" spans="1:16">
      <c r="A118" s="1">
        <v>100</v>
      </c>
      <c r="B118" s="1">
        <f t="shared" si="9"/>
        <v>1</v>
      </c>
      <c r="D118" s="1">
        <f t="shared" si="10"/>
        <v>18.9321151390098</v>
      </c>
      <c r="E118" s="1">
        <f t="shared" si="11"/>
        <v>0.907359401440334</v>
      </c>
      <c r="G118" s="1">
        <f t="shared" si="17"/>
        <v>-4.41883184440354</v>
      </c>
      <c r="H118" s="1">
        <f t="shared" si="18"/>
        <v>279.006586708147</v>
      </c>
      <c r="I118" s="1">
        <f t="shared" si="19"/>
        <v>95.7120603612734</v>
      </c>
      <c r="L118" s="1">
        <f t="shared" si="12"/>
        <v>0</v>
      </c>
      <c r="M118" s="1">
        <f t="shared" si="13"/>
        <v>1</v>
      </c>
      <c r="N118" s="1">
        <f t="shared" si="14"/>
        <v>0.945785039688634</v>
      </c>
      <c r="O118" s="1">
        <f t="shared" si="15"/>
        <v>0.0149790909979781</v>
      </c>
      <c r="P118" s="1">
        <f t="shared" si="16"/>
        <v>0.324447662241605</v>
      </c>
    </row>
    <row r="119" customHeight="1" spans="2:16">
      <c r="B119" s="1">
        <v>0</v>
      </c>
      <c r="D119" s="1">
        <f t="shared" si="10"/>
        <v>40.027011336907</v>
      </c>
      <c r="E119" s="1">
        <f t="shared" si="11"/>
        <v>-117.616791660721</v>
      </c>
      <c r="G119" s="1">
        <f t="shared" si="17"/>
        <v>200.157117190097</v>
      </c>
      <c r="H119" s="1">
        <f t="shared" si="18"/>
        <v>-104.714315739861</v>
      </c>
      <c r="I119" s="1">
        <f t="shared" si="19"/>
        <v>189.728860528077</v>
      </c>
      <c r="L119" s="1">
        <f t="shared" si="12"/>
        <v>1</v>
      </c>
      <c r="M119" s="1">
        <f t="shared" si="13"/>
        <v>0</v>
      </c>
      <c r="N119" s="1">
        <f t="shared" si="14"/>
        <v>-0.35496378216902</v>
      </c>
      <c r="O119" s="1">
        <f t="shared" si="15"/>
        <v>-0.678498702339313</v>
      </c>
      <c r="P119" s="1">
        <f t="shared" si="16"/>
        <v>0.643148679756192</v>
      </c>
    </row>
    <row r="120" customHeight="1" spans="2:16">
      <c r="B120" s="1">
        <v>0.1</v>
      </c>
      <c r="D120" s="1">
        <f t="shared" si="10"/>
        <v>44.7988500174006</v>
      </c>
      <c r="E120" s="1">
        <f t="shared" si="11"/>
        <v>-106.019744892386</v>
      </c>
      <c r="G120" s="1">
        <f t="shared" si="17"/>
        <v>201.198649846338</v>
      </c>
      <c r="H120" s="1">
        <f t="shared" si="18"/>
        <v>-57.7678286175338</v>
      </c>
      <c r="I120" s="1">
        <f t="shared" si="19"/>
        <v>207.862890571708</v>
      </c>
      <c r="L120" s="1">
        <f t="shared" si="12"/>
        <v>1.00899279828695</v>
      </c>
      <c r="M120" s="1">
        <f t="shared" si="13"/>
        <v>0.171638105058877</v>
      </c>
      <c r="N120" s="1">
        <f t="shared" si="14"/>
        <v>-0.195823147856047</v>
      </c>
      <c r="O120" s="1">
        <f t="shared" si="15"/>
        <v>-0.68202932151301</v>
      </c>
      <c r="P120" s="1">
        <f t="shared" si="16"/>
        <v>0.704619968039689</v>
      </c>
    </row>
    <row r="121" customHeight="1" spans="2:16">
      <c r="B121" s="1">
        <v>0.2</v>
      </c>
      <c r="D121" s="1">
        <f t="shared" si="10"/>
        <v>48.2085013122162</v>
      </c>
      <c r="E121" s="1">
        <f t="shared" si="11"/>
        <v>-92.6645373952745</v>
      </c>
      <c r="G121" s="1">
        <f t="shared" si="17"/>
        <v>196.381896294746</v>
      </c>
      <c r="H121" s="1">
        <f t="shared" si="18"/>
        <v>-9.13931990159759</v>
      </c>
      <c r="I121" s="1">
        <f t="shared" si="19"/>
        <v>219.944592203164</v>
      </c>
      <c r="L121" s="1">
        <f t="shared" si="12"/>
        <v>0.988606827886727</v>
      </c>
      <c r="M121" s="1">
        <f t="shared" si="13"/>
        <v>0.338278636106333</v>
      </c>
      <c r="N121" s="1">
        <f t="shared" si="14"/>
        <v>-0.0309807454291444</v>
      </c>
      <c r="O121" s="1">
        <f t="shared" si="15"/>
        <v>-0.66570134337202</v>
      </c>
      <c r="P121" s="1">
        <f t="shared" si="16"/>
        <v>0.745574888824284</v>
      </c>
    </row>
    <row r="122" customHeight="1" spans="2:16">
      <c r="B122" s="1">
        <v>0.25</v>
      </c>
      <c r="D122" s="1">
        <f t="shared" si="10"/>
        <v>49.2848297128744</v>
      </c>
      <c r="E122" s="1">
        <f t="shared" si="11"/>
        <v>-85.4204698318586</v>
      </c>
      <c r="G122" s="1">
        <f t="shared" si="17"/>
        <v>191.813904959754</v>
      </c>
      <c r="H122" s="1">
        <f t="shared" si="18"/>
        <v>15.3640101346361</v>
      </c>
      <c r="I122" s="1">
        <f t="shared" si="19"/>
        <v>223.598687511071</v>
      </c>
      <c r="L122" s="1">
        <f t="shared" si="12"/>
        <v>0.967549185898223</v>
      </c>
      <c r="M122" s="1">
        <f t="shared" si="13"/>
        <v>0.418198948122614</v>
      </c>
      <c r="N122" s="1">
        <f t="shared" si="14"/>
        <v>0.052081390286902</v>
      </c>
      <c r="O122" s="1">
        <f t="shared" si="15"/>
        <v>-0.650216626982215</v>
      </c>
      <c r="P122" s="1">
        <f t="shared" si="16"/>
        <v>0.757961652579901</v>
      </c>
    </row>
    <row r="123" customHeight="1" spans="2:16">
      <c r="B123" s="1">
        <v>0.3</v>
      </c>
      <c r="D123" s="1">
        <f t="shared" si="10"/>
        <v>49.8910665172854</v>
      </c>
      <c r="E123" s="1">
        <f t="shared" si="11"/>
        <v>-77.9256071222765</v>
      </c>
      <c r="G123" s="1">
        <f t="shared" si="17"/>
        <v>185.847105592257</v>
      </c>
      <c r="H123" s="1">
        <f t="shared" si="18"/>
        <v>39.7552977160106</v>
      </c>
      <c r="I123" s="1">
        <f t="shared" si="19"/>
        <v>225.622183409548</v>
      </c>
      <c r="L123" s="1">
        <f t="shared" si="12"/>
        <v>0.93943566559182</v>
      </c>
      <c r="M123" s="1">
        <f t="shared" si="13"/>
        <v>0.495069533123841</v>
      </c>
      <c r="N123" s="1">
        <f t="shared" si="14"/>
        <v>0.134763721071223</v>
      </c>
      <c r="O123" s="1">
        <f t="shared" si="15"/>
        <v>-0.62999018844833</v>
      </c>
      <c r="P123" s="1">
        <f t="shared" si="16"/>
        <v>0.764820960710332</v>
      </c>
    </row>
    <row r="124" customHeight="1" spans="2:16">
      <c r="B124" s="1">
        <v>0.4</v>
      </c>
      <c r="D124" s="1">
        <f t="shared" si="10"/>
        <v>49.6229450821359</v>
      </c>
      <c r="E124" s="1">
        <f t="shared" si="11"/>
        <v>-62.7533080734828</v>
      </c>
      <c r="G124" s="1">
        <f t="shared" si="17"/>
        <v>169.901018460652</v>
      </c>
      <c r="H124" s="1">
        <f t="shared" si="18"/>
        <v>87.4923632701441</v>
      </c>
      <c r="I124" s="1">
        <f t="shared" si="19"/>
        <v>224.730350187594</v>
      </c>
      <c r="L124" s="1">
        <f t="shared" si="12"/>
        <v>0.862911024498294</v>
      </c>
      <c r="M124" s="1">
        <f t="shared" si="13"/>
        <v>0.637445527158488</v>
      </c>
      <c r="N124" s="1">
        <f t="shared" si="14"/>
        <v>0.296584282271675</v>
      </c>
      <c r="O124" s="1">
        <f t="shared" si="15"/>
        <v>-0.575935655798819</v>
      </c>
      <c r="P124" s="1">
        <f t="shared" si="16"/>
        <v>0.76179779724608</v>
      </c>
    </row>
    <row r="125" customHeight="1" spans="2:16">
      <c r="B125" s="1">
        <v>0.5</v>
      </c>
      <c r="D125" s="1">
        <f t="shared" si="10"/>
        <v>47.4420303577579</v>
      </c>
      <c r="E125" s="1">
        <f t="shared" si="11"/>
        <v>-48.3170045627746</v>
      </c>
      <c r="G125" s="1">
        <f t="shared" si="17"/>
        <v>149.007935939639</v>
      </c>
      <c r="H125" s="1">
        <f t="shared" si="18"/>
        <v>132.681920153481</v>
      </c>
      <c r="I125" s="1">
        <f t="shared" si="19"/>
        <v>217.295059979269</v>
      </c>
      <c r="L125" s="1">
        <f t="shared" si="12"/>
        <v>0.761261066921453</v>
      </c>
      <c r="M125" s="1">
        <f t="shared" si="13"/>
        <v>0.761261066921453</v>
      </c>
      <c r="N125" s="1">
        <f t="shared" si="14"/>
        <v>0.449769220859256</v>
      </c>
      <c r="O125" s="1">
        <f t="shared" si="15"/>
        <v>-0.505111647253012</v>
      </c>
      <c r="P125" s="1">
        <f t="shared" si="16"/>
        <v>0.736593423658538</v>
      </c>
    </row>
    <row r="126" customHeight="1" spans="2:16">
      <c r="B126" s="1">
        <v>0.6</v>
      </c>
      <c r="D126" s="1">
        <f t="shared" si="10"/>
        <v>43.6254951897781</v>
      </c>
      <c r="E126" s="1">
        <f t="shared" si="11"/>
        <v>-35.4251556543996</v>
      </c>
      <c r="G126" s="1">
        <f t="shared" si="17"/>
        <v>123.776200367825</v>
      </c>
      <c r="H126" s="1">
        <f t="shared" si="18"/>
        <v>174.008187380263</v>
      </c>
      <c r="I126" s="1">
        <f t="shared" si="19"/>
        <v>203.532805579688</v>
      </c>
      <c r="L126" s="1">
        <f t="shared" si="12"/>
        <v>0.637445527158488</v>
      </c>
      <c r="M126" s="1">
        <f t="shared" si="13"/>
        <v>0.862911024498294</v>
      </c>
      <c r="N126" s="1">
        <f t="shared" si="14"/>
        <v>0.589858262305978</v>
      </c>
      <c r="O126" s="1">
        <f t="shared" si="15"/>
        <v>-0.419580340229915</v>
      </c>
      <c r="P126" s="1">
        <f t="shared" si="16"/>
        <v>0.689941713829451</v>
      </c>
    </row>
    <row r="127" customHeight="1" spans="2:16">
      <c r="B127" s="1">
        <v>0.7</v>
      </c>
      <c r="D127" s="1">
        <f t="shared" si="10"/>
        <v>38.5502687390481</v>
      </c>
      <c r="E127" s="1">
        <f t="shared" si="11"/>
        <v>-24.3002032899518</v>
      </c>
      <c r="G127" s="1">
        <f t="shared" si="17"/>
        <v>94.9404823238299</v>
      </c>
      <c r="H127" s="1">
        <f t="shared" si="18"/>
        <v>210.267871083955</v>
      </c>
      <c r="I127" s="1">
        <f t="shared" si="19"/>
        <v>183.844301532411</v>
      </c>
      <c r="L127" s="1">
        <f t="shared" si="12"/>
        <v>0.495069533123841</v>
      </c>
      <c r="M127" s="1">
        <f t="shared" si="13"/>
        <v>0.93943566559182</v>
      </c>
      <c r="N127" s="1">
        <f t="shared" si="14"/>
        <v>0.712772444352389</v>
      </c>
      <c r="O127" s="1">
        <f t="shared" si="15"/>
        <v>-0.32183214347061</v>
      </c>
      <c r="P127" s="1">
        <f t="shared" si="16"/>
        <v>0.623201022143765</v>
      </c>
    </row>
    <row r="128" customHeight="1" spans="2:16">
      <c r="B128" s="1">
        <v>0.75</v>
      </c>
      <c r="D128" s="1">
        <f t="shared" si="10"/>
        <v>35.6535862222481</v>
      </c>
      <c r="E128" s="1">
        <f t="shared" si="11"/>
        <v>-19.3517829135059</v>
      </c>
      <c r="G128" s="1">
        <f t="shared" si="17"/>
        <v>79.4300587144796</v>
      </c>
      <c r="H128" s="1">
        <f t="shared" si="18"/>
        <v>226.161179133921</v>
      </c>
      <c r="I128" s="1">
        <f t="shared" si="19"/>
        <v>171.950535984535</v>
      </c>
      <c r="L128" s="1">
        <f t="shared" si="12"/>
        <v>0.418198948122614</v>
      </c>
      <c r="M128" s="1">
        <f t="shared" si="13"/>
        <v>0.967549185898223</v>
      </c>
      <c r="N128" s="1">
        <f t="shared" si="14"/>
        <v>0.766648064860748</v>
      </c>
      <c r="O128" s="1">
        <f t="shared" si="15"/>
        <v>-0.26925443632027</v>
      </c>
      <c r="P128" s="1">
        <f t="shared" si="16"/>
        <v>0.582883172828934</v>
      </c>
    </row>
    <row r="129" customHeight="1" spans="2:16">
      <c r="B129" s="1">
        <v>0.8</v>
      </c>
      <c r="D129" s="1">
        <f t="shared" si="10"/>
        <v>32.5689821076233</v>
      </c>
      <c r="E129" s="1">
        <f t="shared" si="11"/>
        <v>-14.7604708900409</v>
      </c>
      <c r="G129" s="1">
        <f t="shared" si="17"/>
        <v>63.340389277381</v>
      </c>
      <c r="H129" s="1">
        <f t="shared" si="18"/>
        <v>240.405200735756</v>
      </c>
      <c r="I129" s="1">
        <f t="shared" si="19"/>
        <v>158.802816553708</v>
      </c>
      <c r="L129" s="1">
        <f t="shared" si="12"/>
        <v>0.338278636106333</v>
      </c>
      <c r="M129" s="1">
        <f t="shared" si="13"/>
        <v>0.988606827886727</v>
      </c>
      <c r="N129" s="1">
        <f t="shared" si="14"/>
        <v>0.814932883850021</v>
      </c>
      <c r="O129" s="1">
        <f t="shared" si="15"/>
        <v>-0.214713183991122</v>
      </c>
      <c r="P129" s="1">
        <f t="shared" si="16"/>
        <v>0.538314632385451</v>
      </c>
    </row>
    <row r="130" customHeight="1" spans="2:16">
      <c r="B130" s="1">
        <v>0.9</v>
      </c>
      <c r="D130" s="1">
        <f t="shared" si="10"/>
        <v>25.960676252309</v>
      </c>
      <c r="E130" s="1">
        <f t="shared" si="11"/>
        <v>-6.47190990537799</v>
      </c>
      <c r="G130" s="1">
        <f t="shared" si="17"/>
        <v>29.8960188007117</v>
      </c>
      <c r="H130" s="1">
        <f t="shared" si="18"/>
        <v>263.542669937017</v>
      </c>
      <c r="I130" s="1">
        <f t="shared" si="19"/>
        <v>129.13748170975</v>
      </c>
      <c r="L130" s="1">
        <f t="shared" si="12"/>
        <v>0.171638105058877</v>
      </c>
      <c r="M130" s="1">
        <f t="shared" si="13"/>
        <v>1.00899279828695</v>
      </c>
      <c r="N130" s="1">
        <f t="shared" si="14"/>
        <v>0.893364982837346</v>
      </c>
      <c r="O130" s="1">
        <f t="shared" si="15"/>
        <v>-0.101342436612582</v>
      </c>
      <c r="P130" s="1">
        <f t="shared" si="16"/>
        <v>0.437754175287287</v>
      </c>
    </row>
  </sheetData>
  <dataValidations count="2">
    <dataValidation type="list" allowBlank="1" sqref="B3">
      <formula1>OffWorldSelection</formula1>
    </dataValidation>
    <dataValidation type="list" allowBlank="1" sqref="B13:B14">
      <formula1>$B$7:$B$9</formula1>
    </dataValidation>
  </dataValidation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Planet Overview</vt:lpstr>
      <vt:lpstr>Navigation Calculator</vt:lpstr>
      <vt:lpstr>Space Station Locator</vt:lpstr>
      <vt:lpstr>Instructions</vt:lpstr>
      <vt:lpstr>Charts</vt:lpstr>
      <vt:lpstr>Stanton System Chart</vt:lpstr>
      <vt:lpstr>Database Control</vt:lpstr>
      <vt:lpstr>Nav Database</vt:lpstr>
      <vt:lpstr>Primary</vt:lpstr>
      <vt:lpstr>Secondary</vt:lpstr>
      <vt:lpstr>Adjustment Log</vt:lpstr>
      <vt:lpstr>Great Circle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2024-07-17T07:15:00Z</dcterms:created>
  <dcterms:modified xsi:type="dcterms:W3CDTF">2025-01-26T17:04:41Z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260B1CCAABF14E55A62B16888CED35F1_12</vt:lpwstr>
  </property>
  <property fmtid="{D5CDD505-2E9C-101B-9397-08002B2CF9AE}" pid="3" name="KSOProductBuildVer">
    <vt:lpwstr>2052-12.1.0.19770</vt:lpwstr>
  </property>
</Properties>
</file>